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6.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codeName="EstaPastaDeTrabalho"/>
  <mc:AlternateContent xmlns:mc="http://schemas.openxmlformats.org/markup-compatibility/2006">
    <mc:Choice Requires="x15">
      <x15ac:absPath xmlns:x15ac="http://schemas.microsoft.com/office/spreadsheetml/2010/11/ac" url="D:\Dropbox\ufmt\lateca 2023\actus\projetos para a certificação\00_Emeli\01_Certificação\"/>
    </mc:Choice>
  </mc:AlternateContent>
  <xr:revisionPtr revIDLastSave="0" documentId="13_ncr:1_{C36A869A-98AF-430B-8C3B-A7C0F691FA64}" xr6:coauthVersionLast="47" xr6:coauthVersionMax="47" xr10:uidLastSave="{00000000-0000-0000-0000-000000000000}"/>
  <bookViews>
    <workbookView xWindow="-120" yWindow="-120" windowWidth="29040" windowHeight="15720" tabRatio="840" activeTab="13" xr2:uid="{00000000-000D-0000-FFFF-FFFF00000000}"/>
  </bookViews>
  <sheets>
    <sheet name="Sobre" sheetId="15" r:id="rId1"/>
    <sheet name="Início" sheetId="11" r:id="rId2"/>
    <sheet name="Iluminação" sheetId="7" r:id="rId3"/>
    <sheet name="Envoltória" sheetId="12" r:id="rId4"/>
    <sheet name="INPUT" sheetId="22" state="hidden" r:id="rId5"/>
    <sheet name="INPUT_REF" sheetId="23" state="hidden" r:id="rId6"/>
    <sheet name="Aux_Lista" sheetId="3" state="hidden" r:id="rId7"/>
    <sheet name="CondicionamentoDeAr" sheetId="6" r:id="rId8"/>
    <sheet name="AquecimentoÁgua" sheetId="26" r:id="rId9"/>
    <sheet name="Componentes" sheetId="14" r:id="rId10"/>
    <sheet name="ElegibilidadeClassificaçãoA" sheetId="21" r:id="rId11"/>
    <sheet name="Inf_UsoRacionalAgua" sheetId="9" r:id="rId12"/>
    <sheet name="Opc_Geração" sheetId="10" r:id="rId13"/>
    <sheet name="Resultados" sheetId="18" r:id="rId14"/>
    <sheet name="Aux_Clima" sheetId="25" state="hidden" r:id="rId15"/>
    <sheet name="Aux_TBS" sheetId="17" state="hidden" r:id="rId16"/>
    <sheet name="Lista_cidades" sheetId="16" state="hidden" r:id="rId17"/>
  </sheets>
  <externalReferences>
    <externalReference r:id="rId18"/>
  </externalReferences>
  <definedNames>
    <definedName name="_FilterDatabase" localSheetId="4" hidden="1">INPUT!$B$10:$BO$49</definedName>
    <definedName name="_FilterDatabase" localSheetId="5" hidden="1">INPUT_REF!$B$10:$BO$49</definedName>
    <definedName name="_xlnm._FilterDatabase" localSheetId="14" hidden="1">Aux_Clima!$A$1:$O$1190</definedName>
    <definedName name="_xlnm._FilterDatabase" localSheetId="6" hidden="1">Aux_Lista!$DG$1:$DP$5565</definedName>
    <definedName name="_xlnm._FilterDatabase" localSheetId="15" hidden="1">Aux_TBS!$A$1:$S$413</definedName>
    <definedName name="_xlnm._FilterDatabase" localSheetId="9" hidden="1">Componentes!$AH$9:$AQ$398</definedName>
    <definedName name="_xlnm._FilterDatabase" localSheetId="3" hidden="1">Envoltória!$A$18:$AF$118</definedName>
    <definedName name="_xlnm._FilterDatabase" localSheetId="2" hidden="1">Iluminação!$S$31:$AO$481</definedName>
    <definedName name="AC">Lista_cidades!$A$2:$A$23</definedName>
    <definedName name="AL">Lista_cidades!$B$2:$B$103</definedName>
    <definedName name="AM">Lista_cidades!$C$2:$C$63</definedName>
    <definedName name="AP">Lista_cidades!$D$2:$D$17</definedName>
    <definedName name="BA">Lista_cidades!$E$2:$E$418</definedName>
    <definedName name="caso1">Aux_Lista!$CN$4</definedName>
    <definedName name="caso2">Aux_Lista!$CO$4:$CO$7</definedName>
    <definedName name="caso3">Aux_Lista!$CP$4:$CP$7</definedName>
    <definedName name="caso4">Aux_Lista!$CQ$4:$CQ$5</definedName>
    <definedName name="caso5">Aux_Lista!$CR$4:$CR$8</definedName>
    <definedName name="caso6">Aux_Lista!$CS$4:$CS$8</definedName>
    <definedName name="caso7">Aux_Lista!$CT$4</definedName>
    <definedName name="CE">Lista_cidades!$F$2:$F$185</definedName>
    <definedName name="DF">Lista_cidades!$G$2</definedName>
    <definedName name="ES">Lista_cidades!$H$2:$H$79</definedName>
    <definedName name="GO">Lista_cidades!$I$2:$I$247</definedName>
    <definedName name="lista_estados" localSheetId="8">#REF!</definedName>
    <definedName name="lista_estados" localSheetId="4">[1]Lista_cidades!$A$1:$AA$1</definedName>
    <definedName name="lista_estados" localSheetId="5">[1]Lista_cidades!$A$1:$AA$1</definedName>
    <definedName name="lista_estados">Lista_cidades!$A$1:$AA$1</definedName>
    <definedName name="MA">Lista_cidades!$J$2:$J$218</definedName>
    <definedName name="MG">Lista_cidades!$K$2:$K$854</definedName>
    <definedName name="MS">Lista_cidades!$L$2:$L$80</definedName>
    <definedName name="MT">Lista_cidades!$M$2:$M$142</definedName>
    <definedName name="PA">Lista_cidades!$N$2:$N$145</definedName>
    <definedName name="PB">Lista_cidades!$O$2:$O$224</definedName>
    <definedName name="PE">Lista_cidades!$P$2:$P$186</definedName>
    <definedName name="PI">Lista_cidades!$Q$2:$Q$225</definedName>
    <definedName name="PR">Lista_cidades!$R$2:$R$400</definedName>
    <definedName name="RJ">Lista_cidades!$S$2:$S$93</definedName>
    <definedName name="RN">Lista_cidades!$T$2:$T$168</definedName>
    <definedName name="RO">Lista_cidades!$U$2:$U$53</definedName>
    <definedName name="RR">Lista_cidades!$V$2:$V$16</definedName>
    <definedName name="RS">Lista_cidades!$W$2:$W$498</definedName>
    <definedName name="SC">Lista_cidades!$X$2:$X$296</definedName>
    <definedName name="SE">Lista_cidades!$Y$2:$Y$76</definedName>
    <definedName name="SP">Lista_cidades!$Z$2:$Z$646</definedName>
    <definedName name="TO">Lista_cidades!$AA$2:$AA$140</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I31" i="7" l="1"/>
  <c r="AE32" i="7"/>
  <c r="Y33" i="7"/>
  <c r="Z33" i="7"/>
  <c r="AA33" i="7"/>
  <c r="AB33" i="7"/>
  <c r="Y34" i="7"/>
  <c r="Z34" i="7"/>
  <c r="AA34" i="7"/>
  <c r="AB34" i="7"/>
  <c r="Y35" i="7"/>
  <c r="Z35" i="7"/>
  <c r="AA35" i="7"/>
  <c r="AB35" i="7"/>
  <c r="Y36" i="7"/>
  <c r="Z36" i="7"/>
  <c r="AA36" i="7"/>
  <c r="AB36" i="7"/>
  <c r="Y37" i="7"/>
  <c r="Z37" i="7"/>
  <c r="AA37" i="7"/>
  <c r="AB37" i="7"/>
  <c r="Y38" i="7"/>
  <c r="Z38" i="7"/>
  <c r="AA38" i="7"/>
  <c r="AB38" i="7"/>
  <c r="Y39" i="7"/>
  <c r="Z39" i="7"/>
  <c r="AA39" i="7"/>
  <c r="AB39" i="7"/>
  <c r="Y40" i="7"/>
  <c r="Z40" i="7"/>
  <c r="AA40" i="7"/>
  <c r="AB40" i="7"/>
  <c r="Y41" i="7"/>
  <c r="Z41" i="7"/>
  <c r="AA41" i="7"/>
  <c r="AB41" i="7"/>
  <c r="Y42" i="7"/>
  <c r="Z42" i="7"/>
  <c r="AA42" i="7"/>
  <c r="AB42" i="7"/>
  <c r="Y43" i="7"/>
  <c r="Z43" i="7"/>
  <c r="AA43" i="7"/>
  <c r="AB43" i="7"/>
  <c r="Y44" i="7"/>
  <c r="Z44" i="7"/>
  <c r="AA44" i="7"/>
  <c r="AB44" i="7"/>
  <c r="Y45" i="7"/>
  <c r="Z45" i="7"/>
  <c r="AA45" i="7"/>
  <c r="AB45" i="7"/>
  <c r="Y46" i="7"/>
  <c r="Z46" i="7"/>
  <c r="AA46" i="7"/>
  <c r="AB46" i="7"/>
  <c r="Y47" i="7"/>
  <c r="Z47" i="7"/>
  <c r="AA47" i="7"/>
  <c r="AB47" i="7"/>
  <c r="Y48" i="7"/>
  <c r="Z48" i="7"/>
  <c r="AA48" i="7"/>
  <c r="AB48" i="7"/>
  <c r="Y49" i="7"/>
  <c r="Z49" i="7"/>
  <c r="AA49" i="7"/>
  <c r="AB49" i="7"/>
  <c r="Y50" i="7"/>
  <c r="Z50" i="7"/>
  <c r="AA50" i="7"/>
  <c r="AB50" i="7"/>
  <c r="Y51" i="7"/>
  <c r="Z51" i="7"/>
  <c r="AA51" i="7"/>
  <c r="AB51" i="7"/>
  <c r="Y52" i="7"/>
  <c r="Z52" i="7"/>
  <c r="AA52" i="7"/>
  <c r="AB52" i="7"/>
  <c r="Y53" i="7"/>
  <c r="Z53" i="7"/>
  <c r="AA53" i="7"/>
  <c r="AB53" i="7"/>
  <c r="Y54" i="7"/>
  <c r="Z54" i="7"/>
  <c r="AA54" i="7"/>
  <c r="AB54" i="7"/>
  <c r="Y55" i="7"/>
  <c r="Z55" i="7"/>
  <c r="AA55" i="7"/>
  <c r="AB55" i="7"/>
  <c r="Y56" i="7"/>
  <c r="Z56" i="7"/>
  <c r="AA56" i="7"/>
  <c r="AB56" i="7"/>
  <c r="Y57" i="7"/>
  <c r="Z57" i="7"/>
  <c r="AA57" i="7"/>
  <c r="AB57" i="7"/>
  <c r="Y58" i="7"/>
  <c r="Z58" i="7"/>
  <c r="AA58" i="7"/>
  <c r="AB58" i="7"/>
  <c r="Y59" i="7"/>
  <c r="Z59" i="7"/>
  <c r="AA59" i="7"/>
  <c r="AB59" i="7"/>
  <c r="Y60" i="7"/>
  <c r="Z60" i="7"/>
  <c r="AA60" i="7"/>
  <c r="AB60" i="7"/>
  <c r="Y61" i="7"/>
  <c r="Z61" i="7"/>
  <c r="AA61" i="7"/>
  <c r="AB61" i="7"/>
  <c r="Y62" i="7"/>
  <c r="Z62" i="7"/>
  <c r="AA62" i="7"/>
  <c r="AB62" i="7"/>
  <c r="Y63" i="7"/>
  <c r="Z63" i="7"/>
  <c r="AA63" i="7"/>
  <c r="AB63" i="7"/>
  <c r="Y64" i="7"/>
  <c r="Z64" i="7"/>
  <c r="AA64" i="7"/>
  <c r="AB64" i="7"/>
  <c r="Y65" i="7"/>
  <c r="Z65" i="7"/>
  <c r="AA65" i="7"/>
  <c r="AB65" i="7"/>
  <c r="Y66" i="7"/>
  <c r="Z66" i="7"/>
  <c r="AA66" i="7"/>
  <c r="AB66" i="7"/>
  <c r="Y67" i="7"/>
  <c r="Z67" i="7"/>
  <c r="AA67" i="7"/>
  <c r="AB67" i="7"/>
  <c r="Y68" i="7"/>
  <c r="Z68" i="7"/>
  <c r="AA68" i="7"/>
  <c r="AB68" i="7"/>
  <c r="Y69" i="7"/>
  <c r="Z69" i="7"/>
  <c r="AA69" i="7"/>
  <c r="AB69" i="7"/>
  <c r="Y70" i="7"/>
  <c r="Z70" i="7"/>
  <c r="AA70" i="7"/>
  <c r="AB70" i="7"/>
  <c r="Y71" i="7"/>
  <c r="Z71" i="7"/>
  <c r="AA71" i="7"/>
  <c r="AB71" i="7"/>
  <c r="Y72" i="7"/>
  <c r="Z72" i="7"/>
  <c r="AA72" i="7"/>
  <c r="AB72" i="7"/>
  <c r="Y73" i="7"/>
  <c r="Z73" i="7"/>
  <c r="AA73" i="7"/>
  <c r="AB73" i="7"/>
  <c r="Y74" i="7"/>
  <c r="Z74" i="7"/>
  <c r="AA74" i="7"/>
  <c r="AB74" i="7"/>
  <c r="Y75" i="7"/>
  <c r="Z75" i="7"/>
  <c r="AA75" i="7"/>
  <c r="AB75" i="7"/>
  <c r="Y76" i="7"/>
  <c r="Z76" i="7"/>
  <c r="AA76" i="7"/>
  <c r="AB76" i="7"/>
  <c r="Y77" i="7"/>
  <c r="Z77" i="7"/>
  <c r="AA77" i="7"/>
  <c r="AB77" i="7"/>
  <c r="Y78" i="7"/>
  <c r="Z78" i="7"/>
  <c r="AA78" i="7"/>
  <c r="AB78" i="7"/>
  <c r="Y79" i="7"/>
  <c r="Z79" i="7"/>
  <c r="AA79" i="7"/>
  <c r="AB79" i="7"/>
  <c r="Y80" i="7"/>
  <c r="Z80" i="7"/>
  <c r="AA80" i="7"/>
  <c r="AB80" i="7"/>
  <c r="Y81" i="7"/>
  <c r="Z81" i="7"/>
  <c r="AA81" i="7"/>
  <c r="AB81" i="7"/>
  <c r="Y82" i="7"/>
  <c r="Z82" i="7"/>
  <c r="AA82" i="7"/>
  <c r="AB82" i="7"/>
  <c r="Y83" i="7"/>
  <c r="Z83" i="7"/>
  <c r="AA83" i="7"/>
  <c r="AB83" i="7"/>
  <c r="Y84" i="7"/>
  <c r="Z84" i="7"/>
  <c r="AA84" i="7"/>
  <c r="AB84" i="7"/>
  <c r="Y85" i="7"/>
  <c r="Z85" i="7"/>
  <c r="AA85" i="7"/>
  <c r="AB85" i="7"/>
  <c r="Y86" i="7"/>
  <c r="Z86" i="7"/>
  <c r="AA86" i="7"/>
  <c r="AB86" i="7"/>
  <c r="Y87" i="7"/>
  <c r="Z87" i="7"/>
  <c r="AA87" i="7"/>
  <c r="AB87" i="7"/>
  <c r="Y88" i="7"/>
  <c r="Z88" i="7"/>
  <c r="AA88" i="7"/>
  <c r="AB88" i="7"/>
  <c r="Y89" i="7"/>
  <c r="Z89" i="7"/>
  <c r="AA89" i="7"/>
  <c r="AB89" i="7"/>
  <c r="Y90" i="7"/>
  <c r="Z90" i="7"/>
  <c r="AA90" i="7"/>
  <c r="AB90" i="7"/>
  <c r="Y91" i="7"/>
  <c r="Z91" i="7"/>
  <c r="AA91" i="7"/>
  <c r="AB91" i="7"/>
  <c r="Y92" i="7"/>
  <c r="Z92" i="7"/>
  <c r="AA92" i="7"/>
  <c r="AB92" i="7"/>
  <c r="Y93" i="7"/>
  <c r="Z93" i="7"/>
  <c r="AA93" i="7"/>
  <c r="AB93" i="7"/>
  <c r="Y94" i="7"/>
  <c r="Z94" i="7"/>
  <c r="AA94" i="7"/>
  <c r="AB94" i="7"/>
  <c r="Y95" i="7"/>
  <c r="Z95" i="7"/>
  <c r="AA95" i="7"/>
  <c r="AB95" i="7"/>
  <c r="Y96" i="7"/>
  <c r="Z96" i="7"/>
  <c r="AA96" i="7"/>
  <c r="AB96" i="7"/>
  <c r="Y97" i="7"/>
  <c r="Z97" i="7"/>
  <c r="AA97" i="7"/>
  <c r="AB97" i="7"/>
  <c r="Y98" i="7"/>
  <c r="Z98" i="7"/>
  <c r="AA98" i="7"/>
  <c r="AB98" i="7"/>
  <c r="Y99" i="7"/>
  <c r="Z99" i="7"/>
  <c r="AA99" i="7"/>
  <c r="AB99" i="7"/>
  <c r="Y100" i="7"/>
  <c r="Z100" i="7"/>
  <c r="AA100" i="7"/>
  <c r="AB100" i="7"/>
  <c r="Y101" i="7"/>
  <c r="Z101" i="7"/>
  <c r="AA101" i="7"/>
  <c r="AB101" i="7"/>
  <c r="Y102" i="7"/>
  <c r="Z102" i="7"/>
  <c r="AA102" i="7"/>
  <c r="AB102" i="7"/>
  <c r="Y103" i="7"/>
  <c r="Z103" i="7"/>
  <c r="AA103" i="7"/>
  <c r="AB103" i="7"/>
  <c r="Y104" i="7"/>
  <c r="Z104" i="7"/>
  <c r="AA104" i="7"/>
  <c r="AB104" i="7"/>
  <c r="Y105" i="7"/>
  <c r="Z105" i="7"/>
  <c r="AA105" i="7"/>
  <c r="AB105" i="7"/>
  <c r="Y106" i="7"/>
  <c r="Z106" i="7"/>
  <c r="AA106" i="7"/>
  <c r="AB106" i="7"/>
  <c r="Y107" i="7"/>
  <c r="Z107" i="7"/>
  <c r="AA107" i="7"/>
  <c r="AB107" i="7"/>
  <c r="Y108" i="7"/>
  <c r="Z108" i="7"/>
  <c r="AA108" i="7"/>
  <c r="AB108" i="7"/>
  <c r="Y109" i="7"/>
  <c r="Z109" i="7"/>
  <c r="AA109" i="7"/>
  <c r="AB109" i="7"/>
  <c r="Y110" i="7"/>
  <c r="Z110" i="7"/>
  <c r="AA110" i="7"/>
  <c r="AB110" i="7"/>
  <c r="Y111" i="7"/>
  <c r="Z111" i="7"/>
  <c r="AA111" i="7"/>
  <c r="AB111" i="7"/>
  <c r="Y112" i="7"/>
  <c r="Z112" i="7"/>
  <c r="AA112" i="7"/>
  <c r="AB112" i="7"/>
  <c r="Y113" i="7"/>
  <c r="Z113" i="7"/>
  <c r="AA113" i="7"/>
  <c r="AB113" i="7"/>
  <c r="Y114" i="7"/>
  <c r="Z114" i="7"/>
  <c r="AA114" i="7"/>
  <c r="AB114" i="7"/>
  <c r="Y115" i="7"/>
  <c r="Z115" i="7"/>
  <c r="AA115" i="7"/>
  <c r="AB115" i="7"/>
  <c r="Y116" i="7"/>
  <c r="Z116" i="7"/>
  <c r="AA116" i="7"/>
  <c r="AB116" i="7"/>
  <c r="Y117" i="7"/>
  <c r="Z117" i="7"/>
  <c r="AA117" i="7"/>
  <c r="AB117" i="7"/>
  <c r="Y118" i="7"/>
  <c r="Z118" i="7"/>
  <c r="AA118" i="7"/>
  <c r="AB118" i="7"/>
  <c r="Y119" i="7"/>
  <c r="Z119" i="7"/>
  <c r="AA119" i="7"/>
  <c r="AB119" i="7"/>
  <c r="Y120" i="7"/>
  <c r="Z120" i="7"/>
  <c r="AA120" i="7"/>
  <c r="AB120" i="7"/>
  <c r="Y121" i="7"/>
  <c r="Z121" i="7"/>
  <c r="AA121" i="7"/>
  <c r="AB121" i="7"/>
  <c r="Y122" i="7"/>
  <c r="Z122" i="7"/>
  <c r="AA122" i="7"/>
  <c r="AB122" i="7"/>
  <c r="Y123" i="7"/>
  <c r="Z123" i="7"/>
  <c r="AA123" i="7"/>
  <c r="AB123" i="7"/>
  <c r="Y124" i="7"/>
  <c r="Z124" i="7"/>
  <c r="AA124" i="7"/>
  <c r="AB124" i="7"/>
  <c r="Y125" i="7"/>
  <c r="Z125" i="7"/>
  <c r="AA125" i="7"/>
  <c r="AB125" i="7"/>
  <c r="Y126" i="7"/>
  <c r="Z126" i="7"/>
  <c r="AA126" i="7"/>
  <c r="AB126" i="7"/>
  <c r="Y127" i="7"/>
  <c r="Z127" i="7"/>
  <c r="AA127" i="7"/>
  <c r="AB127" i="7"/>
  <c r="Y128" i="7"/>
  <c r="Z128" i="7"/>
  <c r="AA128" i="7"/>
  <c r="AB128" i="7"/>
  <c r="Y129" i="7"/>
  <c r="Z129" i="7"/>
  <c r="AA129" i="7"/>
  <c r="AB129" i="7"/>
  <c r="Y130" i="7"/>
  <c r="Z130" i="7"/>
  <c r="AA130" i="7"/>
  <c r="AB130" i="7"/>
  <c r="Y131" i="7"/>
  <c r="Z131" i="7"/>
  <c r="AA131" i="7"/>
  <c r="AB131" i="7"/>
  <c r="Y132" i="7"/>
  <c r="Z132" i="7"/>
  <c r="AA132" i="7"/>
  <c r="AB132" i="7"/>
  <c r="Y133" i="7"/>
  <c r="Z133" i="7"/>
  <c r="AA133" i="7"/>
  <c r="AB133" i="7"/>
  <c r="Y134" i="7"/>
  <c r="Z134" i="7"/>
  <c r="AA134" i="7"/>
  <c r="AB134" i="7"/>
  <c r="Y135" i="7"/>
  <c r="Z135" i="7"/>
  <c r="AA135" i="7"/>
  <c r="AB135" i="7"/>
  <c r="Y136" i="7"/>
  <c r="Z136" i="7"/>
  <c r="AA136" i="7"/>
  <c r="AB136" i="7"/>
  <c r="Y137" i="7"/>
  <c r="Z137" i="7"/>
  <c r="AA137" i="7"/>
  <c r="AB137" i="7"/>
  <c r="Y138" i="7"/>
  <c r="Z138" i="7"/>
  <c r="AA138" i="7"/>
  <c r="AB138" i="7"/>
  <c r="Y139" i="7"/>
  <c r="Z139" i="7"/>
  <c r="AA139" i="7"/>
  <c r="AB139" i="7"/>
  <c r="Y140" i="7"/>
  <c r="Z140" i="7"/>
  <c r="AA140" i="7"/>
  <c r="AB140" i="7"/>
  <c r="Y141" i="7"/>
  <c r="Z141" i="7"/>
  <c r="AA141" i="7"/>
  <c r="AB141" i="7"/>
  <c r="Y142" i="7"/>
  <c r="Z142" i="7"/>
  <c r="AA142" i="7"/>
  <c r="AB142" i="7"/>
  <c r="Y143" i="7"/>
  <c r="Z143" i="7"/>
  <c r="AA143" i="7"/>
  <c r="AB143" i="7"/>
  <c r="Y144" i="7"/>
  <c r="Z144" i="7"/>
  <c r="AA144" i="7"/>
  <c r="AB144" i="7"/>
  <c r="Y145" i="7"/>
  <c r="Z145" i="7"/>
  <c r="AA145" i="7"/>
  <c r="AB145" i="7"/>
  <c r="Y146" i="7"/>
  <c r="Z146" i="7"/>
  <c r="AA146" i="7"/>
  <c r="AB146" i="7"/>
  <c r="Y147" i="7"/>
  <c r="Z147" i="7"/>
  <c r="AA147" i="7"/>
  <c r="AB147" i="7"/>
  <c r="Y148" i="7"/>
  <c r="Z148" i="7"/>
  <c r="AA148" i="7"/>
  <c r="AB148" i="7"/>
  <c r="Y149" i="7"/>
  <c r="Z149" i="7"/>
  <c r="AA149" i="7"/>
  <c r="AB149" i="7"/>
  <c r="Y150" i="7"/>
  <c r="Z150" i="7"/>
  <c r="AA150" i="7"/>
  <c r="AB150" i="7"/>
  <c r="Y151" i="7"/>
  <c r="Z151" i="7"/>
  <c r="AA151" i="7"/>
  <c r="AB151" i="7"/>
  <c r="Y152" i="7"/>
  <c r="Z152" i="7"/>
  <c r="AA152" i="7"/>
  <c r="AB152" i="7"/>
  <c r="Y153" i="7"/>
  <c r="Z153" i="7"/>
  <c r="AA153" i="7"/>
  <c r="AB153" i="7"/>
  <c r="Y154" i="7"/>
  <c r="Z154" i="7"/>
  <c r="AA154" i="7"/>
  <c r="AB154" i="7"/>
  <c r="Y155" i="7"/>
  <c r="Z155" i="7"/>
  <c r="AA155" i="7"/>
  <c r="AB155" i="7"/>
  <c r="Y156" i="7"/>
  <c r="Z156" i="7"/>
  <c r="AA156" i="7"/>
  <c r="AB156" i="7"/>
  <c r="Y157" i="7"/>
  <c r="Z157" i="7"/>
  <c r="AA157" i="7"/>
  <c r="AB157" i="7"/>
  <c r="Y158" i="7"/>
  <c r="Z158" i="7"/>
  <c r="AA158" i="7"/>
  <c r="AB158" i="7"/>
  <c r="Y159" i="7"/>
  <c r="Z159" i="7"/>
  <c r="AA159" i="7"/>
  <c r="AB159" i="7"/>
  <c r="Y160" i="7"/>
  <c r="Z160" i="7"/>
  <c r="AA160" i="7"/>
  <c r="AB160" i="7"/>
  <c r="Y161" i="7"/>
  <c r="Z161" i="7"/>
  <c r="AA161" i="7"/>
  <c r="AB161" i="7"/>
  <c r="Y162" i="7"/>
  <c r="Z162" i="7"/>
  <c r="AA162" i="7"/>
  <c r="AB162" i="7"/>
  <c r="Y163" i="7"/>
  <c r="Z163" i="7"/>
  <c r="AA163" i="7"/>
  <c r="AB163" i="7"/>
  <c r="Y164" i="7"/>
  <c r="Z164" i="7"/>
  <c r="AA164" i="7"/>
  <c r="AB164" i="7"/>
  <c r="Y165" i="7"/>
  <c r="Z165" i="7"/>
  <c r="AA165" i="7"/>
  <c r="AB165" i="7"/>
  <c r="Y166" i="7"/>
  <c r="Z166" i="7"/>
  <c r="AA166" i="7"/>
  <c r="AB166" i="7"/>
  <c r="Y167" i="7"/>
  <c r="Z167" i="7"/>
  <c r="AA167" i="7"/>
  <c r="AB167" i="7"/>
  <c r="Y168" i="7"/>
  <c r="Z168" i="7"/>
  <c r="AA168" i="7"/>
  <c r="AB168" i="7"/>
  <c r="Y169" i="7"/>
  <c r="Z169" i="7"/>
  <c r="AA169" i="7"/>
  <c r="AB169" i="7"/>
  <c r="Y170" i="7"/>
  <c r="Z170" i="7"/>
  <c r="AA170" i="7"/>
  <c r="AB170" i="7"/>
  <c r="Y171" i="7"/>
  <c r="Z171" i="7"/>
  <c r="AA171" i="7"/>
  <c r="AB171" i="7"/>
  <c r="Y172" i="7"/>
  <c r="Z172" i="7"/>
  <c r="AA172" i="7"/>
  <c r="AB172" i="7"/>
  <c r="Y173" i="7"/>
  <c r="Z173" i="7"/>
  <c r="AA173" i="7"/>
  <c r="AB173" i="7"/>
  <c r="Y174" i="7"/>
  <c r="Z174" i="7"/>
  <c r="AA174" i="7"/>
  <c r="AB174" i="7"/>
  <c r="Y175" i="7"/>
  <c r="Z175" i="7"/>
  <c r="AA175" i="7"/>
  <c r="AB175" i="7"/>
  <c r="Y176" i="7"/>
  <c r="Z176" i="7"/>
  <c r="AA176" i="7"/>
  <c r="AB176" i="7"/>
  <c r="Y177" i="7"/>
  <c r="Z177" i="7"/>
  <c r="AA177" i="7"/>
  <c r="AB177" i="7"/>
  <c r="Y178" i="7"/>
  <c r="Z178" i="7"/>
  <c r="AA178" i="7"/>
  <c r="AB178" i="7"/>
  <c r="Y179" i="7"/>
  <c r="Z179" i="7"/>
  <c r="AA179" i="7"/>
  <c r="AB179" i="7"/>
  <c r="Y180" i="7"/>
  <c r="Z180" i="7"/>
  <c r="AA180" i="7"/>
  <c r="AB180" i="7"/>
  <c r="Y181" i="7"/>
  <c r="Z181" i="7"/>
  <c r="AA181" i="7"/>
  <c r="AB181" i="7"/>
  <c r="Y182" i="7"/>
  <c r="Z182" i="7"/>
  <c r="AA182" i="7"/>
  <c r="AB182" i="7"/>
  <c r="Y183" i="7"/>
  <c r="Z183" i="7"/>
  <c r="AA183" i="7"/>
  <c r="AB183" i="7"/>
  <c r="Y184" i="7"/>
  <c r="Z184" i="7"/>
  <c r="AA184" i="7"/>
  <c r="AB184" i="7"/>
  <c r="Y185" i="7"/>
  <c r="Z185" i="7"/>
  <c r="AA185" i="7"/>
  <c r="AB185" i="7"/>
  <c r="Y186" i="7"/>
  <c r="Z186" i="7"/>
  <c r="AA186" i="7"/>
  <c r="AB186" i="7"/>
  <c r="Y187" i="7"/>
  <c r="Z187" i="7"/>
  <c r="AA187" i="7"/>
  <c r="AB187" i="7"/>
  <c r="Y188" i="7"/>
  <c r="Z188" i="7"/>
  <c r="AA188" i="7"/>
  <c r="AB188" i="7"/>
  <c r="Y189" i="7"/>
  <c r="Z189" i="7"/>
  <c r="AA189" i="7"/>
  <c r="AB189" i="7"/>
  <c r="Y190" i="7"/>
  <c r="Z190" i="7"/>
  <c r="AA190" i="7"/>
  <c r="AB190" i="7"/>
  <c r="Y191" i="7"/>
  <c r="Z191" i="7"/>
  <c r="AA191" i="7"/>
  <c r="AB191" i="7"/>
  <c r="Y192" i="7"/>
  <c r="Z192" i="7"/>
  <c r="AA192" i="7"/>
  <c r="AB192" i="7"/>
  <c r="Y193" i="7"/>
  <c r="Z193" i="7"/>
  <c r="AA193" i="7"/>
  <c r="AB193" i="7"/>
  <c r="Y194" i="7"/>
  <c r="Z194" i="7"/>
  <c r="AA194" i="7"/>
  <c r="AB194" i="7"/>
  <c r="Y195" i="7"/>
  <c r="Z195" i="7"/>
  <c r="AA195" i="7"/>
  <c r="AB195" i="7"/>
  <c r="Y196" i="7"/>
  <c r="Z196" i="7"/>
  <c r="AA196" i="7"/>
  <c r="AB196" i="7"/>
  <c r="Y197" i="7"/>
  <c r="Z197" i="7"/>
  <c r="AA197" i="7"/>
  <c r="AB197" i="7"/>
  <c r="Y198" i="7"/>
  <c r="Z198" i="7"/>
  <c r="AA198" i="7"/>
  <c r="AB198" i="7"/>
  <c r="Y199" i="7"/>
  <c r="Z199" i="7"/>
  <c r="AA199" i="7"/>
  <c r="AB199" i="7"/>
  <c r="Y200" i="7"/>
  <c r="Z200" i="7"/>
  <c r="AA200" i="7"/>
  <c r="AB200" i="7"/>
  <c r="Y201" i="7"/>
  <c r="Z201" i="7"/>
  <c r="AA201" i="7"/>
  <c r="AB201" i="7"/>
  <c r="Y202" i="7"/>
  <c r="Z202" i="7"/>
  <c r="AA202" i="7"/>
  <c r="AB202" i="7"/>
  <c r="Y203" i="7"/>
  <c r="Z203" i="7"/>
  <c r="AA203" i="7"/>
  <c r="AB203" i="7"/>
  <c r="Y204" i="7"/>
  <c r="Z204" i="7"/>
  <c r="AA204" i="7"/>
  <c r="AB204" i="7"/>
  <c r="Y205" i="7"/>
  <c r="Z205" i="7"/>
  <c r="AA205" i="7"/>
  <c r="AB205" i="7"/>
  <c r="Y206" i="7"/>
  <c r="Z206" i="7"/>
  <c r="AA206" i="7"/>
  <c r="AB206" i="7"/>
  <c r="Y207" i="7"/>
  <c r="Z207" i="7"/>
  <c r="AA207" i="7"/>
  <c r="AB207" i="7"/>
  <c r="Y208" i="7"/>
  <c r="Z208" i="7"/>
  <c r="AA208" i="7"/>
  <c r="AB208" i="7"/>
  <c r="Y209" i="7"/>
  <c r="Z209" i="7"/>
  <c r="AA209" i="7"/>
  <c r="AB209" i="7"/>
  <c r="Y210" i="7"/>
  <c r="Z210" i="7"/>
  <c r="AA210" i="7"/>
  <c r="AB210" i="7"/>
  <c r="Y211" i="7"/>
  <c r="Z211" i="7"/>
  <c r="AA211" i="7"/>
  <c r="AB211" i="7"/>
  <c r="Y212" i="7"/>
  <c r="Z212" i="7"/>
  <c r="AA212" i="7"/>
  <c r="AB212" i="7"/>
  <c r="Y213" i="7"/>
  <c r="Z213" i="7"/>
  <c r="AA213" i="7"/>
  <c r="AB213" i="7"/>
  <c r="Y214" i="7"/>
  <c r="Z214" i="7"/>
  <c r="AA214" i="7"/>
  <c r="AB214" i="7"/>
  <c r="Y215" i="7"/>
  <c r="Z215" i="7"/>
  <c r="AA215" i="7"/>
  <c r="AB215" i="7"/>
  <c r="Y216" i="7"/>
  <c r="Z216" i="7"/>
  <c r="AA216" i="7"/>
  <c r="AB216" i="7"/>
  <c r="Y217" i="7"/>
  <c r="Z217" i="7"/>
  <c r="AA217" i="7"/>
  <c r="AB217" i="7"/>
  <c r="Y218" i="7"/>
  <c r="Z218" i="7"/>
  <c r="AA218" i="7"/>
  <c r="AB218" i="7"/>
  <c r="Y219" i="7"/>
  <c r="Z219" i="7"/>
  <c r="AA219" i="7"/>
  <c r="AB219" i="7"/>
  <c r="Y220" i="7"/>
  <c r="Z220" i="7"/>
  <c r="AA220" i="7"/>
  <c r="AB220" i="7"/>
  <c r="Y221" i="7"/>
  <c r="Z221" i="7"/>
  <c r="AA221" i="7"/>
  <c r="AB221" i="7"/>
  <c r="Y222" i="7"/>
  <c r="Z222" i="7"/>
  <c r="AA222" i="7"/>
  <c r="AB222" i="7"/>
  <c r="Y223" i="7"/>
  <c r="Z223" i="7"/>
  <c r="AA223" i="7"/>
  <c r="AB223" i="7"/>
  <c r="Y224" i="7"/>
  <c r="Z224" i="7"/>
  <c r="AA224" i="7"/>
  <c r="AB224" i="7"/>
  <c r="Y225" i="7"/>
  <c r="Z225" i="7"/>
  <c r="AA225" i="7"/>
  <c r="AB225" i="7"/>
  <c r="Y226" i="7"/>
  <c r="Z226" i="7"/>
  <c r="AA226" i="7"/>
  <c r="AB226" i="7"/>
  <c r="Y227" i="7"/>
  <c r="Z227" i="7"/>
  <c r="AA227" i="7"/>
  <c r="AB227" i="7"/>
  <c r="Y228" i="7"/>
  <c r="Z228" i="7"/>
  <c r="AA228" i="7"/>
  <c r="AB228" i="7"/>
  <c r="Y229" i="7"/>
  <c r="Z229" i="7"/>
  <c r="AA229" i="7"/>
  <c r="AB229" i="7"/>
  <c r="Y230" i="7"/>
  <c r="Z230" i="7"/>
  <c r="AA230" i="7"/>
  <c r="AB230" i="7"/>
  <c r="Y231" i="7"/>
  <c r="Z231" i="7"/>
  <c r="AA231" i="7"/>
  <c r="AB231" i="7"/>
  <c r="Y232" i="7"/>
  <c r="Z232" i="7"/>
  <c r="AA232" i="7"/>
  <c r="AB232" i="7"/>
  <c r="Y233" i="7"/>
  <c r="Z233" i="7"/>
  <c r="AA233" i="7"/>
  <c r="AB233" i="7"/>
  <c r="Y234" i="7"/>
  <c r="Z234" i="7"/>
  <c r="AA234" i="7"/>
  <c r="AB234" i="7"/>
  <c r="Y235" i="7"/>
  <c r="Z235" i="7"/>
  <c r="AA235" i="7"/>
  <c r="AB235" i="7"/>
  <c r="Y236" i="7"/>
  <c r="Z236" i="7"/>
  <c r="AA236" i="7"/>
  <c r="AB236" i="7"/>
  <c r="Y237" i="7"/>
  <c r="Z237" i="7"/>
  <c r="AA237" i="7"/>
  <c r="AB237" i="7"/>
  <c r="Y238" i="7"/>
  <c r="Z238" i="7"/>
  <c r="AA238" i="7"/>
  <c r="AB238" i="7"/>
  <c r="Y239" i="7"/>
  <c r="Z239" i="7"/>
  <c r="AA239" i="7"/>
  <c r="AB239" i="7"/>
  <c r="Y240" i="7"/>
  <c r="Z240" i="7"/>
  <c r="AA240" i="7"/>
  <c r="AB240" i="7"/>
  <c r="Y241" i="7"/>
  <c r="Z241" i="7"/>
  <c r="AA241" i="7"/>
  <c r="AB241" i="7"/>
  <c r="Y242" i="7"/>
  <c r="Z242" i="7"/>
  <c r="AA242" i="7"/>
  <c r="AB242" i="7"/>
  <c r="Y243" i="7"/>
  <c r="Z243" i="7"/>
  <c r="AA243" i="7"/>
  <c r="AB243" i="7"/>
  <c r="Y244" i="7"/>
  <c r="Z244" i="7"/>
  <c r="AA244" i="7"/>
  <c r="AB244" i="7"/>
  <c r="Y245" i="7"/>
  <c r="Z245" i="7"/>
  <c r="AA245" i="7"/>
  <c r="AB245" i="7"/>
  <c r="Y246" i="7"/>
  <c r="Z246" i="7"/>
  <c r="AA246" i="7"/>
  <c r="AB246" i="7"/>
  <c r="Y247" i="7"/>
  <c r="Z247" i="7"/>
  <c r="AA247" i="7"/>
  <c r="AB247" i="7"/>
  <c r="Y248" i="7"/>
  <c r="Z248" i="7"/>
  <c r="AA248" i="7"/>
  <c r="AB248" i="7"/>
  <c r="Y249" i="7"/>
  <c r="Z249" i="7"/>
  <c r="AA249" i="7"/>
  <c r="AB249" i="7"/>
  <c r="Y250" i="7"/>
  <c r="Z250" i="7"/>
  <c r="AA250" i="7"/>
  <c r="AB250" i="7"/>
  <c r="Y251" i="7"/>
  <c r="Z251" i="7"/>
  <c r="AA251" i="7"/>
  <c r="AB251" i="7"/>
  <c r="Y252" i="7"/>
  <c r="Z252" i="7"/>
  <c r="AA252" i="7"/>
  <c r="AB252" i="7"/>
  <c r="Y253" i="7"/>
  <c r="Z253" i="7"/>
  <c r="AA253" i="7"/>
  <c r="AB253" i="7"/>
  <c r="Y254" i="7"/>
  <c r="Z254" i="7"/>
  <c r="AA254" i="7"/>
  <c r="AB254" i="7"/>
  <c r="Y255" i="7"/>
  <c r="Z255" i="7"/>
  <c r="AA255" i="7"/>
  <c r="AB255" i="7"/>
  <c r="Y256" i="7"/>
  <c r="Z256" i="7"/>
  <c r="AA256" i="7"/>
  <c r="AB256" i="7"/>
  <c r="Y257" i="7"/>
  <c r="Z257" i="7"/>
  <c r="AA257" i="7"/>
  <c r="AB257" i="7"/>
  <c r="Y258" i="7"/>
  <c r="Z258" i="7"/>
  <c r="AA258" i="7"/>
  <c r="AB258" i="7"/>
  <c r="Y259" i="7"/>
  <c r="Z259" i="7"/>
  <c r="AA259" i="7"/>
  <c r="AB259" i="7"/>
  <c r="Y260" i="7"/>
  <c r="Z260" i="7"/>
  <c r="AA260" i="7"/>
  <c r="AB260" i="7"/>
  <c r="Y261" i="7"/>
  <c r="Z261" i="7"/>
  <c r="AA261" i="7"/>
  <c r="AB261" i="7"/>
  <c r="Y262" i="7"/>
  <c r="Z262" i="7"/>
  <c r="AA262" i="7"/>
  <c r="AB262" i="7"/>
  <c r="Y263" i="7"/>
  <c r="Z263" i="7"/>
  <c r="AA263" i="7"/>
  <c r="AB263" i="7"/>
  <c r="Y264" i="7"/>
  <c r="Z264" i="7"/>
  <c r="AA264" i="7"/>
  <c r="AB264" i="7"/>
  <c r="Y265" i="7"/>
  <c r="Z265" i="7"/>
  <c r="AA265" i="7"/>
  <c r="AB265" i="7"/>
  <c r="Y266" i="7"/>
  <c r="Z266" i="7"/>
  <c r="AA266" i="7"/>
  <c r="AB266" i="7"/>
  <c r="Y267" i="7"/>
  <c r="Z267" i="7"/>
  <c r="AA267" i="7"/>
  <c r="AB267" i="7"/>
  <c r="Y268" i="7"/>
  <c r="Z268" i="7"/>
  <c r="AA268" i="7"/>
  <c r="AB268" i="7"/>
  <c r="Y269" i="7"/>
  <c r="Z269" i="7"/>
  <c r="AA269" i="7"/>
  <c r="AB269" i="7"/>
  <c r="Y270" i="7"/>
  <c r="Z270" i="7"/>
  <c r="AA270" i="7"/>
  <c r="AB270" i="7"/>
  <c r="Y271" i="7"/>
  <c r="Z271" i="7"/>
  <c r="AA271" i="7"/>
  <c r="AB271" i="7"/>
  <c r="Y272" i="7"/>
  <c r="Z272" i="7"/>
  <c r="AA272" i="7"/>
  <c r="AB272" i="7"/>
  <c r="Y273" i="7"/>
  <c r="Z273" i="7"/>
  <c r="AA273" i="7"/>
  <c r="AB273" i="7"/>
  <c r="Y274" i="7"/>
  <c r="Z274" i="7"/>
  <c r="AA274" i="7"/>
  <c r="AB274" i="7"/>
  <c r="Y275" i="7"/>
  <c r="Z275" i="7"/>
  <c r="AA275" i="7"/>
  <c r="AB275" i="7"/>
  <c r="Y276" i="7"/>
  <c r="Z276" i="7"/>
  <c r="AA276" i="7"/>
  <c r="AB276" i="7"/>
  <c r="Y277" i="7"/>
  <c r="Z277" i="7"/>
  <c r="AA277" i="7"/>
  <c r="AB277" i="7"/>
  <c r="Y278" i="7"/>
  <c r="Z278" i="7"/>
  <c r="AA278" i="7"/>
  <c r="AB278" i="7"/>
  <c r="Y279" i="7"/>
  <c r="Z279" i="7"/>
  <c r="AA279" i="7"/>
  <c r="AB279" i="7"/>
  <c r="Y280" i="7"/>
  <c r="Z280" i="7"/>
  <c r="AA280" i="7"/>
  <c r="AB280" i="7"/>
  <c r="Y281" i="7"/>
  <c r="Z281" i="7"/>
  <c r="AA281" i="7"/>
  <c r="AB281" i="7"/>
  <c r="Y282" i="7"/>
  <c r="Z282" i="7"/>
  <c r="AA282" i="7"/>
  <c r="AB282" i="7"/>
  <c r="Y283" i="7"/>
  <c r="Z283" i="7"/>
  <c r="AA283" i="7"/>
  <c r="AB283" i="7"/>
  <c r="Y284" i="7"/>
  <c r="Z284" i="7"/>
  <c r="AA284" i="7"/>
  <c r="AB284" i="7"/>
  <c r="Y285" i="7"/>
  <c r="Z285" i="7"/>
  <c r="AA285" i="7"/>
  <c r="AB285" i="7"/>
  <c r="Y286" i="7"/>
  <c r="Z286" i="7"/>
  <c r="AA286" i="7"/>
  <c r="AB286" i="7"/>
  <c r="Y287" i="7"/>
  <c r="Z287" i="7"/>
  <c r="AA287" i="7"/>
  <c r="AB287" i="7"/>
  <c r="Y288" i="7"/>
  <c r="Z288" i="7"/>
  <c r="AA288" i="7"/>
  <c r="AB288" i="7"/>
  <c r="Y289" i="7"/>
  <c r="Z289" i="7"/>
  <c r="AA289" i="7"/>
  <c r="AB289" i="7"/>
  <c r="Y290" i="7"/>
  <c r="Z290" i="7"/>
  <c r="AA290" i="7"/>
  <c r="AB290" i="7"/>
  <c r="Y291" i="7"/>
  <c r="Z291" i="7"/>
  <c r="AA291" i="7"/>
  <c r="AB291" i="7"/>
  <c r="Y292" i="7"/>
  <c r="Z292" i="7"/>
  <c r="AA292" i="7"/>
  <c r="AB292" i="7"/>
  <c r="Y293" i="7"/>
  <c r="Z293" i="7"/>
  <c r="AA293" i="7"/>
  <c r="AB293" i="7"/>
  <c r="Y294" i="7"/>
  <c r="Z294" i="7"/>
  <c r="AA294" i="7"/>
  <c r="AB294" i="7"/>
  <c r="Y295" i="7"/>
  <c r="Z295" i="7"/>
  <c r="AA295" i="7"/>
  <c r="AB295" i="7"/>
  <c r="Y296" i="7"/>
  <c r="Z296" i="7"/>
  <c r="AA296" i="7"/>
  <c r="AB296" i="7"/>
  <c r="Y297" i="7"/>
  <c r="Z297" i="7"/>
  <c r="AA297" i="7"/>
  <c r="AB297" i="7"/>
  <c r="Y298" i="7"/>
  <c r="Z298" i="7"/>
  <c r="AA298" i="7"/>
  <c r="AB298" i="7"/>
  <c r="Y299" i="7"/>
  <c r="Z299" i="7"/>
  <c r="AA299" i="7"/>
  <c r="AB299" i="7"/>
  <c r="Y300" i="7"/>
  <c r="Z300" i="7"/>
  <c r="AA300" i="7"/>
  <c r="AB300" i="7"/>
  <c r="Y301" i="7"/>
  <c r="Z301" i="7"/>
  <c r="AA301" i="7"/>
  <c r="AB301" i="7"/>
  <c r="Y302" i="7"/>
  <c r="Z302" i="7"/>
  <c r="AA302" i="7"/>
  <c r="AB302" i="7"/>
  <c r="Y303" i="7"/>
  <c r="Z303" i="7"/>
  <c r="AA303" i="7"/>
  <c r="AB303" i="7"/>
  <c r="Y304" i="7"/>
  <c r="Z304" i="7"/>
  <c r="AA304" i="7"/>
  <c r="AB304" i="7"/>
  <c r="Y305" i="7"/>
  <c r="Z305" i="7"/>
  <c r="AA305" i="7"/>
  <c r="AB305" i="7"/>
  <c r="Y306" i="7"/>
  <c r="Z306" i="7"/>
  <c r="AA306" i="7"/>
  <c r="AB306" i="7"/>
  <c r="Y307" i="7"/>
  <c r="Z307" i="7"/>
  <c r="AA307" i="7"/>
  <c r="AB307" i="7"/>
  <c r="Y308" i="7"/>
  <c r="Z308" i="7"/>
  <c r="AA308" i="7"/>
  <c r="AB308" i="7"/>
  <c r="Y309" i="7"/>
  <c r="Z309" i="7"/>
  <c r="AA309" i="7"/>
  <c r="AB309" i="7"/>
  <c r="Y310" i="7"/>
  <c r="Z310" i="7"/>
  <c r="AA310" i="7"/>
  <c r="AB310" i="7"/>
  <c r="Y311" i="7"/>
  <c r="Z311" i="7"/>
  <c r="AA311" i="7"/>
  <c r="AB311" i="7"/>
  <c r="Y312" i="7"/>
  <c r="Z312" i="7"/>
  <c r="AA312" i="7"/>
  <c r="AB312" i="7"/>
  <c r="Y313" i="7"/>
  <c r="Z313" i="7"/>
  <c r="AA313" i="7"/>
  <c r="AB313" i="7"/>
  <c r="Y314" i="7"/>
  <c r="Z314" i="7"/>
  <c r="AA314" i="7"/>
  <c r="AB314" i="7"/>
  <c r="Y315" i="7"/>
  <c r="Z315" i="7"/>
  <c r="AA315" i="7"/>
  <c r="AB315" i="7"/>
  <c r="Y316" i="7"/>
  <c r="Z316" i="7"/>
  <c r="AA316" i="7"/>
  <c r="AB316" i="7"/>
  <c r="Y317" i="7"/>
  <c r="Z317" i="7"/>
  <c r="AA317" i="7"/>
  <c r="AB317" i="7"/>
  <c r="Y318" i="7"/>
  <c r="Z318" i="7"/>
  <c r="AA318" i="7"/>
  <c r="AB318" i="7"/>
  <c r="Y319" i="7"/>
  <c r="Z319" i="7"/>
  <c r="AA319" i="7"/>
  <c r="AB319" i="7"/>
  <c r="Y320" i="7"/>
  <c r="Z320" i="7"/>
  <c r="AA320" i="7"/>
  <c r="AB320" i="7"/>
  <c r="Y321" i="7"/>
  <c r="Z321" i="7"/>
  <c r="AA321" i="7"/>
  <c r="AB321" i="7"/>
  <c r="Y322" i="7"/>
  <c r="Z322" i="7"/>
  <c r="AA322" i="7"/>
  <c r="AB322" i="7"/>
  <c r="Y323" i="7"/>
  <c r="Z323" i="7"/>
  <c r="AA323" i="7"/>
  <c r="AB323" i="7"/>
  <c r="Y324" i="7"/>
  <c r="Z324" i="7"/>
  <c r="AA324" i="7"/>
  <c r="AB324" i="7"/>
  <c r="Y325" i="7"/>
  <c r="Z325" i="7"/>
  <c r="AA325" i="7"/>
  <c r="AB325" i="7"/>
  <c r="Y326" i="7"/>
  <c r="Z326" i="7"/>
  <c r="AA326" i="7"/>
  <c r="AB326" i="7"/>
  <c r="Y327" i="7"/>
  <c r="Z327" i="7"/>
  <c r="AA327" i="7"/>
  <c r="AB327" i="7"/>
  <c r="Y328" i="7"/>
  <c r="Z328" i="7"/>
  <c r="AA328" i="7"/>
  <c r="AB328" i="7"/>
  <c r="Y329" i="7"/>
  <c r="Z329" i="7"/>
  <c r="AA329" i="7"/>
  <c r="AB329" i="7"/>
  <c r="Y330" i="7"/>
  <c r="Z330" i="7"/>
  <c r="AA330" i="7"/>
  <c r="AB330" i="7"/>
  <c r="Y331" i="7"/>
  <c r="Z331" i="7"/>
  <c r="AA331" i="7"/>
  <c r="AB331" i="7"/>
  <c r="Y332" i="7"/>
  <c r="Z332" i="7"/>
  <c r="AA332" i="7"/>
  <c r="AB332" i="7"/>
  <c r="Y333" i="7"/>
  <c r="Z333" i="7"/>
  <c r="AA333" i="7"/>
  <c r="AB333" i="7"/>
  <c r="Y334" i="7"/>
  <c r="Z334" i="7"/>
  <c r="AA334" i="7"/>
  <c r="AB334" i="7"/>
  <c r="Y335" i="7"/>
  <c r="Z335" i="7"/>
  <c r="AA335" i="7"/>
  <c r="AB335" i="7"/>
  <c r="Y336" i="7"/>
  <c r="Z336" i="7"/>
  <c r="AA336" i="7"/>
  <c r="AB336" i="7"/>
  <c r="Y337" i="7"/>
  <c r="Z337" i="7"/>
  <c r="AA337" i="7"/>
  <c r="AB337" i="7"/>
  <c r="Y338" i="7"/>
  <c r="Z338" i="7"/>
  <c r="AA338" i="7"/>
  <c r="AB338" i="7"/>
  <c r="Y339" i="7"/>
  <c r="Z339" i="7"/>
  <c r="AA339" i="7"/>
  <c r="AB339" i="7"/>
  <c r="Y340" i="7"/>
  <c r="Z340" i="7"/>
  <c r="AA340" i="7"/>
  <c r="AB340" i="7"/>
  <c r="Y341" i="7"/>
  <c r="Z341" i="7"/>
  <c r="AA341" i="7"/>
  <c r="AB341" i="7"/>
  <c r="Y342" i="7"/>
  <c r="Z342" i="7"/>
  <c r="AA342" i="7"/>
  <c r="AB342" i="7"/>
  <c r="Y343" i="7"/>
  <c r="Z343" i="7"/>
  <c r="AA343" i="7"/>
  <c r="AB343" i="7"/>
  <c r="Y344" i="7"/>
  <c r="Z344" i="7"/>
  <c r="AA344" i="7"/>
  <c r="AB344" i="7"/>
  <c r="Y345" i="7"/>
  <c r="Z345" i="7"/>
  <c r="AA345" i="7"/>
  <c r="AB345" i="7"/>
  <c r="Y346" i="7"/>
  <c r="Z346" i="7"/>
  <c r="AA346" i="7"/>
  <c r="AB346" i="7"/>
  <c r="Y347" i="7"/>
  <c r="Z347" i="7"/>
  <c r="AA347" i="7"/>
  <c r="AB347" i="7"/>
  <c r="Y348" i="7"/>
  <c r="Z348" i="7"/>
  <c r="AA348" i="7"/>
  <c r="AB348" i="7"/>
  <c r="Y349" i="7"/>
  <c r="Z349" i="7"/>
  <c r="AA349" i="7"/>
  <c r="AB349" i="7"/>
  <c r="Y350" i="7"/>
  <c r="Z350" i="7"/>
  <c r="AA350" i="7"/>
  <c r="AB350" i="7"/>
  <c r="Y351" i="7"/>
  <c r="Z351" i="7"/>
  <c r="AA351" i="7"/>
  <c r="AB351" i="7"/>
  <c r="Y352" i="7"/>
  <c r="Z352" i="7"/>
  <c r="AA352" i="7"/>
  <c r="AB352" i="7"/>
  <c r="Y353" i="7"/>
  <c r="Z353" i="7"/>
  <c r="AA353" i="7"/>
  <c r="AB353" i="7"/>
  <c r="Y354" i="7"/>
  <c r="Z354" i="7"/>
  <c r="AA354" i="7"/>
  <c r="AB354" i="7"/>
  <c r="Y355" i="7"/>
  <c r="Z355" i="7"/>
  <c r="AA355" i="7"/>
  <c r="AB355" i="7"/>
  <c r="Y356" i="7"/>
  <c r="Z356" i="7"/>
  <c r="AA356" i="7"/>
  <c r="AB356" i="7"/>
  <c r="Y357" i="7"/>
  <c r="Z357" i="7"/>
  <c r="AA357" i="7"/>
  <c r="AB357" i="7"/>
  <c r="Y358" i="7"/>
  <c r="Z358" i="7"/>
  <c r="AA358" i="7"/>
  <c r="AB358" i="7"/>
  <c r="Y359" i="7"/>
  <c r="Z359" i="7"/>
  <c r="AA359" i="7"/>
  <c r="AB359" i="7"/>
  <c r="Y360" i="7"/>
  <c r="Z360" i="7"/>
  <c r="AA360" i="7"/>
  <c r="AB360" i="7"/>
  <c r="Y361" i="7"/>
  <c r="Z361" i="7"/>
  <c r="AA361" i="7"/>
  <c r="AB361" i="7"/>
  <c r="Y362" i="7"/>
  <c r="Z362" i="7"/>
  <c r="AA362" i="7"/>
  <c r="AB362" i="7"/>
  <c r="Y363" i="7"/>
  <c r="Z363" i="7"/>
  <c r="AA363" i="7"/>
  <c r="AB363" i="7"/>
  <c r="Y364" i="7"/>
  <c r="Z364" i="7"/>
  <c r="AA364" i="7"/>
  <c r="AB364" i="7"/>
  <c r="Y365" i="7"/>
  <c r="Z365" i="7"/>
  <c r="AA365" i="7"/>
  <c r="AB365" i="7"/>
  <c r="Y366" i="7"/>
  <c r="Z366" i="7"/>
  <c r="AA366" i="7"/>
  <c r="AB366" i="7"/>
  <c r="Y367" i="7"/>
  <c r="Z367" i="7"/>
  <c r="AA367" i="7"/>
  <c r="AB367" i="7"/>
  <c r="Y368" i="7"/>
  <c r="Z368" i="7"/>
  <c r="AA368" i="7"/>
  <c r="AB368" i="7"/>
  <c r="Y369" i="7"/>
  <c r="Z369" i="7"/>
  <c r="AA369" i="7"/>
  <c r="AB369" i="7"/>
  <c r="Y370" i="7"/>
  <c r="Z370" i="7"/>
  <c r="AA370" i="7"/>
  <c r="AB370" i="7"/>
  <c r="Y371" i="7"/>
  <c r="Z371" i="7"/>
  <c r="AA371" i="7"/>
  <c r="AB371" i="7"/>
  <c r="Y372" i="7"/>
  <c r="Z372" i="7"/>
  <c r="AA372" i="7"/>
  <c r="AB372" i="7"/>
  <c r="Y373" i="7"/>
  <c r="Z373" i="7"/>
  <c r="AA373" i="7"/>
  <c r="AB373" i="7"/>
  <c r="Y374" i="7"/>
  <c r="Z374" i="7"/>
  <c r="AA374" i="7"/>
  <c r="AB374" i="7"/>
  <c r="Y375" i="7"/>
  <c r="Z375" i="7"/>
  <c r="AA375" i="7"/>
  <c r="AB375" i="7"/>
  <c r="Y376" i="7"/>
  <c r="Z376" i="7"/>
  <c r="AA376" i="7"/>
  <c r="AB376" i="7"/>
  <c r="Y377" i="7"/>
  <c r="Z377" i="7"/>
  <c r="AA377" i="7"/>
  <c r="AB377" i="7"/>
  <c r="Y378" i="7"/>
  <c r="Z378" i="7"/>
  <c r="AA378" i="7"/>
  <c r="AB378" i="7"/>
  <c r="Y379" i="7"/>
  <c r="Z379" i="7"/>
  <c r="AA379" i="7"/>
  <c r="AB379" i="7"/>
  <c r="Y380" i="7"/>
  <c r="Z380" i="7"/>
  <c r="AA380" i="7"/>
  <c r="AB380" i="7"/>
  <c r="Y381" i="7"/>
  <c r="Z381" i="7"/>
  <c r="AA381" i="7"/>
  <c r="AB381" i="7"/>
  <c r="Y382" i="7"/>
  <c r="Z382" i="7"/>
  <c r="AA382" i="7"/>
  <c r="AB382" i="7"/>
  <c r="Y383" i="7"/>
  <c r="Z383" i="7"/>
  <c r="AA383" i="7"/>
  <c r="AB383" i="7"/>
  <c r="Y384" i="7"/>
  <c r="Z384" i="7"/>
  <c r="AA384" i="7"/>
  <c r="AB384" i="7"/>
  <c r="Y385" i="7"/>
  <c r="Z385" i="7"/>
  <c r="AA385" i="7"/>
  <c r="AB385" i="7"/>
  <c r="Y386" i="7"/>
  <c r="Z386" i="7"/>
  <c r="AA386" i="7"/>
  <c r="AB386" i="7"/>
  <c r="Y387" i="7"/>
  <c r="Z387" i="7"/>
  <c r="AA387" i="7"/>
  <c r="AB387" i="7"/>
  <c r="Y388" i="7"/>
  <c r="Z388" i="7"/>
  <c r="AA388" i="7"/>
  <c r="AB388" i="7"/>
  <c r="Y389" i="7"/>
  <c r="Z389" i="7"/>
  <c r="AA389" i="7"/>
  <c r="AB389" i="7"/>
  <c r="Y390" i="7"/>
  <c r="Z390" i="7"/>
  <c r="AA390" i="7"/>
  <c r="AB390" i="7"/>
  <c r="Y391" i="7"/>
  <c r="Z391" i="7"/>
  <c r="AA391" i="7"/>
  <c r="AB391" i="7"/>
  <c r="Y392" i="7"/>
  <c r="Z392" i="7"/>
  <c r="AA392" i="7"/>
  <c r="AB392" i="7"/>
  <c r="Y393" i="7"/>
  <c r="Z393" i="7"/>
  <c r="AA393" i="7"/>
  <c r="AB393" i="7"/>
  <c r="Y394" i="7"/>
  <c r="Z394" i="7"/>
  <c r="AA394" i="7"/>
  <c r="AB394" i="7"/>
  <c r="Y395" i="7"/>
  <c r="Z395" i="7"/>
  <c r="AA395" i="7"/>
  <c r="AB395" i="7"/>
  <c r="Y396" i="7"/>
  <c r="Z396" i="7"/>
  <c r="AA396" i="7"/>
  <c r="AB396" i="7"/>
  <c r="Y397" i="7"/>
  <c r="Z397" i="7"/>
  <c r="AA397" i="7"/>
  <c r="AB397" i="7"/>
  <c r="Y398" i="7"/>
  <c r="Z398" i="7"/>
  <c r="AA398" i="7"/>
  <c r="AB398" i="7"/>
  <c r="Y399" i="7"/>
  <c r="Z399" i="7"/>
  <c r="AA399" i="7"/>
  <c r="AB399" i="7"/>
  <c r="Y400" i="7"/>
  <c r="Z400" i="7"/>
  <c r="AA400" i="7"/>
  <c r="AB400" i="7"/>
  <c r="Y401" i="7"/>
  <c r="Z401" i="7"/>
  <c r="AA401" i="7"/>
  <c r="AB401" i="7"/>
  <c r="Y402" i="7"/>
  <c r="Z402" i="7"/>
  <c r="AA402" i="7"/>
  <c r="AB402" i="7"/>
  <c r="Y403" i="7"/>
  <c r="Z403" i="7"/>
  <c r="AA403" i="7"/>
  <c r="AB403" i="7"/>
  <c r="Y404" i="7"/>
  <c r="Z404" i="7"/>
  <c r="AA404" i="7"/>
  <c r="AB404" i="7"/>
  <c r="Y405" i="7"/>
  <c r="Z405" i="7"/>
  <c r="AA405" i="7"/>
  <c r="AB405" i="7"/>
  <c r="Y406" i="7"/>
  <c r="Z406" i="7"/>
  <c r="AA406" i="7"/>
  <c r="AB406" i="7"/>
  <c r="Y407" i="7"/>
  <c r="Z407" i="7"/>
  <c r="AA407" i="7"/>
  <c r="AB407" i="7"/>
  <c r="Y408" i="7"/>
  <c r="Z408" i="7"/>
  <c r="AA408" i="7"/>
  <c r="AB408" i="7"/>
  <c r="Y409" i="7"/>
  <c r="Z409" i="7"/>
  <c r="AA409" i="7"/>
  <c r="AB409" i="7"/>
  <c r="Y410" i="7"/>
  <c r="Z410" i="7"/>
  <c r="AA410" i="7"/>
  <c r="AB410" i="7"/>
  <c r="Y411" i="7"/>
  <c r="Z411" i="7"/>
  <c r="AA411" i="7"/>
  <c r="AB411" i="7"/>
  <c r="Y412" i="7"/>
  <c r="Z412" i="7"/>
  <c r="AA412" i="7"/>
  <c r="AB412" i="7"/>
  <c r="Y413" i="7"/>
  <c r="Z413" i="7"/>
  <c r="AA413" i="7"/>
  <c r="AB413" i="7"/>
  <c r="Y414" i="7"/>
  <c r="Z414" i="7"/>
  <c r="AA414" i="7"/>
  <c r="AB414" i="7"/>
  <c r="Y415" i="7"/>
  <c r="Z415" i="7"/>
  <c r="AA415" i="7"/>
  <c r="AB415" i="7"/>
  <c r="Y416" i="7"/>
  <c r="Z416" i="7"/>
  <c r="AA416" i="7"/>
  <c r="AB416" i="7"/>
  <c r="Y417" i="7"/>
  <c r="Z417" i="7"/>
  <c r="AA417" i="7"/>
  <c r="AB417" i="7"/>
  <c r="Y418" i="7"/>
  <c r="Z418" i="7"/>
  <c r="AA418" i="7"/>
  <c r="AB418" i="7"/>
  <c r="Y419" i="7"/>
  <c r="Z419" i="7"/>
  <c r="AA419" i="7"/>
  <c r="AB419" i="7"/>
  <c r="Y420" i="7"/>
  <c r="Z420" i="7"/>
  <c r="AA420" i="7"/>
  <c r="AB420" i="7"/>
  <c r="Y421" i="7"/>
  <c r="Z421" i="7"/>
  <c r="AA421" i="7"/>
  <c r="AB421" i="7"/>
  <c r="Y422" i="7"/>
  <c r="Z422" i="7"/>
  <c r="AA422" i="7"/>
  <c r="AB422" i="7"/>
  <c r="Y423" i="7"/>
  <c r="Z423" i="7"/>
  <c r="AA423" i="7"/>
  <c r="AB423" i="7"/>
  <c r="Y424" i="7"/>
  <c r="Z424" i="7"/>
  <c r="AA424" i="7"/>
  <c r="AB424" i="7"/>
  <c r="Y425" i="7"/>
  <c r="Z425" i="7"/>
  <c r="AA425" i="7"/>
  <c r="AB425" i="7"/>
  <c r="Y426" i="7"/>
  <c r="Z426" i="7"/>
  <c r="AA426" i="7"/>
  <c r="AB426" i="7"/>
  <c r="Y427" i="7"/>
  <c r="Z427" i="7"/>
  <c r="AA427" i="7"/>
  <c r="AB427" i="7"/>
  <c r="Y428" i="7"/>
  <c r="Z428" i="7"/>
  <c r="AA428" i="7"/>
  <c r="AB428" i="7"/>
  <c r="Y429" i="7"/>
  <c r="Z429" i="7"/>
  <c r="AA429" i="7"/>
  <c r="AB429" i="7"/>
  <c r="Y430" i="7"/>
  <c r="Z430" i="7"/>
  <c r="AA430" i="7"/>
  <c r="AB430" i="7"/>
  <c r="Y431" i="7"/>
  <c r="Z431" i="7"/>
  <c r="AA431" i="7"/>
  <c r="AB431" i="7"/>
  <c r="Y432" i="7"/>
  <c r="Z432" i="7"/>
  <c r="AA432" i="7"/>
  <c r="AB432" i="7"/>
  <c r="Y433" i="7"/>
  <c r="Z433" i="7"/>
  <c r="AA433" i="7"/>
  <c r="AB433" i="7"/>
  <c r="Y434" i="7"/>
  <c r="Z434" i="7"/>
  <c r="AA434" i="7"/>
  <c r="AB434" i="7"/>
  <c r="Y435" i="7"/>
  <c r="Z435" i="7"/>
  <c r="AA435" i="7"/>
  <c r="AB435" i="7"/>
  <c r="Y436" i="7"/>
  <c r="Z436" i="7"/>
  <c r="AA436" i="7"/>
  <c r="AB436" i="7"/>
  <c r="Y437" i="7"/>
  <c r="Z437" i="7"/>
  <c r="AA437" i="7"/>
  <c r="AB437" i="7"/>
  <c r="Y438" i="7"/>
  <c r="Z438" i="7"/>
  <c r="AA438" i="7"/>
  <c r="AB438" i="7"/>
  <c r="Y439" i="7"/>
  <c r="Z439" i="7"/>
  <c r="AA439" i="7"/>
  <c r="AB439" i="7"/>
  <c r="Y440" i="7"/>
  <c r="Z440" i="7"/>
  <c r="AA440" i="7"/>
  <c r="AB440" i="7"/>
  <c r="Y441" i="7"/>
  <c r="Z441" i="7"/>
  <c r="AA441" i="7"/>
  <c r="AB441" i="7"/>
  <c r="Y442" i="7"/>
  <c r="Z442" i="7"/>
  <c r="AA442" i="7"/>
  <c r="AB442" i="7"/>
  <c r="Y443" i="7"/>
  <c r="Z443" i="7"/>
  <c r="AA443" i="7"/>
  <c r="AB443" i="7"/>
  <c r="Y444" i="7"/>
  <c r="Z444" i="7"/>
  <c r="AA444" i="7"/>
  <c r="AB444" i="7"/>
  <c r="Y445" i="7"/>
  <c r="Z445" i="7"/>
  <c r="AA445" i="7"/>
  <c r="AB445" i="7"/>
  <c r="Y446" i="7"/>
  <c r="Z446" i="7"/>
  <c r="AA446" i="7"/>
  <c r="AB446" i="7"/>
  <c r="Y447" i="7"/>
  <c r="Z447" i="7"/>
  <c r="AA447" i="7"/>
  <c r="AB447" i="7"/>
  <c r="Y448" i="7"/>
  <c r="Z448" i="7"/>
  <c r="AA448" i="7"/>
  <c r="AB448" i="7"/>
  <c r="Y449" i="7"/>
  <c r="Z449" i="7"/>
  <c r="AA449" i="7"/>
  <c r="AB449" i="7"/>
  <c r="Y450" i="7"/>
  <c r="Z450" i="7"/>
  <c r="AA450" i="7"/>
  <c r="AB450" i="7"/>
  <c r="Y451" i="7"/>
  <c r="Z451" i="7"/>
  <c r="AA451" i="7"/>
  <c r="AB451" i="7"/>
  <c r="Y452" i="7"/>
  <c r="Z452" i="7"/>
  <c r="AA452" i="7"/>
  <c r="AB452" i="7"/>
  <c r="Y453" i="7"/>
  <c r="Z453" i="7"/>
  <c r="AA453" i="7"/>
  <c r="AB453" i="7"/>
  <c r="Y454" i="7"/>
  <c r="Z454" i="7"/>
  <c r="AA454" i="7"/>
  <c r="AB454" i="7"/>
  <c r="Y455" i="7"/>
  <c r="Z455" i="7"/>
  <c r="AA455" i="7"/>
  <c r="AB455" i="7"/>
  <c r="Y456" i="7"/>
  <c r="Z456" i="7"/>
  <c r="AA456" i="7"/>
  <c r="AB456" i="7"/>
  <c r="Y457" i="7"/>
  <c r="Z457" i="7"/>
  <c r="AA457" i="7"/>
  <c r="AB457" i="7"/>
  <c r="Y458" i="7"/>
  <c r="Z458" i="7"/>
  <c r="AA458" i="7"/>
  <c r="AB458" i="7"/>
  <c r="Y459" i="7"/>
  <c r="Z459" i="7"/>
  <c r="AA459" i="7"/>
  <c r="AB459" i="7"/>
  <c r="Y460" i="7"/>
  <c r="Z460" i="7"/>
  <c r="AA460" i="7"/>
  <c r="AB460" i="7"/>
  <c r="Y461" i="7"/>
  <c r="Z461" i="7"/>
  <c r="AA461" i="7"/>
  <c r="AB461" i="7"/>
  <c r="Y462" i="7"/>
  <c r="Z462" i="7"/>
  <c r="AA462" i="7"/>
  <c r="AB462" i="7"/>
  <c r="Y463" i="7"/>
  <c r="Z463" i="7"/>
  <c r="AA463" i="7"/>
  <c r="AB463" i="7"/>
  <c r="Y464" i="7"/>
  <c r="Z464" i="7"/>
  <c r="AA464" i="7"/>
  <c r="AB464" i="7"/>
  <c r="Y465" i="7"/>
  <c r="Z465" i="7"/>
  <c r="AA465" i="7"/>
  <c r="AB465" i="7"/>
  <c r="Y466" i="7"/>
  <c r="Z466" i="7"/>
  <c r="AA466" i="7"/>
  <c r="AB466" i="7"/>
  <c r="Y467" i="7"/>
  <c r="Z467" i="7"/>
  <c r="AA467" i="7"/>
  <c r="AB467" i="7"/>
  <c r="Y468" i="7"/>
  <c r="Z468" i="7"/>
  <c r="AA468" i="7"/>
  <c r="AB468" i="7"/>
  <c r="Y469" i="7"/>
  <c r="Z469" i="7"/>
  <c r="AA469" i="7"/>
  <c r="AB469" i="7"/>
  <c r="Y470" i="7"/>
  <c r="Z470" i="7"/>
  <c r="AA470" i="7"/>
  <c r="AB470" i="7"/>
  <c r="Y471" i="7"/>
  <c r="Z471" i="7"/>
  <c r="AA471" i="7"/>
  <c r="AB471" i="7"/>
  <c r="Y472" i="7"/>
  <c r="Z472" i="7"/>
  <c r="AA472" i="7"/>
  <c r="AB472" i="7"/>
  <c r="Y473" i="7"/>
  <c r="Z473" i="7"/>
  <c r="AA473" i="7"/>
  <c r="AB473" i="7"/>
  <c r="Y474" i="7"/>
  <c r="Z474" i="7"/>
  <c r="AA474" i="7"/>
  <c r="AB474" i="7"/>
  <c r="Y475" i="7"/>
  <c r="Z475" i="7"/>
  <c r="AA475" i="7"/>
  <c r="AB475" i="7"/>
  <c r="Y476" i="7"/>
  <c r="Z476" i="7"/>
  <c r="AA476" i="7"/>
  <c r="AB476" i="7"/>
  <c r="Y477" i="7"/>
  <c r="Z477" i="7"/>
  <c r="AA477" i="7"/>
  <c r="AB477" i="7"/>
  <c r="Y478" i="7"/>
  <c r="Z478" i="7"/>
  <c r="AA478" i="7"/>
  <c r="AB478" i="7"/>
  <c r="Y479" i="7"/>
  <c r="Z479" i="7"/>
  <c r="AA479" i="7"/>
  <c r="AB479" i="7"/>
  <c r="Y480" i="7"/>
  <c r="Z480" i="7"/>
  <c r="AA480" i="7"/>
  <c r="AB480" i="7"/>
  <c r="Y481" i="7"/>
  <c r="Z481" i="7"/>
  <c r="AA481" i="7"/>
  <c r="AB481" i="7"/>
  <c r="Y482" i="7"/>
  <c r="Z482" i="7"/>
  <c r="AA482" i="7"/>
  <c r="AB482" i="7"/>
  <c r="Y483" i="7"/>
  <c r="Z483" i="7"/>
  <c r="AA483" i="7"/>
  <c r="AB483" i="7"/>
  <c r="Y484" i="7"/>
  <c r="Z484" i="7"/>
  <c r="AA484" i="7"/>
  <c r="AB484" i="7"/>
  <c r="Y485" i="7"/>
  <c r="Z485" i="7"/>
  <c r="AA485" i="7"/>
  <c r="AB485" i="7"/>
  <c r="Y486" i="7"/>
  <c r="Z486" i="7"/>
  <c r="AA486" i="7"/>
  <c r="AB486" i="7"/>
  <c r="Y487" i="7"/>
  <c r="Z487" i="7"/>
  <c r="AA487" i="7"/>
  <c r="AB487" i="7"/>
  <c r="Y488" i="7"/>
  <c r="Z488" i="7"/>
  <c r="AA488" i="7"/>
  <c r="AB488" i="7"/>
  <c r="Y489" i="7"/>
  <c r="Z489" i="7"/>
  <c r="AA489" i="7"/>
  <c r="AB489" i="7"/>
  <c r="Y490" i="7"/>
  <c r="Z490" i="7"/>
  <c r="AA490" i="7"/>
  <c r="AB490" i="7"/>
  <c r="Y491" i="7"/>
  <c r="Z491" i="7"/>
  <c r="AA491" i="7"/>
  <c r="AB491" i="7"/>
  <c r="Y492" i="7"/>
  <c r="Z492" i="7"/>
  <c r="AA492" i="7"/>
  <c r="AB492" i="7"/>
  <c r="Y493" i="7"/>
  <c r="Z493" i="7"/>
  <c r="AA493" i="7"/>
  <c r="AB493" i="7"/>
  <c r="Y494" i="7"/>
  <c r="Z494" i="7"/>
  <c r="AA494" i="7"/>
  <c r="AB494" i="7"/>
  <c r="Y495" i="7"/>
  <c r="Z495" i="7"/>
  <c r="AA495" i="7"/>
  <c r="AB495" i="7"/>
  <c r="Y496" i="7"/>
  <c r="Z496" i="7"/>
  <c r="AA496" i="7"/>
  <c r="AB496" i="7"/>
  <c r="Y497" i="7"/>
  <c r="Z497" i="7"/>
  <c r="AA497" i="7"/>
  <c r="AB497" i="7"/>
  <c r="Y498" i="7"/>
  <c r="Z498" i="7"/>
  <c r="AA498" i="7"/>
  <c r="AB498" i="7"/>
  <c r="Y499" i="7"/>
  <c r="Z499" i="7"/>
  <c r="AA499" i="7"/>
  <c r="AB499" i="7"/>
  <c r="Y500" i="7"/>
  <c r="Z500" i="7"/>
  <c r="AA500" i="7"/>
  <c r="AB500" i="7"/>
  <c r="Y501" i="7"/>
  <c r="Z501" i="7"/>
  <c r="AA501" i="7"/>
  <c r="AB501" i="7"/>
  <c r="Y502" i="7"/>
  <c r="Z502" i="7"/>
  <c r="AA502" i="7"/>
  <c r="AB502" i="7"/>
  <c r="Y503" i="7"/>
  <c r="Z503" i="7"/>
  <c r="AA503" i="7"/>
  <c r="AB503" i="7"/>
  <c r="Y504" i="7"/>
  <c r="Z504" i="7"/>
  <c r="AA504" i="7"/>
  <c r="AB504" i="7"/>
  <c r="Y505" i="7"/>
  <c r="Z505" i="7"/>
  <c r="AA505" i="7"/>
  <c r="AB505" i="7"/>
  <c r="Y506" i="7"/>
  <c r="Z506" i="7"/>
  <c r="AA506" i="7"/>
  <c r="AB506" i="7"/>
  <c r="Y507" i="7"/>
  <c r="Z507" i="7"/>
  <c r="AA507" i="7"/>
  <c r="AB507" i="7"/>
  <c r="Y508" i="7"/>
  <c r="Z508" i="7"/>
  <c r="AA508" i="7"/>
  <c r="AB508" i="7"/>
  <c r="Y509" i="7"/>
  <c r="Z509" i="7"/>
  <c r="AA509" i="7"/>
  <c r="AB509" i="7"/>
  <c r="Y510" i="7"/>
  <c r="Z510" i="7"/>
  <c r="AA510" i="7"/>
  <c r="AB510" i="7"/>
  <c r="Y511" i="7"/>
  <c r="Z511" i="7"/>
  <c r="AA511" i="7"/>
  <c r="AB511" i="7"/>
  <c r="Y512" i="7"/>
  <c r="Z512" i="7"/>
  <c r="AA512" i="7"/>
  <c r="AB512" i="7"/>
  <c r="Y513" i="7"/>
  <c r="Z513" i="7"/>
  <c r="AA513" i="7"/>
  <c r="AB513" i="7"/>
  <c r="Y514" i="7"/>
  <c r="Z514" i="7"/>
  <c r="AA514" i="7"/>
  <c r="AB514" i="7"/>
  <c r="Y515" i="7"/>
  <c r="Z515" i="7"/>
  <c r="AA515" i="7"/>
  <c r="AB515" i="7"/>
  <c r="Y516" i="7"/>
  <c r="Z516" i="7"/>
  <c r="AA516" i="7"/>
  <c r="AB516" i="7"/>
  <c r="Y517" i="7"/>
  <c r="Z517" i="7"/>
  <c r="AA517" i="7"/>
  <c r="AB517" i="7"/>
  <c r="Y518" i="7"/>
  <c r="Z518" i="7"/>
  <c r="AA518" i="7"/>
  <c r="AB518" i="7"/>
  <c r="Y519" i="7"/>
  <c r="Z519" i="7"/>
  <c r="AA519" i="7"/>
  <c r="AB519" i="7"/>
  <c r="Y520" i="7"/>
  <c r="Z520" i="7"/>
  <c r="AA520" i="7"/>
  <c r="AB520" i="7"/>
  <c r="Y521" i="7"/>
  <c r="Z521" i="7"/>
  <c r="AA521" i="7"/>
  <c r="AB521" i="7"/>
  <c r="Y522" i="7"/>
  <c r="Z522" i="7"/>
  <c r="AA522" i="7"/>
  <c r="AB522" i="7"/>
  <c r="Y523" i="7"/>
  <c r="Z523" i="7"/>
  <c r="AA523" i="7"/>
  <c r="AB523" i="7"/>
  <c r="Y524" i="7"/>
  <c r="Z524" i="7"/>
  <c r="AA524" i="7"/>
  <c r="AB524" i="7"/>
  <c r="Y525" i="7"/>
  <c r="Z525" i="7"/>
  <c r="AA525" i="7"/>
  <c r="AB525" i="7"/>
  <c r="Y526" i="7"/>
  <c r="Z526" i="7"/>
  <c r="AA526" i="7"/>
  <c r="AB526" i="7"/>
  <c r="Y527" i="7"/>
  <c r="Z527" i="7"/>
  <c r="AA527" i="7"/>
  <c r="AB527" i="7"/>
  <c r="Y528" i="7"/>
  <c r="Z528" i="7"/>
  <c r="AA528" i="7"/>
  <c r="AB528" i="7"/>
  <c r="Y529" i="7"/>
  <c r="Z529" i="7"/>
  <c r="AA529" i="7"/>
  <c r="AB529" i="7"/>
  <c r="Y530" i="7"/>
  <c r="Z530" i="7"/>
  <c r="AA530" i="7"/>
  <c r="AB530" i="7"/>
  <c r="Y531" i="7"/>
  <c r="Z531" i="7"/>
  <c r="AA531" i="7"/>
  <c r="AB531" i="7"/>
  <c r="AB32" i="7"/>
  <c r="AA32" i="7"/>
  <c r="Z32" i="7"/>
  <c r="Y32" i="7"/>
  <c r="N47" i="26"/>
  <c r="H123" i="6"/>
  <c r="H122" i="6"/>
  <c r="H121" i="6"/>
  <c r="H120" i="6"/>
  <c r="H119" i="6"/>
  <c r="H118" i="6"/>
  <c r="H117" i="6"/>
  <c r="H116" i="6"/>
  <c r="H115" i="6"/>
  <c r="H114" i="6"/>
  <c r="H113" i="6"/>
  <c r="H112" i="6"/>
  <c r="H111" i="6"/>
  <c r="H110" i="6"/>
  <c r="H109" i="6"/>
  <c r="H108" i="6"/>
  <c r="H107" i="6"/>
  <c r="H106" i="6"/>
  <c r="H105" i="6"/>
  <c r="H104" i="6"/>
  <c r="H103" i="6"/>
  <c r="H102" i="6"/>
  <c r="H101" i="6"/>
  <c r="H100" i="6"/>
  <c r="H99" i="6"/>
  <c r="H98" i="6"/>
  <c r="H97" i="6"/>
  <c r="H96" i="6"/>
  <c r="H95" i="6"/>
  <c r="H94" i="6"/>
  <c r="H93" i="6"/>
  <c r="H92" i="6"/>
  <c r="H91" i="6"/>
  <c r="H90" i="6"/>
  <c r="H89" i="6"/>
  <c r="H88" i="6"/>
  <c r="H87" i="6"/>
  <c r="H86" i="6"/>
  <c r="H85" i="6"/>
  <c r="H84" i="6"/>
  <c r="H83" i="6"/>
  <c r="H82" i="6"/>
  <c r="H81" i="6"/>
  <c r="H80" i="6"/>
  <c r="H79" i="6"/>
  <c r="H78" i="6"/>
  <c r="H77" i="6"/>
  <c r="H76" i="6"/>
  <c r="H75" i="6"/>
  <c r="H74" i="6"/>
  <c r="H73" i="6"/>
  <c r="H72" i="6"/>
  <c r="H71" i="6"/>
  <c r="H70" i="6"/>
  <c r="H69" i="6"/>
  <c r="H68" i="6"/>
  <c r="H67" i="6"/>
  <c r="H66" i="6"/>
  <c r="H65" i="6"/>
  <c r="H64" i="6"/>
  <c r="H63" i="6"/>
  <c r="H62" i="6"/>
  <c r="H61" i="6"/>
  <c r="H60" i="6"/>
  <c r="H59" i="6"/>
  <c r="H58" i="6"/>
  <c r="H57" i="6"/>
  <c r="H56" i="6"/>
  <c r="H55" i="6"/>
  <c r="H54" i="6"/>
  <c r="H53" i="6"/>
  <c r="H52" i="6"/>
  <c r="H51" i="6"/>
  <c r="H50" i="6"/>
  <c r="H49" i="6"/>
  <c r="H48" i="6"/>
  <c r="H47" i="6"/>
  <c r="H46" i="6"/>
  <c r="H45" i="6"/>
  <c r="H44" i="6"/>
  <c r="H38" i="6"/>
  <c r="H37" i="6"/>
  <c r="H36" i="6"/>
  <c r="H35" i="6"/>
  <c r="H34" i="6"/>
  <c r="H33" i="6"/>
  <c r="H32" i="6"/>
  <c r="H31" i="6"/>
  <c r="H30" i="6"/>
  <c r="H29" i="6"/>
  <c r="H28" i="6"/>
  <c r="H27" i="6"/>
  <c r="H26" i="6"/>
  <c r="H25" i="6"/>
  <c r="H24" i="6"/>
  <c r="C18" i="11"/>
  <c r="T19" i="12"/>
  <c r="BI1" i="3"/>
  <c r="F70" i="18"/>
  <c r="C8" i="6"/>
  <c r="T20" i="12"/>
  <c r="T21" i="12"/>
  <c r="T22" i="12"/>
  <c r="T23" i="12"/>
  <c r="T24" i="12"/>
  <c r="T25" i="12"/>
  <c r="T26" i="12"/>
  <c r="T27" i="12"/>
  <c r="T28" i="12"/>
  <c r="T29" i="12"/>
  <c r="T30" i="12"/>
  <c r="T31" i="12"/>
  <c r="T32" i="12"/>
  <c r="T33" i="12"/>
  <c r="T34" i="12"/>
  <c r="T35" i="12"/>
  <c r="T36" i="12"/>
  <c r="T37" i="12"/>
  <c r="T38" i="12"/>
  <c r="T39" i="12"/>
  <c r="T40" i="12"/>
  <c r="T41" i="12"/>
  <c r="T42" i="12"/>
  <c r="T43" i="12"/>
  <c r="T44" i="12"/>
  <c r="T45" i="12"/>
  <c r="T46" i="12"/>
  <c r="T47" i="12"/>
  <c r="T48" i="12"/>
  <c r="T49" i="12"/>
  <c r="T50" i="12"/>
  <c r="T51" i="12"/>
  <c r="T52" i="12"/>
  <c r="T53" i="12"/>
  <c r="T54" i="12"/>
  <c r="T55" i="12"/>
  <c r="T56" i="12"/>
  <c r="T57" i="12"/>
  <c r="T58" i="12"/>
  <c r="T59" i="12"/>
  <c r="T60" i="12"/>
  <c r="T61" i="12"/>
  <c r="T62" i="12"/>
  <c r="T63" i="12"/>
  <c r="T64" i="12"/>
  <c r="T65" i="12"/>
  <c r="T66" i="12"/>
  <c r="T67" i="12"/>
  <c r="T68" i="12"/>
  <c r="T69" i="12"/>
  <c r="T70" i="12"/>
  <c r="T71" i="12"/>
  <c r="T72" i="12"/>
  <c r="T73" i="12"/>
  <c r="T74" i="12"/>
  <c r="T75" i="12"/>
  <c r="T76" i="12"/>
  <c r="T77" i="12"/>
  <c r="T78" i="12"/>
  <c r="T79" i="12"/>
  <c r="T80" i="12"/>
  <c r="T81" i="12"/>
  <c r="T82" i="12"/>
  <c r="T83" i="12"/>
  <c r="T84" i="12"/>
  <c r="T85" i="12"/>
  <c r="T86" i="12"/>
  <c r="T87" i="12"/>
  <c r="T88" i="12"/>
  <c r="T89" i="12"/>
  <c r="T90" i="12"/>
  <c r="T91" i="12"/>
  <c r="T92" i="12"/>
  <c r="T93" i="12"/>
  <c r="T94" i="12"/>
  <c r="T95" i="12"/>
  <c r="T96" i="12"/>
  <c r="T97" i="12"/>
  <c r="T98" i="12"/>
  <c r="T99" i="12"/>
  <c r="T100" i="12"/>
  <c r="T101" i="12"/>
  <c r="T102" i="12"/>
  <c r="T103" i="12"/>
  <c r="T104" i="12"/>
  <c r="T105" i="12"/>
  <c r="T106" i="12"/>
  <c r="T107" i="12"/>
  <c r="T108" i="12"/>
  <c r="T109" i="12"/>
  <c r="T110" i="12"/>
  <c r="T111" i="12"/>
  <c r="T112" i="12"/>
  <c r="T113" i="12"/>
  <c r="T114" i="12"/>
  <c r="T115" i="12"/>
  <c r="T116" i="12"/>
  <c r="T117" i="12"/>
  <c r="T118" i="12"/>
  <c r="AA43" i="26" l="1"/>
  <c r="AB43" i="26" s="1"/>
  <c r="AA44" i="26"/>
  <c r="AB44" i="26"/>
  <c r="AA45" i="26"/>
  <c r="AB45" i="26"/>
  <c r="AA46" i="26"/>
  <c r="AB46" i="26"/>
  <c r="AA47" i="26"/>
  <c r="AB47" i="26"/>
  <c r="AA48" i="26"/>
  <c r="AB48" i="26"/>
  <c r="AA49" i="26"/>
  <c r="AB49" i="26"/>
  <c r="AA50" i="26"/>
  <c r="AB50" i="26"/>
  <c r="AA51" i="26"/>
  <c r="AB51" i="26"/>
  <c r="AA52" i="26"/>
  <c r="AB52" i="26"/>
  <c r="AA53" i="26"/>
  <c r="AB53" i="26"/>
  <c r="AA54" i="26"/>
  <c r="AB54" i="26"/>
  <c r="AA55" i="26"/>
  <c r="AB55" i="26"/>
  <c r="AA56" i="26"/>
  <c r="AB56" i="26"/>
  <c r="AA57" i="26"/>
  <c r="AB57" i="26"/>
  <c r="AA58" i="26"/>
  <c r="AB58" i="26"/>
  <c r="AA59" i="26"/>
  <c r="AB59" i="26"/>
  <c r="AA60" i="26"/>
  <c r="AB60" i="26"/>
  <c r="AA61" i="26"/>
  <c r="AB61" i="26"/>
  <c r="AA62" i="26"/>
  <c r="AB62" i="26"/>
  <c r="AA63" i="26"/>
  <c r="AB63" i="26"/>
  <c r="AA64" i="26"/>
  <c r="AB64" i="26"/>
  <c r="AA65" i="26"/>
  <c r="AB65" i="26"/>
  <c r="AA66" i="26"/>
  <c r="AB66" i="26"/>
  <c r="AA67" i="26"/>
  <c r="AB67" i="26"/>
  <c r="AA68" i="26"/>
  <c r="AB68" i="26"/>
  <c r="AA69" i="26"/>
  <c r="AB69" i="26"/>
  <c r="AA70" i="26"/>
  <c r="AB70" i="26"/>
  <c r="AA71" i="26"/>
  <c r="AB71" i="26"/>
  <c r="AA72" i="26"/>
  <c r="AB72" i="26"/>
  <c r="X44" i="26"/>
  <c r="X45" i="26"/>
  <c r="X46" i="26"/>
  <c r="X47" i="26"/>
  <c r="X48" i="26"/>
  <c r="X49" i="26"/>
  <c r="X50" i="26"/>
  <c r="X51" i="26"/>
  <c r="X52" i="26"/>
  <c r="X53" i="26"/>
  <c r="X54" i="26"/>
  <c r="X55" i="26"/>
  <c r="X56" i="26"/>
  <c r="X57" i="26"/>
  <c r="X58" i="26"/>
  <c r="X59" i="26"/>
  <c r="X60" i="26"/>
  <c r="X61" i="26"/>
  <c r="X62" i="26"/>
  <c r="X63" i="26"/>
  <c r="X64" i="26"/>
  <c r="X65" i="26"/>
  <c r="X66" i="26"/>
  <c r="X67" i="26"/>
  <c r="X68" i="26"/>
  <c r="X69" i="26"/>
  <c r="X70" i="26"/>
  <c r="X71" i="26"/>
  <c r="X72" i="26"/>
  <c r="X43" i="26"/>
  <c r="AE20" i="12"/>
  <c r="AE21" i="12"/>
  <c r="AE22" i="12"/>
  <c r="AE23" i="12"/>
  <c r="AE24" i="12"/>
  <c r="AE25" i="12"/>
  <c r="AE26" i="12"/>
  <c r="AE27" i="12"/>
  <c r="AE28" i="12"/>
  <c r="AE29" i="12"/>
  <c r="AE30" i="12"/>
  <c r="AE31" i="12"/>
  <c r="AE32" i="12"/>
  <c r="AE33" i="12"/>
  <c r="AE34" i="12"/>
  <c r="AE35" i="12"/>
  <c r="AE36" i="12"/>
  <c r="AE37" i="12"/>
  <c r="AE38" i="12"/>
  <c r="AE39" i="12"/>
  <c r="AE40" i="12"/>
  <c r="AE41" i="12"/>
  <c r="AE42" i="12"/>
  <c r="AE43" i="12"/>
  <c r="AE44" i="12"/>
  <c r="AE45" i="12"/>
  <c r="AE46" i="12"/>
  <c r="AE47" i="12"/>
  <c r="AE48" i="12"/>
  <c r="AE49" i="12"/>
  <c r="AE50" i="12"/>
  <c r="AE51" i="12"/>
  <c r="AE52" i="12"/>
  <c r="AE53" i="12"/>
  <c r="AE54" i="12"/>
  <c r="AE55" i="12"/>
  <c r="AE56" i="12"/>
  <c r="AE57" i="12"/>
  <c r="AE58" i="12"/>
  <c r="AE59" i="12"/>
  <c r="AE60" i="12"/>
  <c r="AE61" i="12"/>
  <c r="AE62" i="12"/>
  <c r="AE63" i="12"/>
  <c r="AE64" i="12"/>
  <c r="AE65" i="12"/>
  <c r="AE66" i="12"/>
  <c r="AE67" i="12"/>
  <c r="AE68" i="12"/>
  <c r="AE69" i="12"/>
  <c r="AE70" i="12"/>
  <c r="AE71" i="12"/>
  <c r="AE72" i="12"/>
  <c r="AE73" i="12"/>
  <c r="AE74" i="12"/>
  <c r="AE75" i="12"/>
  <c r="AE76" i="12"/>
  <c r="AE77" i="12"/>
  <c r="AE78" i="12"/>
  <c r="AE79" i="12"/>
  <c r="AE80" i="12"/>
  <c r="AE81" i="12"/>
  <c r="AE82" i="12"/>
  <c r="AE83" i="12"/>
  <c r="AE84" i="12"/>
  <c r="AE85" i="12"/>
  <c r="AE86" i="12"/>
  <c r="AE87" i="12"/>
  <c r="AE88" i="12"/>
  <c r="AE89" i="12"/>
  <c r="AE90" i="12"/>
  <c r="AE91" i="12"/>
  <c r="AE92" i="12"/>
  <c r="AE93" i="12"/>
  <c r="AE94" i="12"/>
  <c r="AE95" i="12"/>
  <c r="AE96" i="12"/>
  <c r="AE97" i="12"/>
  <c r="AE98" i="12"/>
  <c r="AE99" i="12"/>
  <c r="AE100" i="12"/>
  <c r="AE101" i="12"/>
  <c r="AE102" i="12"/>
  <c r="AE103" i="12"/>
  <c r="AE104" i="12"/>
  <c r="AE105" i="12"/>
  <c r="AE106" i="12"/>
  <c r="AE107" i="12"/>
  <c r="AE108" i="12"/>
  <c r="AE109" i="12"/>
  <c r="AE110" i="12"/>
  <c r="AE111" i="12"/>
  <c r="AE112" i="12"/>
  <c r="AE113" i="12"/>
  <c r="AE114" i="12"/>
  <c r="AE115" i="12"/>
  <c r="AE116" i="12"/>
  <c r="AE117" i="12"/>
  <c r="AE118" i="12"/>
  <c r="AE19" i="12"/>
  <c r="F74" i="18"/>
  <c r="F73" i="18"/>
  <c r="F68" i="18"/>
  <c r="G52" i="26"/>
  <c r="C29" i="26"/>
  <c r="H50" i="26"/>
  <c r="C20" i="26"/>
  <c r="C32" i="26" s="1"/>
  <c r="N48" i="26" s="1"/>
  <c r="C8" i="26"/>
  <c r="C7" i="26"/>
  <c r="N50" i="26" l="1"/>
  <c r="C30" i="26"/>
  <c r="C33" i="26" s="1"/>
  <c r="C51" i="26" s="1"/>
  <c r="D30" i="26"/>
  <c r="D29" i="26" s="1"/>
  <c r="D20" i="26"/>
  <c r="C21" i="26"/>
  <c r="I11" i="3"/>
  <c r="C9" i="12"/>
  <c r="F88" i="18" s="1"/>
  <c r="C26" i="18" s="1"/>
  <c r="C9" i="7"/>
  <c r="Y48" i="26" l="1"/>
  <c r="Y52" i="26"/>
  <c r="Y56" i="26"/>
  <c r="Y62" i="26"/>
  <c r="Y63" i="26"/>
  <c r="Y70" i="26"/>
  <c r="Y71" i="26"/>
  <c r="Y46" i="26"/>
  <c r="Y50" i="26"/>
  <c r="Y66" i="26"/>
  <c r="Y67" i="26"/>
  <c r="Y49" i="26"/>
  <c r="Y53" i="26"/>
  <c r="Y57" i="26"/>
  <c r="Y64" i="26"/>
  <c r="Y65" i="26"/>
  <c r="Y72" i="26"/>
  <c r="Y54" i="26"/>
  <c r="Y58" i="26"/>
  <c r="Y59" i="26"/>
  <c r="Y47" i="26"/>
  <c r="Y51" i="26"/>
  <c r="Y55" i="26"/>
  <c r="Y60" i="26"/>
  <c r="Y61" i="26"/>
  <c r="Y68" i="26"/>
  <c r="Y69" i="26"/>
  <c r="Y43" i="26"/>
  <c r="Y45" i="26"/>
  <c r="Y44" i="26"/>
  <c r="D33" i="26"/>
  <c r="AF44" i="26" s="1"/>
  <c r="C50" i="26"/>
  <c r="C59" i="26" s="1"/>
  <c r="C49" i="26"/>
  <c r="U39" i="12"/>
  <c r="V39" i="12"/>
  <c r="U40" i="12"/>
  <c r="V40" i="12"/>
  <c r="U41" i="12"/>
  <c r="V41" i="12"/>
  <c r="U42" i="12"/>
  <c r="V42" i="12"/>
  <c r="U43" i="12"/>
  <c r="V43" i="12"/>
  <c r="U44" i="12"/>
  <c r="V44" i="12"/>
  <c r="U45" i="12"/>
  <c r="V45" i="12"/>
  <c r="U46" i="12"/>
  <c r="V46" i="12"/>
  <c r="U47" i="12"/>
  <c r="V47" i="12"/>
  <c r="U48" i="12"/>
  <c r="V48" i="12"/>
  <c r="U49" i="12"/>
  <c r="V49" i="12"/>
  <c r="U50" i="12"/>
  <c r="V50" i="12"/>
  <c r="U51" i="12"/>
  <c r="V51" i="12"/>
  <c r="U52" i="12"/>
  <c r="V52" i="12"/>
  <c r="U53" i="12"/>
  <c r="V53" i="12"/>
  <c r="U54" i="12"/>
  <c r="V54" i="12"/>
  <c r="U55" i="12"/>
  <c r="V55" i="12"/>
  <c r="U56" i="12"/>
  <c r="V56" i="12"/>
  <c r="U57" i="12"/>
  <c r="V57" i="12"/>
  <c r="U58" i="12"/>
  <c r="V58" i="12"/>
  <c r="U59" i="12"/>
  <c r="V59" i="12"/>
  <c r="S60" i="12"/>
  <c r="U60" i="12"/>
  <c r="V60" i="12"/>
  <c r="U61" i="12"/>
  <c r="V61" i="12"/>
  <c r="U62" i="12"/>
  <c r="V62" i="12"/>
  <c r="U63" i="12"/>
  <c r="V63" i="12"/>
  <c r="U64" i="12"/>
  <c r="V64" i="12"/>
  <c r="U65" i="12"/>
  <c r="V65" i="12"/>
  <c r="U66" i="12"/>
  <c r="V66" i="12"/>
  <c r="U67" i="12"/>
  <c r="V67" i="12"/>
  <c r="U68" i="12"/>
  <c r="V68" i="12"/>
  <c r="U69" i="12"/>
  <c r="V69" i="12"/>
  <c r="U70" i="12"/>
  <c r="V70" i="12"/>
  <c r="U71" i="12"/>
  <c r="V71" i="12"/>
  <c r="U72" i="12"/>
  <c r="V72" i="12"/>
  <c r="U73" i="12"/>
  <c r="V73" i="12"/>
  <c r="U74" i="12"/>
  <c r="V74" i="12"/>
  <c r="U75" i="12"/>
  <c r="V75" i="12"/>
  <c r="U76" i="12"/>
  <c r="V76" i="12"/>
  <c r="U77" i="12"/>
  <c r="V77" i="12"/>
  <c r="U78" i="12"/>
  <c r="V78" i="12"/>
  <c r="U79" i="12"/>
  <c r="V79" i="12"/>
  <c r="U80" i="12"/>
  <c r="V80" i="12"/>
  <c r="S81" i="12"/>
  <c r="U81" i="12"/>
  <c r="V81" i="12"/>
  <c r="U82" i="12"/>
  <c r="V82" i="12"/>
  <c r="U83" i="12"/>
  <c r="V83" i="12"/>
  <c r="U84" i="12"/>
  <c r="V84" i="12"/>
  <c r="U85" i="12"/>
  <c r="V85" i="12"/>
  <c r="U86" i="12"/>
  <c r="V86" i="12"/>
  <c r="U87" i="12"/>
  <c r="V87" i="12"/>
  <c r="U88" i="12"/>
  <c r="V88" i="12"/>
  <c r="U89" i="12"/>
  <c r="V89" i="12"/>
  <c r="U90" i="12"/>
  <c r="V90" i="12"/>
  <c r="U91" i="12"/>
  <c r="V91" i="12"/>
  <c r="U92" i="12"/>
  <c r="V92" i="12"/>
  <c r="U93" i="12"/>
  <c r="V93" i="12"/>
  <c r="U94" i="12"/>
  <c r="V94" i="12"/>
  <c r="U95" i="12"/>
  <c r="V95" i="12"/>
  <c r="U96" i="12"/>
  <c r="V96" i="12"/>
  <c r="U97" i="12"/>
  <c r="V97" i="12"/>
  <c r="U98" i="12"/>
  <c r="V98" i="12"/>
  <c r="U99" i="12"/>
  <c r="V99" i="12"/>
  <c r="U100" i="12"/>
  <c r="V100" i="12"/>
  <c r="U101" i="12"/>
  <c r="V101" i="12"/>
  <c r="S102" i="12"/>
  <c r="U102" i="12"/>
  <c r="V102" i="12"/>
  <c r="S103" i="12"/>
  <c r="U103" i="12"/>
  <c r="V103" i="12"/>
  <c r="S104" i="12"/>
  <c r="U104" i="12"/>
  <c r="V104" i="12"/>
  <c r="S105" i="12"/>
  <c r="U105" i="12"/>
  <c r="V105" i="12"/>
  <c r="S106" i="12"/>
  <c r="U106" i="12"/>
  <c r="V106" i="12"/>
  <c r="S107" i="12"/>
  <c r="U107" i="12"/>
  <c r="V107" i="12"/>
  <c r="S108" i="12"/>
  <c r="U108" i="12"/>
  <c r="V108" i="12"/>
  <c r="S109" i="12"/>
  <c r="U109" i="12"/>
  <c r="V109" i="12"/>
  <c r="S110" i="12"/>
  <c r="U110" i="12"/>
  <c r="V110" i="12"/>
  <c r="S111" i="12"/>
  <c r="U111" i="12"/>
  <c r="V111" i="12"/>
  <c r="S112" i="12"/>
  <c r="U112" i="12"/>
  <c r="V112" i="12"/>
  <c r="S113" i="12"/>
  <c r="U113" i="12"/>
  <c r="V113" i="12"/>
  <c r="S114" i="12"/>
  <c r="U114" i="12"/>
  <c r="V114" i="12"/>
  <c r="S115" i="12"/>
  <c r="U115" i="12"/>
  <c r="V115" i="12"/>
  <c r="S116" i="12"/>
  <c r="U116" i="12"/>
  <c r="V116" i="12"/>
  <c r="S117" i="12"/>
  <c r="U117" i="12"/>
  <c r="V117" i="12"/>
  <c r="S118" i="12"/>
  <c r="U118" i="12"/>
  <c r="V118" i="12"/>
  <c r="Z20" i="12"/>
  <c r="AB20" i="12" s="1"/>
  <c r="AA20" i="12"/>
  <c r="Z21" i="12"/>
  <c r="AB21" i="12" s="1"/>
  <c r="AA21" i="12"/>
  <c r="Z22" i="12"/>
  <c r="AB22" i="12" s="1"/>
  <c r="AA22" i="12"/>
  <c r="Z23" i="12"/>
  <c r="AB23" i="12" s="1"/>
  <c r="AA23" i="12"/>
  <c r="Z24" i="12"/>
  <c r="AB24" i="12" s="1"/>
  <c r="AA24" i="12"/>
  <c r="Z25" i="12"/>
  <c r="AB25" i="12" s="1"/>
  <c r="AA25" i="12"/>
  <c r="Z26" i="12"/>
  <c r="AB26" i="12" s="1"/>
  <c r="AA26" i="12"/>
  <c r="Z27" i="12"/>
  <c r="AB27" i="12" s="1"/>
  <c r="AA27" i="12"/>
  <c r="Z28" i="12"/>
  <c r="AB28" i="12" s="1"/>
  <c r="AA28" i="12"/>
  <c r="Z29" i="12"/>
  <c r="AB29" i="12" s="1"/>
  <c r="AA29" i="12"/>
  <c r="Z30" i="12"/>
  <c r="AB30" i="12" s="1"/>
  <c r="AA30" i="12"/>
  <c r="Z31" i="12"/>
  <c r="AB31" i="12" s="1"/>
  <c r="AA31" i="12"/>
  <c r="Z32" i="12"/>
  <c r="AB32" i="12" s="1"/>
  <c r="AA32" i="12"/>
  <c r="Z33" i="12"/>
  <c r="AB33" i="12" s="1"/>
  <c r="AA33" i="12"/>
  <c r="Z34" i="12"/>
  <c r="AB34" i="12" s="1"/>
  <c r="AA34" i="12"/>
  <c r="Z35" i="12"/>
  <c r="AB35" i="12" s="1"/>
  <c r="AA35" i="12"/>
  <c r="Z36" i="12"/>
  <c r="AB36" i="12" s="1"/>
  <c r="AA36" i="12"/>
  <c r="Z37" i="12"/>
  <c r="AB37" i="12" s="1"/>
  <c r="AA37" i="12"/>
  <c r="Z38" i="12"/>
  <c r="AB38" i="12" s="1"/>
  <c r="AA38" i="12"/>
  <c r="Z39" i="12"/>
  <c r="AA39" i="12"/>
  <c r="AC39" i="12" s="1"/>
  <c r="E44" i="6" s="1"/>
  <c r="Z40" i="12"/>
  <c r="AB40" i="12" s="1"/>
  <c r="AA40" i="12"/>
  <c r="Z41" i="12"/>
  <c r="AB41" i="12" s="1"/>
  <c r="AA41" i="12"/>
  <c r="AC41" i="12" s="1"/>
  <c r="Z42" i="12"/>
  <c r="AB42" i="12" s="1"/>
  <c r="AA42" i="12"/>
  <c r="AC42" i="12" s="1"/>
  <c r="Z43" i="12"/>
  <c r="AB43" i="12" s="1"/>
  <c r="AA43" i="12"/>
  <c r="AC43" i="12" s="1"/>
  <c r="Z44" i="12"/>
  <c r="AB44" i="12" s="1"/>
  <c r="AA44" i="12"/>
  <c r="AC44" i="12" s="1"/>
  <c r="Z45" i="12"/>
  <c r="AB45" i="12" s="1"/>
  <c r="AA45" i="12"/>
  <c r="AC45" i="12" s="1"/>
  <c r="Z46" i="12"/>
  <c r="AB46" i="12" s="1"/>
  <c r="AA46" i="12"/>
  <c r="AC46" i="12" s="1"/>
  <c r="Z47" i="12"/>
  <c r="AB47" i="12" s="1"/>
  <c r="AA47" i="12"/>
  <c r="AC47" i="12" s="1"/>
  <c r="Z48" i="12"/>
  <c r="AB48" i="12" s="1"/>
  <c r="AA48" i="12"/>
  <c r="AC48" i="12" s="1"/>
  <c r="Z49" i="12"/>
  <c r="AB49" i="12" s="1"/>
  <c r="AA49" i="12"/>
  <c r="AC49" i="12" s="1"/>
  <c r="Z50" i="12"/>
  <c r="AB50" i="12" s="1"/>
  <c r="AA50" i="12"/>
  <c r="AC50" i="12" s="1"/>
  <c r="Z51" i="12"/>
  <c r="AB51" i="12" s="1"/>
  <c r="AA51" i="12"/>
  <c r="AC51" i="12" s="1"/>
  <c r="Z52" i="12"/>
  <c r="AB52" i="12" s="1"/>
  <c r="AA52" i="12"/>
  <c r="AC52" i="12" s="1"/>
  <c r="Z53" i="12"/>
  <c r="AB53" i="12" s="1"/>
  <c r="AA53" i="12"/>
  <c r="AC53" i="12" s="1"/>
  <c r="Z54" i="12"/>
  <c r="AB54" i="12" s="1"/>
  <c r="AA54" i="12"/>
  <c r="AC54" i="12" s="1"/>
  <c r="Z55" i="12"/>
  <c r="AB55" i="12" s="1"/>
  <c r="AA55" i="12"/>
  <c r="AC55" i="12" s="1"/>
  <c r="Z56" i="12"/>
  <c r="AB56" i="12" s="1"/>
  <c r="AA56" i="12"/>
  <c r="AC56" i="12" s="1"/>
  <c r="Z57" i="12"/>
  <c r="AB57" i="12" s="1"/>
  <c r="AA57" i="12"/>
  <c r="AC57" i="12" s="1"/>
  <c r="Z58" i="12"/>
  <c r="AB58" i="12" s="1"/>
  <c r="AA58" i="12"/>
  <c r="AC58" i="12" s="1"/>
  <c r="Z59" i="12"/>
  <c r="AB59" i="12" s="1"/>
  <c r="AA59" i="12"/>
  <c r="AC59" i="12" s="1"/>
  <c r="Z60" i="12"/>
  <c r="AB60" i="12" s="1"/>
  <c r="AA60" i="12"/>
  <c r="AC60" i="12" s="1"/>
  <c r="Z61" i="12"/>
  <c r="AB61" i="12" s="1"/>
  <c r="AA61" i="12"/>
  <c r="Z62" i="12"/>
  <c r="AB62" i="12" s="1"/>
  <c r="AA62" i="12"/>
  <c r="AC62" i="12" s="1"/>
  <c r="Z63" i="12"/>
  <c r="AB63" i="12" s="1"/>
  <c r="AA63" i="12"/>
  <c r="AC63" i="12" s="1"/>
  <c r="Z64" i="12"/>
  <c r="AB64" i="12" s="1"/>
  <c r="AA64" i="12"/>
  <c r="AC64" i="12" s="1"/>
  <c r="Z65" i="12"/>
  <c r="AB65" i="12" s="1"/>
  <c r="AA65" i="12"/>
  <c r="AC65" i="12" s="1"/>
  <c r="Z66" i="12"/>
  <c r="AB66" i="12" s="1"/>
  <c r="AA66" i="12"/>
  <c r="AC66" i="12" s="1"/>
  <c r="Z67" i="12"/>
  <c r="AB67" i="12" s="1"/>
  <c r="AA67" i="12"/>
  <c r="AC67" i="12" s="1"/>
  <c r="Z68" i="12"/>
  <c r="AB68" i="12" s="1"/>
  <c r="AA68" i="12"/>
  <c r="AC68" i="12" s="1"/>
  <c r="Z69" i="12"/>
  <c r="AB69" i="12" s="1"/>
  <c r="AA69" i="12"/>
  <c r="AC69" i="12" s="1"/>
  <c r="Z70" i="12"/>
  <c r="AB70" i="12" s="1"/>
  <c r="AA70" i="12"/>
  <c r="AC70" i="12" s="1"/>
  <c r="Z71" i="12"/>
  <c r="AB71" i="12" s="1"/>
  <c r="AA71" i="12"/>
  <c r="AC71" i="12" s="1"/>
  <c r="Z72" i="12"/>
  <c r="AB72" i="12" s="1"/>
  <c r="AA72" i="12"/>
  <c r="AC72" i="12" s="1"/>
  <c r="Z73" i="12"/>
  <c r="AB73" i="12" s="1"/>
  <c r="AA73" i="12"/>
  <c r="AC73" i="12" s="1"/>
  <c r="Z74" i="12"/>
  <c r="AB74" i="12" s="1"/>
  <c r="AA74" i="12"/>
  <c r="AC74" i="12" s="1"/>
  <c r="Z75" i="12"/>
  <c r="AB75" i="12" s="1"/>
  <c r="AA75" i="12"/>
  <c r="AC75" i="12" s="1"/>
  <c r="Z76" i="12"/>
  <c r="AB76" i="12" s="1"/>
  <c r="AA76" i="12"/>
  <c r="AC76" i="12" s="1"/>
  <c r="Z77" i="12"/>
  <c r="AB77" i="12" s="1"/>
  <c r="AA77" i="12"/>
  <c r="AC77" i="12" s="1"/>
  <c r="Z78" i="12"/>
  <c r="AB78" i="12" s="1"/>
  <c r="AA78" i="12"/>
  <c r="AC78" i="12" s="1"/>
  <c r="Z79" i="12"/>
  <c r="AB79" i="12" s="1"/>
  <c r="AA79" i="12"/>
  <c r="AC79" i="12" s="1"/>
  <c r="Z80" i="12"/>
  <c r="AB80" i="12" s="1"/>
  <c r="AA80" i="12"/>
  <c r="AC80" i="12" s="1"/>
  <c r="Z81" i="12"/>
  <c r="AB81" i="12" s="1"/>
  <c r="AA81" i="12"/>
  <c r="AC81" i="12" s="1"/>
  <c r="Z82" i="12"/>
  <c r="AB82" i="12" s="1"/>
  <c r="AA82" i="12"/>
  <c r="Z83" i="12"/>
  <c r="AB83" i="12" s="1"/>
  <c r="AA83" i="12"/>
  <c r="AC83" i="12" s="1"/>
  <c r="Z84" i="12"/>
  <c r="AB84" i="12" s="1"/>
  <c r="AA84" i="12"/>
  <c r="AC84" i="12" s="1"/>
  <c r="Z85" i="12"/>
  <c r="AB85" i="12" s="1"/>
  <c r="AA85" i="12"/>
  <c r="AC85" i="12" s="1"/>
  <c r="Z86" i="12"/>
  <c r="AB86" i="12" s="1"/>
  <c r="AA86" i="12"/>
  <c r="AC86" i="12" s="1"/>
  <c r="Z87" i="12"/>
  <c r="AB87" i="12" s="1"/>
  <c r="AA87" i="12"/>
  <c r="AC87" i="12" s="1"/>
  <c r="Z88" i="12"/>
  <c r="AB88" i="12" s="1"/>
  <c r="AA88" i="12"/>
  <c r="AC88" i="12" s="1"/>
  <c r="Z89" i="12"/>
  <c r="AB89" i="12" s="1"/>
  <c r="AA89" i="12"/>
  <c r="AC89" i="12" s="1"/>
  <c r="Z90" i="12"/>
  <c r="AB90" i="12" s="1"/>
  <c r="AA90" i="12"/>
  <c r="AC90" i="12" s="1"/>
  <c r="Z91" i="12"/>
  <c r="AB91" i="12" s="1"/>
  <c r="AA91" i="12"/>
  <c r="AC91" i="12" s="1"/>
  <c r="Z92" i="12"/>
  <c r="AB92" i="12" s="1"/>
  <c r="AA92" i="12"/>
  <c r="AC92" i="12" s="1"/>
  <c r="Z93" i="12"/>
  <c r="AB93" i="12" s="1"/>
  <c r="AA93" i="12"/>
  <c r="AC93" i="12" s="1"/>
  <c r="Z94" i="12"/>
  <c r="AB94" i="12" s="1"/>
  <c r="AA94" i="12"/>
  <c r="AC94" i="12" s="1"/>
  <c r="Z95" i="12"/>
  <c r="AB95" i="12" s="1"/>
  <c r="AA95" i="12"/>
  <c r="AC95" i="12" s="1"/>
  <c r="Z96" i="12"/>
  <c r="AB96" i="12" s="1"/>
  <c r="AA96" i="12"/>
  <c r="AC96" i="12" s="1"/>
  <c r="Z97" i="12"/>
  <c r="AB97" i="12" s="1"/>
  <c r="AA97" i="12"/>
  <c r="AC97" i="12" s="1"/>
  <c r="Z98" i="12"/>
  <c r="AB98" i="12" s="1"/>
  <c r="AA98" i="12"/>
  <c r="AC98" i="12" s="1"/>
  <c r="Z99" i="12"/>
  <c r="AB99" i="12" s="1"/>
  <c r="AA99" i="12"/>
  <c r="AC99" i="12" s="1"/>
  <c r="Z100" i="12"/>
  <c r="AB100" i="12" s="1"/>
  <c r="AA100" i="12"/>
  <c r="AC100" i="12" s="1"/>
  <c r="Z101" i="12"/>
  <c r="AB101" i="12" s="1"/>
  <c r="AA101" i="12"/>
  <c r="AC101" i="12" s="1"/>
  <c r="Z102" i="12"/>
  <c r="AB102" i="12" s="1"/>
  <c r="AA102" i="12"/>
  <c r="AC102" i="12" s="1"/>
  <c r="Z103" i="12"/>
  <c r="AB103" i="12" s="1"/>
  <c r="AA103" i="12"/>
  <c r="AC103" i="12" s="1"/>
  <c r="Z104" i="12"/>
  <c r="AB104" i="12" s="1"/>
  <c r="AA104" i="12"/>
  <c r="AC104" i="12" s="1"/>
  <c r="Z105" i="12"/>
  <c r="AB105" i="12" s="1"/>
  <c r="AA105" i="12"/>
  <c r="AC105" i="12" s="1"/>
  <c r="Z106" i="12"/>
  <c r="AB106" i="12" s="1"/>
  <c r="AA106" i="12"/>
  <c r="AC106" i="12" s="1"/>
  <c r="Z107" i="12"/>
  <c r="AB107" i="12" s="1"/>
  <c r="AA107" i="12"/>
  <c r="AC107" i="12" s="1"/>
  <c r="Z108" i="12"/>
  <c r="AB108" i="12" s="1"/>
  <c r="AA108" i="12"/>
  <c r="AC108" i="12" s="1"/>
  <c r="Z109" i="12"/>
  <c r="AB109" i="12" s="1"/>
  <c r="AA109" i="12"/>
  <c r="AC109" i="12" s="1"/>
  <c r="Z110" i="12"/>
  <c r="AB110" i="12" s="1"/>
  <c r="AA110" i="12"/>
  <c r="AC110" i="12" s="1"/>
  <c r="Z111" i="12"/>
  <c r="AB111" i="12" s="1"/>
  <c r="AA111" i="12"/>
  <c r="AC111" i="12" s="1"/>
  <c r="Z112" i="12"/>
  <c r="AB112" i="12" s="1"/>
  <c r="AA112" i="12"/>
  <c r="AC112" i="12" s="1"/>
  <c r="Z113" i="12"/>
  <c r="AB113" i="12" s="1"/>
  <c r="AA113" i="12"/>
  <c r="AC113" i="12" s="1"/>
  <c r="Z114" i="12"/>
  <c r="AB114" i="12" s="1"/>
  <c r="AA114" i="12"/>
  <c r="AC114" i="12" s="1"/>
  <c r="Z115" i="12"/>
  <c r="AB115" i="12" s="1"/>
  <c r="AA115" i="12"/>
  <c r="AC115" i="12" s="1"/>
  <c r="Z116" i="12"/>
  <c r="AB116" i="12" s="1"/>
  <c r="AA116" i="12"/>
  <c r="AC116" i="12" s="1"/>
  <c r="Z117" i="12"/>
  <c r="AB117" i="12" s="1"/>
  <c r="AA117" i="12"/>
  <c r="AC117" i="12" s="1"/>
  <c r="Z118" i="12"/>
  <c r="AB118" i="12" s="1"/>
  <c r="AA118" i="12"/>
  <c r="AC118" i="12" s="1"/>
  <c r="AA19" i="12"/>
  <c r="Z19" i="12"/>
  <c r="AB19" i="12" s="1"/>
  <c r="AB39" i="12" l="1"/>
  <c r="D44" i="6" s="1"/>
  <c r="Z45" i="26"/>
  <c r="AC45" i="26"/>
  <c r="Z47" i="26"/>
  <c r="AC47" i="26"/>
  <c r="AC50" i="26"/>
  <c r="Z50" i="26"/>
  <c r="AC48" i="26"/>
  <c r="Z48" i="26"/>
  <c r="AC43" i="26"/>
  <c r="Z43" i="26"/>
  <c r="Z60" i="26"/>
  <c r="AC60" i="26"/>
  <c r="Z59" i="26"/>
  <c r="AC59" i="26"/>
  <c r="AC65" i="26"/>
  <c r="Z65" i="26"/>
  <c r="AC46" i="26"/>
  <c r="Z46" i="26"/>
  <c r="Z62" i="26"/>
  <c r="AC62" i="26"/>
  <c r="AC69" i="26"/>
  <c r="Z69" i="26"/>
  <c r="Z55" i="26"/>
  <c r="AC55" i="26"/>
  <c r="AC58" i="26"/>
  <c r="Z58" i="26"/>
  <c r="AC64" i="26"/>
  <c r="Z64" i="26"/>
  <c r="Z67" i="26"/>
  <c r="AC67" i="26"/>
  <c r="Z71" i="26"/>
  <c r="AC71" i="26"/>
  <c r="AC56" i="26"/>
  <c r="Z56" i="26"/>
  <c r="AC61" i="26"/>
  <c r="Z61" i="26"/>
  <c r="AC72" i="26"/>
  <c r="Z72" i="26"/>
  <c r="AC53" i="26"/>
  <c r="Z53" i="26"/>
  <c r="Z63" i="26"/>
  <c r="AC63" i="26"/>
  <c r="AC49" i="26"/>
  <c r="Z49" i="26"/>
  <c r="Z44" i="26"/>
  <c r="AC44" i="26"/>
  <c r="Z68" i="26"/>
  <c r="AC68" i="26"/>
  <c r="Z51" i="26"/>
  <c r="AC51" i="26"/>
  <c r="Z54" i="26"/>
  <c r="AC54" i="26"/>
  <c r="AC57" i="26"/>
  <c r="Z57" i="26"/>
  <c r="AC66" i="26"/>
  <c r="Z66" i="26"/>
  <c r="Z70" i="26"/>
  <c r="AC70" i="26"/>
  <c r="Z52" i="26"/>
  <c r="AC52" i="26"/>
  <c r="C35" i="26"/>
  <c r="AC82" i="12"/>
  <c r="AC61" i="12"/>
  <c r="AC40" i="12"/>
  <c r="E45" i="6" s="1"/>
  <c r="AC36" i="12"/>
  <c r="AC30" i="12"/>
  <c r="AC26" i="12"/>
  <c r="AC20" i="12"/>
  <c r="D43" i="6"/>
  <c r="J43" i="6" s="1"/>
  <c r="AC38" i="12"/>
  <c r="E43" i="6" s="1"/>
  <c r="AC34" i="12"/>
  <c r="AC28" i="12"/>
  <c r="AC22" i="12"/>
  <c r="AC37" i="12"/>
  <c r="E42" i="6" s="1"/>
  <c r="AC35" i="12"/>
  <c r="AC33" i="12"/>
  <c r="AC31" i="12"/>
  <c r="AC29" i="12"/>
  <c r="AC27" i="12"/>
  <c r="AC25" i="12"/>
  <c r="AC23" i="12"/>
  <c r="AC21" i="12"/>
  <c r="AC32" i="12"/>
  <c r="AC24" i="12"/>
  <c r="AC19" i="12"/>
  <c r="D42" i="6"/>
  <c r="J42" i="6" s="1"/>
  <c r="U19" i="12"/>
  <c r="U20" i="12"/>
  <c r="U21" i="12"/>
  <c r="U22" i="12"/>
  <c r="U23" i="12"/>
  <c r="U24" i="12"/>
  <c r="U25" i="12"/>
  <c r="U26" i="12"/>
  <c r="U27" i="12"/>
  <c r="U28" i="12"/>
  <c r="U29" i="12"/>
  <c r="U30" i="12"/>
  <c r="U31" i="12"/>
  <c r="U32" i="12"/>
  <c r="U33" i="12"/>
  <c r="U34" i="12"/>
  <c r="U35" i="12"/>
  <c r="U36" i="12"/>
  <c r="U37" i="12"/>
  <c r="U38" i="12"/>
  <c r="BC31" i="22"/>
  <c r="BC31" i="23" s="1"/>
  <c r="BD31" i="22"/>
  <c r="BD31" i="23" s="1"/>
  <c r="BC32" i="22"/>
  <c r="BC32" i="23" s="1"/>
  <c r="BD32" i="22"/>
  <c r="BD32" i="23" s="1"/>
  <c r="BC33" i="22"/>
  <c r="BC33" i="23" s="1"/>
  <c r="BD33" i="22"/>
  <c r="BD33" i="23" s="1"/>
  <c r="BC34" i="22"/>
  <c r="BC34" i="23" s="1"/>
  <c r="BD34" i="22"/>
  <c r="BD34" i="23" s="1"/>
  <c r="BC35" i="22"/>
  <c r="BC35" i="23" s="1"/>
  <c r="BD35" i="22"/>
  <c r="BD35" i="23" s="1"/>
  <c r="BC36" i="22"/>
  <c r="BC36" i="23" s="1"/>
  <c r="BD36" i="22"/>
  <c r="BD36" i="23" s="1"/>
  <c r="BC37" i="22"/>
  <c r="BC37" i="23" s="1"/>
  <c r="BD37" i="22"/>
  <c r="BD37" i="23" s="1"/>
  <c r="BC38" i="22"/>
  <c r="BC38" i="23" s="1"/>
  <c r="BD38" i="22"/>
  <c r="BD38" i="23" s="1"/>
  <c r="BC39" i="22"/>
  <c r="BC39" i="23" s="1"/>
  <c r="BD39" i="22"/>
  <c r="BD39" i="23" s="1"/>
  <c r="BC40" i="22"/>
  <c r="BC40" i="23" s="1"/>
  <c r="BD40" i="22"/>
  <c r="BD40" i="23" s="1"/>
  <c r="BC41" i="22"/>
  <c r="BC41" i="23" s="1"/>
  <c r="BD41" i="22"/>
  <c r="BD41" i="23" s="1"/>
  <c r="BC42" i="22"/>
  <c r="BC42" i="23" s="1"/>
  <c r="BD42" i="22"/>
  <c r="BD42" i="23" s="1"/>
  <c r="BC43" i="22"/>
  <c r="BC43" i="23" s="1"/>
  <c r="BD43" i="22"/>
  <c r="BD43" i="23" s="1"/>
  <c r="BC44" i="22"/>
  <c r="BC44" i="23" s="1"/>
  <c r="BD44" i="22"/>
  <c r="BD44" i="23" s="1"/>
  <c r="BC45" i="22"/>
  <c r="BC45" i="23" s="1"/>
  <c r="BD45" i="22"/>
  <c r="BD45" i="23" s="1"/>
  <c r="BC46" i="22"/>
  <c r="BC46" i="23" s="1"/>
  <c r="BD46" i="22"/>
  <c r="BD46" i="23" s="1"/>
  <c r="BC47" i="22"/>
  <c r="BC47" i="23" s="1"/>
  <c r="BD47" i="22"/>
  <c r="BD47" i="23" s="1"/>
  <c r="BC48" i="22"/>
  <c r="BC48" i="23" s="1"/>
  <c r="BD48" i="22"/>
  <c r="BD48" i="23" s="1"/>
  <c r="BC49" i="22"/>
  <c r="BC49" i="23" s="1"/>
  <c r="BD49" i="22"/>
  <c r="BD49" i="23" s="1"/>
  <c r="BC50" i="22"/>
  <c r="BC50" i="23" s="1"/>
  <c r="BD50" i="22"/>
  <c r="BD50" i="23" s="1"/>
  <c r="BC51" i="22"/>
  <c r="BC51" i="23" s="1"/>
  <c r="BD51" i="22"/>
  <c r="BD51" i="23" s="1"/>
  <c r="BC52" i="22"/>
  <c r="BC52" i="23" s="1"/>
  <c r="BD52" i="22"/>
  <c r="BD52" i="23" s="1"/>
  <c r="BC53" i="22"/>
  <c r="BC53" i="23" s="1"/>
  <c r="BD53" i="22"/>
  <c r="BD53" i="23" s="1"/>
  <c r="BC54" i="22"/>
  <c r="BC54" i="23" s="1"/>
  <c r="BD54" i="22"/>
  <c r="BD54" i="23" s="1"/>
  <c r="BC55" i="22"/>
  <c r="BC55" i="23" s="1"/>
  <c r="BD55" i="22"/>
  <c r="BD55" i="23" s="1"/>
  <c r="BC56" i="22"/>
  <c r="BC56" i="23" s="1"/>
  <c r="BD56" i="22"/>
  <c r="BD56" i="23" s="1"/>
  <c r="BC57" i="22"/>
  <c r="BC57" i="23" s="1"/>
  <c r="BD57" i="22"/>
  <c r="BD57" i="23" s="1"/>
  <c r="BC58" i="22"/>
  <c r="BC58" i="23" s="1"/>
  <c r="BD58" i="22"/>
  <c r="BD58" i="23" s="1"/>
  <c r="BC59" i="22"/>
  <c r="BC59" i="23" s="1"/>
  <c r="BD59" i="22"/>
  <c r="BD59" i="23" s="1"/>
  <c r="BC60" i="22"/>
  <c r="BC60" i="23" s="1"/>
  <c r="BD60" i="22"/>
  <c r="BD60" i="23" s="1"/>
  <c r="BC61" i="22"/>
  <c r="BC61" i="23" s="1"/>
  <c r="BD61" i="22"/>
  <c r="BD61" i="23" s="1"/>
  <c r="BC62" i="22"/>
  <c r="BC62" i="23" s="1"/>
  <c r="BD62" i="22"/>
  <c r="BD62" i="23" s="1"/>
  <c r="BC63" i="22"/>
  <c r="BC63" i="23" s="1"/>
  <c r="BD63" i="22"/>
  <c r="BD63" i="23" s="1"/>
  <c r="BC64" i="22"/>
  <c r="BC64" i="23" s="1"/>
  <c r="BD64" i="22"/>
  <c r="BD64" i="23" s="1"/>
  <c r="BC65" i="22"/>
  <c r="BC65" i="23" s="1"/>
  <c r="BD65" i="22"/>
  <c r="BD65" i="23" s="1"/>
  <c r="BC66" i="22"/>
  <c r="BC66" i="23" s="1"/>
  <c r="BD66" i="22"/>
  <c r="BD66" i="23" s="1"/>
  <c r="BC67" i="22"/>
  <c r="BC67" i="23" s="1"/>
  <c r="BD67" i="22"/>
  <c r="BD67" i="23" s="1"/>
  <c r="BC68" i="22"/>
  <c r="BC68" i="23" s="1"/>
  <c r="BD68" i="22"/>
  <c r="BD68" i="23" s="1"/>
  <c r="BC69" i="22"/>
  <c r="BC69" i="23" s="1"/>
  <c r="BD69" i="22"/>
  <c r="BD69" i="23" s="1"/>
  <c r="BC70" i="22"/>
  <c r="BC70" i="23" s="1"/>
  <c r="BD70" i="22"/>
  <c r="BD70" i="23" s="1"/>
  <c r="BC71" i="22"/>
  <c r="BC71" i="23" s="1"/>
  <c r="BD71" i="22"/>
  <c r="BD71" i="23" s="1"/>
  <c r="BC72" i="22"/>
  <c r="BC72" i="23" s="1"/>
  <c r="BD72" i="22"/>
  <c r="BD72" i="23" s="1"/>
  <c r="BC73" i="22"/>
  <c r="BC73" i="23" s="1"/>
  <c r="BD73" i="22"/>
  <c r="BD73" i="23" s="1"/>
  <c r="BC74" i="22"/>
  <c r="BC74" i="23" s="1"/>
  <c r="BD74" i="22"/>
  <c r="BD74" i="23" s="1"/>
  <c r="BC75" i="22"/>
  <c r="BC75" i="23" s="1"/>
  <c r="BD75" i="22"/>
  <c r="BD75" i="23" s="1"/>
  <c r="BC76" i="22"/>
  <c r="BC76" i="23" s="1"/>
  <c r="BD76" i="22"/>
  <c r="BD76" i="23" s="1"/>
  <c r="BC77" i="22"/>
  <c r="BC77" i="23" s="1"/>
  <c r="BD77" i="22"/>
  <c r="BD77" i="23" s="1"/>
  <c r="BC78" i="22"/>
  <c r="BC78" i="23" s="1"/>
  <c r="BD78" i="22"/>
  <c r="BD78" i="23" s="1"/>
  <c r="BC79" i="22"/>
  <c r="BC79" i="23" s="1"/>
  <c r="BD79" i="22"/>
  <c r="BD79" i="23" s="1"/>
  <c r="BC80" i="22"/>
  <c r="BC80" i="23" s="1"/>
  <c r="BD80" i="22"/>
  <c r="BD80" i="23" s="1"/>
  <c r="BC81" i="22"/>
  <c r="BC81" i="23" s="1"/>
  <c r="BD81" i="22"/>
  <c r="BD81" i="23" s="1"/>
  <c r="BC82" i="22"/>
  <c r="BC82" i="23" s="1"/>
  <c r="BD82" i="22"/>
  <c r="BD82" i="23" s="1"/>
  <c r="BC83" i="22"/>
  <c r="BC83" i="23" s="1"/>
  <c r="BD83" i="22"/>
  <c r="BD83" i="23" s="1"/>
  <c r="BC84" i="22"/>
  <c r="BC84" i="23" s="1"/>
  <c r="BD84" i="22"/>
  <c r="BD84" i="23" s="1"/>
  <c r="BC85" i="22"/>
  <c r="BC85" i="23" s="1"/>
  <c r="BD85" i="22"/>
  <c r="BD85" i="23" s="1"/>
  <c r="BC86" i="22"/>
  <c r="BC86" i="23" s="1"/>
  <c r="BD86" i="22"/>
  <c r="BD86" i="23" s="1"/>
  <c r="BC87" i="22"/>
  <c r="BC87" i="23" s="1"/>
  <c r="BD87" i="22"/>
  <c r="BD87" i="23" s="1"/>
  <c r="BC88" i="22"/>
  <c r="BC88" i="23" s="1"/>
  <c r="BD88" i="22"/>
  <c r="BD88" i="23" s="1"/>
  <c r="BC89" i="22"/>
  <c r="BC89" i="23" s="1"/>
  <c r="BD89" i="22"/>
  <c r="BD89" i="23" s="1"/>
  <c r="BC90" i="22"/>
  <c r="BC90" i="23" s="1"/>
  <c r="BD90" i="22"/>
  <c r="BD90" i="23" s="1"/>
  <c r="BC91" i="22"/>
  <c r="BC91" i="23" s="1"/>
  <c r="BD91" i="22"/>
  <c r="BD91" i="23" s="1"/>
  <c r="BC92" i="22"/>
  <c r="BC92" i="23" s="1"/>
  <c r="BD92" i="22"/>
  <c r="BD92" i="23" s="1"/>
  <c r="BC93" i="22"/>
  <c r="BC93" i="23" s="1"/>
  <c r="BD93" i="22"/>
  <c r="BD93" i="23" s="1"/>
  <c r="BC94" i="22"/>
  <c r="BC94" i="23" s="1"/>
  <c r="BD94" i="22"/>
  <c r="BD94" i="23" s="1"/>
  <c r="BC95" i="22"/>
  <c r="BC95" i="23" s="1"/>
  <c r="BD95" i="22"/>
  <c r="BD95" i="23" s="1"/>
  <c r="BC96" i="22"/>
  <c r="BC96" i="23" s="1"/>
  <c r="BD96" i="22"/>
  <c r="BD96" i="23" s="1"/>
  <c r="BC97" i="22"/>
  <c r="BC97" i="23" s="1"/>
  <c r="BD97" i="22"/>
  <c r="BD97" i="23" s="1"/>
  <c r="BC98" i="22"/>
  <c r="BC98" i="23" s="1"/>
  <c r="BD98" i="22"/>
  <c r="BD98" i="23" s="1"/>
  <c r="BC99" i="22"/>
  <c r="BC99" i="23" s="1"/>
  <c r="BD99" i="22"/>
  <c r="BD99" i="23" s="1"/>
  <c r="BC100" i="22"/>
  <c r="BC100" i="23" s="1"/>
  <c r="BD100" i="22"/>
  <c r="BD100" i="23" s="1"/>
  <c r="BC101" i="22"/>
  <c r="BC101" i="23" s="1"/>
  <c r="BD101" i="22"/>
  <c r="BD101" i="23" s="1"/>
  <c r="BC102" i="22"/>
  <c r="BC102" i="23" s="1"/>
  <c r="BD102" i="22"/>
  <c r="BD102" i="23" s="1"/>
  <c r="BC103" i="22"/>
  <c r="BC103" i="23" s="1"/>
  <c r="BD103" i="22"/>
  <c r="BD103" i="23" s="1"/>
  <c r="BC104" i="22"/>
  <c r="BC104" i="23" s="1"/>
  <c r="BD104" i="22"/>
  <c r="BD104" i="23" s="1"/>
  <c r="BC105" i="22"/>
  <c r="BC105" i="23" s="1"/>
  <c r="BD105" i="22"/>
  <c r="BD105" i="23" s="1"/>
  <c r="BC106" i="22"/>
  <c r="BC106" i="23" s="1"/>
  <c r="BD106" i="22"/>
  <c r="BD106" i="23" s="1"/>
  <c r="BC107" i="22"/>
  <c r="BC107" i="23" s="1"/>
  <c r="BD107" i="22"/>
  <c r="BD107" i="23" s="1"/>
  <c r="BC108" i="22"/>
  <c r="BC108" i="23" s="1"/>
  <c r="BD108" i="22"/>
  <c r="BD108" i="23" s="1"/>
  <c r="BC109" i="22"/>
  <c r="BC109" i="23" s="1"/>
  <c r="BD109" i="22"/>
  <c r="BD109" i="23" s="1"/>
  <c r="BC110" i="22"/>
  <c r="BC110" i="23" s="1"/>
  <c r="BD110" i="22"/>
  <c r="BD110" i="23" s="1"/>
  <c r="BC11" i="22"/>
  <c r="BC11" i="23" s="1"/>
  <c r="BD11" i="22"/>
  <c r="BD11" i="23" s="1"/>
  <c r="DI3" i="3"/>
  <c r="DI4" i="3"/>
  <c r="DI5" i="3"/>
  <c r="DI6" i="3"/>
  <c r="DI7" i="3"/>
  <c r="DI8" i="3"/>
  <c r="DI9" i="3"/>
  <c r="DI10" i="3"/>
  <c r="DI11" i="3"/>
  <c r="DI12" i="3"/>
  <c r="DI13" i="3"/>
  <c r="DI14" i="3"/>
  <c r="DI15" i="3"/>
  <c r="DI16" i="3"/>
  <c r="DI17" i="3"/>
  <c r="DI18" i="3"/>
  <c r="DI19" i="3"/>
  <c r="DI20" i="3"/>
  <c r="DI21" i="3"/>
  <c r="DI22" i="3"/>
  <c r="DI23" i="3"/>
  <c r="DI24" i="3"/>
  <c r="DI25" i="3"/>
  <c r="DI26" i="3"/>
  <c r="DI27" i="3"/>
  <c r="DI28" i="3"/>
  <c r="DI29" i="3"/>
  <c r="DI30" i="3"/>
  <c r="DI31" i="3"/>
  <c r="DI32" i="3"/>
  <c r="DI33" i="3"/>
  <c r="DI34" i="3"/>
  <c r="DI35" i="3"/>
  <c r="DI36" i="3"/>
  <c r="DI37" i="3"/>
  <c r="DI38" i="3"/>
  <c r="DI39" i="3"/>
  <c r="DI40" i="3"/>
  <c r="DI41" i="3"/>
  <c r="DI42" i="3"/>
  <c r="DI43" i="3"/>
  <c r="DI44" i="3"/>
  <c r="DI45" i="3"/>
  <c r="DI46" i="3"/>
  <c r="DI47" i="3"/>
  <c r="DI48" i="3"/>
  <c r="DI49" i="3"/>
  <c r="DI50" i="3"/>
  <c r="DI51" i="3"/>
  <c r="DI52" i="3"/>
  <c r="DI53" i="3"/>
  <c r="DI54" i="3"/>
  <c r="DI55" i="3"/>
  <c r="DI56" i="3"/>
  <c r="DI57" i="3"/>
  <c r="DI58" i="3"/>
  <c r="DI59" i="3"/>
  <c r="DI60" i="3"/>
  <c r="DI61" i="3"/>
  <c r="DI62" i="3"/>
  <c r="DI63" i="3"/>
  <c r="DI64" i="3"/>
  <c r="DI65" i="3"/>
  <c r="DI66" i="3"/>
  <c r="DI67" i="3"/>
  <c r="DI68" i="3"/>
  <c r="DI69" i="3"/>
  <c r="DI70" i="3"/>
  <c r="DI71" i="3"/>
  <c r="DI72" i="3"/>
  <c r="DI73" i="3"/>
  <c r="DI74" i="3"/>
  <c r="DI75" i="3"/>
  <c r="DI76" i="3"/>
  <c r="DI77" i="3"/>
  <c r="DI78" i="3"/>
  <c r="DI79" i="3"/>
  <c r="DI80" i="3"/>
  <c r="DI81" i="3"/>
  <c r="DI82" i="3"/>
  <c r="DI83" i="3"/>
  <c r="DI84" i="3"/>
  <c r="DI85" i="3"/>
  <c r="DI86" i="3"/>
  <c r="DI87" i="3"/>
  <c r="DI88" i="3"/>
  <c r="DI89" i="3"/>
  <c r="DI90" i="3"/>
  <c r="DI91" i="3"/>
  <c r="DI92" i="3"/>
  <c r="DI93" i="3"/>
  <c r="DI94" i="3"/>
  <c r="DI95" i="3"/>
  <c r="DI96" i="3"/>
  <c r="DI97" i="3"/>
  <c r="DI98" i="3"/>
  <c r="DI99" i="3"/>
  <c r="DI100" i="3"/>
  <c r="DI101" i="3"/>
  <c r="DI102" i="3"/>
  <c r="DI103" i="3"/>
  <c r="DI104" i="3"/>
  <c r="DI105" i="3"/>
  <c r="DI106" i="3"/>
  <c r="DI107" i="3"/>
  <c r="DI108" i="3"/>
  <c r="DI109" i="3"/>
  <c r="DI110" i="3"/>
  <c r="DI111" i="3"/>
  <c r="DI112" i="3"/>
  <c r="DI113" i="3"/>
  <c r="DI114" i="3"/>
  <c r="DI115" i="3"/>
  <c r="DI116" i="3"/>
  <c r="DI117" i="3"/>
  <c r="DI118" i="3"/>
  <c r="DI119" i="3"/>
  <c r="DI120" i="3"/>
  <c r="DI121" i="3"/>
  <c r="DI122" i="3"/>
  <c r="DI123" i="3"/>
  <c r="DI124" i="3"/>
  <c r="DI125" i="3"/>
  <c r="DI126" i="3"/>
  <c r="DI127" i="3"/>
  <c r="DI128" i="3"/>
  <c r="DI129" i="3"/>
  <c r="DI130" i="3"/>
  <c r="DI131" i="3"/>
  <c r="DI132" i="3"/>
  <c r="DI133" i="3"/>
  <c r="DI134" i="3"/>
  <c r="DI135" i="3"/>
  <c r="DI136" i="3"/>
  <c r="DI137" i="3"/>
  <c r="DI138" i="3"/>
  <c r="DI139" i="3"/>
  <c r="DI140" i="3"/>
  <c r="DI141" i="3"/>
  <c r="DI142" i="3"/>
  <c r="DI143" i="3"/>
  <c r="DI144" i="3"/>
  <c r="DI145" i="3"/>
  <c r="DI146" i="3"/>
  <c r="DI147" i="3"/>
  <c r="DI148" i="3"/>
  <c r="DI149" i="3"/>
  <c r="DI150" i="3"/>
  <c r="DI151" i="3"/>
  <c r="DI152" i="3"/>
  <c r="DI153" i="3"/>
  <c r="DI154" i="3"/>
  <c r="DI155" i="3"/>
  <c r="DI156" i="3"/>
  <c r="DI157" i="3"/>
  <c r="DI158" i="3"/>
  <c r="DI159" i="3"/>
  <c r="DI160" i="3"/>
  <c r="DI161" i="3"/>
  <c r="DI162" i="3"/>
  <c r="DI163" i="3"/>
  <c r="DI164" i="3"/>
  <c r="DI165" i="3"/>
  <c r="DI166" i="3"/>
  <c r="DI167" i="3"/>
  <c r="DI168" i="3"/>
  <c r="DI169" i="3"/>
  <c r="DI170" i="3"/>
  <c r="DI171" i="3"/>
  <c r="DI172" i="3"/>
  <c r="DI173" i="3"/>
  <c r="DI174" i="3"/>
  <c r="DI175" i="3"/>
  <c r="DI176" i="3"/>
  <c r="DI177" i="3"/>
  <c r="DI178" i="3"/>
  <c r="DI179" i="3"/>
  <c r="DI180" i="3"/>
  <c r="DI181" i="3"/>
  <c r="DI182" i="3"/>
  <c r="DI183" i="3"/>
  <c r="DI184" i="3"/>
  <c r="DI185" i="3"/>
  <c r="DI186" i="3"/>
  <c r="DI187" i="3"/>
  <c r="DI188" i="3"/>
  <c r="DI189" i="3"/>
  <c r="DI190" i="3"/>
  <c r="DI191" i="3"/>
  <c r="DI192" i="3"/>
  <c r="DI193" i="3"/>
  <c r="DI194" i="3"/>
  <c r="DI195" i="3"/>
  <c r="DI196" i="3"/>
  <c r="DI197" i="3"/>
  <c r="DI198" i="3"/>
  <c r="DI199" i="3"/>
  <c r="DI200" i="3"/>
  <c r="DI201" i="3"/>
  <c r="DI202" i="3"/>
  <c r="DI203" i="3"/>
  <c r="DI204" i="3"/>
  <c r="DI205" i="3"/>
  <c r="DI206" i="3"/>
  <c r="DI207" i="3"/>
  <c r="DI208" i="3"/>
  <c r="DI209" i="3"/>
  <c r="DI210" i="3"/>
  <c r="DI211" i="3"/>
  <c r="DI212" i="3"/>
  <c r="DI213" i="3"/>
  <c r="DI214" i="3"/>
  <c r="DI215" i="3"/>
  <c r="DI216" i="3"/>
  <c r="DI217" i="3"/>
  <c r="DI218" i="3"/>
  <c r="DI219" i="3"/>
  <c r="DI220" i="3"/>
  <c r="DI221" i="3"/>
  <c r="DI222" i="3"/>
  <c r="DI223" i="3"/>
  <c r="DI224" i="3"/>
  <c r="DI225" i="3"/>
  <c r="DI226" i="3"/>
  <c r="DI227" i="3"/>
  <c r="DI228" i="3"/>
  <c r="DI229" i="3"/>
  <c r="DI230" i="3"/>
  <c r="DI231" i="3"/>
  <c r="DI232" i="3"/>
  <c r="DI233" i="3"/>
  <c r="DI234" i="3"/>
  <c r="DI235" i="3"/>
  <c r="DI236" i="3"/>
  <c r="DI237" i="3"/>
  <c r="DI238" i="3"/>
  <c r="DI239" i="3"/>
  <c r="DI240" i="3"/>
  <c r="DI241" i="3"/>
  <c r="DI242" i="3"/>
  <c r="DI243" i="3"/>
  <c r="DI244" i="3"/>
  <c r="DI245" i="3"/>
  <c r="DI246" i="3"/>
  <c r="DI247" i="3"/>
  <c r="DI248" i="3"/>
  <c r="DI249" i="3"/>
  <c r="DI250" i="3"/>
  <c r="DI251" i="3"/>
  <c r="DI252" i="3"/>
  <c r="DI253" i="3"/>
  <c r="DI254" i="3"/>
  <c r="DI255" i="3"/>
  <c r="DI256" i="3"/>
  <c r="DI257" i="3"/>
  <c r="DI258" i="3"/>
  <c r="DI259" i="3"/>
  <c r="DI260" i="3"/>
  <c r="DI261" i="3"/>
  <c r="DI262" i="3"/>
  <c r="DI263" i="3"/>
  <c r="DI264" i="3"/>
  <c r="DI265" i="3"/>
  <c r="DI266" i="3"/>
  <c r="DI267" i="3"/>
  <c r="DI268" i="3"/>
  <c r="DI269" i="3"/>
  <c r="DI270" i="3"/>
  <c r="DI271" i="3"/>
  <c r="DI272" i="3"/>
  <c r="DI273" i="3"/>
  <c r="DI274" i="3"/>
  <c r="DI275" i="3"/>
  <c r="DI276" i="3"/>
  <c r="DI277" i="3"/>
  <c r="DI278" i="3"/>
  <c r="DI279" i="3"/>
  <c r="DI280" i="3"/>
  <c r="DI281" i="3"/>
  <c r="DI282" i="3"/>
  <c r="DI283" i="3"/>
  <c r="DI284" i="3"/>
  <c r="DI285" i="3"/>
  <c r="DI286" i="3"/>
  <c r="DI287" i="3"/>
  <c r="DI288" i="3"/>
  <c r="DI289" i="3"/>
  <c r="DI290" i="3"/>
  <c r="DI291" i="3"/>
  <c r="DI292" i="3"/>
  <c r="DI293" i="3"/>
  <c r="DI294" i="3"/>
  <c r="DI295" i="3"/>
  <c r="DI296" i="3"/>
  <c r="DI297" i="3"/>
  <c r="DI298" i="3"/>
  <c r="DI299" i="3"/>
  <c r="DI300" i="3"/>
  <c r="DI301" i="3"/>
  <c r="DI302" i="3"/>
  <c r="DI303" i="3"/>
  <c r="DI304" i="3"/>
  <c r="DI305" i="3"/>
  <c r="DI306" i="3"/>
  <c r="DI307" i="3"/>
  <c r="DI308" i="3"/>
  <c r="DI309" i="3"/>
  <c r="DI310" i="3"/>
  <c r="DI311" i="3"/>
  <c r="DI312" i="3"/>
  <c r="DI313" i="3"/>
  <c r="DI314" i="3"/>
  <c r="DI315" i="3"/>
  <c r="DI316" i="3"/>
  <c r="DI317" i="3"/>
  <c r="DI318" i="3"/>
  <c r="DI319" i="3"/>
  <c r="DI320" i="3"/>
  <c r="DI321" i="3"/>
  <c r="DI322" i="3"/>
  <c r="DI323" i="3"/>
  <c r="DI324" i="3"/>
  <c r="DI325" i="3"/>
  <c r="DI326" i="3"/>
  <c r="DI327" i="3"/>
  <c r="DI328" i="3"/>
  <c r="DI329" i="3"/>
  <c r="DI330" i="3"/>
  <c r="DI331" i="3"/>
  <c r="DI332" i="3"/>
  <c r="DI333" i="3"/>
  <c r="DI334" i="3"/>
  <c r="DI335" i="3"/>
  <c r="DI336" i="3"/>
  <c r="DI337" i="3"/>
  <c r="DI338" i="3"/>
  <c r="DI339" i="3"/>
  <c r="DI340" i="3"/>
  <c r="DI341" i="3"/>
  <c r="DI342" i="3"/>
  <c r="DI343" i="3"/>
  <c r="DI344" i="3"/>
  <c r="DI345" i="3"/>
  <c r="DI346" i="3"/>
  <c r="DI347" i="3"/>
  <c r="DI348" i="3"/>
  <c r="DI349" i="3"/>
  <c r="DI350" i="3"/>
  <c r="DI351" i="3"/>
  <c r="DI352" i="3"/>
  <c r="DI353" i="3"/>
  <c r="DI354" i="3"/>
  <c r="DI355" i="3"/>
  <c r="DI356" i="3"/>
  <c r="DI357" i="3"/>
  <c r="DI358" i="3"/>
  <c r="DI359" i="3"/>
  <c r="DI360" i="3"/>
  <c r="DI361" i="3"/>
  <c r="DI362" i="3"/>
  <c r="DI363" i="3"/>
  <c r="DI364" i="3"/>
  <c r="DI365" i="3"/>
  <c r="DI366" i="3"/>
  <c r="DI367" i="3"/>
  <c r="DI368" i="3"/>
  <c r="DI369" i="3"/>
  <c r="DI370" i="3"/>
  <c r="DI371" i="3"/>
  <c r="DI372" i="3"/>
  <c r="DI373" i="3"/>
  <c r="DI374" i="3"/>
  <c r="DI375" i="3"/>
  <c r="DI376" i="3"/>
  <c r="DI377" i="3"/>
  <c r="DI378" i="3"/>
  <c r="DI379" i="3"/>
  <c r="DI380" i="3"/>
  <c r="DI381" i="3"/>
  <c r="DI382" i="3"/>
  <c r="DI383" i="3"/>
  <c r="DI384" i="3"/>
  <c r="DI385" i="3"/>
  <c r="DI386" i="3"/>
  <c r="DI387" i="3"/>
  <c r="DI388" i="3"/>
  <c r="DI389" i="3"/>
  <c r="DI390" i="3"/>
  <c r="DI391" i="3"/>
  <c r="DI392" i="3"/>
  <c r="DI393" i="3"/>
  <c r="DI394" i="3"/>
  <c r="DI395" i="3"/>
  <c r="DI396" i="3"/>
  <c r="DI397" i="3"/>
  <c r="DI398" i="3"/>
  <c r="DI399" i="3"/>
  <c r="DI400" i="3"/>
  <c r="DI401" i="3"/>
  <c r="DI402" i="3"/>
  <c r="DI403" i="3"/>
  <c r="DI404" i="3"/>
  <c r="DI405" i="3"/>
  <c r="DI406" i="3"/>
  <c r="DI407" i="3"/>
  <c r="DI408" i="3"/>
  <c r="DI409" i="3"/>
  <c r="DI410" i="3"/>
  <c r="DI411" i="3"/>
  <c r="DI412" i="3"/>
  <c r="DI413" i="3"/>
  <c r="DI414" i="3"/>
  <c r="DI415" i="3"/>
  <c r="DI416" i="3"/>
  <c r="DI417" i="3"/>
  <c r="DI418" i="3"/>
  <c r="DI419" i="3"/>
  <c r="DI420" i="3"/>
  <c r="DI421" i="3"/>
  <c r="DI422" i="3"/>
  <c r="DI423" i="3"/>
  <c r="DI424" i="3"/>
  <c r="DI425" i="3"/>
  <c r="DI426" i="3"/>
  <c r="DI427" i="3"/>
  <c r="DI428" i="3"/>
  <c r="DI429" i="3"/>
  <c r="DI430" i="3"/>
  <c r="DI431" i="3"/>
  <c r="DI432" i="3"/>
  <c r="DI433" i="3"/>
  <c r="DI434" i="3"/>
  <c r="DI435" i="3"/>
  <c r="DI436" i="3"/>
  <c r="DI437" i="3"/>
  <c r="DI438" i="3"/>
  <c r="DI439" i="3"/>
  <c r="DI440" i="3"/>
  <c r="DI441" i="3"/>
  <c r="DI442" i="3"/>
  <c r="DI443" i="3"/>
  <c r="DI444" i="3"/>
  <c r="DI445" i="3"/>
  <c r="DI446" i="3"/>
  <c r="DI447" i="3"/>
  <c r="DI448" i="3"/>
  <c r="DI449" i="3"/>
  <c r="DI450" i="3"/>
  <c r="DI451" i="3"/>
  <c r="DI452" i="3"/>
  <c r="DI453" i="3"/>
  <c r="DI454" i="3"/>
  <c r="DI455" i="3"/>
  <c r="DI456" i="3"/>
  <c r="DI457" i="3"/>
  <c r="DI458" i="3"/>
  <c r="DI459" i="3"/>
  <c r="DI460" i="3"/>
  <c r="DI461" i="3"/>
  <c r="DI462" i="3"/>
  <c r="DI463" i="3"/>
  <c r="DI464" i="3"/>
  <c r="DI465" i="3"/>
  <c r="DI466" i="3"/>
  <c r="DI467" i="3"/>
  <c r="DI468" i="3"/>
  <c r="DI469" i="3"/>
  <c r="DI470" i="3"/>
  <c r="DI471" i="3"/>
  <c r="DI472" i="3"/>
  <c r="DI473" i="3"/>
  <c r="DI474" i="3"/>
  <c r="DI475" i="3"/>
  <c r="DI476" i="3"/>
  <c r="DI477" i="3"/>
  <c r="DI478" i="3"/>
  <c r="DI479" i="3"/>
  <c r="DI480" i="3"/>
  <c r="DI481" i="3"/>
  <c r="DI482" i="3"/>
  <c r="DI483" i="3"/>
  <c r="DI484" i="3"/>
  <c r="DI485" i="3"/>
  <c r="DI486" i="3"/>
  <c r="DI487" i="3"/>
  <c r="DI488" i="3"/>
  <c r="DI489" i="3"/>
  <c r="DI490" i="3"/>
  <c r="DI491" i="3"/>
  <c r="DI492" i="3"/>
  <c r="DI493" i="3"/>
  <c r="DI494" i="3"/>
  <c r="DI495" i="3"/>
  <c r="DI496" i="3"/>
  <c r="DI497" i="3"/>
  <c r="DI498" i="3"/>
  <c r="DI499" i="3"/>
  <c r="DI500" i="3"/>
  <c r="DI501" i="3"/>
  <c r="DI502" i="3"/>
  <c r="DI503" i="3"/>
  <c r="DI504" i="3"/>
  <c r="DI505" i="3"/>
  <c r="DI506" i="3"/>
  <c r="DI507" i="3"/>
  <c r="DI508" i="3"/>
  <c r="DI509" i="3"/>
  <c r="DI510" i="3"/>
  <c r="DI511" i="3"/>
  <c r="DI512" i="3"/>
  <c r="DI513" i="3"/>
  <c r="DI514" i="3"/>
  <c r="DI515" i="3"/>
  <c r="DI516" i="3"/>
  <c r="DI517" i="3"/>
  <c r="DI518" i="3"/>
  <c r="DI519" i="3"/>
  <c r="DI520" i="3"/>
  <c r="DI521" i="3"/>
  <c r="DI522" i="3"/>
  <c r="DI523" i="3"/>
  <c r="DI524" i="3"/>
  <c r="DI525" i="3"/>
  <c r="DI526" i="3"/>
  <c r="DI527" i="3"/>
  <c r="DI528" i="3"/>
  <c r="DI529" i="3"/>
  <c r="DI530" i="3"/>
  <c r="DI531" i="3"/>
  <c r="DI532" i="3"/>
  <c r="DI533" i="3"/>
  <c r="DI534" i="3"/>
  <c r="DI535" i="3"/>
  <c r="DI536" i="3"/>
  <c r="DI537" i="3"/>
  <c r="DI538" i="3"/>
  <c r="DI539" i="3"/>
  <c r="DI540" i="3"/>
  <c r="DI541" i="3"/>
  <c r="DI542" i="3"/>
  <c r="DI543" i="3"/>
  <c r="DI544" i="3"/>
  <c r="DI545" i="3"/>
  <c r="DI546" i="3"/>
  <c r="DI547" i="3"/>
  <c r="DI548" i="3"/>
  <c r="DI549" i="3"/>
  <c r="DI550" i="3"/>
  <c r="DI551" i="3"/>
  <c r="DI552" i="3"/>
  <c r="DI553" i="3"/>
  <c r="DI554" i="3"/>
  <c r="DI555" i="3"/>
  <c r="DI556" i="3"/>
  <c r="DI557" i="3"/>
  <c r="DI558" i="3"/>
  <c r="DI559" i="3"/>
  <c r="DI560" i="3"/>
  <c r="DI561" i="3"/>
  <c r="DI562" i="3"/>
  <c r="DI563" i="3"/>
  <c r="DI564" i="3"/>
  <c r="DI565" i="3"/>
  <c r="DI566" i="3"/>
  <c r="DI567" i="3"/>
  <c r="DI568" i="3"/>
  <c r="DI569" i="3"/>
  <c r="DI570" i="3"/>
  <c r="DI571" i="3"/>
  <c r="DI572" i="3"/>
  <c r="DI573" i="3"/>
  <c r="DI574" i="3"/>
  <c r="DI575" i="3"/>
  <c r="DI576" i="3"/>
  <c r="DI577" i="3"/>
  <c r="DI578" i="3"/>
  <c r="DI579" i="3"/>
  <c r="DI580" i="3"/>
  <c r="DI581" i="3"/>
  <c r="DI582" i="3"/>
  <c r="DI583" i="3"/>
  <c r="DI584" i="3"/>
  <c r="DI585" i="3"/>
  <c r="DI586" i="3"/>
  <c r="DI587" i="3"/>
  <c r="DI588" i="3"/>
  <c r="DI589" i="3"/>
  <c r="DI590" i="3"/>
  <c r="DI591" i="3"/>
  <c r="DI592" i="3"/>
  <c r="DI593" i="3"/>
  <c r="DI594" i="3"/>
  <c r="DI595" i="3"/>
  <c r="DI596" i="3"/>
  <c r="DI597" i="3"/>
  <c r="DI598" i="3"/>
  <c r="DI599" i="3"/>
  <c r="DI600" i="3"/>
  <c r="DI601" i="3"/>
  <c r="DI602" i="3"/>
  <c r="DI603" i="3"/>
  <c r="DI604" i="3"/>
  <c r="DI605" i="3"/>
  <c r="DI606" i="3"/>
  <c r="DI607" i="3"/>
  <c r="DI608" i="3"/>
  <c r="DI609" i="3"/>
  <c r="DI610" i="3"/>
  <c r="DI611" i="3"/>
  <c r="DI612" i="3"/>
  <c r="DI613" i="3"/>
  <c r="DI614" i="3"/>
  <c r="DI615" i="3"/>
  <c r="DI616" i="3"/>
  <c r="DI617" i="3"/>
  <c r="DI618" i="3"/>
  <c r="DI619" i="3"/>
  <c r="DI620" i="3"/>
  <c r="DI621" i="3"/>
  <c r="DI622" i="3"/>
  <c r="DI623" i="3"/>
  <c r="DI624" i="3"/>
  <c r="DI625" i="3"/>
  <c r="DI626" i="3"/>
  <c r="DI627" i="3"/>
  <c r="DI628" i="3"/>
  <c r="DI629" i="3"/>
  <c r="DI630" i="3"/>
  <c r="DI631" i="3"/>
  <c r="DI632" i="3"/>
  <c r="DI633" i="3"/>
  <c r="DI634" i="3"/>
  <c r="DI635" i="3"/>
  <c r="DI636" i="3"/>
  <c r="DI637" i="3"/>
  <c r="DI638" i="3"/>
  <c r="DI639" i="3"/>
  <c r="DI640" i="3"/>
  <c r="DI641" i="3"/>
  <c r="DI642" i="3"/>
  <c r="DI643" i="3"/>
  <c r="DI644" i="3"/>
  <c r="DI645" i="3"/>
  <c r="DI646" i="3"/>
  <c r="DI647" i="3"/>
  <c r="DI648" i="3"/>
  <c r="DI649" i="3"/>
  <c r="DI650" i="3"/>
  <c r="DI651" i="3"/>
  <c r="DI652" i="3"/>
  <c r="DI653" i="3"/>
  <c r="DI654" i="3"/>
  <c r="DI655" i="3"/>
  <c r="DI656" i="3"/>
  <c r="DI657" i="3"/>
  <c r="DI658" i="3"/>
  <c r="DI659" i="3"/>
  <c r="DI660" i="3"/>
  <c r="DI661" i="3"/>
  <c r="DI662" i="3"/>
  <c r="DI663" i="3"/>
  <c r="DI664" i="3"/>
  <c r="DI665" i="3"/>
  <c r="DI666" i="3"/>
  <c r="DI667" i="3"/>
  <c r="DI668" i="3"/>
  <c r="DI669" i="3"/>
  <c r="DI670" i="3"/>
  <c r="DI671" i="3"/>
  <c r="DI672" i="3"/>
  <c r="DI673" i="3"/>
  <c r="DI674" i="3"/>
  <c r="DI675" i="3"/>
  <c r="DI676" i="3"/>
  <c r="DI677" i="3"/>
  <c r="DI678" i="3"/>
  <c r="DI679" i="3"/>
  <c r="DI680" i="3"/>
  <c r="DI681" i="3"/>
  <c r="DI682" i="3"/>
  <c r="DI683" i="3"/>
  <c r="DI684" i="3"/>
  <c r="DI685" i="3"/>
  <c r="DI686" i="3"/>
  <c r="DI687" i="3"/>
  <c r="DI688" i="3"/>
  <c r="DI689" i="3"/>
  <c r="DI690" i="3"/>
  <c r="DI691" i="3"/>
  <c r="DI692" i="3"/>
  <c r="DI693" i="3"/>
  <c r="DI694" i="3"/>
  <c r="DI695" i="3"/>
  <c r="DI696" i="3"/>
  <c r="DI697" i="3"/>
  <c r="DI698" i="3"/>
  <c r="DI699" i="3"/>
  <c r="DI700" i="3"/>
  <c r="DI701" i="3"/>
  <c r="DI702" i="3"/>
  <c r="DI703" i="3"/>
  <c r="DI704" i="3"/>
  <c r="DI705" i="3"/>
  <c r="DI706" i="3"/>
  <c r="DI707" i="3"/>
  <c r="DI708" i="3"/>
  <c r="DI709" i="3"/>
  <c r="DI710" i="3"/>
  <c r="DI711" i="3"/>
  <c r="DI712" i="3"/>
  <c r="DI713" i="3"/>
  <c r="DI714" i="3"/>
  <c r="DI715" i="3"/>
  <c r="DI716" i="3"/>
  <c r="DI717" i="3"/>
  <c r="DI718" i="3"/>
  <c r="DI719" i="3"/>
  <c r="DI720" i="3"/>
  <c r="DI721" i="3"/>
  <c r="DI722" i="3"/>
  <c r="DI723" i="3"/>
  <c r="DI724" i="3"/>
  <c r="DI725" i="3"/>
  <c r="DI726" i="3"/>
  <c r="DI727" i="3"/>
  <c r="DI728" i="3"/>
  <c r="DI729" i="3"/>
  <c r="DI730" i="3"/>
  <c r="DI731" i="3"/>
  <c r="DI732" i="3"/>
  <c r="DI733" i="3"/>
  <c r="DI734" i="3"/>
  <c r="DI735" i="3"/>
  <c r="DI736" i="3"/>
  <c r="DI737" i="3"/>
  <c r="DI738" i="3"/>
  <c r="DI739" i="3"/>
  <c r="DI740" i="3"/>
  <c r="DI741" i="3"/>
  <c r="DI742" i="3"/>
  <c r="DI743" i="3"/>
  <c r="DI744" i="3"/>
  <c r="DI745" i="3"/>
  <c r="DI746" i="3"/>
  <c r="DI747" i="3"/>
  <c r="DI748" i="3"/>
  <c r="DI749" i="3"/>
  <c r="DI750" i="3"/>
  <c r="DI751" i="3"/>
  <c r="DI752" i="3"/>
  <c r="DI753" i="3"/>
  <c r="DI754" i="3"/>
  <c r="DI755" i="3"/>
  <c r="DI756" i="3"/>
  <c r="DI757" i="3"/>
  <c r="DI758" i="3"/>
  <c r="DI759" i="3"/>
  <c r="DI760" i="3"/>
  <c r="DI761" i="3"/>
  <c r="DI762" i="3"/>
  <c r="DI763" i="3"/>
  <c r="DI764" i="3"/>
  <c r="DI765" i="3"/>
  <c r="DI766" i="3"/>
  <c r="DI767" i="3"/>
  <c r="DI768" i="3"/>
  <c r="DI769" i="3"/>
  <c r="DI770" i="3"/>
  <c r="DI771" i="3"/>
  <c r="DI772" i="3"/>
  <c r="DI773" i="3"/>
  <c r="DI774" i="3"/>
  <c r="DI775" i="3"/>
  <c r="DI776" i="3"/>
  <c r="DI777" i="3"/>
  <c r="DI778" i="3"/>
  <c r="DI779" i="3"/>
  <c r="DI780" i="3"/>
  <c r="DI781" i="3"/>
  <c r="DI782" i="3"/>
  <c r="DI783" i="3"/>
  <c r="DI784" i="3"/>
  <c r="DI785" i="3"/>
  <c r="DI786" i="3"/>
  <c r="DI787" i="3"/>
  <c r="DI788" i="3"/>
  <c r="DI789" i="3"/>
  <c r="DI790" i="3"/>
  <c r="DI791" i="3"/>
  <c r="DI792" i="3"/>
  <c r="DI793" i="3"/>
  <c r="DI794" i="3"/>
  <c r="DI795" i="3"/>
  <c r="DI796" i="3"/>
  <c r="DI797" i="3"/>
  <c r="DI798" i="3"/>
  <c r="DI799" i="3"/>
  <c r="DI800" i="3"/>
  <c r="DI801" i="3"/>
  <c r="DI802" i="3"/>
  <c r="DI803" i="3"/>
  <c r="DI804" i="3"/>
  <c r="DI805" i="3"/>
  <c r="DI806" i="3"/>
  <c r="DI807" i="3"/>
  <c r="DI808" i="3"/>
  <c r="DI809" i="3"/>
  <c r="DI810" i="3"/>
  <c r="DI811" i="3"/>
  <c r="DI812" i="3"/>
  <c r="DI813" i="3"/>
  <c r="DI814" i="3"/>
  <c r="DI815" i="3"/>
  <c r="DI816" i="3"/>
  <c r="DI817" i="3"/>
  <c r="DI818" i="3"/>
  <c r="DI819" i="3"/>
  <c r="DI820" i="3"/>
  <c r="DI821" i="3"/>
  <c r="DI822" i="3"/>
  <c r="DI823" i="3"/>
  <c r="DI824" i="3"/>
  <c r="DI825" i="3"/>
  <c r="DI826" i="3"/>
  <c r="DI827" i="3"/>
  <c r="DI828" i="3"/>
  <c r="DI829" i="3"/>
  <c r="DI830" i="3"/>
  <c r="DI831" i="3"/>
  <c r="DI832" i="3"/>
  <c r="DI833" i="3"/>
  <c r="DI834" i="3"/>
  <c r="DI835" i="3"/>
  <c r="DI836" i="3"/>
  <c r="DI837" i="3"/>
  <c r="DI838" i="3"/>
  <c r="DI839" i="3"/>
  <c r="DI840" i="3"/>
  <c r="DI841" i="3"/>
  <c r="DI842" i="3"/>
  <c r="DI843" i="3"/>
  <c r="DI844" i="3"/>
  <c r="DI845" i="3"/>
  <c r="DI846" i="3"/>
  <c r="DI847" i="3"/>
  <c r="DI848" i="3"/>
  <c r="DI849" i="3"/>
  <c r="DI850" i="3"/>
  <c r="DI851" i="3"/>
  <c r="DI852" i="3"/>
  <c r="DI853" i="3"/>
  <c r="DI854" i="3"/>
  <c r="DI855" i="3"/>
  <c r="DI856" i="3"/>
  <c r="DI857" i="3"/>
  <c r="DI858" i="3"/>
  <c r="DI859" i="3"/>
  <c r="DI860" i="3"/>
  <c r="DI861" i="3"/>
  <c r="DI862" i="3"/>
  <c r="DI863" i="3"/>
  <c r="DI864" i="3"/>
  <c r="DI865" i="3"/>
  <c r="DI866" i="3"/>
  <c r="DI867" i="3"/>
  <c r="DI868" i="3"/>
  <c r="DI869" i="3"/>
  <c r="DI870" i="3"/>
  <c r="DI871" i="3"/>
  <c r="DI872" i="3"/>
  <c r="DI873" i="3"/>
  <c r="DI874" i="3"/>
  <c r="DI875" i="3"/>
  <c r="DI876" i="3"/>
  <c r="DI877" i="3"/>
  <c r="DI878" i="3"/>
  <c r="DI879" i="3"/>
  <c r="DI880" i="3"/>
  <c r="DI881" i="3"/>
  <c r="DI882" i="3"/>
  <c r="DI883" i="3"/>
  <c r="DI884" i="3"/>
  <c r="DI885" i="3"/>
  <c r="DI886" i="3"/>
  <c r="DI887" i="3"/>
  <c r="DI888" i="3"/>
  <c r="DI889" i="3"/>
  <c r="DI890" i="3"/>
  <c r="DI891" i="3"/>
  <c r="DI892" i="3"/>
  <c r="DI893" i="3"/>
  <c r="DI894" i="3"/>
  <c r="DI895" i="3"/>
  <c r="DI896" i="3"/>
  <c r="DI897" i="3"/>
  <c r="DI898" i="3"/>
  <c r="DI899" i="3"/>
  <c r="DI900" i="3"/>
  <c r="DI901" i="3"/>
  <c r="DI902" i="3"/>
  <c r="DI903" i="3"/>
  <c r="DI904" i="3"/>
  <c r="DI905" i="3"/>
  <c r="DI906" i="3"/>
  <c r="DI907" i="3"/>
  <c r="DI908" i="3"/>
  <c r="DI909" i="3"/>
  <c r="DI910" i="3"/>
  <c r="DI911" i="3"/>
  <c r="DI912" i="3"/>
  <c r="DI913" i="3"/>
  <c r="DI914" i="3"/>
  <c r="DI915" i="3"/>
  <c r="DI916" i="3"/>
  <c r="DI917" i="3"/>
  <c r="DI918" i="3"/>
  <c r="DI919" i="3"/>
  <c r="DI920" i="3"/>
  <c r="DI921" i="3"/>
  <c r="DI922" i="3"/>
  <c r="DI923" i="3"/>
  <c r="DI924" i="3"/>
  <c r="DI925" i="3"/>
  <c r="DI926" i="3"/>
  <c r="DI927" i="3"/>
  <c r="DI928" i="3"/>
  <c r="DI929" i="3"/>
  <c r="DI930" i="3"/>
  <c r="DI931" i="3"/>
  <c r="DI932" i="3"/>
  <c r="DI933" i="3"/>
  <c r="DI934" i="3"/>
  <c r="DI935" i="3"/>
  <c r="DI936" i="3"/>
  <c r="DI937" i="3"/>
  <c r="DI938" i="3"/>
  <c r="DI939" i="3"/>
  <c r="DI940" i="3"/>
  <c r="DI941" i="3"/>
  <c r="DI942" i="3"/>
  <c r="DI943" i="3"/>
  <c r="DI944" i="3"/>
  <c r="DI945" i="3"/>
  <c r="DI946" i="3"/>
  <c r="DI947" i="3"/>
  <c r="DI948" i="3"/>
  <c r="DI949" i="3"/>
  <c r="DI950" i="3"/>
  <c r="DI951" i="3"/>
  <c r="DI952" i="3"/>
  <c r="DI953" i="3"/>
  <c r="DI954" i="3"/>
  <c r="DI955" i="3"/>
  <c r="DI956" i="3"/>
  <c r="DI957" i="3"/>
  <c r="DI958" i="3"/>
  <c r="DI959" i="3"/>
  <c r="DI960" i="3"/>
  <c r="DI961" i="3"/>
  <c r="DI962" i="3"/>
  <c r="DI963" i="3"/>
  <c r="DI964" i="3"/>
  <c r="DI965" i="3"/>
  <c r="DI966" i="3"/>
  <c r="DI967" i="3"/>
  <c r="DI968" i="3"/>
  <c r="DI969" i="3"/>
  <c r="DI970" i="3"/>
  <c r="DI971" i="3"/>
  <c r="DI972" i="3"/>
  <c r="DI973" i="3"/>
  <c r="DI974" i="3"/>
  <c r="DI975" i="3"/>
  <c r="DI976" i="3"/>
  <c r="DI977" i="3"/>
  <c r="DI978" i="3"/>
  <c r="DI979" i="3"/>
  <c r="DI980" i="3"/>
  <c r="DI981" i="3"/>
  <c r="DI982" i="3"/>
  <c r="DI983" i="3"/>
  <c r="DI984" i="3"/>
  <c r="DI985" i="3"/>
  <c r="DI986" i="3"/>
  <c r="DI987" i="3"/>
  <c r="DI988" i="3"/>
  <c r="DI989" i="3"/>
  <c r="DI990" i="3"/>
  <c r="DI991" i="3"/>
  <c r="DI992" i="3"/>
  <c r="DI993" i="3"/>
  <c r="DI994" i="3"/>
  <c r="DI995" i="3"/>
  <c r="DI996" i="3"/>
  <c r="DI997" i="3"/>
  <c r="DI998" i="3"/>
  <c r="DI999" i="3"/>
  <c r="DI1000" i="3"/>
  <c r="DI1001" i="3"/>
  <c r="DI1002" i="3"/>
  <c r="DI1003" i="3"/>
  <c r="DI1004" i="3"/>
  <c r="DI1005" i="3"/>
  <c r="DI1006" i="3"/>
  <c r="DI1007" i="3"/>
  <c r="DI1008" i="3"/>
  <c r="DI1009" i="3"/>
  <c r="DI1010" i="3"/>
  <c r="DI1011" i="3"/>
  <c r="DI1012" i="3"/>
  <c r="DI1013" i="3"/>
  <c r="DI1014" i="3"/>
  <c r="DI1015" i="3"/>
  <c r="DI1016" i="3"/>
  <c r="DI1017" i="3"/>
  <c r="DI1018" i="3"/>
  <c r="DI1019" i="3"/>
  <c r="DI1020" i="3"/>
  <c r="DI1021" i="3"/>
  <c r="DI1022" i="3"/>
  <c r="DI1023" i="3"/>
  <c r="DI1024" i="3"/>
  <c r="DI1025" i="3"/>
  <c r="DI1026" i="3"/>
  <c r="DI1027" i="3"/>
  <c r="DI1028" i="3"/>
  <c r="DI1029" i="3"/>
  <c r="DI1030" i="3"/>
  <c r="DI1031" i="3"/>
  <c r="DI1032" i="3"/>
  <c r="DI1033" i="3"/>
  <c r="DI1034" i="3"/>
  <c r="DI1035" i="3"/>
  <c r="DI1036" i="3"/>
  <c r="DI1037" i="3"/>
  <c r="DI1038" i="3"/>
  <c r="DI1039" i="3"/>
  <c r="DI1040" i="3"/>
  <c r="DI1041" i="3"/>
  <c r="DI1042" i="3"/>
  <c r="DI1043" i="3"/>
  <c r="DI1044" i="3"/>
  <c r="DI1045" i="3"/>
  <c r="DI1046" i="3"/>
  <c r="DI1047" i="3"/>
  <c r="DI1048" i="3"/>
  <c r="DI1049" i="3"/>
  <c r="DI1050" i="3"/>
  <c r="DI1051" i="3"/>
  <c r="DI1052" i="3"/>
  <c r="DI1053" i="3"/>
  <c r="DI1054" i="3"/>
  <c r="DI1055" i="3"/>
  <c r="DI1056" i="3"/>
  <c r="DI1057" i="3"/>
  <c r="DI1058" i="3"/>
  <c r="DI1059" i="3"/>
  <c r="DI1060" i="3"/>
  <c r="DI1061" i="3"/>
  <c r="DI1062" i="3"/>
  <c r="DI1063" i="3"/>
  <c r="DI1064" i="3"/>
  <c r="DI1065" i="3"/>
  <c r="DI1066" i="3"/>
  <c r="DI1067" i="3"/>
  <c r="DI1068" i="3"/>
  <c r="DI1069" i="3"/>
  <c r="DI1070" i="3"/>
  <c r="DI1071" i="3"/>
  <c r="DI1072" i="3"/>
  <c r="DI1073" i="3"/>
  <c r="DI1074" i="3"/>
  <c r="DI1075" i="3"/>
  <c r="DI1076" i="3"/>
  <c r="DI1077" i="3"/>
  <c r="DI1078" i="3"/>
  <c r="DI1079" i="3"/>
  <c r="DI1080" i="3"/>
  <c r="DI1081" i="3"/>
  <c r="DI1082" i="3"/>
  <c r="DI1083" i="3"/>
  <c r="DI1084" i="3"/>
  <c r="DI1085" i="3"/>
  <c r="DI1086" i="3"/>
  <c r="DI1087" i="3"/>
  <c r="DI1088" i="3"/>
  <c r="DI1089" i="3"/>
  <c r="DI1090" i="3"/>
  <c r="DI1091" i="3"/>
  <c r="DI1092" i="3"/>
  <c r="DI1093" i="3"/>
  <c r="DI1094" i="3"/>
  <c r="DI1095" i="3"/>
  <c r="DI1096" i="3"/>
  <c r="DI1097" i="3"/>
  <c r="DI1098" i="3"/>
  <c r="DI1099" i="3"/>
  <c r="DI1100" i="3"/>
  <c r="DI1101" i="3"/>
  <c r="DI1102" i="3"/>
  <c r="DI1103" i="3"/>
  <c r="DI1104" i="3"/>
  <c r="DI1105" i="3"/>
  <c r="DI1106" i="3"/>
  <c r="DI1107" i="3"/>
  <c r="DI1108" i="3"/>
  <c r="DI1109" i="3"/>
  <c r="DI1110" i="3"/>
  <c r="DI1111" i="3"/>
  <c r="DI1112" i="3"/>
  <c r="DI1113" i="3"/>
  <c r="DI1114" i="3"/>
  <c r="DI1115" i="3"/>
  <c r="DI1116" i="3"/>
  <c r="DI1117" i="3"/>
  <c r="DI1118" i="3"/>
  <c r="DI1119" i="3"/>
  <c r="DI1120" i="3"/>
  <c r="DI1121" i="3"/>
  <c r="DI1122" i="3"/>
  <c r="DI1123" i="3"/>
  <c r="DI1124" i="3"/>
  <c r="DI1125" i="3"/>
  <c r="DI1126" i="3"/>
  <c r="DI1127" i="3"/>
  <c r="DI1128" i="3"/>
  <c r="DI1129" i="3"/>
  <c r="DI1130" i="3"/>
  <c r="DI1131" i="3"/>
  <c r="DI1132" i="3"/>
  <c r="DI1133" i="3"/>
  <c r="DI1134" i="3"/>
  <c r="DI1135" i="3"/>
  <c r="DI1136" i="3"/>
  <c r="DI1137" i="3"/>
  <c r="DI1138" i="3"/>
  <c r="DI1139" i="3"/>
  <c r="DI1140" i="3"/>
  <c r="DI1141" i="3"/>
  <c r="DI1142" i="3"/>
  <c r="DI1143" i="3"/>
  <c r="DI1144" i="3"/>
  <c r="DI1145" i="3"/>
  <c r="DI1146" i="3"/>
  <c r="DI1147" i="3"/>
  <c r="DI1148" i="3"/>
  <c r="DI1149" i="3"/>
  <c r="DI1150" i="3"/>
  <c r="DI1151" i="3"/>
  <c r="DI1152" i="3"/>
  <c r="DI1153" i="3"/>
  <c r="DI1154" i="3"/>
  <c r="DI1155" i="3"/>
  <c r="DI1156" i="3"/>
  <c r="DI1157" i="3"/>
  <c r="DI1158" i="3"/>
  <c r="DI1159" i="3"/>
  <c r="DI1160" i="3"/>
  <c r="DI1161" i="3"/>
  <c r="DI1162" i="3"/>
  <c r="DI1163" i="3"/>
  <c r="DI1164" i="3"/>
  <c r="DI1165" i="3"/>
  <c r="DI1166" i="3"/>
  <c r="DI1167" i="3"/>
  <c r="DI1168" i="3"/>
  <c r="DI1169" i="3"/>
  <c r="DI1170" i="3"/>
  <c r="DI1171" i="3"/>
  <c r="DI1172" i="3"/>
  <c r="DI1173" i="3"/>
  <c r="DI1174" i="3"/>
  <c r="DI1175" i="3"/>
  <c r="DI1176" i="3"/>
  <c r="DI1177" i="3"/>
  <c r="DI1178" i="3"/>
  <c r="DI1179" i="3"/>
  <c r="DI1180" i="3"/>
  <c r="DI1181" i="3"/>
  <c r="DI1182" i="3"/>
  <c r="DI1183" i="3"/>
  <c r="DI1184" i="3"/>
  <c r="DI1185" i="3"/>
  <c r="DI1186" i="3"/>
  <c r="DI1187" i="3"/>
  <c r="DI1188" i="3"/>
  <c r="DI1189" i="3"/>
  <c r="DI1190" i="3"/>
  <c r="DI1191" i="3"/>
  <c r="DI1192" i="3"/>
  <c r="DI1193" i="3"/>
  <c r="DI1194" i="3"/>
  <c r="DI1195" i="3"/>
  <c r="DI1196" i="3"/>
  <c r="DI1197" i="3"/>
  <c r="DI1198" i="3"/>
  <c r="DI1199" i="3"/>
  <c r="DI1200" i="3"/>
  <c r="DI1201" i="3"/>
  <c r="DI1202" i="3"/>
  <c r="DI1203" i="3"/>
  <c r="DI1204" i="3"/>
  <c r="DI1205" i="3"/>
  <c r="DI1206" i="3"/>
  <c r="DI1207" i="3"/>
  <c r="DI1208" i="3"/>
  <c r="DI1209" i="3"/>
  <c r="DI1210" i="3"/>
  <c r="DI1211" i="3"/>
  <c r="DI1212" i="3"/>
  <c r="DI1213" i="3"/>
  <c r="DI1214" i="3"/>
  <c r="DI1215" i="3"/>
  <c r="DI1216" i="3"/>
  <c r="DI1217" i="3"/>
  <c r="DI1218" i="3"/>
  <c r="DI1219" i="3"/>
  <c r="DI1220" i="3"/>
  <c r="DI1221" i="3"/>
  <c r="DI1222" i="3"/>
  <c r="DI1223" i="3"/>
  <c r="DI1224" i="3"/>
  <c r="DI1225" i="3"/>
  <c r="DI1226" i="3"/>
  <c r="DI1227" i="3"/>
  <c r="DI1228" i="3"/>
  <c r="DI1229" i="3"/>
  <c r="DI1230" i="3"/>
  <c r="DI1231" i="3"/>
  <c r="DI1232" i="3"/>
  <c r="DI1233" i="3"/>
  <c r="DI1234" i="3"/>
  <c r="DI1235" i="3"/>
  <c r="DI1236" i="3"/>
  <c r="DI1237" i="3"/>
  <c r="DI1238" i="3"/>
  <c r="DI1239" i="3"/>
  <c r="DI1240" i="3"/>
  <c r="DI1241" i="3"/>
  <c r="DI1242" i="3"/>
  <c r="DI1243" i="3"/>
  <c r="DI1244" i="3"/>
  <c r="DI1245" i="3"/>
  <c r="DI1246" i="3"/>
  <c r="DI1247" i="3"/>
  <c r="DI1248" i="3"/>
  <c r="DI1249" i="3"/>
  <c r="DI1250" i="3"/>
  <c r="DI1251" i="3"/>
  <c r="DI1252" i="3"/>
  <c r="DI1253" i="3"/>
  <c r="DI1254" i="3"/>
  <c r="DI1255" i="3"/>
  <c r="DI1256" i="3"/>
  <c r="DI1257" i="3"/>
  <c r="DI1258" i="3"/>
  <c r="DI1259" i="3"/>
  <c r="DI1260" i="3"/>
  <c r="DI1261" i="3"/>
  <c r="DI1262" i="3"/>
  <c r="DI1263" i="3"/>
  <c r="DI1264" i="3"/>
  <c r="DI1265" i="3"/>
  <c r="DI1266" i="3"/>
  <c r="DI1267" i="3"/>
  <c r="DI1268" i="3"/>
  <c r="DI1269" i="3"/>
  <c r="DI1270" i="3"/>
  <c r="DI1271" i="3"/>
  <c r="DI1272" i="3"/>
  <c r="DI1273" i="3"/>
  <c r="DI1274" i="3"/>
  <c r="DI1275" i="3"/>
  <c r="DI1276" i="3"/>
  <c r="DI1277" i="3"/>
  <c r="DI1278" i="3"/>
  <c r="DI1279" i="3"/>
  <c r="DI1280" i="3"/>
  <c r="DI1281" i="3"/>
  <c r="DI1282" i="3"/>
  <c r="DI1283" i="3"/>
  <c r="DI1284" i="3"/>
  <c r="DI1285" i="3"/>
  <c r="DI1286" i="3"/>
  <c r="DI1287" i="3"/>
  <c r="DI1288" i="3"/>
  <c r="DI1289" i="3"/>
  <c r="DI1290" i="3"/>
  <c r="DI1291" i="3"/>
  <c r="DI1292" i="3"/>
  <c r="DI1293" i="3"/>
  <c r="DI1294" i="3"/>
  <c r="DI1295" i="3"/>
  <c r="DI1296" i="3"/>
  <c r="DI1297" i="3"/>
  <c r="DI1298" i="3"/>
  <c r="DI1299" i="3"/>
  <c r="DI1300" i="3"/>
  <c r="DI1301" i="3"/>
  <c r="DI1302" i="3"/>
  <c r="DI1303" i="3"/>
  <c r="DI1304" i="3"/>
  <c r="DI1305" i="3"/>
  <c r="DI1306" i="3"/>
  <c r="DI1307" i="3"/>
  <c r="DI1308" i="3"/>
  <c r="DI1309" i="3"/>
  <c r="DI1310" i="3"/>
  <c r="DI1311" i="3"/>
  <c r="DI1312" i="3"/>
  <c r="DI1313" i="3"/>
  <c r="DI1314" i="3"/>
  <c r="DI1315" i="3"/>
  <c r="DI1316" i="3"/>
  <c r="DI1317" i="3"/>
  <c r="DI1318" i="3"/>
  <c r="DI1319" i="3"/>
  <c r="DI1320" i="3"/>
  <c r="DI1321" i="3"/>
  <c r="DI1322" i="3"/>
  <c r="DI1323" i="3"/>
  <c r="DI1324" i="3"/>
  <c r="DI1325" i="3"/>
  <c r="DI1326" i="3"/>
  <c r="DI1327" i="3"/>
  <c r="DI1328" i="3"/>
  <c r="DI1329" i="3"/>
  <c r="DI1330" i="3"/>
  <c r="DI1331" i="3"/>
  <c r="DI1332" i="3"/>
  <c r="DI1333" i="3"/>
  <c r="DI1334" i="3"/>
  <c r="DI1335" i="3"/>
  <c r="DI1336" i="3"/>
  <c r="DI1337" i="3"/>
  <c r="DI1338" i="3"/>
  <c r="DI1339" i="3"/>
  <c r="DI1340" i="3"/>
  <c r="DI1341" i="3"/>
  <c r="DI1342" i="3"/>
  <c r="DI1343" i="3"/>
  <c r="DI1344" i="3"/>
  <c r="DI1345" i="3"/>
  <c r="DI1346" i="3"/>
  <c r="DI1347" i="3"/>
  <c r="DI1348" i="3"/>
  <c r="DI1349" i="3"/>
  <c r="DI1350" i="3"/>
  <c r="DI1351" i="3"/>
  <c r="DI1352" i="3"/>
  <c r="DI1353" i="3"/>
  <c r="DI1354" i="3"/>
  <c r="DI1355" i="3"/>
  <c r="DI1356" i="3"/>
  <c r="DI1357" i="3"/>
  <c r="DI1358" i="3"/>
  <c r="DI1359" i="3"/>
  <c r="DI1360" i="3"/>
  <c r="DI1361" i="3"/>
  <c r="DI1362" i="3"/>
  <c r="DI1363" i="3"/>
  <c r="DI1364" i="3"/>
  <c r="DI1365" i="3"/>
  <c r="DI1366" i="3"/>
  <c r="DI1367" i="3"/>
  <c r="DI1368" i="3"/>
  <c r="DI1369" i="3"/>
  <c r="DI1370" i="3"/>
  <c r="DI1371" i="3"/>
  <c r="DI1372" i="3"/>
  <c r="DI1373" i="3"/>
  <c r="DI1374" i="3"/>
  <c r="DI1375" i="3"/>
  <c r="DI1376" i="3"/>
  <c r="DI1377" i="3"/>
  <c r="DI1378" i="3"/>
  <c r="DI1379" i="3"/>
  <c r="DI1380" i="3"/>
  <c r="DI1381" i="3"/>
  <c r="DI1382" i="3"/>
  <c r="DI1383" i="3"/>
  <c r="DI1384" i="3"/>
  <c r="DI1385" i="3"/>
  <c r="DI1386" i="3"/>
  <c r="DI1387" i="3"/>
  <c r="DI1388" i="3"/>
  <c r="DI1389" i="3"/>
  <c r="DI1390" i="3"/>
  <c r="DI1391" i="3"/>
  <c r="DI1392" i="3"/>
  <c r="DI1393" i="3"/>
  <c r="DI1394" i="3"/>
  <c r="DI1395" i="3"/>
  <c r="DI1396" i="3"/>
  <c r="DI1397" i="3"/>
  <c r="DI1398" i="3"/>
  <c r="DI1399" i="3"/>
  <c r="DI1400" i="3"/>
  <c r="DI1401" i="3"/>
  <c r="DI1402" i="3"/>
  <c r="DI1403" i="3"/>
  <c r="DI1404" i="3"/>
  <c r="DI1405" i="3"/>
  <c r="DI1406" i="3"/>
  <c r="DI1407" i="3"/>
  <c r="DI1408" i="3"/>
  <c r="DI1409" i="3"/>
  <c r="DI1410" i="3"/>
  <c r="DI1411" i="3"/>
  <c r="DI1412" i="3"/>
  <c r="DI1413" i="3"/>
  <c r="DI1414" i="3"/>
  <c r="DI1415" i="3"/>
  <c r="DI1416" i="3"/>
  <c r="DI1417" i="3"/>
  <c r="DI1418" i="3"/>
  <c r="DI1419" i="3"/>
  <c r="DI1420" i="3"/>
  <c r="DI1421" i="3"/>
  <c r="DI1422" i="3"/>
  <c r="DI1423" i="3"/>
  <c r="DI1424" i="3"/>
  <c r="DI1425" i="3"/>
  <c r="DI1426" i="3"/>
  <c r="DI1427" i="3"/>
  <c r="DI1428" i="3"/>
  <c r="DI1429" i="3"/>
  <c r="DI1430" i="3"/>
  <c r="DI1431" i="3"/>
  <c r="DI1432" i="3"/>
  <c r="DI1433" i="3"/>
  <c r="DI1434" i="3"/>
  <c r="DI1435" i="3"/>
  <c r="DI1436" i="3"/>
  <c r="DI1437" i="3"/>
  <c r="DI1438" i="3"/>
  <c r="DI1439" i="3"/>
  <c r="DI1440" i="3"/>
  <c r="DI1441" i="3"/>
  <c r="DI1442" i="3"/>
  <c r="DI1443" i="3"/>
  <c r="DI1444" i="3"/>
  <c r="DI1445" i="3"/>
  <c r="DI1446" i="3"/>
  <c r="DI1447" i="3"/>
  <c r="DI1448" i="3"/>
  <c r="DI1449" i="3"/>
  <c r="DI1450" i="3"/>
  <c r="DI1451" i="3"/>
  <c r="DI1452" i="3"/>
  <c r="DI1453" i="3"/>
  <c r="DI1454" i="3"/>
  <c r="DI1455" i="3"/>
  <c r="DI1456" i="3"/>
  <c r="DI1457" i="3"/>
  <c r="DI1458" i="3"/>
  <c r="DI1459" i="3"/>
  <c r="DI1460" i="3"/>
  <c r="DI1461" i="3"/>
  <c r="DI1462" i="3"/>
  <c r="DI1463" i="3"/>
  <c r="DI1464" i="3"/>
  <c r="DI1465" i="3"/>
  <c r="DI1466" i="3"/>
  <c r="DI1467" i="3"/>
  <c r="DI1468" i="3"/>
  <c r="DI1469" i="3"/>
  <c r="DI1470" i="3"/>
  <c r="DI1471" i="3"/>
  <c r="DI1472" i="3"/>
  <c r="DI1473" i="3"/>
  <c r="DI1474" i="3"/>
  <c r="DI1475" i="3"/>
  <c r="DI1476" i="3"/>
  <c r="DI1477" i="3"/>
  <c r="DI1478" i="3"/>
  <c r="DI1479" i="3"/>
  <c r="DI1480" i="3"/>
  <c r="DI1481" i="3"/>
  <c r="DI1482" i="3"/>
  <c r="DI1483" i="3"/>
  <c r="DI1484" i="3"/>
  <c r="DI1485" i="3"/>
  <c r="DI1486" i="3"/>
  <c r="DI1487" i="3"/>
  <c r="DI1488" i="3"/>
  <c r="DI1489" i="3"/>
  <c r="DI1490" i="3"/>
  <c r="DI1491" i="3"/>
  <c r="DI1492" i="3"/>
  <c r="DI1493" i="3"/>
  <c r="DI1494" i="3"/>
  <c r="DI1495" i="3"/>
  <c r="DI1496" i="3"/>
  <c r="DI1497" i="3"/>
  <c r="DI1498" i="3"/>
  <c r="DI1499" i="3"/>
  <c r="DI1500" i="3"/>
  <c r="DI1501" i="3"/>
  <c r="DI1502" i="3"/>
  <c r="DI1503" i="3"/>
  <c r="DI1504" i="3"/>
  <c r="DI1505" i="3"/>
  <c r="DI1506" i="3"/>
  <c r="DI1507" i="3"/>
  <c r="DI1508" i="3"/>
  <c r="DI1509" i="3"/>
  <c r="DI1510" i="3"/>
  <c r="DI1511" i="3"/>
  <c r="DI1512" i="3"/>
  <c r="DI1513" i="3"/>
  <c r="DI1514" i="3"/>
  <c r="DI1515" i="3"/>
  <c r="DI1516" i="3"/>
  <c r="DI1517" i="3"/>
  <c r="DI1518" i="3"/>
  <c r="DI1519" i="3"/>
  <c r="DI1520" i="3"/>
  <c r="DI1521" i="3"/>
  <c r="DI1522" i="3"/>
  <c r="DI1523" i="3"/>
  <c r="DI1524" i="3"/>
  <c r="DI1525" i="3"/>
  <c r="DI1526" i="3"/>
  <c r="DI1527" i="3"/>
  <c r="DI1528" i="3"/>
  <c r="DI1529" i="3"/>
  <c r="DI1530" i="3"/>
  <c r="DI1531" i="3"/>
  <c r="DI1532" i="3"/>
  <c r="DI1533" i="3"/>
  <c r="DI1534" i="3"/>
  <c r="DI1535" i="3"/>
  <c r="DI1536" i="3"/>
  <c r="DI1537" i="3"/>
  <c r="DI1538" i="3"/>
  <c r="DI1539" i="3"/>
  <c r="DI1540" i="3"/>
  <c r="DI1541" i="3"/>
  <c r="DI1542" i="3"/>
  <c r="DI1543" i="3"/>
  <c r="DI1544" i="3"/>
  <c r="DI1545" i="3"/>
  <c r="DI1546" i="3"/>
  <c r="DI1547" i="3"/>
  <c r="DI1548" i="3"/>
  <c r="DI1549" i="3"/>
  <c r="DI1550" i="3"/>
  <c r="DI1551" i="3"/>
  <c r="DI1552" i="3"/>
  <c r="DI1553" i="3"/>
  <c r="DI1554" i="3"/>
  <c r="DI1555" i="3"/>
  <c r="DI1556" i="3"/>
  <c r="DI1557" i="3"/>
  <c r="DI1558" i="3"/>
  <c r="DI1559" i="3"/>
  <c r="DI1560" i="3"/>
  <c r="DI1561" i="3"/>
  <c r="DI1562" i="3"/>
  <c r="DI1563" i="3"/>
  <c r="DI1564" i="3"/>
  <c r="DI1565" i="3"/>
  <c r="DI1566" i="3"/>
  <c r="DI1567" i="3"/>
  <c r="DI1568" i="3"/>
  <c r="DI1569" i="3"/>
  <c r="DI1570" i="3"/>
  <c r="DI1571" i="3"/>
  <c r="DI1572" i="3"/>
  <c r="DI1573" i="3"/>
  <c r="DI1574" i="3"/>
  <c r="DI1575" i="3"/>
  <c r="DI1576" i="3"/>
  <c r="DI1577" i="3"/>
  <c r="DI1578" i="3"/>
  <c r="DI1579" i="3"/>
  <c r="DI1580" i="3"/>
  <c r="DI1581" i="3"/>
  <c r="DI1582" i="3"/>
  <c r="DI1583" i="3"/>
  <c r="DI1584" i="3"/>
  <c r="DI1585" i="3"/>
  <c r="DI1586" i="3"/>
  <c r="DI1587" i="3"/>
  <c r="DI1588" i="3"/>
  <c r="DI1589" i="3"/>
  <c r="DI1590" i="3"/>
  <c r="DI1591" i="3"/>
  <c r="DI1592" i="3"/>
  <c r="DI1593" i="3"/>
  <c r="DI1594" i="3"/>
  <c r="DI1595" i="3"/>
  <c r="DI1596" i="3"/>
  <c r="DI1597" i="3"/>
  <c r="DI1598" i="3"/>
  <c r="DI1599" i="3"/>
  <c r="DI1600" i="3"/>
  <c r="DI1601" i="3"/>
  <c r="DI1602" i="3"/>
  <c r="DI1603" i="3"/>
  <c r="DI1604" i="3"/>
  <c r="DI1605" i="3"/>
  <c r="DI1606" i="3"/>
  <c r="DI1607" i="3"/>
  <c r="DI1608" i="3"/>
  <c r="DI1609" i="3"/>
  <c r="DI1610" i="3"/>
  <c r="DI1611" i="3"/>
  <c r="DI1612" i="3"/>
  <c r="DI1613" i="3"/>
  <c r="DI1614" i="3"/>
  <c r="DI1615" i="3"/>
  <c r="DI1616" i="3"/>
  <c r="DI1617" i="3"/>
  <c r="DI1618" i="3"/>
  <c r="DI1619" i="3"/>
  <c r="DI1620" i="3"/>
  <c r="DI1621" i="3"/>
  <c r="DI1622" i="3"/>
  <c r="DI1623" i="3"/>
  <c r="DI1624" i="3"/>
  <c r="DI1625" i="3"/>
  <c r="DI1626" i="3"/>
  <c r="DI1627" i="3"/>
  <c r="DI1628" i="3"/>
  <c r="DI1629" i="3"/>
  <c r="DI1630" i="3"/>
  <c r="DI1631" i="3"/>
  <c r="DI1632" i="3"/>
  <c r="DI1633" i="3"/>
  <c r="DI1634" i="3"/>
  <c r="DI1635" i="3"/>
  <c r="DI1636" i="3"/>
  <c r="DI1637" i="3"/>
  <c r="DI1638" i="3"/>
  <c r="DI1639" i="3"/>
  <c r="DI1640" i="3"/>
  <c r="DI1641" i="3"/>
  <c r="DI1642" i="3"/>
  <c r="DI1643" i="3"/>
  <c r="DI1644" i="3"/>
  <c r="DI1645" i="3"/>
  <c r="DI1646" i="3"/>
  <c r="DI1647" i="3"/>
  <c r="DI1648" i="3"/>
  <c r="DI1649" i="3"/>
  <c r="DI1650" i="3"/>
  <c r="DI1651" i="3"/>
  <c r="DI1652" i="3"/>
  <c r="DI1653" i="3"/>
  <c r="DI1654" i="3"/>
  <c r="DI1655" i="3"/>
  <c r="DI1656" i="3"/>
  <c r="DI1657" i="3"/>
  <c r="DI1658" i="3"/>
  <c r="DI1659" i="3"/>
  <c r="DI1660" i="3"/>
  <c r="DI1661" i="3"/>
  <c r="DI1662" i="3"/>
  <c r="DI1663" i="3"/>
  <c r="DI1664" i="3"/>
  <c r="DI1665" i="3"/>
  <c r="DI1666" i="3"/>
  <c r="DI1667" i="3"/>
  <c r="DI1668" i="3"/>
  <c r="DI1669" i="3"/>
  <c r="DI1670" i="3"/>
  <c r="DI1671" i="3"/>
  <c r="DI1672" i="3"/>
  <c r="DI1673" i="3"/>
  <c r="DI1674" i="3"/>
  <c r="DI1675" i="3"/>
  <c r="DI1676" i="3"/>
  <c r="DI1677" i="3"/>
  <c r="DI1678" i="3"/>
  <c r="DI1679" i="3"/>
  <c r="DI1680" i="3"/>
  <c r="DI1681" i="3"/>
  <c r="DI1682" i="3"/>
  <c r="DI1683" i="3"/>
  <c r="DI1684" i="3"/>
  <c r="DI1685" i="3"/>
  <c r="DI1686" i="3"/>
  <c r="DI1687" i="3"/>
  <c r="DI1688" i="3"/>
  <c r="DI1689" i="3"/>
  <c r="DI1690" i="3"/>
  <c r="DI1691" i="3"/>
  <c r="DI1692" i="3"/>
  <c r="DI1693" i="3"/>
  <c r="DI1694" i="3"/>
  <c r="DI1695" i="3"/>
  <c r="DI1696" i="3"/>
  <c r="DI1697" i="3"/>
  <c r="DI1698" i="3"/>
  <c r="DI1699" i="3"/>
  <c r="DI1700" i="3"/>
  <c r="DI1701" i="3"/>
  <c r="DI1702" i="3"/>
  <c r="DI1703" i="3"/>
  <c r="DI1704" i="3"/>
  <c r="DI1705" i="3"/>
  <c r="DI1706" i="3"/>
  <c r="DI1707" i="3"/>
  <c r="DI1708" i="3"/>
  <c r="DI1709" i="3"/>
  <c r="DI1710" i="3"/>
  <c r="DI1711" i="3"/>
  <c r="DI1712" i="3"/>
  <c r="DI1713" i="3"/>
  <c r="DI1714" i="3"/>
  <c r="DI1715" i="3"/>
  <c r="DI1716" i="3"/>
  <c r="DI1717" i="3"/>
  <c r="DI1718" i="3"/>
  <c r="DI1719" i="3"/>
  <c r="DI1720" i="3"/>
  <c r="DI1721" i="3"/>
  <c r="DI1722" i="3"/>
  <c r="DI1723" i="3"/>
  <c r="DI1724" i="3"/>
  <c r="DI1725" i="3"/>
  <c r="DI1726" i="3"/>
  <c r="DI1727" i="3"/>
  <c r="DI1728" i="3"/>
  <c r="DI1729" i="3"/>
  <c r="DI1730" i="3"/>
  <c r="DI1731" i="3"/>
  <c r="DI1732" i="3"/>
  <c r="DI1733" i="3"/>
  <c r="DI1734" i="3"/>
  <c r="DI1735" i="3"/>
  <c r="DI1736" i="3"/>
  <c r="DI1737" i="3"/>
  <c r="DI1738" i="3"/>
  <c r="DI1739" i="3"/>
  <c r="DI1740" i="3"/>
  <c r="DI1741" i="3"/>
  <c r="DI1742" i="3"/>
  <c r="DI1743" i="3"/>
  <c r="DI1744" i="3"/>
  <c r="DI1745" i="3"/>
  <c r="DI1746" i="3"/>
  <c r="DI1747" i="3"/>
  <c r="DI1748" i="3"/>
  <c r="DI1749" i="3"/>
  <c r="DI1750" i="3"/>
  <c r="DI1751" i="3"/>
  <c r="DI1752" i="3"/>
  <c r="DI1753" i="3"/>
  <c r="DI1754" i="3"/>
  <c r="DI1755" i="3"/>
  <c r="DI1756" i="3"/>
  <c r="DI1757" i="3"/>
  <c r="DI1758" i="3"/>
  <c r="DI1759" i="3"/>
  <c r="DI1760" i="3"/>
  <c r="DI1761" i="3"/>
  <c r="DI1762" i="3"/>
  <c r="DI1763" i="3"/>
  <c r="DI1764" i="3"/>
  <c r="DI1765" i="3"/>
  <c r="DI1766" i="3"/>
  <c r="DI1767" i="3"/>
  <c r="DI1768" i="3"/>
  <c r="DI1769" i="3"/>
  <c r="DI1770" i="3"/>
  <c r="DI1771" i="3"/>
  <c r="DI1772" i="3"/>
  <c r="DI1773" i="3"/>
  <c r="DI1774" i="3"/>
  <c r="DI1775" i="3"/>
  <c r="DI1776" i="3"/>
  <c r="DI1777" i="3"/>
  <c r="DI1778" i="3"/>
  <c r="DI1779" i="3"/>
  <c r="DI1780" i="3"/>
  <c r="DI1781" i="3"/>
  <c r="DI1782" i="3"/>
  <c r="DI1783" i="3"/>
  <c r="DI1784" i="3"/>
  <c r="DI1785" i="3"/>
  <c r="DI1786" i="3"/>
  <c r="DI1787" i="3"/>
  <c r="DI1788" i="3"/>
  <c r="DI1789" i="3"/>
  <c r="DI1790" i="3"/>
  <c r="DI1791" i="3"/>
  <c r="DI1792" i="3"/>
  <c r="DI1793" i="3"/>
  <c r="DI1794" i="3"/>
  <c r="DI1795" i="3"/>
  <c r="DI1796" i="3"/>
  <c r="DI1797" i="3"/>
  <c r="DI1798" i="3"/>
  <c r="DI1799" i="3"/>
  <c r="DI1800" i="3"/>
  <c r="DI1801" i="3"/>
  <c r="DI1802" i="3"/>
  <c r="DI1803" i="3"/>
  <c r="DI1804" i="3"/>
  <c r="DI1805" i="3"/>
  <c r="DI1806" i="3"/>
  <c r="DI1807" i="3"/>
  <c r="DI1808" i="3"/>
  <c r="DI1809" i="3"/>
  <c r="DI1810" i="3"/>
  <c r="DI1811" i="3"/>
  <c r="DI1812" i="3"/>
  <c r="DI1813" i="3"/>
  <c r="DI1814" i="3"/>
  <c r="DI1815" i="3"/>
  <c r="DI1816" i="3"/>
  <c r="DI1817" i="3"/>
  <c r="DI1818" i="3"/>
  <c r="DI1819" i="3"/>
  <c r="DI1820" i="3"/>
  <c r="DI1821" i="3"/>
  <c r="DI1822" i="3"/>
  <c r="DI1823" i="3"/>
  <c r="DI1824" i="3"/>
  <c r="DI1825" i="3"/>
  <c r="DI1826" i="3"/>
  <c r="DI1827" i="3"/>
  <c r="DI1828" i="3"/>
  <c r="DI1829" i="3"/>
  <c r="DI1830" i="3"/>
  <c r="DI1831" i="3"/>
  <c r="DI1832" i="3"/>
  <c r="DI1833" i="3"/>
  <c r="DI1834" i="3"/>
  <c r="DI1835" i="3"/>
  <c r="DI1836" i="3"/>
  <c r="DI1837" i="3"/>
  <c r="DI1838" i="3"/>
  <c r="DI1839" i="3"/>
  <c r="DI1840" i="3"/>
  <c r="DI1841" i="3"/>
  <c r="DI1842" i="3"/>
  <c r="DI1843" i="3"/>
  <c r="DI1844" i="3"/>
  <c r="DI1845" i="3"/>
  <c r="DI1846" i="3"/>
  <c r="DI1847" i="3"/>
  <c r="DI1848" i="3"/>
  <c r="DI1849" i="3"/>
  <c r="DI1850" i="3"/>
  <c r="DI1851" i="3"/>
  <c r="DI1852" i="3"/>
  <c r="DI1853" i="3"/>
  <c r="DI1854" i="3"/>
  <c r="DI1855" i="3"/>
  <c r="DI1856" i="3"/>
  <c r="DI1857" i="3"/>
  <c r="DI1858" i="3"/>
  <c r="DI1859" i="3"/>
  <c r="DI1860" i="3"/>
  <c r="DI1861" i="3"/>
  <c r="DI1862" i="3"/>
  <c r="DI1863" i="3"/>
  <c r="DI1864" i="3"/>
  <c r="DI1865" i="3"/>
  <c r="DI1866" i="3"/>
  <c r="DI1867" i="3"/>
  <c r="DI1868" i="3"/>
  <c r="DI1869" i="3"/>
  <c r="DI1870" i="3"/>
  <c r="DI1871" i="3"/>
  <c r="DI1872" i="3"/>
  <c r="DI1873" i="3"/>
  <c r="DI1874" i="3"/>
  <c r="DI1875" i="3"/>
  <c r="DI1876" i="3"/>
  <c r="DI1877" i="3"/>
  <c r="DI1878" i="3"/>
  <c r="DI1879" i="3"/>
  <c r="DI1880" i="3"/>
  <c r="DI1881" i="3"/>
  <c r="DI1882" i="3"/>
  <c r="DI1883" i="3"/>
  <c r="DI1884" i="3"/>
  <c r="DI1885" i="3"/>
  <c r="DI1886" i="3"/>
  <c r="DI1887" i="3"/>
  <c r="DI1888" i="3"/>
  <c r="DI1889" i="3"/>
  <c r="DI1890" i="3"/>
  <c r="DI1891" i="3"/>
  <c r="DI1892" i="3"/>
  <c r="DI1893" i="3"/>
  <c r="DI1894" i="3"/>
  <c r="DI1895" i="3"/>
  <c r="DI1896" i="3"/>
  <c r="DI1897" i="3"/>
  <c r="DI1898" i="3"/>
  <c r="DI1899" i="3"/>
  <c r="DI1900" i="3"/>
  <c r="DI1901" i="3"/>
  <c r="DI1902" i="3"/>
  <c r="DI1903" i="3"/>
  <c r="DI1904" i="3"/>
  <c r="DI1905" i="3"/>
  <c r="DI1906" i="3"/>
  <c r="DI1907" i="3"/>
  <c r="DI1908" i="3"/>
  <c r="DI1909" i="3"/>
  <c r="DI1910" i="3"/>
  <c r="DI1911" i="3"/>
  <c r="DI1912" i="3"/>
  <c r="DI1913" i="3"/>
  <c r="DI1914" i="3"/>
  <c r="DI1915" i="3"/>
  <c r="DI1916" i="3"/>
  <c r="DI1917" i="3"/>
  <c r="DI1918" i="3"/>
  <c r="DI1919" i="3"/>
  <c r="DI1920" i="3"/>
  <c r="DI1921" i="3"/>
  <c r="DI1922" i="3"/>
  <c r="DI1923" i="3"/>
  <c r="DI1924" i="3"/>
  <c r="DI1925" i="3"/>
  <c r="DI1926" i="3"/>
  <c r="DI1927" i="3"/>
  <c r="DI1928" i="3"/>
  <c r="DI1929" i="3"/>
  <c r="DI1930" i="3"/>
  <c r="DI1931" i="3"/>
  <c r="DI1932" i="3"/>
  <c r="DI1933" i="3"/>
  <c r="DI1934" i="3"/>
  <c r="DI1935" i="3"/>
  <c r="DI1936" i="3"/>
  <c r="DI1937" i="3"/>
  <c r="DI1938" i="3"/>
  <c r="DI1939" i="3"/>
  <c r="DI1940" i="3"/>
  <c r="DI1941" i="3"/>
  <c r="DI1942" i="3"/>
  <c r="DI1943" i="3"/>
  <c r="DI1944" i="3"/>
  <c r="DI1945" i="3"/>
  <c r="DI1946" i="3"/>
  <c r="DI1947" i="3"/>
  <c r="DI1948" i="3"/>
  <c r="DI1949" i="3"/>
  <c r="DI1950" i="3"/>
  <c r="DI1951" i="3"/>
  <c r="DI1952" i="3"/>
  <c r="DI1953" i="3"/>
  <c r="DI1954" i="3"/>
  <c r="DI1955" i="3"/>
  <c r="DI1956" i="3"/>
  <c r="DI1957" i="3"/>
  <c r="DI1958" i="3"/>
  <c r="DI1959" i="3"/>
  <c r="DI1960" i="3"/>
  <c r="DI1961" i="3"/>
  <c r="DI1962" i="3"/>
  <c r="DI1963" i="3"/>
  <c r="DI1964" i="3"/>
  <c r="DI1965" i="3"/>
  <c r="DI1966" i="3"/>
  <c r="DI1967" i="3"/>
  <c r="DI1968" i="3"/>
  <c r="DI1969" i="3"/>
  <c r="DI1970" i="3"/>
  <c r="DI1971" i="3"/>
  <c r="DI1972" i="3"/>
  <c r="DI1973" i="3"/>
  <c r="DI1974" i="3"/>
  <c r="DI1975" i="3"/>
  <c r="DI1976" i="3"/>
  <c r="DI1977" i="3"/>
  <c r="DI1978" i="3"/>
  <c r="DI1979" i="3"/>
  <c r="DI1980" i="3"/>
  <c r="DI1981" i="3"/>
  <c r="DI1982" i="3"/>
  <c r="DI1983" i="3"/>
  <c r="DI1984" i="3"/>
  <c r="DI1985" i="3"/>
  <c r="DI1986" i="3"/>
  <c r="DI1987" i="3"/>
  <c r="DI1988" i="3"/>
  <c r="DI1989" i="3"/>
  <c r="DI1990" i="3"/>
  <c r="DI1991" i="3"/>
  <c r="DI1992" i="3"/>
  <c r="DI1993" i="3"/>
  <c r="DI1994" i="3"/>
  <c r="DI1995" i="3"/>
  <c r="DI1996" i="3"/>
  <c r="DI1997" i="3"/>
  <c r="DI1998" i="3"/>
  <c r="DI1999" i="3"/>
  <c r="DI2000" i="3"/>
  <c r="DI2001" i="3"/>
  <c r="DI2002" i="3"/>
  <c r="DI2003" i="3"/>
  <c r="DI2004" i="3"/>
  <c r="DI2005" i="3"/>
  <c r="DI2006" i="3"/>
  <c r="DI2007" i="3"/>
  <c r="DI2008" i="3"/>
  <c r="DI2009" i="3"/>
  <c r="DI2010" i="3"/>
  <c r="DI2011" i="3"/>
  <c r="DI2012" i="3"/>
  <c r="DI2013" i="3"/>
  <c r="DI2014" i="3"/>
  <c r="DI2015" i="3"/>
  <c r="DI2016" i="3"/>
  <c r="DI2017" i="3"/>
  <c r="DI2018" i="3"/>
  <c r="DI2019" i="3"/>
  <c r="DI2020" i="3"/>
  <c r="DI2021" i="3"/>
  <c r="DI2022" i="3"/>
  <c r="DI2023" i="3"/>
  <c r="DI2024" i="3"/>
  <c r="DI2025" i="3"/>
  <c r="DI2026" i="3"/>
  <c r="DI2027" i="3"/>
  <c r="DI2028" i="3"/>
  <c r="DI2029" i="3"/>
  <c r="DI2030" i="3"/>
  <c r="DI2031" i="3"/>
  <c r="DI2032" i="3"/>
  <c r="DI2033" i="3"/>
  <c r="DI2034" i="3"/>
  <c r="DI2035" i="3"/>
  <c r="DI2036" i="3"/>
  <c r="DI2037" i="3"/>
  <c r="DI2038" i="3"/>
  <c r="DI2039" i="3"/>
  <c r="DI2040" i="3"/>
  <c r="DI2041" i="3"/>
  <c r="DI2042" i="3"/>
  <c r="DI2043" i="3"/>
  <c r="DI2044" i="3"/>
  <c r="DI2045" i="3"/>
  <c r="DI2046" i="3"/>
  <c r="DI2047" i="3"/>
  <c r="DI2048" i="3"/>
  <c r="DI2049" i="3"/>
  <c r="DI2050" i="3"/>
  <c r="DI2051" i="3"/>
  <c r="DI2052" i="3"/>
  <c r="DI2053" i="3"/>
  <c r="DI2054" i="3"/>
  <c r="DI2055" i="3"/>
  <c r="DI2056" i="3"/>
  <c r="DI2057" i="3"/>
  <c r="DI2058" i="3"/>
  <c r="DI2059" i="3"/>
  <c r="DI2060" i="3"/>
  <c r="DI2061" i="3"/>
  <c r="DI2062" i="3"/>
  <c r="DI2063" i="3"/>
  <c r="DI2064" i="3"/>
  <c r="DI2065" i="3"/>
  <c r="DI2066" i="3"/>
  <c r="DI2067" i="3"/>
  <c r="DI2068" i="3"/>
  <c r="DI2069" i="3"/>
  <c r="DI2070" i="3"/>
  <c r="DI2071" i="3"/>
  <c r="DI2072" i="3"/>
  <c r="DI2073" i="3"/>
  <c r="DI2074" i="3"/>
  <c r="DI2075" i="3"/>
  <c r="DI2076" i="3"/>
  <c r="DI2077" i="3"/>
  <c r="DI2078" i="3"/>
  <c r="DI2079" i="3"/>
  <c r="DI2080" i="3"/>
  <c r="DI2081" i="3"/>
  <c r="DI2082" i="3"/>
  <c r="DI2083" i="3"/>
  <c r="DI2084" i="3"/>
  <c r="DI2085" i="3"/>
  <c r="DI2086" i="3"/>
  <c r="DI2087" i="3"/>
  <c r="DI2088" i="3"/>
  <c r="DI2089" i="3"/>
  <c r="DI2090" i="3"/>
  <c r="DI2091" i="3"/>
  <c r="DI2092" i="3"/>
  <c r="DI2093" i="3"/>
  <c r="DI2094" i="3"/>
  <c r="DI2095" i="3"/>
  <c r="DI2096" i="3"/>
  <c r="DI2097" i="3"/>
  <c r="DI2098" i="3"/>
  <c r="DI2099" i="3"/>
  <c r="DI2100" i="3"/>
  <c r="DI2101" i="3"/>
  <c r="DI2102" i="3"/>
  <c r="DI2103" i="3"/>
  <c r="DI2104" i="3"/>
  <c r="DI2105" i="3"/>
  <c r="DI2106" i="3"/>
  <c r="DI2107" i="3"/>
  <c r="DI2108" i="3"/>
  <c r="DI2109" i="3"/>
  <c r="DI2110" i="3"/>
  <c r="DI2111" i="3"/>
  <c r="DI2112" i="3"/>
  <c r="DI2113" i="3"/>
  <c r="DI2114" i="3"/>
  <c r="DI2115" i="3"/>
  <c r="DI2116" i="3"/>
  <c r="DI2117" i="3"/>
  <c r="DI2118" i="3"/>
  <c r="DI2119" i="3"/>
  <c r="DI2120" i="3"/>
  <c r="DI2121" i="3"/>
  <c r="DI2122" i="3"/>
  <c r="DI2123" i="3"/>
  <c r="DI2124" i="3"/>
  <c r="DI2125" i="3"/>
  <c r="DI2126" i="3"/>
  <c r="DI2127" i="3"/>
  <c r="DI2128" i="3"/>
  <c r="DI2129" i="3"/>
  <c r="DI2130" i="3"/>
  <c r="DI2131" i="3"/>
  <c r="DI2132" i="3"/>
  <c r="DI2133" i="3"/>
  <c r="DI2134" i="3"/>
  <c r="DI2135" i="3"/>
  <c r="DI2136" i="3"/>
  <c r="DI2137" i="3"/>
  <c r="DI2138" i="3"/>
  <c r="DI2139" i="3"/>
  <c r="DI2140" i="3"/>
  <c r="DI2141" i="3"/>
  <c r="DI2142" i="3"/>
  <c r="DI2143" i="3"/>
  <c r="DI2144" i="3"/>
  <c r="DI2145" i="3"/>
  <c r="DI2146" i="3"/>
  <c r="DI2147" i="3"/>
  <c r="DI2148" i="3"/>
  <c r="DI2149" i="3"/>
  <c r="DI2150" i="3"/>
  <c r="DI2151" i="3"/>
  <c r="DI2152" i="3"/>
  <c r="DI2153" i="3"/>
  <c r="DI2154" i="3"/>
  <c r="DI2155" i="3"/>
  <c r="DI2156" i="3"/>
  <c r="DI2157" i="3"/>
  <c r="DI2158" i="3"/>
  <c r="DI2159" i="3"/>
  <c r="DI2160" i="3"/>
  <c r="DI2161" i="3"/>
  <c r="DI2162" i="3"/>
  <c r="DI2163" i="3"/>
  <c r="DI2164" i="3"/>
  <c r="DI2165" i="3"/>
  <c r="DI2166" i="3"/>
  <c r="DI2167" i="3"/>
  <c r="DI2168" i="3"/>
  <c r="DI2169" i="3"/>
  <c r="DI2170" i="3"/>
  <c r="DI2171" i="3"/>
  <c r="DI2172" i="3"/>
  <c r="DI2173" i="3"/>
  <c r="DI2174" i="3"/>
  <c r="DI2175" i="3"/>
  <c r="DI2176" i="3"/>
  <c r="DI2177" i="3"/>
  <c r="DI2178" i="3"/>
  <c r="DI2179" i="3"/>
  <c r="DI2180" i="3"/>
  <c r="DI2181" i="3"/>
  <c r="DI2182" i="3"/>
  <c r="DI2183" i="3"/>
  <c r="DI2184" i="3"/>
  <c r="DI2185" i="3"/>
  <c r="DI2186" i="3"/>
  <c r="DI2187" i="3"/>
  <c r="DI2188" i="3"/>
  <c r="DI2189" i="3"/>
  <c r="DI2190" i="3"/>
  <c r="DI2191" i="3"/>
  <c r="DI2192" i="3"/>
  <c r="DI2193" i="3"/>
  <c r="DI2194" i="3"/>
  <c r="DI2195" i="3"/>
  <c r="DI2196" i="3"/>
  <c r="DI2197" i="3"/>
  <c r="DI2198" i="3"/>
  <c r="DI2199" i="3"/>
  <c r="DI2200" i="3"/>
  <c r="DI2201" i="3"/>
  <c r="DI2202" i="3"/>
  <c r="DI2203" i="3"/>
  <c r="DI2204" i="3"/>
  <c r="DI2205" i="3"/>
  <c r="DI2206" i="3"/>
  <c r="DI2207" i="3"/>
  <c r="DI2208" i="3"/>
  <c r="DI2209" i="3"/>
  <c r="DI2210" i="3"/>
  <c r="DI2211" i="3"/>
  <c r="DI2212" i="3"/>
  <c r="DI2213" i="3"/>
  <c r="DI2214" i="3"/>
  <c r="DI2215" i="3"/>
  <c r="DI2216" i="3"/>
  <c r="DI2217" i="3"/>
  <c r="DI2218" i="3"/>
  <c r="DI2219" i="3"/>
  <c r="DI2220" i="3"/>
  <c r="DI2221" i="3"/>
  <c r="DI2222" i="3"/>
  <c r="DI2223" i="3"/>
  <c r="DI2224" i="3"/>
  <c r="DI2225" i="3"/>
  <c r="DI2226" i="3"/>
  <c r="DI2227" i="3"/>
  <c r="DI2228" i="3"/>
  <c r="DI2229" i="3"/>
  <c r="DI2230" i="3"/>
  <c r="DI2231" i="3"/>
  <c r="DI2232" i="3"/>
  <c r="DI2233" i="3"/>
  <c r="DI2234" i="3"/>
  <c r="DI2235" i="3"/>
  <c r="DI2236" i="3"/>
  <c r="DI2237" i="3"/>
  <c r="DI2238" i="3"/>
  <c r="DI2239" i="3"/>
  <c r="DI2240" i="3"/>
  <c r="DI2241" i="3"/>
  <c r="DI2242" i="3"/>
  <c r="DI2243" i="3"/>
  <c r="DI2244" i="3"/>
  <c r="DI2245" i="3"/>
  <c r="DI2246" i="3"/>
  <c r="DI2247" i="3"/>
  <c r="DI2248" i="3"/>
  <c r="DI2249" i="3"/>
  <c r="DI2250" i="3"/>
  <c r="DI2251" i="3"/>
  <c r="DI2252" i="3"/>
  <c r="DI2253" i="3"/>
  <c r="DI2254" i="3"/>
  <c r="DI2255" i="3"/>
  <c r="DI2256" i="3"/>
  <c r="DI2257" i="3"/>
  <c r="DI2258" i="3"/>
  <c r="DI2259" i="3"/>
  <c r="DI2260" i="3"/>
  <c r="DI2261" i="3"/>
  <c r="DI2262" i="3"/>
  <c r="DI2263" i="3"/>
  <c r="DI2264" i="3"/>
  <c r="DI2265" i="3"/>
  <c r="DI2266" i="3"/>
  <c r="DI2267" i="3"/>
  <c r="DI2268" i="3"/>
  <c r="DI2269" i="3"/>
  <c r="DI2270" i="3"/>
  <c r="DI2271" i="3"/>
  <c r="DI2272" i="3"/>
  <c r="DI2273" i="3"/>
  <c r="DI2274" i="3"/>
  <c r="DI2275" i="3"/>
  <c r="DI2276" i="3"/>
  <c r="DI2277" i="3"/>
  <c r="DI2278" i="3"/>
  <c r="DI2279" i="3"/>
  <c r="DI2280" i="3"/>
  <c r="DI2281" i="3"/>
  <c r="DI2282" i="3"/>
  <c r="DI2283" i="3"/>
  <c r="DI2284" i="3"/>
  <c r="DI2285" i="3"/>
  <c r="DI2286" i="3"/>
  <c r="DI2287" i="3"/>
  <c r="DI2288" i="3"/>
  <c r="DI2289" i="3"/>
  <c r="DI2290" i="3"/>
  <c r="DI2291" i="3"/>
  <c r="DI2292" i="3"/>
  <c r="DI2293" i="3"/>
  <c r="DI2294" i="3"/>
  <c r="DI2295" i="3"/>
  <c r="DI2296" i="3"/>
  <c r="DI2297" i="3"/>
  <c r="DI2298" i="3"/>
  <c r="DI2299" i="3"/>
  <c r="DI2300" i="3"/>
  <c r="DI2301" i="3"/>
  <c r="DI2302" i="3"/>
  <c r="DI2303" i="3"/>
  <c r="DI2304" i="3"/>
  <c r="DI2305" i="3"/>
  <c r="DI2306" i="3"/>
  <c r="DI2307" i="3"/>
  <c r="DI2308" i="3"/>
  <c r="DI2309" i="3"/>
  <c r="DI2310" i="3"/>
  <c r="DI2311" i="3"/>
  <c r="DI2312" i="3"/>
  <c r="DI2313" i="3"/>
  <c r="DI2314" i="3"/>
  <c r="DI2315" i="3"/>
  <c r="DI2316" i="3"/>
  <c r="DI2317" i="3"/>
  <c r="DI2318" i="3"/>
  <c r="DI2319" i="3"/>
  <c r="DI2320" i="3"/>
  <c r="DI2321" i="3"/>
  <c r="DI2322" i="3"/>
  <c r="DI2323" i="3"/>
  <c r="DI2324" i="3"/>
  <c r="DI2325" i="3"/>
  <c r="DI2326" i="3"/>
  <c r="DI2327" i="3"/>
  <c r="DI2328" i="3"/>
  <c r="DI2329" i="3"/>
  <c r="DI2330" i="3"/>
  <c r="DI2331" i="3"/>
  <c r="DI2332" i="3"/>
  <c r="DI2333" i="3"/>
  <c r="DI2334" i="3"/>
  <c r="DI2335" i="3"/>
  <c r="DI2336" i="3"/>
  <c r="DI2337" i="3"/>
  <c r="DI2338" i="3"/>
  <c r="DI2339" i="3"/>
  <c r="DI2340" i="3"/>
  <c r="DI2341" i="3"/>
  <c r="DI2342" i="3"/>
  <c r="DI2343" i="3"/>
  <c r="DI2344" i="3"/>
  <c r="DI2345" i="3"/>
  <c r="DI2346" i="3"/>
  <c r="DI2347" i="3"/>
  <c r="DI2348" i="3"/>
  <c r="DI2349" i="3"/>
  <c r="DI2350" i="3"/>
  <c r="DI2351" i="3"/>
  <c r="DI2352" i="3"/>
  <c r="DI2353" i="3"/>
  <c r="DI2354" i="3"/>
  <c r="DI2355" i="3"/>
  <c r="DI2356" i="3"/>
  <c r="DI2357" i="3"/>
  <c r="DI2358" i="3"/>
  <c r="DI2359" i="3"/>
  <c r="DI2360" i="3"/>
  <c r="DI2361" i="3"/>
  <c r="DI2362" i="3"/>
  <c r="DI2363" i="3"/>
  <c r="DI2364" i="3"/>
  <c r="DI2365" i="3"/>
  <c r="DI2366" i="3"/>
  <c r="DI2367" i="3"/>
  <c r="DI2368" i="3"/>
  <c r="DI2369" i="3"/>
  <c r="DI2370" i="3"/>
  <c r="DI2371" i="3"/>
  <c r="DI2372" i="3"/>
  <c r="DI2373" i="3"/>
  <c r="DI2374" i="3"/>
  <c r="DI2375" i="3"/>
  <c r="DI2376" i="3"/>
  <c r="DI2377" i="3"/>
  <c r="DI2378" i="3"/>
  <c r="DI2379" i="3"/>
  <c r="DI2380" i="3"/>
  <c r="DI2381" i="3"/>
  <c r="DI2382" i="3"/>
  <c r="DI2383" i="3"/>
  <c r="DI2384" i="3"/>
  <c r="DI2385" i="3"/>
  <c r="DI2386" i="3"/>
  <c r="DI2387" i="3"/>
  <c r="DI2388" i="3"/>
  <c r="DI2389" i="3"/>
  <c r="DI2390" i="3"/>
  <c r="DI2391" i="3"/>
  <c r="DI2392" i="3"/>
  <c r="DI2393" i="3"/>
  <c r="DI2394" i="3"/>
  <c r="DI2395" i="3"/>
  <c r="DI2396" i="3"/>
  <c r="DI2397" i="3"/>
  <c r="DI2398" i="3"/>
  <c r="DI2399" i="3"/>
  <c r="DI2400" i="3"/>
  <c r="DI2401" i="3"/>
  <c r="DI2402" i="3"/>
  <c r="DI2403" i="3"/>
  <c r="DI2404" i="3"/>
  <c r="DI2405" i="3"/>
  <c r="DI2406" i="3"/>
  <c r="DI2407" i="3"/>
  <c r="DI2408" i="3"/>
  <c r="DI2409" i="3"/>
  <c r="DI2410" i="3"/>
  <c r="DI2411" i="3"/>
  <c r="DI2412" i="3"/>
  <c r="DI2413" i="3"/>
  <c r="DI2414" i="3"/>
  <c r="DI2415" i="3"/>
  <c r="DI2416" i="3"/>
  <c r="DI2417" i="3"/>
  <c r="DI2418" i="3"/>
  <c r="DI2419" i="3"/>
  <c r="DI2420" i="3"/>
  <c r="DI2421" i="3"/>
  <c r="DI2422" i="3"/>
  <c r="DI2423" i="3"/>
  <c r="DI2424" i="3"/>
  <c r="DI2425" i="3"/>
  <c r="DI2426" i="3"/>
  <c r="DI2427" i="3"/>
  <c r="DI2428" i="3"/>
  <c r="DI2429" i="3"/>
  <c r="DI2430" i="3"/>
  <c r="DI2431" i="3"/>
  <c r="DI2432" i="3"/>
  <c r="DI2433" i="3"/>
  <c r="DI2434" i="3"/>
  <c r="DI2435" i="3"/>
  <c r="DI2436" i="3"/>
  <c r="DI2437" i="3"/>
  <c r="DI2438" i="3"/>
  <c r="DI2439" i="3"/>
  <c r="DI2440" i="3"/>
  <c r="DI2441" i="3"/>
  <c r="DI2442" i="3"/>
  <c r="DI2443" i="3"/>
  <c r="DI2444" i="3"/>
  <c r="DI2445" i="3"/>
  <c r="DI2446" i="3"/>
  <c r="DI2447" i="3"/>
  <c r="DI2448" i="3"/>
  <c r="DI2449" i="3"/>
  <c r="DI2450" i="3"/>
  <c r="DI2451" i="3"/>
  <c r="DI2452" i="3"/>
  <c r="DI2453" i="3"/>
  <c r="DI2454" i="3"/>
  <c r="DI2455" i="3"/>
  <c r="DI2456" i="3"/>
  <c r="DI2457" i="3"/>
  <c r="DI2458" i="3"/>
  <c r="DI2459" i="3"/>
  <c r="DI2460" i="3"/>
  <c r="DI2461" i="3"/>
  <c r="DI2462" i="3"/>
  <c r="DI2463" i="3"/>
  <c r="DI2464" i="3"/>
  <c r="DI2465" i="3"/>
  <c r="DI2466" i="3"/>
  <c r="DI2467" i="3"/>
  <c r="DI2468" i="3"/>
  <c r="DI2469" i="3"/>
  <c r="DI2470" i="3"/>
  <c r="DI2471" i="3"/>
  <c r="DI2472" i="3"/>
  <c r="DI2473" i="3"/>
  <c r="DI2474" i="3"/>
  <c r="DI2475" i="3"/>
  <c r="DI2476" i="3"/>
  <c r="DI2477" i="3"/>
  <c r="DI2478" i="3"/>
  <c r="DI2479" i="3"/>
  <c r="DI2480" i="3"/>
  <c r="DI2481" i="3"/>
  <c r="DI2482" i="3"/>
  <c r="DI2483" i="3"/>
  <c r="DI2484" i="3"/>
  <c r="DI2485" i="3"/>
  <c r="DI2486" i="3"/>
  <c r="DI2487" i="3"/>
  <c r="DI2488" i="3"/>
  <c r="DI2489" i="3"/>
  <c r="DI2490" i="3"/>
  <c r="DI2491" i="3"/>
  <c r="DI2492" i="3"/>
  <c r="DI2493" i="3"/>
  <c r="DI2494" i="3"/>
  <c r="DI2495" i="3"/>
  <c r="DI2496" i="3"/>
  <c r="DI2497" i="3"/>
  <c r="DI2498" i="3"/>
  <c r="DI2499" i="3"/>
  <c r="DI2500" i="3"/>
  <c r="DI2501" i="3"/>
  <c r="DI2502" i="3"/>
  <c r="DI2503" i="3"/>
  <c r="DI2504" i="3"/>
  <c r="DI2505" i="3"/>
  <c r="DI2506" i="3"/>
  <c r="DI2507" i="3"/>
  <c r="DI2508" i="3"/>
  <c r="DI2509" i="3"/>
  <c r="DI2510" i="3"/>
  <c r="DI2511" i="3"/>
  <c r="DI2512" i="3"/>
  <c r="DI2513" i="3"/>
  <c r="DI2514" i="3"/>
  <c r="DI2515" i="3"/>
  <c r="DI2516" i="3"/>
  <c r="DI2517" i="3"/>
  <c r="DI2518" i="3"/>
  <c r="DI2519" i="3"/>
  <c r="DI2520" i="3"/>
  <c r="DI2521" i="3"/>
  <c r="DI2522" i="3"/>
  <c r="DI2523" i="3"/>
  <c r="DI2524" i="3"/>
  <c r="DI2525" i="3"/>
  <c r="DI2526" i="3"/>
  <c r="DI2527" i="3"/>
  <c r="DI2528" i="3"/>
  <c r="DI2529" i="3"/>
  <c r="DI2530" i="3"/>
  <c r="DI2531" i="3"/>
  <c r="DI2532" i="3"/>
  <c r="DI2533" i="3"/>
  <c r="DI2534" i="3"/>
  <c r="DI2535" i="3"/>
  <c r="DI2536" i="3"/>
  <c r="DI2537" i="3"/>
  <c r="DI2538" i="3"/>
  <c r="DI2539" i="3"/>
  <c r="DI2540" i="3"/>
  <c r="DI2541" i="3"/>
  <c r="DI2542" i="3"/>
  <c r="DI2543" i="3"/>
  <c r="DI2544" i="3"/>
  <c r="DI2545" i="3"/>
  <c r="DI2546" i="3"/>
  <c r="DI2547" i="3"/>
  <c r="DI2548" i="3"/>
  <c r="DI2549" i="3"/>
  <c r="DI2550" i="3"/>
  <c r="DI2551" i="3"/>
  <c r="DI2552" i="3"/>
  <c r="DI2553" i="3"/>
  <c r="DI2554" i="3"/>
  <c r="DI2555" i="3"/>
  <c r="DI2556" i="3"/>
  <c r="DI2557" i="3"/>
  <c r="DI2558" i="3"/>
  <c r="DI2559" i="3"/>
  <c r="DI2560" i="3"/>
  <c r="DI2561" i="3"/>
  <c r="DI2562" i="3"/>
  <c r="DI2563" i="3"/>
  <c r="DI2564" i="3"/>
  <c r="DI2565" i="3"/>
  <c r="DI2566" i="3"/>
  <c r="DI2567" i="3"/>
  <c r="DI2568" i="3"/>
  <c r="DI2569" i="3"/>
  <c r="DI2570" i="3"/>
  <c r="DI2571" i="3"/>
  <c r="DI2572" i="3"/>
  <c r="DI2573" i="3"/>
  <c r="DI2574" i="3"/>
  <c r="DI2575" i="3"/>
  <c r="DI2576" i="3"/>
  <c r="DI2577" i="3"/>
  <c r="DI2578" i="3"/>
  <c r="DI2579" i="3"/>
  <c r="DI2580" i="3"/>
  <c r="DI2581" i="3"/>
  <c r="DI2582" i="3"/>
  <c r="DI2583" i="3"/>
  <c r="DI2584" i="3"/>
  <c r="DI2585" i="3"/>
  <c r="DI2586" i="3"/>
  <c r="DI2587" i="3"/>
  <c r="DI2588" i="3"/>
  <c r="DI2589" i="3"/>
  <c r="DI2590" i="3"/>
  <c r="DI2591" i="3"/>
  <c r="DI2592" i="3"/>
  <c r="DI2593" i="3"/>
  <c r="DI2594" i="3"/>
  <c r="DI2595" i="3"/>
  <c r="DI2596" i="3"/>
  <c r="DI2597" i="3"/>
  <c r="DI2598" i="3"/>
  <c r="DI2599" i="3"/>
  <c r="DI2600" i="3"/>
  <c r="DI2601" i="3"/>
  <c r="DI2602" i="3"/>
  <c r="DI2603" i="3"/>
  <c r="DI2604" i="3"/>
  <c r="DI2605" i="3"/>
  <c r="DI2606" i="3"/>
  <c r="DI2607" i="3"/>
  <c r="DI2608" i="3"/>
  <c r="DI2609" i="3"/>
  <c r="DI2610" i="3"/>
  <c r="DI2611" i="3"/>
  <c r="DI2612" i="3"/>
  <c r="DI2613" i="3"/>
  <c r="DI2614" i="3"/>
  <c r="DI2615" i="3"/>
  <c r="DI2616" i="3"/>
  <c r="DI2617" i="3"/>
  <c r="DI2618" i="3"/>
  <c r="DI2619" i="3"/>
  <c r="DI2620" i="3"/>
  <c r="DI2621" i="3"/>
  <c r="DI2622" i="3"/>
  <c r="DI2623" i="3"/>
  <c r="DI2624" i="3"/>
  <c r="DI2625" i="3"/>
  <c r="DI2626" i="3"/>
  <c r="DI2627" i="3"/>
  <c r="DI2628" i="3"/>
  <c r="DI2629" i="3"/>
  <c r="DI2630" i="3"/>
  <c r="DI2631" i="3"/>
  <c r="DI2632" i="3"/>
  <c r="DI2633" i="3"/>
  <c r="DI2634" i="3"/>
  <c r="DI2635" i="3"/>
  <c r="DI2636" i="3"/>
  <c r="DI2637" i="3"/>
  <c r="DI2638" i="3"/>
  <c r="DI2639" i="3"/>
  <c r="DI2640" i="3"/>
  <c r="DI2641" i="3"/>
  <c r="DI2642" i="3"/>
  <c r="DI2643" i="3"/>
  <c r="DI2644" i="3"/>
  <c r="DI2645" i="3"/>
  <c r="DI2646" i="3"/>
  <c r="DI2647" i="3"/>
  <c r="DI2648" i="3"/>
  <c r="DI2649" i="3"/>
  <c r="DI2650" i="3"/>
  <c r="DI2651" i="3"/>
  <c r="DI2652" i="3"/>
  <c r="DI2653" i="3"/>
  <c r="DI2654" i="3"/>
  <c r="DI2655" i="3"/>
  <c r="DI2656" i="3"/>
  <c r="DI2657" i="3"/>
  <c r="DI2658" i="3"/>
  <c r="DI2659" i="3"/>
  <c r="DI2660" i="3"/>
  <c r="DI2661" i="3"/>
  <c r="DI2662" i="3"/>
  <c r="DI2663" i="3"/>
  <c r="DI2664" i="3"/>
  <c r="DI2665" i="3"/>
  <c r="DI2666" i="3"/>
  <c r="DI2667" i="3"/>
  <c r="DI2668" i="3"/>
  <c r="DI2669" i="3"/>
  <c r="DI2670" i="3"/>
  <c r="DI2671" i="3"/>
  <c r="DI2672" i="3"/>
  <c r="DI2673" i="3"/>
  <c r="DI2674" i="3"/>
  <c r="DI2675" i="3"/>
  <c r="DI2676" i="3"/>
  <c r="DI2677" i="3"/>
  <c r="DI2678" i="3"/>
  <c r="DI2679" i="3"/>
  <c r="DI2680" i="3"/>
  <c r="DI2681" i="3"/>
  <c r="DI2682" i="3"/>
  <c r="DI2683" i="3"/>
  <c r="DI2684" i="3"/>
  <c r="DI2685" i="3"/>
  <c r="DI2686" i="3"/>
  <c r="DI2687" i="3"/>
  <c r="DI2688" i="3"/>
  <c r="DI2689" i="3"/>
  <c r="DI2690" i="3"/>
  <c r="DI2691" i="3"/>
  <c r="DI2692" i="3"/>
  <c r="DI2693" i="3"/>
  <c r="DI2694" i="3"/>
  <c r="DI2695" i="3"/>
  <c r="DI2696" i="3"/>
  <c r="DI2697" i="3"/>
  <c r="DI2698" i="3"/>
  <c r="DI2699" i="3"/>
  <c r="DI2700" i="3"/>
  <c r="DI2701" i="3"/>
  <c r="DI2702" i="3"/>
  <c r="DI2703" i="3"/>
  <c r="DI2704" i="3"/>
  <c r="DI2705" i="3"/>
  <c r="DI2706" i="3"/>
  <c r="DI2707" i="3"/>
  <c r="DI2708" i="3"/>
  <c r="DI2709" i="3"/>
  <c r="DI2710" i="3"/>
  <c r="DI2711" i="3"/>
  <c r="DI2712" i="3"/>
  <c r="DI2713" i="3"/>
  <c r="DI2714" i="3"/>
  <c r="DI2715" i="3"/>
  <c r="DI2716" i="3"/>
  <c r="DI2717" i="3"/>
  <c r="DI2718" i="3"/>
  <c r="DI2719" i="3"/>
  <c r="DI2720" i="3"/>
  <c r="DI2721" i="3"/>
  <c r="DI2722" i="3"/>
  <c r="DI2723" i="3"/>
  <c r="DI2724" i="3"/>
  <c r="DI2725" i="3"/>
  <c r="DI2726" i="3"/>
  <c r="DI2727" i="3"/>
  <c r="DI2728" i="3"/>
  <c r="DI2729" i="3"/>
  <c r="DI2730" i="3"/>
  <c r="DI2731" i="3"/>
  <c r="DI2732" i="3"/>
  <c r="DI2733" i="3"/>
  <c r="DI2734" i="3"/>
  <c r="DI2735" i="3"/>
  <c r="DI2736" i="3"/>
  <c r="DI2737" i="3"/>
  <c r="DI2738" i="3"/>
  <c r="DI2739" i="3"/>
  <c r="DI2740" i="3"/>
  <c r="DI2741" i="3"/>
  <c r="DI2742" i="3"/>
  <c r="DI2743" i="3"/>
  <c r="DI2744" i="3"/>
  <c r="DI2745" i="3"/>
  <c r="DI2746" i="3"/>
  <c r="DI2747" i="3"/>
  <c r="DI2748" i="3"/>
  <c r="DI2749" i="3"/>
  <c r="DI2750" i="3"/>
  <c r="DI2751" i="3"/>
  <c r="DI2752" i="3"/>
  <c r="DI2753" i="3"/>
  <c r="DI2754" i="3"/>
  <c r="DI2755" i="3"/>
  <c r="DI2756" i="3"/>
  <c r="DI2757" i="3"/>
  <c r="DI2758" i="3"/>
  <c r="DI2759" i="3"/>
  <c r="DI2760" i="3"/>
  <c r="DI2761" i="3"/>
  <c r="DI2762" i="3"/>
  <c r="DI2763" i="3"/>
  <c r="DI2764" i="3"/>
  <c r="DI2765" i="3"/>
  <c r="DI2766" i="3"/>
  <c r="DI2767" i="3"/>
  <c r="DI2768" i="3"/>
  <c r="DI2769" i="3"/>
  <c r="DI2770" i="3"/>
  <c r="DI2771" i="3"/>
  <c r="DI2772" i="3"/>
  <c r="DI2773" i="3"/>
  <c r="DI2774" i="3"/>
  <c r="DI2775" i="3"/>
  <c r="DI2776" i="3"/>
  <c r="DI2777" i="3"/>
  <c r="DI2778" i="3"/>
  <c r="DI2779" i="3"/>
  <c r="DI2780" i="3"/>
  <c r="DI2781" i="3"/>
  <c r="DI2782" i="3"/>
  <c r="DI2783" i="3"/>
  <c r="DI2784" i="3"/>
  <c r="DI2785" i="3"/>
  <c r="DI2786" i="3"/>
  <c r="DI2787" i="3"/>
  <c r="DI2788" i="3"/>
  <c r="DI2789" i="3"/>
  <c r="DI2790" i="3"/>
  <c r="DI2791" i="3"/>
  <c r="DI2792" i="3"/>
  <c r="DI2793" i="3"/>
  <c r="DI2794" i="3"/>
  <c r="DI2795" i="3"/>
  <c r="DI2796" i="3"/>
  <c r="DI2797" i="3"/>
  <c r="DI2798" i="3"/>
  <c r="DI2799" i="3"/>
  <c r="DI2800" i="3"/>
  <c r="DI2801" i="3"/>
  <c r="DI2802" i="3"/>
  <c r="DI2803" i="3"/>
  <c r="DI2804" i="3"/>
  <c r="DI2805" i="3"/>
  <c r="DI2806" i="3"/>
  <c r="DI2807" i="3"/>
  <c r="DI2808" i="3"/>
  <c r="DI2809" i="3"/>
  <c r="DI2810" i="3"/>
  <c r="DI2811" i="3"/>
  <c r="DI2812" i="3"/>
  <c r="DI2813" i="3"/>
  <c r="DI2814" i="3"/>
  <c r="DI2815" i="3"/>
  <c r="DI2816" i="3"/>
  <c r="DI2817" i="3"/>
  <c r="DI2818" i="3"/>
  <c r="DI2819" i="3"/>
  <c r="DI2820" i="3"/>
  <c r="DI2821" i="3"/>
  <c r="DI2822" i="3"/>
  <c r="DI2823" i="3"/>
  <c r="DI2824" i="3"/>
  <c r="DI2825" i="3"/>
  <c r="DI2826" i="3"/>
  <c r="DI2827" i="3"/>
  <c r="DI2828" i="3"/>
  <c r="DI2829" i="3"/>
  <c r="DI2830" i="3"/>
  <c r="DI2831" i="3"/>
  <c r="DI2832" i="3"/>
  <c r="DI2833" i="3"/>
  <c r="DI2834" i="3"/>
  <c r="DI2835" i="3"/>
  <c r="DI2836" i="3"/>
  <c r="DI2837" i="3"/>
  <c r="DI2838" i="3"/>
  <c r="DI2839" i="3"/>
  <c r="DI2840" i="3"/>
  <c r="DI2841" i="3"/>
  <c r="DI2842" i="3"/>
  <c r="DI2843" i="3"/>
  <c r="DI2844" i="3"/>
  <c r="DI2845" i="3"/>
  <c r="DI2846" i="3"/>
  <c r="DI2847" i="3"/>
  <c r="DI2848" i="3"/>
  <c r="DI2849" i="3"/>
  <c r="DI2850" i="3"/>
  <c r="DI2851" i="3"/>
  <c r="DI2852" i="3"/>
  <c r="DI2853" i="3"/>
  <c r="DI2854" i="3"/>
  <c r="DI2855" i="3"/>
  <c r="DI2856" i="3"/>
  <c r="DI2857" i="3"/>
  <c r="DI2858" i="3"/>
  <c r="DI2859" i="3"/>
  <c r="DI2860" i="3"/>
  <c r="DI2861" i="3"/>
  <c r="DI2862" i="3"/>
  <c r="DI2863" i="3"/>
  <c r="DI2864" i="3"/>
  <c r="DI2865" i="3"/>
  <c r="DI2866" i="3"/>
  <c r="DI2867" i="3"/>
  <c r="DI2868" i="3"/>
  <c r="DI2869" i="3"/>
  <c r="DI2870" i="3"/>
  <c r="DI2871" i="3"/>
  <c r="DI2872" i="3"/>
  <c r="DI2873" i="3"/>
  <c r="DI2874" i="3"/>
  <c r="DI2875" i="3"/>
  <c r="DI2876" i="3"/>
  <c r="DI2877" i="3"/>
  <c r="DI2878" i="3"/>
  <c r="DI2879" i="3"/>
  <c r="DI2880" i="3"/>
  <c r="DI2881" i="3"/>
  <c r="DI2882" i="3"/>
  <c r="DI2883" i="3"/>
  <c r="DI2884" i="3"/>
  <c r="DI2885" i="3"/>
  <c r="DI2886" i="3"/>
  <c r="DI2887" i="3"/>
  <c r="DI2888" i="3"/>
  <c r="DI2889" i="3"/>
  <c r="DI2890" i="3"/>
  <c r="DI2891" i="3"/>
  <c r="DI2892" i="3"/>
  <c r="DI2893" i="3"/>
  <c r="DI2894" i="3"/>
  <c r="DI2895" i="3"/>
  <c r="DI2896" i="3"/>
  <c r="DI2897" i="3"/>
  <c r="DI2898" i="3"/>
  <c r="DI2899" i="3"/>
  <c r="DI2900" i="3"/>
  <c r="DI2901" i="3"/>
  <c r="DI2902" i="3"/>
  <c r="DI2903" i="3"/>
  <c r="DI2904" i="3"/>
  <c r="DI2905" i="3"/>
  <c r="DI2906" i="3"/>
  <c r="DI2907" i="3"/>
  <c r="DI2908" i="3"/>
  <c r="DI2909" i="3"/>
  <c r="DI2910" i="3"/>
  <c r="DI2911" i="3"/>
  <c r="DI2912" i="3"/>
  <c r="DI2913" i="3"/>
  <c r="DI2914" i="3"/>
  <c r="DI2915" i="3"/>
  <c r="DI2916" i="3"/>
  <c r="DI2917" i="3"/>
  <c r="DI2918" i="3"/>
  <c r="DI2919" i="3"/>
  <c r="DI2920" i="3"/>
  <c r="DI2921" i="3"/>
  <c r="DI2922" i="3"/>
  <c r="DI2923" i="3"/>
  <c r="DI2924" i="3"/>
  <c r="DI2925" i="3"/>
  <c r="DI2926" i="3"/>
  <c r="DI2927" i="3"/>
  <c r="DI2928" i="3"/>
  <c r="DI2929" i="3"/>
  <c r="DI2930" i="3"/>
  <c r="DI2931" i="3"/>
  <c r="DI2932" i="3"/>
  <c r="DI2933" i="3"/>
  <c r="DI2934" i="3"/>
  <c r="DI2935" i="3"/>
  <c r="DI2936" i="3"/>
  <c r="DI2937" i="3"/>
  <c r="DI2938" i="3"/>
  <c r="DI2939" i="3"/>
  <c r="DI2940" i="3"/>
  <c r="DI2941" i="3"/>
  <c r="DI2942" i="3"/>
  <c r="DI2943" i="3"/>
  <c r="DI2944" i="3"/>
  <c r="DI2945" i="3"/>
  <c r="DI2946" i="3"/>
  <c r="DI2947" i="3"/>
  <c r="DI2948" i="3"/>
  <c r="DI2949" i="3"/>
  <c r="DI2950" i="3"/>
  <c r="DI2951" i="3"/>
  <c r="DI2952" i="3"/>
  <c r="DI2953" i="3"/>
  <c r="DI2954" i="3"/>
  <c r="DI2955" i="3"/>
  <c r="DI2956" i="3"/>
  <c r="DI2957" i="3"/>
  <c r="DI2958" i="3"/>
  <c r="DI2959" i="3"/>
  <c r="DI2960" i="3"/>
  <c r="DI2961" i="3"/>
  <c r="DI2962" i="3"/>
  <c r="DI2963" i="3"/>
  <c r="DI2964" i="3"/>
  <c r="DI2965" i="3"/>
  <c r="DI2966" i="3"/>
  <c r="DI2967" i="3"/>
  <c r="DI2968" i="3"/>
  <c r="DI2969" i="3"/>
  <c r="DI2970" i="3"/>
  <c r="DI2971" i="3"/>
  <c r="DI2972" i="3"/>
  <c r="DI2973" i="3"/>
  <c r="DI2974" i="3"/>
  <c r="DI2975" i="3"/>
  <c r="DI2976" i="3"/>
  <c r="DI2977" i="3"/>
  <c r="DI2978" i="3"/>
  <c r="DI2979" i="3"/>
  <c r="DI2980" i="3"/>
  <c r="DI2981" i="3"/>
  <c r="DI2982" i="3"/>
  <c r="DI2983" i="3"/>
  <c r="DI2984" i="3"/>
  <c r="DI2985" i="3"/>
  <c r="DI2986" i="3"/>
  <c r="DI2987" i="3"/>
  <c r="DI2988" i="3"/>
  <c r="DI2989" i="3"/>
  <c r="DI2990" i="3"/>
  <c r="DI2991" i="3"/>
  <c r="DI2992" i="3"/>
  <c r="DI2993" i="3"/>
  <c r="DI2994" i="3"/>
  <c r="DI2995" i="3"/>
  <c r="DI2996" i="3"/>
  <c r="DI2997" i="3"/>
  <c r="DI2998" i="3"/>
  <c r="DI2999" i="3"/>
  <c r="DI3000" i="3"/>
  <c r="DI3001" i="3"/>
  <c r="DI3002" i="3"/>
  <c r="DI3003" i="3"/>
  <c r="DI3004" i="3"/>
  <c r="DI3005" i="3"/>
  <c r="DI3006" i="3"/>
  <c r="DI3007" i="3"/>
  <c r="DI3008" i="3"/>
  <c r="DI3009" i="3"/>
  <c r="DI3010" i="3"/>
  <c r="DI3011" i="3"/>
  <c r="DI3012" i="3"/>
  <c r="DI3013" i="3"/>
  <c r="DI3014" i="3"/>
  <c r="DI3015" i="3"/>
  <c r="DI3016" i="3"/>
  <c r="DI3017" i="3"/>
  <c r="DI3018" i="3"/>
  <c r="DI3019" i="3"/>
  <c r="DI3020" i="3"/>
  <c r="DI3021" i="3"/>
  <c r="DI3022" i="3"/>
  <c r="DI3023" i="3"/>
  <c r="DI3024" i="3"/>
  <c r="DI3025" i="3"/>
  <c r="DI3026" i="3"/>
  <c r="DI3027" i="3"/>
  <c r="DI3028" i="3"/>
  <c r="DI3029" i="3"/>
  <c r="DI3030" i="3"/>
  <c r="DI3031" i="3"/>
  <c r="DI3032" i="3"/>
  <c r="DI3033" i="3"/>
  <c r="DI3034" i="3"/>
  <c r="DI3035" i="3"/>
  <c r="DI3036" i="3"/>
  <c r="DI3037" i="3"/>
  <c r="DI3038" i="3"/>
  <c r="DI3039" i="3"/>
  <c r="DI3040" i="3"/>
  <c r="DI3041" i="3"/>
  <c r="DI3042" i="3"/>
  <c r="DI3043" i="3"/>
  <c r="DI3044" i="3"/>
  <c r="DI3045" i="3"/>
  <c r="DI3046" i="3"/>
  <c r="DI3047" i="3"/>
  <c r="DI3048" i="3"/>
  <c r="DI3049" i="3"/>
  <c r="DI3050" i="3"/>
  <c r="DI3051" i="3"/>
  <c r="DI3052" i="3"/>
  <c r="DI3053" i="3"/>
  <c r="DI3054" i="3"/>
  <c r="DI3055" i="3"/>
  <c r="DI3056" i="3"/>
  <c r="DI3057" i="3"/>
  <c r="DI3058" i="3"/>
  <c r="DI3059" i="3"/>
  <c r="DI3060" i="3"/>
  <c r="DI3061" i="3"/>
  <c r="DI3062" i="3"/>
  <c r="DI3063" i="3"/>
  <c r="DI3064" i="3"/>
  <c r="DI3065" i="3"/>
  <c r="DI3066" i="3"/>
  <c r="DI3067" i="3"/>
  <c r="DI3068" i="3"/>
  <c r="DI3069" i="3"/>
  <c r="DI3070" i="3"/>
  <c r="DI3071" i="3"/>
  <c r="DI3072" i="3"/>
  <c r="DI3073" i="3"/>
  <c r="DI3074" i="3"/>
  <c r="DI3075" i="3"/>
  <c r="DI3076" i="3"/>
  <c r="DI3077" i="3"/>
  <c r="DI3078" i="3"/>
  <c r="DI3079" i="3"/>
  <c r="DI3080" i="3"/>
  <c r="DI3081" i="3"/>
  <c r="DI3082" i="3"/>
  <c r="DI3083" i="3"/>
  <c r="DI3084" i="3"/>
  <c r="DI3085" i="3"/>
  <c r="DI3086" i="3"/>
  <c r="DI3087" i="3"/>
  <c r="DI3088" i="3"/>
  <c r="DI3089" i="3"/>
  <c r="DI3090" i="3"/>
  <c r="DI3091" i="3"/>
  <c r="DI3092" i="3"/>
  <c r="DI3093" i="3"/>
  <c r="DI3094" i="3"/>
  <c r="DI3095" i="3"/>
  <c r="DI3096" i="3"/>
  <c r="DI3097" i="3"/>
  <c r="DI3098" i="3"/>
  <c r="DI3099" i="3"/>
  <c r="DI3100" i="3"/>
  <c r="DI3101" i="3"/>
  <c r="DI3102" i="3"/>
  <c r="DI3103" i="3"/>
  <c r="DI3104" i="3"/>
  <c r="DI3105" i="3"/>
  <c r="DI3106" i="3"/>
  <c r="DI3107" i="3"/>
  <c r="DI3108" i="3"/>
  <c r="DI3109" i="3"/>
  <c r="DI3110" i="3"/>
  <c r="DI3111" i="3"/>
  <c r="DI3112" i="3"/>
  <c r="DI3113" i="3"/>
  <c r="DI3114" i="3"/>
  <c r="DI3115" i="3"/>
  <c r="DI3116" i="3"/>
  <c r="DI3117" i="3"/>
  <c r="DI3118" i="3"/>
  <c r="DI3119" i="3"/>
  <c r="DI3120" i="3"/>
  <c r="DI3121" i="3"/>
  <c r="DI3122" i="3"/>
  <c r="DI3123" i="3"/>
  <c r="DI3124" i="3"/>
  <c r="DI3125" i="3"/>
  <c r="DI3126" i="3"/>
  <c r="DI3127" i="3"/>
  <c r="DI3128" i="3"/>
  <c r="DI3129" i="3"/>
  <c r="DI3130" i="3"/>
  <c r="DI3131" i="3"/>
  <c r="DI3132" i="3"/>
  <c r="DI3133" i="3"/>
  <c r="DI3134" i="3"/>
  <c r="DI3135" i="3"/>
  <c r="DI3136" i="3"/>
  <c r="DI3137" i="3"/>
  <c r="DI3138" i="3"/>
  <c r="DI3139" i="3"/>
  <c r="DI3140" i="3"/>
  <c r="DI3141" i="3"/>
  <c r="DI3142" i="3"/>
  <c r="DI3143" i="3"/>
  <c r="DI3144" i="3"/>
  <c r="DI3145" i="3"/>
  <c r="DI3146" i="3"/>
  <c r="DI3147" i="3"/>
  <c r="DI3148" i="3"/>
  <c r="DI3149" i="3"/>
  <c r="DI3150" i="3"/>
  <c r="DI3151" i="3"/>
  <c r="DI3152" i="3"/>
  <c r="DI3153" i="3"/>
  <c r="DI3154" i="3"/>
  <c r="DI3155" i="3"/>
  <c r="DI3156" i="3"/>
  <c r="DI3157" i="3"/>
  <c r="DI3158" i="3"/>
  <c r="DI3159" i="3"/>
  <c r="DI3160" i="3"/>
  <c r="DI3161" i="3"/>
  <c r="DI3162" i="3"/>
  <c r="DI3163" i="3"/>
  <c r="DI3164" i="3"/>
  <c r="DI3165" i="3"/>
  <c r="DI3166" i="3"/>
  <c r="DI3167" i="3"/>
  <c r="DI3168" i="3"/>
  <c r="DI3169" i="3"/>
  <c r="DI3170" i="3"/>
  <c r="DI3171" i="3"/>
  <c r="DI3172" i="3"/>
  <c r="DI3173" i="3"/>
  <c r="DI3174" i="3"/>
  <c r="DI3175" i="3"/>
  <c r="DI3176" i="3"/>
  <c r="DI3177" i="3"/>
  <c r="DI3178" i="3"/>
  <c r="DI3179" i="3"/>
  <c r="DI3180" i="3"/>
  <c r="DI3181" i="3"/>
  <c r="DI3182" i="3"/>
  <c r="DI3183" i="3"/>
  <c r="DI3184" i="3"/>
  <c r="DI3185" i="3"/>
  <c r="DI3186" i="3"/>
  <c r="DI3187" i="3"/>
  <c r="DI3188" i="3"/>
  <c r="DI3189" i="3"/>
  <c r="DI3190" i="3"/>
  <c r="DI3191" i="3"/>
  <c r="DI3192" i="3"/>
  <c r="DI3193" i="3"/>
  <c r="DI3194" i="3"/>
  <c r="DI3195" i="3"/>
  <c r="DI3196" i="3"/>
  <c r="DI3197" i="3"/>
  <c r="DI3198" i="3"/>
  <c r="DI3199" i="3"/>
  <c r="DI3200" i="3"/>
  <c r="DI3201" i="3"/>
  <c r="DI3202" i="3"/>
  <c r="DI3203" i="3"/>
  <c r="DI3204" i="3"/>
  <c r="DI3205" i="3"/>
  <c r="DI3206" i="3"/>
  <c r="DI3207" i="3"/>
  <c r="DI3208" i="3"/>
  <c r="DI3209" i="3"/>
  <c r="DI3210" i="3"/>
  <c r="DI3211" i="3"/>
  <c r="DI3212" i="3"/>
  <c r="DI3213" i="3"/>
  <c r="DI3214" i="3"/>
  <c r="DI3215" i="3"/>
  <c r="DI3216" i="3"/>
  <c r="DI3217" i="3"/>
  <c r="DI3218" i="3"/>
  <c r="DI3219" i="3"/>
  <c r="DI3220" i="3"/>
  <c r="DI3221" i="3"/>
  <c r="DI3222" i="3"/>
  <c r="DI3223" i="3"/>
  <c r="DI3224" i="3"/>
  <c r="DI3225" i="3"/>
  <c r="DI3226" i="3"/>
  <c r="DI3227" i="3"/>
  <c r="DI3228" i="3"/>
  <c r="DI3229" i="3"/>
  <c r="DI3230" i="3"/>
  <c r="DI3231" i="3"/>
  <c r="DI3232" i="3"/>
  <c r="DI3233" i="3"/>
  <c r="DI3234" i="3"/>
  <c r="DI3235" i="3"/>
  <c r="DI3236" i="3"/>
  <c r="DI3237" i="3"/>
  <c r="DI3238" i="3"/>
  <c r="DI3239" i="3"/>
  <c r="DI3240" i="3"/>
  <c r="DI3241" i="3"/>
  <c r="DI3242" i="3"/>
  <c r="DI3243" i="3"/>
  <c r="DI3244" i="3"/>
  <c r="DI3245" i="3"/>
  <c r="DI3246" i="3"/>
  <c r="DI3247" i="3"/>
  <c r="DI3248" i="3"/>
  <c r="DI3249" i="3"/>
  <c r="DI3250" i="3"/>
  <c r="DI3251" i="3"/>
  <c r="DI3252" i="3"/>
  <c r="DI3253" i="3"/>
  <c r="DI3254" i="3"/>
  <c r="DI3255" i="3"/>
  <c r="DI3256" i="3"/>
  <c r="DI3257" i="3"/>
  <c r="DI3258" i="3"/>
  <c r="DI3259" i="3"/>
  <c r="DI3260" i="3"/>
  <c r="DI3261" i="3"/>
  <c r="DI3262" i="3"/>
  <c r="DI3263" i="3"/>
  <c r="DI3264" i="3"/>
  <c r="DI3265" i="3"/>
  <c r="DI3266" i="3"/>
  <c r="DI3267" i="3"/>
  <c r="DI3268" i="3"/>
  <c r="DI3269" i="3"/>
  <c r="DI3270" i="3"/>
  <c r="DI3271" i="3"/>
  <c r="DI3272" i="3"/>
  <c r="DI3273" i="3"/>
  <c r="DI3274" i="3"/>
  <c r="DI3275" i="3"/>
  <c r="DI3276" i="3"/>
  <c r="DI3277" i="3"/>
  <c r="DI3278" i="3"/>
  <c r="DI3279" i="3"/>
  <c r="DI3280" i="3"/>
  <c r="DI3281" i="3"/>
  <c r="DI3282" i="3"/>
  <c r="DI3283" i="3"/>
  <c r="DI3284" i="3"/>
  <c r="DI3285" i="3"/>
  <c r="DI3286" i="3"/>
  <c r="DI3287" i="3"/>
  <c r="DI3288" i="3"/>
  <c r="DI3289" i="3"/>
  <c r="DI3290" i="3"/>
  <c r="DI3291" i="3"/>
  <c r="DI3292" i="3"/>
  <c r="DI3293" i="3"/>
  <c r="DI3294" i="3"/>
  <c r="DI3295" i="3"/>
  <c r="DI3296" i="3"/>
  <c r="DI3297" i="3"/>
  <c r="DI3298" i="3"/>
  <c r="DI3299" i="3"/>
  <c r="DI3300" i="3"/>
  <c r="DI3301" i="3"/>
  <c r="DI3302" i="3"/>
  <c r="DI3303" i="3"/>
  <c r="DI3304" i="3"/>
  <c r="DI3305" i="3"/>
  <c r="DI3306" i="3"/>
  <c r="DI3307" i="3"/>
  <c r="DI3308" i="3"/>
  <c r="DI3309" i="3"/>
  <c r="DI3310" i="3"/>
  <c r="DI3311" i="3"/>
  <c r="DI3312" i="3"/>
  <c r="DI3313" i="3"/>
  <c r="DI3314" i="3"/>
  <c r="DI3315" i="3"/>
  <c r="DI3316" i="3"/>
  <c r="DI3317" i="3"/>
  <c r="DI3318" i="3"/>
  <c r="DI3319" i="3"/>
  <c r="DI3320" i="3"/>
  <c r="DI3321" i="3"/>
  <c r="DI3322" i="3"/>
  <c r="DI3323" i="3"/>
  <c r="DI3324" i="3"/>
  <c r="DI3325" i="3"/>
  <c r="DI3326" i="3"/>
  <c r="DI3327" i="3"/>
  <c r="DI3328" i="3"/>
  <c r="DI3329" i="3"/>
  <c r="DI3330" i="3"/>
  <c r="DI3331" i="3"/>
  <c r="DI3332" i="3"/>
  <c r="DI3333" i="3"/>
  <c r="DI3334" i="3"/>
  <c r="DI3335" i="3"/>
  <c r="DI3336" i="3"/>
  <c r="DI3337" i="3"/>
  <c r="DI3338" i="3"/>
  <c r="DI3339" i="3"/>
  <c r="DI3340" i="3"/>
  <c r="DI3341" i="3"/>
  <c r="DI3342" i="3"/>
  <c r="DI3343" i="3"/>
  <c r="DI3344" i="3"/>
  <c r="DI3345" i="3"/>
  <c r="DI3346" i="3"/>
  <c r="DI3347" i="3"/>
  <c r="DI3348" i="3"/>
  <c r="DI3349" i="3"/>
  <c r="DI3350" i="3"/>
  <c r="DI3351" i="3"/>
  <c r="DI3352" i="3"/>
  <c r="DI3353" i="3"/>
  <c r="DI3354" i="3"/>
  <c r="DI3355" i="3"/>
  <c r="DI3356" i="3"/>
  <c r="DI3357" i="3"/>
  <c r="DI3358" i="3"/>
  <c r="DI3359" i="3"/>
  <c r="DI3360" i="3"/>
  <c r="DI3361" i="3"/>
  <c r="DI3362" i="3"/>
  <c r="DI3363" i="3"/>
  <c r="DI3364" i="3"/>
  <c r="DI3365" i="3"/>
  <c r="DI3366" i="3"/>
  <c r="DI3367" i="3"/>
  <c r="DI3368" i="3"/>
  <c r="DI3369" i="3"/>
  <c r="DI3370" i="3"/>
  <c r="DI3371" i="3"/>
  <c r="DI3372" i="3"/>
  <c r="DI3373" i="3"/>
  <c r="DI3374" i="3"/>
  <c r="DI3375" i="3"/>
  <c r="DI3376" i="3"/>
  <c r="DI3377" i="3"/>
  <c r="DI3378" i="3"/>
  <c r="DI3379" i="3"/>
  <c r="DI3380" i="3"/>
  <c r="DI3381" i="3"/>
  <c r="DI3382" i="3"/>
  <c r="DI3383" i="3"/>
  <c r="DI3384" i="3"/>
  <c r="DI3385" i="3"/>
  <c r="DI3386" i="3"/>
  <c r="DI3387" i="3"/>
  <c r="DI3388" i="3"/>
  <c r="DI3389" i="3"/>
  <c r="DI3390" i="3"/>
  <c r="DI3391" i="3"/>
  <c r="DI3392" i="3"/>
  <c r="DI3393" i="3"/>
  <c r="DI3394" i="3"/>
  <c r="DI3395" i="3"/>
  <c r="DI3396" i="3"/>
  <c r="DI3397" i="3"/>
  <c r="DI3398" i="3"/>
  <c r="DI3399" i="3"/>
  <c r="DI3400" i="3"/>
  <c r="DI3401" i="3"/>
  <c r="DI3402" i="3"/>
  <c r="DI3403" i="3"/>
  <c r="DI3404" i="3"/>
  <c r="DI3405" i="3"/>
  <c r="DI3406" i="3"/>
  <c r="DI3407" i="3"/>
  <c r="DI3408" i="3"/>
  <c r="DI3409" i="3"/>
  <c r="DI3410" i="3"/>
  <c r="DI3411" i="3"/>
  <c r="DI3412" i="3"/>
  <c r="DI3413" i="3"/>
  <c r="DI3414" i="3"/>
  <c r="DI3415" i="3"/>
  <c r="DI3416" i="3"/>
  <c r="DI3417" i="3"/>
  <c r="DI3418" i="3"/>
  <c r="DI3419" i="3"/>
  <c r="DI3420" i="3"/>
  <c r="DI3421" i="3"/>
  <c r="DI3422" i="3"/>
  <c r="DI3423" i="3"/>
  <c r="DI3424" i="3"/>
  <c r="DI3425" i="3"/>
  <c r="DI3426" i="3"/>
  <c r="DI3427" i="3"/>
  <c r="DI3428" i="3"/>
  <c r="DI3429" i="3"/>
  <c r="DI3430" i="3"/>
  <c r="DI3431" i="3"/>
  <c r="DI3432" i="3"/>
  <c r="DI3433" i="3"/>
  <c r="DI3434" i="3"/>
  <c r="DI3435" i="3"/>
  <c r="DI3436" i="3"/>
  <c r="DI3437" i="3"/>
  <c r="DI3438" i="3"/>
  <c r="DI3439" i="3"/>
  <c r="DI3440" i="3"/>
  <c r="DI3441" i="3"/>
  <c r="DI3442" i="3"/>
  <c r="DI3443" i="3"/>
  <c r="DI3444" i="3"/>
  <c r="DI3445" i="3"/>
  <c r="DI3446" i="3"/>
  <c r="DI3447" i="3"/>
  <c r="DI3448" i="3"/>
  <c r="DI3449" i="3"/>
  <c r="DI3450" i="3"/>
  <c r="DI3451" i="3"/>
  <c r="DI3452" i="3"/>
  <c r="DI3453" i="3"/>
  <c r="DI3454" i="3"/>
  <c r="DI3455" i="3"/>
  <c r="DI3456" i="3"/>
  <c r="DI3457" i="3"/>
  <c r="DI3458" i="3"/>
  <c r="DI3459" i="3"/>
  <c r="DI3460" i="3"/>
  <c r="DI3461" i="3"/>
  <c r="DI3462" i="3"/>
  <c r="DI3463" i="3"/>
  <c r="DI3464" i="3"/>
  <c r="DI3465" i="3"/>
  <c r="DI3466" i="3"/>
  <c r="DI3467" i="3"/>
  <c r="DI3468" i="3"/>
  <c r="DI3469" i="3"/>
  <c r="DI3470" i="3"/>
  <c r="DI3471" i="3"/>
  <c r="DI3472" i="3"/>
  <c r="DI3473" i="3"/>
  <c r="DI3474" i="3"/>
  <c r="DI3475" i="3"/>
  <c r="DI3476" i="3"/>
  <c r="DI3477" i="3"/>
  <c r="DI3478" i="3"/>
  <c r="DI3479" i="3"/>
  <c r="DI3480" i="3"/>
  <c r="DI3481" i="3"/>
  <c r="DI3482" i="3"/>
  <c r="DI3483" i="3"/>
  <c r="DI3484" i="3"/>
  <c r="DI3485" i="3"/>
  <c r="DI3486" i="3"/>
  <c r="DI3487" i="3"/>
  <c r="DI3488" i="3"/>
  <c r="DI3489" i="3"/>
  <c r="DI3490" i="3"/>
  <c r="DI3491" i="3"/>
  <c r="DI3492" i="3"/>
  <c r="DI3493" i="3"/>
  <c r="DI3494" i="3"/>
  <c r="DI3495" i="3"/>
  <c r="DI3496" i="3"/>
  <c r="DI3497" i="3"/>
  <c r="DI3498" i="3"/>
  <c r="DI3499" i="3"/>
  <c r="DI3500" i="3"/>
  <c r="DI3501" i="3"/>
  <c r="DI3502" i="3"/>
  <c r="DI3503" i="3"/>
  <c r="DI3504" i="3"/>
  <c r="DI3505" i="3"/>
  <c r="DI3506" i="3"/>
  <c r="DI3507" i="3"/>
  <c r="DI3508" i="3"/>
  <c r="DI3509" i="3"/>
  <c r="DI3510" i="3"/>
  <c r="DI3511" i="3"/>
  <c r="DI3512" i="3"/>
  <c r="DI3513" i="3"/>
  <c r="DI3514" i="3"/>
  <c r="DI3515" i="3"/>
  <c r="DI3516" i="3"/>
  <c r="DI3517" i="3"/>
  <c r="DI3518" i="3"/>
  <c r="DI3519" i="3"/>
  <c r="DI3520" i="3"/>
  <c r="DI3521" i="3"/>
  <c r="DI3522" i="3"/>
  <c r="DI3523" i="3"/>
  <c r="DI3524" i="3"/>
  <c r="DI3525" i="3"/>
  <c r="DI3526" i="3"/>
  <c r="DI3527" i="3"/>
  <c r="DI3528" i="3"/>
  <c r="DI3529" i="3"/>
  <c r="DI3530" i="3"/>
  <c r="DI3531" i="3"/>
  <c r="DI3532" i="3"/>
  <c r="DI3533" i="3"/>
  <c r="DI3534" i="3"/>
  <c r="DI3535" i="3"/>
  <c r="DI3536" i="3"/>
  <c r="DI3537" i="3"/>
  <c r="DI3538" i="3"/>
  <c r="DI3539" i="3"/>
  <c r="DI3540" i="3"/>
  <c r="DI3541" i="3"/>
  <c r="DI3542" i="3"/>
  <c r="DI3543" i="3"/>
  <c r="DI3544" i="3"/>
  <c r="DI3545" i="3"/>
  <c r="DI3546" i="3"/>
  <c r="DI3547" i="3"/>
  <c r="DI3548" i="3"/>
  <c r="DI3549" i="3"/>
  <c r="DI3550" i="3"/>
  <c r="DI3551" i="3"/>
  <c r="DI3552" i="3"/>
  <c r="DI3553" i="3"/>
  <c r="DI3554" i="3"/>
  <c r="DI3555" i="3"/>
  <c r="DI3556" i="3"/>
  <c r="DI3557" i="3"/>
  <c r="DI3558" i="3"/>
  <c r="DI3559" i="3"/>
  <c r="DI3560" i="3"/>
  <c r="DI3561" i="3"/>
  <c r="DI3562" i="3"/>
  <c r="DI3563" i="3"/>
  <c r="DI3564" i="3"/>
  <c r="DI3565" i="3"/>
  <c r="DI3566" i="3"/>
  <c r="DI3567" i="3"/>
  <c r="DI3568" i="3"/>
  <c r="DI3569" i="3"/>
  <c r="DI3570" i="3"/>
  <c r="DI3571" i="3"/>
  <c r="DI3572" i="3"/>
  <c r="DI3573" i="3"/>
  <c r="DI3574" i="3"/>
  <c r="DI3575" i="3"/>
  <c r="DI3576" i="3"/>
  <c r="DI3577" i="3"/>
  <c r="DI3578" i="3"/>
  <c r="DI3579" i="3"/>
  <c r="DI3580" i="3"/>
  <c r="DI3581" i="3"/>
  <c r="DI3582" i="3"/>
  <c r="DI3583" i="3"/>
  <c r="DI3584" i="3"/>
  <c r="DI3585" i="3"/>
  <c r="DI3586" i="3"/>
  <c r="DI3587" i="3"/>
  <c r="DI3588" i="3"/>
  <c r="DI3589" i="3"/>
  <c r="DI3590" i="3"/>
  <c r="DI3591" i="3"/>
  <c r="DI3592" i="3"/>
  <c r="DI3593" i="3"/>
  <c r="DI3594" i="3"/>
  <c r="DI3595" i="3"/>
  <c r="DI3596" i="3"/>
  <c r="DI3597" i="3"/>
  <c r="DI3598" i="3"/>
  <c r="DI3599" i="3"/>
  <c r="DI3600" i="3"/>
  <c r="DI3601" i="3"/>
  <c r="DI3602" i="3"/>
  <c r="DI3603" i="3"/>
  <c r="DI3604" i="3"/>
  <c r="DI3605" i="3"/>
  <c r="DI3606" i="3"/>
  <c r="DI3607" i="3"/>
  <c r="DI3608" i="3"/>
  <c r="DI3609" i="3"/>
  <c r="DI3610" i="3"/>
  <c r="DI3611" i="3"/>
  <c r="DI3612" i="3"/>
  <c r="DI3613" i="3"/>
  <c r="DI3614" i="3"/>
  <c r="DI3615" i="3"/>
  <c r="DI3616" i="3"/>
  <c r="DI3617" i="3"/>
  <c r="DI3618" i="3"/>
  <c r="DI3619" i="3"/>
  <c r="DI3620" i="3"/>
  <c r="DI3621" i="3"/>
  <c r="DI3622" i="3"/>
  <c r="DI3623" i="3"/>
  <c r="DI3624" i="3"/>
  <c r="DI3625" i="3"/>
  <c r="DI3626" i="3"/>
  <c r="DI3627" i="3"/>
  <c r="DI3628" i="3"/>
  <c r="DI3629" i="3"/>
  <c r="DI3630" i="3"/>
  <c r="DI3631" i="3"/>
  <c r="DI3632" i="3"/>
  <c r="DI3633" i="3"/>
  <c r="DI3634" i="3"/>
  <c r="DI3635" i="3"/>
  <c r="DI3636" i="3"/>
  <c r="DI3637" i="3"/>
  <c r="DI3638" i="3"/>
  <c r="DI3639" i="3"/>
  <c r="DI3640" i="3"/>
  <c r="DI3641" i="3"/>
  <c r="DI3642" i="3"/>
  <c r="DI3643" i="3"/>
  <c r="DI3644" i="3"/>
  <c r="DI3645" i="3"/>
  <c r="DI3646" i="3"/>
  <c r="DI3647" i="3"/>
  <c r="DI3648" i="3"/>
  <c r="DI3649" i="3"/>
  <c r="DI3650" i="3"/>
  <c r="DI3651" i="3"/>
  <c r="DI3652" i="3"/>
  <c r="DI3653" i="3"/>
  <c r="DI3654" i="3"/>
  <c r="DI3655" i="3"/>
  <c r="DI3656" i="3"/>
  <c r="DI3657" i="3"/>
  <c r="DI3658" i="3"/>
  <c r="DI3659" i="3"/>
  <c r="DI3660" i="3"/>
  <c r="DI3661" i="3"/>
  <c r="DI3662" i="3"/>
  <c r="DI3663" i="3"/>
  <c r="DI3664" i="3"/>
  <c r="DI3665" i="3"/>
  <c r="DI3666" i="3"/>
  <c r="DI3667" i="3"/>
  <c r="DI3668" i="3"/>
  <c r="DI3669" i="3"/>
  <c r="DI3670" i="3"/>
  <c r="DI3671" i="3"/>
  <c r="DI3672" i="3"/>
  <c r="DI3673" i="3"/>
  <c r="DI3674" i="3"/>
  <c r="DI3675" i="3"/>
  <c r="DI3676" i="3"/>
  <c r="DI3677" i="3"/>
  <c r="DI3678" i="3"/>
  <c r="DI3679" i="3"/>
  <c r="DI3680" i="3"/>
  <c r="DI3681" i="3"/>
  <c r="DI3682" i="3"/>
  <c r="DI3683" i="3"/>
  <c r="DI3684" i="3"/>
  <c r="DI3685" i="3"/>
  <c r="DI3686" i="3"/>
  <c r="DI3687" i="3"/>
  <c r="DI3688" i="3"/>
  <c r="DI3689" i="3"/>
  <c r="DI3690" i="3"/>
  <c r="DI3691" i="3"/>
  <c r="DI3692" i="3"/>
  <c r="DI3693" i="3"/>
  <c r="DI3694" i="3"/>
  <c r="DI3695" i="3"/>
  <c r="DI3696" i="3"/>
  <c r="DI3697" i="3"/>
  <c r="DI3698" i="3"/>
  <c r="DI3699" i="3"/>
  <c r="DI3700" i="3"/>
  <c r="DI3701" i="3"/>
  <c r="DI3702" i="3"/>
  <c r="DI3703" i="3"/>
  <c r="DI3704" i="3"/>
  <c r="DI3705" i="3"/>
  <c r="DI3706" i="3"/>
  <c r="DI3707" i="3"/>
  <c r="DI3708" i="3"/>
  <c r="DI3709" i="3"/>
  <c r="DI3710" i="3"/>
  <c r="DI3711" i="3"/>
  <c r="DI3712" i="3"/>
  <c r="DI3713" i="3"/>
  <c r="DI3714" i="3"/>
  <c r="DI3715" i="3"/>
  <c r="DI3716" i="3"/>
  <c r="DI3717" i="3"/>
  <c r="DI3718" i="3"/>
  <c r="DI3719" i="3"/>
  <c r="DI3720" i="3"/>
  <c r="DI3721" i="3"/>
  <c r="DI3722" i="3"/>
  <c r="DI3723" i="3"/>
  <c r="DI3724" i="3"/>
  <c r="DI3725" i="3"/>
  <c r="DI3726" i="3"/>
  <c r="DI3727" i="3"/>
  <c r="DI3728" i="3"/>
  <c r="DI3729" i="3"/>
  <c r="DI3730" i="3"/>
  <c r="DI3731" i="3"/>
  <c r="DI3732" i="3"/>
  <c r="DI3733" i="3"/>
  <c r="DI3734" i="3"/>
  <c r="DI3735" i="3"/>
  <c r="DI3736" i="3"/>
  <c r="DI3737" i="3"/>
  <c r="DI3738" i="3"/>
  <c r="DI3739" i="3"/>
  <c r="DI3740" i="3"/>
  <c r="DI3741" i="3"/>
  <c r="DI3742" i="3"/>
  <c r="DI3743" i="3"/>
  <c r="DI3744" i="3"/>
  <c r="DI3745" i="3"/>
  <c r="DI3746" i="3"/>
  <c r="DI3747" i="3"/>
  <c r="DI3748" i="3"/>
  <c r="DI3749" i="3"/>
  <c r="DI3750" i="3"/>
  <c r="DI3751" i="3"/>
  <c r="DI3752" i="3"/>
  <c r="DI3753" i="3"/>
  <c r="DI3754" i="3"/>
  <c r="DI3755" i="3"/>
  <c r="DI3756" i="3"/>
  <c r="DI3757" i="3"/>
  <c r="DI3758" i="3"/>
  <c r="DI3759" i="3"/>
  <c r="DI3760" i="3"/>
  <c r="DI3761" i="3"/>
  <c r="DI3762" i="3"/>
  <c r="DI3763" i="3"/>
  <c r="DI3764" i="3"/>
  <c r="DI3765" i="3"/>
  <c r="DI3766" i="3"/>
  <c r="DI3767" i="3"/>
  <c r="DI3768" i="3"/>
  <c r="DI3769" i="3"/>
  <c r="DI3770" i="3"/>
  <c r="DI3771" i="3"/>
  <c r="DI3772" i="3"/>
  <c r="DI3773" i="3"/>
  <c r="DI3774" i="3"/>
  <c r="DI3775" i="3"/>
  <c r="DI3776" i="3"/>
  <c r="DI3777" i="3"/>
  <c r="DI3778" i="3"/>
  <c r="DI3779" i="3"/>
  <c r="DI3780" i="3"/>
  <c r="DI3781" i="3"/>
  <c r="DI3782" i="3"/>
  <c r="DI3783" i="3"/>
  <c r="DI3784" i="3"/>
  <c r="DI3785" i="3"/>
  <c r="DI3786" i="3"/>
  <c r="DI3787" i="3"/>
  <c r="DI3788" i="3"/>
  <c r="DI3789" i="3"/>
  <c r="DI3790" i="3"/>
  <c r="DI3791" i="3"/>
  <c r="DI3792" i="3"/>
  <c r="DI3793" i="3"/>
  <c r="DI3794" i="3"/>
  <c r="DI3795" i="3"/>
  <c r="DI3796" i="3"/>
  <c r="DI3797" i="3"/>
  <c r="DI3798" i="3"/>
  <c r="DI3799" i="3"/>
  <c r="DI3800" i="3"/>
  <c r="DI3801" i="3"/>
  <c r="DI3802" i="3"/>
  <c r="DI3803" i="3"/>
  <c r="DI3804" i="3"/>
  <c r="DI3805" i="3"/>
  <c r="DI3806" i="3"/>
  <c r="DI3807" i="3"/>
  <c r="DI3808" i="3"/>
  <c r="DI3809" i="3"/>
  <c r="DI3810" i="3"/>
  <c r="DI3811" i="3"/>
  <c r="DI3812" i="3"/>
  <c r="DI3813" i="3"/>
  <c r="DI3814" i="3"/>
  <c r="DI3815" i="3"/>
  <c r="DI3816" i="3"/>
  <c r="DI3817" i="3"/>
  <c r="DI3818" i="3"/>
  <c r="DI3819" i="3"/>
  <c r="DI3820" i="3"/>
  <c r="DI3821" i="3"/>
  <c r="DI3822" i="3"/>
  <c r="DI3823" i="3"/>
  <c r="DI3824" i="3"/>
  <c r="DI3825" i="3"/>
  <c r="DI3826" i="3"/>
  <c r="DI3827" i="3"/>
  <c r="DI3828" i="3"/>
  <c r="DI3829" i="3"/>
  <c r="DI3830" i="3"/>
  <c r="DI3831" i="3"/>
  <c r="DI3832" i="3"/>
  <c r="DI3833" i="3"/>
  <c r="DI3834" i="3"/>
  <c r="DI3835" i="3"/>
  <c r="DI3836" i="3"/>
  <c r="DI3837" i="3"/>
  <c r="DI3838" i="3"/>
  <c r="DI3839" i="3"/>
  <c r="DI3840" i="3"/>
  <c r="DI3841" i="3"/>
  <c r="DI3842" i="3"/>
  <c r="DI3843" i="3"/>
  <c r="DI3844" i="3"/>
  <c r="DI3845" i="3"/>
  <c r="DI3846" i="3"/>
  <c r="DI3847" i="3"/>
  <c r="DI3848" i="3"/>
  <c r="DI3849" i="3"/>
  <c r="DI3850" i="3"/>
  <c r="DI3851" i="3"/>
  <c r="DI3852" i="3"/>
  <c r="DI3853" i="3"/>
  <c r="DI3854" i="3"/>
  <c r="DI3855" i="3"/>
  <c r="DI3856" i="3"/>
  <c r="DI3857" i="3"/>
  <c r="DI3858" i="3"/>
  <c r="DI3859" i="3"/>
  <c r="DI3860" i="3"/>
  <c r="DI3861" i="3"/>
  <c r="DI3862" i="3"/>
  <c r="DI3863" i="3"/>
  <c r="DI3864" i="3"/>
  <c r="DI3865" i="3"/>
  <c r="DI3866" i="3"/>
  <c r="DI3867" i="3"/>
  <c r="DI3868" i="3"/>
  <c r="DI3869" i="3"/>
  <c r="DI3870" i="3"/>
  <c r="DI3871" i="3"/>
  <c r="DI3872" i="3"/>
  <c r="DI3873" i="3"/>
  <c r="DI3874" i="3"/>
  <c r="DI3875" i="3"/>
  <c r="DI3876" i="3"/>
  <c r="DI3877" i="3"/>
  <c r="DI3878" i="3"/>
  <c r="DI3879" i="3"/>
  <c r="DI3880" i="3"/>
  <c r="DI3881" i="3"/>
  <c r="DI3882" i="3"/>
  <c r="DI3883" i="3"/>
  <c r="DI3884" i="3"/>
  <c r="DI3885" i="3"/>
  <c r="DI3886" i="3"/>
  <c r="DI3887" i="3"/>
  <c r="DI3888" i="3"/>
  <c r="DI3889" i="3"/>
  <c r="DI3890" i="3"/>
  <c r="DI3891" i="3"/>
  <c r="DI3892" i="3"/>
  <c r="DI3893" i="3"/>
  <c r="DI3894" i="3"/>
  <c r="DI3895" i="3"/>
  <c r="DI3896" i="3"/>
  <c r="DI3897" i="3"/>
  <c r="DI3898" i="3"/>
  <c r="DI3899" i="3"/>
  <c r="DI3900" i="3"/>
  <c r="DI3901" i="3"/>
  <c r="DI3902" i="3"/>
  <c r="DI3903" i="3"/>
  <c r="DI3904" i="3"/>
  <c r="DI3905" i="3"/>
  <c r="DI3906" i="3"/>
  <c r="DI3907" i="3"/>
  <c r="DI3908" i="3"/>
  <c r="DI3909" i="3"/>
  <c r="DI3910" i="3"/>
  <c r="DI3911" i="3"/>
  <c r="DI3912" i="3"/>
  <c r="DI3913" i="3"/>
  <c r="DI3914" i="3"/>
  <c r="DI3915" i="3"/>
  <c r="DI3916" i="3"/>
  <c r="DI3917" i="3"/>
  <c r="DI3918" i="3"/>
  <c r="DI3919" i="3"/>
  <c r="DI3920" i="3"/>
  <c r="DI3921" i="3"/>
  <c r="DI3922" i="3"/>
  <c r="DI3923" i="3"/>
  <c r="DI3924" i="3"/>
  <c r="DI3925" i="3"/>
  <c r="DI3926" i="3"/>
  <c r="DI3927" i="3"/>
  <c r="DI3928" i="3"/>
  <c r="DI3929" i="3"/>
  <c r="DI3930" i="3"/>
  <c r="DI3931" i="3"/>
  <c r="DI3932" i="3"/>
  <c r="DI3933" i="3"/>
  <c r="DI3934" i="3"/>
  <c r="DI3935" i="3"/>
  <c r="DI3936" i="3"/>
  <c r="DI3937" i="3"/>
  <c r="DI3938" i="3"/>
  <c r="DI3939" i="3"/>
  <c r="DI3940" i="3"/>
  <c r="DI3941" i="3"/>
  <c r="DI3942" i="3"/>
  <c r="DI3943" i="3"/>
  <c r="DI3944" i="3"/>
  <c r="DI3945" i="3"/>
  <c r="DI3946" i="3"/>
  <c r="DI3947" i="3"/>
  <c r="DI3948" i="3"/>
  <c r="DI3949" i="3"/>
  <c r="DI3950" i="3"/>
  <c r="DI3951" i="3"/>
  <c r="DI3952" i="3"/>
  <c r="DI3953" i="3"/>
  <c r="DI3954" i="3"/>
  <c r="DI3955" i="3"/>
  <c r="DI3956" i="3"/>
  <c r="DI3957" i="3"/>
  <c r="DI3958" i="3"/>
  <c r="DI3959" i="3"/>
  <c r="DI3960" i="3"/>
  <c r="DI3961" i="3"/>
  <c r="DI3962" i="3"/>
  <c r="DI3963" i="3"/>
  <c r="DI3964" i="3"/>
  <c r="DI3965" i="3"/>
  <c r="DI3966" i="3"/>
  <c r="DI3967" i="3"/>
  <c r="DI3968" i="3"/>
  <c r="DI3969" i="3"/>
  <c r="DI3970" i="3"/>
  <c r="DI3971" i="3"/>
  <c r="DI3972" i="3"/>
  <c r="DI3973" i="3"/>
  <c r="DI3974" i="3"/>
  <c r="DI3975" i="3"/>
  <c r="DI3976" i="3"/>
  <c r="DI3977" i="3"/>
  <c r="DI3978" i="3"/>
  <c r="DI3979" i="3"/>
  <c r="DI3980" i="3"/>
  <c r="DI3981" i="3"/>
  <c r="DI3982" i="3"/>
  <c r="DI3983" i="3"/>
  <c r="DI3984" i="3"/>
  <c r="DI3985" i="3"/>
  <c r="DI3986" i="3"/>
  <c r="DI3987" i="3"/>
  <c r="DI3988" i="3"/>
  <c r="DI3989" i="3"/>
  <c r="DI3990" i="3"/>
  <c r="DI3991" i="3"/>
  <c r="DI3992" i="3"/>
  <c r="DI3993" i="3"/>
  <c r="DI3994" i="3"/>
  <c r="DI3995" i="3"/>
  <c r="DI3996" i="3"/>
  <c r="DI3997" i="3"/>
  <c r="DI3998" i="3"/>
  <c r="DI3999" i="3"/>
  <c r="DI4000" i="3"/>
  <c r="DI4001" i="3"/>
  <c r="DI4002" i="3"/>
  <c r="DI4003" i="3"/>
  <c r="DI4004" i="3"/>
  <c r="DI4005" i="3"/>
  <c r="DI4006" i="3"/>
  <c r="DI4007" i="3"/>
  <c r="DI4008" i="3"/>
  <c r="DI4009" i="3"/>
  <c r="DI4010" i="3"/>
  <c r="DI4011" i="3"/>
  <c r="DI4012" i="3"/>
  <c r="DI4013" i="3"/>
  <c r="DI4014" i="3"/>
  <c r="DI4015" i="3"/>
  <c r="DI4016" i="3"/>
  <c r="DI4017" i="3"/>
  <c r="DI4018" i="3"/>
  <c r="DI4019" i="3"/>
  <c r="DI4020" i="3"/>
  <c r="DI4021" i="3"/>
  <c r="DI4022" i="3"/>
  <c r="DI4023" i="3"/>
  <c r="DI4024" i="3"/>
  <c r="DI4025" i="3"/>
  <c r="DI4026" i="3"/>
  <c r="DI4027" i="3"/>
  <c r="DI4028" i="3"/>
  <c r="DI4029" i="3"/>
  <c r="DI4030" i="3"/>
  <c r="DI4031" i="3"/>
  <c r="DI4032" i="3"/>
  <c r="DI4033" i="3"/>
  <c r="DI4034" i="3"/>
  <c r="DI4035" i="3"/>
  <c r="DI4036" i="3"/>
  <c r="DI4037" i="3"/>
  <c r="DI4038" i="3"/>
  <c r="DI4039" i="3"/>
  <c r="DI4040" i="3"/>
  <c r="DI4041" i="3"/>
  <c r="DI4042" i="3"/>
  <c r="DI4043" i="3"/>
  <c r="DI4044" i="3"/>
  <c r="DI4045" i="3"/>
  <c r="DI4046" i="3"/>
  <c r="DI4047" i="3"/>
  <c r="DI4048" i="3"/>
  <c r="DI4049" i="3"/>
  <c r="DI4050" i="3"/>
  <c r="DI4051" i="3"/>
  <c r="DI4052" i="3"/>
  <c r="DI4053" i="3"/>
  <c r="DI4054" i="3"/>
  <c r="DI4055" i="3"/>
  <c r="DI4056" i="3"/>
  <c r="DI4057" i="3"/>
  <c r="DI4058" i="3"/>
  <c r="DI4059" i="3"/>
  <c r="DI4060" i="3"/>
  <c r="DI4061" i="3"/>
  <c r="DI4062" i="3"/>
  <c r="DI4063" i="3"/>
  <c r="DI4064" i="3"/>
  <c r="DI4065" i="3"/>
  <c r="DI4066" i="3"/>
  <c r="DI4067" i="3"/>
  <c r="DI4068" i="3"/>
  <c r="DI4069" i="3"/>
  <c r="DI4070" i="3"/>
  <c r="DI4071" i="3"/>
  <c r="DI4072" i="3"/>
  <c r="DI4073" i="3"/>
  <c r="DI4074" i="3"/>
  <c r="DI4075" i="3"/>
  <c r="DI4076" i="3"/>
  <c r="DI4077" i="3"/>
  <c r="DI4078" i="3"/>
  <c r="DI4079" i="3"/>
  <c r="DI4080" i="3"/>
  <c r="DI4081" i="3"/>
  <c r="DI4082" i="3"/>
  <c r="DI4083" i="3"/>
  <c r="DI4084" i="3"/>
  <c r="DI4085" i="3"/>
  <c r="DI4086" i="3"/>
  <c r="DI4087" i="3"/>
  <c r="DI4088" i="3"/>
  <c r="DI4089" i="3"/>
  <c r="DI4090" i="3"/>
  <c r="DI4091" i="3"/>
  <c r="DI4092" i="3"/>
  <c r="DI4093" i="3"/>
  <c r="DI4094" i="3"/>
  <c r="DI4095" i="3"/>
  <c r="DI4096" i="3"/>
  <c r="DI4097" i="3"/>
  <c r="DI4098" i="3"/>
  <c r="DI4099" i="3"/>
  <c r="DI4100" i="3"/>
  <c r="DI4101" i="3"/>
  <c r="DI4102" i="3"/>
  <c r="DI4103" i="3"/>
  <c r="DI4104" i="3"/>
  <c r="DI4105" i="3"/>
  <c r="DI4106" i="3"/>
  <c r="DI4107" i="3"/>
  <c r="DI4108" i="3"/>
  <c r="DI4109" i="3"/>
  <c r="DI4110" i="3"/>
  <c r="DI4111" i="3"/>
  <c r="DI4112" i="3"/>
  <c r="DI4113" i="3"/>
  <c r="DI4114" i="3"/>
  <c r="DI4115" i="3"/>
  <c r="DI4116" i="3"/>
  <c r="DI4117" i="3"/>
  <c r="DI4118" i="3"/>
  <c r="DI4119" i="3"/>
  <c r="DI4120" i="3"/>
  <c r="DI4121" i="3"/>
  <c r="DI4122" i="3"/>
  <c r="DI4123" i="3"/>
  <c r="DI4124" i="3"/>
  <c r="DI4125" i="3"/>
  <c r="DI4126" i="3"/>
  <c r="DI4127" i="3"/>
  <c r="DI4128" i="3"/>
  <c r="DI4129" i="3"/>
  <c r="DI4130" i="3"/>
  <c r="DI4131" i="3"/>
  <c r="DI4132" i="3"/>
  <c r="DI4133" i="3"/>
  <c r="DI4134" i="3"/>
  <c r="DI4135" i="3"/>
  <c r="DI4136" i="3"/>
  <c r="DI4137" i="3"/>
  <c r="DI4138" i="3"/>
  <c r="DI4139" i="3"/>
  <c r="DI4140" i="3"/>
  <c r="DI4141" i="3"/>
  <c r="DI4142" i="3"/>
  <c r="DI4143" i="3"/>
  <c r="DI4144" i="3"/>
  <c r="DI4145" i="3"/>
  <c r="DI4146" i="3"/>
  <c r="DI4147" i="3"/>
  <c r="DI4148" i="3"/>
  <c r="DI4149" i="3"/>
  <c r="DI4150" i="3"/>
  <c r="DI4151" i="3"/>
  <c r="DI4152" i="3"/>
  <c r="DI4153" i="3"/>
  <c r="DI4154" i="3"/>
  <c r="DI4155" i="3"/>
  <c r="DI4156" i="3"/>
  <c r="DI4157" i="3"/>
  <c r="DI4158" i="3"/>
  <c r="DI4159" i="3"/>
  <c r="DI4160" i="3"/>
  <c r="DI4161" i="3"/>
  <c r="DI4162" i="3"/>
  <c r="DI4163" i="3"/>
  <c r="DI4164" i="3"/>
  <c r="DI4165" i="3"/>
  <c r="DI4166" i="3"/>
  <c r="DI4167" i="3"/>
  <c r="DI4168" i="3"/>
  <c r="DI4169" i="3"/>
  <c r="DI4170" i="3"/>
  <c r="DI4171" i="3"/>
  <c r="DI4172" i="3"/>
  <c r="DI4173" i="3"/>
  <c r="DI4174" i="3"/>
  <c r="DI4175" i="3"/>
  <c r="DI4176" i="3"/>
  <c r="DI4177" i="3"/>
  <c r="DI4178" i="3"/>
  <c r="DI4179" i="3"/>
  <c r="DI4180" i="3"/>
  <c r="DI4181" i="3"/>
  <c r="DI4182" i="3"/>
  <c r="DI4183" i="3"/>
  <c r="DI4184" i="3"/>
  <c r="DI4185" i="3"/>
  <c r="DI4186" i="3"/>
  <c r="DI4187" i="3"/>
  <c r="DI4188" i="3"/>
  <c r="DI4189" i="3"/>
  <c r="DI4190" i="3"/>
  <c r="DI4191" i="3"/>
  <c r="DI4192" i="3"/>
  <c r="DI4193" i="3"/>
  <c r="DI4194" i="3"/>
  <c r="DI4195" i="3"/>
  <c r="DI4196" i="3"/>
  <c r="DI4197" i="3"/>
  <c r="DI4198" i="3"/>
  <c r="DI4199" i="3"/>
  <c r="DI4200" i="3"/>
  <c r="DI4201" i="3"/>
  <c r="DI4202" i="3"/>
  <c r="DI4203" i="3"/>
  <c r="DI4204" i="3"/>
  <c r="DI4205" i="3"/>
  <c r="DI4206" i="3"/>
  <c r="DI4207" i="3"/>
  <c r="DI4208" i="3"/>
  <c r="DI4209" i="3"/>
  <c r="DI4210" i="3"/>
  <c r="DI4211" i="3"/>
  <c r="DI4212" i="3"/>
  <c r="DI4213" i="3"/>
  <c r="DI4214" i="3"/>
  <c r="DI4215" i="3"/>
  <c r="DI4216" i="3"/>
  <c r="DI4217" i="3"/>
  <c r="DI4218" i="3"/>
  <c r="DI4219" i="3"/>
  <c r="DI4220" i="3"/>
  <c r="DI4221" i="3"/>
  <c r="DI4222" i="3"/>
  <c r="DI4223" i="3"/>
  <c r="DI4224" i="3"/>
  <c r="DI4225" i="3"/>
  <c r="DI4226" i="3"/>
  <c r="DI4227" i="3"/>
  <c r="DI4228" i="3"/>
  <c r="DI4229" i="3"/>
  <c r="DI4230" i="3"/>
  <c r="DI4231" i="3"/>
  <c r="DI4232" i="3"/>
  <c r="DI4233" i="3"/>
  <c r="DI4234" i="3"/>
  <c r="DI4235" i="3"/>
  <c r="DI4236" i="3"/>
  <c r="DI4237" i="3"/>
  <c r="DI4238" i="3"/>
  <c r="DI4239" i="3"/>
  <c r="DI4240" i="3"/>
  <c r="DI4241" i="3"/>
  <c r="DI4242" i="3"/>
  <c r="DI4243" i="3"/>
  <c r="DI4244" i="3"/>
  <c r="DI4245" i="3"/>
  <c r="DI4246" i="3"/>
  <c r="DI4247" i="3"/>
  <c r="DI4248" i="3"/>
  <c r="DI4249" i="3"/>
  <c r="DI4250" i="3"/>
  <c r="DI4251" i="3"/>
  <c r="DI4252" i="3"/>
  <c r="DI4253" i="3"/>
  <c r="DI4254" i="3"/>
  <c r="DI4255" i="3"/>
  <c r="DI4256" i="3"/>
  <c r="DI4257" i="3"/>
  <c r="DI4258" i="3"/>
  <c r="DI4259" i="3"/>
  <c r="DI4260" i="3"/>
  <c r="DI4261" i="3"/>
  <c r="DI4262" i="3"/>
  <c r="DI4263" i="3"/>
  <c r="DI4264" i="3"/>
  <c r="DI4265" i="3"/>
  <c r="DI4266" i="3"/>
  <c r="DI4267" i="3"/>
  <c r="DI4268" i="3"/>
  <c r="DI4269" i="3"/>
  <c r="DI4270" i="3"/>
  <c r="DI4271" i="3"/>
  <c r="DI4272" i="3"/>
  <c r="DI4273" i="3"/>
  <c r="DI4274" i="3"/>
  <c r="DI4275" i="3"/>
  <c r="DI4276" i="3"/>
  <c r="DI4277" i="3"/>
  <c r="DI4278" i="3"/>
  <c r="DI4279" i="3"/>
  <c r="DI4280" i="3"/>
  <c r="DI4281" i="3"/>
  <c r="DI4282" i="3"/>
  <c r="DI4283" i="3"/>
  <c r="DI4284" i="3"/>
  <c r="DI4285" i="3"/>
  <c r="DI4286" i="3"/>
  <c r="DI4287" i="3"/>
  <c r="DI4288" i="3"/>
  <c r="DI4289" i="3"/>
  <c r="DI4290" i="3"/>
  <c r="DI4291" i="3"/>
  <c r="DI4292" i="3"/>
  <c r="DI4293" i="3"/>
  <c r="DI4294" i="3"/>
  <c r="DI4295" i="3"/>
  <c r="DI4296" i="3"/>
  <c r="DI4297" i="3"/>
  <c r="DI4298" i="3"/>
  <c r="DI4299" i="3"/>
  <c r="DI4300" i="3"/>
  <c r="DI4301" i="3"/>
  <c r="DI4302" i="3"/>
  <c r="DI4303" i="3"/>
  <c r="DI4304" i="3"/>
  <c r="DI4305" i="3"/>
  <c r="DI4306" i="3"/>
  <c r="DI4307" i="3"/>
  <c r="DI4308" i="3"/>
  <c r="DI4309" i="3"/>
  <c r="DI4310" i="3"/>
  <c r="DI4311" i="3"/>
  <c r="DI4312" i="3"/>
  <c r="DI4313" i="3"/>
  <c r="DI4314" i="3"/>
  <c r="DI4315" i="3"/>
  <c r="DI4316" i="3"/>
  <c r="DI4317" i="3"/>
  <c r="DI4318" i="3"/>
  <c r="DI4319" i="3"/>
  <c r="DI4320" i="3"/>
  <c r="DI4321" i="3"/>
  <c r="DI4322" i="3"/>
  <c r="DI4323" i="3"/>
  <c r="DI4324" i="3"/>
  <c r="DI4325" i="3"/>
  <c r="DI4326" i="3"/>
  <c r="DI4327" i="3"/>
  <c r="DI4328" i="3"/>
  <c r="DI4329" i="3"/>
  <c r="DI4330" i="3"/>
  <c r="DI4331" i="3"/>
  <c r="DI4332" i="3"/>
  <c r="DI4333" i="3"/>
  <c r="DI4334" i="3"/>
  <c r="DI4335" i="3"/>
  <c r="DI4336" i="3"/>
  <c r="DI4337" i="3"/>
  <c r="DI4338" i="3"/>
  <c r="DI4339" i="3"/>
  <c r="DI4340" i="3"/>
  <c r="DI4341" i="3"/>
  <c r="DI4342" i="3"/>
  <c r="DI4343" i="3"/>
  <c r="DI4344" i="3"/>
  <c r="DI4345" i="3"/>
  <c r="DI4346" i="3"/>
  <c r="DI4347" i="3"/>
  <c r="DI4348" i="3"/>
  <c r="DI4349" i="3"/>
  <c r="DI4350" i="3"/>
  <c r="DI4351" i="3"/>
  <c r="DI4352" i="3"/>
  <c r="DI4353" i="3"/>
  <c r="DI4354" i="3"/>
  <c r="DI4355" i="3"/>
  <c r="DI4356" i="3"/>
  <c r="DI4357" i="3"/>
  <c r="DI4358" i="3"/>
  <c r="DI4359" i="3"/>
  <c r="DI4360" i="3"/>
  <c r="DI4361" i="3"/>
  <c r="DI4362" i="3"/>
  <c r="DI4363" i="3"/>
  <c r="DI4364" i="3"/>
  <c r="DI4365" i="3"/>
  <c r="DI4366" i="3"/>
  <c r="DI4367" i="3"/>
  <c r="DI4368" i="3"/>
  <c r="DI4369" i="3"/>
  <c r="DI4370" i="3"/>
  <c r="DI4371" i="3"/>
  <c r="DI4372" i="3"/>
  <c r="DI4373" i="3"/>
  <c r="DI4374" i="3"/>
  <c r="DI4375" i="3"/>
  <c r="DI4376" i="3"/>
  <c r="DI4377" i="3"/>
  <c r="DI4378" i="3"/>
  <c r="DI4379" i="3"/>
  <c r="DI4380" i="3"/>
  <c r="DI4381" i="3"/>
  <c r="DI4382" i="3"/>
  <c r="DI4383" i="3"/>
  <c r="DI4384" i="3"/>
  <c r="DI4385" i="3"/>
  <c r="DI4386" i="3"/>
  <c r="DI4387" i="3"/>
  <c r="DI4388" i="3"/>
  <c r="DI4389" i="3"/>
  <c r="DI4390" i="3"/>
  <c r="DI4391" i="3"/>
  <c r="DI4392" i="3"/>
  <c r="DI4393" i="3"/>
  <c r="DI4394" i="3"/>
  <c r="DI4395" i="3"/>
  <c r="DI4396" i="3"/>
  <c r="DI4397" i="3"/>
  <c r="DI4398" i="3"/>
  <c r="DI4399" i="3"/>
  <c r="DI4400" i="3"/>
  <c r="DI4401" i="3"/>
  <c r="DI4402" i="3"/>
  <c r="DI4403" i="3"/>
  <c r="DI4404" i="3"/>
  <c r="DI4405" i="3"/>
  <c r="DI4406" i="3"/>
  <c r="DI4407" i="3"/>
  <c r="DI4408" i="3"/>
  <c r="DI4409" i="3"/>
  <c r="DI4410" i="3"/>
  <c r="DI4411" i="3"/>
  <c r="DI4412" i="3"/>
  <c r="DI4413" i="3"/>
  <c r="DI4414" i="3"/>
  <c r="DI4415" i="3"/>
  <c r="DI4416" i="3"/>
  <c r="DI4417" i="3"/>
  <c r="DI4418" i="3"/>
  <c r="DI4419" i="3"/>
  <c r="DI4420" i="3"/>
  <c r="DI4421" i="3"/>
  <c r="DI4422" i="3"/>
  <c r="DI4423" i="3"/>
  <c r="DI4424" i="3"/>
  <c r="DI4425" i="3"/>
  <c r="DI4426" i="3"/>
  <c r="DI4427" i="3"/>
  <c r="DI4428" i="3"/>
  <c r="DI4429" i="3"/>
  <c r="DI4430" i="3"/>
  <c r="DI4431" i="3"/>
  <c r="DI4432" i="3"/>
  <c r="DI4433" i="3"/>
  <c r="DI4434" i="3"/>
  <c r="DI4435" i="3"/>
  <c r="DI4436" i="3"/>
  <c r="DI4437" i="3"/>
  <c r="DI4438" i="3"/>
  <c r="DI4439" i="3"/>
  <c r="DI4440" i="3"/>
  <c r="DI4441" i="3"/>
  <c r="DI4442" i="3"/>
  <c r="DI4443" i="3"/>
  <c r="DI4444" i="3"/>
  <c r="DI4445" i="3"/>
  <c r="DI4446" i="3"/>
  <c r="DI4447" i="3"/>
  <c r="DI4448" i="3"/>
  <c r="DI4449" i="3"/>
  <c r="DI4450" i="3"/>
  <c r="DI4451" i="3"/>
  <c r="DI4452" i="3"/>
  <c r="DI4453" i="3"/>
  <c r="DI4454" i="3"/>
  <c r="DI4455" i="3"/>
  <c r="DI4456" i="3"/>
  <c r="DI4457" i="3"/>
  <c r="DI4458" i="3"/>
  <c r="DI4459" i="3"/>
  <c r="DI4460" i="3"/>
  <c r="DI4461" i="3"/>
  <c r="DI4462" i="3"/>
  <c r="DI4463" i="3"/>
  <c r="DI4464" i="3"/>
  <c r="DI4465" i="3"/>
  <c r="DI4466" i="3"/>
  <c r="DI4467" i="3"/>
  <c r="DI4468" i="3"/>
  <c r="DI4469" i="3"/>
  <c r="DI4470" i="3"/>
  <c r="DI4471" i="3"/>
  <c r="DI4472" i="3"/>
  <c r="DI4473" i="3"/>
  <c r="DI4474" i="3"/>
  <c r="DI4475" i="3"/>
  <c r="DI4476" i="3"/>
  <c r="DI4477" i="3"/>
  <c r="DI4478" i="3"/>
  <c r="DI4479" i="3"/>
  <c r="DI4480" i="3"/>
  <c r="DI4481" i="3"/>
  <c r="DI4482" i="3"/>
  <c r="DI4483" i="3"/>
  <c r="DI4484" i="3"/>
  <c r="DI4485" i="3"/>
  <c r="DI4486" i="3"/>
  <c r="DI4487" i="3"/>
  <c r="DI4488" i="3"/>
  <c r="DI4489" i="3"/>
  <c r="DI4490" i="3"/>
  <c r="DI4491" i="3"/>
  <c r="DI4492" i="3"/>
  <c r="DI4493" i="3"/>
  <c r="DI4494" i="3"/>
  <c r="DI4495" i="3"/>
  <c r="DI4496" i="3"/>
  <c r="DI4497" i="3"/>
  <c r="DI4498" i="3"/>
  <c r="DI4499" i="3"/>
  <c r="DI4500" i="3"/>
  <c r="DI4501" i="3"/>
  <c r="DI4502" i="3"/>
  <c r="DI4503" i="3"/>
  <c r="DI4504" i="3"/>
  <c r="DI4505" i="3"/>
  <c r="DI4506" i="3"/>
  <c r="DI4507" i="3"/>
  <c r="DI4508" i="3"/>
  <c r="DI4509" i="3"/>
  <c r="DI4510" i="3"/>
  <c r="DI4511" i="3"/>
  <c r="DI4512" i="3"/>
  <c r="DI4513" i="3"/>
  <c r="DI4514" i="3"/>
  <c r="DI4515" i="3"/>
  <c r="DI4516" i="3"/>
  <c r="DI4517" i="3"/>
  <c r="DI4518" i="3"/>
  <c r="DI4519" i="3"/>
  <c r="DI4520" i="3"/>
  <c r="DI4521" i="3"/>
  <c r="DI4522" i="3"/>
  <c r="DI4523" i="3"/>
  <c r="DI4524" i="3"/>
  <c r="DI4525" i="3"/>
  <c r="DI4526" i="3"/>
  <c r="DI4527" i="3"/>
  <c r="DI4528" i="3"/>
  <c r="DI4529" i="3"/>
  <c r="DI4530" i="3"/>
  <c r="DI4531" i="3"/>
  <c r="DI4532" i="3"/>
  <c r="DI4533" i="3"/>
  <c r="DI4534" i="3"/>
  <c r="DI4535" i="3"/>
  <c r="DI4536" i="3"/>
  <c r="DI4537" i="3"/>
  <c r="DI4538" i="3"/>
  <c r="DI4539" i="3"/>
  <c r="DI4540" i="3"/>
  <c r="DI4541" i="3"/>
  <c r="DI4542" i="3"/>
  <c r="DI4543" i="3"/>
  <c r="DI4544" i="3"/>
  <c r="DI4545" i="3"/>
  <c r="DI4546" i="3"/>
  <c r="DI4547" i="3"/>
  <c r="DI4548" i="3"/>
  <c r="DI4549" i="3"/>
  <c r="DI4550" i="3"/>
  <c r="DI4551" i="3"/>
  <c r="DI4552" i="3"/>
  <c r="DI4553" i="3"/>
  <c r="DI4554" i="3"/>
  <c r="DI4555" i="3"/>
  <c r="DI4556" i="3"/>
  <c r="DI4557" i="3"/>
  <c r="DI4558" i="3"/>
  <c r="DI4559" i="3"/>
  <c r="DI4560" i="3"/>
  <c r="DI4561" i="3"/>
  <c r="DI4562" i="3"/>
  <c r="DI4563" i="3"/>
  <c r="DI4564" i="3"/>
  <c r="DI4565" i="3"/>
  <c r="DI4566" i="3"/>
  <c r="DI4567" i="3"/>
  <c r="DI4568" i="3"/>
  <c r="DI4569" i="3"/>
  <c r="DI4570" i="3"/>
  <c r="DI4571" i="3"/>
  <c r="DI4572" i="3"/>
  <c r="DI4573" i="3"/>
  <c r="DI4574" i="3"/>
  <c r="DI4575" i="3"/>
  <c r="DI4576" i="3"/>
  <c r="DI4577" i="3"/>
  <c r="DI4578" i="3"/>
  <c r="DI4579" i="3"/>
  <c r="DI4580" i="3"/>
  <c r="DI4581" i="3"/>
  <c r="DI4582" i="3"/>
  <c r="DI4583" i="3"/>
  <c r="DI4584" i="3"/>
  <c r="DI4585" i="3"/>
  <c r="DI4586" i="3"/>
  <c r="DI4587" i="3"/>
  <c r="DI4588" i="3"/>
  <c r="DI4589" i="3"/>
  <c r="DI4590" i="3"/>
  <c r="DI4591" i="3"/>
  <c r="DI4592" i="3"/>
  <c r="DI4593" i="3"/>
  <c r="DI4594" i="3"/>
  <c r="DI4595" i="3"/>
  <c r="DI4596" i="3"/>
  <c r="DI4597" i="3"/>
  <c r="DI4598" i="3"/>
  <c r="DI4599" i="3"/>
  <c r="DI4600" i="3"/>
  <c r="DI4601" i="3"/>
  <c r="DI4602" i="3"/>
  <c r="DI4603" i="3"/>
  <c r="DI4604" i="3"/>
  <c r="DI4605" i="3"/>
  <c r="DI4606" i="3"/>
  <c r="DI4607" i="3"/>
  <c r="DI4608" i="3"/>
  <c r="DI4609" i="3"/>
  <c r="DI4610" i="3"/>
  <c r="DI4611" i="3"/>
  <c r="DI4612" i="3"/>
  <c r="DI4613" i="3"/>
  <c r="DI4614" i="3"/>
  <c r="DI4615" i="3"/>
  <c r="DI4616" i="3"/>
  <c r="DI4617" i="3"/>
  <c r="DI4618" i="3"/>
  <c r="DI4619" i="3"/>
  <c r="DI4620" i="3"/>
  <c r="DI4621" i="3"/>
  <c r="DI4622" i="3"/>
  <c r="DI4623" i="3"/>
  <c r="DI4624" i="3"/>
  <c r="DI4625" i="3"/>
  <c r="DI4626" i="3"/>
  <c r="DI4627" i="3"/>
  <c r="DI4628" i="3"/>
  <c r="DI4629" i="3"/>
  <c r="DI4630" i="3"/>
  <c r="DI4631" i="3"/>
  <c r="DI4632" i="3"/>
  <c r="DI4633" i="3"/>
  <c r="DI4634" i="3"/>
  <c r="DI4635" i="3"/>
  <c r="DI4636" i="3"/>
  <c r="DI4637" i="3"/>
  <c r="DI4638" i="3"/>
  <c r="DI4639" i="3"/>
  <c r="DI4640" i="3"/>
  <c r="DI4641" i="3"/>
  <c r="DI4642" i="3"/>
  <c r="DI4643" i="3"/>
  <c r="DI4644" i="3"/>
  <c r="DI4645" i="3"/>
  <c r="DI4646" i="3"/>
  <c r="DI4647" i="3"/>
  <c r="DI4648" i="3"/>
  <c r="DI4649" i="3"/>
  <c r="DI4650" i="3"/>
  <c r="DI4651" i="3"/>
  <c r="DI4652" i="3"/>
  <c r="DI4653" i="3"/>
  <c r="DI4654" i="3"/>
  <c r="DI4655" i="3"/>
  <c r="DI4656" i="3"/>
  <c r="DI4657" i="3"/>
  <c r="DI4658" i="3"/>
  <c r="DI4659" i="3"/>
  <c r="DI4660" i="3"/>
  <c r="DI4661" i="3"/>
  <c r="DI4662" i="3"/>
  <c r="DI4663" i="3"/>
  <c r="DI4664" i="3"/>
  <c r="DI4665" i="3"/>
  <c r="DI4666" i="3"/>
  <c r="DI4667" i="3"/>
  <c r="DI4668" i="3"/>
  <c r="DI4669" i="3"/>
  <c r="DI4670" i="3"/>
  <c r="DI4671" i="3"/>
  <c r="DI4672" i="3"/>
  <c r="DI4673" i="3"/>
  <c r="DI4674" i="3"/>
  <c r="DI4675" i="3"/>
  <c r="DI4676" i="3"/>
  <c r="DI4677" i="3"/>
  <c r="DI4678" i="3"/>
  <c r="DI4679" i="3"/>
  <c r="DI4680" i="3"/>
  <c r="DI4681" i="3"/>
  <c r="DI4682" i="3"/>
  <c r="DI4683" i="3"/>
  <c r="DI4684" i="3"/>
  <c r="DI4685" i="3"/>
  <c r="DI4686" i="3"/>
  <c r="DI4687" i="3"/>
  <c r="DI4688" i="3"/>
  <c r="DI4689" i="3"/>
  <c r="DI4690" i="3"/>
  <c r="DI4691" i="3"/>
  <c r="DI4692" i="3"/>
  <c r="DI4693" i="3"/>
  <c r="DI4694" i="3"/>
  <c r="DI4695" i="3"/>
  <c r="DI4696" i="3"/>
  <c r="DI4697" i="3"/>
  <c r="DI4698" i="3"/>
  <c r="DI4699" i="3"/>
  <c r="DI4700" i="3"/>
  <c r="DI4701" i="3"/>
  <c r="DI4702" i="3"/>
  <c r="DI4703" i="3"/>
  <c r="DI4704" i="3"/>
  <c r="DI4705" i="3"/>
  <c r="DI4706" i="3"/>
  <c r="DI4707" i="3"/>
  <c r="DI4708" i="3"/>
  <c r="DI4709" i="3"/>
  <c r="DI4710" i="3"/>
  <c r="DI4711" i="3"/>
  <c r="DI4712" i="3"/>
  <c r="DI4713" i="3"/>
  <c r="DI4714" i="3"/>
  <c r="DI4715" i="3"/>
  <c r="DI4716" i="3"/>
  <c r="DI4717" i="3"/>
  <c r="DI4718" i="3"/>
  <c r="DI4719" i="3"/>
  <c r="DI4720" i="3"/>
  <c r="DI4721" i="3"/>
  <c r="DI4722" i="3"/>
  <c r="DI4723" i="3"/>
  <c r="DI4724" i="3"/>
  <c r="DI4725" i="3"/>
  <c r="DI4726" i="3"/>
  <c r="DI4727" i="3"/>
  <c r="DI4728" i="3"/>
  <c r="DI4729" i="3"/>
  <c r="DI4730" i="3"/>
  <c r="DI4731" i="3"/>
  <c r="DI4732" i="3"/>
  <c r="DI4733" i="3"/>
  <c r="DI4734" i="3"/>
  <c r="DI4735" i="3"/>
  <c r="DI4736" i="3"/>
  <c r="DI4737" i="3"/>
  <c r="DI4738" i="3"/>
  <c r="DI4739" i="3"/>
  <c r="DI4740" i="3"/>
  <c r="DI4741" i="3"/>
  <c r="DI4742" i="3"/>
  <c r="DI4743" i="3"/>
  <c r="DI4744" i="3"/>
  <c r="DI4745" i="3"/>
  <c r="DI4746" i="3"/>
  <c r="DI4747" i="3"/>
  <c r="DI4748" i="3"/>
  <c r="DI4749" i="3"/>
  <c r="DI4750" i="3"/>
  <c r="DI4751" i="3"/>
  <c r="DI4752" i="3"/>
  <c r="DI4753" i="3"/>
  <c r="DI4754" i="3"/>
  <c r="DI4755" i="3"/>
  <c r="DI4756" i="3"/>
  <c r="DI4757" i="3"/>
  <c r="DI4758" i="3"/>
  <c r="DI4759" i="3"/>
  <c r="DI4760" i="3"/>
  <c r="DI4761" i="3"/>
  <c r="DI4762" i="3"/>
  <c r="DI4763" i="3"/>
  <c r="DI4764" i="3"/>
  <c r="DI4765" i="3"/>
  <c r="DI4766" i="3"/>
  <c r="DI4767" i="3"/>
  <c r="DI4768" i="3"/>
  <c r="DI4769" i="3"/>
  <c r="DI4770" i="3"/>
  <c r="DI4771" i="3"/>
  <c r="DI4772" i="3"/>
  <c r="DI4773" i="3"/>
  <c r="DI4774" i="3"/>
  <c r="DI4775" i="3"/>
  <c r="DI4776" i="3"/>
  <c r="DI4777" i="3"/>
  <c r="DI4778" i="3"/>
  <c r="DI4779" i="3"/>
  <c r="DI4780" i="3"/>
  <c r="DI4781" i="3"/>
  <c r="DI4782" i="3"/>
  <c r="DI4783" i="3"/>
  <c r="DI4784" i="3"/>
  <c r="DI4785" i="3"/>
  <c r="DI4786" i="3"/>
  <c r="DI4787" i="3"/>
  <c r="DI4788" i="3"/>
  <c r="DI4789" i="3"/>
  <c r="DI4790" i="3"/>
  <c r="DI4791" i="3"/>
  <c r="DI4792" i="3"/>
  <c r="DI4793" i="3"/>
  <c r="DI4794" i="3"/>
  <c r="DI4795" i="3"/>
  <c r="DI4796" i="3"/>
  <c r="DI4797" i="3"/>
  <c r="DI4798" i="3"/>
  <c r="DI4799" i="3"/>
  <c r="DI4800" i="3"/>
  <c r="DI4801" i="3"/>
  <c r="DI4802" i="3"/>
  <c r="DI4803" i="3"/>
  <c r="DI4804" i="3"/>
  <c r="DI4805" i="3"/>
  <c r="DI4806" i="3"/>
  <c r="DI4807" i="3"/>
  <c r="DI4808" i="3"/>
  <c r="DI4809" i="3"/>
  <c r="DI4810" i="3"/>
  <c r="DI4811" i="3"/>
  <c r="DI4812" i="3"/>
  <c r="DI4813" i="3"/>
  <c r="DI4814" i="3"/>
  <c r="DI4815" i="3"/>
  <c r="DI4816" i="3"/>
  <c r="DI4817" i="3"/>
  <c r="DI4818" i="3"/>
  <c r="DI4819" i="3"/>
  <c r="DI4820" i="3"/>
  <c r="DI4821" i="3"/>
  <c r="DI4822" i="3"/>
  <c r="DI4823" i="3"/>
  <c r="DI4824" i="3"/>
  <c r="DI4825" i="3"/>
  <c r="DI4826" i="3"/>
  <c r="DI4827" i="3"/>
  <c r="DI4828" i="3"/>
  <c r="DI4829" i="3"/>
  <c r="DI4830" i="3"/>
  <c r="DI4831" i="3"/>
  <c r="DI4832" i="3"/>
  <c r="DI4833" i="3"/>
  <c r="DI4834" i="3"/>
  <c r="DI4835" i="3"/>
  <c r="DI4836" i="3"/>
  <c r="DI4837" i="3"/>
  <c r="DI4838" i="3"/>
  <c r="DI4839" i="3"/>
  <c r="DI4840" i="3"/>
  <c r="DI4841" i="3"/>
  <c r="DI4842" i="3"/>
  <c r="DI4843" i="3"/>
  <c r="DI4844" i="3"/>
  <c r="DI4845" i="3"/>
  <c r="DI4846" i="3"/>
  <c r="DI4847" i="3"/>
  <c r="DI4848" i="3"/>
  <c r="DI4849" i="3"/>
  <c r="DI4850" i="3"/>
  <c r="DI4851" i="3"/>
  <c r="DI4852" i="3"/>
  <c r="DI4853" i="3"/>
  <c r="DI4854" i="3"/>
  <c r="DI4855" i="3"/>
  <c r="DI4856" i="3"/>
  <c r="DI4857" i="3"/>
  <c r="DI4858" i="3"/>
  <c r="DI4859" i="3"/>
  <c r="DI4860" i="3"/>
  <c r="DI4861" i="3"/>
  <c r="DI4862" i="3"/>
  <c r="DI4863" i="3"/>
  <c r="DI4864" i="3"/>
  <c r="DI4865" i="3"/>
  <c r="DI4866" i="3"/>
  <c r="DI4867" i="3"/>
  <c r="DI4868" i="3"/>
  <c r="DI4869" i="3"/>
  <c r="DI4870" i="3"/>
  <c r="DI4871" i="3"/>
  <c r="DI4872" i="3"/>
  <c r="DI4873" i="3"/>
  <c r="DI4874" i="3"/>
  <c r="DI4875" i="3"/>
  <c r="DI4876" i="3"/>
  <c r="DI4877" i="3"/>
  <c r="DI4878" i="3"/>
  <c r="DI4879" i="3"/>
  <c r="DI4880" i="3"/>
  <c r="DI4881" i="3"/>
  <c r="DI4882" i="3"/>
  <c r="DI4883" i="3"/>
  <c r="DI4884" i="3"/>
  <c r="DI4885" i="3"/>
  <c r="DI4886" i="3"/>
  <c r="DI4887" i="3"/>
  <c r="DI4888" i="3"/>
  <c r="DI4889" i="3"/>
  <c r="DI4890" i="3"/>
  <c r="DI4891" i="3"/>
  <c r="DI4892" i="3"/>
  <c r="DI4893" i="3"/>
  <c r="DI4894" i="3"/>
  <c r="DI4895" i="3"/>
  <c r="DI4896" i="3"/>
  <c r="DI4897" i="3"/>
  <c r="DI4898" i="3"/>
  <c r="DI4899" i="3"/>
  <c r="DI4900" i="3"/>
  <c r="DI4901" i="3"/>
  <c r="DI4902" i="3"/>
  <c r="DI4903" i="3"/>
  <c r="DI4904" i="3"/>
  <c r="DI4905" i="3"/>
  <c r="DI4906" i="3"/>
  <c r="DI4907" i="3"/>
  <c r="DI4908" i="3"/>
  <c r="DI4909" i="3"/>
  <c r="DI4910" i="3"/>
  <c r="DI4911" i="3"/>
  <c r="DI4912" i="3"/>
  <c r="DI4913" i="3"/>
  <c r="DI4914" i="3"/>
  <c r="DI4915" i="3"/>
  <c r="DI4916" i="3"/>
  <c r="DI4917" i="3"/>
  <c r="DI4918" i="3"/>
  <c r="DI4919" i="3"/>
  <c r="DI4920" i="3"/>
  <c r="DI4921" i="3"/>
  <c r="DI4922" i="3"/>
  <c r="DI4923" i="3"/>
  <c r="DI4924" i="3"/>
  <c r="DI4925" i="3"/>
  <c r="DI4926" i="3"/>
  <c r="DI4927" i="3"/>
  <c r="DI4928" i="3"/>
  <c r="DI4929" i="3"/>
  <c r="DI4930" i="3"/>
  <c r="DI4931" i="3"/>
  <c r="DI4932" i="3"/>
  <c r="DI4933" i="3"/>
  <c r="DI4934" i="3"/>
  <c r="DI4935" i="3"/>
  <c r="DI4936" i="3"/>
  <c r="DI4937" i="3"/>
  <c r="DI4938" i="3"/>
  <c r="DI4939" i="3"/>
  <c r="DI4940" i="3"/>
  <c r="DI4941" i="3"/>
  <c r="DI4942" i="3"/>
  <c r="DI4943" i="3"/>
  <c r="DI4944" i="3"/>
  <c r="DI4945" i="3"/>
  <c r="DI4946" i="3"/>
  <c r="DI4947" i="3"/>
  <c r="DI4948" i="3"/>
  <c r="DI4949" i="3"/>
  <c r="DI4950" i="3"/>
  <c r="DI4951" i="3"/>
  <c r="DI4952" i="3"/>
  <c r="DI4953" i="3"/>
  <c r="DI4954" i="3"/>
  <c r="DI4955" i="3"/>
  <c r="DI4956" i="3"/>
  <c r="DI4957" i="3"/>
  <c r="DI4958" i="3"/>
  <c r="DI4959" i="3"/>
  <c r="DI4960" i="3"/>
  <c r="DI4961" i="3"/>
  <c r="DI4962" i="3"/>
  <c r="DI4963" i="3"/>
  <c r="DI4964" i="3"/>
  <c r="DI4965" i="3"/>
  <c r="DI4966" i="3"/>
  <c r="DI4967" i="3"/>
  <c r="DI4968" i="3"/>
  <c r="DI4969" i="3"/>
  <c r="DI4970" i="3"/>
  <c r="DI4971" i="3"/>
  <c r="DI4972" i="3"/>
  <c r="DI4973" i="3"/>
  <c r="DI4974" i="3"/>
  <c r="DI4975" i="3"/>
  <c r="DI4976" i="3"/>
  <c r="DI4977" i="3"/>
  <c r="DI4978" i="3"/>
  <c r="DI4979" i="3"/>
  <c r="DI4980" i="3"/>
  <c r="DI4981" i="3"/>
  <c r="DI4982" i="3"/>
  <c r="DI4983" i="3"/>
  <c r="DI4984" i="3"/>
  <c r="DI4985" i="3"/>
  <c r="DI4986" i="3"/>
  <c r="DI4987" i="3"/>
  <c r="DI4988" i="3"/>
  <c r="DI4989" i="3"/>
  <c r="DI4990" i="3"/>
  <c r="DI4991" i="3"/>
  <c r="DI4992" i="3"/>
  <c r="DI4993" i="3"/>
  <c r="DI4994" i="3"/>
  <c r="DI4995" i="3"/>
  <c r="DI4996" i="3"/>
  <c r="DI4997" i="3"/>
  <c r="DI4998" i="3"/>
  <c r="DI4999" i="3"/>
  <c r="DI5000" i="3"/>
  <c r="DI5001" i="3"/>
  <c r="DI5002" i="3"/>
  <c r="DI5003" i="3"/>
  <c r="DI5004" i="3"/>
  <c r="DI5005" i="3"/>
  <c r="DI5006" i="3"/>
  <c r="DI5007" i="3"/>
  <c r="DI5008" i="3"/>
  <c r="DI5009" i="3"/>
  <c r="DI5010" i="3"/>
  <c r="DI5011" i="3"/>
  <c r="DI5012" i="3"/>
  <c r="DI5013" i="3"/>
  <c r="DI5014" i="3"/>
  <c r="DI5015" i="3"/>
  <c r="DI5016" i="3"/>
  <c r="DI5017" i="3"/>
  <c r="DI5018" i="3"/>
  <c r="DI5019" i="3"/>
  <c r="DI5020" i="3"/>
  <c r="DI5021" i="3"/>
  <c r="DI5022" i="3"/>
  <c r="DI5023" i="3"/>
  <c r="DI5024" i="3"/>
  <c r="DI5025" i="3"/>
  <c r="DI5026" i="3"/>
  <c r="DI5027" i="3"/>
  <c r="DI5028" i="3"/>
  <c r="DI5029" i="3"/>
  <c r="DI5030" i="3"/>
  <c r="DI5031" i="3"/>
  <c r="DI5032" i="3"/>
  <c r="DI5033" i="3"/>
  <c r="DI5034" i="3"/>
  <c r="DI5035" i="3"/>
  <c r="DI5036" i="3"/>
  <c r="DI5037" i="3"/>
  <c r="DI5038" i="3"/>
  <c r="DI5039" i="3"/>
  <c r="DI5040" i="3"/>
  <c r="DI5041" i="3"/>
  <c r="DI5042" i="3"/>
  <c r="DI5043" i="3"/>
  <c r="DI5044" i="3"/>
  <c r="DI5045" i="3"/>
  <c r="DI5046" i="3"/>
  <c r="DI5047" i="3"/>
  <c r="DI5048" i="3"/>
  <c r="DI5049" i="3"/>
  <c r="DI5050" i="3"/>
  <c r="DI5051" i="3"/>
  <c r="DI5052" i="3"/>
  <c r="DI5053" i="3"/>
  <c r="DI5054" i="3"/>
  <c r="DI5055" i="3"/>
  <c r="DI5056" i="3"/>
  <c r="DI5057" i="3"/>
  <c r="DI5058" i="3"/>
  <c r="DI5059" i="3"/>
  <c r="DI5060" i="3"/>
  <c r="DI5061" i="3"/>
  <c r="DI5062" i="3"/>
  <c r="DI5063" i="3"/>
  <c r="DI5064" i="3"/>
  <c r="DI5065" i="3"/>
  <c r="DI5066" i="3"/>
  <c r="DI5067" i="3"/>
  <c r="DI5068" i="3"/>
  <c r="DI5069" i="3"/>
  <c r="DI5070" i="3"/>
  <c r="DI5071" i="3"/>
  <c r="DI5072" i="3"/>
  <c r="DI5073" i="3"/>
  <c r="DI5074" i="3"/>
  <c r="DI5075" i="3"/>
  <c r="DI5076" i="3"/>
  <c r="DI5077" i="3"/>
  <c r="DI5078" i="3"/>
  <c r="DI5079" i="3"/>
  <c r="DI5080" i="3"/>
  <c r="DI5081" i="3"/>
  <c r="DI5082" i="3"/>
  <c r="DI5083" i="3"/>
  <c r="DI5084" i="3"/>
  <c r="DI5085" i="3"/>
  <c r="DI5086" i="3"/>
  <c r="DI5087" i="3"/>
  <c r="DI5088" i="3"/>
  <c r="DI5089" i="3"/>
  <c r="DI5090" i="3"/>
  <c r="DI5091" i="3"/>
  <c r="DI5092" i="3"/>
  <c r="DI5093" i="3"/>
  <c r="DI5094" i="3"/>
  <c r="DI5095" i="3"/>
  <c r="DI5096" i="3"/>
  <c r="DI5097" i="3"/>
  <c r="DI5098" i="3"/>
  <c r="DI5099" i="3"/>
  <c r="DI5100" i="3"/>
  <c r="DI5101" i="3"/>
  <c r="DI5102" i="3"/>
  <c r="DI5103" i="3"/>
  <c r="DI5104" i="3"/>
  <c r="DI5105" i="3"/>
  <c r="DI5106" i="3"/>
  <c r="DI5107" i="3"/>
  <c r="DI5108" i="3"/>
  <c r="DI5109" i="3"/>
  <c r="DI5110" i="3"/>
  <c r="DI5111" i="3"/>
  <c r="DI5112" i="3"/>
  <c r="DI5113" i="3"/>
  <c r="DI5114" i="3"/>
  <c r="DI5115" i="3"/>
  <c r="DI5116" i="3"/>
  <c r="DI5117" i="3"/>
  <c r="DI5118" i="3"/>
  <c r="DI5119" i="3"/>
  <c r="DI5120" i="3"/>
  <c r="DI5121" i="3"/>
  <c r="DI5122" i="3"/>
  <c r="DI5123" i="3"/>
  <c r="DI5124" i="3"/>
  <c r="DI5125" i="3"/>
  <c r="DI5126" i="3"/>
  <c r="DI5127" i="3"/>
  <c r="DI5128" i="3"/>
  <c r="DI5129" i="3"/>
  <c r="DI5130" i="3"/>
  <c r="DI5131" i="3"/>
  <c r="DI5132" i="3"/>
  <c r="DI5133" i="3"/>
  <c r="DI5134" i="3"/>
  <c r="DI5135" i="3"/>
  <c r="DI5136" i="3"/>
  <c r="DI5137" i="3"/>
  <c r="DI5138" i="3"/>
  <c r="DI5139" i="3"/>
  <c r="DI5140" i="3"/>
  <c r="DI5141" i="3"/>
  <c r="DI5142" i="3"/>
  <c r="DI5143" i="3"/>
  <c r="DI5144" i="3"/>
  <c r="DI5145" i="3"/>
  <c r="DI5146" i="3"/>
  <c r="DI5147" i="3"/>
  <c r="DI5148" i="3"/>
  <c r="DI5149" i="3"/>
  <c r="DI5150" i="3"/>
  <c r="DI5151" i="3"/>
  <c r="DI5152" i="3"/>
  <c r="DI5153" i="3"/>
  <c r="DI5154" i="3"/>
  <c r="DI5155" i="3"/>
  <c r="DI5156" i="3"/>
  <c r="DI5157" i="3"/>
  <c r="DI5158" i="3"/>
  <c r="DI5159" i="3"/>
  <c r="DI5160" i="3"/>
  <c r="DI5161" i="3"/>
  <c r="DI5162" i="3"/>
  <c r="DI5163" i="3"/>
  <c r="DI5164" i="3"/>
  <c r="DI5165" i="3"/>
  <c r="DI5166" i="3"/>
  <c r="DI5167" i="3"/>
  <c r="DI5168" i="3"/>
  <c r="DI5169" i="3"/>
  <c r="DI5170" i="3"/>
  <c r="DI5171" i="3"/>
  <c r="DI5172" i="3"/>
  <c r="DI5173" i="3"/>
  <c r="DI5174" i="3"/>
  <c r="DI5175" i="3"/>
  <c r="DI5176" i="3"/>
  <c r="DI5177" i="3"/>
  <c r="DI5178" i="3"/>
  <c r="DI5179" i="3"/>
  <c r="DI5180" i="3"/>
  <c r="DI5181" i="3"/>
  <c r="DI5182" i="3"/>
  <c r="DI5183" i="3"/>
  <c r="DI5184" i="3"/>
  <c r="DI5185" i="3"/>
  <c r="DI5186" i="3"/>
  <c r="DI5187" i="3"/>
  <c r="DI5188" i="3"/>
  <c r="DI5189" i="3"/>
  <c r="DI5190" i="3"/>
  <c r="DI5191" i="3"/>
  <c r="DI5192" i="3"/>
  <c r="DI5193" i="3"/>
  <c r="DI5194" i="3"/>
  <c r="DI5195" i="3"/>
  <c r="DI5196" i="3"/>
  <c r="DI5197" i="3"/>
  <c r="DI5198" i="3"/>
  <c r="DI5199" i="3"/>
  <c r="DI5200" i="3"/>
  <c r="DI5201" i="3"/>
  <c r="DI5202" i="3"/>
  <c r="DI5203" i="3"/>
  <c r="DI5204" i="3"/>
  <c r="DI5205" i="3"/>
  <c r="DI5206" i="3"/>
  <c r="DI5207" i="3"/>
  <c r="DI5208" i="3"/>
  <c r="DI5209" i="3"/>
  <c r="DI5210" i="3"/>
  <c r="DI5211" i="3"/>
  <c r="DI5212" i="3"/>
  <c r="DI5213" i="3"/>
  <c r="DI5214" i="3"/>
  <c r="DI5215" i="3"/>
  <c r="DI5216" i="3"/>
  <c r="DI5217" i="3"/>
  <c r="DI5218" i="3"/>
  <c r="DI5219" i="3"/>
  <c r="DI5220" i="3"/>
  <c r="DI5221" i="3"/>
  <c r="DI5222" i="3"/>
  <c r="DI5223" i="3"/>
  <c r="DI5224" i="3"/>
  <c r="DI5225" i="3"/>
  <c r="DI5226" i="3"/>
  <c r="DI5227" i="3"/>
  <c r="DI5228" i="3"/>
  <c r="DI5229" i="3"/>
  <c r="DI5230" i="3"/>
  <c r="DI5231" i="3"/>
  <c r="DI5232" i="3"/>
  <c r="DI5233" i="3"/>
  <c r="DI5234" i="3"/>
  <c r="DI5235" i="3"/>
  <c r="DI5236" i="3"/>
  <c r="DI5237" i="3"/>
  <c r="DI5238" i="3"/>
  <c r="DI5239" i="3"/>
  <c r="DI5240" i="3"/>
  <c r="DI5241" i="3"/>
  <c r="DI5242" i="3"/>
  <c r="DI5243" i="3"/>
  <c r="DI5244" i="3"/>
  <c r="DI5245" i="3"/>
  <c r="DI5246" i="3"/>
  <c r="DI5247" i="3"/>
  <c r="DI5248" i="3"/>
  <c r="DI5249" i="3"/>
  <c r="DI5250" i="3"/>
  <c r="DI5251" i="3"/>
  <c r="DI5252" i="3"/>
  <c r="DI5253" i="3"/>
  <c r="DI5254" i="3"/>
  <c r="DI5255" i="3"/>
  <c r="DI5256" i="3"/>
  <c r="DI5257" i="3"/>
  <c r="DI5258" i="3"/>
  <c r="DI5259" i="3"/>
  <c r="DI5260" i="3"/>
  <c r="DI5261" i="3"/>
  <c r="DI5262" i="3"/>
  <c r="DI5263" i="3"/>
  <c r="DI5264" i="3"/>
  <c r="DI5265" i="3"/>
  <c r="DI5266" i="3"/>
  <c r="DI5267" i="3"/>
  <c r="DI5268" i="3"/>
  <c r="DI5269" i="3"/>
  <c r="DI5270" i="3"/>
  <c r="DI5271" i="3"/>
  <c r="DI5272" i="3"/>
  <c r="DI5273" i="3"/>
  <c r="DI5274" i="3"/>
  <c r="DI5275" i="3"/>
  <c r="DI5276" i="3"/>
  <c r="DI5277" i="3"/>
  <c r="DI5278" i="3"/>
  <c r="DI5279" i="3"/>
  <c r="DI5280" i="3"/>
  <c r="DI5281" i="3"/>
  <c r="DI5282" i="3"/>
  <c r="DI5283" i="3"/>
  <c r="DI5284" i="3"/>
  <c r="DI5285" i="3"/>
  <c r="DI5286" i="3"/>
  <c r="DI5287" i="3"/>
  <c r="DI5288" i="3"/>
  <c r="DI5289" i="3"/>
  <c r="DI5290" i="3"/>
  <c r="DI5291" i="3"/>
  <c r="DI5292" i="3"/>
  <c r="DI5293" i="3"/>
  <c r="DI5294" i="3"/>
  <c r="DI5295" i="3"/>
  <c r="DI5296" i="3"/>
  <c r="DI5297" i="3"/>
  <c r="DI5298" i="3"/>
  <c r="DI5299" i="3"/>
  <c r="DI5300" i="3"/>
  <c r="DI5301" i="3"/>
  <c r="DI5302" i="3"/>
  <c r="DI5303" i="3"/>
  <c r="DI5304" i="3"/>
  <c r="DI5305" i="3"/>
  <c r="DI5306" i="3"/>
  <c r="DI5307" i="3"/>
  <c r="DI5308" i="3"/>
  <c r="DI5309" i="3"/>
  <c r="DI5310" i="3"/>
  <c r="DI5311" i="3"/>
  <c r="DI5312" i="3"/>
  <c r="DI5313" i="3"/>
  <c r="DI5314" i="3"/>
  <c r="DI5315" i="3"/>
  <c r="DI5316" i="3"/>
  <c r="DI5317" i="3"/>
  <c r="DI5318" i="3"/>
  <c r="DI5319" i="3"/>
  <c r="DI5320" i="3"/>
  <c r="DI5321" i="3"/>
  <c r="DI5322" i="3"/>
  <c r="DI5323" i="3"/>
  <c r="DI5324" i="3"/>
  <c r="DI5325" i="3"/>
  <c r="DI5326" i="3"/>
  <c r="DI5327" i="3"/>
  <c r="DI5328" i="3"/>
  <c r="DI5329" i="3"/>
  <c r="DI5330" i="3"/>
  <c r="DI5331" i="3"/>
  <c r="DI5332" i="3"/>
  <c r="DI5333" i="3"/>
  <c r="DI5334" i="3"/>
  <c r="DI5335" i="3"/>
  <c r="DI5336" i="3"/>
  <c r="DI5337" i="3"/>
  <c r="DI5338" i="3"/>
  <c r="DI5339" i="3"/>
  <c r="DI5340" i="3"/>
  <c r="DI5341" i="3"/>
  <c r="DI5342" i="3"/>
  <c r="DI5343" i="3"/>
  <c r="DI5344" i="3"/>
  <c r="DI5345" i="3"/>
  <c r="DI5346" i="3"/>
  <c r="DI5347" i="3"/>
  <c r="DI5348" i="3"/>
  <c r="DI5349" i="3"/>
  <c r="DI5350" i="3"/>
  <c r="DI5351" i="3"/>
  <c r="DI5352" i="3"/>
  <c r="DI5353" i="3"/>
  <c r="DI5354" i="3"/>
  <c r="DI5355" i="3"/>
  <c r="DI5356" i="3"/>
  <c r="DI5357" i="3"/>
  <c r="DI5358" i="3"/>
  <c r="DI5359" i="3"/>
  <c r="DI5360" i="3"/>
  <c r="DI5361" i="3"/>
  <c r="DI5362" i="3"/>
  <c r="DI5363" i="3"/>
  <c r="DI5364" i="3"/>
  <c r="DI5365" i="3"/>
  <c r="DI5366" i="3"/>
  <c r="DI5367" i="3"/>
  <c r="DI5368" i="3"/>
  <c r="DI5369" i="3"/>
  <c r="DI5370" i="3"/>
  <c r="DI5371" i="3"/>
  <c r="DI5372" i="3"/>
  <c r="DI5373" i="3"/>
  <c r="DI5374" i="3"/>
  <c r="DI5375" i="3"/>
  <c r="DI5376" i="3"/>
  <c r="DI5377" i="3"/>
  <c r="DI5378" i="3"/>
  <c r="DI5379" i="3"/>
  <c r="DI5380" i="3"/>
  <c r="DI5381" i="3"/>
  <c r="DI5382" i="3"/>
  <c r="DI5383" i="3"/>
  <c r="DI5384" i="3"/>
  <c r="DI5385" i="3"/>
  <c r="DI5386" i="3"/>
  <c r="DI5387" i="3"/>
  <c r="DI5388" i="3"/>
  <c r="DI5389" i="3"/>
  <c r="DI5390" i="3"/>
  <c r="DI5391" i="3"/>
  <c r="DI5392" i="3"/>
  <c r="DI5393" i="3"/>
  <c r="DI5394" i="3"/>
  <c r="DI5395" i="3"/>
  <c r="DI5396" i="3"/>
  <c r="DI5397" i="3"/>
  <c r="DI5398" i="3"/>
  <c r="DI5399" i="3"/>
  <c r="DI5400" i="3"/>
  <c r="DI5401" i="3"/>
  <c r="DI5402" i="3"/>
  <c r="DI5403" i="3"/>
  <c r="DI5404" i="3"/>
  <c r="DI5405" i="3"/>
  <c r="DI5406" i="3"/>
  <c r="DI5407" i="3"/>
  <c r="DI5408" i="3"/>
  <c r="DI5409" i="3"/>
  <c r="DI5410" i="3"/>
  <c r="DI5411" i="3"/>
  <c r="DI5412" i="3"/>
  <c r="DI5413" i="3"/>
  <c r="DI5414" i="3"/>
  <c r="DI5415" i="3"/>
  <c r="DI5416" i="3"/>
  <c r="DI5417" i="3"/>
  <c r="DI5418" i="3"/>
  <c r="DI5419" i="3"/>
  <c r="DI5420" i="3"/>
  <c r="DI5421" i="3"/>
  <c r="DI5422" i="3"/>
  <c r="DI5423" i="3"/>
  <c r="DI5424" i="3"/>
  <c r="DI5425" i="3"/>
  <c r="DI5426" i="3"/>
  <c r="DI5427" i="3"/>
  <c r="DI5428" i="3"/>
  <c r="DI5429" i="3"/>
  <c r="DI5430" i="3"/>
  <c r="DI5431" i="3"/>
  <c r="DI5432" i="3"/>
  <c r="DI5433" i="3"/>
  <c r="DI5434" i="3"/>
  <c r="DI5435" i="3"/>
  <c r="DI5436" i="3"/>
  <c r="DI5437" i="3"/>
  <c r="DI5438" i="3"/>
  <c r="DI5439" i="3"/>
  <c r="DI5440" i="3"/>
  <c r="DI5441" i="3"/>
  <c r="DI5442" i="3"/>
  <c r="DI5443" i="3"/>
  <c r="DI5444" i="3"/>
  <c r="DI5445" i="3"/>
  <c r="DI5446" i="3"/>
  <c r="DI5447" i="3"/>
  <c r="DI5448" i="3"/>
  <c r="DI5449" i="3"/>
  <c r="DI5450" i="3"/>
  <c r="DI5451" i="3"/>
  <c r="DI5452" i="3"/>
  <c r="DI5453" i="3"/>
  <c r="DI5454" i="3"/>
  <c r="DI5455" i="3"/>
  <c r="DI5456" i="3"/>
  <c r="DI5457" i="3"/>
  <c r="DI5458" i="3"/>
  <c r="DI5459" i="3"/>
  <c r="DI5460" i="3"/>
  <c r="DI5461" i="3"/>
  <c r="DI5462" i="3"/>
  <c r="DI5463" i="3"/>
  <c r="DI5464" i="3"/>
  <c r="DI5465" i="3"/>
  <c r="DI5466" i="3"/>
  <c r="DI5467" i="3"/>
  <c r="DI5468" i="3"/>
  <c r="DI5469" i="3"/>
  <c r="DI5470" i="3"/>
  <c r="DI5471" i="3"/>
  <c r="DI5472" i="3"/>
  <c r="DI5473" i="3"/>
  <c r="DI5474" i="3"/>
  <c r="DI5475" i="3"/>
  <c r="DI5476" i="3"/>
  <c r="DI5477" i="3"/>
  <c r="DI5478" i="3"/>
  <c r="DI5479" i="3"/>
  <c r="DI5480" i="3"/>
  <c r="DI5481" i="3"/>
  <c r="DI5482" i="3"/>
  <c r="DI5483" i="3"/>
  <c r="DI5484" i="3"/>
  <c r="DI5485" i="3"/>
  <c r="DI5486" i="3"/>
  <c r="DI5487" i="3"/>
  <c r="DI5488" i="3"/>
  <c r="DI5489" i="3"/>
  <c r="DI5490" i="3"/>
  <c r="DI5491" i="3"/>
  <c r="DI5492" i="3"/>
  <c r="DI5493" i="3"/>
  <c r="DI5494" i="3"/>
  <c r="DI5495" i="3"/>
  <c r="DI5496" i="3"/>
  <c r="DI5497" i="3"/>
  <c r="DI5498" i="3"/>
  <c r="DI5499" i="3"/>
  <c r="DI5500" i="3"/>
  <c r="DI5501" i="3"/>
  <c r="DI5502" i="3"/>
  <c r="DI5503" i="3"/>
  <c r="DI5504" i="3"/>
  <c r="DI5505" i="3"/>
  <c r="DI5506" i="3"/>
  <c r="DI5507" i="3"/>
  <c r="DI5508" i="3"/>
  <c r="DI5509" i="3"/>
  <c r="DI5510" i="3"/>
  <c r="DI5511" i="3"/>
  <c r="DI5512" i="3"/>
  <c r="DI5513" i="3"/>
  <c r="DI5514" i="3"/>
  <c r="DI5515" i="3"/>
  <c r="DI5516" i="3"/>
  <c r="DI5517" i="3"/>
  <c r="DI5518" i="3"/>
  <c r="DI5519" i="3"/>
  <c r="DI5520" i="3"/>
  <c r="DI5521" i="3"/>
  <c r="DI5522" i="3"/>
  <c r="DI5523" i="3"/>
  <c r="DI5524" i="3"/>
  <c r="DI5525" i="3"/>
  <c r="DI5526" i="3"/>
  <c r="DI5527" i="3"/>
  <c r="DI5528" i="3"/>
  <c r="DI5529" i="3"/>
  <c r="DI5530" i="3"/>
  <c r="DI5531" i="3"/>
  <c r="DI5532" i="3"/>
  <c r="DI5533" i="3"/>
  <c r="DI5534" i="3"/>
  <c r="DI5535" i="3"/>
  <c r="DI5536" i="3"/>
  <c r="DI5537" i="3"/>
  <c r="DI5538" i="3"/>
  <c r="DI5539" i="3"/>
  <c r="DI5540" i="3"/>
  <c r="DI5541" i="3"/>
  <c r="DI5542" i="3"/>
  <c r="DI5543" i="3"/>
  <c r="DI5544" i="3"/>
  <c r="DI5545" i="3"/>
  <c r="DI5546" i="3"/>
  <c r="DI5547" i="3"/>
  <c r="DI5548" i="3"/>
  <c r="DI5549" i="3"/>
  <c r="DI5550" i="3"/>
  <c r="DI5551" i="3"/>
  <c r="DI5552" i="3"/>
  <c r="DI5553" i="3"/>
  <c r="DI5554" i="3"/>
  <c r="DI5555" i="3"/>
  <c r="DI5556" i="3"/>
  <c r="DI5557" i="3"/>
  <c r="DI5558" i="3"/>
  <c r="DI5559" i="3"/>
  <c r="DI5560" i="3"/>
  <c r="DI5561" i="3"/>
  <c r="DI5562" i="3"/>
  <c r="DI5563" i="3"/>
  <c r="DI5564" i="3"/>
  <c r="DI5565" i="3"/>
  <c r="DI2" i="3"/>
  <c r="AC73" i="26" l="1"/>
  <c r="C11" i="12"/>
  <c r="C10" i="12"/>
  <c r="R24" i="6" s="1"/>
  <c r="AC74" i="26"/>
  <c r="AF43" i="26" s="1"/>
  <c r="Z73" i="26"/>
  <c r="AF45" i="26" s="1"/>
  <c r="AF54" i="26" s="1"/>
  <c r="Z74" i="26"/>
  <c r="AA74" i="26" s="1"/>
  <c r="AB74" i="26" s="1"/>
  <c r="C60" i="26"/>
  <c r="K9" i="26"/>
  <c r="L8" i="26" s="1"/>
  <c r="L9" i="26"/>
  <c r="M8" i="26" s="1"/>
  <c r="J9" i="26"/>
  <c r="K8" i="26" s="1"/>
  <c r="I9" i="26"/>
  <c r="C54" i="26"/>
  <c r="C58" i="26" s="1"/>
  <c r="DR2" i="3"/>
  <c r="BO110" i="23"/>
  <c r="BN110" i="23"/>
  <c r="BM110" i="23"/>
  <c r="BL110" i="23"/>
  <c r="BK110" i="23"/>
  <c r="BJ110" i="23"/>
  <c r="BI110" i="23"/>
  <c r="BH110" i="23"/>
  <c r="BG110" i="23"/>
  <c r="E110" i="23"/>
  <c r="D110" i="23"/>
  <c r="C110" i="23"/>
  <c r="B110" i="23"/>
  <c r="AS110" i="23" s="1"/>
  <c r="BO109" i="23"/>
  <c r="BN109" i="23"/>
  <c r="BM109" i="23"/>
  <c r="BL109" i="23"/>
  <c r="BK109" i="23"/>
  <c r="BJ109" i="23"/>
  <c r="BI109" i="23"/>
  <c r="BH109" i="23"/>
  <c r="BG109" i="23"/>
  <c r="E109" i="23"/>
  <c r="D109" i="23"/>
  <c r="C109" i="23"/>
  <c r="B109" i="23"/>
  <c r="BE109" i="23" s="1"/>
  <c r="BO108" i="23"/>
  <c r="BN108" i="23"/>
  <c r="BM108" i="23"/>
  <c r="BL108" i="23"/>
  <c r="BK108" i="23"/>
  <c r="BJ108" i="23"/>
  <c r="BI108" i="23"/>
  <c r="BH108" i="23"/>
  <c r="BG108" i="23"/>
  <c r="E108" i="23"/>
  <c r="D108" i="23"/>
  <c r="C108" i="23"/>
  <c r="B108" i="23"/>
  <c r="BE108" i="23" s="1"/>
  <c r="BO107" i="23"/>
  <c r="BN107" i="23"/>
  <c r="BM107" i="23"/>
  <c r="BL107" i="23"/>
  <c r="BK107" i="23"/>
  <c r="BJ107" i="23"/>
  <c r="BI107" i="23"/>
  <c r="BH107" i="23"/>
  <c r="BG107" i="23"/>
  <c r="E107" i="23"/>
  <c r="D107" i="23"/>
  <c r="C107" i="23"/>
  <c r="B107" i="23"/>
  <c r="P107" i="23" s="1"/>
  <c r="BO106" i="23"/>
  <c r="BN106" i="23"/>
  <c r="BM106" i="23"/>
  <c r="BL106" i="23"/>
  <c r="BK106" i="23"/>
  <c r="BJ106" i="23"/>
  <c r="BI106" i="23"/>
  <c r="BH106" i="23"/>
  <c r="BG106" i="23"/>
  <c r="E106" i="23"/>
  <c r="D106" i="23"/>
  <c r="C106" i="23"/>
  <c r="B106" i="23"/>
  <c r="P106" i="23" s="1"/>
  <c r="BO105" i="23"/>
  <c r="BN105" i="23"/>
  <c r="BM105" i="23"/>
  <c r="BL105" i="23"/>
  <c r="BK105" i="23"/>
  <c r="BJ105" i="23"/>
  <c r="BI105" i="23"/>
  <c r="BH105" i="23"/>
  <c r="BG105" i="23"/>
  <c r="E105" i="23"/>
  <c r="D105" i="23"/>
  <c r="C105" i="23"/>
  <c r="B105" i="23"/>
  <c r="BE105" i="23" s="1"/>
  <c r="BO104" i="23"/>
  <c r="BN104" i="23"/>
  <c r="BM104" i="23"/>
  <c r="BL104" i="23"/>
  <c r="BK104" i="23"/>
  <c r="BJ104" i="23"/>
  <c r="BI104" i="23"/>
  <c r="BH104" i="23"/>
  <c r="BG104" i="23"/>
  <c r="E104" i="23"/>
  <c r="D104" i="23"/>
  <c r="C104" i="23"/>
  <c r="B104" i="23"/>
  <c r="BO103" i="23"/>
  <c r="BN103" i="23"/>
  <c r="BM103" i="23"/>
  <c r="BL103" i="23"/>
  <c r="BK103" i="23"/>
  <c r="BJ103" i="23"/>
  <c r="BI103" i="23"/>
  <c r="BH103" i="23"/>
  <c r="BG103" i="23"/>
  <c r="E103" i="23"/>
  <c r="D103" i="23"/>
  <c r="C103" i="23"/>
  <c r="B103" i="23"/>
  <c r="P103" i="23" s="1"/>
  <c r="BO102" i="23"/>
  <c r="BN102" i="23"/>
  <c r="BM102" i="23"/>
  <c r="BL102" i="23"/>
  <c r="BK102" i="23"/>
  <c r="BJ102" i="23"/>
  <c r="BI102" i="23"/>
  <c r="BH102" i="23"/>
  <c r="BG102" i="23"/>
  <c r="E102" i="23"/>
  <c r="D102" i="23"/>
  <c r="C102" i="23"/>
  <c r="B102" i="23"/>
  <c r="P102" i="23" s="1"/>
  <c r="BO101" i="23"/>
  <c r="BN101" i="23"/>
  <c r="BM101" i="23"/>
  <c r="BL101" i="23"/>
  <c r="BK101" i="23"/>
  <c r="BJ101" i="23"/>
  <c r="BI101" i="23"/>
  <c r="BH101" i="23"/>
  <c r="BG101" i="23"/>
  <c r="E101" i="23"/>
  <c r="D101" i="23"/>
  <c r="C101" i="23"/>
  <c r="B101" i="23"/>
  <c r="BE101" i="23" s="1"/>
  <c r="BO100" i="23"/>
  <c r="BN100" i="23"/>
  <c r="BM100" i="23"/>
  <c r="BL100" i="23"/>
  <c r="BK100" i="23"/>
  <c r="BJ100" i="23"/>
  <c r="BI100" i="23"/>
  <c r="BH100" i="23"/>
  <c r="BG100" i="23"/>
  <c r="E100" i="23"/>
  <c r="D100" i="23"/>
  <c r="C100" i="23"/>
  <c r="B100" i="23"/>
  <c r="BE100" i="23" s="1"/>
  <c r="BO99" i="23"/>
  <c r="BN99" i="23"/>
  <c r="BM99" i="23"/>
  <c r="BL99" i="23"/>
  <c r="BK99" i="23"/>
  <c r="BJ99" i="23"/>
  <c r="BI99" i="23"/>
  <c r="BH99" i="23"/>
  <c r="BG99" i="23"/>
  <c r="E99" i="23"/>
  <c r="D99" i="23"/>
  <c r="C99" i="23"/>
  <c r="B99" i="23"/>
  <c r="BO98" i="23"/>
  <c r="BN98" i="23"/>
  <c r="BM98" i="23"/>
  <c r="BL98" i="23"/>
  <c r="BK98" i="23"/>
  <c r="BJ98" i="23"/>
  <c r="BI98" i="23"/>
  <c r="BH98" i="23"/>
  <c r="BG98" i="23"/>
  <c r="E98" i="23"/>
  <c r="D98" i="23"/>
  <c r="C98" i="23"/>
  <c r="B98" i="23"/>
  <c r="BO97" i="23"/>
  <c r="BN97" i="23"/>
  <c r="BM97" i="23"/>
  <c r="BL97" i="23"/>
  <c r="BK97" i="23"/>
  <c r="BJ97" i="23"/>
  <c r="BI97" i="23"/>
  <c r="BH97" i="23"/>
  <c r="BG97" i="23"/>
  <c r="E97" i="23"/>
  <c r="D97" i="23"/>
  <c r="C97" i="23"/>
  <c r="B97" i="23"/>
  <c r="BO96" i="23"/>
  <c r="BN96" i="23"/>
  <c r="BM96" i="23"/>
  <c r="BL96" i="23"/>
  <c r="BK96" i="23"/>
  <c r="BJ96" i="23"/>
  <c r="BI96" i="23"/>
  <c r="BH96" i="23"/>
  <c r="BG96" i="23"/>
  <c r="E96" i="23"/>
  <c r="D96" i="23"/>
  <c r="C96" i="23"/>
  <c r="B96" i="23"/>
  <c r="BO95" i="23"/>
  <c r="BN95" i="23"/>
  <c r="BM95" i="23"/>
  <c r="BL95" i="23"/>
  <c r="BK95" i="23"/>
  <c r="BJ95" i="23"/>
  <c r="BI95" i="23"/>
  <c r="BH95" i="23"/>
  <c r="BG95" i="23"/>
  <c r="E95" i="23"/>
  <c r="D95" i="23"/>
  <c r="C95" i="23"/>
  <c r="B95" i="23"/>
  <c r="Q95" i="23" s="1"/>
  <c r="BO94" i="23"/>
  <c r="BN94" i="23"/>
  <c r="BM94" i="23"/>
  <c r="BL94" i="23"/>
  <c r="BK94" i="23"/>
  <c r="BJ94" i="23"/>
  <c r="BI94" i="23"/>
  <c r="BH94" i="23"/>
  <c r="BG94" i="23"/>
  <c r="E94" i="23"/>
  <c r="D94" i="23"/>
  <c r="C94" i="23"/>
  <c r="B94" i="23"/>
  <c r="AS94" i="23" s="1"/>
  <c r="BO93" i="23"/>
  <c r="BN93" i="23"/>
  <c r="BM93" i="23"/>
  <c r="BL93" i="23"/>
  <c r="BK93" i="23"/>
  <c r="BJ93" i="23"/>
  <c r="BI93" i="23"/>
  <c r="BH93" i="23"/>
  <c r="BG93" i="23"/>
  <c r="E93" i="23"/>
  <c r="D93" i="23"/>
  <c r="C93" i="23"/>
  <c r="B93" i="23"/>
  <c r="AS93" i="23" s="1"/>
  <c r="BO92" i="23"/>
  <c r="BN92" i="23"/>
  <c r="BM92" i="23"/>
  <c r="BL92" i="23"/>
  <c r="BK92" i="23"/>
  <c r="BJ92" i="23"/>
  <c r="BI92" i="23"/>
  <c r="BH92" i="23"/>
  <c r="BG92" i="23"/>
  <c r="E92" i="23"/>
  <c r="D92" i="23"/>
  <c r="C92" i="23"/>
  <c r="B92" i="23"/>
  <c r="AT92" i="23" s="1"/>
  <c r="BO91" i="23"/>
  <c r="BN91" i="23"/>
  <c r="BM91" i="23"/>
  <c r="BL91" i="23"/>
  <c r="BK91" i="23"/>
  <c r="BJ91" i="23"/>
  <c r="BI91" i="23"/>
  <c r="BH91" i="23"/>
  <c r="BG91" i="23"/>
  <c r="E91" i="23"/>
  <c r="D91" i="23"/>
  <c r="C91" i="23"/>
  <c r="B91" i="23"/>
  <c r="BO90" i="23"/>
  <c r="BN90" i="23"/>
  <c r="BM90" i="23"/>
  <c r="BL90" i="23"/>
  <c r="BK90" i="23"/>
  <c r="BJ90" i="23"/>
  <c r="BI90" i="23"/>
  <c r="BH90" i="23"/>
  <c r="BG90" i="23"/>
  <c r="E90" i="23"/>
  <c r="D90" i="23"/>
  <c r="C90" i="23"/>
  <c r="B90" i="23"/>
  <c r="AS90" i="23" s="1"/>
  <c r="BO89" i="23"/>
  <c r="BN89" i="23"/>
  <c r="BM89" i="23"/>
  <c r="BL89" i="23"/>
  <c r="BK89" i="23"/>
  <c r="BJ89" i="23"/>
  <c r="BI89" i="23"/>
  <c r="BH89" i="23"/>
  <c r="BG89" i="23"/>
  <c r="E89" i="23"/>
  <c r="D89" i="23"/>
  <c r="C89" i="23"/>
  <c r="B89" i="23"/>
  <c r="AS89" i="23" s="1"/>
  <c r="BO88" i="23"/>
  <c r="BN88" i="23"/>
  <c r="BM88" i="23"/>
  <c r="BL88" i="23"/>
  <c r="BK88" i="23"/>
  <c r="BJ88" i="23"/>
  <c r="BI88" i="23"/>
  <c r="BH88" i="23"/>
  <c r="BG88" i="23"/>
  <c r="E88" i="23"/>
  <c r="D88" i="23"/>
  <c r="C88" i="23"/>
  <c r="B88" i="23"/>
  <c r="BO87" i="23"/>
  <c r="BN87" i="23"/>
  <c r="BM87" i="23"/>
  <c r="BL87" i="23"/>
  <c r="BK87" i="23"/>
  <c r="BJ87" i="23"/>
  <c r="BI87" i="23"/>
  <c r="BH87" i="23"/>
  <c r="BG87" i="23"/>
  <c r="E87" i="23"/>
  <c r="D87" i="23"/>
  <c r="C87" i="23"/>
  <c r="B87" i="23"/>
  <c r="BO86" i="23"/>
  <c r="BN86" i="23"/>
  <c r="BM86" i="23"/>
  <c r="BL86" i="23"/>
  <c r="BK86" i="23"/>
  <c r="BJ86" i="23"/>
  <c r="BI86" i="23"/>
  <c r="BH86" i="23"/>
  <c r="BG86" i="23"/>
  <c r="E86" i="23"/>
  <c r="D86" i="23"/>
  <c r="C86" i="23"/>
  <c r="B86" i="23"/>
  <c r="AS86" i="23" s="1"/>
  <c r="BO85" i="23"/>
  <c r="BN85" i="23"/>
  <c r="BM85" i="23"/>
  <c r="BL85" i="23"/>
  <c r="BK85" i="23"/>
  <c r="BJ85" i="23"/>
  <c r="BI85" i="23"/>
  <c r="BH85" i="23"/>
  <c r="BG85" i="23"/>
  <c r="E85" i="23"/>
  <c r="D85" i="23"/>
  <c r="C85" i="23"/>
  <c r="B85" i="23"/>
  <c r="AS85" i="23" s="1"/>
  <c r="BO84" i="23"/>
  <c r="BN84" i="23"/>
  <c r="BM84" i="23"/>
  <c r="BL84" i="23"/>
  <c r="BK84" i="23"/>
  <c r="BJ84" i="23"/>
  <c r="BI84" i="23"/>
  <c r="BH84" i="23"/>
  <c r="BG84" i="23"/>
  <c r="E84" i="23"/>
  <c r="D84" i="23"/>
  <c r="C84" i="23"/>
  <c r="B84" i="23"/>
  <c r="AT84" i="23" s="1"/>
  <c r="BO83" i="23"/>
  <c r="BN83" i="23"/>
  <c r="BM83" i="23"/>
  <c r="BL83" i="23"/>
  <c r="BK83" i="23"/>
  <c r="BJ83" i="23"/>
  <c r="BI83" i="23"/>
  <c r="BH83" i="23"/>
  <c r="BG83" i="23"/>
  <c r="E83" i="23"/>
  <c r="D83" i="23"/>
  <c r="C83" i="23"/>
  <c r="B83" i="23"/>
  <c r="BO82" i="23"/>
  <c r="BN82" i="23"/>
  <c r="BM82" i="23"/>
  <c r="BL82" i="23"/>
  <c r="BK82" i="23"/>
  <c r="BJ82" i="23"/>
  <c r="BI82" i="23"/>
  <c r="BH82" i="23"/>
  <c r="BG82" i="23"/>
  <c r="E82" i="23"/>
  <c r="D82" i="23"/>
  <c r="C82" i="23"/>
  <c r="B82" i="23"/>
  <c r="AS82" i="23" s="1"/>
  <c r="BO81" i="23"/>
  <c r="BN81" i="23"/>
  <c r="BM81" i="23"/>
  <c r="BL81" i="23"/>
  <c r="BK81" i="23"/>
  <c r="BJ81" i="23"/>
  <c r="BI81" i="23"/>
  <c r="BH81" i="23"/>
  <c r="BG81" i="23"/>
  <c r="E81" i="23"/>
  <c r="D81" i="23"/>
  <c r="C81" i="23"/>
  <c r="B81" i="23"/>
  <c r="AS81" i="23" s="1"/>
  <c r="BO80" i="23"/>
  <c r="BN80" i="23"/>
  <c r="BM80" i="23"/>
  <c r="BL80" i="23"/>
  <c r="BK80" i="23"/>
  <c r="BJ80" i="23"/>
  <c r="BI80" i="23"/>
  <c r="BH80" i="23"/>
  <c r="BG80" i="23"/>
  <c r="E80" i="23"/>
  <c r="D80" i="23"/>
  <c r="C80" i="23"/>
  <c r="B80" i="23"/>
  <c r="BO79" i="23"/>
  <c r="BN79" i="23"/>
  <c r="BM79" i="23"/>
  <c r="BL79" i="23"/>
  <c r="BK79" i="23"/>
  <c r="BJ79" i="23"/>
  <c r="BI79" i="23"/>
  <c r="BH79" i="23"/>
  <c r="BG79" i="23"/>
  <c r="E79" i="23"/>
  <c r="D79" i="23"/>
  <c r="C79" i="23"/>
  <c r="B79" i="23"/>
  <c r="BO78" i="23"/>
  <c r="BN78" i="23"/>
  <c r="BM78" i="23"/>
  <c r="BL78" i="23"/>
  <c r="BK78" i="23"/>
  <c r="BJ78" i="23"/>
  <c r="BI78" i="23"/>
  <c r="BH78" i="23"/>
  <c r="BG78" i="23"/>
  <c r="E78" i="23"/>
  <c r="D78" i="23"/>
  <c r="C78" i="23"/>
  <c r="B78" i="23"/>
  <c r="AA78" i="23" s="1"/>
  <c r="BO77" i="23"/>
  <c r="BN77" i="23"/>
  <c r="BM77" i="23"/>
  <c r="BL77" i="23"/>
  <c r="BK77" i="23"/>
  <c r="BJ77" i="23"/>
  <c r="BI77" i="23"/>
  <c r="BH77" i="23"/>
  <c r="BG77" i="23"/>
  <c r="E77" i="23"/>
  <c r="D77" i="23"/>
  <c r="C77" i="23"/>
  <c r="B77" i="23"/>
  <c r="AU77" i="23" s="1"/>
  <c r="BO76" i="23"/>
  <c r="BN76" i="23"/>
  <c r="BM76" i="23"/>
  <c r="BL76" i="23"/>
  <c r="BK76" i="23"/>
  <c r="BJ76" i="23"/>
  <c r="BI76" i="23"/>
  <c r="BH76" i="23"/>
  <c r="BG76" i="23"/>
  <c r="E76" i="23"/>
  <c r="D76" i="23"/>
  <c r="C76" i="23"/>
  <c r="B76" i="23"/>
  <c r="AS76" i="23" s="1"/>
  <c r="BO75" i="23"/>
  <c r="BN75" i="23"/>
  <c r="BM75" i="23"/>
  <c r="BL75" i="23"/>
  <c r="BK75" i="23"/>
  <c r="BJ75" i="23"/>
  <c r="BI75" i="23"/>
  <c r="BH75" i="23"/>
  <c r="BG75" i="23"/>
  <c r="E75" i="23"/>
  <c r="D75" i="23"/>
  <c r="C75" i="23"/>
  <c r="B75" i="23"/>
  <c r="AS75" i="23" s="1"/>
  <c r="BO74" i="23"/>
  <c r="BN74" i="23"/>
  <c r="BM74" i="23"/>
  <c r="BL74" i="23"/>
  <c r="BK74" i="23"/>
  <c r="BJ74" i="23"/>
  <c r="BI74" i="23"/>
  <c r="BH74" i="23"/>
  <c r="BG74" i="23"/>
  <c r="E74" i="23"/>
  <c r="D74" i="23"/>
  <c r="C74" i="23"/>
  <c r="B74" i="23"/>
  <c r="AS74" i="23" s="1"/>
  <c r="BO73" i="23"/>
  <c r="BN73" i="23"/>
  <c r="BM73" i="23"/>
  <c r="BL73" i="23"/>
  <c r="BK73" i="23"/>
  <c r="BJ73" i="23"/>
  <c r="BI73" i="23"/>
  <c r="BH73" i="23"/>
  <c r="BG73" i="23"/>
  <c r="E73" i="23"/>
  <c r="D73" i="23"/>
  <c r="C73" i="23"/>
  <c r="B73" i="23"/>
  <c r="AS73" i="23" s="1"/>
  <c r="BO72" i="23"/>
  <c r="BN72" i="23"/>
  <c r="BM72" i="23"/>
  <c r="BL72" i="23"/>
  <c r="BK72" i="23"/>
  <c r="BJ72" i="23"/>
  <c r="BI72" i="23"/>
  <c r="BH72" i="23"/>
  <c r="BG72" i="23"/>
  <c r="E72" i="23"/>
  <c r="D72" i="23"/>
  <c r="C72" i="23"/>
  <c r="B72" i="23"/>
  <c r="AS72" i="23" s="1"/>
  <c r="BO71" i="23"/>
  <c r="BN71" i="23"/>
  <c r="BM71" i="23"/>
  <c r="BL71" i="23"/>
  <c r="BK71" i="23"/>
  <c r="BJ71" i="23"/>
  <c r="BI71" i="23"/>
  <c r="BH71" i="23"/>
  <c r="BG71" i="23"/>
  <c r="E71" i="23"/>
  <c r="D71" i="23"/>
  <c r="C71" i="23"/>
  <c r="B71" i="23"/>
  <c r="AS71" i="23" s="1"/>
  <c r="BO70" i="23"/>
  <c r="BN70" i="23"/>
  <c r="BM70" i="23"/>
  <c r="BL70" i="23"/>
  <c r="BK70" i="23"/>
  <c r="BJ70" i="23"/>
  <c r="BI70" i="23"/>
  <c r="BH70" i="23"/>
  <c r="BG70" i="23"/>
  <c r="E70" i="23"/>
  <c r="D70" i="23"/>
  <c r="C70" i="23"/>
  <c r="B70" i="23"/>
  <c r="AS70" i="23" s="1"/>
  <c r="BO69" i="23"/>
  <c r="BN69" i="23"/>
  <c r="BM69" i="23"/>
  <c r="BL69" i="23"/>
  <c r="BK69" i="23"/>
  <c r="BJ69" i="23"/>
  <c r="BI69" i="23"/>
  <c r="BH69" i="23"/>
  <c r="BG69" i="23"/>
  <c r="E69" i="23"/>
  <c r="D69" i="23"/>
  <c r="C69" i="23"/>
  <c r="B69" i="23"/>
  <c r="AS69" i="23" s="1"/>
  <c r="BO68" i="23"/>
  <c r="BN68" i="23"/>
  <c r="BM68" i="23"/>
  <c r="BL68" i="23"/>
  <c r="BK68" i="23"/>
  <c r="BJ68" i="23"/>
  <c r="BI68" i="23"/>
  <c r="BH68" i="23"/>
  <c r="BG68" i="23"/>
  <c r="E68" i="23"/>
  <c r="D68" i="23"/>
  <c r="C68" i="23"/>
  <c r="B68" i="23"/>
  <c r="AS68" i="23" s="1"/>
  <c r="BO67" i="23"/>
  <c r="BN67" i="23"/>
  <c r="BM67" i="23"/>
  <c r="BL67" i="23"/>
  <c r="BK67" i="23"/>
  <c r="BJ67" i="23"/>
  <c r="BI67" i="23"/>
  <c r="BH67" i="23"/>
  <c r="BG67" i="23"/>
  <c r="E67" i="23"/>
  <c r="D67" i="23"/>
  <c r="C67" i="23"/>
  <c r="B67" i="23"/>
  <c r="AS67" i="23" s="1"/>
  <c r="BO66" i="23"/>
  <c r="BN66" i="23"/>
  <c r="BM66" i="23"/>
  <c r="BL66" i="23"/>
  <c r="BK66" i="23"/>
  <c r="BJ66" i="23"/>
  <c r="BI66" i="23"/>
  <c r="BH66" i="23"/>
  <c r="BG66" i="23"/>
  <c r="E66" i="23"/>
  <c r="D66" i="23"/>
  <c r="C66" i="23"/>
  <c r="B66" i="23"/>
  <c r="AS66" i="23" s="1"/>
  <c r="BO65" i="23"/>
  <c r="BN65" i="23"/>
  <c r="BM65" i="23"/>
  <c r="BL65" i="23"/>
  <c r="BK65" i="23"/>
  <c r="BJ65" i="23"/>
  <c r="BI65" i="23"/>
  <c r="BH65" i="23"/>
  <c r="BG65" i="23"/>
  <c r="E65" i="23"/>
  <c r="D65" i="23"/>
  <c r="C65" i="23"/>
  <c r="B65" i="23"/>
  <c r="AS65" i="23" s="1"/>
  <c r="BO64" i="23"/>
  <c r="BN64" i="23"/>
  <c r="BM64" i="23"/>
  <c r="BL64" i="23"/>
  <c r="BK64" i="23"/>
  <c r="BJ64" i="23"/>
  <c r="BI64" i="23"/>
  <c r="BH64" i="23"/>
  <c r="BG64" i="23"/>
  <c r="E64" i="23"/>
  <c r="D64" i="23"/>
  <c r="C64" i="23"/>
  <c r="B64" i="23"/>
  <c r="AS64" i="23" s="1"/>
  <c r="BO63" i="23"/>
  <c r="BN63" i="23"/>
  <c r="BM63" i="23"/>
  <c r="BL63" i="23"/>
  <c r="BK63" i="23"/>
  <c r="BJ63" i="23"/>
  <c r="BI63" i="23"/>
  <c r="BH63" i="23"/>
  <c r="BG63" i="23"/>
  <c r="E63" i="23"/>
  <c r="D63" i="23"/>
  <c r="C63" i="23"/>
  <c r="B63" i="23"/>
  <c r="AS63" i="23" s="1"/>
  <c r="BO62" i="23"/>
  <c r="BN62" i="23"/>
  <c r="BM62" i="23"/>
  <c r="BL62" i="23"/>
  <c r="BK62" i="23"/>
  <c r="BJ62" i="23"/>
  <c r="BI62" i="23"/>
  <c r="BH62" i="23"/>
  <c r="BG62" i="23"/>
  <c r="E62" i="23"/>
  <c r="D62" i="23"/>
  <c r="C62" i="23"/>
  <c r="B62" i="23"/>
  <c r="AS62" i="23" s="1"/>
  <c r="BO61" i="23"/>
  <c r="BN61" i="23"/>
  <c r="BM61" i="23"/>
  <c r="BL61" i="23"/>
  <c r="BK61" i="23"/>
  <c r="BJ61" i="23"/>
  <c r="BI61" i="23"/>
  <c r="BH61" i="23"/>
  <c r="BG61" i="23"/>
  <c r="E61" i="23"/>
  <c r="D61" i="23"/>
  <c r="C61" i="23"/>
  <c r="B61" i="23"/>
  <c r="AS61" i="23" s="1"/>
  <c r="BO60" i="23"/>
  <c r="BN60" i="23"/>
  <c r="BM60" i="23"/>
  <c r="BL60" i="23"/>
  <c r="BK60" i="23"/>
  <c r="BJ60" i="23"/>
  <c r="BI60" i="23"/>
  <c r="BH60" i="23"/>
  <c r="BG60" i="23"/>
  <c r="E60" i="23"/>
  <c r="D60" i="23"/>
  <c r="C60" i="23"/>
  <c r="B60" i="23"/>
  <c r="AS60" i="23" s="1"/>
  <c r="BO59" i="23"/>
  <c r="BN59" i="23"/>
  <c r="BM59" i="23"/>
  <c r="BL59" i="23"/>
  <c r="BK59" i="23"/>
  <c r="BJ59" i="23"/>
  <c r="BI59" i="23"/>
  <c r="BH59" i="23"/>
  <c r="BG59" i="23"/>
  <c r="E59" i="23"/>
  <c r="D59" i="23"/>
  <c r="C59" i="23"/>
  <c r="B59" i="23"/>
  <c r="AS59" i="23" s="1"/>
  <c r="BO58" i="23"/>
  <c r="BN58" i="23"/>
  <c r="BM58" i="23"/>
  <c r="BL58" i="23"/>
  <c r="BK58" i="23"/>
  <c r="BJ58" i="23"/>
  <c r="BI58" i="23"/>
  <c r="BH58" i="23"/>
  <c r="BG58" i="23"/>
  <c r="E58" i="23"/>
  <c r="D58" i="23"/>
  <c r="C58" i="23"/>
  <c r="B58" i="23"/>
  <c r="BO57" i="23"/>
  <c r="BN57" i="23"/>
  <c r="BM57" i="23"/>
  <c r="BL57" i="23"/>
  <c r="BK57" i="23"/>
  <c r="BJ57" i="23"/>
  <c r="BI57" i="23"/>
  <c r="BH57" i="23"/>
  <c r="BG57" i="23"/>
  <c r="E57" i="23"/>
  <c r="D57" i="23"/>
  <c r="C57" i="23"/>
  <c r="B57" i="23"/>
  <c r="AT57" i="23" s="1"/>
  <c r="BO56" i="23"/>
  <c r="BN56" i="23"/>
  <c r="BM56" i="23"/>
  <c r="BL56" i="23"/>
  <c r="BK56" i="23"/>
  <c r="BJ56" i="23"/>
  <c r="BI56" i="23"/>
  <c r="BH56" i="23"/>
  <c r="BG56" i="23"/>
  <c r="E56" i="23"/>
  <c r="D56" i="23"/>
  <c r="C56" i="23"/>
  <c r="B56" i="23"/>
  <c r="BO55" i="23"/>
  <c r="BN55" i="23"/>
  <c r="BM55" i="23"/>
  <c r="BL55" i="23"/>
  <c r="BK55" i="23"/>
  <c r="BJ55" i="23"/>
  <c r="BI55" i="23"/>
  <c r="BH55" i="23"/>
  <c r="BG55" i="23"/>
  <c r="E55" i="23"/>
  <c r="D55" i="23"/>
  <c r="C55" i="23"/>
  <c r="B55" i="23"/>
  <c r="AR55" i="23" s="1"/>
  <c r="BO54" i="23"/>
  <c r="BN54" i="23"/>
  <c r="BM54" i="23"/>
  <c r="BL54" i="23"/>
  <c r="BK54" i="23"/>
  <c r="BJ54" i="23"/>
  <c r="BI54" i="23"/>
  <c r="BH54" i="23"/>
  <c r="BG54" i="23"/>
  <c r="E54" i="23"/>
  <c r="D54" i="23"/>
  <c r="C54" i="23"/>
  <c r="B54" i="23"/>
  <c r="AS54" i="23" s="1"/>
  <c r="BO53" i="23"/>
  <c r="BN53" i="23"/>
  <c r="BM53" i="23"/>
  <c r="BL53" i="23"/>
  <c r="BK53" i="23"/>
  <c r="BJ53" i="23"/>
  <c r="BI53" i="23"/>
  <c r="BH53" i="23"/>
  <c r="BG53" i="23"/>
  <c r="E53" i="23"/>
  <c r="D53" i="23"/>
  <c r="C53" i="23"/>
  <c r="B53" i="23"/>
  <c r="BO52" i="23"/>
  <c r="BN52" i="23"/>
  <c r="BM52" i="23"/>
  <c r="BL52" i="23"/>
  <c r="BK52" i="23"/>
  <c r="BJ52" i="23"/>
  <c r="BI52" i="23"/>
  <c r="BH52" i="23"/>
  <c r="BG52" i="23"/>
  <c r="E52" i="23"/>
  <c r="D52" i="23"/>
  <c r="C52" i="23"/>
  <c r="B52" i="23"/>
  <c r="BO51" i="23"/>
  <c r="BN51" i="23"/>
  <c r="BM51" i="23"/>
  <c r="BL51" i="23"/>
  <c r="BK51" i="23"/>
  <c r="BJ51" i="23"/>
  <c r="BI51" i="23"/>
  <c r="BH51" i="23"/>
  <c r="BG51" i="23"/>
  <c r="E51" i="23"/>
  <c r="D51" i="23"/>
  <c r="C51" i="23"/>
  <c r="B51" i="23"/>
  <c r="BO50" i="23"/>
  <c r="BN50" i="23"/>
  <c r="BM50" i="23"/>
  <c r="BL50" i="23"/>
  <c r="BK50" i="23"/>
  <c r="BJ50" i="23"/>
  <c r="BI50" i="23"/>
  <c r="BH50" i="23"/>
  <c r="BG50" i="23"/>
  <c r="E50" i="23"/>
  <c r="D50" i="23"/>
  <c r="C50" i="23"/>
  <c r="B50" i="23"/>
  <c r="BO49" i="23"/>
  <c r="BN49" i="23"/>
  <c r="BM49" i="23"/>
  <c r="BL49" i="23"/>
  <c r="BK49" i="23"/>
  <c r="BJ49" i="23"/>
  <c r="BI49" i="23"/>
  <c r="BH49" i="23"/>
  <c r="BG49" i="23"/>
  <c r="E49" i="23"/>
  <c r="D49" i="23"/>
  <c r="C49" i="23"/>
  <c r="B49" i="23"/>
  <c r="AU49" i="23" s="1"/>
  <c r="BO48" i="23"/>
  <c r="BN48" i="23"/>
  <c r="BM48" i="23"/>
  <c r="BL48" i="23"/>
  <c r="BK48" i="23"/>
  <c r="BJ48" i="23"/>
  <c r="BI48" i="23"/>
  <c r="BH48" i="23"/>
  <c r="BG48" i="23"/>
  <c r="E48" i="23"/>
  <c r="D48" i="23"/>
  <c r="C48" i="23"/>
  <c r="B48" i="23"/>
  <c r="BO47" i="23"/>
  <c r="BN47" i="23"/>
  <c r="BM47" i="23"/>
  <c r="BL47" i="23"/>
  <c r="BK47" i="23"/>
  <c r="BJ47" i="23"/>
  <c r="BI47" i="23"/>
  <c r="BH47" i="23"/>
  <c r="BG47" i="23"/>
  <c r="E47" i="23"/>
  <c r="D47" i="23"/>
  <c r="C47" i="23"/>
  <c r="B47" i="23"/>
  <c r="BO46" i="23"/>
  <c r="BN46" i="23"/>
  <c r="BM46" i="23"/>
  <c r="BL46" i="23"/>
  <c r="BK46" i="23"/>
  <c r="BJ46" i="23"/>
  <c r="BI46" i="23"/>
  <c r="BH46" i="23"/>
  <c r="BG46" i="23"/>
  <c r="E46" i="23"/>
  <c r="D46" i="23"/>
  <c r="C46" i="23"/>
  <c r="B46" i="23"/>
  <c r="BO45" i="23"/>
  <c r="BN45" i="23"/>
  <c r="BM45" i="23"/>
  <c r="BL45" i="23"/>
  <c r="BK45" i="23"/>
  <c r="BJ45" i="23"/>
  <c r="BI45" i="23"/>
  <c r="BH45" i="23"/>
  <c r="BG45" i="23"/>
  <c r="E45" i="23"/>
  <c r="D45" i="23"/>
  <c r="C45" i="23"/>
  <c r="B45" i="23"/>
  <c r="AU45" i="23" s="1"/>
  <c r="BO44" i="23"/>
  <c r="BN44" i="23"/>
  <c r="BM44" i="23"/>
  <c r="BL44" i="23"/>
  <c r="BK44" i="23"/>
  <c r="BJ44" i="23"/>
  <c r="BI44" i="23"/>
  <c r="BH44" i="23"/>
  <c r="BG44" i="23"/>
  <c r="E44" i="23"/>
  <c r="D44" i="23"/>
  <c r="C44" i="23"/>
  <c r="B44" i="23"/>
  <c r="CA43" i="23"/>
  <c r="BO43" i="23"/>
  <c r="BN43" i="23"/>
  <c r="BM43" i="23"/>
  <c r="BL43" i="23"/>
  <c r="BK43" i="23"/>
  <c r="BJ43" i="23"/>
  <c r="BI43" i="23"/>
  <c r="BH43" i="23"/>
  <c r="BG43" i="23"/>
  <c r="E43" i="23"/>
  <c r="D43" i="23"/>
  <c r="C43" i="23"/>
  <c r="B43" i="23"/>
  <c r="AS43" i="23" s="1"/>
  <c r="CA42" i="23"/>
  <c r="BO42" i="23"/>
  <c r="BN42" i="23"/>
  <c r="BM42" i="23"/>
  <c r="BL42" i="23"/>
  <c r="BK42" i="23"/>
  <c r="BJ42" i="23"/>
  <c r="BI42" i="23"/>
  <c r="BH42" i="23"/>
  <c r="BG42" i="23"/>
  <c r="E42" i="23"/>
  <c r="D42" i="23"/>
  <c r="C42" i="23"/>
  <c r="B42" i="23"/>
  <c r="CA41" i="23"/>
  <c r="BO41" i="23"/>
  <c r="BN41" i="23"/>
  <c r="BM41" i="23"/>
  <c r="BL41" i="23"/>
  <c r="BK41" i="23"/>
  <c r="BJ41" i="23"/>
  <c r="BI41" i="23"/>
  <c r="BH41" i="23"/>
  <c r="BG41" i="23"/>
  <c r="E41" i="23"/>
  <c r="D41" i="23"/>
  <c r="C41" i="23"/>
  <c r="B41" i="23"/>
  <c r="CA40" i="23"/>
  <c r="BO40" i="23"/>
  <c r="BN40" i="23"/>
  <c r="BM40" i="23"/>
  <c r="BL40" i="23"/>
  <c r="BK40" i="23"/>
  <c r="BJ40" i="23"/>
  <c r="BI40" i="23"/>
  <c r="BH40" i="23"/>
  <c r="BG40" i="23"/>
  <c r="E40" i="23"/>
  <c r="D40" i="23"/>
  <c r="C40" i="23"/>
  <c r="B40" i="23"/>
  <c r="AV40" i="23" s="1"/>
  <c r="CA39" i="23"/>
  <c r="BO39" i="23"/>
  <c r="BN39" i="23"/>
  <c r="BM39" i="23"/>
  <c r="BL39" i="23"/>
  <c r="BK39" i="23"/>
  <c r="BJ39" i="23"/>
  <c r="BI39" i="23"/>
  <c r="BH39" i="23"/>
  <c r="BG39" i="23"/>
  <c r="E39" i="23"/>
  <c r="D39" i="23"/>
  <c r="C39" i="23"/>
  <c r="B39" i="23"/>
  <c r="CA38" i="23"/>
  <c r="BO38" i="23"/>
  <c r="BN38" i="23"/>
  <c r="BM38" i="23"/>
  <c r="BL38" i="23"/>
  <c r="BK38" i="23"/>
  <c r="BJ38" i="23"/>
  <c r="BI38" i="23"/>
  <c r="BH38" i="23"/>
  <c r="BG38" i="23"/>
  <c r="E38" i="23"/>
  <c r="D38" i="23"/>
  <c r="C38" i="23"/>
  <c r="B38" i="23"/>
  <c r="AT38" i="23" s="1"/>
  <c r="CA37" i="23"/>
  <c r="BO37" i="23"/>
  <c r="BN37" i="23"/>
  <c r="BM37" i="23"/>
  <c r="BL37" i="23"/>
  <c r="BK37" i="23"/>
  <c r="BJ37" i="23"/>
  <c r="BI37" i="23"/>
  <c r="BH37" i="23"/>
  <c r="BG37" i="23"/>
  <c r="E37" i="23"/>
  <c r="D37" i="23"/>
  <c r="C37" i="23"/>
  <c r="B37" i="23"/>
  <c r="AV37" i="23" s="1"/>
  <c r="CA36" i="23"/>
  <c r="BO36" i="23"/>
  <c r="BN36" i="23"/>
  <c r="BM36" i="23"/>
  <c r="BL36" i="23"/>
  <c r="BK36" i="23"/>
  <c r="BJ36" i="23"/>
  <c r="BI36" i="23"/>
  <c r="BH36" i="23"/>
  <c r="BG36" i="23"/>
  <c r="E36" i="23"/>
  <c r="D36" i="23"/>
  <c r="C36" i="23"/>
  <c r="B36" i="23"/>
  <c r="CA35" i="23"/>
  <c r="BO35" i="23"/>
  <c r="BN35" i="23"/>
  <c r="BM35" i="23"/>
  <c r="BL35" i="23"/>
  <c r="BK35" i="23"/>
  <c r="BJ35" i="23"/>
  <c r="BI35" i="23"/>
  <c r="BH35" i="23"/>
  <c r="BG35" i="23"/>
  <c r="E35" i="23"/>
  <c r="D35" i="23"/>
  <c r="C35" i="23"/>
  <c r="B35" i="23"/>
  <c r="BO34" i="23"/>
  <c r="BN34" i="23"/>
  <c r="BM34" i="23"/>
  <c r="BL34" i="23"/>
  <c r="BK34" i="23"/>
  <c r="BJ34" i="23"/>
  <c r="BI34" i="23"/>
  <c r="BH34" i="23"/>
  <c r="BG34" i="23"/>
  <c r="E34" i="23"/>
  <c r="D34" i="23"/>
  <c r="C34" i="23"/>
  <c r="B34" i="23"/>
  <c r="AR34" i="23" s="1"/>
  <c r="BO33" i="23"/>
  <c r="BN33" i="23"/>
  <c r="BM33" i="23"/>
  <c r="BL33" i="23"/>
  <c r="BK33" i="23"/>
  <c r="BJ33" i="23"/>
  <c r="BI33" i="23"/>
  <c r="BH33" i="23"/>
  <c r="BG33" i="23"/>
  <c r="E33" i="23"/>
  <c r="D33" i="23"/>
  <c r="C33" i="23"/>
  <c r="B33" i="23"/>
  <c r="AS33" i="23" s="1"/>
  <c r="BO32" i="23"/>
  <c r="BN32" i="23"/>
  <c r="BM32" i="23"/>
  <c r="BL32" i="23"/>
  <c r="BK32" i="23"/>
  <c r="BJ32" i="23"/>
  <c r="BI32" i="23"/>
  <c r="BH32" i="23"/>
  <c r="BG32" i="23"/>
  <c r="E32" i="23"/>
  <c r="D32" i="23"/>
  <c r="C32" i="23"/>
  <c r="B32" i="23"/>
  <c r="BF32" i="23" s="1"/>
  <c r="BO31" i="23"/>
  <c r="BN31" i="23"/>
  <c r="BM31" i="23"/>
  <c r="BL31" i="23"/>
  <c r="BK31" i="23"/>
  <c r="BJ31" i="23"/>
  <c r="BI31" i="23"/>
  <c r="BH31" i="23"/>
  <c r="BG31" i="23"/>
  <c r="E31" i="23"/>
  <c r="D31" i="23"/>
  <c r="C31" i="23"/>
  <c r="B31" i="23"/>
  <c r="BO30" i="23"/>
  <c r="BN30" i="23"/>
  <c r="BM30" i="23"/>
  <c r="BL30" i="23"/>
  <c r="BK30" i="23"/>
  <c r="BJ30" i="23"/>
  <c r="BI30" i="23"/>
  <c r="BH30" i="23"/>
  <c r="BG30" i="23"/>
  <c r="E30" i="23"/>
  <c r="D30" i="23"/>
  <c r="C30" i="23"/>
  <c r="B30" i="23"/>
  <c r="BO29" i="23"/>
  <c r="BN29" i="23"/>
  <c r="BM29" i="23"/>
  <c r="BL29" i="23"/>
  <c r="BK29" i="23"/>
  <c r="BJ29" i="23"/>
  <c r="BI29" i="23"/>
  <c r="BH29" i="23"/>
  <c r="BG29" i="23"/>
  <c r="E29" i="23"/>
  <c r="D29" i="23"/>
  <c r="C29" i="23"/>
  <c r="B29" i="23"/>
  <c r="BO28" i="23"/>
  <c r="BN28" i="23"/>
  <c r="BM28" i="23"/>
  <c r="BL28" i="23"/>
  <c r="BK28" i="23"/>
  <c r="BJ28" i="23"/>
  <c r="BI28" i="23"/>
  <c r="BH28" i="23"/>
  <c r="BG28" i="23"/>
  <c r="E28" i="23"/>
  <c r="D28" i="23"/>
  <c r="C28" i="23"/>
  <c r="B28" i="23"/>
  <c r="AT28" i="23" s="1"/>
  <c r="BO27" i="23"/>
  <c r="BN27" i="23"/>
  <c r="BM27" i="23"/>
  <c r="BL27" i="23"/>
  <c r="BK27" i="23"/>
  <c r="BJ27" i="23"/>
  <c r="BI27" i="23"/>
  <c r="BH27" i="23"/>
  <c r="BG27" i="23"/>
  <c r="E27" i="23"/>
  <c r="D27" i="23"/>
  <c r="C27" i="23"/>
  <c r="B27" i="23"/>
  <c r="BO26" i="23"/>
  <c r="BN26" i="23"/>
  <c r="BM26" i="23"/>
  <c r="BL26" i="23"/>
  <c r="BK26" i="23"/>
  <c r="BJ26" i="23"/>
  <c r="BI26" i="23"/>
  <c r="BH26" i="23"/>
  <c r="BG26" i="23"/>
  <c r="E26" i="23"/>
  <c r="D26" i="23"/>
  <c r="C26" i="23"/>
  <c r="B26" i="23"/>
  <c r="BO25" i="23"/>
  <c r="BN25" i="23"/>
  <c r="BM25" i="23"/>
  <c r="BL25" i="23"/>
  <c r="BK25" i="23"/>
  <c r="BJ25" i="23"/>
  <c r="BI25" i="23"/>
  <c r="BH25" i="23"/>
  <c r="BG25" i="23"/>
  <c r="E25" i="23"/>
  <c r="D25" i="23"/>
  <c r="C25" i="23"/>
  <c r="B25" i="23"/>
  <c r="BO24" i="23"/>
  <c r="BN24" i="23"/>
  <c r="BM24" i="23"/>
  <c r="BL24" i="23"/>
  <c r="BK24" i="23"/>
  <c r="BJ24" i="23"/>
  <c r="BI24" i="23"/>
  <c r="BH24" i="23"/>
  <c r="BG24" i="23"/>
  <c r="E24" i="23"/>
  <c r="D24" i="23"/>
  <c r="C24" i="23"/>
  <c r="B24" i="23"/>
  <c r="BO23" i="23"/>
  <c r="BN23" i="23"/>
  <c r="BM23" i="23"/>
  <c r="BL23" i="23"/>
  <c r="BK23" i="23"/>
  <c r="BJ23" i="23"/>
  <c r="BI23" i="23"/>
  <c r="BH23" i="23"/>
  <c r="BG23" i="23"/>
  <c r="E23" i="23"/>
  <c r="D23" i="23"/>
  <c r="C23" i="23"/>
  <c r="B23" i="23"/>
  <c r="BO22" i="23"/>
  <c r="BN22" i="23"/>
  <c r="BM22" i="23"/>
  <c r="BL22" i="23"/>
  <c r="BK22" i="23"/>
  <c r="BJ22" i="23"/>
  <c r="BI22" i="23"/>
  <c r="BH22" i="23"/>
  <c r="BG22" i="23"/>
  <c r="E22" i="23"/>
  <c r="D22" i="23"/>
  <c r="C22" i="23"/>
  <c r="B22" i="23"/>
  <c r="BO21" i="23"/>
  <c r="BN21" i="23"/>
  <c r="BM21" i="23"/>
  <c r="BL21" i="23"/>
  <c r="BK21" i="23"/>
  <c r="BJ21" i="23"/>
  <c r="BI21" i="23"/>
  <c r="BH21" i="23"/>
  <c r="BG21" i="23"/>
  <c r="E21" i="23"/>
  <c r="D21" i="23"/>
  <c r="C21" i="23"/>
  <c r="B21" i="23"/>
  <c r="BO20" i="23"/>
  <c r="BN20" i="23"/>
  <c r="BM20" i="23"/>
  <c r="BL20" i="23"/>
  <c r="BK20" i="23"/>
  <c r="BJ20" i="23"/>
  <c r="BI20" i="23"/>
  <c r="BH20" i="23"/>
  <c r="BG20" i="23"/>
  <c r="E20" i="23"/>
  <c r="D20" i="23"/>
  <c r="C20" i="23"/>
  <c r="B20" i="23"/>
  <c r="BO19" i="23"/>
  <c r="BN19" i="23"/>
  <c r="BM19" i="23"/>
  <c r="BL19" i="23"/>
  <c r="BK19" i="23"/>
  <c r="BJ19" i="23"/>
  <c r="BI19" i="23"/>
  <c r="BH19" i="23"/>
  <c r="BG19" i="23"/>
  <c r="E19" i="23"/>
  <c r="D19" i="23"/>
  <c r="C19" i="23"/>
  <c r="B19" i="23"/>
  <c r="BO18" i="23"/>
  <c r="BN18" i="23"/>
  <c r="BM18" i="23"/>
  <c r="BL18" i="23"/>
  <c r="BK18" i="23"/>
  <c r="BJ18" i="23"/>
  <c r="BI18" i="23"/>
  <c r="BH18" i="23"/>
  <c r="BG18" i="23"/>
  <c r="E18" i="23"/>
  <c r="D18" i="23"/>
  <c r="C18" i="23"/>
  <c r="B18" i="23"/>
  <c r="BO17" i="23"/>
  <c r="BN17" i="23"/>
  <c r="BM17" i="23"/>
  <c r="BL17" i="23"/>
  <c r="BK17" i="23"/>
  <c r="BJ17" i="23"/>
  <c r="BI17" i="23"/>
  <c r="BH17" i="23"/>
  <c r="BG17" i="23"/>
  <c r="E17" i="23"/>
  <c r="D17" i="23"/>
  <c r="C17" i="23"/>
  <c r="B17" i="23"/>
  <c r="BO16" i="23"/>
  <c r="BN16" i="23"/>
  <c r="BM16" i="23"/>
  <c r="BL16" i="23"/>
  <c r="BK16" i="23"/>
  <c r="BJ16" i="23"/>
  <c r="BI16" i="23"/>
  <c r="BH16" i="23"/>
  <c r="BG16" i="23"/>
  <c r="E16" i="23"/>
  <c r="D16" i="23"/>
  <c r="C16" i="23"/>
  <c r="B16" i="23"/>
  <c r="BO15" i="23"/>
  <c r="BN15" i="23"/>
  <c r="BM15" i="23"/>
  <c r="BL15" i="23"/>
  <c r="BK15" i="23"/>
  <c r="BJ15" i="23"/>
  <c r="BI15" i="23"/>
  <c r="BH15" i="23"/>
  <c r="BG15" i="23"/>
  <c r="E15" i="23"/>
  <c r="D15" i="23"/>
  <c r="C15" i="23"/>
  <c r="B15" i="23"/>
  <c r="BO14" i="23"/>
  <c r="BN14" i="23"/>
  <c r="BM14" i="23"/>
  <c r="BL14" i="23"/>
  <c r="BK14" i="23"/>
  <c r="BJ14" i="23"/>
  <c r="BI14" i="23"/>
  <c r="BH14" i="23"/>
  <c r="BG14" i="23"/>
  <c r="E14" i="23"/>
  <c r="D14" i="23"/>
  <c r="C14" i="23"/>
  <c r="B14" i="23"/>
  <c r="BF14" i="23" s="1"/>
  <c r="BO13" i="23"/>
  <c r="BN13" i="23"/>
  <c r="BM13" i="23"/>
  <c r="BL13" i="23"/>
  <c r="BK13" i="23"/>
  <c r="BJ13" i="23"/>
  <c r="BI13" i="23"/>
  <c r="BH13" i="23"/>
  <c r="BG13" i="23"/>
  <c r="E13" i="23"/>
  <c r="D13" i="23"/>
  <c r="C13" i="23"/>
  <c r="B13" i="23"/>
  <c r="BF13" i="23" s="1"/>
  <c r="BO12" i="23"/>
  <c r="BN12" i="23"/>
  <c r="BM12" i="23"/>
  <c r="BL12" i="23"/>
  <c r="BK12" i="23"/>
  <c r="BJ12" i="23"/>
  <c r="BI12" i="23"/>
  <c r="BH12" i="23"/>
  <c r="BG12" i="23"/>
  <c r="E12" i="23"/>
  <c r="D12" i="23"/>
  <c r="C12" i="23"/>
  <c r="B12" i="23"/>
  <c r="BO11" i="23"/>
  <c r="BN11" i="23"/>
  <c r="BM11" i="23"/>
  <c r="BL11" i="23"/>
  <c r="BK11" i="23"/>
  <c r="BJ11" i="23"/>
  <c r="BI11" i="23"/>
  <c r="BH11" i="23"/>
  <c r="BG11" i="23"/>
  <c r="E11" i="23"/>
  <c r="D11" i="23"/>
  <c r="C11" i="23"/>
  <c r="B11" i="23"/>
  <c r="C8" i="23"/>
  <c r="C7" i="23"/>
  <c r="BH12" i="22"/>
  <c r="BI12" i="22"/>
  <c r="BJ12" i="22"/>
  <c r="BK12" i="22"/>
  <c r="BL12" i="22"/>
  <c r="BM12" i="22"/>
  <c r="BN12" i="22"/>
  <c r="BO12" i="22"/>
  <c r="BH13" i="22"/>
  <c r="BI13" i="22"/>
  <c r="BJ13" i="22"/>
  <c r="BK13" i="22"/>
  <c r="BL13" i="22"/>
  <c r="BM13" i="22"/>
  <c r="BN13" i="22"/>
  <c r="BO13" i="22"/>
  <c r="BH14" i="22"/>
  <c r="BI14" i="22"/>
  <c r="BJ14" i="22"/>
  <c r="BK14" i="22"/>
  <c r="BL14" i="22"/>
  <c r="BM14" i="22"/>
  <c r="BN14" i="22"/>
  <c r="BO14" i="22"/>
  <c r="BH15" i="22"/>
  <c r="BI15" i="22"/>
  <c r="BJ15" i="22"/>
  <c r="BK15" i="22"/>
  <c r="BL15" i="22"/>
  <c r="BM15" i="22"/>
  <c r="BN15" i="22"/>
  <c r="BO15" i="22"/>
  <c r="BH16" i="22"/>
  <c r="BI16" i="22"/>
  <c r="BJ16" i="22"/>
  <c r="BK16" i="22"/>
  <c r="BL16" i="22"/>
  <c r="BM16" i="22"/>
  <c r="BN16" i="22"/>
  <c r="BO16" i="22"/>
  <c r="BH17" i="22"/>
  <c r="BI17" i="22"/>
  <c r="BJ17" i="22"/>
  <c r="BK17" i="22"/>
  <c r="BL17" i="22"/>
  <c r="BM17" i="22"/>
  <c r="BN17" i="22"/>
  <c r="BO17" i="22"/>
  <c r="BH18" i="22"/>
  <c r="BI18" i="22"/>
  <c r="BJ18" i="22"/>
  <c r="BK18" i="22"/>
  <c r="BL18" i="22"/>
  <c r="BM18" i="22"/>
  <c r="BN18" i="22"/>
  <c r="BO18" i="22"/>
  <c r="BH19" i="22"/>
  <c r="BI19" i="22"/>
  <c r="BJ19" i="22"/>
  <c r="BK19" i="22"/>
  <c r="BL19" i="22"/>
  <c r="BM19" i="22"/>
  <c r="BN19" i="22"/>
  <c r="BO19" i="22"/>
  <c r="BH20" i="22"/>
  <c r="BI20" i="22"/>
  <c r="BJ20" i="22"/>
  <c r="BK20" i="22"/>
  <c r="BL20" i="22"/>
  <c r="BM20" i="22"/>
  <c r="BN20" i="22"/>
  <c r="BO20" i="22"/>
  <c r="BH21" i="22"/>
  <c r="BI21" i="22"/>
  <c r="BJ21" i="22"/>
  <c r="BK21" i="22"/>
  <c r="BL21" i="22"/>
  <c r="BM21" i="22"/>
  <c r="BN21" i="22"/>
  <c r="BO21" i="22"/>
  <c r="BH22" i="22"/>
  <c r="BI22" i="22"/>
  <c r="BJ22" i="22"/>
  <c r="BK22" i="22"/>
  <c r="BL22" i="22"/>
  <c r="BM22" i="22"/>
  <c r="BN22" i="22"/>
  <c r="BO22" i="22"/>
  <c r="BH23" i="22"/>
  <c r="BI23" i="22"/>
  <c r="BJ23" i="22"/>
  <c r="BK23" i="22"/>
  <c r="BL23" i="22"/>
  <c r="BM23" i="22"/>
  <c r="BN23" i="22"/>
  <c r="BO23" i="22"/>
  <c r="BH24" i="22"/>
  <c r="BI24" i="22"/>
  <c r="BJ24" i="22"/>
  <c r="BK24" i="22"/>
  <c r="BL24" i="22"/>
  <c r="BM24" i="22"/>
  <c r="BN24" i="22"/>
  <c r="BO24" i="22"/>
  <c r="BH25" i="22"/>
  <c r="BI25" i="22"/>
  <c r="BJ25" i="22"/>
  <c r="BK25" i="22"/>
  <c r="BL25" i="22"/>
  <c r="BM25" i="22"/>
  <c r="BN25" i="22"/>
  <c r="BO25" i="22"/>
  <c r="BH26" i="22"/>
  <c r="BI26" i="22"/>
  <c r="BJ26" i="22"/>
  <c r="BK26" i="22"/>
  <c r="BL26" i="22"/>
  <c r="BM26" i="22"/>
  <c r="BN26" i="22"/>
  <c r="BO26" i="22"/>
  <c r="BH27" i="22"/>
  <c r="BI27" i="22"/>
  <c r="BJ27" i="22"/>
  <c r="BK27" i="22"/>
  <c r="BL27" i="22"/>
  <c r="BM27" i="22"/>
  <c r="BN27" i="22"/>
  <c r="BO27" i="22"/>
  <c r="BH28" i="22"/>
  <c r="BI28" i="22"/>
  <c r="BJ28" i="22"/>
  <c r="BK28" i="22"/>
  <c r="BL28" i="22"/>
  <c r="BM28" i="22"/>
  <c r="BN28" i="22"/>
  <c r="BO28" i="22"/>
  <c r="BH29" i="22"/>
  <c r="BI29" i="22"/>
  <c r="BJ29" i="22"/>
  <c r="BK29" i="22"/>
  <c r="BL29" i="22"/>
  <c r="BM29" i="22"/>
  <c r="BN29" i="22"/>
  <c r="BO29" i="22"/>
  <c r="BH30" i="22"/>
  <c r="BI30" i="22"/>
  <c r="BJ30" i="22"/>
  <c r="BK30" i="22"/>
  <c r="BL30" i="22"/>
  <c r="BM30" i="22"/>
  <c r="BN30" i="22"/>
  <c r="BO30" i="22"/>
  <c r="BH31" i="22"/>
  <c r="BI31" i="22"/>
  <c r="BJ31" i="22"/>
  <c r="BK31" i="22"/>
  <c r="BL31" i="22"/>
  <c r="BM31" i="22"/>
  <c r="BN31" i="22"/>
  <c r="BO31" i="22"/>
  <c r="BH32" i="22"/>
  <c r="BI32" i="22"/>
  <c r="BJ32" i="22"/>
  <c r="BK32" i="22"/>
  <c r="BL32" i="22"/>
  <c r="BM32" i="22"/>
  <c r="BN32" i="22"/>
  <c r="BO32" i="22"/>
  <c r="BH33" i="22"/>
  <c r="BI33" i="22"/>
  <c r="BJ33" i="22"/>
  <c r="BK33" i="22"/>
  <c r="BL33" i="22"/>
  <c r="BM33" i="22"/>
  <c r="BN33" i="22"/>
  <c r="BO33" i="22"/>
  <c r="BH34" i="22"/>
  <c r="BI34" i="22"/>
  <c r="BJ34" i="22"/>
  <c r="BK34" i="22"/>
  <c r="BL34" i="22"/>
  <c r="BM34" i="22"/>
  <c r="BN34" i="22"/>
  <c r="BO34" i="22"/>
  <c r="BH35" i="22"/>
  <c r="BI35" i="22"/>
  <c r="BJ35" i="22"/>
  <c r="BK35" i="22"/>
  <c r="BL35" i="22"/>
  <c r="BM35" i="22"/>
  <c r="BN35" i="22"/>
  <c r="BO35" i="22"/>
  <c r="BH36" i="22"/>
  <c r="BI36" i="22"/>
  <c r="BJ36" i="22"/>
  <c r="BK36" i="22"/>
  <c r="BL36" i="22"/>
  <c r="BM36" i="22"/>
  <c r="BN36" i="22"/>
  <c r="BO36" i="22"/>
  <c r="BH37" i="22"/>
  <c r="BI37" i="22"/>
  <c r="BJ37" i="22"/>
  <c r="BK37" i="22"/>
  <c r="BL37" i="22"/>
  <c r="BM37" i="22"/>
  <c r="BN37" i="22"/>
  <c r="BO37" i="22"/>
  <c r="BH38" i="22"/>
  <c r="BI38" i="22"/>
  <c r="BJ38" i="22"/>
  <c r="BK38" i="22"/>
  <c r="BL38" i="22"/>
  <c r="BM38" i="22"/>
  <c r="BN38" i="22"/>
  <c r="BO38" i="22"/>
  <c r="BH39" i="22"/>
  <c r="BI39" i="22"/>
  <c r="BJ39" i="22"/>
  <c r="BK39" i="22"/>
  <c r="BL39" i="22"/>
  <c r="BM39" i="22"/>
  <c r="BN39" i="22"/>
  <c r="BO39" i="22"/>
  <c r="BH40" i="22"/>
  <c r="BI40" i="22"/>
  <c r="BJ40" i="22"/>
  <c r="BK40" i="22"/>
  <c r="BL40" i="22"/>
  <c r="BM40" i="22"/>
  <c r="BN40" i="22"/>
  <c r="BO40" i="22"/>
  <c r="BH41" i="22"/>
  <c r="BI41" i="22"/>
  <c r="BJ41" i="22"/>
  <c r="BK41" i="22"/>
  <c r="BL41" i="22"/>
  <c r="BM41" i="22"/>
  <c r="BN41" i="22"/>
  <c r="BO41" i="22"/>
  <c r="BH42" i="22"/>
  <c r="BI42" i="22"/>
  <c r="BJ42" i="22"/>
  <c r="BK42" i="22"/>
  <c r="BL42" i="22"/>
  <c r="BM42" i="22"/>
  <c r="BN42" i="22"/>
  <c r="BO42" i="22"/>
  <c r="BH43" i="22"/>
  <c r="BI43" i="22"/>
  <c r="BJ43" i="22"/>
  <c r="BK43" i="22"/>
  <c r="BL43" i="22"/>
  <c r="BM43" i="22"/>
  <c r="BN43" i="22"/>
  <c r="BO43" i="22"/>
  <c r="BH44" i="22"/>
  <c r="BI44" i="22"/>
  <c r="BJ44" i="22"/>
  <c r="BK44" i="22"/>
  <c r="BL44" i="22"/>
  <c r="BM44" i="22"/>
  <c r="BN44" i="22"/>
  <c r="BO44" i="22"/>
  <c r="BH45" i="22"/>
  <c r="BI45" i="22"/>
  <c r="BJ45" i="22"/>
  <c r="BK45" i="22"/>
  <c r="BL45" i="22"/>
  <c r="BM45" i="22"/>
  <c r="BN45" i="22"/>
  <c r="BO45" i="22"/>
  <c r="BH46" i="22"/>
  <c r="BI46" i="22"/>
  <c r="BJ46" i="22"/>
  <c r="BK46" i="22"/>
  <c r="BL46" i="22"/>
  <c r="BM46" i="22"/>
  <c r="BN46" i="22"/>
  <c r="BO46" i="22"/>
  <c r="BH47" i="22"/>
  <c r="BI47" i="22"/>
  <c r="BJ47" i="22"/>
  <c r="BK47" i="22"/>
  <c r="BL47" i="22"/>
  <c r="BM47" i="22"/>
  <c r="BN47" i="22"/>
  <c r="BO47" i="22"/>
  <c r="BH48" i="22"/>
  <c r="BI48" i="22"/>
  <c r="BJ48" i="22"/>
  <c r="BK48" i="22"/>
  <c r="BL48" i="22"/>
  <c r="BM48" i="22"/>
  <c r="BN48" i="22"/>
  <c r="BO48" i="22"/>
  <c r="BH49" i="22"/>
  <c r="BI49" i="22"/>
  <c r="BJ49" i="22"/>
  <c r="BK49" i="22"/>
  <c r="BL49" i="22"/>
  <c r="BM49" i="22"/>
  <c r="BN49" i="22"/>
  <c r="BO49" i="22"/>
  <c r="BH50" i="22"/>
  <c r="BI50" i="22"/>
  <c r="BJ50" i="22"/>
  <c r="BK50" i="22"/>
  <c r="BL50" i="22"/>
  <c r="BM50" i="22"/>
  <c r="BN50" i="22"/>
  <c r="BO50" i="22"/>
  <c r="BH51" i="22"/>
  <c r="BI51" i="22"/>
  <c r="BJ51" i="22"/>
  <c r="BK51" i="22"/>
  <c r="BL51" i="22"/>
  <c r="BM51" i="22"/>
  <c r="BN51" i="22"/>
  <c r="BO51" i="22"/>
  <c r="BH52" i="22"/>
  <c r="BI52" i="22"/>
  <c r="BJ52" i="22"/>
  <c r="BK52" i="22"/>
  <c r="BL52" i="22"/>
  <c r="BM52" i="22"/>
  <c r="BN52" i="22"/>
  <c r="BO52" i="22"/>
  <c r="BH53" i="22"/>
  <c r="BI53" i="22"/>
  <c r="BJ53" i="22"/>
  <c r="BK53" i="22"/>
  <c r="BL53" i="22"/>
  <c r="BM53" i="22"/>
  <c r="BN53" i="22"/>
  <c r="BO53" i="22"/>
  <c r="BH54" i="22"/>
  <c r="BI54" i="22"/>
  <c r="BJ54" i="22"/>
  <c r="BK54" i="22"/>
  <c r="BL54" i="22"/>
  <c r="BM54" i="22"/>
  <c r="BN54" i="22"/>
  <c r="BO54" i="22"/>
  <c r="BH55" i="22"/>
  <c r="BI55" i="22"/>
  <c r="BJ55" i="22"/>
  <c r="BK55" i="22"/>
  <c r="BL55" i="22"/>
  <c r="BM55" i="22"/>
  <c r="BN55" i="22"/>
  <c r="BO55" i="22"/>
  <c r="BH56" i="22"/>
  <c r="BI56" i="22"/>
  <c r="BJ56" i="22"/>
  <c r="BK56" i="22"/>
  <c r="BL56" i="22"/>
  <c r="BM56" i="22"/>
  <c r="BN56" i="22"/>
  <c r="BO56" i="22"/>
  <c r="BH57" i="22"/>
  <c r="BI57" i="22"/>
  <c r="BJ57" i="22"/>
  <c r="BK57" i="22"/>
  <c r="BL57" i="22"/>
  <c r="BM57" i="22"/>
  <c r="BN57" i="22"/>
  <c r="BO57" i="22"/>
  <c r="BH58" i="22"/>
  <c r="BI58" i="22"/>
  <c r="BJ58" i="22"/>
  <c r="BK58" i="22"/>
  <c r="BL58" i="22"/>
  <c r="BM58" i="22"/>
  <c r="BN58" i="22"/>
  <c r="BO58" i="22"/>
  <c r="BH59" i="22"/>
  <c r="BI59" i="22"/>
  <c r="BJ59" i="22"/>
  <c r="BK59" i="22"/>
  <c r="BL59" i="22"/>
  <c r="BM59" i="22"/>
  <c r="BN59" i="22"/>
  <c r="BO59" i="22"/>
  <c r="BH60" i="22"/>
  <c r="BI60" i="22"/>
  <c r="BJ60" i="22"/>
  <c r="BK60" i="22"/>
  <c r="BL60" i="22"/>
  <c r="BM60" i="22"/>
  <c r="BN60" i="22"/>
  <c r="BO60" i="22"/>
  <c r="BH61" i="22"/>
  <c r="BI61" i="22"/>
  <c r="BJ61" i="22"/>
  <c r="BK61" i="22"/>
  <c r="BL61" i="22"/>
  <c r="BM61" i="22"/>
  <c r="BN61" i="22"/>
  <c r="BO61" i="22"/>
  <c r="BH62" i="22"/>
  <c r="BI62" i="22"/>
  <c r="BJ62" i="22"/>
  <c r="BK62" i="22"/>
  <c r="BL62" i="22"/>
  <c r="BM62" i="22"/>
  <c r="BN62" i="22"/>
  <c r="BO62" i="22"/>
  <c r="BH63" i="22"/>
  <c r="BI63" i="22"/>
  <c r="BJ63" i="22"/>
  <c r="BK63" i="22"/>
  <c r="BL63" i="22"/>
  <c r="BM63" i="22"/>
  <c r="BN63" i="22"/>
  <c r="BO63" i="22"/>
  <c r="BH64" i="22"/>
  <c r="BI64" i="22"/>
  <c r="BJ64" i="22"/>
  <c r="BK64" i="22"/>
  <c r="BL64" i="22"/>
  <c r="BM64" i="22"/>
  <c r="BN64" i="22"/>
  <c r="BO64" i="22"/>
  <c r="BH65" i="22"/>
  <c r="BI65" i="22"/>
  <c r="BJ65" i="22"/>
  <c r="BK65" i="22"/>
  <c r="BL65" i="22"/>
  <c r="BM65" i="22"/>
  <c r="BN65" i="22"/>
  <c r="BO65" i="22"/>
  <c r="BH66" i="22"/>
  <c r="BI66" i="22"/>
  <c r="BJ66" i="22"/>
  <c r="BK66" i="22"/>
  <c r="BL66" i="22"/>
  <c r="BM66" i="22"/>
  <c r="BN66" i="22"/>
  <c r="BO66" i="22"/>
  <c r="BH67" i="22"/>
  <c r="BI67" i="22"/>
  <c r="BJ67" i="22"/>
  <c r="BK67" i="22"/>
  <c r="BL67" i="22"/>
  <c r="BM67" i="22"/>
  <c r="BN67" i="22"/>
  <c r="BO67" i="22"/>
  <c r="BH68" i="22"/>
  <c r="BI68" i="22"/>
  <c r="BJ68" i="22"/>
  <c r="BK68" i="22"/>
  <c r="BL68" i="22"/>
  <c r="BM68" i="22"/>
  <c r="BN68" i="22"/>
  <c r="BO68" i="22"/>
  <c r="BH69" i="22"/>
  <c r="BI69" i="22"/>
  <c r="BJ69" i="22"/>
  <c r="BK69" i="22"/>
  <c r="BL69" i="22"/>
  <c r="BM69" i="22"/>
  <c r="BN69" i="22"/>
  <c r="BO69" i="22"/>
  <c r="BH70" i="22"/>
  <c r="BI70" i="22"/>
  <c r="BJ70" i="22"/>
  <c r="BK70" i="22"/>
  <c r="BL70" i="22"/>
  <c r="BM70" i="22"/>
  <c r="BN70" i="22"/>
  <c r="BO70" i="22"/>
  <c r="BH71" i="22"/>
  <c r="BI71" i="22"/>
  <c r="BJ71" i="22"/>
  <c r="BK71" i="22"/>
  <c r="BL71" i="22"/>
  <c r="BM71" i="22"/>
  <c r="BN71" i="22"/>
  <c r="BO71" i="22"/>
  <c r="BH72" i="22"/>
  <c r="BI72" i="22"/>
  <c r="BJ72" i="22"/>
  <c r="BK72" i="22"/>
  <c r="BL72" i="22"/>
  <c r="BM72" i="22"/>
  <c r="BN72" i="22"/>
  <c r="BO72" i="22"/>
  <c r="BH73" i="22"/>
  <c r="BI73" i="22"/>
  <c r="BJ73" i="22"/>
  <c r="BK73" i="22"/>
  <c r="BL73" i="22"/>
  <c r="BM73" i="22"/>
  <c r="BN73" i="22"/>
  <c r="BO73" i="22"/>
  <c r="BH74" i="22"/>
  <c r="BI74" i="22"/>
  <c r="BJ74" i="22"/>
  <c r="BK74" i="22"/>
  <c r="BL74" i="22"/>
  <c r="BM74" i="22"/>
  <c r="BN74" i="22"/>
  <c r="BO74" i="22"/>
  <c r="BH75" i="22"/>
  <c r="BI75" i="22"/>
  <c r="BJ75" i="22"/>
  <c r="BK75" i="22"/>
  <c r="BL75" i="22"/>
  <c r="BM75" i="22"/>
  <c r="BN75" i="22"/>
  <c r="BO75" i="22"/>
  <c r="BH76" i="22"/>
  <c r="BI76" i="22"/>
  <c r="BJ76" i="22"/>
  <c r="BK76" i="22"/>
  <c r="BL76" i="22"/>
  <c r="BM76" i="22"/>
  <c r="BN76" i="22"/>
  <c r="BO76" i="22"/>
  <c r="BH77" i="22"/>
  <c r="BI77" i="22"/>
  <c r="BJ77" i="22"/>
  <c r="BK77" i="22"/>
  <c r="BL77" i="22"/>
  <c r="BM77" i="22"/>
  <c r="BN77" i="22"/>
  <c r="BO77" i="22"/>
  <c r="BH78" i="22"/>
  <c r="BI78" i="22"/>
  <c r="BJ78" i="22"/>
  <c r="BK78" i="22"/>
  <c r="BL78" i="22"/>
  <c r="BM78" i="22"/>
  <c r="BN78" i="22"/>
  <c r="BO78" i="22"/>
  <c r="BH79" i="22"/>
  <c r="BI79" i="22"/>
  <c r="BJ79" i="22"/>
  <c r="BK79" i="22"/>
  <c r="BL79" i="22"/>
  <c r="BM79" i="22"/>
  <c r="BN79" i="22"/>
  <c r="BO79" i="22"/>
  <c r="BH80" i="22"/>
  <c r="BI80" i="22"/>
  <c r="BJ80" i="22"/>
  <c r="BK80" i="22"/>
  <c r="BL80" i="22"/>
  <c r="BM80" i="22"/>
  <c r="BN80" i="22"/>
  <c r="BO80" i="22"/>
  <c r="BH81" i="22"/>
  <c r="BI81" i="22"/>
  <c r="BJ81" i="22"/>
  <c r="BK81" i="22"/>
  <c r="BL81" i="22"/>
  <c r="BM81" i="22"/>
  <c r="BN81" i="22"/>
  <c r="BO81" i="22"/>
  <c r="BH82" i="22"/>
  <c r="BI82" i="22"/>
  <c r="BJ82" i="22"/>
  <c r="BK82" i="22"/>
  <c r="BL82" i="22"/>
  <c r="BM82" i="22"/>
  <c r="BN82" i="22"/>
  <c r="BO82" i="22"/>
  <c r="BH83" i="22"/>
  <c r="BI83" i="22"/>
  <c r="BJ83" i="22"/>
  <c r="BK83" i="22"/>
  <c r="BL83" i="22"/>
  <c r="BM83" i="22"/>
  <c r="BN83" i="22"/>
  <c r="BO83" i="22"/>
  <c r="BH84" i="22"/>
  <c r="BI84" i="22"/>
  <c r="BJ84" i="22"/>
  <c r="BK84" i="22"/>
  <c r="BL84" i="22"/>
  <c r="BM84" i="22"/>
  <c r="BN84" i="22"/>
  <c r="BO84" i="22"/>
  <c r="BH85" i="22"/>
  <c r="BI85" i="22"/>
  <c r="BJ85" i="22"/>
  <c r="BK85" i="22"/>
  <c r="BL85" i="22"/>
  <c r="BM85" i="22"/>
  <c r="BN85" i="22"/>
  <c r="BO85" i="22"/>
  <c r="BH86" i="22"/>
  <c r="BI86" i="22"/>
  <c r="BJ86" i="22"/>
  <c r="BK86" i="22"/>
  <c r="BL86" i="22"/>
  <c r="BM86" i="22"/>
  <c r="BN86" i="22"/>
  <c r="BO86" i="22"/>
  <c r="BH87" i="22"/>
  <c r="BI87" i="22"/>
  <c r="BJ87" i="22"/>
  <c r="BK87" i="22"/>
  <c r="BL87" i="22"/>
  <c r="BM87" i="22"/>
  <c r="BN87" i="22"/>
  <c r="BO87" i="22"/>
  <c r="BH88" i="22"/>
  <c r="BI88" i="22"/>
  <c r="BJ88" i="22"/>
  <c r="BK88" i="22"/>
  <c r="BL88" i="22"/>
  <c r="BM88" i="22"/>
  <c r="BN88" i="22"/>
  <c r="BO88" i="22"/>
  <c r="BH89" i="22"/>
  <c r="BI89" i="22"/>
  <c r="BJ89" i="22"/>
  <c r="BK89" i="22"/>
  <c r="BL89" i="22"/>
  <c r="BM89" i="22"/>
  <c r="BN89" i="22"/>
  <c r="BO89" i="22"/>
  <c r="BH90" i="22"/>
  <c r="BI90" i="22"/>
  <c r="BJ90" i="22"/>
  <c r="BK90" i="22"/>
  <c r="BL90" i="22"/>
  <c r="BM90" i="22"/>
  <c r="BN90" i="22"/>
  <c r="BO90" i="22"/>
  <c r="BH91" i="22"/>
  <c r="BI91" i="22"/>
  <c r="BJ91" i="22"/>
  <c r="BK91" i="22"/>
  <c r="BL91" i="22"/>
  <c r="BM91" i="22"/>
  <c r="BN91" i="22"/>
  <c r="BO91" i="22"/>
  <c r="BH92" i="22"/>
  <c r="BI92" i="22"/>
  <c r="BJ92" i="22"/>
  <c r="BK92" i="22"/>
  <c r="BL92" i="22"/>
  <c r="BM92" i="22"/>
  <c r="BN92" i="22"/>
  <c r="BO92" i="22"/>
  <c r="BH93" i="22"/>
  <c r="BI93" i="22"/>
  <c r="BJ93" i="22"/>
  <c r="BK93" i="22"/>
  <c r="BL93" i="22"/>
  <c r="BM93" i="22"/>
  <c r="BN93" i="22"/>
  <c r="BO93" i="22"/>
  <c r="BH94" i="22"/>
  <c r="BI94" i="22"/>
  <c r="BJ94" i="22"/>
  <c r="BK94" i="22"/>
  <c r="BL94" i="22"/>
  <c r="BM94" i="22"/>
  <c r="BN94" i="22"/>
  <c r="BO94" i="22"/>
  <c r="BH95" i="22"/>
  <c r="BI95" i="22"/>
  <c r="BJ95" i="22"/>
  <c r="BK95" i="22"/>
  <c r="BL95" i="22"/>
  <c r="BM95" i="22"/>
  <c r="BN95" i="22"/>
  <c r="BO95" i="22"/>
  <c r="BH96" i="22"/>
  <c r="BI96" i="22"/>
  <c r="BJ96" i="22"/>
  <c r="BK96" i="22"/>
  <c r="BL96" i="22"/>
  <c r="BM96" i="22"/>
  <c r="BN96" i="22"/>
  <c r="BO96" i="22"/>
  <c r="BH97" i="22"/>
  <c r="BI97" i="22"/>
  <c r="BJ97" i="22"/>
  <c r="BK97" i="22"/>
  <c r="BL97" i="22"/>
  <c r="BM97" i="22"/>
  <c r="BN97" i="22"/>
  <c r="BO97" i="22"/>
  <c r="BH98" i="22"/>
  <c r="BI98" i="22"/>
  <c r="BJ98" i="22"/>
  <c r="BK98" i="22"/>
  <c r="BL98" i="22"/>
  <c r="BM98" i="22"/>
  <c r="BN98" i="22"/>
  <c r="BO98" i="22"/>
  <c r="BH99" i="22"/>
  <c r="BI99" i="22"/>
  <c r="BJ99" i="22"/>
  <c r="BK99" i="22"/>
  <c r="BL99" i="22"/>
  <c r="BM99" i="22"/>
  <c r="BN99" i="22"/>
  <c r="BO99" i="22"/>
  <c r="BH100" i="22"/>
  <c r="BI100" i="22"/>
  <c r="BJ100" i="22"/>
  <c r="BK100" i="22"/>
  <c r="BL100" i="22"/>
  <c r="BM100" i="22"/>
  <c r="BN100" i="22"/>
  <c r="BO100" i="22"/>
  <c r="BH101" i="22"/>
  <c r="BI101" i="22"/>
  <c r="BJ101" i="22"/>
  <c r="BK101" i="22"/>
  <c r="BL101" i="22"/>
  <c r="BM101" i="22"/>
  <c r="BN101" i="22"/>
  <c r="BO101" i="22"/>
  <c r="BH102" i="22"/>
  <c r="BI102" i="22"/>
  <c r="BJ102" i="22"/>
  <c r="BK102" i="22"/>
  <c r="BL102" i="22"/>
  <c r="BM102" i="22"/>
  <c r="BN102" i="22"/>
  <c r="BO102" i="22"/>
  <c r="BH103" i="22"/>
  <c r="BI103" i="22"/>
  <c r="BJ103" i="22"/>
  <c r="BK103" i="22"/>
  <c r="BL103" i="22"/>
  <c r="BM103" i="22"/>
  <c r="BN103" i="22"/>
  <c r="BO103" i="22"/>
  <c r="BH104" i="22"/>
  <c r="BI104" i="22"/>
  <c r="BJ104" i="22"/>
  <c r="BK104" i="22"/>
  <c r="BL104" i="22"/>
  <c r="BM104" i="22"/>
  <c r="BN104" i="22"/>
  <c r="BO104" i="22"/>
  <c r="BH105" i="22"/>
  <c r="BI105" i="22"/>
  <c r="BJ105" i="22"/>
  <c r="BK105" i="22"/>
  <c r="BL105" i="22"/>
  <c r="BM105" i="22"/>
  <c r="BN105" i="22"/>
  <c r="BO105" i="22"/>
  <c r="BH106" i="22"/>
  <c r="BI106" i="22"/>
  <c r="BJ106" i="22"/>
  <c r="BK106" i="22"/>
  <c r="BL106" i="22"/>
  <c r="BM106" i="22"/>
  <c r="BN106" i="22"/>
  <c r="BO106" i="22"/>
  <c r="BH107" i="22"/>
  <c r="BI107" i="22"/>
  <c r="BJ107" i="22"/>
  <c r="BK107" i="22"/>
  <c r="BL107" i="22"/>
  <c r="BM107" i="22"/>
  <c r="BN107" i="22"/>
  <c r="BO107" i="22"/>
  <c r="BH108" i="22"/>
  <c r="BI108" i="22"/>
  <c r="BJ108" i="22"/>
  <c r="BK108" i="22"/>
  <c r="BL108" i="22"/>
  <c r="BM108" i="22"/>
  <c r="BN108" i="22"/>
  <c r="BO108" i="22"/>
  <c r="BH109" i="22"/>
  <c r="BI109" i="22"/>
  <c r="BJ109" i="22"/>
  <c r="BK109" i="22"/>
  <c r="BL109" i="22"/>
  <c r="BM109" i="22"/>
  <c r="BN109" i="22"/>
  <c r="BO109" i="22"/>
  <c r="BH110" i="22"/>
  <c r="BI110" i="22"/>
  <c r="BJ110" i="22"/>
  <c r="BK110" i="22"/>
  <c r="BL110" i="22"/>
  <c r="BM110" i="22"/>
  <c r="BN110" i="22"/>
  <c r="BO110" i="22"/>
  <c r="BG12" i="22"/>
  <c r="BG13" i="22"/>
  <c r="BG14" i="22"/>
  <c r="BG15" i="22"/>
  <c r="BG16" i="22"/>
  <c r="BG17" i="22"/>
  <c r="BG18" i="22"/>
  <c r="BG19" i="22"/>
  <c r="BG20" i="22"/>
  <c r="BG21" i="22"/>
  <c r="BG22" i="22"/>
  <c r="BG23" i="22"/>
  <c r="BG24" i="22"/>
  <c r="BG25" i="22"/>
  <c r="BG26" i="22"/>
  <c r="BG27" i="22"/>
  <c r="BG28" i="22"/>
  <c r="BG29" i="22"/>
  <c r="BG30" i="22"/>
  <c r="BG31" i="22"/>
  <c r="BG32" i="22"/>
  <c r="BG33" i="22"/>
  <c r="BG34" i="22"/>
  <c r="BG35" i="22"/>
  <c r="BG36" i="22"/>
  <c r="BG37" i="22"/>
  <c r="BG38" i="22"/>
  <c r="BG39" i="22"/>
  <c r="BG40" i="22"/>
  <c r="BG41" i="22"/>
  <c r="BG42" i="22"/>
  <c r="BG43" i="22"/>
  <c r="BG44" i="22"/>
  <c r="BG45" i="22"/>
  <c r="BG46" i="22"/>
  <c r="BG47" i="22"/>
  <c r="BG48" i="22"/>
  <c r="BG49" i="22"/>
  <c r="BG50" i="22"/>
  <c r="BG51" i="22"/>
  <c r="BG52" i="22"/>
  <c r="BG53" i="22"/>
  <c r="BG54" i="22"/>
  <c r="BG55" i="22"/>
  <c r="BG56" i="22"/>
  <c r="BG57" i="22"/>
  <c r="BG58" i="22"/>
  <c r="BG59" i="22"/>
  <c r="BG60" i="22"/>
  <c r="BG61" i="22"/>
  <c r="BG62" i="22"/>
  <c r="BG63" i="22"/>
  <c r="BG64" i="22"/>
  <c r="BG65" i="22"/>
  <c r="BG66" i="22"/>
  <c r="BG67" i="22"/>
  <c r="BG68" i="22"/>
  <c r="BG69" i="22"/>
  <c r="BG70" i="22"/>
  <c r="BG71" i="22"/>
  <c r="BG72" i="22"/>
  <c r="BG73" i="22"/>
  <c r="BG74" i="22"/>
  <c r="BG75" i="22"/>
  <c r="BG76" i="22"/>
  <c r="BG77" i="22"/>
  <c r="BG78" i="22"/>
  <c r="BG79" i="22"/>
  <c r="BG80" i="22"/>
  <c r="BG81" i="22"/>
  <c r="BG82" i="22"/>
  <c r="BG83" i="22"/>
  <c r="BG84" i="22"/>
  <c r="BG85" i="22"/>
  <c r="BG86" i="22"/>
  <c r="BG87" i="22"/>
  <c r="BG88" i="22"/>
  <c r="BG89" i="22"/>
  <c r="BG90" i="22"/>
  <c r="BG91" i="22"/>
  <c r="BG92" i="22"/>
  <c r="BG93" i="22"/>
  <c r="BG94" i="22"/>
  <c r="BG95" i="22"/>
  <c r="BG96" i="22"/>
  <c r="BG97" i="22"/>
  <c r="BG98" i="22"/>
  <c r="BG99" i="22"/>
  <c r="BG100" i="22"/>
  <c r="BG101" i="22"/>
  <c r="BG102" i="22"/>
  <c r="BG103" i="22"/>
  <c r="BG104" i="22"/>
  <c r="BG105" i="22"/>
  <c r="BG106" i="22"/>
  <c r="BG107" i="22"/>
  <c r="BG108" i="22"/>
  <c r="BG109" i="22"/>
  <c r="BG110" i="22"/>
  <c r="BC12" i="22"/>
  <c r="BC12" i="23" s="1"/>
  <c r="BD12" i="22"/>
  <c r="BD12" i="23" s="1"/>
  <c r="BC13" i="22"/>
  <c r="BC13" i="23" s="1"/>
  <c r="BD13" i="22"/>
  <c r="BD13" i="23" s="1"/>
  <c r="BC14" i="22"/>
  <c r="BC14" i="23" s="1"/>
  <c r="BD14" i="22"/>
  <c r="BD14" i="23" s="1"/>
  <c r="BC15" i="22"/>
  <c r="BC15" i="23" s="1"/>
  <c r="BD15" i="22"/>
  <c r="BD15" i="23" s="1"/>
  <c r="BC16" i="22"/>
  <c r="BC16" i="23" s="1"/>
  <c r="BD16" i="22"/>
  <c r="BD16" i="23" s="1"/>
  <c r="BC17" i="22"/>
  <c r="BC17" i="23" s="1"/>
  <c r="BD17" i="22"/>
  <c r="BD17" i="23" s="1"/>
  <c r="BC18" i="22"/>
  <c r="BC18" i="23" s="1"/>
  <c r="BD18" i="22"/>
  <c r="BD18" i="23" s="1"/>
  <c r="BC19" i="22"/>
  <c r="BC19" i="23" s="1"/>
  <c r="BD19" i="22"/>
  <c r="BD19" i="23" s="1"/>
  <c r="BC20" i="22"/>
  <c r="BC20" i="23" s="1"/>
  <c r="BD20" i="22"/>
  <c r="BD20" i="23" s="1"/>
  <c r="BC21" i="22"/>
  <c r="BC21" i="23" s="1"/>
  <c r="BD21" i="22"/>
  <c r="BD21" i="23" s="1"/>
  <c r="BC22" i="22"/>
  <c r="BC22" i="23" s="1"/>
  <c r="BD22" i="22"/>
  <c r="BD22" i="23" s="1"/>
  <c r="BC23" i="22"/>
  <c r="BC23" i="23" s="1"/>
  <c r="BD23" i="22"/>
  <c r="BD23" i="23" s="1"/>
  <c r="BC24" i="22"/>
  <c r="BC24" i="23" s="1"/>
  <c r="BD24" i="22"/>
  <c r="BD24" i="23" s="1"/>
  <c r="BC25" i="22"/>
  <c r="BC25" i="23" s="1"/>
  <c r="BD25" i="22"/>
  <c r="BD25" i="23" s="1"/>
  <c r="BC26" i="22"/>
  <c r="BC26" i="23" s="1"/>
  <c r="BD26" i="22"/>
  <c r="BD26" i="23" s="1"/>
  <c r="BC27" i="22"/>
  <c r="BC27" i="23" s="1"/>
  <c r="BD27" i="22"/>
  <c r="BD27" i="23" s="1"/>
  <c r="BC28" i="22"/>
  <c r="BC28" i="23" s="1"/>
  <c r="BD28" i="22"/>
  <c r="BD28" i="23" s="1"/>
  <c r="BC29" i="22"/>
  <c r="BC29" i="23" s="1"/>
  <c r="BD29" i="22"/>
  <c r="BD29" i="23" s="1"/>
  <c r="BC30" i="22"/>
  <c r="BC30" i="23" s="1"/>
  <c r="BD30" i="22"/>
  <c r="BD30" i="23" s="1"/>
  <c r="AV13" i="14"/>
  <c r="AW13" i="14"/>
  <c r="AX13" i="14"/>
  <c r="AY13" i="14"/>
  <c r="AV14" i="14"/>
  <c r="AW14" i="14"/>
  <c r="AX14" i="14"/>
  <c r="AY14" i="14"/>
  <c r="AV15" i="14"/>
  <c r="AW15" i="14"/>
  <c r="AX15" i="14"/>
  <c r="AY15" i="14"/>
  <c r="AV16" i="14"/>
  <c r="AW16" i="14"/>
  <c r="AX16" i="14"/>
  <c r="AY16" i="14"/>
  <c r="AV17" i="14"/>
  <c r="AW17" i="14"/>
  <c r="AX17" i="14"/>
  <c r="AY17" i="14"/>
  <c r="AV18" i="14"/>
  <c r="AW18" i="14"/>
  <c r="AX18" i="14"/>
  <c r="AY18" i="14"/>
  <c r="AV19" i="14"/>
  <c r="AW19" i="14"/>
  <c r="AX19" i="14"/>
  <c r="AY19" i="14"/>
  <c r="AV20" i="14"/>
  <c r="AW20" i="14"/>
  <c r="AX20" i="14"/>
  <c r="AY20" i="14"/>
  <c r="AV21" i="14"/>
  <c r="AW21" i="14"/>
  <c r="AX21" i="14"/>
  <c r="AY21" i="14"/>
  <c r="AV22" i="14"/>
  <c r="AW22" i="14"/>
  <c r="AX22" i="14"/>
  <c r="AY22" i="14"/>
  <c r="AV23" i="14"/>
  <c r="AW23" i="14"/>
  <c r="AX23" i="14"/>
  <c r="AY23" i="14"/>
  <c r="AV24" i="14"/>
  <c r="AW24" i="14"/>
  <c r="AX24" i="14"/>
  <c r="AY24" i="14"/>
  <c r="AV25" i="14"/>
  <c r="AW25" i="14"/>
  <c r="AX25" i="14"/>
  <c r="AY25" i="14"/>
  <c r="AV26" i="14"/>
  <c r="AW26" i="14"/>
  <c r="AX26" i="14"/>
  <c r="AY26" i="14"/>
  <c r="AV27" i="14"/>
  <c r="AW27" i="14"/>
  <c r="AX27" i="14"/>
  <c r="AY27" i="14"/>
  <c r="AV28" i="14"/>
  <c r="AW28" i="14"/>
  <c r="AX28" i="14"/>
  <c r="AY28" i="14"/>
  <c r="AV29" i="14"/>
  <c r="AW29" i="14"/>
  <c r="AX29" i="14"/>
  <c r="AY29" i="14"/>
  <c r="AV30" i="14"/>
  <c r="AW30" i="14"/>
  <c r="AX30" i="14"/>
  <c r="AY30" i="14"/>
  <c r="AV31" i="14"/>
  <c r="AW31" i="14"/>
  <c r="AX31" i="14"/>
  <c r="AY31" i="14"/>
  <c r="AV32" i="14"/>
  <c r="AW32" i="14"/>
  <c r="AX32" i="14"/>
  <c r="AY32" i="14"/>
  <c r="AV33" i="14"/>
  <c r="AW33" i="14"/>
  <c r="AX33" i="14"/>
  <c r="AY33" i="14"/>
  <c r="AV34" i="14"/>
  <c r="AW34" i="14"/>
  <c r="AX34" i="14"/>
  <c r="AY34" i="14"/>
  <c r="AV35" i="14"/>
  <c r="AW35" i="14"/>
  <c r="AX35" i="14"/>
  <c r="AY35" i="14"/>
  <c r="AV36" i="14"/>
  <c r="AW36" i="14"/>
  <c r="AX36" i="14"/>
  <c r="AY36" i="14"/>
  <c r="AV37" i="14"/>
  <c r="AW37" i="14"/>
  <c r="AX37" i="14"/>
  <c r="AY37" i="14"/>
  <c r="AV38" i="14"/>
  <c r="AW38" i="14"/>
  <c r="AX38" i="14"/>
  <c r="AY38" i="14"/>
  <c r="AV39" i="14"/>
  <c r="AW39" i="14"/>
  <c r="AX39" i="14"/>
  <c r="AY39" i="14"/>
  <c r="AV40" i="14"/>
  <c r="AW40" i="14"/>
  <c r="AX40" i="14"/>
  <c r="AY40" i="14"/>
  <c r="AV41" i="14"/>
  <c r="AW41" i="14"/>
  <c r="AX41" i="14"/>
  <c r="AY41" i="14"/>
  <c r="AV42" i="14"/>
  <c r="AW42" i="14"/>
  <c r="AX42" i="14"/>
  <c r="AY42" i="14"/>
  <c r="AV43" i="14"/>
  <c r="AW43" i="14"/>
  <c r="AX43" i="14"/>
  <c r="AY43" i="14"/>
  <c r="AV44" i="14"/>
  <c r="AW44" i="14"/>
  <c r="AX44" i="14"/>
  <c r="AY44" i="14"/>
  <c r="AV45" i="14"/>
  <c r="AW45" i="14"/>
  <c r="AX45" i="14"/>
  <c r="AY45" i="14"/>
  <c r="AV46" i="14"/>
  <c r="AW46" i="14"/>
  <c r="AX46" i="14"/>
  <c r="AY46" i="14"/>
  <c r="AV47" i="14"/>
  <c r="AW47" i="14"/>
  <c r="AX47" i="14"/>
  <c r="AY47" i="14"/>
  <c r="AV48" i="14"/>
  <c r="AW48" i="14"/>
  <c r="AX48" i="14"/>
  <c r="AY48" i="14"/>
  <c r="AV49" i="14"/>
  <c r="AW49" i="14"/>
  <c r="AX49" i="14"/>
  <c r="AY49" i="14"/>
  <c r="AV50" i="14"/>
  <c r="AW50" i="14"/>
  <c r="AX50" i="14"/>
  <c r="AY50" i="14"/>
  <c r="AV51" i="14"/>
  <c r="AW51" i="14"/>
  <c r="AX51" i="14"/>
  <c r="AY51" i="14"/>
  <c r="AV52" i="14"/>
  <c r="AW52" i="14"/>
  <c r="AX52" i="14"/>
  <c r="AY52" i="14"/>
  <c r="AV53" i="14"/>
  <c r="AW53" i="14"/>
  <c r="AX53" i="14"/>
  <c r="AY53" i="14"/>
  <c r="AV54" i="14"/>
  <c r="AW54" i="14"/>
  <c r="AX54" i="14"/>
  <c r="AY54" i="14"/>
  <c r="AV55" i="14"/>
  <c r="AW55" i="14"/>
  <c r="AX55" i="14"/>
  <c r="AY55" i="14"/>
  <c r="AV56" i="14"/>
  <c r="AW56" i="14"/>
  <c r="AX56" i="14"/>
  <c r="AY56" i="14"/>
  <c r="AV57" i="14"/>
  <c r="AW57" i="14"/>
  <c r="AX57" i="14"/>
  <c r="AY57" i="14"/>
  <c r="AV58" i="14"/>
  <c r="AW58" i="14"/>
  <c r="AX58" i="14"/>
  <c r="AY58" i="14"/>
  <c r="AV59" i="14"/>
  <c r="AW59" i="14"/>
  <c r="AX59" i="14"/>
  <c r="AY59" i="14"/>
  <c r="AV60" i="14"/>
  <c r="AW60" i="14"/>
  <c r="AX60" i="14"/>
  <c r="AY60" i="14"/>
  <c r="AV61" i="14"/>
  <c r="AW61" i="14"/>
  <c r="AX61" i="14"/>
  <c r="AY61" i="14"/>
  <c r="AV62" i="14"/>
  <c r="AW62" i="14"/>
  <c r="AX62" i="14"/>
  <c r="AY62" i="14"/>
  <c r="AV63" i="14"/>
  <c r="AW63" i="14"/>
  <c r="AX63" i="14"/>
  <c r="AY63" i="14"/>
  <c r="AV64" i="14"/>
  <c r="AW64" i="14"/>
  <c r="AX64" i="14"/>
  <c r="AY64" i="14"/>
  <c r="AV65" i="14"/>
  <c r="AW65" i="14"/>
  <c r="AX65" i="14"/>
  <c r="AY65" i="14"/>
  <c r="AV66" i="14"/>
  <c r="AW66" i="14"/>
  <c r="AX66" i="14"/>
  <c r="AY66" i="14"/>
  <c r="AV67" i="14"/>
  <c r="AW67" i="14"/>
  <c r="AX67" i="14"/>
  <c r="AY67" i="14"/>
  <c r="AV68" i="14"/>
  <c r="AW68" i="14"/>
  <c r="AX68" i="14"/>
  <c r="AY68" i="14"/>
  <c r="AV69" i="14"/>
  <c r="AW69" i="14"/>
  <c r="AX69" i="14"/>
  <c r="AY69" i="14"/>
  <c r="AV70" i="14"/>
  <c r="AW70" i="14"/>
  <c r="AX70" i="14"/>
  <c r="AY70" i="14"/>
  <c r="AV71" i="14"/>
  <c r="AW71" i="14"/>
  <c r="AX71" i="14"/>
  <c r="AY71" i="14"/>
  <c r="AV72" i="14"/>
  <c r="AW72" i="14"/>
  <c r="AX72" i="14"/>
  <c r="AY72" i="14"/>
  <c r="AV73" i="14"/>
  <c r="AW73" i="14"/>
  <c r="AX73" i="14"/>
  <c r="AY73" i="14"/>
  <c r="AV74" i="14"/>
  <c r="AW74" i="14"/>
  <c r="AX74" i="14"/>
  <c r="AY74" i="14"/>
  <c r="AV75" i="14"/>
  <c r="AW75" i="14"/>
  <c r="AX75" i="14"/>
  <c r="AY75" i="14"/>
  <c r="AV76" i="14"/>
  <c r="AW76" i="14"/>
  <c r="AX76" i="14"/>
  <c r="AY76" i="14"/>
  <c r="AV77" i="14"/>
  <c r="AW77" i="14"/>
  <c r="AX77" i="14"/>
  <c r="AY77" i="14"/>
  <c r="AV78" i="14"/>
  <c r="AW78" i="14"/>
  <c r="AX78" i="14"/>
  <c r="AY78" i="14"/>
  <c r="AV79" i="14"/>
  <c r="AW79" i="14"/>
  <c r="AX79" i="14"/>
  <c r="AY79" i="14"/>
  <c r="AV80" i="14"/>
  <c r="AW80" i="14"/>
  <c r="AX80" i="14"/>
  <c r="AY80" i="14"/>
  <c r="AV81" i="14"/>
  <c r="AW81" i="14"/>
  <c r="AX81" i="14"/>
  <c r="AY81" i="14"/>
  <c r="AV82" i="14"/>
  <c r="AW82" i="14"/>
  <c r="AX82" i="14"/>
  <c r="AY82" i="14"/>
  <c r="AV83" i="14"/>
  <c r="AW83" i="14"/>
  <c r="AX83" i="14"/>
  <c r="AY83" i="14"/>
  <c r="AV84" i="14"/>
  <c r="AW84" i="14"/>
  <c r="AX84" i="14"/>
  <c r="AY84" i="14"/>
  <c r="AV85" i="14"/>
  <c r="AW85" i="14"/>
  <c r="AX85" i="14"/>
  <c r="AY85" i="14"/>
  <c r="AV86" i="14"/>
  <c r="AW86" i="14"/>
  <c r="AX86" i="14"/>
  <c r="AY86" i="14"/>
  <c r="AV87" i="14"/>
  <c r="AW87" i="14"/>
  <c r="AX87" i="14"/>
  <c r="AY87" i="14"/>
  <c r="AV88" i="14"/>
  <c r="AW88" i="14"/>
  <c r="AX88" i="14"/>
  <c r="AY88" i="14"/>
  <c r="AV89" i="14"/>
  <c r="AW89" i="14"/>
  <c r="AX89" i="14"/>
  <c r="AY89" i="14"/>
  <c r="AV90" i="14"/>
  <c r="AW90" i="14"/>
  <c r="AX90" i="14"/>
  <c r="AY90" i="14"/>
  <c r="AV91" i="14"/>
  <c r="AW91" i="14"/>
  <c r="AX91" i="14"/>
  <c r="AY91" i="14"/>
  <c r="AV92" i="14"/>
  <c r="AW92" i="14"/>
  <c r="AX92" i="14"/>
  <c r="AY92" i="14"/>
  <c r="AV93" i="14"/>
  <c r="AW93" i="14"/>
  <c r="AX93" i="14"/>
  <c r="AY93" i="14"/>
  <c r="AV94" i="14"/>
  <c r="AW94" i="14"/>
  <c r="AX94" i="14"/>
  <c r="AY94" i="14"/>
  <c r="AV95" i="14"/>
  <c r="AW95" i="14"/>
  <c r="AX95" i="14"/>
  <c r="AY95" i="14"/>
  <c r="AV96" i="14"/>
  <c r="AW96" i="14"/>
  <c r="AX96" i="14"/>
  <c r="AY96" i="14"/>
  <c r="AV97" i="14"/>
  <c r="AW97" i="14"/>
  <c r="AX97" i="14"/>
  <c r="AY97" i="14"/>
  <c r="AV98" i="14"/>
  <c r="AW98" i="14"/>
  <c r="AX98" i="14"/>
  <c r="AY98" i="14"/>
  <c r="AV99" i="14"/>
  <c r="AW99" i="14"/>
  <c r="AX99" i="14"/>
  <c r="AY99" i="14"/>
  <c r="AV100" i="14"/>
  <c r="AW100" i="14"/>
  <c r="AX100" i="14"/>
  <c r="AY100" i="14"/>
  <c r="AV101" i="14"/>
  <c r="AW101" i="14"/>
  <c r="AX101" i="14"/>
  <c r="AY101" i="14"/>
  <c r="AV102" i="14"/>
  <c r="AW102" i="14"/>
  <c r="AX102" i="14"/>
  <c r="AY102" i="14"/>
  <c r="AV103" i="14"/>
  <c r="AW103" i="14"/>
  <c r="AX103" i="14"/>
  <c r="AY103" i="14"/>
  <c r="AV104" i="14"/>
  <c r="AW104" i="14"/>
  <c r="AX104" i="14"/>
  <c r="AY104" i="14"/>
  <c r="AV105" i="14"/>
  <c r="AW105" i="14"/>
  <c r="AX105" i="14"/>
  <c r="AY105" i="14"/>
  <c r="AV106" i="14"/>
  <c r="AW106" i="14"/>
  <c r="AX106" i="14"/>
  <c r="AY106" i="14"/>
  <c r="AV107" i="14"/>
  <c r="AW107" i="14"/>
  <c r="AX107" i="14"/>
  <c r="AY107" i="14"/>
  <c r="AV108" i="14"/>
  <c r="AW108" i="14"/>
  <c r="AX108" i="14"/>
  <c r="AY108" i="14"/>
  <c r="AV109" i="14"/>
  <c r="AW109" i="14"/>
  <c r="AX109" i="14"/>
  <c r="AY109" i="14"/>
  <c r="AV110" i="14"/>
  <c r="AW110" i="14"/>
  <c r="AX110" i="14"/>
  <c r="AY110" i="14"/>
  <c r="AV111" i="14"/>
  <c r="AW111" i="14"/>
  <c r="AX111" i="14"/>
  <c r="AY111" i="14"/>
  <c r="AV112" i="14"/>
  <c r="AW112" i="14"/>
  <c r="AX112" i="14"/>
  <c r="AY112" i="14"/>
  <c r="AV113" i="14"/>
  <c r="AW113" i="14"/>
  <c r="AX113" i="14"/>
  <c r="AY113" i="14"/>
  <c r="AV114" i="14"/>
  <c r="AW114" i="14"/>
  <c r="AX114" i="14"/>
  <c r="AY114" i="14"/>
  <c r="AV115" i="14"/>
  <c r="AW115" i="14"/>
  <c r="AX115" i="14"/>
  <c r="AY115" i="14"/>
  <c r="AV116" i="14"/>
  <c r="AW116" i="14"/>
  <c r="AX116" i="14"/>
  <c r="AY116" i="14"/>
  <c r="AV117" i="14"/>
  <c r="AW117" i="14"/>
  <c r="AX117" i="14"/>
  <c r="AY117" i="14"/>
  <c r="AV118" i="14"/>
  <c r="AW118" i="14"/>
  <c r="AX118" i="14"/>
  <c r="AY118" i="14"/>
  <c r="AV119" i="14"/>
  <c r="AW119" i="14"/>
  <c r="AX119" i="14"/>
  <c r="AY119" i="14"/>
  <c r="AV120" i="14"/>
  <c r="AW120" i="14"/>
  <c r="AX120" i="14"/>
  <c r="AY120" i="14"/>
  <c r="AV121" i="14"/>
  <c r="AW121" i="14"/>
  <c r="AX121" i="14"/>
  <c r="AY121" i="14"/>
  <c r="AV122" i="14"/>
  <c r="AW122" i="14"/>
  <c r="AX122" i="14"/>
  <c r="AY122" i="14"/>
  <c r="AV123" i="14"/>
  <c r="AW123" i="14"/>
  <c r="AX123" i="14"/>
  <c r="AY123" i="14"/>
  <c r="AV124" i="14"/>
  <c r="AW124" i="14"/>
  <c r="AX124" i="14"/>
  <c r="AY124" i="14"/>
  <c r="AV125" i="14"/>
  <c r="AW125" i="14"/>
  <c r="AX125" i="14"/>
  <c r="AY125" i="14"/>
  <c r="AV126" i="14"/>
  <c r="AW126" i="14"/>
  <c r="AX126" i="14"/>
  <c r="AY126" i="14"/>
  <c r="AV127" i="14"/>
  <c r="AW127" i="14"/>
  <c r="AX127" i="14"/>
  <c r="AY127" i="14"/>
  <c r="AV128" i="14"/>
  <c r="AW128" i="14"/>
  <c r="AX128" i="14"/>
  <c r="AY128" i="14"/>
  <c r="AV129" i="14"/>
  <c r="AW129" i="14"/>
  <c r="AX129" i="14"/>
  <c r="AY129" i="14"/>
  <c r="AV130" i="14"/>
  <c r="AW130" i="14"/>
  <c r="AX130" i="14"/>
  <c r="AY130" i="14"/>
  <c r="AV131" i="14"/>
  <c r="AW131" i="14"/>
  <c r="AX131" i="14"/>
  <c r="AY131" i="14"/>
  <c r="AV132" i="14"/>
  <c r="AW132" i="14"/>
  <c r="AX132" i="14"/>
  <c r="AY132" i="14"/>
  <c r="AV133" i="14"/>
  <c r="AW133" i="14"/>
  <c r="AX133" i="14"/>
  <c r="AY133" i="14"/>
  <c r="AV134" i="14"/>
  <c r="AW134" i="14"/>
  <c r="AX134" i="14"/>
  <c r="AY134" i="14"/>
  <c r="AV135" i="14"/>
  <c r="AW135" i="14"/>
  <c r="AX135" i="14"/>
  <c r="AY135" i="14"/>
  <c r="AV136" i="14"/>
  <c r="AW136" i="14"/>
  <c r="AX136" i="14"/>
  <c r="AY136" i="14"/>
  <c r="AV137" i="14"/>
  <c r="AW137" i="14"/>
  <c r="AX137" i="14"/>
  <c r="AY137" i="14"/>
  <c r="AV138" i="14"/>
  <c r="AW138" i="14"/>
  <c r="AX138" i="14"/>
  <c r="AY138" i="14"/>
  <c r="AV139" i="14"/>
  <c r="AW139" i="14"/>
  <c r="AX139" i="14"/>
  <c r="AY139" i="14"/>
  <c r="AV140" i="14"/>
  <c r="AW140" i="14"/>
  <c r="AX140" i="14"/>
  <c r="AY140" i="14"/>
  <c r="AV141" i="14"/>
  <c r="AW141" i="14"/>
  <c r="AX141" i="14"/>
  <c r="AY141" i="14"/>
  <c r="AV142" i="14"/>
  <c r="AW142" i="14"/>
  <c r="AX142" i="14"/>
  <c r="AY142" i="14"/>
  <c r="AV143" i="14"/>
  <c r="AW143" i="14"/>
  <c r="AX143" i="14"/>
  <c r="AY143" i="14"/>
  <c r="AV144" i="14"/>
  <c r="AW144" i="14"/>
  <c r="AX144" i="14"/>
  <c r="AY144" i="14"/>
  <c r="AV145" i="14"/>
  <c r="AW145" i="14"/>
  <c r="AX145" i="14"/>
  <c r="AY145" i="14"/>
  <c r="AV146" i="14"/>
  <c r="AW146" i="14"/>
  <c r="AX146" i="14"/>
  <c r="AY146" i="14"/>
  <c r="AV147" i="14"/>
  <c r="AW147" i="14"/>
  <c r="AX147" i="14"/>
  <c r="AY147" i="14"/>
  <c r="AV148" i="14"/>
  <c r="AW148" i="14"/>
  <c r="AX148" i="14"/>
  <c r="AY148" i="14"/>
  <c r="AV149" i="14"/>
  <c r="AW149" i="14"/>
  <c r="AX149" i="14"/>
  <c r="AY149" i="14"/>
  <c r="AV150" i="14"/>
  <c r="AW150" i="14"/>
  <c r="AX150" i="14"/>
  <c r="AY150" i="14"/>
  <c r="AV151" i="14"/>
  <c r="AW151" i="14"/>
  <c r="AX151" i="14"/>
  <c r="AY151" i="14"/>
  <c r="AV152" i="14"/>
  <c r="AW152" i="14"/>
  <c r="AX152" i="14"/>
  <c r="AY152" i="14"/>
  <c r="AV153" i="14"/>
  <c r="AW153" i="14"/>
  <c r="AX153" i="14"/>
  <c r="AY153" i="14"/>
  <c r="AV154" i="14"/>
  <c r="AW154" i="14"/>
  <c r="AX154" i="14"/>
  <c r="AY154" i="14"/>
  <c r="AV155" i="14"/>
  <c r="AW155" i="14"/>
  <c r="AX155" i="14"/>
  <c r="AY155" i="14"/>
  <c r="AV156" i="14"/>
  <c r="AW156" i="14"/>
  <c r="AX156" i="14"/>
  <c r="AY156" i="14"/>
  <c r="AV157" i="14"/>
  <c r="AW157" i="14"/>
  <c r="AX157" i="14"/>
  <c r="AY157" i="14"/>
  <c r="AV158" i="14"/>
  <c r="AW158" i="14"/>
  <c r="AX158" i="14"/>
  <c r="AY158" i="14"/>
  <c r="AV159" i="14"/>
  <c r="AW159" i="14"/>
  <c r="AX159" i="14"/>
  <c r="AY159" i="14"/>
  <c r="AV160" i="14"/>
  <c r="AW160" i="14"/>
  <c r="AX160" i="14"/>
  <c r="AY160" i="14"/>
  <c r="AV161" i="14"/>
  <c r="AW161" i="14"/>
  <c r="AX161" i="14"/>
  <c r="AY161" i="14"/>
  <c r="AV162" i="14"/>
  <c r="AW162" i="14"/>
  <c r="AX162" i="14"/>
  <c r="AY162" i="14"/>
  <c r="AV163" i="14"/>
  <c r="AW163" i="14"/>
  <c r="AX163" i="14"/>
  <c r="AY163" i="14"/>
  <c r="AV164" i="14"/>
  <c r="AW164" i="14"/>
  <c r="AX164" i="14"/>
  <c r="AY164" i="14"/>
  <c r="AV165" i="14"/>
  <c r="AW165" i="14"/>
  <c r="AX165" i="14"/>
  <c r="AY165" i="14"/>
  <c r="AV166" i="14"/>
  <c r="AW166" i="14"/>
  <c r="AX166" i="14"/>
  <c r="AY166" i="14"/>
  <c r="AV167" i="14"/>
  <c r="AW167" i="14"/>
  <c r="AX167" i="14"/>
  <c r="AY167" i="14"/>
  <c r="AV168" i="14"/>
  <c r="AW168" i="14"/>
  <c r="AX168" i="14"/>
  <c r="AY168" i="14"/>
  <c r="AV169" i="14"/>
  <c r="AW169" i="14"/>
  <c r="AX169" i="14"/>
  <c r="AY169" i="14"/>
  <c r="AV170" i="14"/>
  <c r="AW170" i="14"/>
  <c r="AX170" i="14"/>
  <c r="AY170" i="14"/>
  <c r="AV171" i="14"/>
  <c r="AW171" i="14"/>
  <c r="AX171" i="14"/>
  <c r="AY171" i="14"/>
  <c r="AV172" i="14"/>
  <c r="AW172" i="14"/>
  <c r="AX172" i="14"/>
  <c r="AY172" i="14"/>
  <c r="AV173" i="14"/>
  <c r="AW173" i="14"/>
  <c r="AX173" i="14"/>
  <c r="AY173" i="14"/>
  <c r="AV174" i="14"/>
  <c r="AW174" i="14"/>
  <c r="AX174" i="14"/>
  <c r="AY174" i="14"/>
  <c r="AV175" i="14"/>
  <c r="AW175" i="14"/>
  <c r="AX175" i="14"/>
  <c r="AY175" i="14"/>
  <c r="AV176" i="14"/>
  <c r="AW176" i="14"/>
  <c r="AX176" i="14"/>
  <c r="AY176" i="14"/>
  <c r="AV177" i="14"/>
  <c r="AW177" i="14"/>
  <c r="AX177" i="14"/>
  <c r="AY177" i="14"/>
  <c r="AV178" i="14"/>
  <c r="AW178" i="14"/>
  <c r="AX178" i="14"/>
  <c r="AY178" i="14"/>
  <c r="AV179" i="14"/>
  <c r="AW179" i="14"/>
  <c r="AX179" i="14"/>
  <c r="AY179" i="14"/>
  <c r="AV180" i="14"/>
  <c r="AW180" i="14"/>
  <c r="AX180" i="14"/>
  <c r="AY180" i="14"/>
  <c r="AV181" i="14"/>
  <c r="AW181" i="14"/>
  <c r="AX181" i="14"/>
  <c r="AY181" i="14"/>
  <c r="AV182" i="14"/>
  <c r="AW182" i="14"/>
  <c r="AX182" i="14"/>
  <c r="AY182" i="14"/>
  <c r="AV183" i="14"/>
  <c r="AW183" i="14"/>
  <c r="AX183" i="14"/>
  <c r="AY183" i="14"/>
  <c r="AV184" i="14"/>
  <c r="AW184" i="14"/>
  <c r="AX184" i="14"/>
  <c r="AY184" i="14"/>
  <c r="AV185" i="14"/>
  <c r="AW185" i="14"/>
  <c r="AX185" i="14"/>
  <c r="AY185" i="14"/>
  <c r="AV186" i="14"/>
  <c r="AW186" i="14"/>
  <c r="AX186" i="14"/>
  <c r="AY186" i="14"/>
  <c r="AV187" i="14"/>
  <c r="AW187" i="14"/>
  <c r="AX187" i="14"/>
  <c r="AY187" i="14"/>
  <c r="AV188" i="14"/>
  <c r="AW188" i="14"/>
  <c r="AX188" i="14"/>
  <c r="AY188" i="14"/>
  <c r="AV189" i="14"/>
  <c r="AW189" i="14"/>
  <c r="AX189" i="14"/>
  <c r="AY189" i="14"/>
  <c r="AV190" i="14"/>
  <c r="AW190" i="14"/>
  <c r="AX190" i="14"/>
  <c r="AY190" i="14"/>
  <c r="AV191" i="14"/>
  <c r="AW191" i="14"/>
  <c r="AX191" i="14"/>
  <c r="AY191" i="14"/>
  <c r="AV192" i="14"/>
  <c r="AW192" i="14"/>
  <c r="AX192" i="14"/>
  <c r="AY192" i="14"/>
  <c r="AV193" i="14"/>
  <c r="AW193" i="14"/>
  <c r="AX193" i="14"/>
  <c r="AY193" i="14"/>
  <c r="AV194" i="14"/>
  <c r="AW194" i="14"/>
  <c r="AX194" i="14"/>
  <c r="AY194" i="14"/>
  <c r="AV195" i="14"/>
  <c r="AW195" i="14"/>
  <c r="AX195" i="14"/>
  <c r="AY195" i="14"/>
  <c r="AV196" i="14"/>
  <c r="AW196" i="14"/>
  <c r="AX196" i="14"/>
  <c r="AY196" i="14"/>
  <c r="AV197" i="14"/>
  <c r="AW197" i="14"/>
  <c r="AX197" i="14"/>
  <c r="AY197" i="14"/>
  <c r="AV198" i="14"/>
  <c r="AW198" i="14"/>
  <c r="AX198" i="14"/>
  <c r="AY198" i="14"/>
  <c r="AV199" i="14"/>
  <c r="AW199" i="14"/>
  <c r="AX199" i="14"/>
  <c r="AY199" i="14"/>
  <c r="AV200" i="14"/>
  <c r="AW200" i="14"/>
  <c r="AX200" i="14"/>
  <c r="AY200" i="14"/>
  <c r="AV201" i="14"/>
  <c r="AW201" i="14"/>
  <c r="AX201" i="14"/>
  <c r="AY201" i="14"/>
  <c r="AV202" i="14"/>
  <c r="AW202" i="14"/>
  <c r="AX202" i="14"/>
  <c r="AY202" i="14"/>
  <c r="AV203" i="14"/>
  <c r="AW203" i="14"/>
  <c r="AX203" i="14"/>
  <c r="AY203" i="14"/>
  <c r="AV204" i="14"/>
  <c r="AW204" i="14"/>
  <c r="AX204" i="14"/>
  <c r="AY204" i="14"/>
  <c r="AV205" i="14"/>
  <c r="AW205" i="14"/>
  <c r="AX205" i="14"/>
  <c r="AY205" i="14"/>
  <c r="AV206" i="14"/>
  <c r="AW206" i="14"/>
  <c r="AX206" i="14"/>
  <c r="AY206" i="14"/>
  <c r="AV207" i="14"/>
  <c r="AW207" i="14"/>
  <c r="AX207" i="14"/>
  <c r="AY207" i="14"/>
  <c r="AV208" i="14"/>
  <c r="AW208" i="14"/>
  <c r="AX208" i="14"/>
  <c r="AY208" i="14"/>
  <c r="AV209" i="14"/>
  <c r="AW209" i="14"/>
  <c r="AX209" i="14"/>
  <c r="AY209" i="14"/>
  <c r="AV210" i="14"/>
  <c r="AW210" i="14"/>
  <c r="AX210" i="14"/>
  <c r="AY210" i="14"/>
  <c r="AV211" i="14"/>
  <c r="AW211" i="14"/>
  <c r="AX211" i="14"/>
  <c r="AY211" i="14"/>
  <c r="AV212" i="14"/>
  <c r="AW212" i="14"/>
  <c r="AX212" i="14"/>
  <c r="AY212" i="14"/>
  <c r="AV213" i="14"/>
  <c r="AW213" i="14"/>
  <c r="AX213" i="14"/>
  <c r="AY213" i="14"/>
  <c r="AV214" i="14"/>
  <c r="AW214" i="14"/>
  <c r="AX214" i="14"/>
  <c r="AY214" i="14"/>
  <c r="AV215" i="14"/>
  <c r="AW215" i="14"/>
  <c r="AX215" i="14"/>
  <c r="AY215" i="14"/>
  <c r="AV216" i="14"/>
  <c r="AW216" i="14"/>
  <c r="AX216" i="14"/>
  <c r="AY216" i="14"/>
  <c r="AV217" i="14"/>
  <c r="AW217" i="14"/>
  <c r="AX217" i="14"/>
  <c r="AY217" i="14"/>
  <c r="AV218" i="14"/>
  <c r="AW218" i="14"/>
  <c r="AX218" i="14"/>
  <c r="AY218" i="14"/>
  <c r="AV219" i="14"/>
  <c r="AW219" i="14"/>
  <c r="AX219" i="14"/>
  <c r="AY219" i="14"/>
  <c r="AV220" i="14"/>
  <c r="AW220" i="14"/>
  <c r="AX220" i="14"/>
  <c r="AY220" i="14"/>
  <c r="AV221" i="14"/>
  <c r="AW221" i="14"/>
  <c r="AX221" i="14"/>
  <c r="AY221" i="14"/>
  <c r="AV222" i="14"/>
  <c r="AW222" i="14"/>
  <c r="AX222" i="14"/>
  <c r="AY222" i="14"/>
  <c r="AV223" i="14"/>
  <c r="AW223" i="14"/>
  <c r="AX223" i="14"/>
  <c r="AY223" i="14"/>
  <c r="AV224" i="14"/>
  <c r="AW224" i="14"/>
  <c r="AX224" i="14"/>
  <c r="AY224" i="14"/>
  <c r="AV225" i="14"/>
  <c r="AW225" i="14"/>
  <c r="AX225" i="14"/>
  <c r="AY225" i="14"/>
  <c r="AV226" i="14"/>
  <c r="AW226" i="14"/>
  <c r="AX226" i="14"/>
  <c r="AY226" i="14"/>
  <c r="AV227" i="14"/>
  <c r="AW227" i="14"/>
  <c r="AX227" i="14"/>
  <c r="AY227" i="14"/>
  <c r="AV228" i="14"/>
  <c r="AW228" i="14"/>
  <c r="AX228" i="14"/>
  <c r="AY228" i="14"/>
  <c r="AV229" i="14"/>
  <c r="AW229" i="14"/>
  <c r="AX229" i="14"/>
  <c r="AY229" i="14"/>
  <c r="AV230" i="14"/>
  <c r="AW230" i="14"/>
  <c r="AX230" i="14"/>
  <c r="AY230" i="14"/>
  <c r="AV231" i="14"/>
  <c r="AW231" i="14"/>
  <c r="AX231" i="14"/>
  <c r="AY231" i="14"/>
  <c r="AV232" i="14"/>
  <c r="AW232" i="14"/>
  <c r="AX232" i="14"/>
  <c r="AY232" i="14"/>
  <c r="AV233" i="14"/>
  <c r="AW233" i="14"/>
  <c r="AX233" i="14"/>
  <c r="AY233" i="14"/>
  <c r="AV234" i="14"/>
  <c r="AW234" i="14"/>
  <c r="AX234" i="14"/>
  <c r="AY234" i="14"/>
  <c r="AV235" i="14"/>
  <c r="AW235" i="14"/>
  <c r="AX235" i="14"/>
  <c r="AY235" i="14"/>
  <c r="AV236" i="14"/>
  <c r="AW236" i="14"/>
  <c r="AX236" i="14"/>
  <c r="AY236" i="14"/>
  <c r="AV237" i="14"/>
  <c r="AW237" i="14"/>
  <c r="AX237" i="14"/>
  <c r="AY237" i="14"/>
  <c r="AV238" i="14"/>
  <c r="AW238" i="14"/>
  <c r="AX238" i="14"/>
  <c r="AY238" i="14"/>
  <c r="AV239" i="14"/>
  <c r="AW239" i="14"/>
  <c r="AX239" i="14"/>
  <c r="AY239" i="14"/>
  <c r="AV240" i="14"/>
  <c r="AW240" i="14"/>
  <c r="AX240" i="14"/>
  <c r="AY240" i="14"/>
  <c r="AV241" i="14"/>
  <c r="AW241" i="14"/>
  <c r="AX241" i="14"/>
  <c r="AY241" i="14"/>
  <c r="AV242" i="14"/>
  <c r="AW242" i="14"/>
  <c r="AX242" i="14"/>
  <c r="AY242" i="14"/>
  <c r="AV243" i="14"/>
  <c r="AW243" i="14"/>
  <c r="AX243" i="14"/>
  <c r="AY243" i="14"/>
  <c r="AV244" i="14"/>
  <c r="AW244" i="14"/>
  <c r="AX244" i="14"/>
  <c r="AY244" i="14"/>
  <c r="AV245" i="14"/>
  <c r="AW245" i="14"/>
  <c r="AX245" i="14"/>
  <c r="AY245" i="14"/>
  <c r="AV246" i="14"/>
  <c r="AW246" i="14"/>
  <c r="AX246" i="14"/>
  <c r="AY246" i="14"/>
  <c r="AV247" i="14"/>
  <c r="AW247" i="14"/>
  <c r="AX247" i="14"/>
  <c r="AY247" i="14"/>
  <c r="AV248" i="14"/>
  <c r="AW248" i="14"/>
  <c r="AX248" i="14"/>
  <c r="AY248" i="14"/>
  <c r="AV249" i="14"/>
  <c r="AW249" i="14"/>
  <c r="AX249" i="14"/>
  <c r="AY249" i="14"/>
  <c r="AV250" i="14"/>
  <c r="AW250" i="14"/>
  <c r="AX250" i="14"/>
  <c r="AY250" i="14"/>
  <c r="AV251" i="14"/>
  <c r="AW251" i="14"/>
  <c r="AX251" i="14"/>
  <c r="AY251" i="14"/>
  <c r="AV252" i="14"/>
  <c r="AW252" i="14"/>
  <c r="AX252" i="14"/>
  <c r="AY252" i="14"/>
  <c r="AV253" i="14"/>
  <c r="AW253" i="14"/>
  <c r="AX253" i="14"/>
  <c r="AY253" i="14"/>
  <c r="AV254" i="14"/>
  <c r="AW254" i="14"/>
  <c r="AX254" i="14"/>
  <c r="AY254" i="14"/>
  <c r="AV255" i="14"/>
  <c r="AW255" i="14"/>
  <c r="AX255" i="14"/>
  <c r="AY255" i="14"/>
  <c r="AV256" i="14"/>
  <c r="AW256" i="14"/>
  <c r="AX256" i="14"/>
  <c r="AY256" i="14"/>
  <c r="AV257" i="14"/>
  <c r="AW257" i="14"/>
  <c r="AX257" i="14"/>
  <c r="AY257" i="14"/>
  <c r="AV258" i="14"/>
  <c r="AW258" i="14"/>
  <c r="AX258" i="14"/>
  <c r="AY258" i="14"/>
  <c r="AV259" i="14"/>
  <c r="AW259" i="14"/>
  <c r="AX259" i="14"/>
  <c r="AY259" i="14"/>
  <c r="AV260" i="14"/>
  <c r="AW260" i="14"/>
  <c r="AX260" i="14"/>
  <c r="AY260" i="14"/>
  <c r="AV261" i="14"/>
  <c r="AW261" i="14"/>
  <c r="AX261" i="14"/>
  <c r="AY261" i="14"/>
  <c r="AV262" i="14"/>
  <c r="AW262" i="14"/>
  <c r="AX262" i="14"/>
  <c r="AY262" i="14"/>
  <c r="AV263" i="14"/>
  <c r="AW263" i="14"/>
  <c r="AX263" i="14"/>
  <c r="AY263" i="14"/>
  <c r="AV264" i="14"/>
  <c r="AW264" i="14"/>
  <c r="AX264" i="14"/>
  <c r="AY264" i="14"/>
  <c r="AV265" i="14"/>
  <c r="AW265" i="14"/>
  <c r="AX265" i="14"/>
  <c r="AY265" i="14"/>
  <c r="AV266" i="14"/>
  <c r="AW266" i="14"/>
  <c r="AX266" i="14"/>
  <c r="AY266" i="14"/>
  <c r="AV267" i="14"/>
  <c r="AW267" i="14"/>
  <c r="AX267" i="14"/>
  <c r="AY267" i="14"/>
  <c r="AV268" i="14"/>
  <c r="AW268" i="14"/>
  <c r="AX268" i="14"/>
  <c r="AY268" i="14"/>
  <c r="AV269" i="14"/>
  <c r="AW269" i="14"/>
  <c r="AX269" i="14"/>
  <c r="AY269" i="14"/>
  <c r="AV270" i="14"/>
  <c r="AW270" i="14"/>
  <c r="AX270" i="14"/>
  <c r="AY270" i="14"/>
  <c r="AV271" i="14"/>
  <c r="AW271" i="14"/>
  <c r="AX271" i="14"/>
  <c r="AY271" i="14"/>
  <c r="AV272" i="14"/>
  <c r="AW272" i="14"/>
  <c r="AX272" i="14"/>
  <c r="AY272" i="14"/>
  <c r="AV273" i="14"/>
  <c r="AW273" i="14"/>
  <c r="AX273" i="14"/>
  <c r="AY273" i="14"/>
  <c r="AV274" i="14"/>
  <c r="AW274" i="14"/>
  <c r="AX274" i="14"/>
  <c r="AY274" i="14"/>
  <c r="AV275" i="14"/>
  <c r="AW275" i="14"/>
  <c r="AX275" i="14"/>
  <c r="AY275" i="14"/>
  <c r="AV276" i="14"/>
  <c r="AW276" i="14"/>
  <c r="AX276" i="14"/>
  <c r="AY276" i="14"/>
  <c r="AV277" i="14"/>
  <c r="AW277" i="14"/>
  <c r="AX277" i="14"/>
  <c r="AY277" i="14"/>
  <c r="AV278" i="14"/>
  <c r="AW278" i="14"/>
  <c r="AX278" i="14"/>
  <c r="AY278" i="14"/>
  <c r="AV279" i="14"/>
  <c r="AW279" i="14"/>
  <c r="AX279" i="14"/>
  <c r="AY279" i="14"/>
  <c r="AV280" i="14"/>
  <c r="AW280" i="14"/>
  <c r="AX280" i="14"/>
  <c r="AY280" i="14"/>
  <c r="AV281" i="14"/>
  <c r="AW281" i="14"/>
  <c r="AX281" i="14"/>
  <c r="AY281" i="14"/>
  <c r="AV282" i="14"/>
  <c r="AW282" i="14"/>
  <c r="AX282" i="14"/>
  <c r="AY282" i="14"/>
  <c r="AV283" i="14"/>
  <c r="AW283" i="14"/>
  <c r="AX283" i="14"/>
  <c r="AY283" i="14"/>
  <c r="AV284" i="14"/>
  <c r="AW284" i="14"/>
  <c r="AX284" i="14"/>
  <c r="AY284" i="14"/>
  <c r="AV285" i="14"/>
  <c r="AW285" i="14"/>
  <c r="AX285" i="14"/>
  <c r="AY285" i="14"/>
  <c r="AV286" i="14"/>
  <c r="AW286" i="14"/>
  <c r="AX286" i="14"/>
  <c r="AY286" i="14"/>
  <c r="AV287" i="14"/>
  <c r="AW287" i="14"/>
  <c r="AX287" i="14"/>
  <c r="AY287" i="14"/>
  <c r="AV288" i="14"/>
  <c r="AW288" i="14"/>
  <c r="AX288" i="14"/>
  <c r="AY288" i="14"/>
  <c r="AV289" i="14"/>
  <c r="AW289" i="14"/>
  <c r="AX289" i="14"/>
  <c r="AY289" i="14"/>
  <c r="AV290" i="14"/>
  <c r="AW290" i="14"/>
  <c r="AX290" i="14"/>
  <c r="AY290" i="14"/>
  <c r="AV291" i="14"/>
  <c r="AW291" i="14"/>
  <c r="AX291" i="14"/>
  <c r="AY291" i="14"/>
  <c r="AV292" i="14"/>
  <c r="AW292" i="14"/>
  <c r="AX292" i="14"/>
  <c r="AY292" i="14"/>
  <c r="AV293" i="14"/>
  <c r="AW293" i="14"/>
  <c r="AX293" i="14"/>
  <c r="AY293" i="14"/>
  <c r="AV294" i="14"/>
  <c r="AW294" i="14"/>
  <c r="AX294" i="14"/>
  <c r="AY294" i="14"/>
  <c r="AV295" i="14"/>
  <c r="AW295" i="14"/>
  <c r="AX295" i="14"/>
  <c r="AY295" i="14"/>
  <c r="AV296" i="14"/>
  <c r="AW296" i="14"/>
  <c r="AX296" i="14"/>
  <c r="AY296" i="14"/>
  <c r="AV297" i="14"/>
  <c r="AW297" i="14"/>
  <c r="AX297" i="14"/>
  <c r="AY297" i="14"/>
  <c r="AV298" i="14"/>
  <c r="AW298" i="14"/>
  <c r="AX298" i="14"/>
  <c r="AY298" i="14"/>
  <c r="AV299" i="14"/>
  <c r="AW299" i="14"/>
  <c r="AX299" i="14"/>
  <c r="AY299" i="14"/>
  <c r="AV300" i="14"/>
  <c r="AW300" i="14"/>
  <c r="AX300" i="14"/>
  <c r="AY300" i="14"/>
  <c r="AV301" i="14"/>
  <c r="AW301" i="14"/>
  <c r="AX301" i="14"/>
  <c r="AY301" i="14"/>
  <c r="AV302" i="14"/>
  <c r="AW302" i="14"/>
  <c r="AX302" i="14"/>
  <c r="AY302" i="14"/>
  <c r="AV303" i="14"/>
  <c r="AW303" i="14"/>
  <c r="AX303" i="14"/>
  <c r="AY303" i="14"/>
  <c r="AV304" i="14"/>
  <c r="AW304" i="14"/>
  <c r="AX304" i="14"/>
  <c r="AY304" i="14"/>
  <c r="AV305" i="14"/>
  <c r="AW305" i="14"/>
  <c r="AX305" i="14"/>
  <c r="AY305" i="14"/>
  <c r="AV306" i="14"/>
  <c r="AW306" i="14"/>
  <c r="AX306" i="14"/>
  <c r="AY306" i="14"/>
  <c r="AV307" i="14"/>
  <c r="AW307" i="14"/>
  <c r="AX307" i="14"/>
  <c r="AY307" i="14"/>
  <c r="AV308" i="14"/>
  <c r="AW308" i="14"/>
  <c r="AX308" i="14"/>
  <c r="AY308" i="14"/>
  <c r="AV309" i="14"/>
  <c r="AW309" i="14"/>
  <c r="AX309" i="14"/>
  <c r="AY309" i="14"/>
  <c r="AV310" i="14"/>
  <c r="AW310" i="14"/>
  <c r="AX310" i="14"/>
  <c r="AY310" i="14"/>
  <c r="AV311" i="14"/>
  <c r="AW311" i="14"/>
  <c r="AX311" i="14"/>
  <c r="AY311" i="14"/>
  <c r="AV312" i="14"/>
  <c r="AW312" i="14"/>
  <c r="AX312" i="14"/>
  <c r="AY312" i="14"/>
  <c r="AV313" i="14"/>
  <c r="AW313" i="14"/>
  <c r="AX313" i="14"/>
  <c r="AY313" i="14"/>
  <c r="AV314" i="14"/>
  <c r="AW314" i="14"/>
  <c r="AX314" i="14"/>
  <c r="AY314" i="14"/>
  <c r="AV315" i="14"/>
  <c r="AW315" i="14"/>
  <c r="AX315" i="14"/>
  <c r="AY315" i="14"/>
  <c r="AV316" i="14"/>
  <c r="AW316" i="14"/>
  <c r="AX316" i="14"/>
  <c r="AY316" i="14"/>
  <c r="AV317" i="14"/>
  <c r="AW317" i="14"/>
  <c r="AX317" i="14"/>
  <c r="AY317" i="14"/>
  <c r="AV318" i="14"/>
  <c r="AW318" i="14"/>
  <c r="AX318" i="14"/>
  <c r="AY318" i="14"/>
  <c r="AV319" i="14"/>
  <c r="AW319" i="14"/>
  <c r="AX319" i="14"/>
  <c r="AY319" i="14"/>
  <c r="AV320" i="14"/>
  <c r="AW320" i="14"/>
  <c r="AX320" i="14"/>
  <c r="AY320" i="14"/>
  <c r="AV321" i="14"/>
  <c r="AW321" i="14"/>
  <c r="AX321" i="14"/>
  <c r="AY321" i="14"/>
  <c r="AV322" i="14"/>
  <c r="AW322" i="14"/>
  <c r="AX322" i="14"/>
  <c r="AY322" i="14"/>
  <c r="AV323" i="14"/>
  <c r="AW323" i="14"/>
  <c r="AX323" i="14"/>
  <c r="AY323" i="14"/>
  <c r="AV324" i="14"/>
  <c r="AW324" i="14"/>
  <c r="AX324" i="14"/>
  <c r="AY324" i="14"/>
  <c r="AV325" i="14"/>
  <c r="AW325" i="14"/>
  <c r="AX325" i="14"/>
  <c r="AY325" i="14"/>
  <c r="AV326" i="14"/>
  <c r="AW326" i="14"/>
  <c r="AX326" i="14"/>
  <c r="AY326" i="14"/>
  <c r="AV327" i="14"/>
  <c r="AW327" i="14"/>
  <c r="AX327" i="14"/>
  <c r="AY327" i="14"/>
  <c r="AV328" i="14"/>
  <c r="AW328" i="14"/>
  <c r="AX328" i="14"/>
  <c r="AY328" i="14"/>
  <c r="AV329" i="14"/>
  <c r="AW329" i="14"/>
  <c r="AX329" i="14"/>
  <c r="AY329" i="14"/>
  <c r="AV330" i="14"/>
  <c r="AW330" i="14"/>
  <c r="AX330" i="14"/>
  <c r="AY330" i="14"/>
  <c r="AV331" i="14"/>
  <c r="AW331" i="14"/>
  <c r="AX331" i="14"/>
  <c r="AY331" i="14"/>
  <c r="AV332" i="14"/>
  <c r="AW332" i="14"/>
  <c r="AX332" i="14"/>
  <c r="AY332" i="14"/>
  <c r="AV333" i="14"/>
  <c r="AW333" i="14"/>
  <c r="AX333" i="14"/>
  <c r="AY333" i="14"/>
  <c r="AV334" i="14"/>
  <c r="AW334" i="14"/>
  <c r="AX334" i="14"/>
  <c r="AY334" i="14"/>
  <c r="AV335" i="14"/>
  <c r="AW335" i="14"/>
  <c r="AX335" i="14"/>
  <c r="AY335" i="14"/>
  <c r="AV336" i="14"/>
  <c r="AW336" i="14"/>
  <c r="AX336" i="14"/>
  <c r="AY336" i="14"/>
  <c r="AV337" i="14"/>
  <c r="AW337" i="14"/>
  <c r="AX337" i="14"/>
  <c r="AY337" i="14"/>
  <c r="AV338" i="14"/>
  <c r="AW338" i="14"/>
  <c r="AX338" i="14"/>
  <c r="AY338" i="14"/>
  <c r="AV339" i="14"/>
  <c r="AW339" i="14"/>
  <c r="AX339" i="14"/>
  <c r="AY339" i="14"/>
  <c r="AV340" i="14"/>
  <c r="AW340" i="14"/>
  <c r="AX340" i="14"/>
  <c r="AY340" i="14"/>
  <c r="AV341" i="14"/>
  <c r="AW341" i="14"/>
  <c r="AX341" i="14"/>
  <c r="AY341" i="14"/>
  <c r="AV342" i="14"/>
  <c r="AW342" i="14"/>
  <c r="AX342" i="14"/>
  <c r="AY342" i="14"/>
  <c r="AV343" i="14"/>
  <c r="AW343" i="14"/>
  <c r="AX343" i="14"/>
  <c r="AY343" i="14"/>
  <c r="AV344" i="14"/>
  <c r="AW344" i="14"/>
  <c r="AX344" i="14"/>
  <c r="AY344" i="14"/>
  <c r="AV345" i="14"/>
  <c r="AW345" i="14"/>
  <c r="AX345" i="14"/>
  <c r="AY345" i="14"/>
  <c r="AV346" i="14"/>
  <c r="AW346" i="14"/>
  <c r="AX346" i="14"/>
  <c r="AY346" i="14"/>
  <c r="AV347" i="14"/>
  <c r="AW347" i="14"/>
  <c r="AX347" i="14"/>
  <c r="AY347" i="14"/>
  <c r="AV348" i="14"/>
  <c r="AW348" i="14"/>
  <c r="AX348" i="14"/>
  <c r="AY348" i="14"/>
  <c r="AV349" i="14"/>
  <c r="AW349" i="14"/>
  <c r="AX349" i="14"/>
  <c r="AY349" i="14"/>
  <c r="AV350" i="14"/>
  <c r="AW350" i="14"/>
  <c r="AX350" i="14"/>
  <c r="AY350" i="14"/>
  <c r="AV351" i="14"/>
  <c r="AW351" i="14"/>
  <c r="AX351" i="14"/>
  <c r="AY351" i="14"/>
  <c r="AV352" i="14"/>
  <c r="AW352" i="14"/>
  <c r="AX352" i="14"/>
  <c r="AY352" i="14"/>
  <c r="AV353" i="14"/>
  <c r="AW353" i="14"/>
  <c r="AX353" i="14"/>
  <c r="AY353" i="14"/>
  <c r="AV354" i="14"/>
  <c r="AW354" i="14"/>
  <c r="AX354" i="14"/>
  <c r="AY354" i="14"/>
  <c r="AV355" i="14"/>
  <c r="AW355" i="14"/>
  <c r="AX355" i="14"/>
  <c r="AY355" i="14"/>
  <c r="AV356" i="14"/>
  <c r="AW356" i="14"/>
  <c r="AX356" i="14"/>
  <c r="AY356" i="14"/>
  <c r="AV357" i="14"/>
  <c r="AW357" i="14"/>
  <c r="AX357" i="14"/>
  <c r="AY357" i="14"/>
  <c r="AV358" i="14"/>
  <c r="AW358" i="14"/>
  <c r="AX358" i="14"/>
  <c r="AY358" i="14"/>
  <c r="AV359" i="14"/>
  <c r="AW359" i="14"/>
  <c r="AX359" i="14"/>
  <c r="AY359" i="14"/>
  <c r="AV360" i="14"/>
  <c r="AW360" i="14"/>
  <c r="AX360" i="14"/>
  <c r="AY360" i="14"/>
  <c r="AV361" i="14"/>
  <c r="AW361" i="14"/>
  <c r="AX361" i="14"/>
  <c r="AY361" i="14"/>
  <c r="AV362" i="14"/>
  <c r="AW362" i="14"/>
  <c r="AX362" i="14"/>
  <c r="AY362" i="14"/>
  <c r="AV363" i="14"/>
  <c r="AW363" i="14"/>
  <c r="AX363" i="14"/>
  <c r="AY363" i="14"/>
  <c r="AV364" i="14"/>
  <c r="AW364" i="14"/>
  <c r="AX364" i="14"/>
  <c r="AY364" i="14"/>
  <c r="AV365" i="14"/>
  <c r="AW365" i="14"/>
  <c r="AX365" i="14"/>
  <c r="AY365" i="14"/>
  <c r="AV366" i="14"/>
  <c r="AW366" i="14"/>
  <c r="AX366" i="14"/>
  <c r="AY366" i="14"/>
  <c r="AV367" i="14"/>
  <c r="AW367" i="14"/>
  <c r="AX367" i="14"/>
  <c r="AY367" i="14"/>
  <c r="AV368" i="14"/>
  <c r="AW368" i="14"/>
  <c r="AX368" i="14"/>
  <c r="AY368" i="14"/>
  <c r="AV369" i="14"/>
  <c r="AW369" i="14"/>
  <c r="AX369" i="14"/>
  <c r="AY369" i="14"/>
  <c r="AV370" i="14"/>
  <c r="AW370" i="14"/>
  <c r="AX370" i="14"/>
  <c r="AY370" i="14"/>
  <c r="AV371" i="14"/>
  <c r="AW371" i="14"/>
  <c r="AX371" i="14"/>
  <c r="AY371" i="14"/>
  <c r="AV372" i="14"/>
  <c r="AW372" i="14"/>
  <c r="AX372" i="14"/>
  <c r="AY372" i="14"/>
  <c r="AV373" i="14"/>
  <c r="AW373" i="14"/>
  <c r="AX373" i="14"/>
  <c r="AY373" i="14"/>
  <c r="AV374" i="14"/>
  <c r="AW374" i="14"/>
  <c r="AX374" i="14"/>
  <c r="AY374" i="14"/>
  <c r="AV375" i="14"/>
  <c r="AW375" i="14"/>
  <c r="AX375" i="14"/>
  <c r="AY375" i="14"/>
  <c r="AV376" i="14"/>
  <c r="AW376" i="14"/>
  <c r="AX376" i="14"/>
  <c r="AY376" i="14"/>
  <c r="AV377" i="14"/>
  <c r="AW377" i="14"/>
  <c r="AX377" i="14"/>
  <c r="AY377" i="14"/>
  <c r="AV378" i="14"/>
  <c r="AW378" i="14"/>
  <c r="AX378" i="14"/>
  <c r="AY378" i="14"/>
  <c r="AV379" i="14"/>
  <c r="AW379" i="14"/>
  <c r="AX379" i="14"/>
  <c r="AY379" i="14"/>
  <c r="AV380" i="14"/>
  <c r="AW380" i="14"/>
  <c r="AX380" i="14"/>
  <c r="AY380" i="14"/>
  <c r="AV381" i="14"/>
  <c r="AW381" i="14"/>
  <c r="AX381" i="14"/>
  <c r="AY381" i="14"/>
  <c r="AV382" i="14"/>
  <c r="AW382" i="14"/>
  <c r="AX382" i="14"/>
  <c r="AY382" i="14"/>
  <c r="AV383" i="14"/>
  <c r="AW383" i="14"/>
  <c r="AX383" i="14"/>
  <c r="AY383" i="14"/>
  <c r="AV384" i="14"/>
  <c r="AW384" i="14"/>
  <c r="AX384" i="14"/>
  <c r="AY384" i="14"/>
  <c r="AV385" i="14"/>
  <c r="AW385" i="14"/>
  <c r="AX385" i="14"/>
  <c r="AY385" i="14"/>
  <c r="AV386" i="14"/>
  <c r="AW386" i="14"/>
  <c r="AX386" i="14"/>
  <c r="AY386" i="14"/>
  <c r="AV387" i="14"/>
  <c r="AW387" i="14"/>
  <c r="AX387" i="14"/>
  <c r="AY387" i="14"/>
  <c r="AV388" i="14"/>
  <c r="AW388" i="14"/>
  <c r="AX388" i="14"/>
  <c r="AY388" i="14"/>
  <c r="AV389" i="14"/>
  <c r="AW389" i="14"/>
  <c r="AX389" i="14"/>
  <c r="AY389" i="14"/>
  <c r="AV390" i="14"/>
  <c r="AW390" i="14"/>
  <c r="AX390" i="14"/>
  <c r="AY390" i="14"/>
  <c r="AV391" i="14"/>
  <c r="AW391" i="14"/>
  <c r="AX391" i="14"/>
  <c r="AY391" i="14"/>
  <c r="AV392" i="14"/>
  <c r="AW392" i="14"/>
  <c r="AX392" i="14"/>
  <c r="AY392" i="14"/>
  <c r="AV393" i="14"/>
  <c r="AW393" i="14"/>
  <c r="AX393" i="14"/>
  <c r="AY393" i="14"/>
  <c r="AV394" i="14"/>
  <c r="AW394" i="14"/>
  <c r="AX394" i="14"/>
  <c r="AY394" i="14"/>
  <c r="AV395" i="14"/>
  <c r="AW395" i="14"/>
  <c r="AX395" i="14"/>
  <c r="AY395" i="14"/>
  <c r="AV396" i="14"/>
  <c r="AW396" i="14"/>
  <c r="AX396" i="14"/>
  <c r="AY396" i="14"/>
  <c r="AV397" i="14"/>
  <c r="AW397" i="14"/>
  <c r="AX397" i="14"/>
  <c r="AY397" i="14"/>
  <c r="AV398" i="14"/>
  <c r="AW398" i="14"/>
  <c r="AX398" i="14"/>
  <c r="AY398" i="14"/>
  <c r="AW11" i="14"/>
  <c r="AX11" i="14"/>
  <c r="AY11" i="14"/>
  <c r="AW12" i="14"/>
  <c r="AX12" i="14"/>
  <c r="AY12" i="14"/>
  <c r="AY10" i="14"/>
  <c r="AX10" i="14"/>
  <c r="AV11" i="14"/>
  <c r="AV12" i="14"/>
  <c r="AV10" i="14"/>
  <c r="AW10" i="14"/>
  <c r="BO11" i="22"/>
  <c r="E110" i="22"/>
  <c r="D110" i="22"/>
  <c r="C110" i="22"/>
  <c r="B110" i="22"/>
  <c r="S110" i="22" s="1"/>
  <c r="E109" i="22"/>
  <c r="D109" i="22"/>
  <c r="C109" i="22"/>
  <c r="B109" i="22"/>
  <c r="AU109" i="22" s="1"/>
  <c r="E108" i="22"/>
  <c r="D108" i="22"/>
  <c r="C108" i="22"/>
  <c r="B108" i="22"/>
  <c r="AR108" i="22" s="1"/>
  <c r="E107" i="22"/>
  <c r="D107" i="22"/>
  <c r="C107" i="22"/>
  <c r="B107" i="22"/>
  <c r="AS107" i="22" s="1"/>
  <c r="E106" i="22"/>
  <c r="D106" i="22"/>
  <c r="C106" i="22"/>
  <c r="B106" i="22"/>
  <c r="AT106" i="22" s="1"/>
  <c r="E105" i="22"/>
  <c r="D105" i="22"/>
  <c r="C105" i="22"/>
  <c r="B105" i="22"/>
  <c r="S105" i="22" s="1"/>
  <c r="E104" i="22"/>
  <c r="D104" i="22"/>
  <c r="C104" i="22"/>
  <c r="B104" i="22"/>
  <c r="AR104" i="22" s="1"/>
  <c r="E103" i="22"/>
  <c r="D103" i="22"/>
  <c r="C103" i="22"/>
  <c r="B103" i="22"/>
  <c r="AS103" i="22" s="1"/>
  <c r="E102" i="22"/>
  <c r="D102" i="22"/>
  <c r="C102" i="22"/>
  <c r="B102" i="22"/>
  <c r="AT102" i="22" s="1"/>
  <c r="E101" i="22"/>
  <c r="D101" i="22"/>
  <c r="C101" i="22"/>
  <c r="B101" i="22"/>
  <c r="AU101" i="22" s="1"/>
  <c r="E100" i="22"/>
  <c r="D100" i="22"/>
  <c r="C100" i="22"/>
  <c r="B100" i="22"/>
  <c r="S100" i="22" s="1"/>
  <c r="E99" i="22"/>
  <c r="D99" i="22"/>
  <c r="C99" i="22"/>
  <c r="B99" i="22"/>
  <c r="AS99" i="22" s="1"/>
  <c r="E98" i="22"/>
  <c r="D98" i="22"/>
  <c r="C98" i="22"/>
  <c r="B98" i="22"/>
  <c r="AA98" i="22" s="1"/>
  <c r="E97" i="22"/>
  <c r="D97" i="22"/>
  <c r="C97" i="22"/>
  <c r="B97" i="22"/>
  <c r="AU97" i="22" s="1"/>
  <c r="E96" i="22"/>
  <c r="D96" i="22"/>
  <c r="C96" i="22"/>
  <c r="B96" i="22"/>
  <c r="AR96" i="22" s="1"/>
  <c r="E95" i="22"/>
  <c r="D95" i="22"/>
  <c r="C95" i="22"/>
  <c r="B95" i="22"/>
  <c r="AS95" i="22" s="1"/>
  <c r="E94" i="22"/>
  <c r="D94" i="22"/>
  <c r="C94" i="22"/>
  <c r="B94" i="22"/>
  <c r="S94" i="22" s="1"/>
  <c r="E93" i="22"/>
  <c r="D93" i="22"/>
  <c r="C93" i="22"/>
  <c r="B93" i="22"/>
  <c r="AU93" i="22" s="1"/>
  <c r="E92" i="22"/>
  <c r="D92" i="22"/>
  <c r="C92" i="22"/>
  <c r="B92" i="22"/>
  <c r="AR92" i="22" s="1"/>
  <c r="E91" i="22"/>
  <c r="D91" i="22"/>
  <c r="C91" i="22"/>
  <c r="B91" i="22"/>
  <c r="AS91" i="22" s="1"/>
  <c r="E90" i="22"/>
  <c r="D90" i="22"/>
  <c r="C90" i="22"/>
  <c r="B90" i="22"/>
  <c r="AT90" i="22" s="1"/>
  <c r="E89" i="22"/>
  <c r="D89" i="22"/>
  <c r="C89" i="22"/>
  <c r="B89" i="22"/>
  <c r="S89" i="22" s="1"/>
  <c r="E88" i="22"/>
  <c r="D88" i="22"/>
  <c r="C88" i="22"/>
  <c r="B88" i="22"/>
  <c r="AR88" i="22" s="1"/>
  <c r="E87" i="22"/>
  <c r="D87" i="22"/>
  <c r="C87" i="22"/>
  <c r="B87" i="22"/>
  <c r="AS87" i="22" s="1"/>
  <c r="E86" i="22"/>
  <c r="D86" i="22"/>
  <c r="C86" i="22"/>
  <c r="B86" i="22"/>
  <c r="AT86" i="22" s="1"/>
  <c r="E85" i="22"/>
  <c r="D85" i="22"/>
  <c r="C85" i="22"/>
  <c r="B85" i="22"/>
  <c r="AU85" i="22" s="1"/>
  <c r="E84" i="22"/>
  <c r="D84" i="22"/>
  <c r="C84" i="22"/>
  <c r="B84" i="22"/>
  <c r="S84" i="22" s="1"/>
  <c r="E83" i="22"/>
  <c r="D83" i="22"/>
  <c r="C83" i="22"/>
  <c r="B83" i="22"/>
  <c r="AS83" i="22" s="1"/>
  <c r="E82" i="22"/>
  <c r="D82" i="22"/>
  <c r="C82" i="22"/>
  <c r="B82" i="22"/>
  <c r="AA82" i="22" s="1"/>
  <c r="E81" i="22"/>
  <c r="D81" i="22"/>
  <c r="C81" i="22"/>
  <c r="B81" i="22"/>
  <c r="AU81" i="22" s="1"/>
  <c r="E80" i="22"/>
  <c r="D80" i="22"/>
  <c r="C80" i="22"/>
  <c r="B80" i="22"/>
  <c r="AR80" i="22" s="1"/>
  <c r="E79" i="22"/>
  <c r="D79" i="22"/>
  <c r="C79" i="22"/>
  <c r="B79" i="22"/>
  <c r="AS79" i="22" s="1"/>
  <c r="E78" i="22"/>
  <c r="D78" i="22"/>
  <c r="C78" i="22"/>
  <c r="B78" i="22"/>
  <c r="S78" i="22" s="1"/>
  <c r="E77" i="22"/>
  <c r="D77" i="22"/>
  <c r="C77" i="22"/>
  <c r="B77" i="22"/>
  <c r="AU77" i="22" s="1"/>
  <c r="E76" i="22"/>
  <c r="D76" i="22"/>
  <c r="C76" i="22"/>
  <c r="B76" i="22"/>
  <c r="AR76" i="22" s="1"/>
  <c r="E75" i="22"/>
  <c r="D75" i="22"/>
  <c r="C75" i="22"/>
  <c r="B75" i="22"/>
  <c r="AS75" i="22" s="1"/>
  <c r="E74" i="22"/>
  <c r="D74" i="22"/>
  <c r="C74" i="22"/>
  <c r="B74" i="22"/>
  <c r="AT74" i="22" s="1"/>
  <c r="E73" i="22"/>
  <c r="D73" i="22"/>
  <c r="C73" i="22"/>
  <c r="B73" i="22"/>
  <c r="S73" i="22" s="1"/>
  <c r="E72" i="22"/>
  <c r="D72" i="22"/>
  <c r="C72" i="22"/>
  <c r="B72" i="22"/>
  <c r="AR72" i="22" s="1"/>
  <c r="E71" i="22"/>
  <c r="D71" i="22"/>
  <c r="C71" i="22"/>
  <c r="B71" i="22"/>
  <c r="AS71" i="22" s="1"/>
  <c r="E70" i="22"/>
  <c r="D70" i="22"/>
  <c r="C70" i="22"/>
  <c r="B70" i="22"/>
  <c r="AT70" i="22" s="1"/>
  <c r="E69" i="22"/>
  <c r="D69" i="22"/>
  <c r="C69" i="22"/>
  <c r="B69" i="22"/>
  <c r="E68" i="22"/>
  <c r="D68" i="22"/>
  <c r="C68" i="22"/>
  <c r="B68" i="22"/>
  <c r="AU68" i="22" s="1"/>
  <c r="E67" i="22"/>
  <c r="D67" i="22"/>
  <c r="C67" i="22"/>
  <c r="B67" i="22"/>
  <c r="AS67" i="22" s="1"/>
  <c r="E66" i="22"/>
  <c r="D66" i="22"/>
  <c r="C66" i="22"/>
  <c r="B66" i="22"/>
  <c r="AR66" i="22" s="1"/>
  <c r="E65" i="22"/>
  <c r="D65" i="22"/>
  <c r="C65" i="22"/>
  <c r="B65" i="22"/>
  <c r="AU65" i="22" s="1"/>
  <c r="E64" i="22"/>
  <c r="D64" i="22"/>
  <c r="C64" i="22"/>
  <c r="B64" i="22"/>
  <c r="AR64" i="22" s="1"/>
  <c r="E63" i="22"/>
  <c r="D63" i="22"/>
  <c r="C63" i="22"/>
  <c r="B63" i="22"/>
  <c r="AS63" i="22" s="1"/>
  <c r="E62" i="22"/>
  <c r="D62" i="22"/>
  <c r="C62" i="22"/>
  <c r="B62" i="22"/>
  <c r="S62" i="22" s="1"/>
  <c r="E61" i="22"/>
  <c r="D61" i="22"/>
  <c r="C61" i="22"/>
  <c r="B61" i="22"/>
  <c r="AU61" i="22" s="1"/>
  <c r="E60" i="22"/>
  <c r="D60" i="22"/>
  <c r="C60" i="22"/>
  <c r="B60" i="22"/>
  <c r="AR60" i="22" s="1"/>
  <c r="E59" i="22"/>
  <c r="D59" i="22"/>
  <c r="C59" i="22"/>
  <c r="B59" i="22"/>
  <c r="AS59" i="22" s="1"/>
  <c r="E58" i="22"/>
  <c r="D58" i="22"/>
  <c r="C58" i="22"/>
  <c r="B58" i="22"/>
  <c r="AT58" i="22" s="1"/>
  <c r="E57" i="22"/>
  <c r="D57" i="22"/>
  <c r="C57" i="22"/>
  <c r="B57" i="22"/>
  <c r="S57" i="22" s="1"/>
  <c r="E56" i="22"/>
  <c r="D56" i="22"/>
  <c r="C56" i="22"/>
  <c r="B56" i="22"/>
  <c r="AR56" i="22" s="1"/>
  <c r="E55" i="22"/>
  <c r="D55" i="22"/>
  <c r="C55" i="22"/>
  <c r="B55" i="22"/>
  <c r="AU55" i="22" s="1"/>
  <c r="E54" i="22"/>
  <c r="D54" i="22"/>
  <c r="C54" i="22"/>
  <c r="B54" i="22"/>
  <c r="AT54" i="22" s="1"/>
  <c r="E53" i="22"/>
  <c r="D53" i="22"/>
  <c r="C53" i="22"/>
  <c r="B53" i="22"/>
  <c r="AT53" i="22" s="1"/>
  <c r="E52" i="22"/>
  <c r="D52" i="22"/>
  <c r="C52" i="22"/>
  <c r="B52" i="22"/>
  <c r="E51" i="22"/>
  <c r="D51" i="22"/>
  <c r="C51" i="22"/>
  <c r="B51" i="22"/>
  <c r="AS51" i="22" s="1"/>
  <c r="E50" i="22"/>
  <c r="D50" i="22"/>
  <c r="C50" i="22"/>
  <c r="B50" i="22"/>
  <c r="AR50" i="22" s="1"/>
  <c r="E49" i="22"/>
  <c r="D49" i="22"/>
  <c r="C49" i="22"/>
  <c r="B49" i="22"/>
  <c r="AU49" i="22" s="1"/>
  <c r="E48" i="22"/>
  <c r="D48" i="22"/>
  <c r="C48" i="22"/>
  <c r="B48" i="22"/>
  <c r="AU48" i="22" s="1"/>
  <c r="E47" i="22"/>
  <c r="D47" i="22"/>
  <c r="C47" i="22"/>
  <c r="B47" i="22"/>
  <c r="E46" i="22"/>
  <c r="D46" i="22"/>
  <c r="C46" i="22"/>
  <c r="B46" i="22"/>
  <c r="AR46" i="22" s="1"/>
  <c r="E45" i="22"/>
  <c r="D45" i="22"/>
  <c r="C45" i="22"/>
  <c r="B45" i="22"/>
  <c r="AU45" i="22" s="1"/>
  <c r="E44" i="22"/>
  <c r="D44" i="22"/>
  <c r="C44" i="22"/>
  <c r="B44" i="22"/>
  <c r="AU44" i="22" s="1"/>
  <c r="E43" i="22"/>
  <c r="D43" i="22"/>
  <c r="C43" i="22"/>
  <c r="B43" i="22"/>
  <c r="AU43" i="22" s="1"/>
  <c r="E42" i="22"/>
  <c r="D42" i="22"/>
  <c r="C42" i="22"/>
  <c r="B42" i="22"/>
  <c r="E41" i="22"/>
  <c r="D41" i="22"/>
  <c r="C41" i="22"/>
  <c r="B41" i="22"/>
  <c r="AS41" i="22" s="1"/>
  <c r="E40" i="22"/>
  <c r="D40" i="22"/>
  <c r="C40" i="22"/>
  <c r="B40" i="22"/>
  <c r="R40" i="22" s="1"/>
  <c r="E39" i="22"/>
  <c r="D39" i="22"/>
  <c r="C39" i="22"/>
  <c r="B39" i="22"/>
  <c r="E38" i="22"/>
  <c r="D38" i="22"/>
  <c r="C38" i="22"/>
  <c r="B38" i="22"/>
  <c r="AT38" i="22" s="1"/>
  <c r="E37" i="22"/>
  <c r="D37" i="22"/>
  <c r="C37" i="22"/>
  <c r="B37" i="22"/>
  <c r="AS37" i="22" s="1"/>
  <c r="E36" i="22"/>
  <c r="D36" i="22"/>
  <c r="C36" i="22"/>
  <c r="B36" i="22"/>
  <c r="AU36" i="22" s="1"/>
  <c r="E35" i="22"/>
  <c r="D35" i="22"/>
  <c r="C35" i="22"/>
  <c r="B35" i="22"/>
  <c r="AU35" i="22" s="1"/>
  <c r="E34" i="22"/>
  <c r="D34" i="22"/>
  <c r="C34" i="22"/>
  <c r="B34" i="22"/>
  <c r="E33" i="22"/>
  <c r="D33" i="22"/>
  <c r="C33" i="22"/>
  <c r="B33" i="22"/>
  <c r="AU33" i="22" s="1"/>
  <c r="E32" i="22"/>
  <c r="D32" i="22"/>
  <c r="C32" i="22"/>
  <c r="B32" i="22"/>
  <c r="AT32" i="22" s="1"/>
  <c r="E31" i="22"/>
  <c r="D31" i="22"/>
  <c r="C31" i="22"/>
  <c r="B31" i="22"/>
  <c r="AR31" i="22" s="1"/>
  <c r="E30" i="22"/>
  <c r="D30" i="22"/>
  <c r="C30" i="22"/>
  <c r="B30" i="22"/>
  <c r="E29" i="22"/>
  <c r="D29" i="22"/>
  <c r="C29" i="22"/>
  <c r="B29" i="22"/>
  <c r="AT29" i="22" s="1"/>
  <c r="E28" i="22"/>
  <c r="D28" i="22"/>
  <c r="C28" i="22"/>
  <c r="B28" i="22"/>
  <c r="AU28" i="22" s="1"/>
  <c r="E27" i="22"/>
  <c r="D27" i="22"/>
  <c r="C27" i="22"/>
  <c r="B27" i="22"/>
  <c r="E26" i="22"/>
  <c r="D26" i="22"/>
  <c r="C26" i="22"/>
  <c r="B26" i="22"/>
  <c r="AS26" i="22" s="1"/>
  <c r="E25" i="22"/>
  <c r="D25" i="22"/>
  <c r="C25" i="22"/>
  <c r="B25" i="22"/>
  <c r="AT25" i="22" s="1"/>
  <c r="E24" i="22"/>
  <c r="D24" i="22"/>
  <c r="C24" i="22"/>
  <c r="B24" i="22"/>
  <c r="E23" i="22"/>
  <c r="D23" i="22"/>
  <c r="C23" i="22"/>
  <c r="B23" i="22"/>
  <c r="E22" i="22"/>
  <c r="D22" i="22"/>
  <c r="C22" i="22"/>
  <c r="B22" i="22"/>
  <c r="E21" i="22"/>
  <c r="D21" i="22"/>
  <c r="C21" i="22"/>
  <c r="B21" i="22"/>
  <c r="E20" i="22"/>
  <c r="D20" i="22"/>
  <c r="C20" i="22"/>
  <c r="B20" i="22"/>
  <c r="E19" i="22"/>
  <c r="D19" i="22"/>
  <c r="C19" i="22"/>
  <c r="B19" i="22"/>
  <c r="E18" i="22"/>
  <c r="D18" i="22"/>
  <c r="C18" i="22"/>
  <c r="B18" i="22"/>
  <c r="E17" i="22"/>
  <c r="D17" i="22"/>
  <c r="C17" i="22"/>
  <c r="B17" i="22"/>
  <c r="E16" i="22"/>
  <c r="D16" i="22"/>
  <c r="C16" i="22"/>
  <c r="B16" i="22"/>
  <c r="E15" i="22"/>
  <c r="D15" i="22"/>
  <c r="C15" i="22"/>
  <c r="B15" i="22"/>
  <c r="E14" i="22"/>
  <c r="D14" i="22"/>
  <c r="C14" i="22"/>
  <c r="B14" i="22"/>
  <c r="E13" i="22"/>
  <c r="D13" i="22"/>
  <c r="C13" i="22"/>
  <c r="B13" i="22"/>
  <c r="E12" i="22"/>
  <c r="D12" i="22"/>
  <c r="C12" i="22"/>
  <c r="B12" i="22"/>
  <c r="BN11" i="22"/>
  <c r="BM11" i="22"/>
  <c r="BL11" i="22"/>
  <c r="BK11" i="22"/>
  <c r="BJ11" i="22"/>
  <c r="BI11" i="22"/>
  <c r="BH11" i="22"/>
  <c r="BG11" i="22"/>
  <c r="E11" i="22"/>
  <c r="D11" i="22"/>
  <c r="C11" i="22"/>
  <c r="B11" i="22"/>
  <c r="C8" i="22"/>
  <c r="C7" i="22"/>
  <c r="CA43" i="22"/>
  <c r="CA42" i="22"/>
  <c r="CA41" i="22"/>
  <c r="CA40" i="22"/>
  <c r="CA39" i="22"/>
  <c r="CA38" i="22"/>
  <c r="CA37" i="22"/>
  <c r="CA36" i="22"/>
  <c r="CA35" i="22"/>
  <c r="F93" i="18" l="1"/>
  <c r="F85" i="18"/>
  <c r="F86" i="18" s="1"/>
  <c r="AF52" i="26"/>
  <c r="C12" i="26" s="1"/>
  <c r="AA73" i="26"/>
  <c r="AB73" i="26" s="1"/>
  <c r="F83" i="18"/>
  <c r="F84" i="18" s="1"/>
  <c r="C55" i="26"/>
  <c r="J8" i="26"/>
  <c r="BF94" i="23"/>
  <c r="BF78" i="23"/>
  <c r="BF87" i="23"/>
  <c r="P87" i="23" s="1"/>
  <c r="P91" i="23"/>
  <c r="BF79" i="23"/>
  <c r="Q79" i="23" s="1"/>
  <c r="BF86" i="23"/>
  <c r="AV31" i="23"/>
  <c r="AA83" i="23"/>
  <c r="AA91" i="23"/>
  <c r="AS83" i="23"/>
  <c r="BF85" i="23"/>
  <c r="AS91" i="23"/>
  <c r="BF93" i="23"/>
  <c r="BF34" i="23"/>
  <c r="BE34" i="23" s="1"/>
  <c r="AS78" i="23"/>
  <c r="AA79" i="23"/>
  <c r="BF82" i="23"/>
  <c r="BE82" i="23" s="1"/>
  <c r="BF83" i="23"/>
  <c r="Q83" i="23" s="1"/>
  <c r="AA87" i="23"/>
  <c r="BF90" i="23"/>
  <c r="BE90" i="23" s="1"/>
  <c r="BF91" i="23"/>
  <c r="AA95" i="23"/>
  <c r="BF33" i="23"/>
  <c r="AU42" i="23"/>
  <c r="BE78" i="23"/>
  <c r="AS79" i="23"/>
  <c r="BF81" i="23"/>
  <c r="BE86" i="23"/>
  <c r="AS87" i="23"/>
  <c r="BF89" i="23"/>
  <c r="BE94" i="23"/>
  <c r="AV95" i="23"/>
  <c r="AA102" i="23"/>
  <c r="AV109" i="23"/>
  <c r="AS36" i="23"/>
  <c r="X42" i="23"/>
  <c r="AS102" i="23"/>
  <c r="AS32" i="23"/>
  <c r="AR33" i="23"/>
  <c r="AR40" i="23"/>
  <c r="AA42" i="23"/>
  <c r="BF42" i="23"/>
  <c r="BE42" i="23" s="1"/>
  <c r="AU79" i="23"/>
  <c r="AA82" i="23"/>
  <c r="AU83" i="23"/>
  <c r="AA86" i="23"/>
  <c r="AU87" i="23"/>
  <c r="AA90" i="23"/>
  <c r="AU91" i="23"/>
  <c r="AA94" i="23"/>
  <c r="BE95" i="23"/>
  <c r="Z110" i="23"/>
  <c r="AT31" i="23"/>
  <c r="BF39" i="23"/>
  <c r="O39" i="23" s="1"/>
  <c r="AS42" i="23"/>
  <c r="X79" i="23"/>
  <c r="BE79" i="23"/>
  <c r="X83" i="23"/>
  <c r="BE83" i="23"/>
  <c r="X87" i="23"/>
  <c r="X91" i="23"/>
  <c r="BE91" i="23"/>
  <c r="V95" i="23"/>
  <c r="AA106" i="23"/>
  <c r="AL34" i="22"/>
  <c r="AL34" i="23" s="1"/>
  <c r="AD34" i="22"/>
  <c r="AD34" i="23" s="1"/>
  <c r="AH34" i="22"/>
  <c r="AH34" i="23" s="1"/>
  <c r="AO34" i="22"/>
  <c r="AO34" i="23" s="1"/>
  <c r="AK34" i="22"/>
  <c r="AK34" i="23" s="1"/>
  <c r="AE34" i="22"/>
  <c r="AE34" i="23" s="1"/>
  <c r="AM34" i="22"/>
  <c r="AM34" i="23" s="1"/>
  <c r="AJ34" i="22"/>
  <c r="AJ34" i="23" s="1"/>
  <c r="AN34" i="22"/>
  <c r="AN34" i="23" s="1"/>
  <c r="AF34" i="22"/>
  <c r="AF34" i="23" s="1"/>
  <c r="AI34" i="22"/>
  <c r="AI34" i="23" s="1"/>
  <c r="AG34" i="22"/>
  <c r="AG34" i="23" s="1"/>
  <c r="H34" i="22"/>
  <c r="AQ34" i="22"/>
  <c r="BF34" i="22"/>
  <c r="BE34" i="22" s="1"/>
  <c r="AX34" i="22"/>
  <c r="AX34" i="23" s="1"/>
  <c r="BB34" i="22"/>
  <c r="BB34" i="23" s="1"/>
  <c r="AY34" i="22"/>
  <c r="AY34" i="23" s="1"/>
  <c r="AW34" i="22"/>
  <c r="AW34" i="23" s="1"/>
  <c r="AZ34" i="22"/>
  <c r="AZ34" i="23" s="1"/>
  <c r="BA34" i="22"/>
  <c r="BA34" i="23" s="1"/>
  <c r="X34" i="22"/>
  <c r="AB34" i="22"/>
  <c r="AB34" i="23" s="1"/>
  <c r="AC34" i="22"/>
  <c r="AC34" i="23" s="1"/>
  <c r="AG39" i="22"/>
  <c r="AG39" i="23" s="1"/>
  <c r="AN39" i="22"/>
  <c r="AN39" i="23" s="1"/>
  <c r="AL39" i="22"/>
  <c r="AL39" i="23" s="1"/>
  <c r="AH39" i="22"/>
  <c r="AH39" i="23" s="1"/>
  <c r="AI39" i="22"/>
  <c r="AI39" i="23" s="1"/>
  <c r="AJ39" i="22"/>
  <c r="AJ39" i="23" s="1"/>
  <c r="AD39" i="22"/>
  <c r="AD39" i="23" s="1"/>
  <c r="AM39" i="22"/>
  <c r="AM39" i="23" s="1"/>
  <c r="AK39" i="22"/>
  <c r="AK39" i="23" s="1"/>
  <c r="AF39" i="22"/>
  <c r="AF39" i="23" s="1"/>
  <c r="AO39" i="22"/>
  <c r="AO39" i="23" s="1"/>
  <c r="AE39" i="22"/>
  <c r="AE39" i="23" s="1"/>
  <c r="H39" i="22"/>
  <c r="U39" i="22" s="1"/>
  <c r="AZ39" i="22"/>
  <c r="AZ39" i="23" s="1"/>
  <c r="BF39" i="22"/>
  <c r="AQ39" i="22" s="1"/>
  <c r="AW39" i="22"/>
  <c r="AW39" i="23" s="1"/>
  <c r="BA39" i="22"/>
  <c r="BA39" i="23" s="1"/>
  <c r="AX39" i="22"/>
  <c r="AX39" i="23" s="1"/>
  <c r="AY39" i="22"/>
  <c r="AY39" i="23" s="1"/>
  <c r="BB39" i="22"/>
  <c r="BB39" i="23" s="1"/>
  <c r="X39" i="22"/>
  <c r="AB39" i="22"/>
  <c r="AB39" i="23" s="1"/>
  <c r="AC39" i="22"/>
  <c r="AC39" i="23" s="1"/>
  <c r="AA39" i="22"/>
  <c r="V39" i="22" s="1"/>
  <c r="S39" i="22"/>
  <c r="R39" i="22"/>
  <c r="P39" i="22"/>
  <c r="K39" i="22"/>
  <c r="J39" i="22"/>
  <c r="AL42" i="22"/>
  <c r="AL42" i="23" s="1"/>
  <c r="AJ42" i="22"/>
  <c r="AJ42" i="23" s="1"/>
  <c r="AG42" i="22"/>
  <c r="AG42" i="23" s="1"/>
  <c r="AN42" i="22"/>
  <c r="AN42" i="23" s="1"/>
  <c r="AE42" i="22"/>
  <c r="AE42" i="23" s="1"/>
  <c r="AM42" i="22"/>
  <c r="AM42" i="23" s="1"/>
  <c r="AK42" i="22"/>
  <c r="AK42" i="23" s="1"/>
  <c r="AF42" i="22"/>
  <c r="AF42" i="23" s="1"/>
  <c r="AO42" i="22"/>
  <c r="AO42" i="23" s="1"/>
  <c r="AD42" i="22"/>
  <c r="AD42" i="23" s="1"/>
  <c r="AH42" i="22"/>
  <c r="AH42" i="23" s="1"/>
  <c r="AI42" i="22"/>
  <c r="AI42" i="23" s="1"/>
  <c r="H42" i="22"/>
  <c r="BF42" i="22"/>
  <c r="I42" i="22" s="1"/>
  <c r="AX42" i="22"/>
  <c r="AX42" i="23" s="1"/>
  <c r="BB42" i="22"/>
  <c r="BB42" i="23" s="1"/>
  <c r="AY42" i="22"/>
  <c r="AY42" i="23" s="1"/>
  <c r="AW42" i="22"/>
  <c r="AW42" i="23" s="1"/>
  <c r="AZ42" i="22"/>
  <c r="AZ42" i="23" s="1"/>
  <c r="X42" i="22"/>
  <c r="BA42" i="22"/>
  <c r="BA42" i="23" s="1"/>
  <c r="AB42" i="22"/>
  <c r="AB42" i="23" s="1"/>
  <c r="AC42" i="22"/>
  <c r="AC42" i="23" s="1"/>
  <c r="AJ47" i="22"/>
  <c r="AJ47" i="23" s="1"/>
  <c r="AK47" i="22"/>
  <c r="AK47" i="23" s="1"/>
  <c r="AF47" i="22"/>
  <c r="AF47" i="23" s="1"/>
  <c r="AM47" i="22"/>
  <c r="AM47" i="23" s="1"/>
  <c r="AH47" i="22"/>
  <c r="AH47" i="23" s="1"/>
  <c r="AD47" i="22"/>
  <c r="AD47" i="23" s="1"/>
  <c r="AI47" i="22"/>
  <c r="AI47" i="23" s="1"/>
  <c r="AO47" i="22"/>
  <c r="AO47" i="23" s="1"/>
  <c r="AL47" i="22"/>
  <c r="AL47" i="23" s="1"/>
  <c r="AE47" i="22"/>
  <c r="AE47" i="23" s="1"/>
  <c r="AG47" i="22"/>
  <c r="AG47" i="23" s="1"/>
  <c r="AN47" i="22"/>
  <c r="AN47" i="23" s="1"/>
  <c r="H47" i="22"/>
  <c r="U47" i="22" s="1"/>
  <c r="AZ47" i="22"/>
  <c r="AZ47" i="23" s="1"/>
  <c r="BF47" i="22"/>
  <c r="AQ47" i="22" s="1"/>
  <c r="AW47" i="22"/>
  <c r="AW47" i="23" s="1"/>
  <c r="BA47" i="22"/>
  <c r="BA47" i="23" s="1"/>
  <c r="AX47" i="22"/>
  <c r="AX47" i="23" s="1"/>
  <c r="AY47" i="22"/>
  <c r="AY47" i="23" s="1"/>
  <c r="BB47" i="22"/>
  <c r="BB47" i="23" s="1"/>
  <c r="X47" i="22"/>
  <c r="AB47" i="22"/>
  <c r="AB47" i="23" s="1"/>
  <c r="AC47" i="22"/>
  <c r="AC47" i="23" s="1"/>
  <c r="AA47" i="22"/>
  <c r="W47" i="22" s="1"/>
  <c r="S47" i="22"/>
  <c r="R47" i="22"/>
  <c r="Q47" i="22"/>
  <c r="K47" i="22"/>
  <c r="J47" i="22"/>
  <c r="AJ52" i="22"/>
  <c r="AJ52" i="23" s="1"/>
  <c r="AK52" i="22"/>
  <c r="AK52" i="23" s="1"/>
  <c r="AL52" i="22"/>
  <c r="AL52" i="23" s="1"/>
  <c r="AG52" i="22"/>
  <c r="AG52" i="23" s="1"/>
  <c r="AN52" i="22"/>
  <c r="AN52" i="23" s="1"/>
  <c r="AD52" i="22"/>
  <c r="AD52" i="23" s="1"/>
  <c r="AH52" i="22"/>
  <c r="AH52" i="23" s="1"/>
  <c r="AO52" i="22"/>
  <c r="AO52" i="23" s="1"/>
  <c r="AF52" i="22"/>
  <c r="AF52" i="23" s="1"/>
  <c r="AI52" i="22"/>
  <c r="AI52" i="23" s="1"/>
  <c r="AM52" i="22"/>
  <c r="AM52" i="23" s="1"/>
  <c r="AE52" i="22"/>
  <c r="AE52" i="23" s="1"/>
  <c r="H52" i="22"/>
  <c r="AP52" i="22"/>
  <c r="AQ52" i="22"/>
  <c r="I52" i="22"/>
  <c r="AX52" i="22"/>
  <c r="AX52" i="23" s="1"/>
  <c r="BB52" i="22"/>
  <c r="BB52" i="23" s="1"/>
  <c r="AY52" i="22"/>
  <c r="AY52" i="23" s="1"/>
  <c r="BE52" i="22"/>
  <c r="BF52" i="22"/>
  <c r="AZ52" i="22"/>
  <c r="AZ52" i="23" s="1"/>
  <c r="BA52" i="22"/>
  <c r="BA52" i="23" s="1"/>
  <c r="AW52" i="22"/>
  <c r="AW52" i="23" s="1"/>
  <c r="L52" i="22"/>
  <c r="X52" i="22"/>
  <c r="AB52" i="22"/>
  <c r="AB52" i="23" s="1"/>
  <c r="AC52" i="22"/>
  <c r="AC52" i="23" s="1"/>
  <c r="M52" i="22"/>
  <c r="AA52" i="22"/>
  <c r="Z52" i="22"/>
  <c r="Y52" i="22"/>
  <c r="W52" i="22"/>
  <c r="V52" i="22"/>
  <c r="U52" i="22"/>
  <c r="T52" i="22"/>
  <c r="S52" i="22"/>
  <c r="AK69" i="22"/>
  <c r="AK69" i="23" s="1"/>
  <c r="AL69" i="22"/>
  <c r="AL69" i="23" s="1"/>
  <c r="AD69" i="22"/>
  <c r="AD69" i="23" s="1"/>
  <c r="AH69" i="22"/>
  <c r="AH69" i="23" s="1"/>
  <c r="AO69" i="22"/>
  <c r="AO69" i="23" s="1"/>
  <c r="AE69" i="22"/>
  <c r="AE69" i="23" s="1"/>
  <c r="AI69" i="22"/>
  <c r="AI69" i="23" s="1"/>
  <c r="AF69" i="22"/>
  <c r="AF69" i="23" s="1"/>
  <c r="AM69" i="22"/>
  <c r="AM69" i="23" s="1"/>
  <c r="AJ69" i="22"/>
  <c r="AJ69" i="23" s="1"/>
  <c r="AN69" i="22"/>
  <c r="AN69" i="23" s="1"/>
  <c r="AG69" i="22"/>
  <c r="AG69" i="23" s="1"/>
  <c r="BF69" i="22"/>
  <c r="I69" i="22" s="1"/>
  <c r="H69" i="22"/>
  <c r="AY69" i="22"/>
  <c r="AY69" i="23" s="1"/>
  <c r="AZ69" i="22"/>
  <c r="AZ69" i="23" s="1"/>
  <c r="AW69" i="22"/>
  <c r="AW69" i="23" s="1"/>
  <c r="BA69" i="22"/>
  <c r="BA69" i="23" s="1"/>
  <c r="AX69" i="22"/>
  <c r="AX69" i="23" s="1"/>
  <c r="BB69" i="22"/>
  <c r="BB69" i="23" s="1"/>
  <c r="X69" i="22"/>
  <c r="AB69" i="22"/>
  <c r="AB69" i="23" s="1"/>
  <c r="AC69" i="22"/>
  <c r="AC69" i="23" s="1"/>
  <c r="AA69" i="22"/>
  <c r="W69" i="22" s="1"/>
  <c r="U69" i="22"/>
  <c r="T69" i="22"/>
  <c r="G109" i="22"/>
  <c r="G107" i="22"/>
  <c r="G105" i="22"/>
  <c r="G103" i="22"/>
  <c r="G101" i="22"/>
  <c r="G99" i="22"/>
  <c r="G97" i="22"/>
  <c r="G95" i="22"/>
  <c r="G73" i="22"/>
  <c r="G47" i="22"/>
  <c r="G39" i="22"/>
  <c r="AT110" i="22"/>
  <c r="AV108" i="22"/>
  <c r="AU105" i="22"/>
  <c r="AV104" i="22"/>
  <c r="AV100" i="22"/>
  <c r="AR100" i="22"/>
  <c r="AT98" i="22"/>
  <c r="AV96" i="22"/>
  <c r="AT94" i="22"/>
  <c r="AV92" i="22"/>
  <c r="AU89" i="22"/>
  <c r="AV88" i="22"/>
  <c r="AV84" i="22"/>
  <c r="AR84" i="22"/>
  <c r="AT82" i="22"/>
  <c r="AV80" i="22"/>
  <c r="AT78" i="22"/>
  <c r="AV76" i="22"/>
  <c r="AU73" i="22"/>
  <c r="AV72" i="22"/>
  <c r="AU69" i="22"/>
  <c r="AV68" i="22"/>
  <c r="AR68" i="22"/>
  <c r="AT66" i="22"/>
  <c r="AV64" i="22"/>
  <c r="AT62" i="22"/>
  <c r="AV60" i="22"/>
  <c r="AU57" i="22"/>
  <c r="AV56" i="22"/>
  <c r="AS55" i="22"/>
  <c r="AU53" i="22"/>
  <c r="AV52" i="22"/>
  <c r="AR52" i="22"/>
  <c r="AT50" i="22"/>
  <c r="AV48" i="22"/>
  <c r="AR48" i="22"/>
  <c r="AS47" i="22"/>
  <c r="AT46" i="22"/>
  <c r="AV44" i="22"/>
  <c r="AR44" i="22"/>
  <c r="AS43" i="22"/>
  <c r="AT42" i="22"/>
  <c r="AU41" i="22"/>
  <c r="AV40" i="22"/>
  <c r="AR40" i="22"/>
  <c r="AS39" i="22"/>
  <c r="AU37" i="22"/>
  <c r="AV36" i="22"/>
  <c r="AR36" i="22"/>
  <c r="AS35" i="22"/>
  <c r="AT34" i="22"/>
  <c r="AV32" i="22"/>
  <c r="AR32" i="22"/>
  <c r="AS31" i="22"/>
  <c r="J110" i="22"/>
  <c r="J105" i="22"/>
  <c r="J100" i="22"/>
  <c r="J94" i="22"/>
  <c r="J89" i="22"/>
  <c r="J84" i="22"/>
  <c r="J78" i="22"/>
  <c r="J73" i="22"/>
  <c r="J68" i="22"/>
  <c r="J62" i="22"/>
  <c r="J57" i="22"/>
  <c r="J52" i="22"/>
  <c r="J46" i="22"/>
  <c r="J41" i="22"/>
  <c r="J36" i="22"/>
  <c r="K110" i="22"/>
  <c r="K105" i="22"/>
  <c r="K100" i="22"/>
  <c r="K94" i="22"/>
  <c r="K89" i="22"/>
  <c r="K84" i="22"/>
  <c r="K78" i="22"/>
  <c r="K73" i="22"/>
  <c r="K68" i="22"/>
  <c r="K62" i="22"/>
  <c r="K57" i="22"/>
  <c r="K52" i="22"/>
  <c r="K46" i="22"/>
  <c r="K41" i="22"/>
  <c r="K36" i="22"/>
  <c r="N110" i="22"/>
  <c r="N105" i="22"/>
  <c r="N100" i="22"/>
  <c r="N94" i="22"/>
  <c r="N73" i="22"/>
  <c r="N52" i="22"/>
  <c r="O110" i="22"/>
  <c r="O105" i="22"/>
  <c r="O100" i="22"/>
  <c r="O94" i="22"/>
  <c r="O73" i="22"/>
  <c r="O52" i="22"/>
  <c r="P110" i="22"/>
  <c r="P105" i="22"/>
  <c r="P100" i="22"/>
  <c r="P94" i="22"/>
  <c r="P73" i="22"/>
  <c r="P52" i="22"/>
  <c r="Q110" i="22"/>
  <c r="Q105" i="22"/>
  <c r="Q100" i="22"/>
  <c r="Q94" i="22"/>
  <c r="Q73" i="22"/>
  <c r="Q52" i="22"/>
  <c r="R110" i="22"/>
  <c r="R105" i="22"/>
  <c r="R100" i="22"/>
  <c r="R94" i="22"/>
  <c r="R89" i="22"/>
  <c r="R84" i="22"/>
  <c r="R78" i="22"/>
  <c r="R73" i="22"/>
  <c r="R68" i="22"/>
  <c r="R62" i="22"/>
  <c r="R57" i="22"/>
  <c r="R52" i="22"/>
  <c r="R46" i="22"/>
  <c r="R41" i="22"/>
  <c r="R36" i="22"/>
  <c r="S68" i="22"/>
  <c r="S50" i="22"/>
  <c r="S34" i="22"/>
  <c r="T98" i="22"/>
  <c r="T34" i="22"/>
  <c r="U98" i="22"/>
  <c r="U34" i="22"/>
  <c r="V98" i="22"/>
  <c r="V82" i="22"/>
  <c r="W98" i="22"/>
  <c r="W82" i="22"/>
  <c r="Y98" i="22"/>
  <c r="Z98" i="22"/>
  <c r="AA66" i="22"/>
  <c r="V66" i="22" s="1"/>
  <c r="AA50" i="22"/>
  <c r="V50" i="22" s="1"/>
  <c r="AA34" i="22"/>
  <c r="W34" i="22" s="1"/>
  <c r="AV58" i="23"/>
  <c r="H58" i="23"/>
  <c r="U58" i="23" s="1"/>
  <c r="J58" i="23"/>
  <c r="K58" i="23"/>
  <c r="R58" i="23"/>
  <c r="Y58" i="23"/>
  <c r="S58" i="23"/>
  <c r="BF58" i="23"/>
  <c r="Q58" i="23" s="1"/>
  <c r="AS58" i="23"/>
  <c r="AA58" i="23"/>
  <c r="W58" i="23" s="1"/>
  <c r="AU58" i="23"/>
  <c r="X58" i="23"/>
  <c r="J97" i="23"/>
  <c r="K97" i="23"/>
  <c r="H97" i="23"/>
  <c r="AQ97" i="23"/>
  <c r="I97" i="23"/>
  <c r="R97" i="23"/>
  <c r="S97" i="23"/>
  <c r="AP97" i="23"/>
  <c r="Y97" i="23"/>
  <c r="W97" i="23"/>
  <c r="U97" i="23"/>
  <c r="T97" i="23"/>
  <c r="Q97" i="23"/>
  <c r="P97" i="23"/>
  <c r="O97" i="23"/>
  <c r="N97" i="23"/>
  <c r="M97" i="23"/>
  <c r="L97" i="23"/>
  <c r="AU97" i="23"/>
  <c r="AK33" i="22"/>
  <c r="AK33" i="23" s="1"/>
  <c r="AE33" i="22"/>
  <c r="AE33" i="23" s="1"/>
  <c r="AI33" i="22"/>
  <c r="AI33" i="23" s="1"/>
  <c r="AJ33" i="22"/>
  <c r="AJ33" i="23" s="1"/>
  <c r="AH33" i="22"/>
  <c r="AH33" i="23" s="1"/>
  <c r="AF33" i="22"/>
  <c r="AF33" i="23" s="1"/>
  <c r="AO33" i="22"/>
  <c r="AO33" i="23" s="1"/>
  <c r="AG33" i="22"/>
  <c r="AG33" i="23" s="1"/>
  <c r="AD33" i="22"/>
  <c r="AD33" i="23" s="1"/>
  <c r="AL33" i="22"/>
  <c r="AL33" i="23" s="1"/>
  <c r="AM33" i="22"/>
  <c r="AM33" i="23" s="1"/>
  <c r="AN33" i="22"/>
  <c r="AN33" i="23" s="1"/>
  <c r="H33" i="22"/>
  <c r="T33" i="22" s="1"/>
  <c r="BF33" i="22"/>
  <c r="BE33" i="22" s="1"/>
  <c r="AZ33" i="22"/>
  <c r="AZ33" i="23" s="1"/>
  <c r="AW33" i="22"/>
  <c r="AW33" i="23" s="1"/>
  <c r="BA33" i="22"/>
  <c r="BA33" i="23" s="1"/>
  <c r="BB33" i="22"/>
  <c r="BB33" i="23" s="1"/>
  <c r="AX33" i="22"/>
  <c r="AX33" i="23" s="1"/>
  <c r="AY33" i="22"/>
  <c r="AY33" i="23" s="1"/>
  <c r="X33" i="22"/>
  <c r="AB33" i="22"/>
  <c r="AB33" i="23" s="1"/>
  <c r="AC33" i="22"/>
  <c r="AC33" i="23" s="1"/>
  <c r="AA33" i="22"/>
  <c r="W33" i="22" s="1"/>
  <c r="S33" i="22"/>
  <c r="AL38" i="22"/>
  <c r="AL38" i="23" s="1"/>
  <c r="AD38" i="22"/>
  <c r="AD38" i="23" s="1"/>
  <c r="AH38" i="22"/>
  <c r="AH38" i="23" s="1"/>
  <c r="AO38" i="22"/>
  <c r="AO38" i="23" s="1"/>
  <c r="AJ38" i="22"/>
  <c r="AJ38" i="23" s="1"/>
  <c r="AK38" i="22"/>
  <c r="AK38" i="23" s="1"/>
  <c r="AF38" i="22"/>
  <c r="AF38" i="23" s="1"/>
  <c r="AN38" i="22"/>
  <c r="AN38" i="23" s="1"/>
  <c r="AM38" i="22"/>
  <c r="AM38" i="23" s="1"/>
  <c r="AE38" i="22"/>
  <c r="AE38" i="23" s="1"/>
  <c r="AG38" i="22"/>
  <c r="AG38" i="23" s="1"/>
  <c r="AI38" i="22"/>
  <c r="AI38" i="23" s="1"/>
  <c r="BF38" i="22"/>
  <c r="BE38" i="22" s="1"/>
  <c r="AX38" i="22"/>
  <c r="AX38" i="23" s="1"/>
  <c r="BB38" i="22"/>
  <c r="BB38" i="23" s="1"/>
  <c r="AY38" i="22"/>
  <c r="AY38" i="23" s="1"/>
  <c r="H38" i="22"/>
  <c r="AW38" i="22"/>
  <c r="AW38" i="23" s="1"/>
  <c r="AZ38" i="22"/>
  <c r="AZ38" i="23" s="1"/>
  <c r="BA38" i="22"/>
  <c r="BA38" i="23" s="1"/>
  <c r="X38" i="22"/>
  <c r="AB38" i="22"/>
  <c r="AB38" i="23" s="1"/>
  <c r="AC38" i="22"/>
  <c r="AC38" i="23" s="1"/>
  <c r="AK45" i="22"/>
  <c r="AK45" i="23" s="1"/>
  <c r="AJ45" i="22"/>
  <c r="AJ45" i="23" s="1"/>
  <c r="AL45" i="22"/>
  <c r="AL45" i="23" s="1"/>
  <c r="AD45" i="22"/>
  <c r="AD45" i="23" s="1"/>
  <c r="AH45" i="22"/>
  <c r="AH45" i="23" s="1"/>
  <c r="AO45" i="22"/>
  <c r="AO45" i="23" s="1"/>
  <c r="AE45" i="22"/>
  <c r="AE45" i="23" s="1"/>
  <c r="AM45" i="22"/>
  <c r="AM45" i="23" s="1"/>
  <c r="AF45" i="22"/>
  <c r="AF45" i="23" s="1"/>
  <c r="AN45" i="22"/>
  <c r="AN45" i="23" s="1"/>
  <c r="AI45" i="22"/>
  <c r="AI45" i="23" s="1"/>
  <c r="AG45" i="22"/>
  <c r="AG45" i="23" s="1"/>
  <c r="BE45" i="22"/>
  <c r="BF45" i="22"/>
  <c r="G45" i="22" s="1"/>
  <c r="AZ45" i="22"/>
  <c r="AZ45" i="23" s="1"/>
  <c r="H45" i="22"/>
  <c r="U45" i="22" s="1"/>
  <c r="AP45" i="22"/>
  <c r="AQ45" i="22"/>
  <c r="AW45" i="22"/>
  <c r="AW45" i="23" s="1"/>
  <c r="BA45" i="22"/>
  <c r="BA45" i="23" s="1"/>
  <c r="BB45" i="22"/>
  <c r="BB45" i="23" s="1"/>
  <c r="AX45" i="22"/>
  <c r="AX45" i="23" s="1"/>
  <c r="AY45" i="22"/>
  <c r="AY45" i="23" s="1"/>
  <c r="X45" i="22"/>
  <c r="AB45" i="22"/>
  <c r="AB45" i="23" s="1"/>
  <c r="AC45" i="22"/>
  <c r="AC45" i="23" s="1"/>
  <c r="AA45" i="22"/>
  <c r="W45" i="22" s="1"/>
  <c r="S45" i="22"/>
  <c r="AK49" i="22"/>
  <c r="AK49" i="23" s="1"/>
  <c r="AJ49" i="22"/>
  <c r="AJ49" i="23" s="1"/>
  <c r="AD49" i="22"/>
  <c r="AD49" i="23" s="1"/>
  <c r="AH49" i="22"/>
  <c r="AH49" i="23" s="1"/>
  <c r="AO49" i="22"/>
  <c r="AO49" i="23" s="1"/>
  <c r="AF49" i="22"/>
  <c r="AF49" i="23" s="1"/>
  <c r="AN49" i="22"/>
  <c r="AN49" i="23" s="1"/>
  <c r="AL49" i="22"/>
  <c r="AL49" i="23" s="1"/>
  <c r="AG49" i="22"/>
  <c r="AG49" i="23" s="1"/>
  <c r="AE49" i="22"/>
  <c r="AE49" i="23" s="1"/>
  <c r="AI49" i="22"/>
  <c r="AI49" i="23" s="1"/>
  <c r="AM49" i="22"/>
  <c r="AM49" i="23" s="1"/>
  <c r="H49" i="22"/>
  <c r="U49" i="22" s="1"/>
  <c r="BF49" i="22"/>
  <c r="AP49" i="22" s="1"/>
  <c r="AZ49" i="22"/>
  <c r="AZ49" i="23" s="1"/>
  <c r="AW49" i="22"/>
  <c r="AW49" i="23" s="1"/>
  <c r="BA49" i="22"/>
  <c r="BA49" i="23" s="1"/>
  <c r="BB49" i="22"/>
  <c r="BB49" i="23" s="1"/>
  <c r="AX49" i="22"/>
  <c r="AX49" i="23" s="1"/>
  <c r="AY49" i="22"/>
  <c r="AY49" i="23" s="1"/>
  <c r="X49" i="22"/>
  <c r="AB49" i="22"/>
  <c r="AB49" i="23" s="1"/>
  <c r="AC49" i="22"/>
  <c r="AC49" i="23" s="1"/>
  <c r="AA49" i="22"/>
  <c r="W49" i="22" s="1"/>
  <c r="S49" i="22"/>
  <c r="AJ51" i="22"/>
  <c r="AJ51" i="23" s="1"/>
  <c r="AL51" i="22"/>
  <c r="AL51" i="23" s="1"/>
  <c r="AD51" i="22"/>
  <c r="AD51" i="23" s="1"/>
  <c r="AH51" i="22"/>
  <c r="AH51" i="23" s="1"/>
  <c r="AO51" i="22"/>
  <c r="AO51" i="23" s="1"/>
  <c r="AE51" i="22"/>
  <c r="AE51" i="23" s="1"/>
  <c r="AI51" i="22"/>
  <c r="AI51" i="23" s="1"/>
  <c r="AG51" i="22"/>
  <c r="AG51" i="23" s="1"/>
  <c r="AM51" i="22"/>
  <c r="AM51" i="23" s="1"/>
  <c r="AK51" i="22"/>
  <c r="AK51" i="23" s="1"/>
  <c r="AN51" i="22"/>
  <c r="AN51" i="23" s="1"/>
  <c r="AF51" i="22"/>
  <c r="AF51" i="23" s="1"/>
  <c r="H51" i="22"/>
  <c r="U51" i="22" s="1"/>
  <c r="AZ51" i="22"/>
  <c r="AZ51" i="23" s="1"/>
  <c r="BF51" i="22"/>
  <c r="G51" i="22" s="1"/>
  <c r="AW51" i="22"/>
  <c r="AW51" i="23" s="1"/>
  <c r="BA51" i="22"/>
  <c r="BA51" i="23" s="1"/>
  <c r="AX51" i="22"/>
  <c r="AX51" i="23" s="1"/>
  <c r="AY51" i="22"/>
  <c r="AY51" i="23" s="1"/>
  <c r="BB51" i="22"/>
  <c r="BB51" i="23" s="1"/>
  <c r="X51" i="22"/>
  <c r="AB51" i="22"/>
  <c r="AB51" i="23" s="1"/>
  <c r="AC51" i="22"/>
  <c r="AC51" i="23" s="1"/>
  <c r="AA51" i="22"/>
  <c r="W51" i="22" s="1"/>
  <c r="S51" i="22"/>
  <c r="R51" i="22"/>
  <c r="O51" i="22"/>
  <c r="K51" i="22"/>
  <c r="J51" i="22"/>
  <c r="AL54" i="22"/>
  <c r="AL54" i="23" s="1"/>
  <c r="AJ54" i="22"/>
  <c r="AJ54" i="23" s="1"/>
  <c r="AK54" i="22"/>
  <c r="AK54" i="23" s="1"/>
  <c r="AE54" i="22"/>
  <c r="AE54" i="23" s="1"/>
  <c r="AI54" i="22"/>
  <c r="AI54" i="23" s="1"/>
  <c r="AF54" i="22"/>
  <c r="AF54" i="23" s="1"/>
  <c r="AM54" i="22"/>
  <c r="AM54" i="23" s="1"/>
  <c r="AD54" i="22"/>
  <c r="AD54" i="23" s="1"/>
  <c r="AO54" i="22"/>
  <c r="AO54" i="23" s="1"/>
  <c r="AG54" i="22"/>
  <c r="AG54" i="23" s="1"/>
  <c r="AH54" i="22"/>
  <c r="AH54" i="23" s="1"/>
  <c r="AN54" i="22"/>
  <c r="AN54" i="23" s="1"/>
  <c r="BE54" i="22"/>
  <c r="BF54" i="22"/>
  <c r="I54" i="22" s="1"/>
  <c r="AX54" i="22"/>
  <c r="AX54" i="23" s="1"/>
  <c r="H54" i="22"/>
  <c r="AP54" i="22"/>
  <c r="AQ54" i="22"/>
  <c r="BA54" i="22"/>
  <c r="BA54" i="23" s="1"/>
  <c r="AW54" i="22"/>
  <c r="AW54" i="23" s="1"/>
  <c r="BB54" i="22"/>
  <c r="BB54" i="23" s="1"/>
  <c r="AY54" i="22"/>
  <c r="AY54" i="23" s="1"/>
  <c r="AZ54" i="22"/>
  <c r="AZ54" i="23" s="1"/>
  <c r="X54" i="22"/>
  <c r="AB54" i="22"/>
  <c r="AB54" i="23" s="1"/>
  <c r="AC54" i="22"/>
  <c r="AC54" i="23" s="1"/>
  <c r="AJ56" i="22"/>
  <c r="AJ56" i="23" s="1"/>
  <c r="AK56" i="22"/>
  <c r="AK56" i="23" s="1"/>
  <c r="AG56" i="22"/>
  <c r="AG56" i="23" s="1"/>
  <c r="AN56" i="22"/>
  <c r="AN56" i="23" s="1"/>
  <c r="AL56" i="22"/>
  <c r="AL56" i="23" s="1"/>
  <c r="AD56" i="22"/>
  <c r="AD56" i="23" s="1"/>
  <c r="AH56" i="22"/>
  <c r="AH56" i="23" s="1"/>
  <c r="AO56" i="22"/>
  <c r="AO56" i="23" s="1"/>
  <c r="AM56" i="22"/>
  <c r="AM56" i="23" s="1"/>
  <c r="AE56" i="22"/>
  <c r="AE56" i="23" s="1"/>
  <c r="AF56" i="22"/>
  <c r="AF56" i="23" s="1"/>
  <c r="AI56" i="22"/>
  <c r="AI56" i="23" s="1"/>
  <c r="H56" i="22"/>
  <c r="I56" i="22"/>
  <c r="BE56" i="22"/>
  <c r="BF56" i="22"/>
  <c r="AP56" i="22" s="1"/>
  <c r="AW56" i="22"/>
  <c r="AW56" i="23" s="1"/>
  <c r="BA56" i="22"/>
  <c r="BA56" i="23" s="1"/>
  <c r="AX56" i="22"/>
  <c r="AX56" i="23" s="1"/>
  <c r="BB56" i="22"/>
  <c r="BB56" i="23" s="1"/>
  <c r="AY56" i="22"/>
  <c r="AY56" i="23" s="1"/>
  <c r="L56" i="22"/>
  <c r="X56" i="22"/>
  <c r="AZ56" i="22"/>
  <c r="AZ56" i="23" s="1"/>
  <c r="AB56" i="22"/>
  <c r="AB56" i="23" s="1"/>
  <c r="AC56" i="22"/>
  <c r="AC56" i="23" s="1"/>
  <c r="AA56" i="22"/>
  <c r="W56" i="22" s="1"/>
  <c r="U56" i="22"/>
  <c r="T56" i="22"/>
  <c r="AK57" i="22"/>
  <c r="AK57" i="23" s="1"/>
  <c r="AL57" i="22"/>
  <c r="AL57" i="23" s="1"/>
  <c r="AF57" i="22"/>
  <c r="AF57" i="23" s="1"/>
  <c r="AM57" i="22"/>
  <c r="AM57" i="23" s="1"/>
  <c r="AG57" i="22"/>
  <c r="AG57" i="23" s="1"/>
  <c r="AN57" i="22"/>
  <c r="AN57" i="23" s="1"/>
  <c r="AJ57" i="22"/>
  <c r="AJ57" i="23" s="1"/>
  <c r="AI57" i="22"/>
  <c r="AI57" i="23" s="1"/>
  <c r="AD57" i="22"/>
  <c r="AD57" i="23" s="1"/>
  <c r="AO57" i="22"/>
  <c r="AO57" i="23" s="1"/>
  <c r="AE57" i="22"/>
  <c r="AE57" i="23" s="1"/>
  <c r="AH57" i="22"/>
  <c r="AH57" i="23" s="1"/>
  <c r="H57" i="22"/>
  <c r="I57" i="22"/>
  <c r="BE57" i="22"/>
  <c r="BF57" i="22"/>
  <c r="G57" i="22" s="1"/>
  <c r="AY57" i="22"/>
  <c r="AY57" i="23" s="1"/>
  <c r="AZ57" i="22"/>
  <c r="AZ57" i="23" s="1"/>
  <c r="AW57" i="22"/>
  <c r="AW57" i="23" s="1"/>
  <c r="BA57" i="22"/>
  <c r="BA57" i="23" s="1"/>
  <c r="AX57" i="22"/>
  <c r="AX57" i="23" s="1"/>
  <c r="BB57" i="22"/>
  <c r="BB57" i="23" s="1"/>
  <c r="X57" i="22"/>
  <c r="AB57" i="22"/>
  <c r="AB57" i="23" s="1"/>
  <c r="AC57" i="22"/>
  <c r="AC57" i="23" s="1"/>
  <c r="AA57" i="22"/>
  <c r="W57" i="22" s="1"/>
  <c r="U57" i="22"/>
  <c r="T57" i="22"/>
  <c r="AL58" i="22"/>
  <c r="AL58" i="23" s="1"/>
  <c r="AJ58" i="22"/>
  <c r="AJ58" i="23" s="1"/>
  <c r="AE58" i="22"/>
  <c r="AE58" i="23" s="1"/>
  <c r="AI58" i="22"/>
  <c r="AI58" i="23" s="1"/>
  <c r="AF58" i="22"/>
  <c r="AF58" i="23" s="1"/>
  <c r="AM58" i="22"/>
  <c r="AM58" i="23" s="1"/>
  <c r="AK58" i="22"/>
  <c r="AK58" i="23" s="1"/>
  <c r="AH58" i="22"/>
  <c r="AH58" i="23" s="1"/>
  <c r="AN58" i="22"/>
  <c r="AN58" i="23" s="1"/>
  <c r="AD58" i="22"/>
  <c r="AD58" i="23" s="1"/>
  <c r="AO58" i="22"/>
  <c r="AO58" i="23" s="1"/>
  <c r="AG58" i="22"/>
  <c r="AG58" i="23" s="1"/>
  <c r="H58" i="22"/>
  <c r="BE58" i="22"/>
  <c r="BF58" i="22"/>
  <c r="AP58" i="22" s="1"/>
  <c r="AW58" i="22"/>
  <c r="AW58" i="23" s="1"/>
  <c r="BA58" i="22"/>
  <c r="BA58" i="23" s="1"/>
  <c r="AX58" i="22"/>
  <c r="AX58" i="23" s="1"/>
  <c r="BB58" i="22"/>
  <c r="BB58" i="23" s="1"/>
  <c r="L58" i="23" s="1"/>
  <c r="AY58" i="22"/>
  <c r="AY58" i="23" s="1"/>
  <c r="AZ58" i="22"/>
  <c r="AZ58" i="23" s="1"/>
  <c r="X58" i="22"/>
  <c r="L58" i="22"/>
  <c r="AB58" i="22"/>
  <c r="AB58" i="23" s="1"/>
  <c r="AC58" i="22"/>
  <c r="AC58" i="23" s="1"/>
  <c r="AK59" i="22"/>
  <c r="AK59" i="23" s="1"/>
  <c r="AL59" i="22"/>
  <c r="AL59" i="23" s="1"/>
  <c r="AJ59" i="22"/>
  <c r="AJ59" i="23" s="1"/>
  <c r="AD59" i="22"/>
  <c r="AD59" i="23" s="1"/>
  <c r="AH59" i="22"/>
  <c r="AH59" i="23" s="1"/>
  <c r="AO59" i="22"/>
  <c r="AO59" i="23" s="1"/>
  <c r="AE59" i="22"/>
  <c r="AE59" i="23" s="1"/>
  <c r="AI59" i="22"/>
  <c r="AI59" i="23" s="1"/>
  <c r="AG59" i="22"/>
  <c r="AG59" i="23" s="1"/>
  <c r="AM59" i="22"/>
  <c r="AM59" i="23" s="1"/>
  <c r="AN59" i="22"/>
  <c r="AN59" i="23" s="1"/>
  <c r="AF59" i="22"/>
  <c r="AF59" i="23" s="1"/>
  <c r="H59" i="22"/>
  <c r="U59" i="22" s="1"/>
  <c r="BF59" i="22"/>
  <c r="AP59" i="22" s="1"/>
  <c r="AY59" i="22"/>
  <c r="AY59" i="23" s="1"/>
  <c r="AZ59" i="22"/>
  <c r="AZ59" i="23" s="1"/>
  <c r="AW59" i="22"/>
  <c r="AW59" i="23" s="1"/>
  <c r="BA59" i="22"/>
  <c r="BA59" i="23" s="1"/>
  <c r="X59" i="22"/>
  <c r="BB59" i="22"/>
  <c r="BB59" i="23" s="1"/>
  <c r="AX59" i="22"/>
  <c r="AX59" i="23" s="1"/>
  <c r="AB59" i="22"/>
  <c r="AB59" i="23" s="1"/>
  <c r="AC59" i="22"/>
  <c r="AC59" i="23" s="1"/>
  <c r="AA59" i="22"/>
  <c r="W59" i="22"/>
  <c r="V59" i="22"/>
  <c r="S59" i="22"/>
  <c r="R59" i="22"/>
  <c r="K59" i="22"/>
  <c r="J59" i="22"/>
  <c r="AJ60" i="22"/>
  <c r="AJ60" i="23" s="1"/>
  <c r="AG60" i="22"/>
  <c r="AG60" i="23" s="1"/>
  <c r="AN60" i="22"/>
  <c r="AN60" i="23" s="1"/>
  <c r="AK60" i="22"/>
  <c r="AK60" i="23" s="1"/>
  <c r="AD60" i="22"/>
  <c r="AD60" i="23" s="1"/>
  <c r="AH60" i="22"/>
  <c r="AH60" i="23" s="1"/>
  <c r="AO60" i="22"/>
  <c r="AO60" i="23" s="1"/>
  <c r="AL60" i="22"/>
  <c r="AL60" i="23" s="1"/>
  <c r="AF60" i="22"/>
  <c r="AF60" i="23" s="1"/>
  <c r="AI60" i="22"/>
  <c r="AI60" i="23" s="1"/>
  <c r="AM60" i="22"/>
  <c r="AM60" i="23" s="1"/>
  <c r="AE60" i="22"/>
  <c r="AE60" i="23" s="1"/>
  <c r="H60" i="22"/>
  <c r="U60" i="22" s="1"/>
  <c r="AP60" i="22"/>
  <c r="BF60" i="22"/>
  <c r="AW60" i="22"/>
  <c r="AW60" i="23" s="1"/>
  <c r="BA60" i="22"/>
  <c r="BA60" i="23" s="1"/>
  <c r="AX60" i="22"/>
  <c r="AX60" i="23" s="1"/>
  <c r="BB60" i="22"/>
  <c r="AY60" i="22"/>
  <c r="AY60" i="23" s="1"/>
  <c r="X60" i="22"/>
  <c r="AZ60" i="22"/>
  <c r="AZ60" i="23" s="1"/>
  <c r="AB60" i="22"/>
  <c r="AB60" i="23" s="1"/>
  <c r="AC60" i="22"/>
  <c r="AC60" i="23" s="1"/>
  <c r="AA60" i="22"/>
  <c r="W60" i="22" s="1"/>
  <c r="T60" i="22"/>
  <c r="AK61" i="22"/>
  <c r="AK61" i="23" s="1"/>
  <c r="AJ61" i="22"/>
  <c r="AJ61" i="23" s="1"/>
  <c r="AL61" i="22"/>
  <c r="AL61" i="23" s="1"/>
  <c r="AF61" i="22"/>
  <c r="AF61" i="23" s="1"/>
  <c r="AM61" i="22"/>
  <c r="AM61" i="23" s="1"/>
  <c r="AG61" i="22"/>
  <c r="AG61" i="23" s="1"/>
  <c r="AN61" i="22"/>
  <c r="AN61" i="23" s="1"/>
  <c r="AE61" i="22"/>
  <c r="AE61" i="23" s="1"/>
  <c r="AH61" i="22"/>
  <c r="AH61" i="23" s="1"/>
  <c r="AI61" i="22"/>
  <c r="AI61" i="23" s="1"/>
  <c r="AD61" i="22"/>
  <c r="AD61" i="23" s="1"/>
  <c r="AO61" i="22"/>
  <c r="AO61" i="23" s="1"/>
  <c r="BF61" i="22"/>
  <c r="H61" i="22"/>
  <c r="T61" i="22" s="1"/>
  <c r="AY61" i="22"/>
  <c r="AY61" i="23" s="1"/>
  <c r="AZ61" i="22"/>
  <c r="AZ61" i="23" s="1"/>
  <c r="AW61" i="22"/>
  <c r="AW61" i="23" s="1"/>
  <c r="BA61" i="22"/>
  <c r="BA61" i="23" s="1"/>
  <c r="X61" i="22"/>
  <c r="AX61" i="22"/>
  <c r="AX61" i="23" s="1"/>
  <c r="BB61" i="22"/>
  <c r="AB61" i="22"/>
  <c r="AB61" i="23" s="1"/>
  <c r="AC61" i="22"/>
  <c r="AC61" i="23" s="1"/>
  <c r="AA61" i="22"/>
  <c r="W61" i="22" s="1"/>
  <c r="U61" i="22"/>
  <c r="AL62" i="22"/>
  <c r="AL62" i="23" s="1"/>
  <c r="AK62" i="22"/>
  <c r="AK62" i="23" s="1"/>
  <c r="AE62" i="22"/>
  <c r="AE62" i="23" s="1"/>
  <c r="AI62" i="22"/>
  <c r="AI62" i="23" s="1"/>
  <c r="AF62" i="22"/>
  <c r="AF62" i="23" s="1"/>
  <c r="AM62" i="22"/>
  <c r="AM62" i="23" s="1"/>
  <c r="AD62" i="22"/>
  <c r="AD62" i="23" s="1"/>
  <c r="AO62" i="22"/>
  <c r="AO62" i="23" s="1"/>
  <c r="AJ62" i="22"/>
  <c r="AJ62" i="23" s="1"/>
  <c r="AG62" i="22"/>
  <c r="AG62" i="23" s="1"/>
  <c r="AH62" i="22"/>
  <c r="AH62" i="23" s="1"/>
  <c r="AN62" i="22"/>
  <c r="AN62" i="23" s="1"/>
  <c r="BF62" i="22"/>
  <c r="H62" i="22"/>
  <c r="AW62" i="22"/>
  <c r="AW62" i="23" s="1"/>
  <c r="BA62" i="22"/>
  <c r="BA62" i="23" s="1"/>
  <c r="AX62" i="22"/>
  <c r="AX62" i="23" s="1"/>
  <c r="BB62" i="22"/>
  <c r="AY62" i="22"/>
  <c r="AY62" i="23" s="1"/>
  <c r="AZ62" i="22"/>
  <c r="AZ62" i="23" s="1"/>
  <c r="X62" i="22"/>
  <c r="AB62" i="22"/>
  <c r="AB62" i="23" s="1"/>
  <c r="AC62" i="22"/>
  <c r="AC62" i="23" s="1"/>
  <c r="AJ63" i="22"/>
  <c r="AJ63" i="23" s="1"/>
  <c r="AK63" i="22"/>
  <c r="AK63" i="23" s="1"/>
  <c r="AD63" i="22"/>
  <c r="AD63" i="23" s="1"/>
  <c r="AH63" i="22"/>
  <c r="AH63" i="23" s="1"/>
  <c r="AO63" i="22"/>
  <c r="AO63" i="23" s="1"/>
  <c r="AL63" i="22"/>
  <c r="AL63" i="23" s="1"/>
  <c r="AE63" i="22"/>
  <c r="AE63" i="23" s="1"/>
  <c r="AI63" i="22"/>
  <c r="AI63" i="23" s="1"/>
  <c r="AN63" i="22"/>
  <c r="AN63" i="23" s="1"/>
  <c r="AF63" i="22"/>
  <c r="AF63" i="23" s="1"/>
  <c r="AG63" i="22"/>
  <c r="AG63" i="23" s="1"/>
  <c r="AM63" i="22"/>
  <c r="AM63" i="23" s="1"/>
  <c r="H63" i="22"/>
  <c r="BE63" i="22"/>
  <c r="BF63" i="22"/>
  <c r="AP63" i="22" s="1"/>
  <c r="AY63" i="22"/>
  <c r="AY63" i="23" s="1"/>
  <c r="AZ63" i="22"/>
  <c r="AZ63" i="23" s="1"/>
  <c r="AW63" i="22"/>
  <c r="AW63" i="23" s="1"/>
  <c r="BA63" i="22"/>
  <c r="BA63" i="23" s="1"/>
  <c r="X63" i="22"/>
  <c r="AX63" i="22"/>
  <c r="AX63" i="23" s="1"/>
  <c r="BB63" i="22"/>
  <c r="BB63" i="23" s="1"/>
  <c r="AB63" i="22"/>
  <c r="AB63" i="23" s="1"/>
  <c r="AC63" i="22"/>
  <c r="AC63" i="23" s="1"/>
  <c r="AA63" i="22"/>
  <c r="W63" i="22" s="1"/>
  <c r="S63" i="22"/>
  <c r="R63" i="22"/>
  <c r="Q63" i="22"/>
  <c r="N63" i="22"/>
  <c r="K63" i="22"/>
  <c r="J63" i="22"/>
  <c r="AJ64" i="22"/>
  <c r="AJ64" i="23" s="1"/>
  <c r="AL64" i="22"/>
  <c r="AL64" i="23" s="1"/>
  <c r="AG64" i="22"/>
  <c r="AG64" i="23" s="1"/>
  <c r="AN64" i="22"/>
  <c r="AN64" i="23" s="1"/>
  <c r="AD64" i="22"/>
  <c r="AD64" i="23" s="1"/>
  <c r="AH64" i="22"/>
  <c r="AH64" i="23" s="1"/>
  <c r="AO64" i="22"/>
  <c r="AO64" i="23" s="1"/>
  <c r="AK64" i="22"/>
  <c r="AK64" i="23" s="1"/>
  <c r="AM64" i="22"/>
  <c r="AM64" i="23" s="1"/>
  <c r="AE64" i="22"/>
  <c r="AE64" i="23" s="1"/>
  <c r="AF64" i="22"/>
  <c r="AF64" i="23" s="1"/>
  <c r="AI64" i="22"/>
  <c r="AI64" i="23" s="1"/>
  <c r="H64" i="22"/>
  <c r="BE64" i="22"/>
  <c r="BF64" i="22"/>
  <c r="AP64" i="22" s="1"/>
  <c r="AW64" i="22"/>
  <c r="AW64" i="23" s="1"/>
  <c r="BA64" i="22"/>
  <c r="BA64" i="23" s="1"/>
  <c r="AX64" i="22"/>
  <c r="AX64" i="23" s="1"/>
  <c r="BB64" i="22"/>
  <c r="BB64" i="23" s="1"/>
  <c r="AY64" i="22"/>
  <c r="AY64" i="23" s="1"/>
  <c r="AZ64" i="22"/>
  <c r="AZ64" i="23" s="1"/>
  <c r="X64" i="22"/>
  <c r="L64" i="22"/>
  <c r="AB64" i="22"/>
  <c r="AB64" i="23" s="1"/>
  <c r="AC64" i="22"/>
  <c r="AC64" i="23" s="1"/>
  <c r="M64" i="22"/>
  <c r="AA64" i="22"/>
  <c r="W64" i="22" s="1"/>
  <c r="V64" i="22"/>
  <c r="AK65" i="22"/>
  <c r="AK65" i="23" s="1"/>
  <c r="AJ65" i="22"/>
  <c r="AJ65" i="23" s="1"/>
  <c r="AF65" i="22"/>
  <c r="AF65" i="23" s="1"/>
  <c r="AM65" i="22"/>
  <c r="AM65" i="23" s="1"/>
  <c r="AG65" i="22"/>
  <c r="AG65" i="23" s="1"/>
  <c r="AN65" i="22"/>
  <c r="AN65" i="23" s="1"/>
  <c r="AI65" i="22"/>
  <c r="AI65" i="23" s="1"/>
  <c r="AD65" i="22"/>
  <c r="AD65" i="23" s="1"/>
  <c r="AO65" i="22"/>
  <c r="AO65" i="23" s="1"/>
  <c r="AL65" i="22"/>
  <c r="AL65" i="23" s="1"/>
  <c r="AE65" i="22"/>
  <c r="AE65" i="23" s="1"/>
  <c r="AH65" i="22"/>
  <c r="AH65" i="23" s="1"/>
  <c r="H65" i="22"/>
  <c r="BF65" i="22"/>
  <c r="AY65" i="22"/>
  <c r="AY65" i="23" s="1"/>
  <c r="AZ65" i="22"/>
  <c r="AZ65" i="23" s="1"/>
  <c r="AW65" i="22"/>
  <c r="AW65" i="23" s="1"/>
  <c r="BA65" i="22"/>
  <c r="BA65" i="23" s="1"/>
  <c r="AX65" i="22"/>
  <c r="AX65" i="23" s="1"/>
  <c r="X65" i="22"/>
  <c r="BB65" i="22"/>
  <c r="BB65" i="23" s="1"/>
  <c r="AB65" i="22"/>
  <c r="AB65" i="23" s="1"/>
  <c r="AC65" i="22"/>
  <c r="AC65" i="23" s="1"/>
  <c r="AA65" i="22"/>
  <c r="W65" i="22" s="1"/>
  <c r="AJ67" i="22"/>
  <c r="AJ67" i="23" s="1"/>
  <c r="AK67" i="22"/>
  <c r="AK67" i="23" s="1"/>
  <c r="AL67" i="22"/>
  <c r="AL67" i="23" s="1"/>
  <c r="AF67" i="22"/>
  <c r="AF67" i="23" s="1"/>
  <c r="AM67" i="22"/>
  <c r="AM67" i="23" s="1"/>
  <c r="AG67" i="22"/>
  <c r="AG67" i="23" s="1"/>
  <c r="AN67" i="22"/>
  <c r="AN67" i="23" s="1"/>
  <c r="AD67" i="22"/>
  <c r="AD67" i="23" s="1"/>
  <c r="AH67" i="22"/>
  <c r="AH67" i="23" s="1"/>
  <c r="AO67" i="22"/>
  <c r="AO67" i="23" s="1"/>
  <c r="AE67" i="22"/>
  <c r="AE67" i="23" s="1"/>
  <c r="AI67" i="22"/>
  <c r="AI67" i="23" s="1"/>
  <c r="H67" i="22"/>
  <c r="BF67" i="22"/>
  <c r="AY67" i="22"/>
  <c r="AY67" i="23" s="1"/>
  <c r="AZ67" i="22"/>
  <c r="AZ67" i="23" s="1"/>
  <c r="AW67" i="22"/>
  <c r="AW67" i="23" s="1"/>
  <c r="BA67" i="22"/>
  <c r="BA67" i="23" s="1"/>
  <c r="X67" i="22"/>
  <c r="BB67" i="22"/>
  <c r="AX67" i="22"/>
  <c r="AX67" i="23" s="1"/>
  <c r="AB67" i="22"/>
  <c r="AB67" i="23" s="1"/>
  <c r="AC67" i="22"/>
  <c r="AC67" i="23" s="1"/>
  <c r="AA67" i="22"/>
  <c r="W67" i="22" s="1"/>
  <c r="V67" i="22"/>
  <c r="S67" i="22"/>
  <c r="R67" i="22"/>
  <c r="N67" i="22"/>
  <c r="K67" i="22"/>
  <c r="J67" i="22"/>
  <c r="AL70" i="22"/>
  <c r="AL70" i="23" s="1"/>
  <c r="AJ70" i="22"/>
  <c r="AJ70" i="23" s="1"/>
  <c r="AK70" i="22"/>
  <c r="AK70" i="23" s="1"/>
  <c r="AG70" i="22"/>
  <c r="AG70" i="23" s="1"/>
  <c r="AN70" i="22"/>
  <c r="AN70" i="23" s="1"/>
  <c r="AD70" i="22"/>
  <c r="AD70" i="23" s="1"/>
  <c r="AH70" i="22"/>
  <c r="AH70" i="23" s="1"/>
  <c r="AO70" i="22"/>
  <c r="AO70" i="23" s="1"/>
  <c r="AE70" i="22"/>
  <c r="AE70" i="23" s="1"/>
  <c r="AI70" i="22"/>
  <c r="AI70" i="23" s="1"/>
  <c r="AF70" i="22"/>
  <c r="AF70" i="23" s="1"/>
  <c r="AM70" i="22"/>
  <c r="AM70" i="23" s="1"/>
  <c r="I70" i="22"/>
  <c r="BF70" i="22"/>
  <c r="BE70" i="22" s="1"/>
  <c r="H70" i="22"/>
  <c r="AP70" i="22"/>
  <c r="AW70" i="22"/>
  <c r="AW70" i="23" s="1"/>
  <c r="BA70" i="22"/>
  <c r="BA70" i="23" s="1"/>
  <c r="AX70" i="22"/>
  <c r="AX70" i="23" s="1"/>
  <c r="BB70" i="22"/>
  <c r="BB70" i="23" s="1"/>
  <c r="AY70" i="22"/>
  <c r="AY70" i="23" s="1"/>
  <c r="AZ70" i="22"/>
  <c r="AZ70" i="23" s="1"/>
  <c r="X70" i="22"/>
  <c r="AB70" i="22"/>
  <c r="AB70" i="23" s="1"/>
  <c r="AC70" i="22"/>
  <c r="AC70" i="23" s="1"/>
  <c r="AL71" i="22"/>
  <c r="AL71" i="23" s="1"/>
  <c r="AJ71" i="22"/>
  <c r="AJ71" i="23" s="1"/>
  <c r="AK71" i="22"/>
  <c r="AK71" i="23" s="1"/>
  <c r="AF71" i="22"/>
  <c r="AF71" i="23" s="1"/>
  <c r="AM71" i="22"/>
  <c r="AM71" i="23" s="1"/>
  <c r="AG71" i="22"/>
  <c r="AG71" i="23" s="1"/>
  <c r="AN71" i="22"/>
  <c r="AN71" i="23" s="1"/>
  <c r="AD71" i="22"/>
  <c r="AD71" i="23" s="1"/>
  <c r="AH71" i="22"/>
  <c r="AH71" i="23" s="1"/>
  <c r="AO71" i="22"/>
  <c r="AO71" i="23" s="1"/>
  <c r="AI71" i="22"/>
  <c r="AI71" i="23" s="1"/>
  <c r="AE71" i="22"/>
  <c r="AE71" i="23" s="1"/>
  <c r="H71" i="22"/>
  <c r="U71" i="22" s="1"/>
  <c r="I71" i="22"/>
  <c r="BF71" i="22"/>
  <c r="AP71" i="22" s="1"/>
  <c r="AY71" i="22"/>
  <c r="AY71" i="23" s="1"/>
  <c r="AZ71" i="22"/>
  <c r="AZ71" i="23" s="1"/>
  <c r="AW71" i="22"/>
  <c r="AW71" i="23" s="1"/>
  <c r="BA71" i="22"/>
  <c r="BA71" i="23" s="1"/>
  <c r="X71" i="22"/>
  <c r="AX71" i="22"/>
  <c r="AX71" i="23" s="1"/>
  <c r="BB71" i="22"/>
  <c r="BB71" i="23" s="1"/>
  <c r="AB71" i="22"/>
  <c r="AB71" i="23" s="1"/>
  <c r="AC71" i="22"/>
  <c r="AC71" i="23" s="1"/>
  <c r="AA71" i="22"/>
  <c r="W71" i="22" s="1"/>
  <c r="S71" i="22"/>
  <c r="R71" i="22"/>
  <c r="P71" i="22"/>
  <c r="O71" i="22"/>
  <c r="K71" i="22"/>
  <c r="J71" i="22"/>
  <c r="AJ72" i="22"/>
  <c r="AJ72" i="23" s="1"/>
  <c r="AK72" i="22"/>
  <c r="AK72" i="23" s="1"/>
  <c r="AL72" i="22"/>
  <c r="AL72" i="23" s="1"/>
  <c r="AE72" i="22"/>
  <c r="AE72" i="23" s="1"/>
  <c r="AI72" i="22"/>
  <c r="AI72" i="23" s="1"/>
  <c r="AF72" i="22"/>
  <c r="AF72" i="23" s="1"/>
  <c r="AM72" i="22"/>
  <c r="AM72" i="23" s="1"/>
  <c r="AG72" i="22"/>
  <c r="AG72" i="23" s="1"/>
  <c r="AN72" i="22"/>
  <c r="AN72" i="23" s="1"/>
  <c r="AD72" i="22"/>
  <c r="AD72" i="23" s="1"/>
  <c r="AH72" i="22"/>
  <c r="AH72" i="23" s="1"/>
  <c r="AO72" i="22"/>
  <c r="AO72" i="23" s="1"/>
  <c r="H72" i="22"/>
  <c r="U72" i="22" s="1"/>
  <c r="AQ72" i="22"/>
  <c r="I72" i="22"/>
  <c r="BF72" i="22"/>
  <c r="AP72" i="22" s="1"/>
  <c r="AW72" i="22"/>
  <c r="AW72" i="23" s="1"/>
  <c r="BA72" i="22"/>
  <c r="BA72" i="23" s="1"/>
  <c r="AX72" i="22"/>
  <c r="AX72" i="23" s="1"/>
  <c r="BB72" i="22"/>
  <c r="BB72" i="23" s="1"/>
  <c r="AY72" i="22"/>
  <c r="AY72" i="23" s="1"/>
  <c r="X72" i="22"/>
  <c r="AZ72" i="22"/>
  <c r="AZ72" i="23" s="1"/>
  <c r="AB72" i="22"/>
  <c r="AB72" i="23" s="1"/>
  <c r="AC72" i="22"/>
  <c r="AC72" i="23" s="1"/>
  <c r="AA72" i="22"/>
  <c r="W72" i="22" s="1"/>
  <c r="T72" i="22"/>
  <c r="AK73" i="22"/>
  <c r="AK73" i="23" s="1"/>
  <c r="AL73" i="22"/>
  <c r="AL73" i="23" s="1"/>
  <c r="AJ73" i="22"/>
  <c r="AJ73" i="23" s="1"/>
  <c r="AD73" i="22"/>
  <c r="AD73" i="23" s="1"/>
  <c r="AH73" i="22"/>
  <c r="AH73" i="23" s="1"/>
  <c r="AO73" i="22"/>
  <c r="AO73" i="23" s="1"/>
  <c r="AE73" i="22"/>
  <c r="AE73" i="23" s="1"/>
  <c r="AI73" i="22"/>
  <c r="AI73" i="23" s="1"/>
  <c r="AF73" i="22"/>
  <c r="AF73" i="23" s="1"/>
  <c r="AM73" i="22"/>
  <c r="AM73" i="23" s="1"/>
  <c r="AN73" i="22"/>
  <c r="AN73" i="23" s="1"/>
  <c r="AG73" i="22"/>
  <c r="AG73" i="23" s="1"/>
  <c r="H73" i="22"/>
  <c r="AP73" i="22"/>
  <c r="AQ73" i="22"/>
  <c r="I73" i="22"/>
  <c r="BE73" i="22"/>
  <c r="BF73" i="22"/>
  <c r="AY73" i="22"/>
  <c r="AY73" i="23" s="1"/>
  <c r="AZ73" i="22"/>
  <c r="AZ73" i="23" s="1"/>
  <c r="AW73" i="22"/>
  <c r="AW73" i="23" s="1"/>
  <c r="BA73" i="22"/>
  <c r="BA73" i="23" s="1"/>
  <c r="AX73" i="22"/>
  <c r="AX73" i="23" s="1"/>
  <c r="BB73" i="22"/>
  <c r="BB73" i="23" s="1"/>
  <c r="L73" i="22"/>
  <c r="X73" i="22"/>
  <c r="AB73" i="22"/>
  <c r="AB73" i="23" s="1"/>
  <c r="AC73" i="22"/>
  <c r="AC73" i="23" s="1"/>
  <c r="M73" i="22"/>
  <c r="AA73" i="22"/>
  <c r="Z73" i="22"/>
  <c r="Y73" i="22"/>
  <c r="W73" i="22"/>
  <c r="V73" i="22"/>
  <c r="U73" i="22"/>
  <c r="T73" i="22"/>
  <c r="AL74" i="22"/>
  <c r="AL74" i="23" s="1"/>
  <c r="AJ74" i="22"/>
  <c r="AJ74" i="23" s="1"/>
  <c r="AK74" i="22"/>
  <c r="AK74" i="23" s="1"/>
  <c r="AG74" i="22"/>
  <c r="AG74" i="23" s="1"/>
  <c r="AN74" i="22"/>
  <c r="AN74" i="23" s="1"/>
  <c r="AD74" i="22"/>
  <c r="AD74" i="23" s="1"/>
  <c r="AH74" i="22"/>
  <c r="AH74" i="23" s="1"/>
  <c r="AO74" i="22"/>
  <c r="AO74" i="23" s="1"/>
  <c r="AE74" i="22"/>
  <c r="AE74" i="23" s="1"/>
  <c r="AI74" i="22"/>
  <c r="AI74" i="23" s="1"/>
  <c r="AF74" i="22"/>
  <c r="AF74" i="23" s="1"/>
  <c r="AM74" i="22"/>
  <c r="AM74" i="23" s="1"/>
  <c r="H74" i="22"/>
  <c r="BF74" i="22"/>
  <c r="AQ74" i="22" s="1"/>
  <c r="AW74" i="22"/>
  <c r="AW74" i="23" s="1"/>
  <c r="BA74" i="22"/>
  <c r="BA74" i="23" s="1"/>
  <c r="AX74" i="22"/>
  <c r="AX74" i="23" s="1"/>
  <c r="BB74" i="22"/>
  <c r="BB74" i="23" s="1"/>
  <c r="AY74" i="22"/>
  <c r="AY74" i="23" s="1"/>
  <c r="AZ74" i="22"/>
  <c r="AZ74" i="23" s="1"/>
  <c r="X74" i="22"/>
  <c r="AB74" i="22"/>
  <c r="AB74" i="23" s="1"/>
  <c r="AC74" i="22"/>
  <c r="AC74" i="23" s="1"/>
  <c r="AK75" i="22"/>
  <c r="AK75" i="23" s="1"/>
  <c r="AL75" i="22"/>
  <c r="AL75" i="23" s="1"/>
  <c r="AJ75" i="22"/>
  <c r="AJ75" i="23" s="1"/>
  <c r="AF75" i="22"/>
  <c r="AF75" i="23" s="1"/>
  <c r="AM75" i="22"/>
  <c r="AM75" i="23" s="1"/>
  <c r="AG75" i="22"/>
  <c r="AG75" i="23" s="1"/>
  <c r="AN75" i="22"/>
  <c r="AN75" i="23" s="1"/>
  <c r="AD75" i="22"/>
  <c r="AD75" i="23" s="1"/>
  <c r="AH75" i="22"/>
  <c r="AH75" i="23" s="1"/>
  <c r="AO75" i="22"/>
  <c r="AO75" i="23" s="1"/>
  <c r="AI75" i="22"/>
  <c r="AI75" i="23" s="1"/>
  <c r="AE75" i="22"/>
  <c r="AE75" i="23" s="1"/>
  <c r="H75" i="22"/>
  <c r="U75" i="22" s="1"/>
  <c r="AQ75" i="22"/>
  <c r="BF75" i="22"/>
  <c r="AP75" i="22" s="1"/>
  <c r="AY75" i="22"/>
  <c r="AY75" i="23" s="1"/>
  <c r="AZ75" i="22"/>
  <c r="AZ75" i="23" s="1"/>
  <c r="AW75" i="22"/>
  <c r="AW75" i="23" s="1"/>
  <c r="BA75" i="22"/>
  <c r="BA75" i="23" s="1"/>
  <c r="X75" i="22"/>
  <c r="BB75" i="22"/>
  <c r="BB75" i="23" s="1"/>
  <c r="AX75" i="22"/>
  <c r="AX75" i="23" s="1"/>
  <c r="AB75" i="22"/>
  <c r="AB75" i="23" s="1"/>
  <c r="AC75" i="22"/>
  <c r="AC75" i="23" s="1"/>
  <c r="AA75" i="22"/>
  <c r="W75" i="22" s="1"/>
  <c r="S75" i="22"/>
  <c r="R75" i="22"/>
  <c r="P75" i="22"/>
  <c r="O75" i="22"/>
  <c r="K75" i="22"/>
  <c r="J75" i="22"/>
  <c r="AJ76" i="22"/>
  <c r="AJ76" i="23" s="1"/>
  <c r="AL76" i="22"/>
  <c r="AL76" i="23" s="1"/>
  <c r="AE76" i="22"/>
  <c r="AE76" i="23" s="1"/>
  <c r="AI76" i="22"/>
  <c r="AI76" i="23" s="1"/>
  <c r="AK76" i="22"/>
  <c r="AK76" i="23" s="1"/>
  <c r="AF76" i="22"/>
  <c r="AF76" i="23" s="1"/>
  <c r="AM76" i="22"/>
  <c r="AM76" i="23" s="1"/>
  <c r="AG76" i="22"/>
  <c r="AG76" i="23" s="1"/>
  <c r="AN76" i="22"/>
  <c r="AN76" i="23" s="1"/>
  <c r="AD76" i="22"/>
  <c r="AD76" i="23" s="1"/>
  <c r="AH76" i="22"/>
  <c r="AH76" i="23" s="1"/>
  <c r="AO76" i="22"/>
  <c r="AO76" i="23" s="1"/>
  <c r="H76" i="22"/>
  <c r="AQ76" i="22"/>
  <c r="I76" i="22"/>
  <c r="BF76" i="22"/>
  <c r="AP76" i="22" s="1"/>
  <c r="AW76" i="22"/>
  <c r="AW76" i="23" s="1"/>
  <c r="BA76" i="22"/>
  <c r="BA76" i="23" s="1"/>
  <c r="AX76" i="22"/>
  <c r="AX76" i="23" s="1"/>
  <c r="BB76" i="22"/>
  <c r="BB76" i="23" s="1"/>
  <c r="AY76" i="22"/>
  <c r="AY76" i="23" s="1"/>
  <c r="X76" i="22"/>
  <c r="AZ76" i="22"/>
  <c r="AZ76" i="23" s="1"/>
  <c r="AB76" i="22"/>
  <c r="AB76" i="23" s="1"/>
  <c r="AC76" i="22"/>
  <c r="AC76" i="23" s="1"/>
  <c r="AA76" i="22"/>
  <c r="W76" i="22" s="1"/>
  <c r="U76" i="22"/>
  <c r="T76" i="22"/>
  <c r="AK77" i="22"/>
  <c r="AK77" i="23" s="1"/>
  <c r="AJ77" i="22"/>
  <c r="AJ77" i="23" s="1"/>
  <c r="AL77" i="22"/>
  <c r="AL77" i="23" s="1"/>
  <c r="AD77" i="22"/>
  <c r="AD77" i="23" s="1"/>
  <c r="AH77" i="22"/>
  <c r="AH77" i="23" s="1"/>
  <c r="AO77" i="22"/>
  <c r="AO77" i="23" s="1"/>
  <c r="AE77" i="22"/>
  <c r="AE77" i="23" s="1"/>
  <c r="AI77" i="22"/>
  <c r="AI77" i="23" s="1"/>
  <c r="AF77" i="22"/>
  <c r="AF77" i="23" s="1"/>
  <c r="AM77" i="22"/>
  <c r="AM77" i="23" s="1"/>
  <c r="AG77" i="22"/>
  <c r="AG77" i="23" s="1"/>
  <c r="AN77" i="22"/>
  <c r="AN77" i="23" s="1"/>
  <c r="BF77" i="22"/>
  <c r="BE77" i="22" s="1"/>
  <c r="H77" i="22"/>
  <c r="T77" i="22" s="1"/>
  <c r="AY77" i="22"/>
  <c r="AY77" i="23" s="1"/>
  <c r="AZ77" i="22"/>
  <c r="AZ77" i="23" s="1"/>
  <c r="AW77" i="22"/>
  <c r="AW77" i="23" s="1"/>
  <c r="BA77" i="22"/>
  <c r="BA77" i="23" s="1"/>
  <c r="X77" i="22"/>
  <c r="AX77" i="22"/>
  <c r="AX77" i="23" s="1"/>
  <c r="BB77" i="22"/>
  <c r="BB77" i="23" s="1"/>
  <c r="AB77" i="22"/>
  <c r="AB77" i="23" s="1"/>
  <c r="AC77" i="22"/>
  <c r="AC77" i="23" s="1"/>
  <c r="M77" i="22"/>
  <c r="AA77" i="22"/>
  <c r="W77" i="22"/>
  <c r="V77" i="22"/>
  <c r="U77" i="22"/>
  <c r="AL78" i="22"/>
  <c r="AL78" i="23" s="1"/>
  <c r="AJ78" i="22"/>
  <c r="AJ78" i="23" s="1"/>
  <c r="AK78" i="22"/>
  <c r="AK78" i="23" s="1"/>
  <c r="AG78" i="22"/>
  <c r="AG78" i="23" s="1"/>
  <c r="AN78" i="22"/>
  <c r="AN78" i="23" s="1"/>
  <c r="AD78" i="22"/>
  <c r="AD78" i="23" s="1"/>
  <c r="AH78" i="22"/>
  <c r="AH78" i="23" s="1"/>
  <c r="AO78" i="22"/>
  <c r="AO78" i="23" s="1"/>
  <c r="AE78" i="22"/>
  <c r="AE78" i="23" s="1"/>
  <c r="AI78" i="22"/>
  <c r="AI78" i="23" s="1"/>
  <c r="AM78" i="22"/>
  <c r="AM78" i="23" s="1"/>
  <c r="AF78" i="22"/>
  <c r="AF78" i="23" s="1"/>
  <c r="BF78" i="22"/>
  <c r="O78" i="22" s="1"/>
  <c r="H78" i="22"/>
  <c r="AW78" i="22"/>
  <c r="AW78" i="23" s="1"/>
  <c r="BA78" i="22"/>
  <c r="BA78" i="23" s="1"/>
  <c r="AX78" i="22"/>
  <c r="AX78" i="23" s="1"/>
  <c r="BB78" i="22"/>
  <c r="BB78" i="23" s="1"/>
  <c r="AY78" i="22"/>
  <c r="AY78" i="23" s="1"/>
  <c r="AZ78" i="22"/>
  <c r="AZ78" i="23" s="1"/>
  <c r="X78" i="22"/>
  <c r="AB78" i="22"/>
  <c r="AB78" i="23" s="1"/>
  <c r="AC78" i="22"/>
  <c r="AC78" i="23" s="1"/>
  <c r="AJ79" i="22"/>
  <c r="AJ79" i="23" s="1"/>
  <c r="AK79" i="22"/>
  <c r="AK79" i="23" s="1"/>
  <c r="AF79" i="22"/>
  <c r="AF79" i="23" s="1"/>
  <c r="AM79" i="22"/>
  <c r="AM79" i="23" s="1"/>
  <c r="AG79" i="22"/>
  <c r="AG79" i="23" s="1"/>
  <c r="AN79" i="22"/>
  <c r="AN79" i="23" s="1"/>
  <c r="AL79" i="22"/>
  <c r="AL79" i="23" s="1"/>
  <c r="AD79" i="22"/>
  <c r="AD79" i="23" s="1"/>
  <c r="AH79" i="22"/>
  <c r="AH79" i="23" s="1"/>
  <c r="AO79" i="22"/>
  <c r="AO79" i="23" s="1"/>
  <c r="AE79" i="22"/>
  <c r="AE79" i="23" s="1"/>
  <c r="AI79" i="22"/>
  <c r="AI79" i="23" s="1"/>
  <c r="H79" i="22"/>
  <c r="T79" i="22" s="1"/>
  <c r="I79" i="22"/>
  <c r="BF79" i="22"/>
  <c r="BE79" i="22" s="1"/>
  <c r="AY79" i="22"/>
  <c r="AY79" i="23" s="1"/>
  <c r="AZ79" i="22"/>
  <c r="AZ79" i="23" s="1"/>
  <c r="AW79" i="22"/>
  <c r="AW79" i="23" s="1"/>
  <c r="BA79" i="22"/>
  <c r="BA79" i="23" s="1"/>
  <c r="X79" i="22"/>
  <c r="AX79" i="22"/>
  <c r="AX79" i="23" s="1"/>
  <c r="BB79" i="22"/>
  <c r="BB79" i="23" s="1"/>
  <c r="AB79" i="22"/>
  <c r="AB79" i="23" s="1"/>
  <c r="AC79" i="22"/>
  <c r="AC79" i="23" s="1"/>
  <c r="AA79" i="22"/>
  <c r="W79" i="22"/>
  <c r="V79" i="22"/>
  <c r="U79" i="22"/>
  <c r="S79" i="22"/>
  <c r="R79" i="22"/>
  <c r="Q79" i="22"/>
  <c r="O79" i="22"/>
  <c r="K79" i="22"/>
  <c r="J79" i="22"/>
  <c r="AJ80" i="22"/>
  <c r="AJ80" i="23" s="1"/>
  <c r="AL80" i="22"/>
  <c r="AL80" i="23" s="1"/>
  <c r="AK80" i="22"/>
  <c r="AK80" i="23" s="1"/>
  <c r="AE80" i="22"/>
  <c r="AE80" i="23" s="1"/>
  <c r="AI80" i="22"/>
  <c r="AI80" i="23" s="1"/>
  <c r="AF80" i="22"/>
  <c r="AF80" i="23" s="1"/>
  <c r="AM80" i="22"/>
  <c r="AM80" i="23" s="1"/>
  <c r="AG80" i="22"/>
  <c r="AG80" i="23" s="1"/>
  <c r="AN80" i="22"/>
  <c r="AN80" i="23" s="1"/>
  <c r="AO80" i="22"/>
  <c r="AO80" i="23" s="1"/>
  <c r="AH80" i="22"/>
  <c r="AH80" i="23" s="1"/>
  <c r="AD80" i="22"/>
  <c r="AD80" i="23" s="1"/>
  <c r="H80" i="22"/>
  <c r="BF80" i="22"/>
  <c r="BE80" i="22" s="1"/>
  <c r="AW80" i="22"/>
  <c r="AW80" i="23" s="1"/>
  <c r="BA80" i="22"/>
  <c r="BA80" i="23" s="1"/>
  <c r="AX80" i="22"/>
  <c r="AX80" i="23" s="1"/>
  <c r="BB80" i="22"/>
  <c r="BB80" i="23" s="1"/>
  <c r="AY80" i="22"/>
  <c r="AY80" i="23" s="1"/>
  <c r="X80" i="22"/>
  <c r="AZ80" i="22"/>
  <c r="AZ80" i="23" s="1"/>
  <c r="AB80" i="22"/>
  <c r="AB80" i="23" s="1"/>
  <c r="AC80" i="22"/>
  <c r="AC80" i="23" s="1"/>
  <c r="AA80" i="22"/>
  <c r="W80" i="22" s="1"/>
  <c r="U80" i="22"/>
  <c r="T80" i="22"/>
  <c r="AK81" i="22"/>
  <c r="AK81" i="23" s="1"/>
  <c r="AJ81" i="22"/>
  <c r="AJ81" i="23" s="1"/>
  <c r="AL81" i="22"/>
  <c r="AL81" i="23" s="1"/>
  <c r="AD81" i="22"/>
  <c r="AD81" i="23" s="1"/>
  <c r="AH81" i="22"/>
  <c r="AH81" i="23" s="1"/>
  <c r="AO81" i="22"/>
  <c r="AO81" i="23" s="1"/>
  <c r="AE81" i="22"/>
  <c r="AE81" i="23" s="1"/>
  <c r="AI81" i="22"/>
  <c r="AI81" i="23" s="1"/>
  <c r="AF81" i="22"/>
  <c r="AF81" i="23" s="1"/>
  <c r="AM81" i="22"/>
  <c r="AM81" i="23" s="1"/>
  <c r="AG81" i="22"/>
  <c r="AG81" i="23" s="1"/>
  <c r="AN81" i="22"/>
  <c r="AN81" i="23" s="1"/>
  <c r="H81" i="22"/>
  <c r="U81" i="22" s="1"/>
  <c r="AQ81" i="22"/>
  <c r="I81" i="22"/>
  <c r="BF81" i="22"/>
  <c r="G81" i="22" s="1"/>
  <c r="AY81" i="22"/>
  <c r="AY81" i="23" s="1"/>
  <c r="AZ81" i="22"/>
  <c r="AZ81" i="23" s="1"/>
  <c r="AW81" i="22"/>
  <c r="AW81" i="23" s="1"/>
  <c r="BA81" i="22"/>
  <c r="BA81" i="23" s="1"/>
  <c r="AX81" i="22"/>
  <c r="AX81" i="23" s="1"/>
  <c r="X81" i="22"/>
  <c r="BB81" i="22"/>
  <c r="BB81" i="23" s="1"/>
  <c r="AB81" i="22"/>
  <c r="AB81" i="23" s="1"/>
  <c r="AC81" i="22"/>
  <c r="AC81" i="23" s="1"/>
  <c r="AA81" i="22"/>
  <c r="W81" i="22" s="1"/>
  <c r="V81" i="22"/>
  <c r="T81" i="22"/>
  <c r="AL82" i="22"/>
  <c r="AL82" i="23" s="1"/>
  <c r="AK82" i="22"/>
  <c r="AK82" i="23" s="1"/>
  <c r="AJ82" i="22"/>
  <c r="AJ82" i="23" s="1"/>
  <c r="AG82" i="22"/>
  <c r="AG82" i="23" s="1"/>
  <c r="AN82" i="22"/>
  <c r="AN82" i="23" s="1"/>
  <c r="AD82" i="22"/>
  <c r="AD82" i="23" s="1"/>
  <c r="AH82" i="22"/>
  <c r="AH82" i="23" s="1"/>
  <c r="AO82" i="22"/>
  <c r="AO82" i="23" s="1"/>
  <c r="AE82" i="22"/>
  <c r="AE82" i="23" s="1"/>
  <c r="AI82" i="22"/>
  <c r="AI82" i="23" s="1"/>
  <c r="AM82" i="22"/>
  <c r="AM82" i="23" s="1"/>
  <c r="AF82" i="22"/>
  <c r="AF82" i="23" s="1"/>
  <c r="H82" i="22"/>
  <c r="T82" i="22" s="1"/>
  <c r="AQ82" i="22"/>
  <c r="BF82" i="22"/>
  <c r="BE82" i="22" s="1"/>
  <c r="AW82" i="22"/>
  <c r="AW82" i="23" s="1"/>
  <c r="BA82" i="22"/>
  <c r="BA82" i="23" s="1"/>
  <c r="AX82" i="22"/>
  <c r="AX82" i="23" s="1"/>
  <c r="BB82" i="22"/>
  <c r="BB82" i="23" s="1"/>
  <c r="AY82" i="22"/>
  <c r="AY82" i="23" s="1"/>
  <c r="L82" i="22"/>
  <c r="X82" i="22"/>
  <c r="AZ82" i="22"/>
  <c r="AZ82" i="23" s="1"/>
  <c r="AB82" i="22"/>
  <c r="AB82" i="23" s="1"/>
  <c r="AC82" i="22"/>
  <c r="AC82" i="23" s="1"/>
  <c r="AJ83" i="22"/>
  <c r="AJ83" i="23" s="1"/>
  <c r="AL83" i="22"/>
  <c r="AL83" i="23" s="1"/>
  <c r="AF83" i="22"/>
  <c r="AF83" i="23" s="1"/>
  <c r="AM83" i="22"/>
  <c r="AM83" i="23" s="1"/>
  <c r="AG83" i="22"/>
  <c r="AG83" i="23" s="1"/>
  <c r="AN83" i="22"/>
  <c r="AN83" i="23" s="1"/>
  <c r="AD83" i="22"/>
  <c r="AD83" i="23" s="1"/>
  <c r="AH83" i="22"/>
  <c r="AH83" i="23" s="1"/>
  <c r="AO83" i="22"/>
  <c r="AO83" i="23" s="1"/>
  <c r="AK83" i="22"/>
  <c r="AK83" i="23" s="1"/>
  <c r="AE83" i="22"/>
  <c r="AE83" i="23" s="1"/>
  <c r="AI83" i="22"/>
  <c r="AI83" i="23" s="1"/>
  <c r="H83" i="22"/>
  <c r="AQ83" i="22"/>
  <c r="BF83" i="22"/>
  <c r="I83" i="22" s="1"/>
  <c r="AY83" i="22"/>
  <c r="AY83" i="23" s="1"/>
  <c r="AZ83" i="22"/>
  <c r="AZ83" i="23" s="1"/>
  <c r="AW83" i="22"/>
  <c r="AW83" i="23" s="1"/>
  <c r="BA83" i="22"/>
  <c r="BA83" i="23" s="1"/>
  <c r="L83" i="22"/>
  <c r="X83" i="22"/>
  <c r="BB83" i="22"/>
  <c r="BB83" i="23" s="1"/>
  <c r="AX83" i="22"/>
  <c r="AX83" i="23" s="1"/>
  <c r="AB83" i="22"/>
  <c r="AB83" i="23" s="1"/>
  <c r="AC83" i="22"/>
  <c r="AC83" i="23" s="1"/>
  <c r="AA83" i="22"/>
  <c r="W83" i="22" s="1"/>
  <c r="U83" i="22"/>
  <c r="T83" i="22"/>
  <c r="S83" i="22"/>
  <c r="R83" i="22"/>
  <c r="Q83" i="22"/>
  <c r="K83" i="22"/>
  <c r="J83" i="22"/>
  <c r="AJ84" i="22"/>
  <c r="AJ84" i="23" s="1"/>
  <c r="AK84" i="22"/>
  <c r="AK84" i="23" s="1"/>
  <c r="AL84" i="22"/>
  <c r="AL84" i="23" s="1"/>
  <c r="AE84" i="22"/>
  <c r="AE84" i="23" s="1"/>
  <c r="AI84" i="22"/>
  <c r="AI84" i="23" s="1"/>
  <c r="AF84" i="22"/>
  <c r="AF84" i="23" s="1"/>
  <c r="AM84" i="22"/>
  <c r="AM84" i="23" s="1"/>
  <c r="AG84" i="22"/>
  <c r="AG84" i="23" s="1"/>
  <c r="AN84" i="22"/>
  <c r="AN84" i="23" s="1"/>
  <c r="AH84" i="22"/>
  <c r="AH84" i="23" s="1"/>
  <c r="AD84" i="22"/>
  <c r="AD84" i="23" s="1"/>
  <c r="AO84" i="22"/>
  <c r="AO84" i="23" s="1"/>
  <c r="H84" i="22"/>
  <c r="T84" i="22" s="1"/>
  <c r="BF84" i="22"/>
  <c r="P84" i="22" s="1"/>
  <c r="AW84" i="22"/>
  <c r="AW84" i="23" s="1"/>
  <c r="BA84" i="22"/>
  <c r="BA84" i="23" s="1"/>
  <c r="AX84" i="22"/>
  <c r="AX84" i="23" s="1"/>
  <c r="BB84" i="22"/>
  <c r="BB84" i="23" s="1"/>
  <c r="AY84" i="22"/>
  <c r="AY84" i="23" s="1"/>
  <c r="AZ84" i="22"/>
  <c r="AZ84" i="23" s="1"/>
  <c r="X84" i="22"/>
  <c r="AB84" i="22"/>
  <c r="AB84" i="23" s="1"/>
  <c r="AC84" i="22"/>
  <c r="AC84" i="23" s="1"/>
  <c r="AA84" i="22"/>
  <c r="W84" i="22" s="1"/>
  <c r="AK85" i="22"/>
  <c r="AK85" i="23" s="1"/>
  <c r="AJ85" i="22"/>
  <c r="AJ85" i="23" s="1"/>
  <c r="AL85" i="22"/>
  <c r="AL85" i="23" s="1"/>
  <c r="AD85" i="22"/>
  <c r="AD85" i="23" s="1"/>
  <c r="AH85" i="22"/>
  <c r="AH85" i="23" s="1"/>
  <c r="AO85" i="22"/>
  <c r="AO85" i="23" s="1"/>
  <c r="AE85" i="22"/>
  <c r="AE85" i="23" s="1"/>
  <c r="AI85" i="22"/>
  <c r="AI85" i="23" s="1"/>
  <c r="AF85" i="22"/>
  <c r="AF85" i="23" s="1"/>
  <c r="AM85" i="22"/>
  <c r="AM85" i="23" s="1"/>
  <c r="AG85" i="22"/>
  <c r="AG85" i="23" s="1"/>
  <c r="AN85" i="22"/>
  <c r="AN85" i="23" s="1"/>
  <c r="BF85" i="22"/>
  <c r="I85" i="22" s="1"/>
  <c r="H85" i="22"/>
  <c r="U85" i="22" s="1"/>
  <c r="AY85" i="22"/>
  <c r="AY85" i="23" s="1"/>
  <c r="AZ85" i="22"/>
  <c r="AZ85" i="23" s="1"/>
  <c r="AW85" i="22"/>
  <c r="AW85" i="23" s="1"/>
  <c r="BA85" i="22"/>
  <c r="BA85" i="23" s="1"/>
  <c r="AX85" i="22"/>
  <c r="AX85" i="23" s="1"/>
  <c r="BB85" i="22"/>
  <c r="BB85" i="23" s="1"/>
  <c r="X85" i="22"/>
  <c r="L85" i="22"/>
  <c r="AB85" i="22"/>
  <c r="AB85" i="23" s="1"/>
  <c r="AC85" i="22"/>
  <c r="AC85" i="23" s="1"/>
  <c r="AA85" i="22"/>
  <c r="W85" i="22" s="1"/>
  <c r="V85" i="22"/>
  <c r="AL86" i="22"/>
  <c r="AL86" i="23" s="1"/>
  <c r="AJ86" i="22"/>
  <c r="AJ86" i="23" s="1"/>
  <c r="AK86" i="22"/>
  <c r="AK86" i="23" s="1"/>
  <c r="AG86" i="22"/>
  <c r="AG86" i="23" s="1"/>
  <c r="AN86" i="22"/>
  <c r="AN86" i="23" s="1"/>
  <c r="AD86" i="22"/>
  <c r="AD86" i="23" s="1"/>
  <c r="AH86" i="22"/>
  <c r="AH86" i="23" s="1"/>
  <c r="AO86" i="22"/>
  <c r="AO86" i="23" s="1"/>
  <c r="AE86" i="22"/>
  <c r="AE86" i="23" s="1"/>
  <c r="AI86" i="22"/>
  <c r="AI86" i="23" s="1"/>
  <c r="AF86" i="22"/>
  <c r="AF86" i="23" s="1"/>
  <c r="AM86" i="22"/>
  <c r="AM86" i="23" s="1"/>
  <c r="BF86" i="22"/>
  <c r="I86" i="22" s="1"/>
  <c r="H86" i="22"/>
  <c r="AW86" i="22"/>
  <c r="AW86" i="23" s="1"/>
  <c r="BA86" i="22"/>
  <c r="BA86" i="23" s="1"/>
  <c r="AX86" i="22"/>
  <c r="AX86" i="23" s="1"/>
  <c r="BB86" i="22"/>
  <c r="BB86" i="23" s="1"/>
  <c r="AY86" i="22"/>
  <c r="AY86" i="23" s="1"/>
  <c r="AZ86" i="22"/>
  <c r="AZ86" i="23" s="1"/>
  <c r="X86" i="22"/>
  <c r="AB86" i="22"/>
  <c r="AB86" i="23" s="1"/>
  <c r="AC86" i="22"/>
  <c r="AC86" i="23" s="1"/>
  <c r="AL87" i="22"/>
  <c r="AL87" i="23" s="1"/>
  <c r="AK87" i="22"/>
  <c r="AK87" i="23" s="1"/>
  <c r="AJ87" i="22"/>
  <c r="AJ87" i="23" s="1"/>
  <c r="AF87" i="22"/>
  <c r="AF87" i="23" s="1"/>
  <c r="AM87" i="22"/>
  <c r="AM87" i="23" s="1"/>
  <c r="AI87" i="22"/>
  <c r="AI87" i="23" s="1"/>
  <c r="AG87" i="22"/>
  <c r="AG87" i="23" s="1"/>
  <c r="AN87" i="22"/>
  <c r="AN87" i="23" s="1"/>
  <c r="AD87" i="22"/>
  <c r="AD87" i="23" s="1"/>
  <c r="AH87" i="22"/>
  <c r="AH87" i="23" s="1"/>
  <c r="AO87" i="22"/>
  <c r="AO87" i="23" s="1"/>
  <c r="AE87" i="22"/>
  <c r="AE87" i="23" s="1"/>
  <c r="H87" i="22"/>
  <c r="T87" i="22" s="1"/>
  <c r="BF87" i="22"/>
  <c r="AQ87" i="22" s="1"/>
  <c r="AY87" i="22"/>
  <c r="AY87" i="23" s="1"/>
  <c r="AZ87" i="22"/>
  <c r="AZ87" i="23" s="1"/>
  <c r="AW87" i="22"/>
  <c r="AW87" i="23" s="1"/>
  <c r="BA87" i="22"/>
  <c r="BA87" i="23" s="1"/>
  <c r="X87" i="22"/>
  <c r="AX87" i="22"/>
  <c r="AX87" i="23" s="1"/>
  <c r="BB87" i="22"/>
  <c r="BB87" i="23" s="1"/>
  <c r="AB87" i="22"/>
  <c r="AB87" i="23" s="1"/>
  <c r="AC87" i="22"/>
  <c r="AC87" i="23" s="1"/>
  <c r="AA87" i="22"/>
  <c r="W87" i="22" s="1"/>
  <c r="V87" i="22"/>
  <c r="S87" i="22"/>
  <c r="R87" i="22"/>
  <c r="Q87" i="22"/>
  <c r="K87" i="22"/>
  <c r="J87" i="22"/>
  <c r="AJ88" i="22"/>
  <c r="AJ88" i="23" s="1"/>
  <c r="AK88" i="22"/>
  <c r="AK88" i="23" s="1"/>
  <c r="AL88" i="22"/>
  <c r="AL88" i="23" s="1"/>
  <c r="AE88" i="22"/>
  <c r="AE88" i="23" s="1"/>
  <c r="AI88" i="22"/>
  <c r="AI88" i="23" s="1"/>
  <c r="AO88" i="22"/>
  <c r="AO88" i="23" s="1"/>
  <c r="AF88" i="22"/>
  <c r="AF88" i="23" s="1"/>
  <c r="AM88" i="22"/>
  <c r="AM88" i="23" s="1"/>
  <c r="AD88" i="22"/>
  <c r="AD88" i="23" s="1"/>
  <c r="AG88" i="22"/>
  <c r="AG88" i="23" s="1"/>
  <c r="AN88" i="22"/>
  <c r="AN88" i="23" s="1"/>
  <c r="AH88" i="22"/>
  <c r="AH88" i="23" s="1"/>
  <c r="H88" i="22"/>
  <c r="U88" i="22" s="1"/>
  <c r="BF88" i="22"/>
  <c r="AQ88" i="22" s="1"/>
  <c r="AW88" i="22"/>
  <c r="AW88" i="23" s="1"/>
  <c r="BA88" i="22"/>
  <c r="BA88" i="23" s="1"/>
  <c r="AX88" i="22"/>
  <c r="AX88" i="23" s="1"/>
  <c r="BB88" i="22"/>
  <c r="BB88" i="23" s="1"/>
  <c r="AY88" i="22"/>
  <c r="AY88" i="23" s="1"/>
  <c r="X88" i="22"/>
  <c r="AZ88" i="22"/>
  <c r="AZ88" i="23" s="1"/>
  <c r="AB88" i="22"/>
  <c r="AB88" i="23" s="1"/>
  <c r="AC88" i="22"/>
  <c r="AC88" i="23" s="1"/>
  <c r="AA88" i="22"/>
  <c r="W88" i="22" s="1"/>
  <c r="AK89" i="22"/>
  <c r="AK89" i="23" s="1"/>
  <c r="AL89" i="22"/>
  <c r="AL89" i="23" s="1"/>
  <c r="AJ89" i="22"/>
  <c r="AJ89" i="23" s="1"/>
  <c r="AD89" i="22"/>
  <c r="AD89" i="23" s="1"/>
  <c r="AH89" i="22"/>
  <c r="AH89" i="23" s="1"/>
  <c r="AO89" i="22"/>
  <c r="AO89" i="23" s="1"/>
  <c r="AG89" i="22"/>
  <c r="AG89" i="23" s="1"/>
  <c r="AE89" i="22"/>
  <c r="AE89" i="23" s="1"/>
  <c r="AI89" i="22"/>
  <c r="AI89" i="23" s="1"/>
  <c r="AF89" i="22"/>
  <c r="AF89" i="23" s="1"/>
  <c r="AM89" i="22"/>
  <c r="AM89" i="23" s="1"/>
  <c r="AN89" i="22"/>
  <c r="AN89" i="23" s="1"/>
  <c r="H89" i="22"/>
  <c r="U89" i="22" s="1"/>
  <c r="BF89" i="22"/>
  <c r="G89" i="22" s="1"/>
  <c r="AY89" i="22"/>
  <c r="AY89" i="23" s="1"/>
  <c r="AZ89" i="22"/>
  <c r="AZ89" i="23" s="1"/>
  <c r="AW89" i="22"/>
  <c r="AW89" i="23" s="1"/>
  <c r="BA89" i="22"/>
  <c r="BA89" i="23" s="1"/>
  <c r="AX89" i="22"/>
  <c r="AX89" i="23" s="1"/>
  <c r="BB89" i="22"/>
  <c r="BB89" i="23" s="1"/>
  <c r="X89" i="22"/>
  <c r="AB89" i="22"/>
  <c r="AB89" i="23" s="1"/>
  <c r="AC89" i="22"/>
  <c r="AC89" i="23" s="1"/>
  <c r="AA89" i="22"/>
  <c r="W89" i="22" s="1"/>
  <c r="V89" i="22"/>
  <c r="AL90" i="22"/>
  <c r="AL90" i="23" s="1"/>
  <c r="AJ90" i="22"/>
  <c r="AJ90" i="23" s="1"/>
  <c r="AK90" i="22"/>
  <c r="AK90" i="23" s="1"/>
  <c r="AG90" i="22"/>
  <c r="AG90" i="23" s="1"/>
  <c r="AN90" i="22"/>
  <c r="AN90" i="23" s="1"/>
  <c r="AD90" i="22"/>
  <c r="AD90" i="23" s="1"/>
  <c r="AH90" i="22"/>
  <c r="AH90" i="23" s="1"/>
  <c r="AO90" i="22"/>
  <c r="AO90" i="23" s="1"/>
  <c r="AF90" i="22"/>
  <c r="AF90" i="23" s="1"/>
  <c r="AE90" i="22"/>
  <c r="AE90" i="23" s="1"/>
  <c r="AI90" i="22"/>
  <c r="AI90" i="23" s="1"/>
  <c r="AM90" i="22"/>
  <c r="AM90" i="23" s="1"/>
  <c r="H90" i="22"/>
  <c r="BF90" i="22"/>
  <c r="AQ90" i="22" s="1"/>
  <c r="AW90" i="22"/>
  <c r="AW90" i="23" s="1"/>
  <c r="BA90" i="22"/>
  <c r="BA90" i="23" s="1"/>
  <c r="AX90" i="22"/>
  <c r="AX90" i="23" s="1"/>
  <c r="BB90" i="22"/>
  <c r="BB90" i="23" s="1"/>
  <c r="AY90" i="22"/>
  <c r="AY90" i="23" s="1"/>
  <c r="AZ90" i="22"/>
  <c r="AZ90" i="23" s="1"/>
  <c r="X90" i="22"/>
  <c r="L90" i="22"/>
  <c r="AB90" i="22"/>
  <c r="AB90" i="23" s="1"/>
  <c r="AC90" i="22"/>
  <c r="AC90" i="23" s="1"/>
  <c r="AK91" i="22"/>
  <c r="AK91" i="23" s="1"/>
  <c r="AL91" i="22"/>
  <c r="AL91" i="23" s="1"/>
  <c r="AJ91" i="22"/>
  <c r="AJ91" i="23" s="1"/>
  <c r="AF91" i="22"/>
  <c r="AF91" i="23" s="1"/>
  <c r="AM91" i="22"/>
  <c r="AM91" i="23" s="1"/>
  <c r="AE91" i="22"/>
  <c r="AE91" i="23" s="1"/>
  <c r="AG91" i="22"/>
  <c r="AG91" i="23" s="1"/>
  <c r="AN91" i="22"/>
  <c r="AN91" i="23" s="1"/>
  <c r="AI91" i="22"/>
  <c r="AI91" i="23" s="1"/>
  <c r="AD91" i="22"/>
  <c r="AD91" i="23" s="1"/>
  <c r="AH91" i="22"/>
  <c r="AH91" i="23" s="1"/>
  <c r="AO91" i="22"/>
  <c r="AO91" i="23" s="1"/>
  <c r="H91" i="22"/>
  <c r="U91" i="22" s="1"/>
  <c r="AQ91" i="22"/>
  <c r="BE91" i="22"/>
  <c r="BF91" i="22"/>
  <c r="AP91" i="22" s="1"/>
  <c r="AY91" i="22"/>
  <c r="AY91" i="23" s="1"/>
  <c r="AZ91" i="22"/>
  <c r="AZ91" i="23" s="1"/>
  <c r="AW91" i="22"/>
  <c r="AW91" i="23" s="1"/>
  <c r="BA91" i="22"/>
  <c r="BA91" i="23" s="1"/>
  <c r="X91" i="22"/>
  <c r="BB91" i="22"/>
  <c r="BB91" i="23" s="1"/>
  <c r="AX91" i="22"/>
  <c r="AX91" i="23" s="1"/>
  <c r="AB91" i="22"/>
  <c r="AB91" i="23" s="1"/>
  <c r="AC91" i="22"/>
  <c r="AC91" i="23" s="1"/>
  <c r="AA91" i="22"/>
  <c r="W91" i="22" s="1"/>
  <c r="V91" i="22"/>
  <c r="S91" i="22"/>
  <c r="R91" i="22"/>
  <c r="P91" i="22"/>
  <c r="O91" i="22"/>
  <c r="N91" i="22"/>
  <c r="K91" i="22"/>
  <c r="J91" i="22"/>
  <c r="AJ92" i="22"/>
  <c r="AJ92" i="23" s="1"/>
  <c r="AK92" i="22"/>
  <c r="AK92" i="23" s="1"/>
  <c r="AL92" i="22"/>
  <c r="AL92" i="23" s="1"/>
  <c r="AE92" i="22"/>
  <c r="AE92" i="23" s="1"/>
  <c r="AI92" i="22"/>
  <c r="AI92" i="23" s="1"/>
  <c r="AH92" i="22"/>
  <c r="AH92" i="23" s="1"/>
  <c r="AF92" i="22"/>
  <c r="AF92" i="23" s="1"/>
  <c r="AM92" i="22"/>
  <c r="AM92" i="23" s="1"/>
  <c r="AO92" i="22"/>
  <c r="AO92" i="23" s="1"/>
  <c r="AG92" i="22"/>
  <c r="AG92" i="23" s="1"/>
  <c r="AN92" i="22"/>
  <c r="AN92" i="23" s="1"/>
  <c r="AD92" i="22"/>
  <c r="AD92" i="23" s="1"/>
  <c r="H92" i="22"/>
  <c r="U92" i="22" s="1"/>
  <c r="BE92" i="22"/>
  <c r="BF92" i="22"/>
  <c r="AP92" i="22" s="1"/>
  <c r="AW92" i="22"/>
  <c r="AW92" i="23" s="1"/>
  <c r="BA92" i="22"/>
  <c r="BA92" i="23" s="1"/>
  <c r="AX92" i="22"/>
  <c r="AX92" i="23" s="1"/>
  <c r="BB92" i="22"/>
  <c r="BB92" i="23" s="1"/>
  <c r="AY92" i="22"/>
  <c r="AY92" i="23" s="1"/>
  <c r="X92" i="22"/>
  <c r="AZ92" i="22"/>
  <c r="AZ92" i="23" s="1"/>
  <c r="AB92" i="22"/>
  <c r="AB92" i="23" s="1"/>
  <c r="AC92" i="22"/>
  <c r="AC92" i="23" s="1"/>
  <c r="AA92" i="22"/>
  <c r="V92" i="22" s="1"/>
  <c r="W92" i="22"/>
  <c r="AK93" i="22"/>
  <c r="AK93" i="23" s="1"/>
  <c r="AJ93" i="22"/>
  <c r="AJ93" i="23" s="1"/>
  <c r="AL93" i="22"/>
  <c r="AL93" i="23" s="1"/>
  <c r="AD93" i="22"/>
  <c r="AD93" i="23" s="1"/>
  <c r="AH93" i="22"/>
  <c r="AH93" i="23" s="1"/>
  <c r="AO93" i="22"/>
  <c r="AO93" i="23" s="1"/>
  <c r="AG93" i="22"/>
  <c r="AG93" i="23" s="1"/>
  <c r="AE93" i="22"/>
  <c r="AE93" i="23" s="1"/>
  <c r="AI93" i="22"/>
  <c r="AI93" i="23" s="1"/>
  <c r="AF93" i="22"/>
  <c r="AF93" i="23" s="1"/>
  <c r="AM93" i="22"/>
  <c r="AM93" i="23" s="1"/>
  <c r="AN93" i="22"/>
  <c r="AN93" i="23" s="1"/>
  <c r="BF93" i="22"/>
  <c r="G93" i="22" s="1"/>
  <c r="H93" i="22"/>
  <c r="AY93" i="22"/>
  <c r="AY93" i="23" s="1"/>
  <c r="AZ93" i="22"/>
  <c r="AZ93" i="23" s="1"/>
  <c r="AW93" i="22"/>
  <c r="AW93" i="23" s="1"/>
  <c r="BA93" i="22"/>
  <c r="BA93" i="23" s="1"/>
  <c r="X93" i="22"/>
  <c r="AX93" i="22"/>
  <c r="AX93" i="23" s="1"/>
  <c r="BB93" i="22"/>
  <c r="BB93" i="23" s="1"/>
  <c r="AB93" i="22"/>
  <c r="AB93" i="23" s="1"/>
  <c r="AC93" i="22"/>
  <c r="AC93" i="23" s="1"/>
  <c r="AA93" i="22"/>
  <c r="W93" i="22"/>
  <c r="V93" i="22"/>
  <c r="U93" i="22"/>
  <c r="T93" i="22"/>
  <c r="AL94" i="22"/>
  <c r="AL94" i="23" s="1"/>
  <c r="AK94" i="22"/>
  <c r="AK94" i="23" s="1"/>
  <c r="AJ94" i="22"/>
  <c r="AJ94" i="23" s="1"/>
  <c r="AG94" i="22"/>
  <c r="AG94" i="23" s="1"/>
  <c r="AN94" i="22"/>
  <c r="AN94" i="23" s="1"/>
  <c r="AM94" i="22"/>
  <c r="AM94" i="23" s="1"/>
  <c r="AD94" i="22"/>
  <c r="AD94" i="23" s="1"/>
  <c r="AH94" i="22"/>
  <c r="AH94" i="23" s="1"/>
  <c r="AO94" i="22"/>
  <c r="AO94" i="23" s="1"/>
  <c r="AF94" i="22"/>
  <c r="AF94" i="23" s="1"/>
  <c r="AE94" i="22"/>
  <c r="AE94" i="23" s="1"/>
  <c r="AI94" i="22"/>
  <c r="AI94" i="23" s="1"/>
  <c r="I94" i="22"/>
  <c r="BE94" i="22"/>
  <c r="BF94" i="22"/>
  <c r="H94" i="22"/>
  <c r="AP94" i="22"/>
  <c r="AQ94" i="22"/>
  <c r="AW94" i="22"/>
  <c r="AW94" i="23" s="1"/>
  <c r="BA94" i="22"/>
  <c r="BA94" i="23" s="1"/>
  <c r="AX94" i="22"/>
  <c r="AX94" i="23" s="1"/>
  <c r="BB94" i="22"/>
  <c r="BB94" i="23" s="1"/>
  <c r="AY94" i="22"/>
  <c r="AY94" i="23" s="1"/>
  <c r="AZ94" i="22"/>
  <c r="AZ94" i="23" s="1"/>
  <c r="L94" i="22"/>
  <c r="X94" i="22"/>
  <c r="AB94" i="22"/>
  <c r="AB94" i="23" s="1"/>
  <c r="AC94" i="22"/>
  <c r="AC94" i="23" s="1"/>
  <c r="M94" i="22"/>
  <c r="AJ95" i="22"/>
  <c r="AJ95" i="23" s="1"/>
  <c r="AK95" i="22"/>
  <c r="AK95" i="23" s="1"/>
  <c r="AL95" i="22"/>
  <c r="AL95" i="23" s="1"/>
  <c r="AF95" i="22"/>
  <c r="AF95" i="23" s="1"/>
  <c r="AM95" i="22"/>
  <c r="AM95" i="23" s="1"/>
  <c r="AI95" i="22"/>
  <c r="AI95" i="23" s="1"/>
  <c r="AG95" i="22"/>
  <c r="AG95" i="23" s="1"/>
  <c r="AN95" i="22"/>
  <c r="AN95" i="23" s="1"/>
  <c r="AD95" i="22"/>
  <c r="AD95" i="23" s="1"/>
  <c r="AH95" i="22"/>
  <c r="AH95" i="23" s="1"/>
  <c r="AO95" i="22"/>
  <c r="AO95" i="23" s="1"/>
  <c r="AE95" i="22"/>
  <c r="AE95" i="23" s="1"/>
  <c r="H95" i="22"/>
  <c r="AP95" i="22"/>
  <c r="AQ95" i="22"/>
  <c r="I95" i="22"/>
  <c r="BE95" i="22"/>
  <c r="BF95" i="22"/>
  <c r="AY95" i="22"/>
  <c r="AY95" i="23" s="1"/>
  <c r="AZ95" i="22"/>
  <c r="AZ95" i="23" s="1"/>
  <c r="AW95" i="22"/>
  <c r="AW95" i="23" s="1"/>
  <c r="BA95" i="22"/>
  <c r="BA95" i="23" s="1"/>
  <c r="L95" i="22"/>
  <c r="X95" i="22"/>
  <c r="AX95" i="22"/>
  <c r="AX95" i="23" s="1"/>
  <c r="BB95" i="22"/>
  <c r="BB95" i="23" s="1"/>
  <c r="AB95" i="22"/>
  <c r="AB95" i="23" s="1"/>
  <c r="AC95" i="22"/>
  <c r="AC95" i="23" s="1"/>
  <c r="AA95" i="22"/>
  <c r="Z95" i="22"/>
  <c r="Y95" i="22"/>
  <c r="W95" i="22"/>
  <c r="V95" i="22"/>
  <c r="U95" i="22"/>
  <c r="T95" i="22"/>
  <c r="S95" i="22"/>
  <c r="R95" i="22"/>
  <c r="Q95" i="22"/>
  <c r="P95" i="22"/>
  <c r="O95" i="22"/>
  <c r="N95" i="22"/>
  <c r="K95" i="22"/>
  <c r="J95" i="22"/>
  <c r="M95" i="22"/>
  <c r="AJ96" i="22"/>
  <c r="AJ96" i="23" s="1"/>
  <c r="AL96" i="22"/>
  <c r="AL96" i="23" s="1"/>
  <c r="AE96" i="22"/>
  <c r="AE96" i="23" s="1"/>
  <c r="AI96" i="22"/>
  <c r="AI96" i="23" s="1"/>
  <c r="AK96" i="22"/>
  <c r="AK96" i="23" s="1"/>
  <c r="AF96" i="22"/>
  <c r="AF96" i="23" s="1"/>
  <c r="AM96" i="22"/>
  <c r="AM96" i="23" s="1"/>
  <c r="AD96" i="22"/>
  <c r="AD96" i="23" s="1"/>
  <c r="AG96" i="22"/>
  <c r="AG96" i="23" s="1"/>
  <c r="AN96" i="22"/>
  <c r="AN96" i="23" s="1"/>
  <c r="AH96" i="22"/>
  <c r="AH96" i="23" s="1"/>
  <c r="AO96" i="22"/>
  <c r="AO96" i="23" s="1"/>
  <c r="H96" i="22"/>
  <c r="AP96" i="22"/>
  <c r="AQ96" i="22"/>
  <c r="I96" i="22"/>
  <c r="BE96" i="22"/>
  <c r="BF96" i="22"/>
  <c r="AW96" i="22"/>
  <c r="AW96" i="23" s="1"/>
  <c r="BA96" i="22"/>
  <c r="BA96" i="23" s="1"/>
  <c r="AX96" i="22"/>
  <c r="AX96" i="23" s="1"/>
  <c r="BB96" i="22"/>
  <c r="BB96" i="23" s="1"/>
  <c r="AY96" i="22"/>
  <c r="AY96" i="23" s="1"/>
  <c r="AZ96" i="22"/>
  <c r="AZ96" i="23" s="1"/>
  <c r="L96" i="22"/>
  <c r="X96" i="22"/>
  <c r="AB96" i="22"/>
  <c r="AB96" i="23" s="1"/>
  <c r="AC96" i="22"/>
  <c r="AC96" i="23" s="1"/>
  <c r="M96" i="22"/>
  <c r="AA96" i="22"/>
  <c r="Z96" i="22"/>
  <c r="Y96" i="22"/>
  <c r="W96" i="22"/>
  <c r="V96" i="22"/>
  <c r="U96" i="22"/>
  <c r="T96" i="22"/>
  <c r="AK97" i="22"/>
  <c r="AK97" i="23" s="1"/>
  <c r="AJ97" i="22"/>
  <c r="AJ97" i="23" s="1"/>
  <c r="AL97" i="22"/>
  <c r="AL97" i="23" s="1"/>
  <c r="AD97" i="22"/>
  <c r="AD97" i="23" s="1"/>
  <c r="AH97" i="22"/>
  <c r="AH97" i="23" s="1"/>
  <c r="AO97" i="22"/>
  <c r="AO97" i="23" s="1"/>
  <c r="AG97" i="22"/>
  <c r="AG97" i="23" s="1"/>
  <c r="AE97" i="22"/>
  <c r="AE97" i="23" s="1"/>
  <c r="AI97" i="22"/>
  <c r="AI97" i="23" s="1"/>
  <c r="AN97" i="22"/>
  <c r="AN97" i="23" s="1"/>
  <c r="AF97" i="22"/>
  <c r="AF97" i="23" s="1"/>
  <c r="AM97" i="22"/>
  <c r="AM97" i="23" s="1"/>
  <c r="H97" i="22"/>
  <c r="AP97" i="22"/>
  <c r="AQ97" i="22"/>
  <c r="I97" i="22"/>
  <c r="BE97" i="22"/>
  <c r="BF97" i="22"/>
  <c r="AY97" i="22"/>
  <c r="AY97" i="23" s="1"/>
  <c r="AZ97" i="22"/>
  <c r="AZ97" i="23" s="1"/>
  <c r="AW97" i="22"/>
  <c r="AW97" i="23" s="1"/>
  <c r="BA97" i="22"/>
  <c r="BA97" i="23" s="1"/>
  <c r="AX97" i="22"/>
  <c r="AX97" i="23" s="1"/>
  <c r="L97" i="22"/>
  <c r="X97" i="22"/>
  <c r="BB97" i="22"/>
  <c r="BB97" i="23" s="1"/>
  <c r="AB97" i="22"/>
  <c r="AB97" i="23" s="1"/>
  <c r="AC97" i="22"/>
  <c r="AC97" i="23" s="1"/>
  <c r="M97" i="22"/>
  <c r="AA97" i="22"/>
  <c r="Z97" i="22"/>
  <c r="Y97" i="22"/>
  <c r="W97" i="22"/>
  <c r="V97" i="22"/>
  <c r="U97" i="22"/>
  <c r="T97" i="22"/>
  <c r="AL98" i="22"/>
  <c r="AL98" i="23" s="1"/>
  <c r="AK98" i="22"/>
  <c r="AK98" i="23" s="1"/>
  <c r="AJ98" i="22"/>
  <c r="AJ98" i="23" s="1"/>
  <c r="AG98" i="22"/>
  <c r="AG98" i="23" s="1"/>
  <c r="AN98" i="22"/>
  <c r="AN98" i="23" s="1"/>
  <c r="AD98" i="22"/>
  <c r="AD98" i="23" s="1"/>
  <c r="AH98" i="22"/>
  <c r="AH98" i="23" s="1"/>
  <c r="AO98" i="22"/>
  <c r="AO98" i="23" s="1"/>
  <c r="AM98" i="22"/>
  <c r="AM98" i="23" s="1"/>
  <c r="AE98" i="22"/>
  <c r="AE98" i="23" s="1"/>
  <c r="AI98" i="22"/>
  <c r="AI98" i="23" s="1"/>
  <c r="AF98" i="22"/>
  <c r="AF98" i="23" s="1"/>
  <c r="H98" i="22"/>
  <c r="AP98" i="22"/>
  <c r="AQ98" i="22"/>
  <c r="I98" i="22"/>
  <c r="BE98" i="22"/>
  <c r="BF98" i="22"/>
  <c r="AW98" i="22"/>
  <c r="AW98" i="23" s="1"/>
  <c r="BA98" i="22"/>
  <c r="BA98" i="23" s="1"/>
  <c r="AX98" i="22"/>
  <c r="AX98" i="23" s="1"/>
  <c r="BB98" i="22"/>
  <c r="BB98" i="23" s="1"/>
  <c r="AY98" i="22"/>
  <c r="AY98" i="23" s="1"/>
  <c r="L98" i="22"/>
  <c r="X98" i="22"/>
  <c r="AZ98" i="22"/>
  <c r="AZ98" i="23" s="1"/>
  <c r="AB98" i="22"/>
  <c r="AB98" i="23" s="1"/>
  <c r="AC98" i="22"/>
  <c r="AC98" i="23" s="1"/>
  <c r="M98" i="22"/>
  <c r="AJ99" i="22"/>
  <c r="AJ99" i="23" s="1"/>
  <c r="AK99" i="22"/>
  <c r="AK99" i="23" s="1"/>
  <c r="AL99" i="22"/>
  <c r="AL99" i="23" s="1"/>
  <c r="AF99" i="22"/>
  <c r="AF99" i="23" s="1"/>
  <c r="AM99" i="22"/>
  <c r="AM99" i="23" s="1"/>
  <c r="AE99" i="22"/>
  <c r="AE99" i="23" s="1"/>
  <c r="AG99" i="22"/>
  <c r="AG99" i="23" s="1"/>
  <c r="AN99" i="22"/>
  <c r="AN99" i="23" s="1"/>
  <c r="AD99" i="22"/>
  <c r="AD99" i="23" s="1"/>
  <c r="AH99" i="22"/>
  <c r="AH99" i="23" s="1"/>
  <c r="AO99" i="22"/>
  <c r="AO99" i="23" s="1"/>
  <c r="AI99" i="22"/>
  <c r="AI99" i="23" s="1"/>
  <c r="H99" i="22"/>
  <c r="AP99" i="22"/>
  <c r="AQ99" i="22"/>
  <c r="I99" i="22"/>
  <c r="BE99" i="22"/>
  <c r="BF99" i="22"/>
  <c r="AY99" i="22"/>
  <c r="AY99" i="23" s="1"/>
  <c r="AZ99" i="22"/>
  <c r="AZ99" i="23" s="1"/>
  <c r="AW99" i="22"/>
  <c r="AW99" i="23" s="1"/>
  <c r="BA99" i="22"/>
  <c r="BA99" i="23" s="1"/>
  <c r="L99" i="22"/>
  <c r="X99" i="22"/>
  <c r="BB99" i="22"/>
  <c r="BB99" i="23" s="1"/>
  <c r="AX99" i="22"/>
  <c r="AX99" i="23" s="1"/>
  <c r="AB99" i="22"/>
  <c r="AB99" i="23" s="1"/>
  <c r="AC99" i="22"/>
  <c r="AC99" i="23" s="1"/>
  <c r="AA99" i="22"/>
  <c r="Z99" i="22"/>
  <c r="Y99" i="22"/>
  <c r="W99" i="22"/>
  <c r="V99" i="22"/>
  <c r="U99" i="22"/>
  <c r="T99" i="22"/>
  <c r="S99" i="22"/>
  <c r="R99" i="22"/>
  <c r="Q99" i="22"/>
  <c r="P99" i="22"/>
  <c r="O99" i="22"/>
  <c r="N99" i="22"/>
  <c r="K99" i="22"/>
  <c r="J99" i="22"/>
  <c r="M99" i="22"/>
  <c r="AJ100" i="22"/>
  <c r="AJ100" i="23" s="1"/>
  <c r="AK100" i="22"/>
  <c r="AK100" i="23" s="1"/>
  <c r="AL100" i="22"/>
  <c r="AL100" i="23" s="1"/>
  <c r="AE100" i="22"/>
  <c r="AE100" i="23" s="1"/>
  <c r="AI100" i="22"/>
  <c r="AI100" i="23" s="1"/>
  <c r="AO100" i="22"/>
  <c r="AO100" i="23" s="1"/>
  <c r="AF100" i="22"/>
  <c r="AF100" i="23" s="1"/>
  <c r="AM100" i="22"/>
  <c r="AM100" i="23" s="1"/>
  <c r="AD100" i="22"/>
  <c r="AD100" i="23" s="1"/>
  <c r="AG100" i="22"/>
  <c r="AG100" i="23" s="1"/>
  <c r="AN100" i="22"/>
  <c r="AN100" i="23" s="1"/>
  <c r="AH100" i="22"/>
  <c r="AH100" i="23" s="1"/>
  <c r="H100" i="22"/>
  <c r="AP100" i="22"/>
  <c r="AQ100" i="22"/>
  <c r="I100" i="22"/>
  <c r="BE100" i="22"/>
  <c r="BF100" i="22"/>
  <c r="AW100" i="22"/>
  <c r="AW100" i="23" s="1"/>
  <c r="BA100" i="22"/>
  <c r="BA100" i="23" s="1"/>
  <c r="AX100" i="22"/>
  <c r="AX100" i="23" s="1"/>
  <c r="BB100" i="22"/>
  <c r="BB100" i="23" s="1"/>
  <c r="AY100" i="22"/>
  <c r="AY100" i="23" s="1"/>
  <c r="AZ100" i="22"/>
  <c r="AZ100" i="23" s="1"/>
  <c r="L100" i="22"/>
  <c r="X100" i="22"/>
  <c r="AB100" i="22"/>
  <c r="AB100" i="23" s="1"/>
  <c r="AC100" i="22"/>
  <c r="AC100" i="23" s="1"/>
  <c r="M100" i="22"/>
  <c r="AA100" i="22"/>
  <c r="Z100" i="22"/>
  <c r="Y100" i="22"/>
  <c r="W100" i="22"/>
  <c r="V100" i="22"/>
  <c r="U100" i="22"/>
  <c r="T100" i="22"/>
  <c r="AK101" i="22"/>
  <c r="AK101" i="23" s="1"/>
  <c r="AL101" i="22"/>
  <c r="AL101" i="23" s="1"/>
  <c r="AJ101" i="22"/>
  <c r="AJ101" i="23" s="1"/>
  <c r="AD101" i="22"/>
  <c r="AD101" i="23" s="1"/>
  <c r="AH101" i="22"/>
  <c r="AH101" i="23" s="1"/>
  <c r="AO101" i="22"/>
  <c r="AO101" i="23" s="1"/>
  <c r="AN101" i="22"/>
  <c r="AN101" i="23" s="1"/>
  <c r="AE101" i="22"/>
  <c r="AE101" i="23" s="1"/>
  <c r="AI101" i="22"/>
  <c r="AI101" i="23" s="1"/>
  <c r="AG101" i="22"/>
  <c r="AG101" i="23" s="1"/>
  <c r="AF101" i="22"/>
  <c r="AF101" i="23" s="1"/>
  <c r="AM101" i="22"/>
  <c r="AM101" i="23" s="1"/>
  <c r="I101" i="22"/>
  <c r="BE101" i="22"/>
  <c r="BF101" i="22"/>
  <c r="H101" i="22"/>
  <c r="AP101" i="22"/>
  <c r="AQ101" i="22"/>
  <c r="AY101" i="22"/>
  <c r="AY101" i="23" s="1"/>
  <c r="AZ101" i="22"/>
  <c r="AZ101" i="23" s="1"/>
  <c r="AW101" i="22"/>
  <c r="AW101" i="23" s="1"/>
  <c r="BA101" i="22"/>
  <c r="BA101" i="23" s="1"/>
  <c r="AX101" i="22"/>
  <c r="AX101" i="23" s="1"/>
  <c r="X101" i="22"/>
  <c r="L101" i="22"/>
  <c r="BB101" i="22"/>
  <c r="BB101" i="23" s="1"/>
  <c r="AB101" i="22"/>
  <c r="AB101" i="23" s="1"/>
  <c r="AC101" i="22"/>
  <c r="AC101" i="23" s="1"/>
  <c r="M101" i="22"/>
  <c r="AA101" i="22"/>
  <c r="Z101" i="22"/>
  <c r="Y101" i="22"/>
  <c r="W101" i="22"/>
  <c r="V101" i="22"/>
  <c r="U101" i="22"/>
  <c r="T101" i="22"/>
  <c r="AL102" i="22"/>
  <c r="AL102" i="23" s="1"/>
  <c r="AJ102" i="22"/>
  <c r="AJ102" i="23" s="1"/>
  <c r="AK102" i="22"/>
  <c r="AK102" i="23" s="1"/>
  <c r="AG102" i="22"/>
  <c r="AG102" i="23" s="1"/>
  <c r="AN102" i="22"/>
  <c r="AN102" i="23" s="1"/>
  <c r="AD102" i="22"/>
  <c r="AD102" i="23" s="1"/>
  <c r="AH102" i="22"/>
  <c r="AH102" i="23" s="1"/>
  <c r="AO102" i="22"/>
  <c r="AO102" i="23" s="1"/>
  <c r="AM102" i="22"/>
  <c r="AM102" i="23" s="1"/>
  <c r="AE102" i="22"/>
  <c r="AE102" i="23" s="1"/>
  <c r="AI102" i="22"/>
  <c r="AI102" i="23" s="1"/>
  <c r="AF102" i="22"/>
  <c r="AF102" i="23" s="1"/>
  <c r="I102" i="22"/>
  <c r="BE102" i="22"/>
  <c r="BF102" i="22"/>
  <c r="H102" i="22"/>
  <c r="AP102" i="22"/>
  <c r="AQ102" i="22"/>
  <c r="AW102" i="22"/>
  <c r="AW102" i="23" s="1"/>
  <c r="BA102" i="22"/>
  <c r="BA102" i="23" s="1"/>
  <c r="AX102" i="22"/>
  <c r="AX102" i="23" s="1"/>
  <c r="BB102" i="22"/>
  <c r="BB102" i="23" s="1"/>
  <c r="AY102" i="22"/>
  <c r="AY102" i="23" s="1"/>
  <c r="AZ102" i="22"/>
  <c r="AZ102" i="23" s="1"/>
  <c r="L102" i="22"/>
  <c r="X102" i="22"/>
  <c r="AB102" i="22"/>
  <c r="AB102" i="23" s="1"/>
  <c r="AC102" i="22"/>
  <c r="AC102" i="23" s="1"/>
  <c r="M102" i="22"/>
  <c r="AL103" i="22"/>
  <c r="AL103" i="23" s="1"/>
  <c r="AJ103" i="22"/>
  <c r="AJ103" i="23" s="1"/>
  <c r="AF103" i="22"/>
  <c r="AF103" i="23" s="1"/>
  <c r="AM103" i="22"/>
  <c r="AM103" i="23" s="1"/>
  <c r="AE103" i="22"/>
  <c r="AE103" i="23" s="1"/>
  <c r="AG103" i="22"/>
  <c r="AG103" i="23" s="1"/>
  <c r="AN103" i="22"/>
  <c r="AN103" i="23" s="1"/>
  <c r="AK103" i="22"/>
  <c r="AK103" i="23" s="1"/>
  <c r="AD103" i="22"/>
  <c r="AD103" i="23" s="1"/>
  <c r="AH103" i="22"/>
  <c r="AH103" i="23" s="1"/>
  <c r="AO103" i="22"/>
  <c r="AO103" i="23" s="1"/>
  <c r="AI103" i="22"/>
  <c r="AI103" i="23" s="1"/>
  <c r="H103" i="22"/>
  <c r="AP103" i="22"/>
  <c r="AQ103" i="22"/>
  <c r="I103" i="22"/>
  <c r="BE103" i="22"/>
  <c r="BF103" i="22"/>
  <c r="AY103" i="22"/>
  <c r="AY103" i="23" s="1"/>
  <c r="AZ103" i="22"/>
  <c r="AZ103" i="23" s="1"/>
  <c r="AW103" i="22"/>
  <c r="AW103" i="23" s="1"/>
  <c r="BA103" i="22"/>
  <c r="BA103" i="23" s="1"/>
  <c r="L103" i="22"/>
  <c r="X103" i="22"/>
  <c r="AX103" i="22"/>
  <c r="AX103" i="23" s="1"/>
  <c r="BB103" i="22"/>
  <c r="BB103" i="23" s="1"/>
  <c r="AB103" i="22"/>
  <c r="AB103" i="23" s="1"/>
  <c r="AC103" i="22"/>
  <c r="AC103" i="23" s="1"/>
  <c r="AA103" i="22"/>
  <c r="Z103" i="22"/>
  <c r="Y103" i="22"/>
  <c r="W103" i="22"/>
  <c r="V103" i="22"/>
  <c r="U103" i="22"/>
  <c r="T103" i="22"/>
  <c r="S103" i="22"/>
  <c r="R103" i="22"/>
  <c r="Q103" i="22"/>
  <c r="P103" i="22"/>
  <c r="O103" i="22"/>
  <c r="N103" i="22"/>
  <c r="K103" i="22"/>
  <c r="J103" i="22"/>
  <c r="M103" i="22"/>
  <c r="AJ104" i="22"/>
  <c r="AJ104" i="23" s="1"/>
  <c r="AK104" i="22"/>
  <c r="AK104" i="23" s="1"/>
  <c r="AL104" i="22"/>
  <c r="AL104" i="23" s="1"/>
  <c r="AE104" i="22"/>
  <c r="AE104" i="23" s="1"/>
  <c r="AI104" i="22"/>
  <c r="AI104" i="23" s="1"/>
  <c r="AH104" i="22"/>
  <c r="AH104" i="23" s="1"/>
  <c r="AF104" i="22"/>
  <c r="AF104" i="23" s="1"/>
  <c r="AM104" i="22"/>
  <c r="AM104" i="23" s="1"/>
  <c r="AD104" i="22"/>
  <c r="AD104" i="23" s="1"/>
  <c r="AG104" i="22"/>
  <c r="AG104" i="23" s="1"/>
  <c r="AN104" i="22"/>
  <c r="AN104" i="23" s="1"/>
  <c r="AO104" i="22"/>
  <c r="AO104" i="23" s="1"/>
  <c r="H104" i="22"/>
  <c r="AP104" i="22"/>
  <c r="AQ104" i="22"/>
  <c r="I104" i="22"/>
  <c r="BE104" i="22"/>
  <c r="BF104" i="22"/>
  <c r="AW104" i="22"/>
  <c r="AW104" i="23" s="1"/>
  <c r="BA104" i="22"/>
  <c r="BA104" i="23" s="1"/>
  <c r="AX104" i="22"/>
  <c r="AX104" i="23" s="1"/>
  <c r="BB104" i="22"/>
  <c r="BB104" i="23" s="1"/>
  <c r="AY104" i="22"/>
  <c r="AY104" i="23" s="1"/>
  <c r="L104" i="22"/>
  <c r="X104" i="22"/>
  <c r="AZ104" i="22"/>
  <c r="AZ104" i="23" s="1"/>
  <c r="AB104" i="22"/>
  <c r="AB104" i="23" s="1"/>
  <c r="AC104" i="22"/>
  <c r="AC104" i="23" s="1"/>
  <c r="M104" i="22"/>
  <c r="AA104" i="22"/>
  <c r="Z104" i="22"/>
  <c r="Y104" i="22"/>
  <c r="W104" i="22"/>
  <c r="V104" i="22"/>
  <c r="U104" i="22"/>
  <c r="T104" i="22"/>
  <c r="AK105" i="22"/>
  <c r="AK105" i="23" s="1"/>
  <c r="AL105" i="22"/>
  <c r="AL105" i="23" s="1"/>
  <c r="AJ105" i="22"/>
  <c r="AJ105" i="23" s="1"/>
  <c r="AD105" i="22"/>
  <c r="AD105" i="23" s="1"/>
  <c r="AH105" i="22"/>
  <c r="AH105" i="23" s="1"/>
  <c r="AO105" i="22"/>
  <c r="AO105" i="23" s="1"/>
  <c r="AN105" i="22"/>
  <c r="AN105" i="23" s="1"/>
  <c r="AE105" i="22"/>
  <c r="AE105" i="23" s="1"/>
  <c r="AI105" i="22"/>
  <c r="AI105" i="23" s="1"/>
  <c r="AG105" i="22"/>
  <c r="AG105" i="23" s="1"/>
  <c r="AF105" i="22"/>
  <c r="AF105" i="23" s="1"/>
  <c r="AM105" i="22"/>
  <c r="AM105" i="23" s="1"/>
  <c r="H105" i="22"/>
  <c r="AP105" i="22"/>
  <c r="AQ105" i="22"/>
  <c r="I105" i="22"/>
  <c r="BE105" i="22"/>
  <c r="BF105" i="22"/>
  <c r="AY105" i="22"/>
  <c r="AY105" i="23" s="1"/>
  <c r="AZ105" i="22"/>
  <c r="AZ105" i="23" s="1"/>
  <c r="AW105" i="22"/>
  <c r="AW105" i="23" s="1"/>
  <c r="BA105" i="22"/>
  <c r="BA105" i="23" s="1"/>
  <c r="AX105" i="22"/>
  <c r="AX105" i="23" s="1"/>
  <c r="BB105" i="22"/>
  <c r="BB105" i="23" s="1"/>
  <c r="L105" i="22"/>
  <c r="X105" i="22"/>
  <c r="AB105" i="22"/>
  <c r="AB105" i="23" s="1"/>
  <c r="AC105" i="22"/>
  <c r="AC105" i="23" s="1"/>
  <c r="M105" i="22"/>
  <c r="AA105" i="22"/>
  <c r="Z105" i="22"/>
  <c r="Y105" i="22"/>
  <c r="W105" i="22"/>
  <c r="V105" i="22"/>
  <c r="U105" i="22"/>
  <c r="T105" i="22"/>
  <c r="AL106" i="22"/>
  <c r="AL106" i="23" s="1"/>
  <c r="AJ106" i="22"/>
  <c r="AJ106" i="23" s="1"/>
  <c r="AK106" i="22"/>
  <c r="AK106" i="23" s="1"/>
  <c r="AG106" i="22"/>
  <c r="AG106" i="23" s="1"/>
  <c r="AN106" i="22"/>
  <c r="AN106" i="23" s="1"/>
  <c r="AD106" i="22"/>
  <c r="AD106" i="23" s="1"/>
  <c r="AH106" i="22"/>
  <c r="AH106" i="23" s="1"/>
  <c r="AO106" i="22"/>
  <c r="AO106" i="23" s="1"/>
  <c r="AM106" i="22"/>
  <c r="AM106" i="23" s="1"/>
  <c r="AE106" i="22"/>
  <c r="AE106" i="23" s="1"/>
  <c r="AI106" i="22"/>
  <c r="AI106" i="23" s="1"/>
  <c r="AF106" i="22"/>
  <c r="AF106" i="23" s="1"/>
  <c r="H106" i="22"/>
  <c r="AP106" i="22"/>
  <c r="AQ106" i="22"/>
  <c r="I106" i="22"/>
  <c r="BE106" i="22"/>
  <c r="BF106" i="22"/>
  <c r="AW106" i="22"/>
  <c r="AW106" i="23" s="1"/>
  <c r="BA106" i="22"/>
  <c r="BA106" i="23" s="1"/>
  <c r="AX106" i="22"/>
  <c r="AX106" i="23" s="1"/>
  <c r="BB106" i="22"/>
  <c r="BB106" i="23" s="1"/>
  <c r="AY106" i="22"/>
  <c r="AY106" i="23" s="1"/>
  <c r="AZ106" i="22"/>
  <c r="AZ106" i="23" s="1"/>
  <c r="X106" i="22"/>
  <c r="L106" i="22"/>
  <c r="AB106" i="22"/>
  <c r="AB106" i="23" s="1"/>
  <c r="AC106" i="22"/>
  <c r="AC106" i="23" s="1"/>
  <c r="M106" i="22"/>
  <c r="AK107" i="22"/>
  <c r="AK107" i="23" s="1"/>
  <c r="AL107" i="22"/>
  <c r="AL107" i="23" s="1"/>
  <c r="AJ107" i="22"/>
  <c r="AJ107" i="23" s="1"/>
  <c r="AF107" i="22"/>
  <c r="AF107" i="23" s="1"/>
  <c r="AM107" i="22"/>
  <c r="AM107" i="23" s="1"/>
  <c r="AE107" i="22"/>
  <c r="AE107" i="23" s="1"/>
  <c r="AG107" i="22"/>
  <c r="AG107" i="23" s="1"/>
  <c r="AN107" i="22"/>
  <c r="AN107" i="23" s="1"/>
  <c r="AI107" i="22"/>
  <c r="AI107" i="23" s="1"/>
  <c r="AD107" i="22"/>
  <c r="AD107" i="23" s="1"/>
  <c r="AH107" i="22"/>
  <c r="AH107" i="23" s="1"/>
  <c r="AO107" i="22"/>
  <c r="AO107" i="23" s="1"/>
  <c r="H107" i="22"/>
  <c r="AP107" i="22"/>
  <c r="AQ107" i="22"/>
  <c r="I107" i="22"/>
  <c r="BE107" i="22"/>
  <c r="BF107" i="22"/>
  <c r="AY107" i="22"/>
  <c r="AY107" i="23" s="1"/>
  <c r="AZ107" i="22"/>
  <c r="AZ107" i="23" s="1"/>
  <c r="AW107" i="22"/>
  <c r="AW107" i="23" s="1"/>
  <c r="BA107" i="22"/>
  <c r="BA107" i="23" s="1"/>
  <c r="L107" i="22"/>
  <c r="X107" i="22"/>
  <c r="BB107" i="22"/>
  <c r="BB107" i="23" s="1"/>
  <c r="AX107" i="22"/>
  <c r="AX107" i="23" s="1"/>
  <c r="AB107" i="22"/>
  <c r="AB107" i="23" s="1"/>
  <c r="AC107" i="22"/>
  <c r="AC107" i="23" s="1"/>
  <c r="AA107" i="22"/>
  <c r="Z107" i="22"/>
  <c r="Y107" i="22"/>
  <c r="W107" i="22"/>
  <c r="V107" i="22"/>
  <c r="U107" i="22"/>
  <c r="T107" i="22"/>
  <c r="S107" i="22"/>
  <c r="R107" i="22"/>
  <c r="Q107" i="22"/>
  <c r="P107" i="22"/>
  <c r="O107" i="22"/>
  <c r="N107" i="22"/>
  <c r="K107" i="22"/>
  <c r="J107" i="22"/>
  <c r="M107" i="22"/>
  <c r="AJ108" i="22"/>
  <c r="AJ108" i="23" s="1"/>
  <c r="AL108" i="22"/>
  <c r="AL108" i="23" s="1"/>
  <c r="AK108" i="22"/>
  <c r="AK108" i="23" s="1"/>
  <c r="AE108" i="22"/>
  <c r="AE108" i="23" s="1"/>
  <c r="AI108" i="22"/>
  <c r="AI108" i="23" s="1"/>
  <c r="AH108" i="22"/>
  <c r="AH108" i="23" s="1"/>
  <c r="AF108" i="22"/>
  <c r="AF108" i="23" s="1"/>
  <c r="AM108" i="22"/>
  <c r="AM108" i="23" s="1"/>
  <c r="AO108" i="22"/>
  <c r="AO108" i="23" s="1"/>
  <c r="AG108" i="22"/>
  <c r="AG108" i="23" s="1"/>
  <c r="AN108" i="22"/>
  <c r="AN108" i="23" s="1"/>
  <c r="AD108" i="22"/>
  <c r="AD108" i="23" s="1"/>
  <c r="H108" i="22"/>
  <c r="AP108" i="22"/>
  <c r="AQ108" i="22"/>
  <c r="I108" i="22"/>
  <c r="BE108" i="22"/>
  <c r="BF108" i="22"/>
  <c r="AW108" i="22"/>
  <c r="AW108" i="23" s="1"/>
  <c r="BA108" i="22"/>
  <c r="BA108" i="23" s="1"/>
  <c r="AX108" i="22"/>
  <c r="AX108" i="23" s="1"/>
  <c r="BB108" i="22"/>
  <c r="BB108" i="23" s="1"/>
  <c r="AY108" i="22"/>
  <c r="AY108" i="23" s="1"/>
  <c r="L108" i="22"/>
  <c r="X108" i="22"/>
  <c r="AZ108" i="22"/>
  <c r="AZ108" i="23" s="1"/>
  <c r="AB108" i="22"/>
  <c r="AB108" i="23" s="1"/>
  <c r="AC108" i="22"/>
  <c r="AC108" i="23" s="1"/>
  <c r="M108" i="22"/>
  <c r="AA108" i="22"/>
  <c r="Z108" i="22"/>
  <c r="Y108" i="22"/>
  <c r="W108" i="22"/>
  <c r="V108" i="22"/>
  <c r="U108" i="22"/>
  <c r="T108" i="22"/>
  <c r="AK109" i="22"/>
  <c r="AK109" i="23" s="1"/>
  <c r="AJ109" i="22"/>
  <c r="AJ109" i="23" s="1"/>
  <c r="AL109" i="22"/>
  <c r="AL109" i="23" s="1"/>
  <c r="AD109" i="22"/>
  <c r="AD109" i="23" s="1"/>
  <c r="AH109" i="22"/>
  <c r="AH109" i="23" s="1"/>
  <c r="AO109" i="22"/>
  <c r="AO109" i="23" s="1"/>
  <c r="AN109" i="22"/>
  <c r="AN109" i="23" s="1"/>
  <c r="AE109" i="22"/>
  <c r="AE109" i="23" s="1"/>
  <c r="AI109" i="22"/>
  <c r="AI109" i="23" s="1"/>
  <c r="AF109" i="22"/>
  <c r="AF109" i="23" s="1"/>
  <c r="AM109" i="22"/>
  <c r="AM109" i="23" s="1"/>
  <c r="AG109" i="22"/>
  <c r="AG109" i="23" s="1"/>
  <c r="I109" i="22"/>
  <c r="BE109" i="22"/>
  <c r="BF109" i="22"/>
  <c r="H109" i="22"/>
  <c r="AP109" i="22"/>
  <c r="AQ109" i="22"/>
  <c r="AY109" i="22"/>
  <c r="AY109" i="23" s="1"/>
  <c r="AZ109" i="22"/>
  <c r="AZ109" i="23" s="1"/>
  <c r="AW109" i="22"/>
  <c r="AW109" i="23" s="1"/>
  <c r="BA109" i="22"/>
  <c r="BA109" i="23" s="1"/>
  <c r="L109" i="22"/>
  <c r="X109" i="22"/>
  <c r="AX109" i="22"/>
  <c r="AX109" i="23" s="1"/>
  <c r="BB109" i="22"/>
  <c r="BB109" i="23" s="1"/>
  <c r="AB109" i="22"/>
  <c r="AB109" i="23" s="1"/>
  <c r="AC109" i="22"/>
  <c r="AC109" i="23" s="1"/>
  <c r="M109" i="22"/>
  <c r="AA109" i="22"/>
  <c r="Z109" i="22"/>
  <c r="Y109" i="22"/>
  <c r="W109" i="22"/>
  <c r="V109" i="22"/>
  <c r="U109" i="22"/>
  <c r="T109" i="22"/>
  <c r="AL110" i="22"/>
  <c r="AL110" i="23" s="1"/>
  <c r="AJ110" i="22"/>
  <c r="AJ110" i="23" s="1"/>
  <c r="AG110" i="22"/>
  <c r="AG110" i="23" s="1"/>
  <c r="AN110" i="22"/>
  <c r="AN110" i="23" s="1"/>
  <c r="AD110" i="22"/>
  <c r="AD110" i="23" s="1"/>
  <c r="AH110" i="22"/>
  <c r="AH110" i="23" s="1"/>
  <c r="AO110" i="22"/>
  <c r="AO110" i="23" s="1"/>
  <c r="AF110" i="22"/>
  <c r="AF110" i="23" s="1"/>
  <c r="AE110" i="22"/>
  <c r="AE110" i="23" s="1"/>
  <c r="AI110" i="22"/>
  <c r="AI110" i="23" s="1"/>
  <c r="AK110" i="22"/>
  <c r="AK110" i="23" s="1"/>
  <c r="AM110" i="22"/>
  <c r="AM110" i="23" s="1"/>
  <c r="I110" i="22"/>
  <c r="BE110" i="22"/>
  <c r="BF110" i="22"/>
  <c r="H110" i="22"/>
  <c r="AP110" i="22"/>
  <c r="AQ110" i="22"/>
  <c r="AW110" i="22"/>
  <c r="AW110" i="23" s="1"/>
  <c r="BA110" i="22"/>
  <c r="BA110" i="23" s="1"/>
  <c r="AX110" i="22"/>
  <c r="AX110" i="23" s="1"/>
  <c r="BB110" i="22"/>
  <c r="BB110" i="23" s="1"/>
  <c r="AY110" i="22"/>
  <c r="AY110" i="23" s="1"/>
  <c r="AZ110" i="22"/>
  <c r="AZ110" i="23" s="1"/>
  <c r="L110" i="22"/>
  <c r="X110" i="22"/>
  <c r="AB110" i="22"/>
  <c r="AB110" i="23" s="1"/>
  <c r="AC110" i="22"/>
  <c r="AC110" i="23" s="1"/>
  <c r="M110" i="22"/>
  <c r="F109" i="22"/>
  <c r="F107" i="22"/>
  <c r="F105" i="22"/>
  <c r="F103" i="22"/>
  <c r="F101" i="22"/>
  <c r="F99" i="22"/>
  <c r="F97" i="22"/>
  <c r="F95" i="22"/>
  <c r="F93" i="22"/>
  <c r="F91" i="22"/>
  <c r="F89" i="22"/>
  <c r="F87" i="22"/>
  <c r="F85" i="22"/>
  <c r="F83" i="22"/>
  <c r="F81" i="22"/>
  <c r="F79" i="22"/>
  <c r="F77" i="22"/>
  <c r="F75" i="22"/>
  <c r="F73" i="22"/>
  <c r="F71" i="22"/>
  <c r="F69" i="22"/>
  <c r="F67" i="22"/>
  <c r="F65" i="22"/>
  <c r="F63" i="22"/>
  <c r="F61" i="22"/>
  <c r="F59" i="22"/>
  <c r="F57" i="22"/>
  <c r="F55" i="22"/>
  <c r="F53" i="22"/>
  <c r="F51" i="22"/>
  <c r="F49" i="22"/>
  <c r="F47" i="22"/>
  <c r="F45" i="22"/>
  <c r="F43" i="22"/>
  <c r="F41" i="22"/>
  <c r="F39" i="22"/>
  <c r="F37" i="22"/>
  <c r="F35" i="22"/>
  <c r="F33" i="22"/>
  <c r="F31" i="22"/>
  <c r="AS110" i="22"/>
  <c r="AT109" i="22"/>
  <c r="AU108" i="22"/>
  <c r="AV107" i="22"/>
  <c r="AR107" i="22"/>
  <c r="AS106" i="22"/>
  <c r="AT105" i="22"/>
  <c r="AU104" i="22"/>
  <c r="AV103" i="22"/>
  <c r="AR103" i="22"/>
  <c r="AS102" i="22"/>
  <c r="AT101" i="22"/>
  <c r="AU100" i="22"/>
  <c r="AV99" i="22"/>
  <c r="AR99" i="22"/>
  <c r="AS98" i="22"/>
  <c r="AT97" i="22"/>
  <c r="AU96" i="22"/>
  <c r="AV95" i="22"/>
  <c r="AR95" i="22"/>
  <c r="AS94" i="22"/>
  <c r="AT93" i="22"/>
  <c r="AU92" i="22"/>
  <c r="AV91" i="22"/>
  <c r="AR91" i="22"/>
  <c r="AS90" i="22"/>
  <c r="AT89" i="22"/>
  <c r="AU88" i="22"/>
  <c r="AV87" i="22"/>
  <c r="AR87" i="22"/>
  <c r="AS86" i="22"/>
  <c r="AT85" i="22"/>
  <c r="AU84" i="22"/>
  <c r="AV83" i="22"/>
  <c r="AR83" i="22"/>
  <c r="AS82" i="22"/>
  <c r="AT81" i="22"/>
  <c r="AU80" i="22"/>
  <c r="AV79" i="22"/>
  <c r="AR79" i="22"/>
  <c r="AS78" i="22"/>
  <c r="AT77" i="22"/>
  <c r="AU76" i="22"/>
  <c r="AV75" i="22"/>
  <c r="AR75" i="22"/>
  <c r="AS74" i="22"/>
  <c r="AT73" i="22"/>
  <c r="AU72" i="22"/>
  <c r="AV71" i="22"/>
  <c r="AR71" i="22"/>
  <c r="AS70" i="22"/>
  <c r="AT69" i="22"/>
  <c r="AV67" i="22"/>
  <c r="AR67" i="22"/>
  <c r="AS66" i="22"/>
  <c r="AT65" i="22"/>
  <c r="AU64" i="22"/>
  <c r="AV63" i="22"/>
  <c r="AR63" i="22"/>
  <c r="AS62" i="22"/>
  <c r="AT61" i="22"/>
  <c r="AU60" i="22"/>
  <c r="AV59" i="22"/>
  <c r="AR59" i="22"/>
  <c r="AS58" i="22"/>
  <c r="AT57" i="22"/>
  <c r="AU56" i="22"/>
  <c r="AV55" i="22"/>
  <c r="AR55" i="22"/>
  <c r="AS54" i="22"/>
  <c r="AU52" i="22"/>
  <c r="AV51" i="22"/>
  <c r="AR51" i="22"/>
  <c r="AS50" i="22"/>
  <c r="AT49" i="22"/>
  <c r="AV47" i="22"/>
  <c r="AR47" i="22"/>
  <c r="AS46" i="22"/>
  <c r="AT45" i="22"/>
  <c r="AV43" i="22"/>
  <c r="AR43" i="22"/>
  <c r="AS42" i="22"/>
  <c r="AT41" i="22"/>
  <c r="AU40" i="22"/>
  <c r="AV39" i="22"/>
  <c r="AR39" i="22"/>
  <c r="AS38" i="22"/>
  <c r="AT37" i="22"/>
  <c r="AV35" i="22"/>
  <c r="AR35" i="22"/>
  <c r="AS34" i="22"/>
  <c r="AT33" i="22"/>
  <c r="AU32" i="22"/>
  <c r="AV31" i="22"/>
  <c r="J109" i="22"/>
  <c r="J104" i="22"/>
  <c r="J98" i="22"/>
  <c r="J93" i="22"/>
  <c r="J88" i="22"/>
  <c r="J82" i="22"/>
  <c r="J77" i="22"/>
  <c r="J72" i="22"/>
  <c r="J66" i="22"/>
  <c r="J61" i="22"/>
  <c r="J56" i="22"/>
  <c r="J50" i="22"/>
  <c r="J45" i="22"/>
  <c r="J40" i="22"/>
  <c r="J34" i="22"/>
  <c r="K109" i="22"/>
  <c r="K104" i="22"/>
  <c r="K98" i="22"/>
  <c r="K93" i="22"/>
  <c r="K88" i="22"/>
  <c r="K82" i="22"/>
  <c r="K77" i="22"/>
  <c r="K72" i="22"/>
  <c r="K66" i="22"/>
  <c r="K61" i="22"/>
  <c r="K56" i="22"/>
  <c r="K50" i="22"/>
  <c r="K45" i="22"/>
  <c r="K40" i="22"/>
  <c r="K34" i="22"/>
  <c r="N109" i="22"/>
  <c r="N104" i="22"/>
  <c r="N98" i="22"/>
  <c r="N93" i="22"/>
  <c r="N88" i="22"/>
  <c r="N82" i="22"/>
  <c r="N77" i="22"/>
  <c r="N72" i="22"/>
  <c r="N61" i="22"/>
  <c r="N56" i="22"/>
  <c r="N45" i="22"/>
  <c r="N34" i="22"/>
  <c r="O109" i="22"/>
  <c r="O104" i="22"/>
  <c r="O98" i="22"/>
  <c r="O93" i="22"/>
  <c r="O88" i="22"/>
  <c r="O82" i="22"/>
  <c r="O77" i="22"/>
  <c r="O72" i="22"/>
  <c r="O56" i="22"/>
  <c r="O45" i="22"/>
  <c r="O34" i="22"/>
  <c r="P109" i="22"/>
  <c r="P104" i="22"/>
  <c r="P98" i="22"/>
  <c r="P93" i="22"/>
  <c r="P88" i="22"/>
  <c r="P82" i="22"/>
  <c r="P77" i="22"/>
  <c r="P72" i="22"/>
  <c r="P56" i="22"/>
  <c r="P45" i="22"/>
  <c r="P34" i="22"/>
  <c r="Q109" i="22"/>
  <c r="Q104" i="22"/>
  <c r="Q98" i="22"/>
  <c r="Q93" i="22"/>
  <c r="Q88" i="22"/>
  <c r="Q82" i="22"/>
  <c r="Q77" i="22"/>
  <c r="Q72" i="22"/>
  <c r="Q56" i="22"/>
  <c r="Q45" i="22"/>
  <c r="Q34" i="22"/>
  <c r="R109" i="22"/>
  <c r="R104" i="22"/>
  <c r="R98" i="22"/>
  <c r="R93" i="22"/>
  <c r="R88" i="22"/>
  <c r="R82" i="22"/>
  <c r="R77" i="22"/>
  <c r="R72" i="22"/>
  <c r="R66" i="22"/>
  <c r="R61" i="22"/>
  <c r="R56" i="22"/>
  <c r="R50" i="22"/>
  <c r="R45" i="22"/>
  <c r="R34" i="22"/>
  <c r="S109" i="22"/>
  <c r="S104" i="22"/>
  <c r="S98" i="22"/>
  <c r="S93" i="22"/>
  <c r="S88" i="22"/>
  <c r="S82" i="22"/>
  <c r="S77" i="22"/>
  <c r="S72" i="22"/>
  <c r="S66" i="22"/>
  <c r="S61" i="22"/>
  <c r="S56" i="22"/>
  <c r="S46" i="22"/>
  <c r="T110" i="22"/>
  <c r="T94" i="22"/>
  <c r="T78" i="22"/>
  <c r="T62" i="22"/>
  <c r="U110" i="22"/>
  <c r="U94" i="22"/>
  <c r="U78" i="22"/>
  <c r="U62" i="22"/>
  <c r="V110" i="22"/>
  <c r="V94" i="22"/>
  <c r="W110" i="22"/>
  <c r="W94" i="22"/>
  <c r="W62" i="22"/>
  <c r="Y110" i="22"/>
  <c r="Y94" i="22"/>
  <c r="Z110" i="22"/>
  <c r="Z94" i="22"/>
  <c r="AA110" i="22"/>
  <c r="AA94" i="22"/>
  <c r="AA78" i="22"/>
  <c r="V78" i="22" s="1"/>
  <c r="AA62" i="22"/>
  <c r="V62" i="22" s="1"/>
  <c r="AA46" i="22"/>
  <c r="V46" i="22" s="1"/>
  <c r="J37" i="23"/>
  <c r="K37" i="23"/>
  <c r="H37" i="23"/>
  <c r="T37" i="23" s="1"/>
  <c r="R37" i="23"/>
  <c r="S37" i="23"/>
  <c r="Y37" i="23"/>
  <c r="AT37" i="23"/>
  <c r="AR37" i="23"/>
  <c r="BF37" i="23"/>
  <c r="P37" i="23" s="1"/>
  <c r="X37" i="23"/>
  <c r="AV38" i="23"/>
  <c r="J38" i="23"/>
  <c r="H38" i="23"/>
  <c r="T38" i="23" s="1"/>
  <c r="K38" i="23"/>
  <c r="R38" i="23"/>
  <c r="Y38" i="23"/>
  <c r="S38" i="23"/>
  <c r="BF38" i="23"/>
  <c r="P38" i="23" s="1"/>
  <c r="AS38" i="23"/>
  <c r="O38" i="23"/>
  <c r="N38" i="23"/>
  <c r="M38" i="23"/>
  <c r="L38" i="23"/>
  <c r="BE38" i="23"/>
  <c r="AA38" i="23"/>
  <c r="W38" i="23" s="1"/>
  <c r="AU38" i="23"/>
  <c r="X38" i="23"/>
  <c r="G38" i="23"/>
  <c r="AV57" i="23"/>
  <c r="J57" i="23"/>
  <c r="K57" i="23"/>
  <c r="H57" i="23"/>
  <c r="U57" i="23" s="1"/>
  <c r="R57" i="23"/>
  <c r="S57" i="23"/>
  <c r="Y57" i="23"/>
  <c r="N57" i="23"/>
  <c r="M57" i="23"/>
  <c r="L57" i="23"/>
  <c r="AS57" i="23"/>
  <c r="BF57" i="23"/>
  <c r="O57" i="23" s="1"/>
  <c r="AA57" i="23"/>
  <c r="W57" i="23" s="1"/>
  <c r="X57" i="23"/>
  <c r="G57" i="23"/>
  <c r="AT58" i="23"/>
  <c r="AV80" i="23"/>
  <c r="H80" i="23"/>
  <c r="U80" i="23" s="1"/>
  <c r="J80" i="23"/>
  <c r="K80" i="23"/>
  <c r="Y80" i="23"/>
  <c r="W80" i="23"/>
  <c r="T80" i="23"/>
  <c r="R80" i="23"/>
  <c r="S80" i="23"/>
  <c r="N80" i="23"/>
  <c r="M80" i="23"/>
  <c r="L80" i="23"/>
  <c r="BF80" i="23"/>
  <c r="BE80" i="23" s="1"/>
  <c r="AS80" i="23"/>
  <c r="AA80" i="23"/>
  <c r="AU80" i="23"/>
  <c r="X80" i="23"/>
  <c r="AV88" i="23"/>
  <c r="H88" i="23"/>
  <c r="U88" i="23" s="1"/>
  <c r="AQ88" i="23"/>
  <c r="J88" i="23"/>
  <c r="K88" i="23"/>
  <c r="Y88" i="23"/>
  <c r="R88" i="23"/>
  <c r="S88" i="23"/>
  <c r="N88" i="23"/>
  <c r="M88" i="23"/>
  <c r="L88" i="23"/>
  <c r="BF88" i="23"/>
  <c r="I88" i="23" s="1"/>
  <c r="AS88" i="23"/>
  <c r="BE88" i="23"/>
  <c r="AA88" i="23"/>
  <c r="W88" i="23" s="1"/>
  <c r="AU88" i="23"/>
  <c r="X88" i="23"/>
  <c r="G88" i="23"/>
  <c r="AJ31" i="22"/>
  <c r="AJ31" i="23" s="1"/>
  <c r="AG31" i="22"/>
  <c r="AG31" i="23" s="1"/>
  <c r="AN31" i="22"/>
  <c r="AN31" i="23" s="1"/>
  <c r="AD31" i="22"/>
  <c r="AD31" i="23" s="1"/>
  <c r="AI31" i="22"/>
  <c r="AI31" i="23" s="1"/>
  <c r="AK31" i="22"/>
  <c r="AK31" i="23" s="1"/>
  <c r="AE31" i="22"/>
  <c r="AE31" i="23" s="1"/>
  <c r="AM31" i="22"/>
  <c r="AM31" i="23" s="1"/>
  <c r="AH31" i="22"/>
  <c r="AH31" i="23" s="1"/>
  <c r="AL31" i="22"/>
  <c r="AL31" i="23" s="1"/>
  <c r="AO31" i="22"/>
  <c r="AO31" i="23" s="1"/>
  <c r="AF31" i="22"/>
  <c r="AF31" i="23" s="1"/>
  <c r="H31" i="22"/>
  <c r="U31" i="22" s="1"/>
  <c r="AP31" i="22"/>
  <c r="AQ31" i="22"/>
  <c r="AZ31" i="22"/>
  <c r="AZ31" i="23" s="1"/>
  <c r="BF31" i="22"/>
  <c r="G31" i="22" s="1"/>
  <c r="AW31" i="22"/>
  <c r="AW31" i="23" s="1"/>
  <c r="BA31" i="22"/>
  <c r="BA31" i="23" s="1"/>
  <c r="AX31" i="22"/>
  <c r="AX31" i="23" s="1"/>
  <c r="AY31" i="22"/>
  <c r="AY31" i="23" s="1"/>
  <c r="BB31" i="22"/>
  <c r="BB31" i="23" s="1"/>
  <c r="L31" i="22"/>
  <c r="X31" i="22"/>
  <c r="AB31" i="22"/>
  <c r="AB31" i="23" s="1"/>
  <c r="AC31" i="22"/>
  <c r="AC31" i="23" s="1"/>
  <c r="AA31" i="22"/>
  <c r="W31" i="22" s="1"/>
  <c r="Z31" i="22"/>
  <c r="S31" i="22"/>
  <c r="R31" i="22"/>
  <c r="Q31" i="22"/>
  <c r="N31" i="22"/>
  <c r="K31" i="22"/>
  <c r="J31" i="22"/>
  <c r="M31" i="22"/>
  <c r="AJ36" i="22"/>
  <c r="AJ36" i="23" s="1"/>
  <c r="AF36" i="22"/>
  <c r="AF36" i="23" s="1"/>
  <c r="AM36" i="22"/>
  <c r="AM36" i="23" s="1"/>
  <c r="AK36" i="22"/>
  <c r="AK36" i="23" s="1"/>
  <c r="AL36" i="22"/>
  <c r="AL36" i="23" s="1"/>
  <c r="AH36" i="22"/>
  <c r="AH36" i="23" s="1"/>
  <c r="AG36" i="22"/>
  <c r="AG36" i="23" s="1"/>
  <c r="AI36" i="22"/>
  <c r="AI36" i="23" s="1"/>
  <c r="AE36" i="22"/>
  <c r="AE36" i="23" s="1"/>
  <c r="AN36" i="22"/>
  <c r="AN36" i="23" s="1"/>
  <c r="AO36" i="22"/>
  <c r="AO36" i="23" s="1"/>
  <c r="AD36" i="22"/>
  <c r="AD36" i="23" s="1"/>
  <c r="H36" i="22"/>
  <c r="T36" i="22" s="1"/>
  <c r="AX36" i="22"/>
  <c r="AX36" i="23" s="1"/>
  <c r="BB36" i="22"/>
  <c r="BB36" i="23" s="1"/>
  <c r="AY36" i="22"/>
  <c r="AY36" i="23" s="1"/>
  <c r="BF36" i="22"/>
  <c r="P36" i="22" s="1"/>
  <c r="AZ36" i="22"/>
  <c r="AZ36" i="23" s="1"/>
  <c r="BA36" i="22"/>
  <c r="BA36" i="23" s="1"/>
  <c r="AW36" i="22"/>
  <c r="AW36" i="23" s="1"/>
  <c r="X36" i="22"/>
  <c r="AB36" i="22"/>
  <c r="AB36" i="23" s="1"/>
  <c r="AC36" i="22"/>
  <c r="AC36" i="23" s="1"/>
  <c r="AA36" i="22"/>
  <c r="W36" i="22" s="1"/>
  <c r="S36" i="22"/>
  <c r="AJ40" i="22"/>
  <c r="AJ40" i="23" s="1"/>
  <c r="AF40" i="22"/>
  <c r="AF40" i="23" s="1"/>
  <c r="AK40" i="22"/>
  <c r="AK40" i="23" s="1"/>
  <c r="AD40" i="22"/>
  <c r="AD40" i="23" s="1"/>
  <c r="AI40" i="22"/>
  <c r="AI40" i="23" s="1"/>
  <c r="AG40" i="22"/>
  <c r="AG40" i="23" s="1"/>
  <c r="AO40" i="22"/>
  <c r="AO40" i="23" s="1"/>
  <c r="AH40" i="22"/>
  <c r="AH40" i="23" s="1"/>
  <c r="AN40" i="22"/>
  <c r="AN40" i="23" s="1"/>
  <c r="AE40" i="22"/>
  <c r="AE40" i="23" s="1"/>
  <c r="AL40" i="22"/>
  <c r="AL40" i="23" s="1"/>
  <c r="AM40" i="22"/>
  <c r="AM40" i="23" s="1"/>
  <c r="H40" i="22"/>
  <c r="U40" i="22" s="1"/>
  <c r="AX40" i="22"/>
  <c r="AX40" i="23" s="1"/>
  <c r="BB40" i="22"/>
  <c r="BB40" i="23" s="1"/>
  <c r="AY40" i="22"/>
  <c r="AY40" i="23" s="1"/>
  <c r="BF40" i="22"/>
  <c r="Q40" i="22" s="1"/>
  <c r="AZ40" i="22"/>
  <c r="AZ40" i="23" s="1"/>
  <c r="BA40" i="22"/>
  <c r="BA40" i="23" s="1"/>
  <c r="AW40" i="22"/>
  <c r="AW40" i="23" s="1"/>
  <c r="X40" i="22"/>
  <c r="AB40" i="22"/>
  <c r="AB40" i="23" s="1"/>
  <c r="AC40" i="22"/>
  <c r="AC40" i="23" s="1"/>
  <c r="AA40" i="22"/>
  <c r="W40" i="22" s="1"/>
  <c r="S40" i="22"/>
  <c r="AJ44" i="22"/>
  <c r="AJ44" i="23" s="1"/>
  <c r="AE44" i="22"/>
  <c r="AE44" i="23" s="1"/>
  <c r="AI44" i="22"/>
  <c r="AI44" i="23" s="1"/>
  <c r="AL44" i="22"/>
  <c r="AL44" i="23" s="1"/>
  <c r="AH44" i="22"/>
  <c r="AH44" i="23" s="1"/>
  <c r="AD44" i="22"/>
  <c r="AD44" i="23" s="1"/>
  <c r="AM44" i="22"/>
  <c r="AM44" i="23" s="1"/>
  <c r="AK44" i="22"/>
  <c r="AK44" i="23" s="1"/>
  <c r="AG44" i="22"/>
  <c r="AG44" i="23" s="1"/>
  <c r="AN44" i="22"/>
  <c r="AN44" i="23" s="1"/>
  <c r="AO44" i="22"/>
  <c r="AO44" i="23" s="1"/>
  <c r="AF44" i="22"/>
  <c r="AF44" i="23" s="1"/>
  <c r="H44" i="22"/>
  <c r="U44" i="22" s="1"/>
  <c r="AX44" i="22"/>
  <c r="AX44" i="23" s="1"/>
  <c r="BB44" i="22"/>
  <c r="BB44" i="23" s="1"/>
  <c r="AY44" i="22"/>
  <c r="AY44" i="23" s="1"/>
  <c r="BF44" i="22"/>
  <c r="AP44" i="22" s="1"/>
  <c r="AZ44" i="22"/>
  <c r="AZ44" i="23" s="1"/>
  <c r="BA44" i="22"/>
  <c r="BA44" i="23" s="1"/>
  <c r="AW44" i="22"/>
  <c r="AW44" i="23" s="1"/>
  <c r="X44" i="22"/>
  <c r="AB44" i="22"/>
  <c r="AB44" i="23" s="1"/>
  <c r="AC44" i="22"/>
  <c r="AC44" i="23" s="1"/>
  <c r="AA44" i="22"/>
  <c r="W44" i="22" s="1"/>
  <c r="S44" i="22"/>
  <c r="AJ48" i="22"/>
  <c r="AJ48" i="23" s="1"/>
  <c r="AL48" i="22"/>
  <c r="AL48" i="23" s="1"/>
  <c r="AE48" i="22"/>
  <c r="AE48" i="23" s="1"/>
  <c r="AI48" i="22"/>
  <c r="AI48" i="23" s="1"/>
  <c r="AK48" i="22"/>
  <c r="AK48" i="23" s="1"/>
  <c r="AD48" i="22"/>
  <c r="AD48" i="23" s="1"/>
  <c r="AM48" i="22"/>
  <c r="AM48" i="23" s="1"/>
  <c r="AF48" i="22"/>
  <c r="AF48" i="23" s="1"/>
  <c r="AN48" i="22"/>
  <c r="AN48" i="23" s="1"/>
  <c r="AG48" i="22"/>
  <c r="AG48" i="23" s="1"/>
  <c r="AH48" i="22"/>
  <c r="AH48" i="23" s="1"/>
  <c r="AO48" i="22"/>
  <c r="AO48" i="23" s="1"/>
  <c r="H48" i="22"/>
  <c r="U48" i="22" s="1"/>
  <c r="AX48" i="22"/>
  <c r="AX48" i="23" s="1"/>
  <c r="BB48" i="22"/>
  <c r="BB48" i="23" s="1"/>
  <c r="M48" i="23" s="1"/>
  <c r="AY48" i="22"/>
  <c r="AY48" i="23" s="1"/>
  <c r="BF48" i="22"/>
  <c r="I48" i="22" s="1"/>
  <c r="AZ48" i="22"/>
  <c r="AZ48" i="23" s="1"/>
  <c r="BA48" i="22"/>
  <c r="BA48" i="23" s="1"/>
  <c r="X48" i="22"/>
  <c r="AW48" i="22"/>
  <c r="AW48" i="23" s="1"/>
  <c r="AB48" i="22"/>
  <c r="AB48" i="23" s="1"/>
  <c r="AC48" i="22"/>
  <c r="AC48" i="23" s="1"/>
  <c r="AA48" i="22"/>
  <c r="W48" i="22" s="1"/>
  <c r="V48" i="22"/>
  <c r="T48" i="22"/>
  <c r="S48" i="22"/>
  <c r="AK53" i="22"/>
  <c r="AK53" i="23" s="1"/>
  <c r="AF53" i="22"/>
  <c r="AF53" i="23" s="1"/>
  <c r="AM53" i="22"/>
  <c r="AM53" i="23" s="1"/>
  <c r="AJ53" i="22"/>
  <c r="AJ53" i="23" s="1"/>
  <c r="AG53" i="22"/>
  <c r="AG53" i="23" s="1"/>
  <c r="AN53" i="22"/>
  <c r="AN53" i="23" s="1"/>
  <c r="AL53" i="22"/>
  <c r="AL53" i="23" s="1"/>
  <c r="AE53" i="22"/>
  <c r="AE53" i="23" s="1"/>
  <c r="AH53" i="22"/>
  <c r="AH53" i="23" s="1"/>
  <c r="AI53" i="22"/>
  <c r="AI53" i="23" s="1"/>
  <c r="AD53" i="22"/>
  <c r="AD53" i="23" s="1"/>
  <c r="AO53" i="22"/>
  <c r="AO53" i="23" s="1"/>
  <c r="BE53" i="22"/>
  <c r="BF53" i="22"/>
  <c r="G53" i="22" s="1"/>
  <c r="AZ53" i="22"/>
  <c r="AZ53" i="23" s="1"/>
  <c r="H53" i="22"/>
  <c r="AP53" i="22"/>
  <c r="AQ53" i="22"/>
  <c r="I53" i="22"/>
  <c r="AW53" i="22"/>
  <c r="AW53" i="23" s="1"/>
  <c r="BA53" i="22"/>
  <c r="BA53" i="23" s="1"/>
  <c r="BB53" i="22"/>
  <c r="BB53" i="23" s="1"/>
  <c r="AX53" i="22"/>
  <c r="AX53" i="23" s="1"/>
  <c r="AY53" i="22"/>
  <c r="AY53" i="23" s="1"/>
  <c r="X53" i="22"/>
  <c r="AB53" i="22"/>
  <c r="AB53" i="23" s="1"/>
  <c r="AC53" i="22"/>
  <c r="AC53" i="23" s="1"/>
  <c r="AA53" i="22"/>
  <c r="W53" i="22" s="1"/>
  <c r="V53" i="22"/>
  <c r="U53" i="22"/>
  <c r="T53" i="22"/>
  <c r="AJ68" i="22"/>
  <c r="AJ68" i="23" s="1"/>
  <c r="AK68" i="22"/>
  <c r="AK68" i="23" s="1"/>
  <c r="AL68" i="22"/>
  <c r="AL68" i="23" s="1"/>
  <c r="AE68" i="22"/>
  <c r="AE68" i="23" s="1"/>
  <c r="AI68" i="22"/>
  <c r="AI68" i="23" s="1"/>
  <c r="AF68" i="22"/>
  <c r="AF68" i="23" s="1"/>
  <c r="AM68" i="22"/>
  <c r="AM68" i="23" s="1"/>
  <c r="AG68" i="22"/>
  <c r="AG68" i="23" s="1"/>
  <c r="AN68" i="22"/>
  <c r="AN68" i="23" s="1"/>
  <c r="AH68" i="22"/>
  <c r="AH68" i="23" s="1"/>
  <c r="AO68" i="22"/>
  <c r="AO68" i="23" s="1"/>
  <c r="AD68" i="22"/>
  <c r="AD68" i="23" s="1"/>
  <c r="H68" i="22"/>
  <c r="BF68" i="22"/>
  <c r="BE68" i="22" s="1"/>
  <c r="AW68" i="22"/>
  <c r="AW68" i="23" s="1"/>
  <c r="BA68" i="22"/>
  <c r="BA68" i="23" s="1"/>
  <c r="AX68" i="22"/>
  <c r="AX68" i="23" s="1"/>
  <c r="BB68" i="22"/>
  <c r="BB68" i="23" s="1"/>
  <c r="M68" i="23" s="1"/>
  <c r="AY68" i="22"/>
  <c r="AY68" i="23" s="1"/>
  <c r="AZ68" i="22"/>
  <c r="AZ68" i="23" s="1"/>
  <c r="X68" i="22"/>
  <c r="AB68" i="22"/>
  <c r="AB68" i="23" s="1"/>
  <c r="AC68" i="22"/>
  <c r="AC68" i="23" s="1"/>
  <c r="AA68" i="22"/>
  <c r="W68" i="22" s="1"/>
  <c r="V68" i="22"/>
  <c r="U68" i="22"/>
  <c r="T68" i="22"/>
  <c r="G110" i="22"/>
  <c r="G108" i="22"/>
  <c r="G106" i="22"/>
  <c r="G104" i="22"/>
  <c r="G102" i="22"/>
  <c r="G100" i="22"/>
  <c r="G98" i="22"/>
  <c r="G96" i="22"/>
  <c r="G94" i="22"/>
  <c r="G92" i="22"/>
  <c r="G90" i="22"/>
  <c r="G88" i="22"/>
  <c r="G86" i="22"/>
  <c r="G84" i="22"/>
  <c r="G82" i="22"/>
  <c r="G80" i="22"/>
  <c r="G78" i="22"/>
  <c r="G76" i="22"/>
  <c r="G74" i="22"/>
  <c r="G72" i="22"/>
  <c r="G64" i="22"/>
  <c r="G58" i="22"/>
  <c r="G56" i="22"/>
  <c r="G54" i="22"/>
  <c r="G52" i="22"/>
  <c r="G42" i="22"/>
  <c r="G38" i="22"/>
  <c r="G36" i="22"/>
  <c r="G34" i="22"/>
  <c r="AV110" i="22"/>
  <c r="AR110" i="22"/>
  <c r="AS109" i="22"/>
  <c r="AT108" i="22"/>
  <c r="AU107" i="22"/>
  <c r="AV106" i="22"/>
  <c r="AR106" i="22"/>
  <c r="AS105" i="22"/>
  <c r="AT104" i="22"/>
  <c r="AU103" i="22"/>
  <c r="AV102" i="22"/>
  <c r="AR102" i="22"/>
  <c r="AS101" i="22"/>
  <c r="AT100" i="22"/>
  <c r="AU99" i="22"/>
  <c r="AV98" i="22"/>
  <c r="AR98" i="22"/>
  <c r="AS97" i="22"/>
  <c r="AT96" i="22"/>
  <c r="AU95" i="22"/>
  <c r="AV94" i="22"/>
  <c r="AR94" i="22"/>
  <c r="AS93" i="22"/>
  <c r="AT92" i="22"/>
  <c r="AU91" i="22"/>
  <c r="AV90" i="22"/>
  <c r="AR90" i="22"/>
  <c r="AS89" i="22"/>
  <c r="AT88" i="22"/>
  <c r="AU87" i="22"/>
  <c r="AV86" i="22"/>
  <c r="AR86" i="22"/>
  <c r="AS85" i="22"/>
  <c r="AT84" i="22"/>
  <c r="AU83" i="22"/>
  <c r="AV82" i="22"/>
  <c r="AR82" i="22"/>
  <c r="AS81" i="22"/>
  <c r="AT80" i="22"/>
  <c r="AU79" i="22"/>
  <c r="AV78" i="22"/>
  <c r="AR78" i="22"/>
  <c r="AS77" i="22"/>
  <c r="AT76" i="22"/>
  <c r="AU75" i="22"/>
  <c r="AV74" i="22"/>
  <c r="AR74" i="22"/>
  <c r="AS73" i="22"/>
  <c r="AT72" i="22"/>
  <c r="AU71" i="22"/>
  <c r="AV70" i="22"/>
  <c r="AR70" i="22"/>
  <c r="AS69" i="22"/>
  <c r="AT68" i="22"/>
  <c r="AU67" i="22"/>
  <c r="AV66" i="22"/>
  <c r="AS65" i="22"/>
  <c r="AT64" i="22"/>
  <c r="AU63" i="22"/>
  <c r="AV62" i="22"/>
  <c r="AR62" i="22"/>
  <c r="AS61" i="22"/>
  <c r="AT60" i="22"/>
  <c r="AU59" i="22"/>
  <c r="AV58" i="22"/>
  <c r="AR58" i="22"/>
  <c r="AS57" i="22"/>
  <c r="AT56" i="22"/>
  <c r="AV54" i="22"/>
  <c r="AR54" i="22"/>
  <c r="AS53" i="22"/>
  <c r="AT52" i="22"/>
  <c r="AU51" i="22"/>
  <c r="AV50" i="22"/>
  <c r="AS49" i="22"/>
  <c r="AT48" i="22"/>
  <c r="AU47" i="22"/>
  <c r="AV46" i="22"/>
  <c r="AS45" i="22"/>
  <c r="AT44" i="22"/>
  <c r="AV42" i="22"/>
  <c r="AR42" i="22"/>
  <c r="AT40" i="22"/>
  <c r="AU39" i="22"/>
  <c r="AV38" i="22"/>
  <c r="AR38" i="22"/>
  <c r="AT36" i="22"/>
  <c r="AV34" i="22"/>
  <c r="AR34" i="22"/>
  <c r="AS33" i="22"/>
  <c r="AU31" i="22"/>
  <c r="J108" i="22"/>
  <c r="J102" i="22"/>
  <c r="J97" i="22"/>
  <c r="J92" i="22"/>
  <c r="J86" i="22"/>
  <c r="J81" i="22"/>
  <c r="J76" i="22"/>
  <c r="J70" i="22"/>
  <c r="J65" i="22"/>
  <c r="J60" i="22"/>
  <c r="J54" i="22"/>
  <c r="J49" i="22"/>
  <c r="J44" i="22"/>
  <c r="J38" i="22"/>
  <c r="J33" i="22"/>
  <c r="K108" i="22"/>
  <c r="K102" i="22"/>
  <c r="K97" i="22"/>
  <c r="K92" i="22"/>
  <c r="K86" i="22"/>
  <c r="K81" i="22"/>
  <c r="K76" i="22"/>
  <c r="K70" i="22"/>
  <c r="K65" i="22"/>
  <c r="K60" i="22"/>
  <c r="K54" i="22"/>
  <c r="K49" i="22"/>
  <c r="K44" i="22"/>
  <c r="K38" i="22"/>
  <c r="K33" i="22"/>
  <c r="N108" i="22"/>
  <c r="N102" i="22"/>
  <c r="N97" i="22"/>
  <c r="N92" i="22"/>
  <c r="N86" i="22"/>
  <c r="N81" i="22"/>
  <c r="N76" i="22"/>
  <c r="N70" i="22"/>
  <c r="N65" i="22"/>
  <c r="N60" i="22"/>
  <c r="N54" i="22"/>
  <c r="N49" i="22"/>
  <c r="N38" i="22"/>
  <c r="N33" i="22"/>
  <c r="O108" i="22"/>
  <c r="O102" i="22"/>
  <c r="O97" i="22"/>
  <c r="O92" i="22"/>
  <c r="O86" i="22"/>
  <c r="O81" i="22"/>
  <c r="O76" i="22"/>
  <c r="O70" i="22"/>
  <c r="O54" i="22"/>
  <c r="O49" i="22"/>
  <c r="O38" i="22"/>
  <c r="O33" i="22"/>
  <c r="P108" i="22"/>
  <c r="P102" i="22"/>
  <c r="P97" i="22"/>
  <c r="P92" i="22"/>
  <c r="P86" i="22"/>
  <c r="P81" i="22"/>
  <c r="P76" i="22"/>
  <c r="P70" i="22"/>
  <c r="P54" i="22"/>
  <c r="P49" i="22"/>
  <c r="P38" i="22"/>
  <c r="P33" i="22"/>
  <c r="Q108" i="22"/>
  <c r="Q102" i="22"/>
  <c r="Q97" i="22"/>
  <c r="Q92" i="22"/>
  <c r="Q86" i="22"/>
  <c r="Q81" i="22"/>
  <c r="Q76" i="22"/>
  <c r="Q70" i="22"/>
  <c r="Q65" i="22"/>
  <c r="Q54" i="22"/>
  <c r="Q49" i="22"/>
  <c r="Q38" i="22"/>
  <c r="Q33" i="22"/>
  <c r="R108" i="22"/>
  <c r="R102" i="22"/>
  <c r="R97" i="22"/>
  <c r="R92" i="22"/>
  <c r="R86" i="22"/>
  <c r="R81" i="22"/>
  <c r="R76" i="22"/>
  <c r="R70" i="22"/>
  <c r="R65" i="22"/>
  <c r="R60" i="22"/>
  <c r="R54" i="22"/>
  <c r="R49" i="22"/>
  <c r="R44" i="22"/>
  <c r="R38" i="22"/>
  <c r="R33" i="22"/>
  <c r="S108" i="22"/>
  <c r="S102" i="22"/>
  <c r="S97" i="22"/>
  <c r="S92" i="22"/>
  <c r="S86" i="22"/>
  <c r="S81" i="22"/>
  <c r="S76" i="22"/>
  <c r="S70" i="22"/>
  <c r="S65" i="22"/>
  <c r="S60" i="22"/>
  <c r="S54" i="22"/>
  <c r="S42" i="22"/>
  <c r="T106" i="22"/>
  <c r="T90" i="22"/>
  <c r="T74" i="22"/>
  <c r="T58" i="22"/>
  <c r="T42" i="22"/>
  <c r="U106" i="22"/>
  <c r="U90" i="22"/>
  <c r="U74" i="22"/>
  <c r="U58" i="22"/>
  <c r="U42" i="22"/>
  <c r="V106" i="22"/>
  <c r="W106" i="22"/>
  <c r="Y106" i="22"/>
  <c r="Z106" i="22"/>
  <c r="AA106" i="22"/>
  <c r="AA90" i="22"/>
  <c r="W90" i="22" s="1"/>
  <c r="AA74" i="22"/>
  <c r="W74" i="22" s="1"/>
  <c r="AA58" i="22"/>
  <c r="AA42" i="22"/>
  <c r="W42" i="22" s="1"/>
  <c r="H47" i="23"/>
  <c r="T47" i="23" s="1"/>
  <c r="J47" i="23"/>
  <c r="K47" i="23"/>
  <c r="Y47" i="23"/>
  <c r="R47" i="23"/>
  <c r="S47" i="23"/>
  <c r="N47" i="23"/>
  <c r="M47" i="23"/>
  <c r="L47" i="23"/>
  <c r="J54" i="23"/>
  <c r="H54" i="23"/>
  <c r="T54" i="23" s="1"/>
  <c r="K54" i="23"/>
  <c r="I54" i="23"/>
  <c r="R54" i="23"/>
  <c r="Y54" i="23"/>
  <c r="S54" i="23"/>
  <c r="Q54" i="23"/>
  <c r="P54" i="23"/>
  <c r="BF54" i="23"/>
  <c r="AP54" i="23" s="1"/>
  <c r="AR54" i="23"/>
  <c r="O54" i="23"/>
  <c r="N54" i="23"/>
  <c r="M54" i="23"/>
  <c r="L54" i="23"/>
  <c r="BE54" i="23"/>
  <c r="AV54" i="23"/>
  <c r="X54" i="23"/>
  <c r="G54" i="23"/>
  <c r="AT80" i="23"/>
  <c r="AT88" i="23"/>
  <c r="AJ32" i="22"/>
  <c r="AJ32" i="23" s="1"/>
  <c r="AF32" i="22"/>
  <c r="AF32" i="23" s="1"/>
  <c r="AM32" i="22"/>
  <c r="AM32" i="23" s="1"/>
  <c r="AL32" i="22"/>
  <c r="AL32" i="23" s="1"/>
  <c r="AG32" i="22"/>
  <c r="AG32" i="23" s="1"/>
  <c r="AO32" i="22"/>
  <c r="AO32" i="23" s="1"/>
  <c r="AH32" i="22"/>
  <c r="AH32" i="23" s="1"/>
  <c r="AI32" i="22"/>
  <c r="AI32" i="23" s="1"/>
  <c r="AK32" i="22"/>
  <c r="AK32" i="23" s="1"/>
  <c r="AD32" i="22"/>
  <c r="AD32" i="23" s="1"/>
  <c r="AE32" i="22"/>
  <c r="AE32" i="23" s="1"/>
  <c r="AN32" i="22"/>
  <c r="AN32" i="23" s="1"/>
  <c r="H32" i="22"/>
  <c r="U32" i="22" s="1"/>
  <c r="AX32" i="22"/>
  <c r="AX32" i="23" s="1"/>
  <c r="BB32" i="22"/>
  <c r="BB32" i="23" s="1"/>
  <c r="AY32" i="22"/>
  <c r="AY32" i="23" s="1"/>
  <c r="BF32" i="22"/>
  <c r="G32" i="22" s="1"/>
  <c r="AZ32" i="22"/>
  <c r="AZ32" i="23" s="1"/>
  <c r="BA32" i="22"/>
  <c r="BA32" i="23" s="1"/>
  <c r="AW32" i="22"/>
  <c r="AW32" i="23" s="1"/>
  <c r="X32" i="22"/>
  <c r="AB32" i="22"/>
  <c r="AB32" i="23" s="1"/>
  <c r="AC32" i="22"/>
  <c r="AC32" i="23" s="1"/>
  <c r="AA32" i="22"/>
  <c r="W32" i="22" s="1"/>
  <c r="T32" i="22"/>
  <c r="S32" i="22"/>
  <c r="AG35" i="22"/>
  <c r="AG35" i="23" s="1"/>
  <c r="AN35" i="22"/>
  <c r="AN35" i="23" s="1"/>
  <c r="AJ35" i="22"/>
  <c r="AJ35" i="23" s="1"/>
  <c r="AF35" i="22"/>
  <c r="AF35" i="23" s="1"/>
  <c r="AO35" i="22"/>
  <c r="AO35" i="23" s="1"/>
  <c r="AI35" i="22"/>
  <c r="AI35" i="23" s="1"/>
  <c r="AK35" i="22"/>
  <c r="AK35" i="23" s="1"/>
  <c r="AD35" i="22"/>
  <c r="AD35" i="23" s="1"/>
  <c r="AM35" i="22"/>
  <c r="AM35" i="23" s="1"/>
  <c r="AL35" i="22"/>
  <c r="AL35" i="23" s="1"/>
  <c r="AE35" i="22"/>
  <c r="AE35" i="23" s="1"/>
  <c r="AH35" i="22"/>
  <c r="AH35" i="23" s="1"/>
  <c r="H35" i="22"/>
  <c r="T35" i="22" s="1"/>
  <c r="AZ35" i="22"/>
  <c r="AZ35" i="23" s="1"/>
  <c r="BE35" i="22"/>
  <c r="BF35" i="22"/>
  <c r="AQ35" i="22" s="1"/>
  <c r="AW35" i="22"/>
  <c r="AW35" i="23" s="1"/>
  <c r="BA35" i="22"/>
  <c r="BA35" i="23" s="1"/>
  <c r="AX35" i="22"/>
  <c r="AX35" i="23" s="1"/>
  <c r="AY35" i="22"/>
  <c r="AY35" i="23" s="1"/>
  <c r="BB35" i="22"/>
  <c r="BB35" i="23" s="1"/>
  <c r="X35" i="22"/>
  <c r="AB35" i="22"/>
  <c r="AB35" i="23" s="1"/>
  <c r="AC35" i="22"/>
  <c r="AC35" i="23" s="1"/>
  <c r="AA35" i="22"/>
  <c r="W35" i="22" s="1"/>
  <c r="U35" i="22"/>
  <c r="S35" i="22"/>
  <c r="R35" i="22"/>
  <c r="Q35" i="22"/>
  <c r="P35" i="22"/>
  <c r="O35" i="22"/>
  <c r="K35" i="22"/>
  <c r="J35" i="22"/>
  <c r="AK37" i="22"/>
  <c r="AK37" i="23" s="1"/>
  <c r="AE37" i="22"/>
  <c r="AE37" i="23" s="1"/>
  <c r="AI37" i="22"/>
  <c r="AI37" i="23" s="1"/>
  <c r="AD37" i="22"/>
  <c r="AD37" i="23" s="1"/>
  <c r="AM37" i="22"/>
  <c r="AM37" i="23" s="1"/>
  <c r="AL37" i="22"/>
  <c r="AL37" i="23" s="1"/>
  <c r="AF37" i="22"/>
  <c r="AF37" i="23" s="1"/>
  <c r="AO37" i="22"/>
  <c r="AO37" i="23" s="1"/>
  <c r="AG37" i="22"/>
  <c r="AG37" i="23" s="1"/>
  <c r="AN37" i="22"/>
  <c r="AN37" i="23" s="1"/>
  <c r="AJ37" i="22"/>
  <c r="AJ37" i="23" s="1"/>
  <c r="AH37" i="22"/>
  <c r="AH37" i="23" s="1"/>
  <c r="BF37" i="22"/>
  <c r="G37" i="22" s="1"/>
  <c r="AZ37" i="22"/>
  <c r="AZ37" i="23" s="1"/>
  <c r="H37" i="22"/>
  <c r="U37" i="22" s="1"/>
  <c r="AW37" i="22"/>
  <c r="AW37" i="23" s="1"/>
  <c r="BA37" i="22"/>
  <c r="BA37" i="23" s="1"/>
  <c r="BB37" i="22"/>
  <c r="BB37" i="23" s="1"/>
  <c r="L37" i="23" s="1"/>
  <c r="AX37" i="22"/>
  <c r="AX37" i="23" s="1"/>
  <c r="X37" i="22"/>
  <c r="AY37" i="22"/>
  <c r="AY37" i="23" s="1"/>
  <c r="AB37" i="22"/>
  <c r="AB37" i="23" s="1"/>
  <c r="AC37" i="22"/>
  <c r="AC37" i="23" s="1"/>
  <c r="AA37" i="22"/>
  <c r="W37" i="22" s="1"/>
  <c r="S37" i="22"/>
  <c r="AK41" i="22"/>
  <c r="AK41" i="23" s="1"/>
  <c r="AL41" i="22"/>
  <c r="AL41" i="23" s="1"/>
  <c r="AD41" i="22"/>
  <c r="AD41" i="23" s="1"/>
  <c r="AH41" i="22"/>
  <c r="AH41" i="23" s="1"/>
  <c r="AO41" i="22"/>
  <c r="AO41" i="23" s="1"/>
  <c r="AJ41" i="22"/>
  <c r="AJ41" i="23" s="1"/>
  <c r="AI41" i="22"/>
  <c r="AI41" i="23" s="1"/>
  <c r="AE41" i="22"/>
  <c r="AE41" i="23" s="1"/>
  <c r="AM41" i="22"/>
  <c r="AM41" i="23" s="1"/>
  <c r="AF41" i="22"/>
  <c r="AF41" i="23" s="1"/>
  <c r="AG41" i="22"/>
  <c r="AG41" i="23" s="1"/>
  <c r="AN41" i="22"/>
  <c r="AN41" i="23" s="1"/>
  <c r="H41" i="22"/>
  <c r="U41" i="22" s="1"/>
  <c r="BE41" i="22"/>
  <c r="BF41" i="22"/>
  <c r="O41" i="22" s="1"/>
  <c r="AZ41" i="22"/>
  <c r="AZ41" i="23" s="1"/>
  <c r="AW41" i="22"/>
  <c r="AW41" i="23" s="1"/>
  <c r="BA41" i="22"/>
  <c r="BA41" i="23" s="1"/>
  <c r="BB41" i="22"/>
  <c r="BB41" i="23" s="1"/>
  <c r="AX41" i="22"/>
  <c r="AX41" i="23" s="1"/>
  <c r="AY41" i="22"/>
  <c r="AY41" i="23" s="1"/>
  <c r="X41" i="22"/>
  <c r="AB41" i="22"/>
  <c r="AB41" i="23" s="1"/>
  <c r="AC41" i="22"/>
  <c r="AC41" i="23" s="1"/>
  <c r="AA41" i="22"/>
  <c r="W41" i="22" s="1"/>
  <c r="T41" i="22"/>
  <c r="S41" i="22"/>
  <c r="AK43" i="22"/>
  <c r="AK43" i="23" s="1"/>
  <c r="AL43" i="22"/>
  <c r="AL43" i="23" s="1"/>
  <c r="AF43" i="22"/>
  <c r="AF43" i="23" s="1"/>
  <c r="AM43" i="22"/>
  <c r="AM43" i="23" s="1"/>
  <c r="AG43" i="22"/>
  <c r="AG43" i="23" s="1"/>
  <c r="AO43" i="22"/>
  <c r="AO43" i="23" s="1"/>
  <c r="AH43" i="22"/>
  <c r="AH43" i="23" s="1"/>
  <c r="AJ43" i="22"/>
  <c r="AJ43" i="23" s="1"/>
  <c r="AE43" i="22"/>
  <c r="AE43" i="23" s="1"/>
  <c r="AI43" i="22"/>
  <c r="AI43" i="23" s="1"/>
  <c r="AN43" i="22"/>
  <c r="AN43" i="23" s="1"/>
  <c r="AD43" i="22"/>
  <c r="AD43" i="23" s="1"/>
  <c r="H43" i="22"/>
  <c r="U43" i="22" s="1"/>
  <c r="AZ43" i="22"/>
  <c r="AZ43" i="23" s="1"/>
  <c r="BF43" i="22"/>
  <c r="G43" i="22" s="1"/>
  <c r="AW43" i="22"/>
  <c r="AW43" i="23" s="1"/>
  <c r="BA43" i="22"/>
  <c r="BA43" i="23" s="1"/>
  <c r="AX43" i="22"/>
  <c r="AX43" i="23" s="1"/>
  <c r="AY43" i="22"/>
  <c r="AY43" i="23" s="1"/>
  <c r="BB43" i="22"/>
  <c r="BB43" i="23" s="1"/>
  <c r="L43" i="23" s="1"/>
  <c r="X43" i="22"/>
  <c r="AB43" i="22"/>
  <c r="AB43" i="23" s="1"/>
  <c r="AC43" i="22"/>
  <c r="AC43" i="23" s="1"/>
  <c r="AA43" i="22"/>
  <c r="W43" i="22" s="1"/>
  <c r="S43" i="22"/>
  <c r="R43" i="22"/>
  <c r="N43" i="22"/>
  <c r="K43" i="22"/>
  <c r="J43" i="22"/>
  <c r="AL46" i="22"/>
  <c r="AL46" i="23" s="1"/>
  <c r="AG46" i="22"/>
  <c r="AG46" i="23" s="1"/>
  <c r="AN46" i="22"/>
  <c r="AN46" i="23" s="1"/>
  <c r="AF46" i="22"/>
  <c r="AF46" i="23" s="1"/>
  <c r="AO46" i="22"/>
  <c r="AO46" i="23" s="1"/>
  <c r="AJ46" i="22"/>
  <c r="AJ46" i="23" s="1"/>
  <c r="AH46" i="22"/>
  <c r="AH46" i="23" s="1"/>
  <c r="AK46" i="22"/>
  <c r="AK46" i="23" s="1"/>
  <c r="AM46" i="22"/>
  <c r="AM46" i="23" s="1"/>
  <c r="AD46" i="22"/>
  <c r="AD46" i="23" s="1"/>
  <c r="AE46" i="22"/>
  <c r="AE46" i="23" s="1"/>
  <c r="AI46" i="22"/>
  <c r="AI46" i="23" s="1"/>
  <c r="BF46" i="22"/>
  <c r="Q46" i="22" s="1"/>
  <c r="AX46" i="22"/>
  <c r="AX46" i="23" s="1"/>
  <c r="BB46" i="22"/>
  <c r="BB46" i="23" s="1"/>
  <c r="AY46" i="22"/>
  <c r="AY46" i="23" s="1"/>
  <c r="H46" i="22"/>
  <c r="T46" i="22" s="1"/>
  <c r="AW46" i="22"/>
  <c r="AW46" i="23" s="1"/>
  <c r="AZ46" i="22"/>
  <c r="AZ46" i="23" s="1"/>
  <c r="BA46" i="22"/>
  <c r="BA46" i="23" s="1"/>
  <c r="L46" i="22"/>
  <c r="X46" i="22"/>
  <c r="AB46" i="22"/>
  <c r="AB46" i="23" s="1"/>
  <c r="AC46" i="22"/>
  <c r="AC46" i="23" s="1"/>
  <c r="M46" i="22"/>
  <c r="AL50" i="22"/>
  <c r="AL50" i="23" s="1"/>
  <c r="AK50" i="22"/>
  <c r="AK50" i="23" s="1"/>
  <c r="AG50" i="22"/>
  <c r="AG50" i="23" s="1"/>
  <c r="AN50" i="22"/>
  <c r="AN50" i="23" s="1"/>
  <c r="AH50" i="22"/>
  <c r="AH50" i="23" s="1"/>
  <c r="AD50" i="22"/>
  <c r="AD50" i="23" s="1"/>
  <c r="AI50" i="22"/>
  <c r="AI50" i="23" s="1"/>
  <c r="AJ50" i="22"/>
  <c r="AJ50" i="23" s="1"/>
  <c r="AF50" i="22"/>
  <c r="AF50" i="23" s="1"/>
  <c r="AM50" i="22"/>
  <c r="AM50" i="23" s="1"/>
  <c r="AO50" i="22"/>
  <c r="AO50" i="23" s="1"/>
  <c r="AE50" i="22"/>
  <c r="AE50" i="23" s="1"/>
  <c r="H50" i="22"/>
  <c r="T50" i="22" s="1"/>
  <c r="AQ50" i="22"/>
  <c r="BF50" i="22"/>
  <c r="O50" i="22" s="1"/>
  <c r="AX50" i="22"/>
  <c r="AX50" i="23" s="1"/>
  <c r="BB50" i="22"/>
  <c r="BB50" i="23" s="1"/>
  <c r="L50" i="23" s="1"/>
  <c r="AY50" i="22"/>
  <c r="AY50" i="23" s="1"/>
  <c r="AW50" i="22"/>
  <c r="AW50" i="23" s="1"/>
  <c r="AZ50" i="22"/>
  <c r="AZ50" i="23" s="1"/>
  <c r="BA50" i="22"/>
  <c r="BA50" i="23" s="1"/>
  <c r="X50" i="22"/>
  <c r="AB50" i="22"/>
  <c r="AB50" i="23" s="1"/>
  <c r="AC50" i="22"/>
  <c r="AC50" i="23" s="1"/>
  <c r="AL55" i="22"/>
  <c r="AL55" i="23" s="1"/>
  <c r="AK55" i="22"/>
  <c r="AK55" i="23" s="1"/>
  <c r="AD55" i="22"/>
  <c r="AD55" i="23" s="1"/>
  <c r="AH55" i="22"/>
  <c r="AH55" i="23" s="1"/>
  <c r="AO55" i="22"/>
  <c r="AO55" i="23" s="1"/>
  <c r="AE55" i="22"/>
  <c r="AE55" i="23" s="1"/>
  <c r="AI55" i="22"/>
  <c r="AI55" i="23" s="1"/>
  <c r="AN55" i="22"/>
  <c r="AN55" i="23" s="1"/>
  <c r="AF55" i="22"/>
  <c r="AF55" i="23" s="1"/>
  <c r="AG55" i="22"/>
  <c r="AG55" i="23" s="1"/>
  <c r="AM55" i="22"/>
  <c r="AM55" i="23" s="1"/>
  <c r="AJ55" i="22"/>
  <c r="AJ55" i="23" s="1"/>
  <c r="H55" i="22"/>
  <c r="BF55" i="22"/>
  <c r="BE55" i="22" s="1"/>
  <c r="AY55" i="22"/>
  <c r="AY55" i="23" s="1"/>
  <c r="AZ55" i="22"/>
  <c r="AZ55" i="23" s="1"/>
  <c r="AW55" i="22"/>
  <c r="AW55" i="23" s="1"/>
  <c r="BA55" i="22"/>
  <c r="BA55" i="23" s="1"/>
  <c r="X55" i="22"/>
  <c r="AX55" i="22"/>
  <c r="AX55" i="23" s="1"/>
  <c r="BB55" i="22"/>
  <c r="BB55" i="23" s="1"/>
  <c r="L55" i="23" s="1"/>
  <c r="AB55" i="22"/>
  <c r="AB55" i="23" s="1"/>
  <c r="AC55" i="22"/>
  <c r="AC55" i="23" s="1"/>
  <c r="AA55" i="22"/>
  <c r="W55" i="22" s="1"/>
  <c r="V55" i="22"/>
  <c r="U55" i="22"/>
  <c r="T55" i="22"/>
  <c r="S55" i="22"/>
  <c r="R55" i="22"/>
  <c r="K55" i="22"/>
  <c r="J55" i="22"/>
  <c r="AL66" i="22"/>
  <c r="AL66" i="23" s="1"/>
  <c r="AK66" i="22"/>
  <c r="AK66" i="23" s="1"/>
  <c r="AJ66" i="22"/>
  <c r="AJ66" i="23" s="1"/>
  <c r="AF66" i="22"/>
  <c r="AF66" i="23" s="1"/>
  <c r="AG66" i="22"/>
  <c r="AG66" i="23" s="1"/>
  <c r="AN66" i="22"/>
  <c r="AN66" i="23" s="1"/>
  <c r="AH66" i="22"/>
  <c r="AH66" i="23" s="1"/>
  <c r="AO66" i="22"/>
  <c r="AO66" i="23" s="1"/>
  <c r="AD66" i="22"/>
  <c r="AD66" i="23" s="1"/>
  <c r="AI66" i="22"/>
  <c r="AI66" i="23" s="1"/>
  <c r="AM66" i="22"/>
  <c r="AM66" i="23" s="1"/>
  <c r="AE66" i="22"/>
  <c r="AE66" i="23" s="1"/>
  <c r="H66" i="22"/>
  <c r="T66" i="22" s="1"/>
  <c r="AQ66" i="22"/>
  <c r="BF66" i="22"/>
  <c r="P66" i="22" s="1"/>
  <c r="AW66" i="22"/>
  <c r="AW66" i="23" s="1"/>
  <c r="BA66" i="22"/>
  <c r="BA66" i="23" s="1"/>
  <c r="AX66" i="22"/>
  <c r="AX66" i="23" s="1"/>
  <c r="BB66" i="22"/>
  <c r="BB66" i="23" s="1"/>
  <c r="AY66" i="22"/>
  <c r="AY66" i="23" s="1"/>
  <c r="X66" i="22"/>
  <c r="AZ66" i="22"/>
  <c r="AZ66" i="23" s="1"/>
  <c r="AB66" i="22"/>
  <c r="AB66" i="23" s="1"/>
  <c r="AC66" i="22"/>
  <c r="AC66" i="23" s="1"/>
  <c r="G70" i="22"/>
  <c r="F110" i="22"/>
  <c r="F108" i="22"/>
  <c r="F106" i="22"/>
  <c r="F104" i="22"/>
  <c r="F102" i="22"/>
  <c r="F100" i="22"/>
  <c r="F98" i="22"/>
  <c r="F96" i="22"/>
  <c r="F94" i="22"/>
  <c r="F92" i="22"/>
  <c r="F90" i="22"/>
  <c r="F88" i="22"/>
  <c r="F86" i="22"/>
  <c r="F84" i="22"/>
  <c r="F82" i="22"/>
  <c r="F80" i="22"/>
  <c r="F78" i="22"/>
  <c r="F76" i="22"/>
  <c r="F74" i="22"/>
  <c r="F72" i="22"/>
  <c r="F70" i="22"/>
  <c r="F68" i="22"/>
  <c r="F66" i="22"/>
  <c r="F64" i="22"/>
  <c r="F62" i="22"/>
  <c r="F60" i="22"/>
  <c r="F58" i="22"/>
  <c r="F56" i="22"/>
  <c r="F54" i="22"/>
  <c r="F52" i="22"/>
  <c r="F50" i="22"/>
  <c r="F48" i="22"/>
  <c r="F46" i="22"/>
  <c r="F44" i="22"/>
  <c r="F42" i="22"/>
  <c r="F40" i="22"/>
  <c r="F38" i="22"/>
  <c r="F36" i="22"/>
  <c r="F34" i="22"/>
  <c r="F32" i="22"/>
  <c r="AU110" i="22"/>
  <c r="AV109" i="22"/>
  <c r="AR109" i="22"/>
  <c r="AS108" i="22"/>
  <c r="AT107" i="22"/>
  <c r="AU106" i="22"/>
  <c r="AV105" i="22"/>
  <c r="AR105" i="22"/>
  <c r="AS104" i="22"/>
  <c r="AT103" i="22"/>
  <c r="AU102" i="22"/>
  <c r="AV101" i="22"/>
  <c r="AR101" i="22"/>
  <c r="AS100" i="22"/>
  <c r="AT99" i="22"/>
  <c r="AU98" i="22"/>
  <c r="AV97" i="22"/>
  <c r="AR97" i="22"/>
  <c r="AS96" i="22"/>
  <c r="AT95" i="22"/>
  <c r="AU94" i="22"/>
  <c r="AV93" i="22"/>
  <c r="AR93" i="22"/>
  <c r="AS92" i="22"/>
  <c r="AT91" i="22"/>
  <c r="AU90" i="22"/>
  <c r="AV89" i="22"/>
  <c r="AR89" i="22"/>
  <c r="AS88" i="22"/>
  <c r="AT87" i="22"/>
  <c r="AU86" i="22"/>
  <c r="AV85" i="22"/>
  <c r="AR85" i="22"/>
  <c r="AS84" i="22"/>
  <c r="AT83" i="22"/>
  <c r="AU82" i="22"/>
  <c r="AV81" i="22"/>
  <c r="AR81" i="22"/>
  <c r="AS80" i="22"/>
  <c r="AT79" i="22"/>
  <c r="AU78" i="22"/>
  <c r="AV77" i="22"/>
  <c r="AR77" i="22"/>
  <c r="AS76" i="22"/>
  <c r="AT75" i="22"/>
  <c r="AU74" i="22"/>
  <c r="AV73" i="22"/>
  <c r="AR73" i="22"/>
  <c r="AS72" i="22"/>
  <c r="AT71" i="22"/>
  <c r="AU70" i="22"/>
  <c r="AV69" i="22"/>
  <c r="AR69" i="22"/>
  <c r="AS68" i="22"/>
  <c r="AT67" i="22"/>
  <c r="AU66" i="22"/>
  <c r="AV65" i="22"/>
  <c r="AR65" i="22"/>
  <c r="AS64" i="22"/>
  <c r="AT63" i="22"/>
  <c r="AU62" i="22"/>
  <c r="AV61" i="22"/>
  <c r="AR61" i="22"/>
  <c r="AS60" i="22"/>
  <c r="AT59" i="22"/>
  <c r="AU58" i="22"/>
  <c r="AV57" i="22"/>
  <c r="AR57" i="22"/>
  <c r="AS56" i="22"/>
  <c r="AT55" i="22"/>
  <c r="AU54" i="22"/>
  <c r="AV53" i="22"/>
  <c r="AR53" i="22"/>
  <c r="AS52" i="22"/>
  <c r="AT51" i="22"/>
  <c r="AU50" i="22"/>
  <c r="AV49" i="22"/>
  <c r="AR49" i="22"/>
  <c r="AS48" i="22"/>
  <c r="AT47" i="22"/>
  <c r="AU46" i="22"/>
  <c r="AV45" i="22"/>
  <c r="AR45" i="22"/>
  <c r="AS44" i="22"/>
  <c r="AT43" i="22"/>
  <c r="AU42" i="22"/>
  <c r="AV41" i="22"/>
  <c r="AR41" i="22"/>
  <c r="AS40" i="22"/>
  <c r="AT39" i="22"/>
  <c r="AU38" i="22"/>
  <c r="AV37" i="22"/>
  <c r="AR37" i="22"/>
  <c r="AS36" i="22"/>
  <c r="AT35" i="22"/>
  <c r="AU34" i="22"/>
  <c r="AV33" i="22"/>
  <c r="AR33" i="22"/>
  <c r="AS32" i="22"/>
  <c r="AT31" i="22"/>
  <c r="J106" i="22"/>
  <c r="J101" i="22"/>
  <c r="J96" i="22"/>
  <c r="J90" i="22"/>
  <c r="J85" i="22"/>
  <c r="J80" i="22"/>
  <c r="J74" i="22"/>
  <c r="J69" i="22"/>
  <c r="J64" i="22"/>
  <c r="J58" i="22"/>
  <c r="J53" i="22"/>
  <c r="J48" i="22"/>
  <c r="J42" i="22"/>
  <c r="J37" i="22"/>
  <c r="J32" i="22"/>
  <c r="K106" i="22"/>
  <c r="K101" i="22"/>
  <c r="K96" i="22"/>
  <c r="K90" i="22"/>
  <c r="K85" i="22"/>
  <c r="K80" i="22"/>
  <c r="K74" i="22"/>
  <c r="K69" i="22"/>
  <c r="K64" i="22"/>
  <c r="K58" i="22"/>
  <c r="K53" i="22"/>
  <c r="K48" i="22"/>
  <c r="K42" i="22"/>
  <c r="K37" i="22"/>
  <c r="K32" i="22"/>
  <c r="N106" i="22"/>
  <c r="N101" i="22"/>
  <c r="N96" i="22"/>
  <c r="N90" i="22"/>
  <c r="N85" i="22"/>
  <c r="N80" i="22"/>
  <c r="N74" i="22"/>
  <c r="N69" i="22"/>
  <c r="N64" i="22"/>
  <c r="N58" i="22"/>
  <c r="N53" i="22"/>
  <c r="N48" i="22"/>
  <c r="N42" i="22"/>
  <c r="N32" i="22"/>
  <c r="O106" i="22"/>
  <c r="O101" i="22"/>
  <c r="O96" i="22"/>
  <c r="O90" i="22"/>
  <c r="O85" i="22"/>
  <c r="O80" i="22"/>
  <c r="O74" i="22"/>
  <c r="O69" i="22"/>
  <c r="O64" i="22"/>
  <c r="O58" i="22"/>
  <c r="O53" i="22"/>
  <c r="O48" i="22"/>
  <c r="O42" i="22"/>
  <c r="O37" i="22"/>
  <c r="O32" i="22"/>
  <c r="P106" i="22"/>
  <c r="P101" i="22"/>
  <c r="P96" i="22"/>
  <c r="P90" i="22"/>
  <c r="P85" i="22"/>
  <c r="P80" i="22"/>
  <c r="P74" i="22"/>
  <c r="P69" i="22"/>
  <c r="P64" i="22"/>
  <c r="P58" i="22"/>
  <c r="P53" i="22"/>
  <c r="P48" i="22"/>
  <c r="P42" i="22"/>
  <c r="P37" i="22"/>
  <c r="P32" i="22"/>
  <c r="Q106" i="22"/>
  <c r="Q101" i="22"/>
  <c r="Q96" i="22"/>
  <c r="Q90" i="22"/>
  <c r="Q85" i="22"/>
  <c r="Q80" i="22"/>
  <c r="Q74" i="22"/>
  <c r="Q69" i="22"/>
  <c r="Q64" i="22"/>
  <c r="Q58" i="22"/>
  <c r="Q53" i="22"/>
  <c r="Q48" i="22"/>
  <c r="Q42" i="22"/>
  <c r="Q37" i="22"/>
  <c r="Q32" i="22"/>
  <c r="R106" i="22"/>
  <c r="R101" i="22"/>
  <c r="R96" i="22"/>
  <c r="R90" i="22"/>
  <c r="R85" i="22"/>
  <c r="R80" i="22"/>
  <c r="R74" i="22"/>
  <c r="R69" i="22"/>
  <c r="R64" i="22"/>
  <c r="R58" i="22"/>
  <c r="R53" i="22"/>
  <c r="R48" i="22"/>
  <c r="R42" i="22"/>
  <c r="R37" i="22"/>
  <c r="R32" i="22"/>
  <c r="S106" i="22"/>
  <c r="S101" i="22"/>
  <c r="S96" i="22"/>
  <c r="S90" i="22"/>
  <c r="S85" i="22"/>
  <c r="S80" i="22"/>
  <c r="S74" i="22"/>
  <c r="S69" i="22"/>
  <c r="S64" i="22"/>
  <c r="S58" i="22"/>
  <c r="S53" i="22"/>
  <c r="S38" i="22"/>
  <c r="T102" i="22"/>
  <c r="T86" i="22"/>
  <c r="T70" i="22"/>
  <c r="T54" i="22"/>
  <c r="T38" i="22"/>
  <c r="U102" i="22"/>
  <c r="U86" i="22"/>
  <c r="U70" i="22"/>
  <c r="U54" i="22"/>
  <c r="U38" i="22"/>
  <c r="V102" i="22"/>
  <c r="V70" i="22"/>
  <c r="W102" i="22"/>
  <c r="W70" i="22"/>
  <c r="Y102" i="22"/>
  <c r="Z102" i="22"/>
  <c r="AA102" i="22"/>
  <c r="AA86" i="22"/>
  <c r="W86" i="22" s="1"/>
  <c r="AA70" i="22"/>
  <c r="AA54" i="22"/>
  <c r="V54" i="22" s="1"/>
  <c r="AA38" i="22"/>
  <c r="W38" i="22" s="1"/>
  <c r="AU51" i="23"/>
  <c r="H51" i="23"/>
  <c r="T51" i="23" s="1"/>
  <c r="J51" i="23"/>
  <c r="K51" i="23"/>
  <c r="Y51" i="23"/>
  <c r="R51" i="23"/>
  <c r="S51" i="23"/>
  <c r="N51" i="23"/>
  <c r="M51" i="23"/>
  <c r="L51" i="23"/>
  <c r="H56" i="23"/>
  <c r="T56" i="23" s="1"/>
  <c r="J56" i="23"/>
  <c r="K56" i="23"/>
  <c r="Y56" i="23"/>
  <c r="P56" i="23"/>
  <c r="R56" i="23"/>
  <c r="S56" i="23"/>
  <c r="N56" i="23"/>
  <c r="M56" i="23"/>
  <c r="L56" i="23"/>
  <c r="BF56" i="23"/>
  <c r="AQ56" i="23" s="1"/>
  <c r="AA56" i="23"/>
  <c r="W56" i="23" s="1"/>
  <c r="AV84" i="23"/>
  <c r="H84" i="23"/>
  <c r="T84" i="23" s="1"/>
  <c r="J84" i="23"/>
  <c r="K84" i="23"/>
  <c r="Y84" i="23"/>
  <c r="U84" i="23"/>
  <c r="R84" i="23"/>
  <c r="S84" i="23"/>
  <c r="N84" i="23"/>
  <c r="M84" i="23"/>
  <c r="L84" i="23"/>
  <c r="BF84" i="23"/>
  <c r="AQ84" i="23" s="1"/>
  <c r="AS84" i="23"/>
  <c r="AA84" i="23"/>
  <c r="W84" i="23" s="1"/>
  <c r="AU84" i="23"/>
  <c r="X84" i="23"/>
  <c r="AV92" i="23"/>
  <c r="H92" i="23"/>
  <c r="T92" i="23" s="1"/>
  <c r="J92" i="23"/>
  <c r="K92" i="23"/>
  <c r="AP92" i="23"/>
  <c r="Y92" i="23"/>
  <c r="R92" i="23"/>
  <c r="S92" i="23"/>
  <c r="N92" i="23"/>
  <c r="M92" i="23"/>
  <c r="L92" i="23"/>
  <c r="BF92" i="23"/>
  <c r="I92" i="23" s="1"/>
  <c r="AS92" i="23"/>
  <c r="AA92" i="23"/>
  <c r="W92" i="23" s="1"/>
  <c r="AU92" i="23"/>
  <c r="X92" i="23"/>
  <c r="J41" i="23"/>
  <c r="K41" i="23"/>
  <c r="H41" i="23"/>
  <c r="T41" i="23" s="1"/>
  <c r="R41" i="23"/>
  <c r="S41" i="23"/>
  <c r="Y41" i="23"/>
  <c r="H43" i="23"/>
  <c r="T43" i="23" s="1"/>
  <c r="J43" i="23"/>
  <c r="K43" i="23"/>
  <c r="Y43" i="23"/>
  <c r="R43" i="23"/>
  <c r="S43" i="23"/>
  <c r="X43" i="23"/>
  <c r="H44" i="23"/>
  <c r="T44" i="23" s="1"/>
  <c r="J44" i="23"/>
  <c r="K44" i="23"/>
  <c r="Y44" i="23"/>
  <c r="R44" i="23"/>
  <c r="S44" i="23"/>
  <c r="AU44" i="23"/>
  <c r="H48" i="23"/>
  <c r="T48" i="23" s="1"/>
  <c r="J48" i="23"/>
  <c r="K48" i="23"/>
  <c r="Y48" i="23"/>
  <c r="R48" i="23"/>
  <c r="S48" i="23"/>
  <c r="AU48" i="23"/>
  <c r="V52" i="23"/>
  <c r="H52" i="23"/>
  <c r="AQ52" i="23"/>
  <c r="I52" i="23"/>
  <c r="J52" i="23"/>
  <c r="K52" i="23"/>
  <c r="AP52" i="23"/>
  <c r="Y52" i="23"/>
  <c r="W52" i="23"/>
  <c r="U52" i="23"/>
  <c r="T52" i="23"/>
  <c r="Q52" i="23"/>
  <c r="P52" i="23"/>
  <c r="R52" i="23"/>
  <c r="S52" i="23"/>
  <c r="AU52" i="23"/>
  <c r="H55" i="23"/>
  <c r="T55" i="23" s="1"/>
  <c r="J55" i="23"/>
  <c r="K55" i="23"/>
  <c r="Y55" i="23"/>
  <c r="U55" i="23"/>
  <c r="R55" i="23"/>
  <c r="S55" i="23"/>
  <c r="AT55" i="23"/>
  <c r="AV59" i="23"/>
  <c r="H59" i="23"/>
  <c r="T59" i="23" s="1"/>
  <c r="J59" i="23"/>
  <c r="K59" i="23"/>
  <c r="Y59" i="23"/>
  <c r="R59" i="23"/>
  <c r="S59" i="23"/>
  <c r="AT59" i="23"/>
  <c r="AV60" i="23"/>
  <c r="H60" i="23"/>
  <c r="T60" i="23" s="1"/>
  <c r="J60" i="23"/>
  <c r="K60" i="23"/>
  <c r="Y60" i="23"/>
  <c r="U60" i="23"/>
  <c r="R60" i="23"/>
  <c r="S60" i="23"/>
  <c r="AT60" i="23"/>
  <c r="AV61" i="23"/>
  <c r="J61" i="23"/>
  <c r="K61" i="23"/>
  <c r="H61" i="23"/>
  <c r="U61" i="23" s="1"/>
  <c r="R61" i="23"/>
  <c r="S61" i="23"/>
  <c r="Y61" i="23"/>
  <c r="AT61" i="23"/>
  <c r="AV62" i="23"/>
  <c r="J62" i="23"/>
  <c r="H62" i="23"/>
  <c r="T62" i="23" s="1"/>
  <c r="K62" i="23"/>
  <c r="R62" i="23"/>
  <c r="Y62" i="23"/>
  <c r="U62" i="23"/>
  <c r="S62" i="23"/>
  <c r="AT62" i="23"/>
  <c r="AV63" i="23"/>
  <c r="H63" i="23"/>
  <c r="T63" i="23" s="1"/>
  <c r="J63" i="23"/>
  <c r="K63" i="23"/>
  <c r="Y63" i="23"/>
  <c r="U63" i="23"/>
  <c r="R63" i="23"/>
  <c r="S63" i="23"/>
  <c r="AT63" i="23"/>
  <c r="AV64" i="23"/>
  <c r="H64" i="23"/>
  <c r="U64" i="23" s="1"/>
  <c r="J64" i="23"/>
  <c r="K64" i="23"/>
  <c r="Y64" i="23"/>
  <c r="R64" i="23"/>
  <c r="S64" i="23"/>
  <c r="AT64" i="23"/>
  <c r="AV65" i="23"/>
  <c r="J65" i="23"/>
  <c r="K65" i="23"/>
  <c r="H65" i="23"/>
  <c r="T65" i="23" s="1"/>
  <c r="R65" i="23"/>
  <c r="S65" i="23"/>
  <c r="Y65" i="23"/>
  <c r="U65" i="23"/>
  <c r="AT65" i="23"/>
  <c r="AV66" i="23"/>
  <c r="H66" i="23"/>
  <c r="U66" i="23" s="1"/>
  <c r="J66" i="23"/>
  <c r="K66" i="23"/>
  <c r="R66" i="23"/>
  <c r="Y66" i="23"/>
  <c r="T66" i="23"/>
  <c r="S66" i="23"/>
  <c r="AT66" i="23"/>
  <c r="AV67" i="23"/>
  <c r="H67" i="23"/>
  <c r="T67" i="23" s="1"/>
  <c r="J67" i="23"/>
  <c r="K67" i="23"/>
  <c r="Y67" i="23"/>
  <c r="R67" i="23"/>
  <c r="S67" i="23"/>
  <c r="AT67" i="23"/>
  <c r="AV68" i="23"/>
  <c r="H68" i="23"/>
  <c r="T68" i="23" s="1"/>
  <c r="J68" i="23"/>
  <c r="K68" i="23"/>
  <c r="Y68" i="23"/>
  <c r="U68" i="23"/>
  <c r="R68" i="23"/>
  <c r="S68" i="23"/>
  <c r="AT68" i="23"/>
  <c r="AV69" i="23"/>
  <c r="J69" i="23"/>
  <c r="K69" i="23"/>
  <c r="H69" i="23"/>
  <c r="T69" i="23" s="1"/>
  <c r="R69" i="23"/>
  <c r="S69" i="23"/>
  <c r="Y69" i="23"/>
  <c r="U69" i="23"/>
  <c r="AT69" i="23"/>
  <c r="AV70" i="23"/>
  <c r="J70" i="23"/>
  <c r="H70" i="23"/>
  <c r="T70" i="23" s="1"/>
  <c r="K70" i="23"/>
  <c r="R70" i="23"/>
  <c r="Y70" i="23"/>
  <c r="S70" i="23"/>
  <c r="AT70" i="23"/>
  <c r="AV71" i="23"/>
  <c r="H71" i="23"/>
  <c r="T71" i="23" s="1"/>
  <c r="J71" i="23"/>
  <c r="K71" i="23"/>
  <c r="Y71" i="23"/>
  <c r="U71" i="23"/>
  <c r="R71" i="23"/>
  <c r="S71" i="23"/>
  <c r="AT71" i="23"/>
  <c r="AV72" i="23"/>
  <c r="H72" i="23"/>
  <c r="T72" i="23" s="1"/>
  <c r="J72" i="23"/>
  <c r="K72" i="23"/>
  <c r="Y72" i="23"/>
  <c r="U72" i="23"/>
  <c r="R72" i="23"/>
  <c r="S72" i="23"/>
  <c r="AT72" i="23"/>
  <c r="AV73" i="23"/>
  <c r="J73" i="23"/>
  <c r="K73" i="23"/>
  <c r="H73" i="23"/>
  <c r="AQ73" i="23"/>
  <c r="I73" i="23"/>
  <c r="R73" i="23"/>
  <c r="S73" i="23"/>
  <c r="AP73" i="23"/>
  <c r="Y73" i="23"/>
  <c r="W73" i="23"/>
  <c r="U73" i="23"/>
  <c r="T73" i="23"/>
  <c r="Q73" i="23"/>
  <c r="P73" i="23"/>
  <c r="G73" i="23"/>
  <c r="AT73" i="23"/>
  <c r="AV74" i="23"/>
  <c r="H74" i="23"/>
  <c r="U74" i="23" s="1"/>
  <c r="J74" i="23"/>
  <c r="K74" i="23"/>
  <c r="R74" i="23"/>
  <c r="Y74" i="23"/>
  <c r="S74" i="23"/>
  <c r="AT74" i="23"/>
  <c r="AV75" i="23"/>
  <c r="H75" i="23"/>
  <c r="T75" i="23" s="1"/>
  <c r="J75" i="23"/>
  <c r="K75" i="23"/>
  <c r="Y75" i="23"/>
  <c r="R75" i="23"/>
  <c r="S75" i="23"/>
  <c r="AT75" i="23"/>
  <c r="AV76" i="23"/>
  <c r="H76" i="23"/>
  <c r="T76" i="23" s="1"/>
  <c r="J76" i="23"/>
  <c r="K76" i="23"/>
  <c r="Y76" i="23"/>
  <c r="U76" i="23"/>
  <c r="R76" i="23"/>
  <c r="S76" i="23"/>
  <c r="AT76" i="23"/>
  <c r="J77" i="23"/>
  <c r="K77" i="23"/>
  <c r="H77" i="23"/>
  <c r="T77" i="23" s="1"/>
  <c r="R77" i="23"/>
  <c r="S77" i="23"/>
  <c r="Y77" i="23"/>
  <c r="W77" i="23"/>
  <c r="AV81" i="23"/>
  <c r="J81" i="23"/>
  <c r="K81" i="23"/>
  <c r="H81" i="23"/>
  <c r="T81" i="23" s="1"/>
  <c r="AQ81" i="23"/>
  <c r="I81" i="23"/>
  <c r="R81" i="23"/>
  <c r="S81" i="23"/>
  <c r="AP81" i="23"/>
  <c r="Y81" i="23"/>
  <c r="Q81" i="23"/>
  <c r="G81" i="23"/>
  <c r="AT81" i="23"/>
  <c r="AV85" i="23"/>
  <c r="J85" i="23"/>
  <c r="K85" i="23"/>
  <c r="H85" i="23"/>
  <c r="T85" i="23" s="1"/>
  <c r="AQ85" i="23"/>
  <c r="I85" i="23"/>
  <c r="R85" i="23"/>
  <c r="S85" i="23"/>
  <c r="AP85" i="23"/>
  <c r="Y85" i="23"/>
  <c r="Q85" i="23"/>
  <c r="G85" i="23"/>
  <c r="AT85" i="23"/>
  <c r="AV89" i="23"/>
  <c r="J89" i="23"/>
  <c r="K89" i="23"/>
  <c r="H89" i="23"/>
  <c r="T89" i="23" s="1"/>
  <c r="AQ89" i="23"/>
  <c r="I89" i="23"/>
  <c r="R89" i="23"/>
  <c r="S89" i="23"/>
  <c r="AP89" i="23"/>
  <c r="Y89" i="23"/>
  <c r="U89" i="23"/>
  <c r="Q89" i="23"/>
  <c r="G89" i="23"/>
  <c r="AT89" i="23"/>
  <c r="AV93" i="23"/>
  <c r="J93" i="23"/>
  <c r="K93" i="23"/>
  <c r="H93" i="23"/>
  <c r="T93" i="23" s="1"/>
  <c r="AQ93" i="23"/>
  <c r="I93" i="23"/>
  <c r="R93" i="23"/>
  <c r="S93" i="23"/>
  <c r="AP93" i="23"/>
  <c r="Y93" i="23"/>
  <c r="Q93" i="23"/>
  <c r="G93" i="23"/>
  <c r="AT93" i="23"/>
  <c r="AU99" i="23"/>
  <c r="H99" i="23"/>
  <c r="J99" i="23"/>
  <c r="AQ99" i="23"/>
  <c r="I99" i="23"/>
  <c r="K99" i="23"/>
  <c r="AP99" i="23"/>
  <c r="Y99" i="23"/>
  <c r="W99" i="23"/>
  <c r="U99" i="23"/>
  <c r="T99" i="23"/>
  <c r="R99" i="23"/>
  <c r="S99" i="23"/>
  <c r="AR99" i="23"/>
  <c r="L107" i="23"/>
  <c r="L103" i="23"/>
  <c r="L99" i="23"/>
  <c r="L95" i="23"/>
  <c r="L91" i="23"/>
  <c r="L87" i="23"/>
  <c r="L83" i="23"/>
  <c r="L79" i="23"/>
  <c r="L75" i="23"/>
  <c r="L71" i="23"/>
  <c r="L63" i="23"/>
  <c r="L59" i="23"/>
  <c r="L39" i="23"/>
  <c r="L35" i="23"/>
  <c r="L31" i="23"/>
  <c r="M107" i="23"/>
  <c r="M103" i="23"/>
  <c r="M99" i="23"/>
  <c r="M95" i="23"/>
  <c r="M91" i="23"/>
  <c r="M87" i="23"/>
  <c r="M83" i="23"/>
  <c r="M79" i="23"/>
  <c r="M75" i="23"/>
  <c r="M71" i="23"/>
  <c r="M63" i="23"/>
  <c r="M59" i="23"/>
  <c r="M55" i="23"/>
  <c r="M43" i="23"/>
  <c r="M39" i="23"/>
  <c r="M35" i="23"/>
  <c r="M31" i="23"/>
  <c r="N107" i="23"/>
  <c r="N103" i="23"/>
  <c r="N99" i="23"/>
  <c r="N95" i="23"/>
  <c r="N91" i="23"/>
  <c r="N87" i="23"/>
  <c r="N83" i="23"/>
  <c r="N79" i="23"/>
  <c r="N75" i="23"/>
  <c r="N71" i="23"/>
  <c r="N63" i="23"/>
  <c r="N59" i="23"/>
  <c r="N43" i="23"/>
  <c r="N39" i="23"/>
  <c r="N35" i="23"/>
  <c r="N31" i="23"/>
  <c r="O107" i="23"/>
  <c r="O103" i="23"/>
  <c r="O99" i="23"/>
  <c r="O95" i="23"/>
  <c r="O91" i="23"/>
  <c r="O87" i="23"/>
  <c r="O83" i="23"/>
  <c r="O79" i="23"/>
  <c r="P99" i="23"/>
  <c r="P95" i="23"/>
  <c r="P83" i="23"/>
  <c r="P79" i="23"/>
  <c r="Q99" i="23"/>
  <c r="H31" i="23"/>
  <c r="U31" i="23" s="1"/>
  <c r="J31" i="23"/>
  <c r="K31" i="23"/>
  <c r="AP31" i="23"/>
  <c r="Y31" i="23"/>
  <c r="R31" i="23"/>
  <c r="S31" i="23"/>
  <c r="H34" i="23"/>
  <c r="T34" i="23" s="1"/>
  <c r="AQ34" i="23"/>
  <c r="I34" i="23"/>
  <c r="J34" i="23"/>
  <c r="K34" i="23"/>
  <c r="R34" i="23"/>
  <c r="AP34" i="23"/>
  <c r="Y34" i="23"/>
  <c r="U34" i="23"/>
  <c r="S34" i="23"/>
  <c r="Q34" i="23"/>
  <c r="P34" i="23"/>
  <c r="G34" i="23"/>
  <c r="AS34" i="23"/>
  <c r="H36" i="23"/>
  <c r="T36" i="23" s="1"/>
  <c r="J36" i="23"/>
  <c r="K36" i="23"/>
  <c r="Y36" i="23"/>
  <c r="R36" i="23"/>
  <c r="S36" i="23"/>
  <c r="H39" i="23"/>
  <c r="U39" i="23" s="1"/>
  <c r="J39" i="23"/>
  <c r="AQ39" i="23"/>
  <c r="I39" i="23"/>
  <c r="K39" i="23"/>
  <c r="AP39" i="23"/>
  <c r="Y39" i="23"/>
  <c r="R39" i="23"/>
  <c r="Q39" i="23"/>
  <c r="S39" i="23"/>
  <c r="BF43" i="23"/>
  <c r="AQ43" i="23" s="1"/>
  <c r="J46" i="23"/>
  <c r="H46" i="23"/>
  <c r="T46" i="23" s="1"/>
  <c r="K46" i="23"/>
  <c r="R46" i="23"/>
  <c r="Y46" i="23"/>
  <c r="S46" i="23"/>
  <c r="H50" i="23"/>
  <c r="T50" i="23" s="1"/>
  <c r="J50" i="23"/>
  <c r="K50" i="23"/>
  <c r="R50" i="23"/>
  <c r="Y50" i="23"/>
  <c r="S50" i="23"/>
  <c r="X59" i="23"/>
  <c r="X60" i="23"/>
  <c r="X61" i="23"/>
  <c r="X62" i="23"/>
  <c r="X63" i="23"/>
  <c r="X64" i="23"/>
  <c r="X65" i="23"/>
  <c r="X66" i="23"/>
  <c r="X67" i="23"/>
  <c r="X68" i="23"/>
  <c r="X69" i="23"/>
  <c r="X70" i="23"/>
  <c r="X71" i="23"/>
  <c r="X72" i="23"/>
  <c r="X73" i="23"/>
  <c r="BE73" i="23"/>
  <c r="X74" i="23"/>
  <c r="X75" i="23"/>
  <c r="X76" i="23"/>
  <c r="AA77" i="23"/>
  <c r="AV78" i="23"/>
  <c r="J78" i="23"/>
  <c r="H78" i="23"/>
  <c r="T78" i="23" s="1"/>
  <c r="K78" i="23"/>
  <c r="AQ78" i="23"/>
  <c r="I78" i="23"/>
  <c r="R78" i="23"/>
  <c r="AP78" i="23"/>
  <c r="Y78" i="23"/>
  <c r="W78" i="23"/>
  <c r="U78" i="23"/>
  <c r="S78" i="23"/>
  <c r="Q78" i="23"/>
  <c r="G78" i="23"/>
  <c r="AT78" i="23"/>
  <c r="X81" i="23"/>
  <c r="AU81" i="23"/>
  <c r="AV82" i="23"/>
  <c r="H82" i="23"/>
  <c r="T82" i="23" s="1"/>
  <c r="AQ82" i="23"/>
  <c r="I82" i="23"/>
  <c r="J82" i="23"/>
  <c r="K82" i="23"/>
  <c r="R82" i="23"/>
  <c r="AP82" i="23"/>
  <c r="Y82" i="23"/>
  <c r="W82" i="23"/>
  <c r="S82" i="23"/>
  <c r="Q82" i="23"/>
  <c r="G82" i="23"/>
  <c r="AT82" i="23"/>
  <c r="X85" i="23"/>
  <c r="AU85" i="23"/>
  <c r="AV86" i="23"/>
  <c r="J86" i="23"/>
  <c r="H86" i="23"/>
  <c r="T86" i="23" s="1"/>
  <c r="K86" i="23"/>
  <c r="AQ86" i="23"/>
  <c r="I86" i="23"/>
  <c r="R86" i="23"/>
  <c r="AP86" i="23"/>
  <c r="Y86" i="23"/>
  <c r="W86" i="23"/>
  <c r="U86" i="23"/>
  <c r="S86" i="23"/>
  <c r="Q86" i="23"/>
  <c r="G86" i="23"/>
  <c r="AT86" i="23"/>
  <c r="X89" i="23"/>
  <c r="AU89" i="23"/>
  <c r="AV90" i="23"/>
  <c r="H90" i="23"/>
  <c r="T90" i="23" s="1"/>
  <c r="AQ90" i="23"/>
  <c r="I90" i="23"/>
  <c r="J90" i="23"/>
  <c r="K90" i="23"/>
  <c r="R90" i="23"/>
  <c r="AP90" i="23"/>
  <c r="Y90" i="23"/>
  <c r="W90" i="23"/>
  <c r="U90" i="23"/>
  <c r="S90" i="23"/>
  <c r="Q90" i="23"/>
  <c r="G90" i="23"/>
  <c r="AT90" i="23"/>
  <c r="X93" i="23"/>
  <c r="AU93" i="23"/>
  <c r="AV94" i="23"/>
  <c r="J94" i="23"/>
  <c r="H94" i="23"/>
  <c r="K94" i="23"/>
  <c r="AQ94" i="23"/>
  <c r="I94" i="23"/>
  <c r="R94" i="23"/>
  <c r="AP94" i="23"/>
  <c r="Y94" i="23"/>
  <c r="W94" i="23"/>
  <c r="U94" i="23"/>
  <c r="T94" i="23"/>
  <c r="S94" i="23"/>
  <c r="Q94" i="23"/>
  <c r="G94" i="23"/>
  <c r="AT94" i="23"/>
  <c r="AR95" i="23"/>
  <c r="H98" i="23"/>
  <c r="AQ98" i="23"/>
  <c r="I98" i="23"/>
  <c r="J98" i="23"/>
  <c r="K98" i="23"/>
  <c r="R98" i="23"/>
  <c r="AP98" i="23"/>
  <c r="Y98" i="23"/>
  <c r="W98" i="23"/>
  <c r="U98" i="23"/>
  <c r="T98" i="23"/>
  <c r="S98" i="23"/>
  <c r="Q98" i="23"/>
  <c r="AR98" i="23"/>
  <c r="J101" i="23"/>
  <c r="K101" i="23"/>
  <c r="H101" i="23"/>
  <c r="AQ101" i="23"/>
  <c r="I101" i="23"/>
  <c r="R101" i="23"/>
  <c r="S101" i="23"/>
  <c r="AP101" i="23"/>
  <c r="Y101" i="23"/>
  <c r="W101" i="23"/>
  <c r="U101" i="23"/>
  <c r="T101" i="23"/>
  <c r="Q101" i="23"/>
  <c r="Z101" i="23"/>
  <c r="H103" i="23"/>
  <c r="J103" i="23"/>
  <c r="AQ103" i="23"/>
  <c r="I103" i="23"/>
  <c r="K103" i="23"/>
  <c r="AP103" i="23"/>
  <c r="Y103" i="23"/>
  <c r="W103" i="23"/>
  <c r="U103" i="23"/>
  <c r="T103" i="23"/>
  <c r="R103" i="23"/>
  <c r="S103" i="23"/>
  <c r="J105" i="23"/>
  <c r="K105" i="23"/>
  <c r="H105" i="23"/>
  <c r="AQ105" i="23"/>
  <c r="I105" i="23"/>
  <c r="R105" i="23"/>
  <c r="S105" i="23"/>
  <c r="AP105" i="23"/>
  <c r="Y105" i="23"/>
  <c r="W105" i="23"/>
  <c r="U105" i="23"/>
  <c r="T105" i="23"/>
  <c r="Q105" i="23"/>
  <c r="Z105" i="23"/>
  <c r="AS106" i="23"/>
  <c r="H107" i="23"/>
  <c r="J107" i="23"/>
  <c r="AQ107" i="23"/>
  <c r="I107" i="23"/>
  <c r="K107" i="23"/>
  <c r="AP107" i="23"/>
  <c r="Y107" i="23"/>
  <c r="W107" i="23"/>
  <c r="U107" i="23"/>
  <c r="T107" i="23"/>
  <c r="R107" i="23"/>
  <c r="S107" i="23"/>
  <c r="AS107" i="23"/>
  <c r="AA110" i="23"/>
  <c r="L110" i="23"/>
  <c r="L106" i="23"/>
  <c r="L102" i="23"/>
  <c r="L98" i="23"/>
  <c r="L94" i="23"/>
  <c r="L90" i="23"/>
  <c r="L86" i="23"/>
  <c r="L82" i="23"/>
  <c r="L78" i="23"/>
  <c r="L74" i="23"/>
  <c r="L70" i="23"/>
  <c r="L66" i="23"/>
  <c r="L46" i="23"/>
  <c r="L42" i="23"/>
  <c r="L34" i="23"/>
  <c r="M110" i="23"/>
  <c r="M106" i="23"/>
  <c r="M102" i="23"/>
  <c r="M98" i="23"/>
  <c r="M94" i="23"/>
  <c r="M90" i="23"/>
  <c r="M86" i="23"/>
  <c r="M82" i="23"/>
  <c r="M78" i="23"/>
  <c r="M74" i="23"/>
  <c r="M70" i="23"/>
  <c r="M66" i="23"/>
  <c r="M46" i="23"/>
  <c r="M42" i="23"/>
  <c r="M34" i="23"/>
  <c r="N110" i="23"/>
  <c r="N106" i="23"/>
  <c r="N102" i="23"/>
  <c r="N98" i="23"/>
  <c r="N94" i="23"/>
  <c r="N90" i="23"/>
  <c r="N86" i="23"/>
  <c r="N82" i="23"/>
  <c r="N78" i="23"/>
  <c r="N74" i="23"/>
  <c r="N70" i="23"/>
  <c r="N66" i="23"/>
  <c r="N50" i="23"/>
  <c r="N46" i="23"/>
  <c r="N42" i="23"/>
  <c r="N34" i="23"/>
  <c r="O110" i="23"/>
  <c r="O106" i="23"/>
  <c r="O102" i="23"/>
  <c r="O98" i="23"/>
  <c r="O94" i="23"/>
  <c r="O90" i="23"/>
  <c r="O86" i="23"/>
  <c r="O82" i="23"/>
  <c r="O78" i="23"/>
  <c r="O66" i="23"/>
  <c r="O34" i="23"/>
  <c r="P110" i="23"/>
  <c r="P98" i="23"/>
  <c r="P94" i="23"/>
  <c r="P90" i="23"/>
  <c r="P86" i="23"/>
  <c r="P82" i="23"/>
  <c r="P78" i="23"/>
  <c r="H32" i="23"/>
  <c r="T32" i="23" s="1"/>
  <c r="AQ32" i="23"/>
  <c r="I32" i="23"/>
  <c r="J32" i="23"/>
  <c r="K32" i="23"/>
  <c r="AP32" i="23"/>
  <c r="Y32" i="23"/>
  <c r="U32" i="23"/>
  <c r="Q32" i="23"/>
  <c r="P32" i="23"/>
  <c r="R32" i="23"/>
  <c r="S32" i="23"/>
  <c r="J33" i="23"/>
  <c r="K33" i="23"/>
  <c r="H33" i="23"/>
  <c r="U33" i="23" s="1"/>
  <c r="AQ33" i="23"/>
  <c r="I33" i="23"/>
  <c r="R33" i="23"/>
  <c r="S33" i="23"/>
  <c r="AP33" i="23"/>
  <c r="Y33" i="23"/>
  <c r="Q33" i="23"/>
  <c r="P33" i="23"/>
  <c r="X33" i="23"/>
  <c r="BE33" i="23"/>
  <c r="X34" i="23"/>
  <c r="AV34" i="23"/>
  <c r="H35" i="23"/>
  <c r="U35" i="23" s="1"/>
  <c r="J35" i="23"/>
  <c r="K35" i="23"/>
  <c r="Y35" i="23"/>
  <c r="R35" i="23"/>
  <c r="S35" i="23"/>
  <c r="AR36" i="23"/>
  <c r="AS39" i="23"/>
  <c r="AS40" i="23"/>
  <c r="H40" i="23"/>
  <c r="T40" i="23" s="1"/>
  <c r="J40" i="23"/>
  <c r="K40" i="23"/>
  <c r="Y40" i="23"/>
  <c r="R40" i="23"/>
  <c r="S40" i="23"/>
  <c r="AV42" i="23"/>
  <c r="H42" i="23"/>
  <c r="T42" i="23" s="1"/>
  <c r="AQ42" i="23"/>
  <c r="I42" i="23"/>
  <c r="J42" i="23"/>
  <c r="K42" i="23"/>
  <c r="R42" i="23"/>
  <c r="AP42" i="23"/>
  <c r="Y42" i="23"/>
  <c r="W42" i="23"/>
  <c r="S42" i="23"/>
  <c r="Q42" i="23"/>
  <c r="P42" i="23"/>
  <c r="G42" i="23"/>
  <c r="AT42" i="23"/>
  <c r="AR43" i="23"/>
  <c r="J45" i="23"/>
  <c r="K45" i="23"/>
  <c r="H45" i="23"/>
  <c r="T45" i="23" s="1"/>
  <c r="R45" i="23"/>
  <c r="S45" i="23"/>
  <c r="Y45" i="23"/>
  <c r="U45" i="23"/>
  <c r="J49" i="23"/>
  <c r="K49" i="23"/>
  <c r="H49" i="23"/>
  <c r="T49" i="23" s="1"/>
  <c r="R49" i="23"/>
  <c r="S49" i="23"/>
  <c r="Y49" i="23"/>
  <c r="J53" i="23"/>
  <c r="K53" i="23"/>
  <c r="H53" i="23"/>
  <c r="T53" i="23" s="1"/>
  <c r="R53" i="23"/>
  <c r="S53" i="23"/>
  <c r="Y53" i="23"/>
  <c r="U53" i="23"/>
  <c r="X55" i="23"/>
  <c r="AA59" i="23"/>
  <c r="W59" i="23" s="1"/>
  <c r="BF59" i="23"/>
  <c r="Q59" i="23" s="1"/>
  <c r="AA60" i="23"/>
  <c r="BF60" i="23"/>
  <c r="AA61" i="23"/>
  <c r="W61" i="23" s="1"/>
  <c r="BF61" i="23"/>
  <c r="AP61" i="23" s="1"/>
  <c r="AA62" i="23"/>
  <c r="BF62" i="23"/>
  <c r="AA63" i="23"/>
  <c r="W63" i="23" s="1"/>
  <c r="BF63" i="23"/>
  <c r="AP63" i="23" s="1"/>
  <c r="AA64" i="23"/>
  <c r="BF64" i="23"/>
  <c r="AA65" i="23"/>
  <c r="W65" i="23" s="1"/>
  <c r="BF65" i="23"/>
  <c r="AQ65" i="23" s="1"/>
  <c r="AA66" i="23"/>
  <c r="BF66" i="23"/>
  <c r="AA67" i="23"/>
  <c r="W67" i="23" s="1"/>
  <c r="BF67" i="23"/>
  <c r="AP67" i="23" s="1"/>
  <c r="AA68" i="23"/>
  <c r="BF68" i="23"/>
  <c r="P68" i="23" s="1"/>
  <c r="AA69" i="23"/>
  <c r="W69" i="23" s="1"/>
  <c r="BF69" i="23"/>
  <c r="AA70" i="23"/>
  <c r="BF70" i="23"/>
  <c r="AA71" i="23"/>
  <c r="W71" i="23" s="1"/>
  <c r="BF71" i="23"/>
  <c r="AQ71" i="23" s="1"/>
  <c r="AA72" i="23"/>
  <c r="BF72" i="23"/>
  <c r="AQ72" i="23" s="1"/>
  <c r="AA73" i="23"/>
  <c r="BF73" i="23"/>
  <c r="AA74" i="23"/>
  <c r="W74" i="23" s="1"/>
  <c r="BF74" i="23"/>
  <c r="AQ74" i="23" s="1"/>
  <c r="AA75" i="23"/>
  <c r="W75" i="23" s="1"/>
  <c r="BF75" i="23"/>
  <c r="AP75" i="23" s="1"/>
  <c r="AA76" i="23"/>
  <c r="BF76" i="23"/>
  <c r="I76" i="23" s="1"/>
  <c r="AT77" i="23"/>
  <c r="X78" i="23"/>
  <c r="AU78" i="23"/>
  <c r="AV79" i="23"/>
  <c r="H79" i="23"/>
  <c r="J79" i="23"/>
  <c r="AQ79" i="23"/>
  <c r="I79" i="23"/>
  <c r="K79" i="23"/>
  <c r="AP79" i="23"/>
  <c r="Y79" i="23"/>
  <c r="W79" i="23"/>
  <c r="U79" i="23"/>
  <c r="T79" i="23"/>
  <c r="R79" i="23"/>
  <c r="S79" i="23"/>
  <c r="G79" i="23"/>
  <c r="AT79" i="23"/>
  <c r="AA81" i="23"/>
  <c r="BE81" i="23"/>
  <c r="X82" i="23"/>
  <c r="AU82" i="23"/>
  <c r="AV83" i="23"/>
  <c r="H83" i="23"/>
  <c r="T83" i="23" s="1"/>
  <c r="J83" i="23"/>
  <c r="AQ83" i="23"/>
  <c r="I83" i="23"/>
  <c r="K83" i="23"/>
  <c r="AP83" i="23"/>
  <c r="Y83" i="23"/>
  <c r="W83" i="23"/>
  <c r="U83" i="23"/>
  <c r="R83" i="23"/>
  <c r="S83" i="23"/>
  <c r="G83" i="23"/>
  <c r="AT83" i="23"/>
  <c r="AA85" i="23"/>
  <c r="W85" i="23" s="1"/>
  <c r="BE85" i="23"/>
  <c r="X86" i="23"/>
  <c r="AU86" i="23"/>
  <c r="AV87" i="23"/>
  <c r="H87" i="23"/>
  <c r="T87" i="23" s="1"/>
  <c r="J87" i="23"/>
  <c r="AQ87" i="23"/>
  <c r="I87" i="23"/>
  <c r="K87" i="23"/>
  <c r="AP87" i="23"/>
  <c r="Y87" i="23"/>
  <c r="W87" i="23"/>
  <c r="U87" i="23"/>
  <c r="R87" i="23"/>
  <c r="S87" i="23"/>
  <c r="G87" i="23"/>
  <c r="AT87" i="23"/>
  <c r="AA89" i="23"/>
  <c r="BE89" i="23"/>
  <c r="X90" i="23"/>
  <c r="AU90" i="23"/>
  <c r="AV91" i="23"/>
  <c r="H91" i="23"/>
  <c r="T91" i="23" s="1"/>
  <c r="J91" i="23"/>
  <c r="AQ91" i="23"/>
  <c r="I91" i="23"/>
  <c r="K91" i="23"/>
  <c r="AP91" i="23"/>
  <c r="Y91" i="23"/>
  <c r="W91" i="23"/>
  <c r="U91" i="23"/>
  <c r="R91" i="23"/>
  <c r="S91" i="23"/>
  <c r="G91" i="23"/>
  <c r="AT91" i="23"/>
  <c r="AA93" i="23"/>
  <c r="W93" i="23" s="1"/>
  <c r="BE93" i="23"/>
  <c r="X94" i="23"/>
  <c r="AU94" i="23"/>
  <c r="H95" i="23"/>
  <c r="J95" i="23"/>
  <c r="AQ95" i="23"/>
  <c r="I95" i="23"/>
  <c r="K95" i="23"/>
  <c r="AP95" i="23"/>
  <c r="Y95" i="23"/>
  <c r="W95" i="23"/>
  <c r="U95" i="23"/>
  <c r="T95" i="23"/>
  <c r="R95" i="23"/>
  <c r="S95" i="23"/>
  <c r="G95" i="23"/>
  <c r="AU95" i="23"/>
  <c r="H96" i="23"/>
  <c r="AQ96" i="23"/>
  <c r="I96" i="23"/>
  <c r="J96" i="23"/>
  <c r="K96" i="23"/>
  <c r="AP96" i="23"/>
  <c r="Y96" i="23"/>
  <c r="W96" i="23"/>
  <c r="U96" i="23"/>
  <c r="T96" i="23"/>
  <c r="Q96" i="23"/>
  <c r="R96" i="23"/>
  <c r="S96" i="23"/>
  <c r="AU98" i="23"/>
  <c r="H100" i="23"/>
  <c r="AQ100" i="23"/>
  <c r="I100" i="23"/>
  <c r="J100" i="23"/>
  <c r="K100" i="23"/>
  <c r="AP100" i="23"/>
  <c r="Y100" i="23"/>
  <c r="W100" i="23"/>
  <c r="U100" i="23"/>
  <c r="T100" i="23"/>
  <c r="Q100" i="23"/>
  <c r="R100" i="23"/>
  <c r="S100" i="23"/>
  <c r="AR100" i="23"/>
  <c r="AA101" i="23"/>
  <c r="J102" i="23"/>
  <c r="H102" i="23"/>
  <c r="K102" i="23"/>
  <c r="AQ102" i="23"/>
  <c r="I102" i="23"/>
  <c r="R102" i="23"/>
  <c r="AP102" i="23"/>
  <c r="Y102" i="23"/>
  <c r="W102" i="23"/>
  <c r="U102" i="23"/>
  <c r="T102" i="23"/>
  <c r="S102" i="23"/>
  <c r="Q102" i="23"/>
  <c r="G102" i="23"/>
  <c r="AV102" i="23"/>
  <c r="H104" i="23"/>
  <c r="AQ104" i="23"/>
  <c r="I104" i="23"/>
  <c r="J104" i="23"/>
  <c r="K104" i="23"/>
  <c r="AP104" i="23"/>
  <c r="Y104" i="23"/>
  <c r="W104" i="23"/>
  <c r="U104" i="23"/>
  <c r="T104" i="23"/>
  <c r="Q104" i="23"/>
  <c r="R104" i="23"/>
  <c r="S104" i="23"/>
  <c r="AR104" i="23"/>
  <c r="AA105" i="23"/>
  <c r="H106" i="23"/>
  <c r="AQ106" i="23"/>
  <c r="I106" i="23"/>
  <c r="J106" i="23"/>
  <c r="K106" i="23"/>
  <c r="R106" i="23"/>
  <c r="AP106" i="23"/>
  <c r="Y106" i="23"/>
  <c r="W106" i="23"/>
  <c r="U106" i="23"/>
  <c r="T106" i="23"/>
  <c r="S106" i="23"/>
  <c r="Q106" i="23"/>
  <c r="G106" i="23"/>
  <c r="AV106" i="23"/>
  <c r="J109" i="23"/>
  <c r="K109" i="23"/>
  <c r="H109" i="23"/>
  <c r="AQ109" i="23"/>
  <c r="I109" i="23"/>
  <c r="R109" i="23"/>
  <c r="S109" i="23"/>
  <c r="AP109" i="23"/>
  <c r="Y109" i="23"/>
  <c r="W109" i="23"/>
  <c r="U109" i="23"/>
  <c r="T109" i="23"/>
  <c r="Q109" i="23"/>
  <c r="Z109" i="23"/>
  <c r="L109" i="23"/>
  <c r="L105" i="23"/>
  <c r="L101" i="23"/>
  <c r="L93" i="23"/>
  <c r="L89" i="23"/>
  <c r="L85" i="23"/>
  <c r="L81" i="23"/>
  <c r="L77" i="23"/>
  <c r="L73" i="23"/>
  <c r="L69" i="23"/>
  <c r="L65" i="23"/>
  <c r="L53" i="23"/>
  <c r="L49" i="23"/>
  <c r="L45" i="23"/>
  <c r="L41" i="23"/>
  <c r="L33" i="23"/>
  <c r="M109" i="23"/>
  <c r="M105" i="23"/>
  <c r="M101" i="23"/>
  <c r="M93" i="23"/>
  <c r="M89" i="23"/>
  <c r="M85" i="23"/>
  <c r="M81" i="23"/>
  <c r="M77" i="23"/>
  <c r="M73" i="23"/>
  <c r="M69" i="23"/>
  <c r="M65" i="23"/>
  <c r="M53" i="23"/>
  <c r="M49" i="23"/>
  <c r="M45" i="23"/>
  <c r="M41" i="23"/>
  <c r="M33" i="23"/>
  <c r="N109" i="23"/>
  <c r="N105" i="23"/>
  <c r="N101" i="23"/>
  <c r="N93" i="23"/>
  <c r="N89" i="23"/>
  <c r="N85" i="23"/>
  <c r="N81" i="23"/>
  <c r="N77" i="23"/>
  <c r="N73" i="23"/>
  <c r="N69" i="23"/>
  <c r="N65" i="23"/>
  <c r="N53" i="23"/>
  <c r="N49" i="23"/>
  <c r="N45" i="23"/>
  <c r="N41" i="23"/>
  <c r="N33" i="23"/>
  <c r="O109" i="23"/>
  <c r="O105" i="23"/>
  <c r="O101" i="23"/>
  <c r="O93" i="23"/>
  <c r="O89" i="23"/>
  <c r="O85" i="23"/>
  <c r="O81" i="23"/>
  <c r="O73" i="23"/>
  <c r="O69" i="23"/>
  <c r="O61" i="23"/>
  <c r="O33" i="23"/>
  <c r="P109" i="23"/>
  <c r="P105" i="23"/>
  <c r="P101" i="23"/>
  <c r="P93" i="23"/>
  <c r="P89" i="23"/>
  <c r="P85" i="23"/>
  <c r="P81" i="23"/>
  <c r="P72" i="23"/>
  <c r="P59" i="23"/>
  <c r="P43" i="23"/>
  <c r="Q107" i="23"/>
  <c r="Q91" i="23"/>
  <c r="Q75" i="23"/>
  <c r="AV101" i="23"/>
  <c r="Z102" i="23"/>
  <c r="BE102" i="23"/>
  <c r="BE104" i="23"/>
  <c r="AV105" i="23"/>
  <c r="Z106" i="23"/>
  <c r="BE106" i="23"/>
  <c r="H108" i="23"/>
  <c r="AQ108" i="23"/>
  <c r="I108" i="23"/>
  <c r="J108" i="23"/>
  <c r="K108" i="23"/>
  <c r="AP108" i="23"/>
  <c r="Y108" i="23"/>
  <c r="W108" i="23"/>
  <c r="U108" i="23"/>
  <c r="T108" i="23"/>
  <c r="Q108" i="23"/>
  <c r="R108" i="23"/>
  <c r="S108" i="23"/>
  <c r="AR108" i="23"/>
  <c r="AA109" i="23"/>
  <c r="BE110" i="23"/>
  <c r="J110" i="23"/>
  <c r="H110" i="23"/>
  <c r="K110" i="23"/>
  <c r="AQ110" i="23"/>
  <c r="I110" i="23"/>
  <c r="R110" i="23"/>
  <c r="AP110" i="23"/>
  <c r="Y110" i="23"/>
  <c r="W110" i="23"/>
  <c r="U110" i="23"/>
  <c r="T110" i="23"/>
  <c r="S110" i="23"/>
  <c r="Q110" i="23"/>
  <c r="G110" i="23"/>
  <c r="AV110" i="23"/>
  <c r="L108" i="23"/>
  <c r="L104" i="23"/>
  <c r="L100" i="23"/>
  <c r="L96" i="23"/>
  <c r="L76" i="23"/>
  <c r="L72" i="23"/>
  <c r="L64" i="23"/>
  <c r="L52" i="23"/>
  <c r="L48" i="23"/>
  <c r="L44" i="23"/>
  <c r="L40" i="23"/>
  <c r="L36" i="23"/>
  <c r="L32" i="23"/>
  <c r="M108" i="23"/>
  <c r="M104" i="23"/>
  <c r="M100" i="23"/>
  <c r="M96" i="23"/>
  <c r="M76" i="23"/>
  <c r="M72" i="23"/>
  <c r="M64" i="23"/>
  <c r="M52" i="23"/>
  <c r="M44" i="23"/>
  <c r="M40" i="23"/>
  <c r="M36" i="23"/>
  <c r="M32" i="23"/>
  <c r="N108" i="23"/>
  <c r="N104" i="23"/>
  <c r="N100" i="23"/>
  <c r="N96" i="23"/>
  <c r="N76" i="23"/>
  <c r="N72" i="23"/>
  <c r="N64" i="23"/>
  <c r="N52" i="23"/>
  <c r="N48" i="23"/>
  <c r="N44" i="23"/>
  <c r="N40" i="23"/>
  <c r="N36" i="23"/>
  <c r="N32" i="23"/>
  <c r="O108" i="23"/>
  <c r="O104" i="23"/>
  <c r="O100" i="23"/>
  <c r="O96" i="23"/>
  <c r="O76" i="23"/>
  <c r="O72" i="23"/>
  <c r="O68" i="23"/>
  <c r="O64" i="23"/>
  <c r="O60" i="23"/>
  <c r="O52" i="23"/>
  <c r="O32" i="23"/>
  <c r="P108" i="23"/>
  <c r="P104" i="23"/>
  <c r="P100" i="23"/>
  <c r="P96" i="23"/>
  <c r="P76" i="23"/>
  <c r="P71" i="23"/>
  <c r="P39" i="23"/>
  <c r="Q103" i="23"/>
  <c r="Q87" i="23"/>
  <c r="Q71" i="23"/>
  <c r="H14" i="23"/>
  <c r="U14" i="23" s="1"/>
  <c r="J14" i="23"/>
  <c r="I14" i="23"/>
  <c r="K14" i="23"/>
  <c r="AQ14" i="23"/>
  <c r="AR14" i="23"/>
  <c r="J17" i="23"/>
  <c r="K17" i="23"/>
  <c r="H17" i="23"/>
  <c r="U17" i="23" s="1"/>
  <c r="AS17" i="23"/>
  <c r="J20" i="23"/>
  <c r="H20" i="23"/>
  <c r="T20" i="23" s="1"/>
  <c r="K20" i="23"/>
  <c r="AS20" i="23"/>
  <c r="K23" i="23"/>
  <c r="H23" i="23"/>
  <c r="T23" i="23" s="1"/>
  <c r="J23" i="23"/>
  <c r="H26" i="23"/>
  <c r="T26" i="23" s="1"/>
  <c r="J26" i="23"/>
  <c r="K26" i="23"/>
  <c r="J16" i="23"/>
  <c r="H16" i="23"/>
  <c r="T16" i="23" s="1"/>
  <c r="K16" i="23"/>
  <c r="H22" i="23"/>
  <c r="T22" i="23" s="1"/>
  <c r="J22" i="23"/>
  <c r="K22" i="23"/>
  <c r="AL12" i="22"/>
  <c r="AL12" i="23" s="1"/>
  <c r="AE12" i="22"/>
  <c r="AE12" i="23" s="1"/>
  <c r="AI12" i="22"/>
  <c r="AI12" i="23" s="1"/>
  <c r="AG12" i="22"/>
  <c r="AG12" i="23" s="1"/>
  <c r="AF12" i="22"/>
  <c r="AF12" i="23" s="1"/>
  <c r="AM12" i="22"/>
  <c r="AM12" i="23" s="1"/>
  <c r="AJ12" i="22"/>
  <c r="AJ12" i="23" s="1"/>
  <c r="AN12" i="22"/>
  <c r="AN12" i="23" s="1"/>
  <c r="AK12" i="22"/>
  <c r="AK12" i="23" s="1"/>
  <c r="AO12" i="22"/>
  <c r="AO12" i="23" s="1"/>
  <c r="AH12" i="22"/>
  <c r="AH12" i="23" s="1"/>
  <c r="AD12" i="22"/>
  <c r="AD12" i="23" s="1"/>
  <c r="BF12" i="22"/>
  <c r="Q12" i="22" s="1"/>
  <c r="H12" i="22"/>
  <c r="U12" i="22" s="1"/>
  <c r="AJ14" i="22"/>
  <c r="AJ14" i="23" s="1"/>
  <c r="AG14" i="22"/>
  <c r="AG14" i="23" s="1"/>
  <c r="AN14" i="22"/>
  <c r="AN14" i="23" s="1"/>
  <c r="AL14" i="22"/>
  <c r="AL14" i="23" s="1"/>
  <c r="AE14" i="22"/>
  <c r="AE14" i="23" s="1"/>
  <c r="AK14" i="22"/>
  <c r="AK14" i="23" s="1"/>
  <c r="AD14" i="22"/>
  <c r="AD14" i="23" s="1"/>
  <c r="AH14" i="22"/>
  <c r="AH14" i="23" s="1"/>
  <c r="AO14" i="22"/>
  <c r="AO14" i="23" s="1"/>
  <c r="AI14" i="22"/>
  <c r="AI14" i="23" s="1"/>
  <c r="AM14" i="22"/>
  <c r="AM14" i="23" s="1"/>
  <c r="AF14" i="22"/>
  <c r="AF14" i="23" s="1"/>
  <c r="BF14" i="22"/>
  <c r="I14" i="22" s="1"/>
  <c r="H14" i="22"/>
  <c r="T14" i="22" s="1"/>
  <c r="F16" i="22"/>
  <c r="AL16" i="22"/>
  <c r="AL16" i="23" s="1"/>
  <c r="AE16" i="22"/>
  <c r="AE16" i="23" s="1"/>
  <c r="AI16" i="22"/>
  <c r="AI16" i="23" s="1"/>
  <c r="AJ16" i="22"/>
  <c r="AJ16" i="23" s="1"/>
  <c r="AN16" i="22"/>
  <c r="AN16" i="23" s="1"/>
  <c r="AF16" i="22"/>
  <c r="AF16" i="23" s="1"/>
  <c r="AM16" i="22"/>
  <c r="AM16" i="23" s="1"/>
  <c r="AG16" i="22"/>
  <c r="AG16" i="23" s="1"/>
  <c r="AH16" i="22"/>
  <c r="AH16" i="23" s="1"/>
  <c r="AD16" i="22"/>
  <c r="AD16" i="23" s="1"/>
  <c r="AO16" i="22"/>
  <c r="AO16" i="23" s="1"/>
  <c r="AK16" i="22"/>
  <c r="AK16" i="23" s="1"/>
  <c r="BF16" i="22"/>
  <c r="AQ16" i="22" s="1"/>
  <c r="H16" i="22"/>
  <c r="T16" i="22" s="1"/>
  <c r="AJ18" i="22"/>
  <c r="AJ18" i="23" s="1"/>
  <c r="AG18" i="22"/>
  <c r="AG18" i="23" s="1"/>
  <c r="AN18" i="22"/>
  <c r="AN18" i="23" s="1"/>
  <c r="AL18" i="22"/>
  <c r="AL18" i="23" s="1"/>
  <c r="AI18" i="22"/>
  <c r="AI18" i="23" s="1"/>
  <c r="AK18" i="22"/>
  <c r="AK18" i="23" s="1"/>
  <c r="AD18" i="22"/>
  <c r="AD18" i="23" s="1"/>
  <c r="AH18" i="22"/>
  <c r="AH18" i="23" s="1"/>
  <c r="AO18" i="22"/>
  <c r="AO18" i="23" s="1"/>
  <c r="AE18" i="22"/>
  <c r="AE18" i="23" s="1"/>
  <c r="AF18" i="22"/>
  <c r="AF18" i="23" s="1"/>
  <c r="AM18" i="22"/>
  <c r="AM18" i="23" s="1"/>
  <c r="BF18" i="22"/>
  <c r="I18" i="22" s="1"/>
  <c r="H18" i="22"/>
  <c r="U18" i="22" s="1"/>
  <c r="AL20" i="22"/>
  <c r="AL20" i="23" s="1"/>
  <c r="AE20" i="22"/>
  <c r="AE20" i="23" s="1"/>
  <c r="AI20" i="22"/>
  <c r="AI20" i="23" s="1"/>
  <c r="AG20" i="22"/>
  <c r="AG20" i="23" s="1"/>
  <c r="AF20" i="22"/>
  <c r="AF20" i="23" s="1"/>
  <c r="AM20" i="22"/>
  <c r="AM20" i="23" s="1"/>
  <c r="AJ20" i="22"/>
  <c r="AJ20" i="23" s="1"/>
  <c r="AN20" i="22"/>
  <c r="AN20" i="23" s="1"/>
  <c r="AD20" i="22"/>
  <c r="AD20" i="23" s="1"/>
  <c r="AK20" i="22"/>
  <c r="AK20" i="23" s="1"/>
  <c r="AH20" i="22"/>
  <c r="AH20" i="23" s="1"/>
  <c r="AO20" i="22"/>
  <c r="AO20" i="23" s="1"/>
  <c r="BF20" i="22"/>
  <c r="AQ20" i="22" s="1"/>
  <c r="H20" i="22"/>
  <c r="T20" i="22" s="1"/>
  <c r="AJ22" i="22"/>
  <c r="AJ22" i="23" s="1"/>
  <c r="AG22" i="22"/>
  <c r="AG22" i="23" s="1"/>
  <c r="AN22" i="22"/>
  <c r="AN22" i="23" s="1"/>
  <c r="AE22" i="22"/>
  <c r="AE22" i="23" s="1"/>
  <c r="AK22" i="22"/>
  <c r="AK22" i="23" s="1"/>
  <c r="AD22" i="22"/>
  <c r="AD22" i="23" s="1"/>
  <c r="AH22" i="22"/>
  <c r="AH22" i="23" s="1"/>
  <c r="AO22" i="22"/>
  <c r="AO22" i="23" s="1"/>
  <c r="AL22" i="22"/>
  <c r="AL22" i="23" s="1"/>
  <c r="AI22" i="22"/>
  <c r="AI22" i="23" s="1"/>
  <c r="AM22" i="22"/>
  <c r="AM22" i="23" s="1"/>
  <c r="AF22" i="22"/>
  <c r="AF22" i="23" s="1"/>
  <c r="BF22" i="22"/>
  <c r="O22" i="22" s="1"/>
  <c r="H22" i="22"/>
  <c r="T22" i="22" s="1"/>
  <c r="AL24" i="22"/>
  <c r="AL24" i="23" s="1"/>
  <c r="AE24" i="22"/>
  <c r="AE24" i="23" s="1"/>
  <c r="AI24" i="22"/>
  <c r="AI24" i="23" s="1"/>
  <c r="AJ24" i="22"/>
  <c r="AJ24" i="23" s="1"/>
  <c r="AN24" i="22"/>
  <c r="AN24" i="23" s="1"/>
  <c r="AF24" i="22"/>
  <c r="AF24" i="23" s="1"/>
  <c r="AM24" i="22"/>
  <c r="AM24" i="23" s="1"/>
  <c r="AG24" i="22"/>
  <c r="AG24" i="23" s="1"/>
  <c r="AK24" i="22"/>
  <c r="AK24" i="23" s="1"/>
  <c r="AD24" i="22"/>
  <c r="AD24" i="23" s="1"/>
  <c r="AH24" i="22"/>
  <c r="AH24" i="23" s="1"/>
  <c r="AO24" i="22"/>
  <c r="AO24" i="23" s="1"/>
  <c r="BF24" i="22"/>
  <c r="AP24" i="22" s="1"/>
  <c r="H24" i="22"/>
  <c r="T24" i="22" s="1"/>
  <c r="AS25" i="22"/>
  <c r="AD25" i="22"/>
  <c r="AD25" i="23" s="1"/>
  <c r="AH25" i="22"/>
  <c r="AH25" i="23" s="1"/>
  <c r="AO25" i="22"/>
  <c r="AO25" i="23" s="1"/>
  <c r="AM25" i="22"/>
  <c r="AM25" i="23" s="1"/>
  <c r="AJ25" i="22"/>
  <c r="AJ25" i="23" s="1"/>
  <c r="AE25" i="22"/>
  <c r="AE25" i="23" s="1"/>
  <c r="AI25" i="22"/>
  <c r="AI25" i="23" s="1"/>
  <c r="AK25" i="22"/>
  <c r="AK25" i="23" s="1"/>
  <c r="AF25" i="22"/>
  <c r="AF25" i="23" s="1"/>
  <c r="AG25" i="22"/>
  <c r="AG25" i="23" s="1"/>
  <c r="AL25" i="22"/>
  <c r="AL25" i="23" s="1"/>
  <c r="AN25" i="22"/>
  <c r="AN25" i="23" s="1"/>
  <c r="BF25" i="22"/>
  <c r="AP25" i="22" s="1"/>
  <c r="H25" i="22"/>
  <c r="T25" i="22" s="1"/>
  <c r="AU27" i="22"/>
  <c r="AK27" i="22"/>
  <c r="AK27" i="23" s="1"/>
  <c r="AF27" i="22"/>
  <c r="AF27" i="23" s="1"/>
  <c r="AM27" i="22"/>
  <c r="AM27" i="23" s="1"/>
  <c r="AH27" i="22"/>
  <c r="AH27" i="23" s="1"/>
  <c r="AL27" i="22"/>
  <c r="AL27" i="23" s="1"/>
  <c r="AG27" i="22"/>
  <c r="AG27" i="23" s="1"/>
  <c r="AN27" i="22"/>
  <c r="AN27" i="23" s="1"/>
  <c r="AD27" i="22"/>
  <c r="AD27" i="23" s="1"/>
  <c r="AO27" i="22"/>
  <c r="AO27" i="23" s="1"/>
  <c r="AE27" i="22"/>
  <c r="AE27" i="23" s="1"/>
  <c r="AI27" i="22"/>
  <c r="AI27" i="23" s="1"/>
  <c r="AJ27" i="22"/>
  <c r="AJ27" i="23" s="1"/>
  <c r="H27" i="22"/>
  <c r="T27" i="22" s="1"/>
  <c r="BF27" i="22"/>
  <c r="Q27" i="22" s="1"/>
  <c r="AT28" i="22"/>
  <c r="AL28" i="22"/>
  <c r="AL28" i="23" s="1"/>
  <c r="AE28" i="22"/>
  <c r="AE28" i="23" s="1"/>
  <c r="AI28" i="22"/>
  <c r="AI28" i="23" s="1"/>
  <c r="AG28" i="22"/>
  <c r="AG28" i="23" s="1"/>
  <c r="AF28" i="22"/>
  <c r="AF28" i="23" s="1"/>
  <c r="AM28" i="22"/>
  <c r="AM28" i="23" s="1"/>
  <c r="AJ28" i="22"/>
  <c r="AJ28" i="23" s="1"/>
  <c r="AN28" i="22"/>
  <c r="AN28" i="23" s="1"/>
  <c r="AK28" i="22"/>
  <c r="AK28" i="23" s="1"/>
  <c r="AO28" i="22"/>
  <c r="AO28" i="23" s="1"/>
  <c r="AD28" i="22"/>
  <c r="AD28" i="23" s="1"/>
  <c r="AH28" i="22"/>
  <c r="AH28" i="23" s="1"/>
  <c r="BF28" i="22"/>
  <c r="I28" i="22" s="1"/>
  <c r="H28" i="22"/>
  <c r="T28" i="22" s="1"/>
  <c r="AT30" i="22"/>
  <c r="AJ30" i="22"/>
  <c r="AJ30" i="23" s="1"/>
  <c r="AG30" i="22"/>
  <c r="AG30" i="23" s="1"/>
  <c r="AN30" i="22"/>
  <c r="AN30" i="23" s="1"/>
  <c r="AK30" i="22"/>
  <c r="AK30" i="23" s="1"/>
  <c r="AD30" i="22"/>
  <c r="AD30" i="23" s="1"/>
  <c r="AH30" i="22"/>
  <c r="AH30" i="23" s="1"/>
  <c r="AO30" i="22"/>
  <c r="AO30" i="23" s="1"/>
  <c r="AL30" i="22"/>
  <c r="AL30" i="23" s="1"/>
  <c r="AE30" i="22"/>
  <c r="AE30" i="23" s="1"/>
  <c r="AI30" i="22"/>
  <c r="AI30" i="23" s="1"/>
  <c r="AM30" i="22"/>
  <c r="AM30" i="23" s="1"/>
  <c r="AF30" i="22"/>
  <c r="AF30" i="23" s="1"/>
  <c r="BF30" i="22"/>
  <c r="I30" i="22" s="1"/>
  <c r="H30" i="22"/>
  <c r="T30" i="22" s="1"/>
  <c r="AV27" i="22"/>
  <c r="AU24" i="22"/>
  <c r="AQ13" i="23"/>
  <c r="J13" i="23"/>
  <c r="H13" i="23"/>
  <c r="T13" i="23" s="1"/>
  <c r="K13" i="23"/>
  <c r="I13" i="23"/>
  <c r="AR13" i="23"/>
  <c r="AS14" i="23"/>
  <c r="H15" i="23"/>
  <c r="T15" i="23" s="1"/>
  <c r="J15" i="23"/>
  <c r="K15" i="23"/>
  <c r="AV15" i="23"/>
  <c r="J24" i="23"/>
  <c r="K24" i="23"/>
  <c r="H24" i="23"/>
  <c r="T24" i="23" s="1"/>
  <c r="K27" i="23"/>
  <c r="H27" i="23"/>
  <c r="T27" i="23" s="1"/>
  <c r="J27" i="23"/>
  <c r="J29" i="23"/>
  <c r="H29" i="23"/>
  <c r="T29" i="23" s="1"/>
  <c r="K29" i="23"/>
  <c r="J12" i="23"/>
  <c r="K12" i="23"/>
  <c r="H12" i="23"/>
  <c r="T12" i="23" s="1"/>
  <c r="AT12" i="23"/>
  <c r="H19" i="23"/>
  <c r="T19" i="23" s="1"/>
  <c r="J19" i="23"/>
  <c r="K19" i="23"/>
  <c r="AD13" i="22"/>
  <c r="AD13" i="23" s="1"/>
  <c r="AH13" i="22"/>
  <c r="AH13" i="23" s="1"/>
  <c r="AO13" i="22"/>
  <c r="AO13" i="23" s="1"/>
  <c r="AK13" i="22"/>
  <c r="AK13" i="23" s="1"/>
  <c r="AF13" i="22"/>
  <c r="AF13" i="23" s="1"/>
  <c r="AJ13" i="22"/>
  <c r="AJ13" i="23" s="1"/>
  <c r="AE13" i="22"/>
  <c r="AE13" i="23" s="1"/>
  <c r="AI13" i="22"/>
  <c r="AI13" i="23" s="1"/>
  <c r="AM13" i="22"/>
  <c r="AM13" i="23" s="1"/>
  <c r="AN13" i="22"/>
  <c r="AN13" i="23" s="1"/>
  <c r="AL13" i="22"/>
  <c r="AL13" i="23" s="1"/>
  <c r="AG13" i="22"/>
  <c r="AG13" i="23" s="1"/>
  <c r="BF13" i="22"/>
  <c r="H13" i="22"/>
  <c r="T13" i="22" s="1"/>
  <c r="F15" i="22"/>
  <c r="AK15" i="22"/>
  <c r="AK15" i="23" s="1"/>
  <c r="AF15" i="22"/>
  <c r="AF15" i="23" s="1"/>
  <c r="AM15" i="22"/>
  <c r="AM15" i="23" s="1"/>
  <c r="AD15" i="22"/>
  <c r="AD15" i="23" s="1"/>
  <c r="AO15" i="22"/>
  <c r="AO15" i="23" s="1"/>
  <c r="AL15" i="22"/>
  <c r="AL15" i="23" s="1"/>
  <c r="AG15" i="22"/>
  <c r="AG15" i="23" s="1"/>
  <c r="AN15" i="22"/>
  <c r="AN15" i="23" s="1"/>
  <c r="AH15" i="22"/>
  <c r="AH15" i="23" s="1"/>
  <c r="AE15" i="22"/>
  <c r="AE15" i="23" s="1"/>
  <c r="AJ15" i="22"/>
  <c r="AJ15" i="23" s="1"/>
  <c r="AI15" i="22"/>
  <c r="AI15" i="23" s="1"/>
  <c r="H15" i="22"/>
  <c r="T15" i="22" s="1"/>
  <c r="BF15" i="22"/>
  <c r="AD17" i="22"/>
  <c r="AD17" i="23" s="1"/>
  <c r="AH17" i="22"/>
  <c r="AH17" i="23" s="1"/>
  <c r="AO17" i="22"/>
  <c r="AO17" i="23" s="1"/>
  <c r="AM17" i="22"/>
  <c r="AM17" i="23" s="1"/>
  <c r="AJ17" i="22"/>
  <c r="AJ17" i="23" s="1"/>
  <c r="AE17" i="22"/>
  <c r="AE17" i="23" s="1"/>
  <c r="AI17" i="22"/>
  <c r="AI17" i="23" s="1"/>
  <c r="AK17" i="22"/>
  <c r="AK17" i="23" s="1"/>
  <c r="AF17" i="22"/>
  <c r="AF17" i="23" s="1"/>
  <c r="AL17" i="22"/>
  <c r="AL17" i="23" s="1"/>
  <c r="AG17" i="22"/>
  <c r="AG17" i="23" s="1"/>
  <c r="AN17" i="22"/>
  <c r="AN17" i="23" s="1"/>
  <c r="H17" i="22"/>
  <c r="U17" i="22" s="1"/>
  <c r="BF17" i="22"/>
  <c r="AP17" i="22" s="1"/>
  <c r="AK19" i="22"/>
  <c r="AK19" i="23" s="1"/>
  <c r="AF19" i="22"/>
  <c r="AF19" i="23" s="1"/>
  <c r="AM19" i="22"/>
  <c r="AM19" i="23" s="1"/>
  <c r="AH19" i="22"/>
  <c r="AH19" i="23" s="1"/>
  <c r="AL19" i="22"/>
  <c r="AL19" i="23" s="1"/>
  <c r="AG19" i="22"/>
  <c r="AG19" i="23" s="1"/>
  <c r="AN19" i="22"/>
  <c r="AN19" i="23" s="1"/>
  <c r="AD19" i="22"/>
  <c r="AD19" i="23" s="1"/>
  <c r="AO19" i="22"/>
  <c r="AO19" i="23" s="1"/>
  <c r="AI19" i="22"/>
  <c r="AI19" i="23" s="1"/>
  <c r="AJ19" i="22"/>
  <c r="AJ19" i="23" s="1"/>
  <c r="AE19" i="22"/>
  <c r="AE19" i="23" s="1"/>
  <c r="H19" i="22"/>
  <c r="U19" i="22" s="1"/>
  <c r="BF19" i="22"/>
  <c r="AP19" i="22" s="1"/>
  <c r="AD21" i="22"/>
  <c r="AD21" i="23" s="1"/>
  <c r="AH21" i="22"/>
  <c r="AH21" i="23" s="1"/>
  <c r="AO21" i="22"/>
  <c r="AO21" i="23" s="1"/>
  <c r="AK21" i="22"/>
  <c r="AK21" i="23" s="1"/>
  <c r="AF21" i="22"/>
  <c r="AF21" i="23" s="1"/>
  <c r="AJ21" i="22"/>
  <c r="AJ21" i="23" s="1"/>
  <c r="AE21" i="22"/>
  <c r="AE21" i="23" s="1"/>
  <c r="AI21" i="22"/>
  <c r="AI21" i="23" s="1"/>
  <c r="AM21" i="22"/>
  <c r="AM21" i="23" s="1"/>
  <c r="AN21" i="22"/>
  <c r="AN21" i="23" s="1"/>
  <c r="AL21" i="22"/>
  <c r="AL21" i="23" s="1"/>
  <c r="AG21" i="22"/>
  <c r="AG21" i="23" s="1"/>
  <c r="H21" i="22"/>
  <c r="U21" i="22" s="1"/>
  <c r="BF21" i="22"/>
  <c r="I21" i="22" s="1"/>
  <c r="AU23" i="22"/>
  <c r="AK23" i="22"/>
  <c r="AK23" i="23" s="1"/>
  <c r="AF23" i="22"/>
  <c r="AF23" i="23" s="1"/>
  <c r="AM23" i="22"/>
  <c r="AM23" i="23" s="1"/>
  <c r="AD23" i="22"/>
  <c r="AD23" i="23" s="1"/>
  <c r="AO23" i="22"/>
  <c r="AO23" i="23" s="1"/>
  <c r="AL23" i="22"/>
  <c r="AL23" i="23" s="1"/>
  <c r="AG23" i="22"/>
  <c r="AG23" i="23" s="1"/>
  <c r="AN23" i="22"/>
  <c r="AN23" i="23" s="1"/>
  <c r="AH23" i="22"/>
  <c r="AH23" i="23" s="1"/>
  <c r="AJ23" i="22"/>
  <c r="AJ23" i="23" s="1"/>
  <c r="AI23" i="22"/>
  <c r="AI23" i="23" s="1"/>
  <c r="AE23" i="22"/>
  <c r="AE23" i="23" s="1"/>
  <c r="H23" i="22"/>
  <c r="U23" i="22" s="1"/>
  <c r="BF23" i="22"/>
  <c r="AP23" i="22" s="1"/>
  <c r="AJ26" i="22"/>
  <c r="AJ26" i="23" s="1"/>
  <c r="AG26" i="22"/>
  <c r="AG26" i="23" s="1"/>
  <c r="AN26" i="22"/>
  <c r="AN26" i="23" s="1"/>
  <c r="AL26" i="22"/>
  <c r="AL26" i="23" s="1"/>
  <c r="AI26" i="22"/>
  <c r="AI26" i="23" s="1"/>
  <c r="AK26" i="22"/>
  <c r="AK26" i="23" s="1"/>
  <c r="AD26" i="22"/>
  <c r="AD26" i="23" s="1"/>
  <c r="AH26" i="22"/>
  <c r="AH26" i="23" s="1"/>
  <c r="AO26" i="22"/>
  <c r="AO26" i="23" s="1"/>
  <c r="AE26" i="22"/>
  <c r="AE26" i="23" s="1"/>
  <c r="AF26" i="22"/>
  <c r="AF26" i="23" s="1"/>
  <c r="AM26" i="22"/>
  <c r="AM26" i="23" s="1"/>
  <c r="BF26" i="22"/>
  <c r="AP26" i="22" s="1"/>
  <c r="H26" i="22"/>
  <c r="U26" i="22" s="1"/>
  <c r="AD29" i="22"/>
  <c r="AD29" i="23" s="1"/>
  <c r="AH29" i="22"/>
  <c r="AH29" i="23" s="1"/>
  <c r="AO29" i="22"/>
  <c r="AO29" i="23" s="1"/>
  <c r="AK29" i="22"/>
  <c r="AK29" i="23" s="1"/>
  <c r="AJ29" i="22"/>
  <c r="AJ29" i="23" s="1"/>
  <c r="AE29" i="22"/>
  <c r="AE29" i="23" s="1"/>
  <c r="AI29" i="22"/>
  <c r="AI29" i="23" s="1"/>
  <c r="AM29" i="22"/>
  <c r="AM29" i="23" s="1"/>
  <c r="AL29" i="22"/>
  <c r="AL29" i="23" s="1"/>
  <c r="AF29" i="22"/>
  <c r="AF29" i="23" s="1"/>
  <c r="AG29" i="22"/>
  <c r="AG29" i="23" s="1"/>
  <c r="AN29" i="22"/>
  <c r="AN29" i="23" s="1"/>
  <c r="BF29" i="22"/>
  <c r="BE29" i="22" s="1"/>
  <c r="H29" i="22"/>
  <c r="U29" i="22" s="1"/>
  <c r="AS30" i="22"/>
  <c r="AR27" i="22"/>
  <c r="AV23" i="22"/>
  <c r="BE14" i="23"/>
  <c r="H18" i="23"/>
  <c r="U18" i="23" s="1"/>
  <c r="J18" i="23"/>
  <c r="K18" i="23"/>
  <c r="J21" i="23"/>
  <c r="K21" i="23"/>
  <c r="H21" i="23"/>
  <c r="T21" i="23" s="1"/>
  <c r="J25" i="23"/>
  <c r="H25" i="23"/>
  <c r="U25" i="23" s="1"/>
  <c r="K25" i="23"/>
  <c r="AS25" i="23"/>
  <c r="J28" i="23"/>
  <c r="H28" i="23"/>
  <c r="T28" i="23" s="1"/>
  <c r="K28" i="23"/>
  <c r="AS28" i="23"/>
  <c r="H30" i="23"/>
  <c r="T30" i="23" s="1"/>
  <c r="J30" i="23"/>
  <c r="K30" i="23"/>
  <c r="AK11" i="22"/>
  <c r="AK11" i="23" s="1"/>
  <c r="AH11" i="22"/>
  <c r="AH11" i="23" s="1"/>
  <c r="AO11" i="22"/>
  <c r="AO11" i="23" s="1"/>
  <c r="AJ11" i="22"/>
  <c r="AJ11" i="23" s="1"/>
  <c r="AE11" i="22"/>
  <c r="AE11" i="23" s="1"/>
  <c r="AI11" i="22"/>
  <c r="AI11" i="23" s="1"/>
  <c r="AD11" i="22"/>
  <c r="AD11" i="23" s="1"/>
  <c r="AM11" i="22"/>
  <c r="AM11" i="23" s="1"/>
  <c r="AL11" i="22"/>
  <c r="AL11" i="23" s="1"/>
  <c r="AG11" i="22"/>
  <c r="AG11" i="23" s="1"/>
  <c r="AN11" i="22"/>
  <c r="AN11" i="23" s="1"/>
  <c r="AF11" i="22"/>
  <c r="AF11" i="23" s="1"/>
  <c r="H11" i="22"/>
  <c r="BF11" i="22"/>
  <c r="I11" i="22" s="1"/>
  <c r="H11" i="23"/>
  <c r="U11" i="23" s="1"/>
  <c r="Y11" i="23"/>
  <c r="AY14" i="22"/>
  <c r="AY14" i="23" s="1"/>
  <c r="AZ14" i="22"/>
  <c r="AZ14" i="23" s="1"/>
  <c r="AW14" i="22"/>
  <c r="AW14" i="23" s="1"/>
  <c r="AX14" i="22"/>
  <c r="AX14" i="23" s="1"/>
  <c r="BA14" i="22"/>
  <c r="BA14" i="23" s="1"/>
  <c r="BB14" i="22"/>
  <c r="BB14" i="23" s="1"/>
  <c r="M14" i="23" s="1"/>
  <c r="AB14" i="22"/>
  <c r="AB14" i="23" s="1"/>
  <c r="AC14" i="22"/>
  <c r="AC14" i="23" s="1"/>
  <c r="AU14" i="22"/>
  <c r="J14" i="22"/>
  <c r="AR14" i="22"/>
  <c r="AV14" i="22"/>
  <c r="AA14" i="22"/>
  <c r="W14" i="22" s="1"/>
  <c r="R14" i="22"/>
  <c r="K14" i="22"/>
  <c r="AS14" i="22"/>
  <c r="S14" i="22"/>
  <c r="AT14" i="22"/>
  <c r="AW17" i="22"/>
  <c r="AW17" i="23" s="1"/>
  <c r="BA17" i="22"/>
  <c r="BA17" i="23" s="1"/>
  <c r="AX17" i="22"/>
  <c r="AX17" i="23" s="1"/>
  <c r="BB17" i="22"/>
  <c r="BB17" i="23" s="1"/>
  <c r="N17" i="23" s="1"/>
  <c r="AY17" i="22"/>
  <c r="AY17" i="23" s="1"/>
  <c r="AZ17" i="22"/>
  <c r="AZ17" i="23" s="1"/>
  <c r="AB17" i="22"/>
  <c r="AB17" i="23" s="1"/>
  <c r="AC17" i="22"/>
  <c r="AC17" i="23" s="1"/>
  <c r="J17" i="22"/>
  <c r="AR17" i="22"/>
  <c r="AV17" i="22"/>
  <c r="AA17" i="22"/>
  <c r="W17" i="22" s="1"/>
  <c r="R17" i="22"/>
  <c r="K17" i="22"/>
  <c r="AS17" i="22"/>
  <c r="S17" i="22"/>
  <c r="AT17" i="22"/>
  <c r="AU17" i="22"/>
  <c r="AW19" i="22"/>
  <c r="AW19" i="23" s="1"/>
  <c r="BA19" i="22"/>
  <c r="BA19" i="23" s="1"/>
  <c r="AX19" i="22"/>
  <c r="AX19" i="23" s="1"/>
  <c r="BB19" i="22"/>
  <c r="BB19" i="23" s="1"/>
  <c r="M19" i="23" s="1"/>
  <c r="AY19" i="22"/>
  <c r="AY19" i="23" s="1"/>
  <c r="AZ19" i="22"/>
  <c r="AZ19" i="23" s="1"/>
  <c r="AB19" i="22"/>
  <c r="AB19" i="23" s="1"/>
  <c r="AC19" i="22"/>
  <c r="AC19" i="23" s="1"/>
  <c r="S19" i="22"/>
  <c r="AT19" i="22"/>
  <c r="AU19" i="22"/>
  <c r="J19" i="22"/>
  <c r="AR19" i="22"/>
  <c r="AV19" i="22"/>
  <c r="AA19" i="22"/>
  <c r="V19" i="22" s="1"/>
  <c r="R19" i="22"/>
  <c r="K19" i="22"/>
  <c r="AS19" i="22"/>
  <c r="AY22" i="22"/>
  <c r="AY22" i="23" s="1"/>
  <c r="AZ22" i="22"/>
  <c r="AZ22" i="23" s="1"/>
  <c r="AW22" i="22"/>
  <c r="AW22" i="23" s="1"/>
  <c r="AX22" i="22"/>
  <c r="AX22" i="23" s="1"/>
  <c r="BA22" i="22"/>
  <c r="BA22" i="23" s="1"/>
  <c r="BB22" i="22"/>
  <c r="BB22" i="23" s="1"/>
  <c r="M22" i="23" s="1"/>
  <c r="AB22" i="22"/>
  <c r="AB22" i="23" s="1"/>
  <c r="AC22" i="22"/>
  <c r="AC22" i="23" s="1"/>
  <c r="AU22" i="22"/>
  <c r="J22" i="22"/>
  <c r="AR22" i="22"/>
  <c r="AV22" i="22"/>
  <c r="AA22" i="22"/>
  <c r="V22" i="22" s="1"/>
  <c r="R22" i="22"/>
  <c r="K22" i="22"/>
  <c r="AS22" i="22"/>
  <c r="S22" i="22"/>
  <c r="AT22" i="22"/>
  <c r="AY24" i="22"/>
  <c r="AY24" i="23" s="1"/>
  <c r="AZ24" i="22"/>
  <c r="AZ24" i="23" s="1"/>
  <c r="BA24" i="22"/>
  <c r="BA24" i="23" s="1"/>
  <c r="BB24" i="22"/>
  <c r="BB24" i="23" s="1"/>
  <c r="N24" i="23" s="1"/>
  <c r="AW24" i="22"/>
  <c r="AW24" i="23" s="1"/>
  <c r="AX24" i="22"/>
  <c r="AX24" i="23" s="1"/>
  <c r="AB24" i="22"/>
  <c r="AB24" i="23" s="1"/>
  <c r="AC24" i="22"/>
  <c r="AC24" i="23" s="1"/>
  <c r="AA24" i="22"/>
  <c r="W24" i="22" s="1"/>
  <c r="R24" i="22"/>
  <c r="K24" i="22"/>
  <c r="S24" i="22"/>
  <c r="J24" i="22"/>
  <c r="AY26" i="22"/>
  <c r="AY26" i="23" s="1"/>
  <c r="AZ26" i="22"/>
  <c r="AZ26" i="23" s="1"/>
  <c r="AW26" i="22"/>
  <c r="AW26" i="23" s="1"/>
  <c r="AX26" i="22"/>
  <c r="AX26" i="23" s="1"/>
  <c r="BA26" i="22"/>
  <c r="BA26" i="23" s="1"/>
  <c r="BB26" i="22"/>
  <c r="BB26" i="23" s="1"/>
  <c r="AB26" i="22"/>
  <c r="AB26" i="23" s="1"/>
  <c r="AC26" i="22"/>
  <c r="AC26" i="23" s="1"/>
  <c r="J26" i="22"/>
  <c r="AA26" i="22"/>
  <c r="W26" i="22" s="1"/>
  <c r="R26" i="22"/>
  <c r="K26" i="22"/>
  <c r="S26" i="22"/>
  <c r="AW29" i="22"/>
  <c r="AW29" i="23" s="1"/>
  <c r="BA29" i="22"/>
  <c r="BA29" i="23" s="1"/>
  <c r="AX29" i="22"/>
  <c r="AX29" i="23" s="1"/>
  <c r="BB29" i="22"/>
  <c r="BB29" i="23" s="1"/>
  <c r="N29" i="23" s="1"/>
  <c r="AY29" i="22"/>
  <c r="AY29" i="23" s="1"/>
  <c r="AZ29" i="22"/>
  <c r="AZ29" i="23" s="1"/>
  <c r="AB29" i="22"/>
  <c r="AB29" i="23" s="1"/>
  <c r="AC29" i="22"/>
  <c r="AC29" i="23" s="1"/>
  <c r="J29" i="22"/>
  <c r="AA29" i="22"/>
  <c r="V29" i="22" s="1"/>
  <c r="R29" i="22"/>
  <c r="K29" i="22"/>
  <c r="S29" i="22"/>
  <c r="F30" i="22"/>
  <c r="F28" i="22"/>
  <c r="F26" i="22"/>
  <c r="F24" i="22"/>
  <c r="F22" i="22"/>
  <c r="F20" i="22"/>
  <c r="F18" i="22"/>
  <c r="F14" i="22"/>
  <c r="AU29" i="22"/>
  <c r="AV28" i="22"/>
  <c r="AR28" i="22"/>
  <c r="AS27" i="22"/>
  <c r="AT26" i="22"/>
  <c r="AU25" i="22"/>
  <c r="AV24" i="22"/>
  <c r="AR24" i="22"/>
  <c r="AR23" i="22"/>
  <c r="AW13" i="22"/>
  <c r="AW13" i="23" s="1"/>
  <c r="BA13" i="22"/>
  <c r="BA13" i="23" s="1"/>
  <c r="AX13" i="22"/>
  <c r="AX13" i="23" s="1"/>
  <c r="BB13" i="22"/>
  <c r="BB13" i="23" s="1"/>
  <c r="N13" i="23" s="1"/>
  <c r="AY13" i="22"/>
  <c r="AY13" i="23" s="1"/>
  <c r="AZ13" i="22"/>
  <c r="AZ13" i="23" s="1"/>
  <c r="AB13" i="22"/>
  <c r="AB13" i="23" s="1"/>
  <c r="AC13" i="22"/>
  <c r="AC13" i="23" s="1"/>
  <c r="J13" i="22"/>
  <c r="AR13" i="22"/>
  <c r="AV13" i="22"/>
  <c r="AA13" i="22"/>
  <c r="W13" i="22" s="1"/>
  <c r="R13" i="22"/>
  <c r="K13" i="22"/>
  <c r="AS13" i="22"/>
  <c r="S13" i="22"/>
  <c r="AT13" i="22"/>
  <c r="AU13" i="22"/>
  <c r="AY16" i="22"/>
  <c r="AY16" i="23" s="1"/>
  <c r="AZ16" i="22"/>
  <c r="AZ16" i="23" s="1"/>
  <c r="BA16" i="22"/>
  <c r="BA16" i="23" s="1"/>
  <c r="BB16" i="22"/>
  <c r="BB16" i="23" s="1"/>
  <c r="N16" i="23" s="1"/>
  <c r="AW16" i="22"/>
  <c r="AW16" i="23" s="1"/>
  <c r="AX16" i="22"/>
  <c r="AX16" i="23" s="1"/>
  <c r="AB16" i="22"/>
  <c r="AB16" i="23" s="1"/>
  <c r="AC16" i="22"/>
  <c r="AC16" i="23" s="1"/>
  <c r="AA16" i="22"/>
  <c r="V16" i="22" s="1"/>
  <c r="R16" i="22"/>
  <c r="K16" i="22"/>
  <c r="AS16" i="22"/>
  <c r="S16" i="22"/>
  <c r="AT16" i="22"/>
  <c r="AU16" i="22"/>
  <c r="J16" i="22"/>
  <c r="AR16" i="22"/>
  <c r="AV16" i="22"/>
  <c r="AW21" i="22"/>
  <c r="AW21" i="23" s="1"/>
  <c r="BA21" i="22"/>
  <c r="BA21" i="23" s="1"/>
  <c r="AX21" i="22"/>
  <c r="AX21" i="23" s="1"/>
  <c r="BB21" i="22"/>
  <c r="BB21" i="23" s="1"/>
  <c r="M21" i="23" s="1"/>
  <c r="AY21" i="22"/>
  <c r="AY21" i="23" s="1"/>
  <c r="AZ21" i="22"/>
  <c r="AZ21" i="23" s="1"/>
  <c r="AB21" i="22"/>
  <c r="AB21" i="23" s="1"/>
  <c r="AC21" i="22"/>
  <c r="AC21" i="23" s="1"/>
  <c r="J21" i="22"/>
  <c r="AR21" i="22"/>
  <c r="AV21" i="22"/>
  <c r="AA21" i="22"/>
  <c r="W21" i="22" s="1"/>
  <c r="R21" i="22"/>
  <c r="K21" i="22"/>
  <c r="AS21" i="22"/>
  <c r="S21" i="22"/>
  <c r="AT21" i="22"/>
  <c r="AU21" i="22"/>
  <c r="AY30" i="22"/>
  <c r="AY30" i="23" s="1"/>
  <c r="AZ30" i="22"/>
  <c r="AZ30" i="23" s="1"/>
  <c r="AW30" i="22"/>
  <c r="AW30" i="23" s="1"/>
  <c r="AX30" i="22"/>
  <c r="AX30" i="23" s="1"/>
  <c r="BA30" i="22"/>
  <c r="BA30" i="23" s="1"/>
  <c r="BB30" i="22"/>
  <c r="BB30" i="23" s="1"/>
  <c r="M30" i="23" s="1"/>
  <c r="AB30" i="22"/>
  <c r="AB30" i="23" s="1"/>
  <c r="AC30" i="22"/>
  <c r="AC30" i="23" s="1"/>
  <c r="J30" i="22"/>
  <c r="AA30" i="22"/>
  <c r="W30" i="22" s="1"/>
  <c r="R30" i="22"/>
  <c r="K30" i="22"/>
  <c r="S30" i="22"/>
  <c r="F29" i="22"/>
  <c r="F27" i="22"/>
  <c r="F25" i="22"/>
  <c r="F23" i="22"/>
  <c r="F21" i="22"/>
  <c r="F19" i="22"/>
  <c r="F17" i="22"/>
  <c r="F13" i="22"/>
  <c r="AV30" i="22"/>
  <c r="AR30" i="22"/>
  <c r="AS29" i="22"/>
  <c r="AV26" i="22"/>
  <c r="AR26" i="22"/>
  <c r="AT24" i="22"/>
  <c r="AY12" i="22"/>
  <c r="AY12" i="23" s="1"/>
  <c r="AZ12" i="22"/>
  <c r="AZ12" i="23" s="1"/>
  <c r="BA12" i="22"/>
  <c r="BA12" i="23" s="1"/>
  <c r="BB12" i="22"/>
  <c r="BB12" i="23" s="1"/>
  <c r="N12" i="23" s="1"/>
  <c r="AW12" i="22"/>
  <c r="AW12" i="23" s="1"/>
  <c r="AX12" i="22"/>
  <c r="AX12" i="23" s="1"/>
  <c r="AB12" i="22"/>
  <c r="AB12" i="23" s="1"/>
  <c r="AC12" i="22"/>
  <c r="AC12" i="23" s="1"/>
  <c r="AA12" i="22"/>
  <c r="W12" i="22" s="1"/>
  <c r="R12" i="22"/>
  <c r="K12" i="22"/>
  <c r="AS12" i="22"/>
  <c r="V12" i="22"/>
  <c r="S12" i="22"/>
  <c r="AT12" i="22"/>
  <c r="AU12" i="22"/>
  <c r="J12" i="22"/>
  <c r="AR12" i="22"/>
  <c r="AV12" i="22"/>
  <c r="AW15" i="22"/>
  <c r="AW15" i="23" s="1"/>
  <c r="BA15" i="22"/>
  <c r="BA15" i="23" s="1"/>
  <c r="AX15" i="22"/>
  <c r="AX15" i="23" s="1"/>
  <c r="BB15" i="22"/>
  <c r="BB15" i="23" s="1"/>
  <c r="N15" i="23" s="1"/>
  <c r="AY15" i="22"/>
  <c r="AY15" i="23" s="1"/>
  <c r="AZ15" i="22"/>
  <c r="AZ15" i="23" s="1"/>
  <c r="AB15" i="22"/>
  <c r="AB15" i="23" s="1"/>
  <c r="AC15" i="22"/>
  <c r="AC15" i="23" s="1"/>
  <c r="S15" i="22"/>
  <c r="AT15" i="22"/>
  <c r="AU15" i="22"/>
  <c r="J15" i="22"/>
  <c r="AR15" i="22"/>
  <c r="AV15" i="22"/>
  <c r="AA15" i="22"/>
  <c r="R15" i="22"/>
  <c r="K15" i="22"/>
  <c r="AS15" i="22"/>
  <c r="AY18" i="22"/>
  <c r="AY18" i="23" s="1"/>
  <c r="AZ18" i="22"/>
  <c r="AZ18" i="23" s="1"/>
  <c r="AW18" i="22"/>
  <c r="AW18" i="23" s="1"/>
  <c r="AX18" i="22"/>
  <c r="AX18" i="23" s="1"/>
  <c r="BA18" i="22"/>
  <c r="BA18" i="23" s="1"/>
  <c r="BB18" i="22"/>
  <c r="BB18" i="23" s="1"/>
  <c r="M18" i="23" s="1"/>
  <c r="AB18" i="22"/>
  <c r="AB18" i="23" s="1"/>
  <c r="AC18" i="22"/>
  <c r="AC18" i="23" s="1"/>
  <c r="AU18" i="22"/>
  <c r="J18" i="22"/>
  <c r="AR18" i="22"/>
  <c r="AV18" i="22"/>
  <c r="AA18" i="22"/>
  <c r="W18" i="22" s="1"/>
  <c r="R18" i="22"/>
  <c r="K18" i="22"/>
  <c r="AS18" i="22"/>
  <c r="S18" i="22"/>
  <c r="AT18" i="22"/>
  <c r="AY20" i="22"/>
  <c r="AY20" i="23" s="1"/>
  <c r="AZ20" i="22"/>
  <c r="AZ20" i="23" s="1"/>
  <c r="BA20" i="22"/>
  <c r="BA20" i="23" s="1"/>
  <c r="BB20" i="22"/>
  <c r="BB20" i="23" s="1"/>
  <c r="N20" i="23" s="1"/>
  <c r="AW20" i="22"/>
  <c r="AW20" i="23" s="1"/>
  <c r="AX20" i="22"/>
  <c r="AX20" i="23" s="1"/>
  <c r="AB20" i="22"/>
  <c r="AB20" i="23" s="1"/>
  <c r="AC20" i="22"/>
  <c r="AC20" i="23" s="1"/>
  <c r="AA20" i="22"/>
  <c r="W20" i="22" s="1"/>
  <c r="R20" i="22"/>
  <c r="K20" i="22"/>
  <c r="AS20" i="22"/>
  <c r="S20" i="22"/>
  <c r="AT20" i="22"/>
  <c r="AU20" i="22"/>
  <c r="J20" i="22"/>
  <c r="AR20" i="22"/>
  <c r="AV20" i="22"/>
  <c r="AW23" i="22"/>
  <c r="AW23" i="23" s="1"/>
  <c r="BA23" i="22"/>
  <c r="BA23" i="23" s="1"/>
  <c r="AX23" i="22"/>
  <c r="AX23" i="23" s="1"/>
  <c r="BB23" i="22"/>
  <c r="BB23" i="23" s="1"/>
  <c r="L23" i="23" s="1"/>
  <c r="AY23" i="22"/>
  <c r="AY23" i="23" s="1"/>
  <c r="AZ23" i="22"/>
  <c r="AZ23" i="23" s="1"/>
  <c r="AB23" i="22"/>
  <c r="AB23" i="23" s="1"/>
  <c r="AC23" i="22"/>
  <c r="AC23" i="23" s="1"/>
  <c r="S23" i="22"/>
  <c r="J23" i="22"/>
  <c r="AA23" i="22"/>
  <c r="V23" i="22" s="1"/>
  <c r="R23" i="22"/>
  <c r="K23" i="22"/>
  <c r="AS23" i="22"/>
  <c r="AW25" i="22"/>
  <c r="AW25" i="23" s="1"/>
  <c r="BA25" i="22"/>
  <c r="BA25" i="23" s="1"/>
  <c r="AX25" i="22"/>
  <c r="AX25" i="23" s="1"/>
  <c r="BB25" i="22"/>
  <c r="BB25" i="23" s="1"/>
  <c r="N25" i="23" s="1"/>
  <c r="AY25" i="22"/>
  <c r="AY25" i="23" s="1"/>
  <c r="AZ25" i="22"/>
  <c r="AZ25" i="23" s="1"/>
  <c r="AB25" i="22"/>
  <c r="AB25" i="23" s="1"/>
  <c r="AC25" i="22"/>
  <c r="AC25" i="23" s="1"/>
  <c r="J25" i="22"/>
  <c r="AA25" i="22"/>
  <c r="W25" i="22" s="1"/>
  <c r="R25" i="22"/>
  <c r="K25" i="22"/>
  <c r="S25" i="22"/>
  <c r="AW27" i="22"/>
  <c r="AW27" i="23" s="1"/>
  <c r="BA27" i="22"/>
  <c r="BA27" i="23" s="1"/>
  <c r="AX27" i="22"/>
  <c r="AX27" i="23" s="1"/>
  <c r="BB27" i="22"/>
  <c r="BB27" i="23" s="1"/>
  <c r="N27" i="23" s="1"/>
  <c r="AY27" i="22"/>
  <c r="AY27" i="23" s="1"/>
  <c r="AZ27" i="22"/>
  <c r="AZ27" i="23" s="1"/>
  <c r="AB27" i="22"/>
  <c r="AB27" i="23" s="1"/>
  <c r="AC27" i="22"/>
  <c r="AC27" i="23" s="1"/>
  <c r="S27" i="22"/>
  <c r="J27" i="22"/>
  <c r="AA27" i="22"/>
  <c r="V27" i="22" s="1"/>
  <c r="R27" i="22"/>
  <c r="K27" i="22"/>
  <c r="AY28" i="22"/>
  <c r="AY28" i="23" s="1"/>
  <c r="AZ28" i="22"/>
  <c r="AZ28" i="23" s="1"/>
  <c r="BA28" i="22"/>
  <c r="BA28" i="23" s="1"/>
  <c r="BB28" i="22"/>
  <c r="BB28" i="23" s="1"/>
  <c r="N28" i="23" s="1"/>
  <c r="AW28" i="22"/>
  <c r="AW28" i="23" s="1"/>
  <c r="AX28" i="22"/>
  <c r="AX28" i="23" s="1"/>
  <c r="AB28" i="22"/>
  <c r="AB28" i="23" s="1"/>
  <c r="AC28" i="22"/>
  <c r="AC28" i="23" s="1"/>
  <c r="AA28" i="22"/>
  <c r="V28" i="22" s="1"/>
  <c r="R28" i="22"/>
  <c r="K28" i="22"/>
  <c r="S28" i="22"/>
  <c r="J28" i="22"/>
  <c r="F12" i="22"/>
  <c r="AU30" i="22"/>
  <c r="AV29" i="22"/>
  <c r="AR29" i="22"/>
  <c r="AS28" i="22"/>
  <c r="AT27" i="22"/>
  <c r="AU26" i="22"/>
  <c r="AV25" i="22"/>
  <c r="AR25" i="22"/>
  <c r="AS24" i="22"/>
  <c r="AT23" i="22"/>
  <c r="AS12" i="23"/>
  <c r="G14" i="23"/>
  <c r="AV14" i="23"/>
  <c r="BF16" i="23"/>
  <c r="O16" i="23" s="1"/>
  <c r="AT16" i="23"/>
  <c r="AR17" i="23"/>
  <c r="AS18" i="23"/>
  <c r="BF18" i="23"/>
  <c r="I18" i="23" s="1"/>
  <c r="BF20" i="23"/>
  <c r="I20" i="23" s="1"/>
  <c r="AS21" i="23"/>
  <c r="AS22" i="23"/>
  <c r="BF22" i="23"/>
  <c r="BE22" i="23" s="1"/>
  <c r="AR25" i="23"/>
  <c r="AS26" i="23"/>
  <c r="BF26" i="23"/>
  <c r="I26" i="23" s="1"/>
  <c r="BF28" i="23"/>
  <c r="BE28" i="23" s="1"/>
  <c r="AS29" i="23"/>
  <c r="AS30" i="23"/>
  <c r="BF30" i="23"/>
  <c r="AQ30" i="23" s="1"/>
  <c r="P22" i="23"/>
  <c r="P14" i="23"/>
  <c r="Q13" i="23"/>
  <c r="R29" i="23"/>
  <c r="R27" i="23"/>
  <c r="R25" i="23"/>
  <c r="R23" i="23"/>
  <c r="R21" i="23"/>
  <c r="R19" i="23"/>
  <c r="R17" i="23"/>
  <c r="R15" i="23"/>
  <c r="R13" i="23"/>
  <c r="Y28" i="23"/>
  <c r="Y24" i="23"/>
  <c r="Y20" i="23"/>
  <c r="Y16" i="23"/>
  <c r="Y12" i="23"/>
  <c r="BE13" i="23"/>
  <c r="AT15" i="23"/>
  <c r="AV18" i="23"/>
  <c r="AT20" i="23"/>
  <c r="AV22" i="23"/>
  <c r="AS24" i="23"/>
  <c r="AV26" i="23"/>
  <c r="AV30" i="23"/>
  <c r="O14" i="23"/>
  <c r="P13" i="23"/>
  <c r="S30" i="23"/>
  <c r="S28" i="23"/>
  <c r="S26" i="23"/>
  <c r="S24" i="23"/>
  <c r="S22" i="23"/>
  <c r="S20" i="23"/>
  <c r="S18" i="23"/>
  <c r="S16" i="23"/>
  <c r="S14" i="23"/>
  <c r="S12" i="23"/>
  <c r="Y27" i="23"/>
  <c r="Y23" i="23"/>
  <c r="Y19" i="23"/>
  <c r="Y15" i="23"/>
  <c r="AV19" i="23"/>
  <c r="AT19" i="23"/>
  <c r="AT23" i="23"/>
  <c r="AV23" i="23"/>
  <c r="O13" i="23"/>
  <c r="R30" i="23"/>
  <c r="R28" i="23"/>
  <c r="R26" i="23"/>
  <c r="R24" i="23"/>
  <c r="R22" i="23"/>
  <c r="R20" i="23"/>
  <c r="R18" i="23"/>
  <c r="R16" i="23"/>
  <c r="R14" i="23"/>
  <c r="R12" i="23"/>
  <c r="Y30" i="23"/>
  <c r="Y26" i="23"/>
  <c r="Y22" i="23"/>
  <c r="Y18" i="23"/>
  <c r="Y14" i="23"/>
  <c r="AP14" i="23"/>
  <c r="BF12" i="23"/>
  <c r="AP12" i="23" s="1"/>
  <c r="AS13" i="23"/>
  <c r="BF17" i="23"/>
  <c r="BE17" i="23" s="1"/>
  <c r="AR18" i="23"/>
  <c r="AR21" i="23"/>
  <c r="BF21" i="23"/>
  <c r="AQ21" i="23" s="1"/>
  <c r="AR22" i="23"/>
  <c r="BF25" i="23"/>
  <c r="BE25" i="23" s="1"/>
  <c r="AR26" i="23"/>
  <c r="AR29" i="23"/>
  <c r="BF29" i="23"/>
  <c r="AQ29" i="23" s="1"/>
  <c r="AR30" i="23"/>
  <c r="Q14" i="23"/>
  <c r="S29" i="23"/>
  <c r="S27" i="23"/>
  <c r="S25" i="23"/>
  <c r="S23" i="23"/>
  <c r="S21" i="23"/>
  <c r="S19" i="23"/>
  <c r="S17" i="23"/>
  <c r="S15" i="23"/>
  <c r="S13" i="23"/>
  <c r="Y29" i="23"/>
  <c r="Y25" i="23"/>
  <c r="Y21" i="23"/>
  <c r="Y17" i="23"/>
  <c r="Y13" i="23"/>
  <c r="AP13" i="23"/>
  <c r="AZ11" i="22"/>
  <c r="AZ11" i="23" s="1"/>
  <c r="AC11" i="22"/>
  <c r="AC11" i="23" s="1"/>
  <c r="AW11" i="22"/>
  <c r="AW11" i="23" s="1"/>
  <c r="BA11" i="22"/>
  <c r="BA11" i="23" s="1"/>
  <c r="AB11" i="22"/>
  <c r="AB11" i="23" s="1"/>
  <c r="AY11" i="22"/>
  <c r="AY11" i="23" s="1"/>
  <c r="AX11" i="22"/>
  <c r="AX11" i="23" s="1"/>
  <c r="BB11" i="22"/>
  <c r="BB11" i="23" s="1"/>
  <c r="N11" i="23" s="1"/>
  <c r="K11" i="23"/>
  <c r="S11" i="23"/>
  <c r="F11" i="22"/>
  <c r="J11" i="22"/>
  <c r="K11" i="22"/>
  <c r="R11" i="22"/>
  <c r="S11" i="22"/>
  <c r="R11" i="23"/>
  <c r="AT11" i="22"/>
  <c r="AA11" i="22"/>
  <c r="W11" i="22" s="1"/>
  <c r="AS11" i="22"/>
  <c r="J11" i="23"/>
  <c r="AA24" i="23"/>
  <c r="V24" i="23" s="1"/>
  <c r="AU12" i="23"/>
  <c r="AR12" i="23"/>
  <c r="AV12" i="23"/>
  <c r="F12" i="23"/>
  <c r="AA12" i="23"/>
  <c r="V12" i="23" s="1"/>
  <c r="AU15" i="23"/>
  <c r="BF15" i="23"/>
  <c r="P15" i="23" s="1"/>
  <c r="AS15" i="23"/>
  <c r="AR15" i="23"/>
  <c r="F15" i="23"/>
  <c r="AA15" i="23"/>
  <c r="W15" i="23" s="1"/>
  <c r="AU28" i="23"/>
  <c r="AR28" i="23"/>
  <c r="AV28" i="23"/>
  <c r="F28" i="23"/>
  <c r="AA28" i="23"/>
  <c r="V28" i="23" s="1"/>
  <c r="AU31" i="23"/>
  <c r="BF31" i="23"/>
  <c r="O31" i="23" s="1"/>
  <c r="AS31" i="23"/>
  <c r="Z31" i="23"/>
  <c r="BE31" i="23"/>
  <c r="AR31" i="23"/>
  <c r="X31" i="23"/>
  <c r="F31" i="23"/>
  <c r="AA31" i="23"/>
  <c r="W31" i="23" s="1"/>
  <c r="AU35" i="23"/>
  <c r="BF35" i="23"/>
  <c r="BE35" i="23" s="1"/>
  <c r="AS35" i="23"/>
  <c r="AR35" i="23"/>
  <c r="X35" i="23"/>
  <c r="AV35" i="23"/>
  <c r="F35" i="23"/>
  <c r="AA35" i="23"/>
  <c r="AU41" i="23"/>
  <c r="BF46" i="23"/>
  <c r="G46" i="23" s="1"/>
  <c r="AT46" i="23"/>
  <c r="X46" i="23"/>
  <c r="AS46" i="23"/>
  <c r="BE46" i="23"/>
  <c r="AR46" i="23"/>
  <c r="AV46" i="23"/>
  <c r="F46" i="23"/>
  <c r="AA46" i="23"/>
  <c r="AU47" i="23"/>
  <c r="BF50" i="23"/>
  <c r="BE50" i="23" s="1"/>
  <c r="AT50" i="23"/>
  <c r="X50" i="23"/>
  <c r="AS50" i="23"/>
  <c r="AR50" i="23"/>
  <c r="AV50" i="23"/>
  <c r="F50" i="23"/>
  <c r="AA50" i="23"/>
  <c r="AU11" i="23"/>
  <c r="BF11" i="23"/>
  <c r="AP11" i="23" s="1"/>
  <c r="AS11" i="23"/>
  <c r="AR11" i="23"/>
  <c r="F11" i="23"/>
  <c r="AA11" i="23"/>
  <c r="V11" i="23" s="1"/>
  <c r="AU24" i="23"/>
  <c r="AR24" i="23"/>
  <c r="AV24" i="23"/>
  <c r="AU27" i="23"/>
  <c r="BF27" i="23"/>
  <c r="Q27" i="23" s="1"/>
  <c r="AS27" i="23"/>
  <c r="AR27" i="23"/>
  <c r="F27" i="23"/>
  <c r="AA27" i="23"/>
  <c r="W27" i="23" s="1"/>
  <c r="F41" i="23"/>
  <c r="F47" i="23"/>
  <c r="BF51" i="23"/>
  <c r="BE51" i="23" s="1"/>
  <c r="AT51" i="23"/>
  <c r="X51" i="23"/>
  <c r="AS51" i="23"/>
  <c r="AR51" i="23"/>
  <c r="AV51" i="23"/>
  <c r="AA51" i="23"/>
  <c r="AT11" i="23"/>
  <c r="AU16" i="23"/>
  <c r="AR16" i="23"/>
  <c r="AV16" i="23"/>
  <c r="F16" i="23"/>
  <c r="AA16" i="23"/>
  <c r="V16" i="23" s="1"/>
  <c r="AU19" i="23"/>
  <c r="BF19" i="23"/>
  <c r="AS19" i="23"/>
  <c r="AR19" i="23"/>
  <c r="F19" i="23"/>
  <c r="AA19" i="23"/>
  <c r="V19" i="23" s="1"/>
  <c r="AT24" i="23"/>
  <c r="AT27" i="23"/>
  <c r="AT35" i="23"/>
  <c r="BF45" i="23"/>
  <c r="BE45" i="23" s="1"/>
  <c r="AT45" i="23"/>
  <c r="X45" i="23"/>
  <c r="AS45" i="23"/>
  <c r="AR45" i="23"/>
  <c r="AV45" i="23"/>
  <c r="F45" i="23"/>
  <c r="AA45" i="23"/>
  <c r="AU46" i="23"/>
  <c r="BF49" i="23"/>
  <c r="AT49" i="23"/>
  <c r="X49" i="23"/>
  <c r="AS49" i="23"/>
  <c r="BE49" i="23"/>
  <c r="AR49" i="23"/>
  <c r="AV49" i="23"/>
  <c r="G49" i="23"/>
  <c r="F49" i="23"/>
  <c r="AA49" i="23"/>
  <c r="AU50" i="23"/>
  <c r="AU53" i="23"/>
  <c r="AV53" i="23"/>
  <c r="AS53" i="23"/>
  <c r="X53" i="23"/>
  <c r="BF53" i="23"/>
  <c r="AQ53" i="23" s="1"/>
  <c r="AR53" i="23"/>
  <c r="AA53" i="23"/>
  <c r="V53" i="23" s="1"/>
  <c r="F53" i="23"/>
  <c r="AT53" i="23"/>
  <c r="F24" i="23"/>
  <c r="AS41" i="23"/>
  <c r="AA41" i="23"/>
  <c r="W41" i="23" s="1"/>
  <c r="AT41" i="23"/>
  <c r="BF41" i="23"/>
  <c r="G41" i="23" s="1"/>
  <c r="AR41" i="23"/>
  <c r="AV41" i="23"/>
  <c r="X41" i="23"/>
  <c r="BF47" i="23"/>
  <c r="AT47" i="23"/>
  <c r="X47" i="23"/>
  <c r="AS47" i="23"/>
  <c r="AR47" i="23"/>
  <c r="AV47" i="23"/>
  <c r="AA47" i="23"/>
  <c r="W47" i="23" s="1"/>
  <c r="F51" i="23"/>
  <c r="AV11" i="23"/>
  <c r="AS16" i="23"/>
  <c r="AU20" i="23"/>
  <c r="AR20" i="23"/>
  <c r="AV20" i="23"/>
  <c r="F20" i="23"/>
  <c r="AA20" i="23"/>
  <c r="V20" i="23" s="1"/>
  <c r="AU23" i="23"/>
  <c r="BF23" i="23"/>
  <c r="O23" i="23" s="1"/>
  <c r="AS23" i="23"/>
  <c r="AR23" i="23"/>
  <c r="F23" i="23"/>
  <c r="AA23" i="23"/>
  <c r="W23" i="23" s="1"/>
  <c r="BF24" i="23"/>
  <c r="Q24" i="23" s="1"/>
  <c r="AV27" i="23"/>
  <c r="BF44" i="23"/>
  <c r="O44" i="23" s="1"/>
  <c r="AT44" i="23"/>
  <c r="X44" i="23"/>
  <c r="AS44" i="23"/>
  <c r="AR44" i="23"/>
  <c r="AV44" i="23"/>
  <c r="F44" i="23"/>
  <c r="AA44" i="23"/>
  <c r="BF48" i="23"/>
  <c r="AT48" i="23"/>
  <c r="X48" i="23"/>
  <c r="AS48" i="23"/>
  <c r="AR48" i="23"/>
  <c r="AV48" i="23"/>
  <c r="F48" i="23"/>
  <c r="AA48" i="23"/>
  <c r="BF52" i="23"/>
  <c r="AT52" i="23"/>
  <c r="X52" i="23"/>
  <c r="AS52" i="23"/>
  <c r="Z52" i="23"/>
  <c r="BE52" i="23"/>
  <c r="AR52" i="23"/>
  <c r="AV52" i="23"/>
  <c r="G52" i="23"/>
  <c r="F52" i="23"/>
  <c r="AA52" i="23"/>
  <c r="BF96" i="23"/>
  <c r="AT96" i="23"/>
  <c r="X96" i="23"/>
  <c r="BE96" i="23"/>
  <c r="AS96" i="23"/>
  <c r="AA96" i="23"/>
  <c r="G96" i="23"/>
  <c r="AV96" i="23"/>
  <c r="Z96" i="23"/>
  <c r="AU96" i="23"/>
  <c r="AR96" i="23"/>
  <c r="V96" i="23"/>
  <c r="F96" i="23"/>
  <c r="AU32" i="23"/>
  <c r="F32" i="23"/>
  <c r="AA32" i="23"/>
  <c r="W32" i="23" s="1"/>
  <c r="AT32" i="23"/>
  <c r="AU39" i="23"/>
  <c r="F39" i="23"/>
  <c r="AA39" i="23"/>
  <c r="W39" i="23" s="1"/>
  <c r="AT39" i="23"/>
  <c r="AU13" i="23"/>
  <c r="F13" i="23"/>
  <c r="AA13" i="23"/>
  <c r="W13" i="23" s="1"/>
  <c r="AT13" i="23"/>
  <c r="AU17" i="23"/>
  <c r="F17" i="23"/>
  <c r="AA17" i="23"/>
  <c r="W17" i="23" s="1"/>
  <c r="AT17" i="23"/>
  <c r="AU21" i="23"/>
  <c r="F21" i="23"/>
  <c r="AA21" i="23"/>
  <c r="V21" i="23" s="1"/>
  <c r="AT21" i="23"/>
  <c r="AU25" i="23"/>
  <c r="F25" i="23"/>
  <c r="AA25" i="23"/>
  <c r="V25" i="23" s="1"/>
  <c r="AT25" i="23"/>
  <c r="AU29" i="23"/>
  <c r="F29" i="23"/>
  <c r="AA29" i="23"/>
  <c r="W29" i="23" s="1"/>
  <c r="AT29" i="23"/>
  <c r="G32" i="23"/>
  <c r="AV32" i="23"/>
  <c r="AU33" i="23"/>
  <c r="F33" i="23"/>
  <c r="AA33" i="23"/>
  <c r="W33" i="23" s="1"/>
  <c r="AT33" i="23"/>
  <c r="BF36" i="23"/>
  <c r="O36" i="23" s="1"/>
  <c r="AT36" i="23"/>
  <c r="X36" i="23"/>
  <c r="F36" i="23"/>
  <c r="AA36" i="23"/>
  <c r="W36" i="23" s="1"/>
  <c r="AU36" i="23"/>
  <c r="G39" i="23"/>
  <c r="AV39" i="23"/>
  <c r="AU43" i="23"/>
  <c r="F43" i="23"/>
  <c r="AA43" i="23"/>
  <c r="W43" i="23" s="1"/>
  <c r="AT43" i="23"/>
  <c r="AU56" i="23"/>
  <c r="BE56" i="23"/>
  <c r="AR56" i="23"/>
  <c r="X56" i="23"/>
  <c r="AV56" i="23"/>
  <c r="F56" i="23"/>
  <c r="AS56" i="23"/>
  <c r="G13" i="23"/>
  <c r="AV13" i="23"/>
  <c r="AU14" i="23"/>
  <c r="F14" i="23"/>
  <c r="AA14" i="23"/>
  <c r="W14" i="23" s="1"/>
  <c r="AT14" i="23"/>
  <c r="AV17" i="23"/>
  <c r="AU18" i="23"/>
  <c r="F18" i="23"/>
  <c r="AA18" i="23"/>
  <c r="W18" i="23" s="1"/>
  <c r="AT18" i="23"/>
  <c r="AV21" i="23"/>
  <c r="AU22" i="23"/>
  <c r="F22" i="23"/>
  <c r="AA22" i="23"/>
  <c r="V22" i="23" s="1"/>
  <c r="AT22" i="23"/>
  <c r="AV25" i="23"/>
  <c r="AU26" i="23"/>
  <c r="F26" i="23"/>
  <c r="AA26" i="23"/>
  <c r="V26" i="23" s="1"/>
  <c r="AT26" i="23"/>
  <c r="AV29" i="23"/>
  <c r="AU30" i="23"/>
  <c r="F30" i="23"/>
  <c r="AA30" i="23"/>
  <c r="W30" i="23" s="1"/>
  <c r="AT30" i="23"/>
  <c r="X32" i="23"/>
  <c r="AR32" i="23"/>
  <c r="BE32" i="23"/>
  <c r="G33" i="23"/>
  <c r="AV33" i="23"/>
  <c r="AU34" i="23"/>
  <c r="F34" i="23"/>
  <c r="AA34" i="23"/>
  <c r="W34" i="23" s="1"/>
  <c r="AT34" i="23"/>
  <c r="G36" i="23"/>
  <c r="AV36" i="23"/>
  <c r="BE37" i="23"/>
  <c r="AS37" i="23"/>
  <c r="AA37" i="23"/>
  <c r="W37" i="23" s="1"/>
  <c r="G37" i="23"/>
  <c r="F37" i="23"/>
  <c r="AU37" i="23"/>
  <c r="X39" i="23"/>
  <c r="AR39" i="23"/>
  <c r="BE39" i="23"/>
  <c r="BF40" i="23"/>
  <c r="AT40" i="23"/>
  <c r="X40" i="23"/>
  <c r="F40" i="23"/>
  <c r="AA40" i="23"/>
  <c r="AU40" i="23"/>
  <c r="G43" i="23"/>
  <c r="AV43" i="23"/>
  <c r="AU55" i="23"/>
  <c r="BF55" i="23"/>
  <c r="Q55" i="23" s="1"/>
  <c r="AS55" i="23"/>
  <c r="F55" i="23"/>
  <c r="AA55" i="23"/>
  <c r="V55" i="23" s="1"/>
  <c r="AV55" i="23"/>
  <c r="G56" i="23"/>
  <c r="V56" i="23"/>
  <c r="AT56" i="23"/>
  <c r="BF97" i="23"/>
  <c r="AT97" i="23"/>
  <c r="X97" i="23"/>
  <c r="BE97" i="23"/>
  <c r="AS97" i="23"/>
  <c r="AA97" i="23"/>
  <c r="G97" i="23"/>
  <c r="AV97" i="23"/>
  <c r="Z97" i="23"/>
  <c r="AR97" i="23"/>
  <c r="V97" i="23"/>
  <c r="F97" i="23"/>
  <c r="AU103" i="23"/>
  <c r="BF103" i="23"/>
  <c r="AT103" i="23"/>
  <c r="X103" i="23"/>
  <c r="BE103" i="23"/>
  <c r="AA103" i="23"/>
  <c r="AV103" i="23"/>
  <c r="Z103" i="23"/>
  <c r="AR103" i="23"/>
  <c r="G103" i="23"/>
  <c r="V103" i="23"/>
  <c r="AS103" i="23"/>
  <c r="F103" i="23"/>
  <c r="AU100" i="23"/>
  <c r="BF100" i="23"/>
  <c r="AT100" i="23"/>
  <c r="X100" i="23"/>
  <c r="AV100" i="23"/>
  <c r="Z100" i="23"/>
  <c r="AS100" i="23"/>
  <c r="G100" i="23"/>
  <c r="AA100" i="23"/>
  <c r="V100" i="23"/>
  <c r="F100" i="23"/>
  <c r="F38" i="23"/>
  <c r="V38" i="23"/>
  <c r="AR38" i="23"/>
  <c r="F42" i="23"/>
  <c r="V42" i="23"/>
  <c r="AR42" i="23"/>
  <c r="AU54" i="23"/>
  <c r="F54" i="23"/>
  <c r="AA54" i="23"/>
  <c r="W54" i="23" s="1"/>
  <c r="AT54" i="23"/>
  <c r="AU107" i="23"/>
  <c r="BF107" i="23"/>
  <c r="AT107" i="23"/>
  <c r="X107" i="23"/>
  <c r="BE107" i="23"/>
  <c r="AA107" i="23"/>
  <c r="AV107" i="23"/>
  <c r="Z107" i="23"/>
  <c r="AR107" i="23"/>
  <c r="G107" i="23"/>
  <c r="V107" i="23"/>
  <c r="F107" i="23"/>
  <c r="AU57" i="23"/>
  <c r="AU59" i="23"/>
  <c r="AU60" i="23"/>
  <c r="AU61" i="23"/>
  <c r="AU62" i="23"/>
  <c r="AU63" i="23"/>
  <c r="AU64" i="23"/>
  <c r="AU65" i="23"/>
  <c r="AU66" i="23"/>
  <c r="AU67" i="23"/>
  <c r="AU68" i="23"/>
  <c r="AU69" i="23"/>
  <c r="AU70" i="23"/>
  <c r="AU71" i="23"/>
  <c r="AU72" i="23"/>
  <c r="AU73" i="23"/>
  <c r="AU74" i="23"/>
  <c r="AU75" i="23"/>
  <c r="AU76" i="23"/>
  <c r="X77" i="23"/>
  <c r="BF98" i="23"/>
  <c r="AT98" i="23"/>
  <c r="X98" i="23"/>
  <c r="BE98" i="23"/>
  <c r="AS98" i="23"/>
  <c r="AA98" i="23"/>
  <c r="G98" i="23"/>
  <c r="AV98" i="23"/>
  <c r="Z98" i="23"/>
  <c r="F98" i="23"/>
  <c r="V98" i="23"/>
  <c r="F57" i="23"/>
  <c r="V57" i="23"/>
  <c r="AR57" i="23"/>
  <c r="F58" i="23"/>
  <c r="V58" i="23"/>
  <c r="AR58" i="23"/>
  <c r="F59" i="23"/>
  <c r="V59" i="23"/>
  <c r="AR59" i="23"/>
  <c r="F60" i="23"/>
  <c r="AR60" i="23"/>
  <c r="F61" i="23"/>
  <c r="V61" i="23"/>
  <c r="AR61" i="23"/>
  <c r="F62" i="23"/>
  <c r="AR62" i="23"/>
  <c r="F63" i="23"/>
  <c r="V63" i="23"/>
  <c r="AR63" i="23"/>
  <c r="F64" i="23"/>
  <c r="AR64" i="23"/>
  <c r="F65" i="23"/>
  <c r="V65" i="23"/>
  <c r="AR65" i="23"/>
  <c r="F66" i="23"/>
  <c r="AR66" i="23"/>
  <c r="F67" i="23"/>
  <c r="V67" i="23"/>
  <c r="AR67" i="23"/>
  <c r="F68" i="23"/>
  <c r="AR68" i="23"/>
  <c r="F69" i="23"/>
  <c r="V69" i="23"/>
  <c r="AR69" i="23"/>
  <c r="F70" i="23"/>
  <c r="AR70" i="23"/>
  <c r="F71" i="23"/>
  <c r="V71" i="23"/>
  <c r="AR71" i="23"/>
  <c r="F72" i="23"/>
  <c r="AR72" i="23"/>
  <c r="F73" i="23"/>
  <c r="V73" i="23"/>
  <c r="Z73" i="23"/>
  <c r="AR73" i="23"/>
  <c r="F74" i="23"/>
  <c r="V74" i="23"/>
  <c r="AR74" i="23"/>
  <c r="F75" i="23"/>
  <c r="V75" i="23"/>
  <c r="AR75" i="23"/>
  <c r="F76" i="23"/>
  <c r="AR76" i="23"/>
  <c r="AV77" i="23"/>
  <c r="AR77" i="23"/>
  <c r="V77" i="23"/>
  <c r="F77" i="23"/>
  <c r="AS77" i="23"/>
  <c r="BF77" i="23"/>
  <c r="O77" i="23" s="1"/>
  <c r="BF99" i="23"/>
  <c r="AT99" i="23"/>
  <c r="X99" i="23"/>
  <c r="BE99" i="23"/>
  <c r="AS99" i="23"/>
  <c r="AA99" i="23"/>
  <c r="G99" i="23"/>
  <c r="AV99" i="23"/>
  <c r="Z99" i="23"/>
  <c r="F99" i="23"/>
  <c r="V99" i="23"/>
  <c r="AU104" i="23"/>
  <c r="BF104" i="23"/>
  <c r="AT104" i="23"/>
  <c r="X104" i="23"/>
  <c r="AV104" i="23"/>
  <c r="Z104" i="23"/>
  <c r="AS104" i="23"/>
  <c r="G104" i="23"/>
  <c r="F104" i="23"/>
  <c r="V104" i="23"/>
  <c r="AU108" i="23"/>
  <c r="BF108" i="23"/>
  <c r="AT108" i="23"/>
  <c r="X108" i="23"/>
  <c r="AV108" i="23"/>
  <c r="Z108" i="23"/>
  <c r="AS108" i="23"/>
  <c r="G108" i="23"/>
  <c r="F108" i="23"/>
  <c r="V108" i="23"/>
  <c r="F78" i="23"/>
  <c r="V78" i="23"/>
  <c r="AR78" i="23"/>
  <c r="F79" i="23"/>
  <c r="V79" i="23"/>
  <c r="AR79" i="23"/>
  <c r="F80" i="23"/>
  <c r="V80" i="23"/>
  <c r="AR80" i="23"/>
  <c r="F81" i="23"/>
  <c r="AR81" i="23"/>
  <c r="F82" i="23"/>
  <c r="V82" i="23"/>
  <c r="AR82" i="23"/>
  <c r="F83" i="23"/>
  <c r="V83" i="23"/>
  <c r="AR83" i="23"/>
  <c r="F84" i="23"/>
  <c r="V84" i="23"/>
  <c r="AR84" i="23"/>
  <c r="F85" i="23"/>
  <c r="V85" i="23"/>
  <c r="AR85" i="23"/>
  <c r="F86" i="23"/>
  <c r="V86" i="23"/>
  <c r="AR86" i="23"/>
  <c r="F87" i="23"/>
  <c r="V87" i="23"/>
  <c r="AR87" i="23"/>
  <c r="F88" i="23"/>
  <c r="V88" i="23"/>
  <c r="AR88" i="23"/>
  <c r="F89" i="23"/>
  <c r="AR89" i="23"/>
  <c r="F90" i="23"/>
  <c r="V90" i="23"/>
  <c r="AR90" i="23"/>
  <c r="F91" i="23"/>
  <c r="V91" i="23"/>
  <c r="AR91" i="23"/>
  <c r="F92" i="23"/>
  <c r="V92" i="23"/>
  <c r="AR92" i="23"/>
  <c r="F93" i="23"/>
  <c r="V93" i="23"/>
  <c r="AR93" i="23"/>
  <c r="F94" i="23"/>
  <c r="V94" i="23"/>
  <c r="Z94" i="23"/>
  <c r="AR94" i="23"/>
  <c r="BF95" i="23"/>
  <c r="AT95" i="23"/>
  <c r="X95" i="23"/>
  <c r="F95" i="23"/>
  <c r="Z95" i="23"/>
  <c r="AS95" i="23"/>
  <c r="AA104" i="23"/>
  <c r="AA108" i="23"/>
  <c r="AU101" i="23"/>
  <c r="BF101" i="23"/>
  <c r="AT101" i="23"/>
  <c r="X101" i="23"/>
  <c r="F101" i="23"/>
  <c r="V101" i="23"/>
  <c r="AR101" i="23"/>
  <c r="AU105" i="23"/>
  <c r="BF105" i="23"/>
  <c r="AT105" i="23"/>
  <c r="X105" i="23"/>
  <c r="F105" i="23"/>
  <c r="V105" i="23"/>
  <c r="AR105" i="23"/>
  <c r="AU109" i="23"/>
  <c r="BF109" i="23"/>
  <c r="AT109" i="23"/>
  <c r="X109" i="23"/>
  <c r="F109" i="23"/>
  <c r="V109" i="23"/>
  <c r="AR109" i="23"/>
  <c r="G101" i="23"/>
  <c r="AS101" i="23"/>
  <c r="AU102" i="23"/>
  <c r="BF102" i="23"/>
  <c r="AT102" i="23"/>
  <c r="X102" i="23"/>
  <c r="F102" i="23"/>
  <c r="V102" i="23"/>
  <c r="AR102" i="23"/>
  <c r="G105" i="23"/>
  <c r="AS105" i="23"/>
  <c r="AU106" i="23"/>
  <c r="BF106" i="23"/>
  <c r="AT106" i="23"/>
  <c r="X106" i="23"/>
  <c r="F106" i="23"/>
  <c r="V106" i="23"/>
  <c r="AR106" i="23"/>
  <c r="G109" i="23"/>
  <c r="AS109" i="23"/>
  <c r="AU110" i="23"/>
  <c r="BF110" i="23"/>
  <c r="AT110" i="23"/>
  <c r="X110" i="23"/>
  <c r="F110" i="23"/>
  <c r="V110" i="23"/>
  <c r="AR110" i="23"/>
  <c r="AU11" i="22"/>
  <c r="AR11" i="22"/>
  <c r="AV11" i="22"/>
  <c r="V31" i="22" l="1"/>
  <c r="V40" i="22"/>
  <c r="V43" i="22"/>
  <c r="V35" i="22"/>
  <c r="U49" i="23"/>
  <c r="U41" i="23"/>
  <c r="T49" i="22"/>
  <c r="T47" i="22"/>
  <c r="U40" i="23"/>
  <c r="T39" i="22"/>
  <c r="T45" i="22"/>
  <c r="T33" i="23"/>
  <c r="T31" i="22"/>
  <c r="T35" i="23"/>
  <c r="Q31" i="23"/>
  <c r="U51" i="23"/>
  <c r="BE32" i="22"/>
  <c r="O43" i="23"/>
  <c r="G40" i="22"/>
  <c r="V31" i="23"/>
  <c r="T31" i="23"/>
  <c r="T44" i="22"/>
  <c r="V47" i="23"/>
  <c r="G44" i="23"/>
  <c r="P31" i="23"/>
  <c r="U48" i="23"/>
  <c r="U43" i="23"/>
  <c r="I46" i="22"/>
  <c r="Q44" i="22"/>
  <c r="V44" i="22"/>
  <c r="O31" i="22"/>
  <c r="G35" i="23"/>
  <c r="AQ46" i="22"/>
  <c r="I32" i="22"/>
  <c r="P31" i="22"/>
  <c r="U37" i="23"/>
  <c r="AP46" i="22"/>
  <c r="AQ32" i="22"/>
  <c r="M45" i="22"/>
  <c r="AP32" i="22"/>
  <c r="G51" i="23"/>
  <c r="V37" i="22"/>
  <c r="AP35" i="22"/>
  <c r="U46" i="23"/>
  <c r="I31" i="23"/>
  <c r="I34" i="22"/>
  <c r="V39" i="23"/>
  <c r="AQ31" i="23"/>
  <c r="BE31" i="22"/>
  <c r="L45" i="22"/>
  <c r="U33" i="22"/>
  <c r="V34" i="22"/>
  <c r="N51" i="22"/>
  <c r="V33" i="22"/>
  <c r="L42" i="22"/>
  <c r="U36" i="23"/>
  <c r="U44" i="23"/>
  <c r="BE46" i="22"/>
  <c r="O43" i="22"/>
  <c r="V41" i="22"/>
  <c r="L37" i="22"/>
  <c r="I31" i="22"/>
  <c r="G31" i="23"/>
  <c r="T43" i="22"/>
  <c r="U47" i="23"/>
  <c r="AF48" i="26"/>
  <c r="C9" i="26" s="1"/>
  <c r="C25" i="18" s="1"/>
  <c r="J25" i="18" s="1"/>
  <c r="V14" i="22"/>
  <c r="Q20" i="22"/>
  <c r="O16" i="22"/>
  <c r="G24" i="22"/>
  <c r="T12" i="22"/>
  <c r="Q16" i="22"/>
  <c r="U20" i="22"/>
  <c r="AF49" i="26"/>
  <c r="AF53" i="26"/>
  <c r="C13" i="26" s="1"/>
  <c r="W28" i="22"/>
  <c r="L12" i="23"/>
  <c r="T11" i="23"/>
  <c r="U23" i="23"/>
  <c r="Q23" i="22"/>
  <c r="T17" i="23"/>
  <c r="N24" i="22"/>
  <c r="G14" i="22"/>
  <c r="O17" i="22"/>
  <c r="BE21" i="22"/>
  <c r="O18" i="22"/>
  <c r="G21" i="22"/>
  <c r="U15" i="22"/>
  <c r="AP25" i="23"/>
  <c r="BE26" i="23"/>
  <c r="N15" i="22"/>
  <c r="N19" i="23"/>
  <c r="L21" i="23"/>
  <c r="U15" i="23"/>
  <c r="U11" i="22"/>
  <c r="T11" i="22"/>
  <c r="AP13" i="22"/>
  <c r="P13" i="22"/>
  <c r="AP27" i="22"/>
  <c r="G27" i="22"/>
  <c r="O27" i="22"/>
  <c r="I12" i="22"/>
  <c r="P12" i="22"/>
  <c r="O12" i="22"/>
  <c r="BE47" i="23"/>
  <c r="G47" i="23"/>
  <c r="BE41" i="23"/>
  <c r="M26" i="23"/>
  <c r="N26" i="23"/>
  <c r="AP15" i="22"/>
  <c r="G15" i="22"/>
  <c r="U27" i="23"/>
  <c r="O25" i="22"/>
  <c r="W15" i="22"/>
  <c r="V15" i="22"/>
  <c r="W40" i="23"/>
  <c r="V40" i="23"/>
  <c r="BE48" i="23"/>
  <c r="G48" i="23"/>
  <c r="AQ45" i="23"/>
  <c r="G45" i="23"/>
  <c r="AP19" i="23"/>
  <c r="G19" i="23"/>
  <c r="W51" i="23"/>
  <c r="V51" i="23"/>
  <c r="AQ22" i="23"/>
  <c r="Q22" i="23"/>
  <c r="AP22" i="23"/>
  <c r="W89" i="23"/>
  <c r="V89" i="23"/>
  <c r="W81" i="23"/>
  <c r="V81" i="23"/>
  <c r="W76" i="23"/>
  <c r="V76" i="23"/>
  <c r="W72" i="23"/>
  <c r="V72" i="23"/>
  <c r="W70" i="23"/>
  <c r="V70" i="23"/>
  <c r="W68" i="23"/>
  <c r="V68" i="23"/>
  <c r="W66" i="23"/>
  <c r="V66" i="23"/>
  <c r="W64" i="23"/>
  <c r="V64" i="23"/>
  <c r="W62" i="23"/>
  <c r="V62" i="23"/>
  <c r="W60" i="23"/>
  <c r="V60" i="23"/>
  <c r="U70" i="23"/>
  <c r="BE59" i="23"/>
  <c r="U92" i="23"/>
  <c r="G84" i="23"/>
  <c r="BE84" i="23"/>
  <c r="P55" i="22"/>
  <c r="AQ55" i="22"/>
  <c r="T37" i="22"/>
  <c r="P44" i="22"/>
  <c r="G44" i="22"/>
  <c r="AQ68" i="22"/>
  <c r="AQ48" i="22"/>
  <c r="U36" i="22"/>
  <c r="BE57" i="23"/>
  <c r="Q57" i="23"/>
  <c r="U38" i="23"/>
  <c r="I38" i="23"/>
  <c r="AP93" i="22"/>
  <c r="I93" i="22"/>
  <c r="T85" i="22"/>
  <c r="U84" i="22"/>
  <c r="AQ80" i="22"/>
  <c r="W50" i="22"/>
  <c r="P47" i="22"/>
  <c r="I47" i="22"/>
  <c r="W39" i="22"/>
  <c r="U75" i="23"/>
  <c r="U67" i="23"/>
  <c r="V54" i="23"/>
  <c r="V34" i="23"/>
  <c r="V41" i="23"/>
  <c r="G50" i="23"/>
  <c r="M29" i="22"/>
  <c r="N68" i="23"/>
  <c r="L68" i="23"/>
  <c r="O65" i="23"/>
  <c r="P92" i="23"/>
  <c r="AQ92" i="23"/>
  <c r="L66" i="22"/>
  <c r="BE66" i="22"/>
  <c r="Q55" i="22"/>
  <c r="I41" i="22"/>
  <c r="AQ37" i="22"/>
  <c r="V32" i="22"/>
  <c r="V74" i="22"/>
  <c r="O44" i="22"/>
  <c r="G48" i="22"/>
  <c r="AP48" i="22"/>
  <c r="M40" i="22"/>
  <c r="L40" i="22"/>
  <c r="V36" i="22"/>
  <c r="AP36" i="22"/>
  <c r="P88" i="23"/>
  <c r="AP88" i="23"/>
  <c r="T57" i="23"/>
  <c r="I57" i="23"/>
  <c r="Q38" i="23"/>
  <c r="W46" i="22"/>
  <c r="Q91" i="22"/>
  <c r="I91" i="22"/>
  <c r="V88" i="22"/>
  <c r="V84" i="22"/>
  <c r="AQ84" i="22"/>
  <c r="P83" i="22"/>
  <c r="I82" i="22"/>
  <c r="P79" i="22"/>
  <c r="AQ79" i="22"/>
  <c r="V76" i="22"/>
  <c r="T75" i="22"/>
  <c r="V72" i="22"/>
  <c r="V71" i="22"/>
  <c r="T59" i="22"/>
  <c r="I58" i="22"/>
  <c r="AQ57" i="22"/>
  <c r="V56" i="22"/>
  <c r="AQ56" i="22"/>
  <c r="P51" i="22"/>
  <c r="V51" i="22"/>
  <c r="V49" i="22"/>
  <c r="V45" i="22"/>
  <c r="I33" i="22"/>
  <c r="W66" i="22"/>
  <c r="G69" i="22"/>
  <c r="V69" i="22"/>
  <c r="AQ69" i="22"/>
  <c r="BE69" i="22"/>
  <c r="AP47" i="22"/>
  <c r="U59" i="23"/>
  <c r="BE76" i="22"/>
  <c r="Q75" i="22"/>
  <c r="V75" i="22"/>
  <c r="BE75" i="22"/>
  <c r="BE72" i="22"/>
  <c r="Q71" i="22"/>
  <c r="BE71" i="22"/>
  <c r="AQ70" i="22"/>
  <c r="V65" i="22"/>
  <c r="V60" i="22"/>
  <c r="Q59" i="22"/>
  <c r="AQ58" i="22"/>
  <c r="V57" i="22"/>
  <c r="Q51" i="22"/>
  <c r="I45" i="22"/>
  <c r="AQ33" i="22"/>
  <c r="AP69" i="22"/>
  <c r="N47" i="22"/>
  <c r="V47" i="22"/>
  <c r="BE47" i="22"/>
  <c r="AQ42" i="22"/>
  <c r="BE87" i="23"/>
  <c r="I66" i="22"/>
  <c r="AP66" i="22"/>
  <c r="O55" i="22"/>
  <c r="I55" i="22"/>
  <c r="P43" i="22"/>
  <c r="L35" i="22"/>
  <c r="G68" i="22"/>
  <c r="I68" i="22"/>
  <c r="BE44" i="22"/>
  <c r="I44" i="22"/>
  <c r="P80" i="23"/>
  <c r="P57" i="23"/>
  <c r="O66" i="22"/>
  <c r="AQ93" i="22"/>
  <c r="BE93" i="22"/>
  <c r="U87" i="22"/>
  <c r="V83" i="22"/>
  <c r="V80" i="22"/>
  <c r="I80" i="22"/>
  <c r="AQ38" i="22"/>
  <c r="O47" i="22"/>
  <c r="N55" i="23"/>
  <c r="U81" i="23"/>
  <c r="M55" i="22"/>
  <c r="M79" i="22"/>
  <c r="M76" i="22"/>
  <c r="M70" i="22"/>
  <c r="L70" i="22"/>
  <c r="M51" i="22"/>
  <c r="M33" i="22"/>
  <c r="L33" i="22"/>
  <c r="T58" i="23"/>
  <c r="M47" i="22"/>
  <c r="L48" i="22"/>
  <c r="L81" i="22"/>
  <c r="L76" i="22"/>
  <c r="T39" i="23"/>
  <c r="L55" i="22"/>
  <c r="L79" i="22"/>
  <c r="N71" i="22"/>
  <c r="M65" i="22"/>
  <c r="M59" i="22"/>
  <c r="L51" i="22"/>
  <c r="U77" i="23"/>
  <c r="N37" i="22"/>
  <c r="N55" i="22"/>
  <c r="M35" i="22"/>
  <c r="U54" i="23"/>
  <c r="M72" i="22"/>
  <c r="M71" i="22"/>
  <c r="L59" i="22"/>
  <c r="M69" i="22"/>
  <c r="L47" i="22"/>
  <c r="N39" i="22"/>
  <c r="M93" i="22"/>
  <c r="M92" i="22"/>
  <c r="N83" i="22"/>
  <c r="N75" i="22"/>
  <c r="L72" i="22"/>
  <c r="N59" i="22"/>
  <c r="M56" i="22"/>
  <c r="M54" i="22"/>
  <c r="L54" i="22"/>
  <c r="M39" i="22"/>
  <c r="L39" i="22"/>
  <c r="U93" i="23"/>
  <c r="U85" i="23"/>
  <c r="M41" i="22"/>
  <c r="L41" i="22"/>
  <c r="N44" i="22"/>
  <c r="M44" i="22"/>
  <c r="L44" i="22"/>
  <c r="T88" i="23"/>
  <c r="L92" i="22"/>
  <c r="M85" i="22"/>
  <c r="L77" i="22"/>
  <c r="M58" i="23"/>
  <c r="M28" i="23"/>
  <c r="M50" i="23"/>
  <c r="U82" i="23"/>
  <c r="M43" i="22"/>
  <c r="L43" i="22"/>
  <c r="N35" i="22"/>
  <c r="M68" i="22"/>
  <c r="L68" i="22"/>
  <c r="M53" i="22"/>
  <c r="L53" i="22"/>
  <c r="M89" i="22"/>
  <c r="L89" i="22"/>
  <c r="M58" i="22"/>
  <c r="L69" i="22"/>
  <c r="BE76" i="23"/>
  <c r="BE74" i="23"/>
  <c r="P75" i="23"/>
  <c r="G77" i="23"/>
  <c r="G76" i="23"/>
  <c r="AP76" i="23"/>
  <c r="AQ76" i="23"/>
  <c r="G75" i="23"/>
  <c r="Q74" i="23"/>
  <c r="AP90" i="22"/>
  <c r="AP89" i="22"/>
  <c r="AP88" i="22"/>
  <c r="AP87" i="22"/>
  <c r="M78" i="22"/>
  <c r="L78" i="22"/>
  <c r="AP78" i="22"/>
  <c r="I78" i="22"/>
  <c r="AP77" i="22"/>
  <c r="I77" i="22"/>
  <c r="AP74" i="22"/>
  <c r="U82" i="22"/>
  <c r="P89" i="22"/>
  <c r="O84" i="22"/>
  <c r="N78" i="22"/>
  <c r="G75" i="22"/>
  <c r="G83" i="22"/>
  <c r="G91" i="22"/>
  <c r="P74" i="23"/>
  <c r="Q77" i="23"/>
  <c r="I77" i="23"/>
  <c r="I75" i="23"/>
  <c r="G92" i="23"/>
  <c r="BE92" i="23"/>
  <c r="O84" i="23"/>
  <c r="Q84" i="23"/>
  <c r="I84" i="23"/>
  <c r="V90" i="22"/>
  <c r="O80" i="23"/>
  <c r="Q80" i="23"/>
  <c r="I80" i="23"/>
  <c r="W78" i="22"/>
  <c r="T92" i="22"/>
  <c r="I92" i="22"/>
  <c r="M91" i="22"/>
  <c r="M90" i="22"/>
  <c r="BE90" i="22"/>
  <c r="BE89" i="22"/>
  <c r="M88" i="22"/>
  <c r="BE88" i="22"/>
  <c r="N87" i="22"/>
  <c r="BE87" i="22"/>
  <c r="AQ86" i="22"/>
  <c r="BE86" i="22"/>
  <c r="AQ85" i="22"/>
  <c r="BE85" i="22"/>
  <c r="AP84" i="22"/>
  <c r="AP83" i="22"/>
  <c r="M75" i="22"/>
  <c r="I75" i="22"/>
  <c r="M74" i="22"/>
  <c r="L74" i="22"/>
  <c r="BE74" i="22"/>
  <c r="Q78" i="22"/>
  <c r="O89" i="22"/>
  <c r="N84" i="22"/>
  <c r="G77" i="22"/>
  <c r="G85" i="22"/>
  <c r="P77" i="23"/>
  <c r="BE75" i="23"/>
  <c r="O75" i="23"/>
  <c r="AP77" i="23"/>
  <c r="AQ77" i="23"/>
  <c r="BE77" i="23"/>
  <c r="AQ75" i="23"/>
  <c r="T74" i="23"/>
  <c r="AP74" i="23"/>
  <c r="I74" i="23"/>
  <c r="P84" i="23"/>
  <c r="AP84" i="23"/>
  <c r="V86" i="22"/>
  <c r="AP80" i="23"/>
  <c r="AQ80" i="23"/>
  <c r="L93" i="22"/>
  <c r="AQ92" i="22"/>
  <c r="T91" i="22"/>
  <c r="L91" i="22"/>
  <c r="I90" i="22"/>
  <c r="T89" i="22"/>
  <c r="I89" i="22"/>
  <c r="T88" i="22"/>
  <c r="L88" i="22"/>
  <c r="I88" i="22"/>
  <c r="M87" i="22"/>
  <c r="O87" i="22"/>
  <c r="I87" i="22"/>
  <c r="M86" i="22"/>
  <c r="L86" i="22"/>
  <c r="AP86" i="22"/>
  <c r="AP85" i="22"/>
  <c r="M84" i="22"/>
  <c r="L84" i="22"/>
  <c r="BE84" i="22"/>
  <c r="BE83" i="22"/>
  <c r="AP82" i="22"/>
  <c r="AP81" i="22"/>
  <c r="AP80" i="22"/>
  <c r="AP79" i="22"/>
  <c r="L75" i="22"/>
  <c r="I74" i="22"/>
  <c r="Q84" i="22"/>
  <c r="P78" i="22"/>
  <c r="N89" i="22"/>
  <c r="G79" i="22"/>
  <c r="G87" i="22"/>
  <c r="O74" i="23"/>
  <c r="Q76" i="23"/>
  <c r="G74" i="23"/>
  <c r="O92" i="23"/>
  <c r="Q92" i="23"/>
  <c r="O88" i="23"/>
  <c r="Q88" i="23"/>
  <c r="G80" i="23"/>
  <c r="AQ89" i="22"/>
  <c r="P87" i="22"/>
  <c r="L87" i="22"/>
  <c r="I84" i="22"/>
  <c r="M83" i="22"/>
  <c r="O83" i="22"/>
  <c r="M82" i="22"/>
  <c r="M81" i="22"/>
  <c r="BE81" i="22"/>
  <c r="M80" i="22"/>
  <c r="L80" i="22"/>
  <c r="N79" i="22"/>
  <c r="AQ78" i="22"/>
  <c r="BE78" i="22"/>
  <c r="AQ77" i="22"/>
  <c r="Q89" i="22"/>
  <c r="P70" i="23"/>
  <c r="AP70" i="23"/>
  <c r="G70" i="23"/>
  <c r="Q66" i="23"/>
  <c r="AQ66" i="23"/>
  <c r="P66" i="23"/>
  <c r="I64" i="23"/>
  <c r="Q64" i="23"/>
  <c r="G64" i="23"/>
  <c r="P64" i="23"/>
  <c r="AQ62" i="23"/>
  <c r="I62" i="23"/>
  <c r="Q62" i="23"/>
  <c r="AQ60" i="23"/>
  <c r="AP60" i="23"/>
  <c r="I60" i="23"/>
  <c r="Q60" i="23"/>
  <c r="G60" i="23"/>
  <c r="P63" i="23"/>
  <c r="O70" i="23"/>
  <c r="P67" i="23"/>
  <c r="O59" i="23"/>
  <c r="Q72" i="23"/>
  <c r="I72" i="23"/>
  <c r="AP71" i="23"/>
  <c r="Q70" i="23"/>
  <c r="AQ70" i="23"/>
  <c r="G68" i="23"/>
  <c r="G66" i="23"/>
  <c r="I65" i="23"/>
  <c r="AP64" i="23"/>
  <c r="P62" i="23"/>
  <c r="G61" i="23"/>
  <c r="W55" i="23"/>
  <c r="V58" i="22"/>
  <c r="W58" i="22"/>
  <c r="U64" i="22"/>
  <c r="T64" i="22"/>
  <c r="BB61" i="23"/>
  <c r="L61" i="22"/>
  <c r="M61" i="22"/>
  <c r="BB60" i="23"/>
  <c r="L60" i="22"/>
  <c r="M60" i="22"/>
  <c r="AQ60" i="22"/>
  <c r="Q60" i="22"/>
  <c r="I60" i="22"/>
  <c r="G60" i="22"/>
  <c r="P60" i="22"/>
  <c r="BE60" i="22"/>
  <c r="O60" i="22"/>
  <c r="BE53" i="23"/>
  <c r="P53" i="23"/>
  <c r="W53" i="23"/>
  <c r="BE72" i="23"/>
  <c r="BE70" i="23"/>
  <c r="BE68" i="23"/>
  <c r="BE66" i="23"/>
  <c r="BE64" i="23"/>
  <c r="BE62" i="23"/>
  <c r="BE60" i="23"/>
  <c r="BE55" i="23"/>
  <c r="O63" i="23"/>
  <c r="G72" i="23"/>
  <c r="AP72" i="23"/>
  <c r="G71" i="23"/>
  <c r="AP66" i="23"/>
  <c r="I66" i="23"/>
  <c r="Q65" i="23"/>
  <c r="AP65" i="23"/>
  <c r="T64" i="23"/>
  <c r="AP62" i="23"/>
  <c r="T61" i="23"/>
  <c r="G67" i="22"/>
  <c r="AP67" i="22"/>
  <c r="I67" i="22"/>
  <c r="Q67" i="22"/>
  <c r="AQ67" i="22"/>
  <c r="P67" i="22"/>
  <c r="BE67" i="22"/>
  <c r="O67" i="22"/>
  <c r="AP65" i="22"/>
  <c r="I65" i="22"/>
  <c r="P65" i="22"/>
  <c r="G65" i="22"/>
  <c r="AQ65" i="22"/>
  <c r="O65" i="22"/>
  <c r="BE65" i="22"/>
  <c r="U63" i="22"/>
  <c r="T63" i="22"/>
  <c r="O62" i="22"/>
  <c r="P62" i="22"/>
  <c r="Q62" i="22"/>
  <c r="G62" i="22"/>
  <c r="AP62" i="22"/>
  <c r="BE62" i="22"/>
  <c r="AQ62" i="22"/>
  <c r="O61" i="22"/>
  <c r="AP61" i="22"/>
  <c r="P61" i="22"/>
  <c r="BE61" i="22"/>
  <c r="AQ61" i="22"/>
  <c r="Q61" i="22"/>
  <c r="G61" i="22"/>
  <c r="AP55" i="23"/>
  <c r="G55" i="23"/>
  <c r="AQ55" i="23"/>
  <c r="G69" i="23"/>
  <c r="AQ69" i="23"/>
  <c r="AP69" i="23"/>
  <c r="I67" i="23"/>
  <c r="Q67" i="23"/>
  <c r="P65" i="23"/>
  <c r="G65" i="23"/>
  <c r="AQ63" i="23"/>
  <c r="I63" i="23"/>
  <c r="Q63" i="23"/>
  <c r="I61" i="23"/>
  <c r="Q61" i="23"/>
  <c r="P61" i="23"/>
  <c r="AP59" i="23"/>
  <c r="G59" i="23"/>
  <c r="AQ59" i="23"/>
  <c r="Q53" i="23"/>
  <c r="I53" i="23"/>
  <c r="O62" i="23"/>
  <c r="O67" i="23"/>
  <c r="I71" i="23"/>
  <c r="P69" i="23"/>
  <c r="I69" i="23"/>
  <c r="I68" i="23"/>
  <c r="U56" i="23"/>
  <c r="U67" i="22"/>
  <c r="T67" i="22"/>
  <c r="U65" i="22"/>
  <c r="T65" i="22"/>
  <c r="G53" i="23"/>
  <c r="P55" i="23"/>
  <c r="O53" i="23"/>
  <c r="AP53" i="23"/>
  <c r="BE71" i="23"/>
  <c r="BE69" i="23"/>
  <c r="BE67" i="23"/>
  <c r="BE65" i="23"/>
  <c r="BE63" i="23"/>
  <c r="BE61" i="23"/>
  <c r="O55" i="23"/>
  <c r="O71" i="23"/>
  <c r="I70" i="23"/>
  <c r="Q69" i="23"/>
  <c r="Q68" i="23"/>
  <c r="AP68" i="23"/>
  <c r="AQ68" i="23"/>
  <c r="G67" i="23"/>
  <c r="AQ67" i="23"/>
  <c r="AQ64" i="23"/>
  <c r="G63" i="23"/>
  <c r="G62" i="23"/>
  <c r="AQ61" i="23"/>
  <c r="P60" i="23"/>
  <c r="I59" i="23"/>
  <c r="I55" i="23"/>
  <c r="BB67" i="23"/>
  <c r="L67" i="22"/>
  <c r="M67" i="22"/>
  <c r="V63" i="22"/>
  <c r="BB62" i="23"/>
  <c r="N62" i="22"/>
  <c r="L62" i="22"/>
  <c r="M62" i="22"/>
  <c r="I62" i="22"/>
  <c r="V61" i="22"/>
  <c r="I61" i="22"/>
  <c r="G59" i="22"/>
  <c r="AQ59" i="22"/>
  <c r="P59" i="22"/>
  <c r="I59" i="22"/>
  <c r="O59" i="22"/>
  <c r="BE59" i="22"/>
  <c r="AP58" i="23"/>
  <c r="I58" i="23"/>
  <c r="U66" i="22"/>
  <c r="Q68" i="22"/>
  <c r="P68" i="22"/>
  <c r="O68" i="22"/>
  <c r="N68" i="22"/>
  <c r="O56" i="23"/>
  <c r="Q56" i="23"/>
  <c r="I56" i="23"/>
  <c r="AP55" i="22"/>
  <c r="AQ54" i="23"/>
  <c r="G66" i="22"/>
  <c r="AP68" i="22"/>
  <c r="AP57" i="23"/>
  <c r="AQ57" i="23"/>
  <c r="N66" i="22"/>
  <c r="T71" i="22"/>
  <c r="L71" i="22"/>
  <c r="AQ71" i="22"/>
  <c r="L65" i="22"/>
  <c r="I64" i="22"/>
  <c r="M63" i="22"/>
  <c r="O63" i="22"/>
  <c r="I63" i="22"/>
  <c r="AP57" i="22"/>
  <c r="N58" i="23"/>
  <c r="P58" i="23"/>
  <c r="AQ58" i="23"/>
  <c r="G55" i="22"/>
  <c r="G63" i="22"/>
  <c r="G71" i="22"/>
  <c r="AP56" i="23"/>
  <c r="W54" i="22"/>
  <c r="M66" i="22"/>
  <c r="Q66" i="22"/>
  <c r="AQ64" i="22"/>
  <c r="P63" i="22"/>
  <c r="L63" i="22"/>
  <c r="AQ63" i="22"/>
  <c r="M57" i="22"/>
  <c r="L57" i="22"/>
  <c r="G58" i="23"/>
  <c r="BE58" i="23"/>
  <c r="O58" i="23"/>
  <c r="Q57" i="22"/>
  <c r="P57" i="22"/>
  <c r="O57" i="22"/>
  <c r="N57" i="22"/>
  <c r="V37" i="23"/>
  <c r="V33" i="23"/>
  <c r="V32" i="23"/>
  <c r="V48" i="23"/>
  <c r="W48" i="23"/>
  <c r="V44" i="23"/>
  <c r="W44" i="23"/>
  <c r="V50" i="23"/>
  <c r="W50" i="23"/>
  <c r="V46" i="23"/>
  <c r="W46" i="23"/>
  <c r="W35" i="23"/>
  <c r="V35" i="23"/>
  <c r="V43" i="23"/>
  <c r="V36" i="23"/>
  <c r="BE36" i="23"/>
  <c r="AQ36" i="23"/>
  <c r="AP36" i="23"/>
  <c r="I36" i="23"/>
  <c r="Q36" i="23"/>
  <c r="P36" i="23"/>
  <c r="BE44" i="23"/>
  <c r="AQ49" i="23"/>
  <c r="AP49" i="23"/>
  <c r="P49" i="23"/>
  <c r="P45" i="23"/>
  <c r="I45" i="23"/>
  <c r="Q45" i="23"/>
  <c r="O45" i="23"/>
  <c r="I35" i="23"/>
  <c r="Q35" i="23"/>
  <c r="P35" i="23"/>
  <c r="O35" i="23"/>
  <c r="AP35" i="23"/>
  <c r="AQ35" i="23"/>
  <c r="Q49" i="23"/>
  <c r="AP45" i="23"/>
  <c r="I48" i="23"/>
  <c r="Q48" i="23"/>
  <c r="P48" i="23"/>
  <c r="O48" i="23"/>
  <c r="AQ48" i="23"/>
  <c r="AP48" i="23"/>
  <c r="I44" i="23"/>
  <c r="Q44" i="23"/>
  <c r="P44" i="23"/>
  <c r="AQ44" i="23"/>
  <c r="AP44" i="23"/>
  <c r="AP47" i="23"/>
  <c r="P47" i="23"/>
  <c r="AQ47" i="23"/>
  <c r="O47" i="23"/>
  <c r="I47" i="23"/>
  <c r="Q47" i="23"/>
  <c r="I41" i="23"/>
  <c r="Q41" i="23"/>
  <c r="P41" i="23"/>
  <c r="AQ41" i="23"/>
  <c r="AP41" i="23"/>
  <c r="I51" i="23"/>
  <c r="Q51" i="23"/>
  <c r="AP51" i="23"/>
  <c r="P51" i="23"/>
  <c r="AQ51" i="23"/>
  <c r="O51" i="23"/>
  <c r="I50" i="23"/>
  <c r="AP50" i="23"/>
  <c r="Q50" i="23"/>
  <c r="O50" i="23"/>
  <c r="AQ50" i="23"/>
  <c r="P50" i="23"/>
  <c r="P46" i="23"/>
  <c r="AP46" i="23"/>
  <c r="AQ46" i="23"/>
  <c r="I46" i="23"/>
  <c r="Q46" i="23"/>
  <c r="O46" i="23"/>
  <c r="O41" i="23"/>
  <c r="I49" i="23"/>
  <c r="I40" i="23"/>
  <c r="Q40" i="23"/>
  <c r="G40" i="23"/>
  <c r="P40" i="23"/>
  <c r="BE40" i="23"/>
  <c r="AQ40" i="23"/>
  <c r="AP40" i="23"/>
  <c r="O40" i="23"/>
  <c r="V49" i="23"/>
  <c r="W49" i="23"/>
  <c r="W45" i="23"/>
  <c r="V45" i="23"/>
  <c r="O49" i="23"/>
  <c r="U42" i="23"/>
  <c r="U50" i="23"/>
  <c r="AP43" i="23"/>
  <c r="V38" i="22"/>
  <c r="I43" i="22"/>
  <c r="V42" i="22"/>
  <c r="G50" i="22"/>
  <c r="M37" i="23"/>
  <c r="Q37" i="23"/>
  <c r="I37" i="23"/>
  <c r="P50" i="22"/>
  <c r="N40" i="22"/>
  <c r="I51" i="22"/>
  <c r="M49" i="22"/>
  <c r="L49" i="22"/>
  <c r="BE49" i="22"/>
  <c r="AP38" i="22"/>
  <c r="Q36" i="22"/>
  <c r="P41" i="22"/>
  <c r="O46" i="22"/>
  <c r="AP42" i="22"/>
  <c r="Q39" i="22"/>
  <c r="BE39" i="22"/>
  <c r="AP39" i="22"/>
  <c r="O42" i="23"/>
  <c r="AP50" i="22"/>
  <c r="AQ43" i="22"/>
  <c r="M37" i="22"/>
  <c r="AP37" i="22"/>
  <c r="BE37" i="22"/>
  <c r="AQ44" i="22"/>
  <c r="T40" i="22"/>
  <c r="BE40" i="22"/>
  <c r="I40" i="22"/>
  <c r="M36" i="22"/>
  <c r="L36" i="22"/>
  <c r="AQ38" i="23"/>
  <c r="N37" i="23"/>
  <c r="AP37" i="23"/>
  <c r="AQ37" i="23"/>
  <c r="Q50" i="22"/>
  <c r="O40" i="22"/>
  <c r="T51" i="22"/>
  <c r="AQ51" i="22"/>
  <c r="I49" i="22"/>
  <c r="U50" i="22"/>
  <c r="Q41" i="22"/>
  <c r="P46" i="22"/>
  <c r="N36" i="22"/>
  <c r="G33" i="22"/>
  <c r="G41" i="22"/>
  <c r="G49" i="22"/>
  <c r="M42" i="22"/>
  <c r="BE42" i="22"/>
  <c r="AP34" i="22"/>
  <c r="Q43" i="23"/>
  <c r="I43" i="23"/>
  <c r="M50" i="22"/>
  <c r="L50" i="22"/>
  <c r="BE50" i="22"/>
  <c r="Q43" i="22"/>
  <c r="BE43" i="22"/>
  <c r="AP43" i="22"/>
  <c r="AQ41" i="22"/>
  <c r="I35" i="22"/>
  <c r="M32" i="22"/>
  <c r="L32" i="22"/>
  <c r="G46" i="22"/>
  <c r="M48" i="22"/>
  <c r="AQ40" i="22"/>
  <c r="BE36" i="22"/>
  <c r="I36" i="22"/>
  <c r="AP38" i="23"/>
  <c r="O37" i="23"/>
  <c r="U46" i="22"/>
  <c r="P40" i="22"/>
  <c r="N50" i="22"/>
  <c r="BE51" i="22"/>
  <c r="AP51" i="22"/>
  <c r="AQ49" i="22"/>
  <c r="M38" i="22"/>
  <c r="L38" i="22"/>
  <c r="I38" i="22"/>
  <c r="AP33" i="22"/>
  <c r="O36" i="22"/>
  <c r="N41" i="22"/>
  <c r="G35" i="22"/>
  <c r="O39" i="22"/>
  <c r="I39" i="22"/>
  <c r="M34" i="22"/>
  <c r="L34" i="22"/>
  <c r="BE43" i="23"/>
  <c r="I50" i="22"/>
  <c r="AP41" i="22"/>
  <c r="I37" i="22"/>
  <c r="BE48" i="22"/>
  <c r="AP40" i="22"/>
  <c r="AQ36" i="22"/>
  <c r="N46" i="22"/>
  <c r="V18" i="22"/>
  <c r="M16" i="22"/>
  <c r="M17" i="23"/>
  <c r="U25" i="22"/>
  <c r="M13" i="23"/>
  <c r="L15" i="23"/>
  <c r="M14" i="22"/>
  <c r="L14" i="23"/>
  <c r="O15" i="22"/>
  <c r="P29" i="22"/>
  <c r="V29" i="23"/>
  <c r="N28" i="22"/>
  <c r="G18" i="23"/>
  <c r="G26" i="22"/>
  <c r="T23" i="22"/>
  <c r="BE16" i="23"/>
  <c r="L19" i="23"/>
  <c r="M12" i="23"/>
  <c r="L29" i="23"/>
  <c r="M24" i="22"/>
  <c r="N29" i="22"/>
  <c r="Q11" i="22"/>
  <c r="P28" i="23"/>
  <c r="G22" i="23"/>
  <c r="G16" i="22"/>
  <c r="G23" i="22"/>
  <c r="Q18" i="22"/>
  <c r="O29" i="22"/>
  <c r="P26" i="22"/>
  <c r="P17" i="22"/>
  <c r="AQ29" i="22"/>
  <c r="AQ23" i="22"/>
  <c r="I16" i="22"/>
  <c r="L24" i="23"/>
  <c r="N14" i="23"/>
  <c r="P16" i="23"/>
  <c r="T18" i="22"/>
  <c r="T29" i="22"/>
  <c r="L29" i="22"/>
  <c r="V26" i="22"/>
  <c r="Q17" i="22"/>
  <c r="L14" i="22"/>
  <c r="M24" i="23"/>
  <c r="M12" i="22"/>
  <c r="N12" i="22"/>
  <c r="N19" i="22"/>
  <c r="M29" i="23"/>
  <c r="T25" i="23"/>
  <c r="P18" i="23"/>
  <c r="G18" i="22"/>
  <c r="O23" i="22"/>
  <c r="U28" i="22"/>
  <c r="V21" i="22"/>
  <c r="P16" i="22"/>
  <c r="N22" i="22"/>
  <c r="W22" i="22"/>
  <c r="G19" i="22"/>
  <c r="O14" i="22"/>
  <c r="BE23" i="22"/>
  <c r="I17" i="22"/>
  <c r="BE16" i="22"/>
  <c r="BE14" i="22"/>
  <c r="BE20" i="23"/>
  <c r="N21" i="22"/>
  <c r="O20" i="23"/>
  <c r="T17" i="22"/>
  <c r="L11" i="23"/>
  <c r="N27" i="22"/>
  <c r="L13" i="23"/>
  <c r="M30" i="22"/>
  <c r="N22" i="23"/>
  <c r="N17" i="22"/>
  <c r="N30" i="23"/>
  <c r="AP17" i="23"/>
  <c r="U24" i="23"/>
  <c r="N21" i="23"/>
  <c r="T18" i="23"/>
  <c r="L28" i="22"/>
  <c r="P27" i="22"/>
  <c r="P23" i="22"/>
  <c r="P15" i="22"/>
  <c r="U30" i="22"/>
  <c r="T21" i="22"/>
  <c r="O21" i="22"/>
  <c r="G29" i="22"/>
  <c r="Q29" i="22"/>
  <c r="U24" i="22"/>
  <c r="P19" i="22"/>
  <c r="AQ21" i="22"/>
  <c r="I19" i="22"/>
  <c r="AQ17" i="22"/>
  <c r="AQ15" i="22"/>
  <c r="I24" i="22"/>
  <c r="AQ24" i="22"/>
  <c r="L17" i="23"/>
  <c r="L22" i="23"/>
  <c r="O22" i="23"/>
  <c r="G28" i="22"/>
  <c r="Q15" i="22"/>
  <c r="G17" i="22"/>
  <c r="AP21" i="22"/>
  <c r="BE17" i="22"/>
  <c r="BE24" i="22"/>
  <c r="AQ18" i="23"/>
  <c r="BE28" i="22"/>
  <c r="W24" i="23"/>
  <c r="V17" i="23"/>
  <c r="G20" i="23"/>
  <c r="V27" i="23"/>
  <c r="G28" i="23"/>
  <c r="M23" i="23"/>
  <c r="M22" i="22"/>
  <c r="N16" i="22"/>
  <c r="Q18" i="23"/>
  <c r="BE18" i="23"/>
  <c r="AP18" i="23"/>
  <c r="Q19" i="23"/>
  <c r="U19" i="23"/>
  <c r="P25" i="23"/>
  <c r="G30" i="23"/>
  <c r="L12" i="22"/>
  <c r="N30" i="22"/>
  <c r="N14" i="22"/>
  <c r="AQ19" i="22"/>
  <c r="AQ27" i="22"/>
  <c r="BE18" i="22"/>
  <c r="AQ18" i="22"/>
  <c r="AP16" i="22"/>
  <c r="O25" i="23"/>
  <c r="L16" i="23"/>
  <c r="M16" i="23"/>
  <c r="Q30" i="23"/>
  <c r="P20" i="23"/>
  <c r="Q20" i="23"/>
  <c r="V25" i="22"/>
  <c r="L16" i="22"/>
  <c r="W29" i="22"/>
  <c r="L24" i="22"/>
  <c r="BE20" i="22"/>
  <c r="AP18" i="22"/>
  <c r="BE12" i="22"/>
  <c r="AP11" i="22"/>
  <c r="AQ11" i="22"/>
  <c r="Q28" i="23"/>
  <c r="O18" i="23"/>
  <c r="AP16" i="23"/>
  <c r="Q17" i="23"/>
  <c r="O15" i="23"/>
  <c r="G22" i="22"/>
  <c r="O28" i="22"/>
  <c r="W27" i="22"/>
  <c r="P25" i="22"/>
  <c r="V13" i="22"/>
  <c r="AP20" i="23"/>
  <c r="O26" i="22"/>
  <c r="V24" i="22"/>
  <c r="Q22" i="22"/>
  <c r="W19" i="22"/>
  <c r="AQ28" i="23"/>
  <c r="AP29" i="22"/>
  <c r="I29" i="22"/>
  <c r="AQ26" i="22"/>
  <c r="I23" i="22"/>
  <c r="BE19" i="22"/>
  <c r="BE15" i="22"/>
  <c r="AQ13" i="22"/>
  <c r="AQ19" i="23"/>
  <c r="AQ12" i="23"/>
  <c r="AQ24" i="23"/>
  <c r="BE30" i="22"/>
  <c r="AQ30" i="22"/>
  <c r="AP28" i="22"/>
  <c r="AQ28" i="22"/>
  <c r="I27" i="22"/>
  <c r="AQ25" i="22"/>
  <c r="BE22" i="22"/>
  <c r="AQ22" i="22"/>
  <c r="I22" i="23"/>
  <c r="AQ26" i="23"/>
  <c r="AQ20" i="23"/>
  <c r="W22" i="23"/>
  <c r="P23" i="23"/>
  <c r="AP23" i="23"/>
  <c r="I30" i="23"/>
  <c r="I26" i="22"/>
  <c r="I29" i="23"/>
  <c r="AQ27" i="23"/>
  <c r="AQ15" i="23"/>
  <c r="G17" i="23"/>
  <c r="L28" i="23"/>
  <c r="M20" i="23"/>
  <c r="L30" i="23"/>
  <c r="W26" i="23"/>
  <c r="P27" i="23"/>
  <c r="G25" i="23"/>
  <c r="M28" i="22"/>
  <c r="N20" i="22"/>
  <c r="N13" i="22"/>
  <c r="Q26" i="23"/>
  <c r="Q15" i="23"/>
  <c r="AP15" i="23"/>
  <c r="G26" i="23"/>
  <c r="O27" i="23"/>
  <c r="Q28" i="22"/>
  <c r="M25" i="22"/>
  <c r="G13" i="22"/>
  <c r="Q13" i="22"/>
  <c r="I28" i="23"/>
  <c r="I25" i="23"/>
  <c r="AQ25" i="23"/>
  <c r="BE26" i="22"/>
  <c r="I15" i="22"/>
  <c r="BE13" i="22"/>
  <c r="I13" i="22"/>
  <c r="I12" i="23"/>
  <c r="I27" i="23"/>
  <c r="I24" i="23"/>
  <c r="I15" i="23"/>
  <c r="AP30" i="22"/>
  <c r="BE27" i="22"/>
  <c r="I25" i="22"/>
  <c r="BE25" i="22"/>
  <c r="AP22" i="22"/>
  <c r="I22" i="22"/>
  <c r="I20" i="22"/>
  <c r="AP12" i="22"/>
  <c r="AQ12" i="22"/>
  <c r="I16" i="23"/>
  <c r="AQ23" i="23"/>
  <c r="AQ17" i="23"/>
  <c r="G29" i="23"/>
  <c r="L20" i="23"/>
  <c r="M20" i="22"/>
  <c r="Q12" i="23"/>
  <c r="AP27" i="23"/>
  <c r="G25" i="22"/>
  <c r="Q25" i="22"/>
  <c r="O13" i="22"/>
  <c r="M13" i="22"/>
  <c r="V17" i="22"/>
  <c r="I21" i="23"/>
  <c r="I19" i="23"/>
  <c r="AQ14" i="22"/>
  <c r="I17" i="23"/>
  <c r="AP20" i="22"/>
  <c r="AP14" i="22"/>
  <c r="AQ16" i="23"/>
  <c r="I23" i="23"/>
  <c r="AQ11" i="23"/>
  <c r="N11" i="22"/>
  <c r="M11" i="23"/>
  <c r="M11" i="22"/>
  <c r="I11" i="23"/>
  <c r="U22" i="22"/>
  <c r="L22" i="22"/>
  <c r="Q19" i="22"/>
  <c r="T19" i="22"/>
  <c r="O19" i="22"/>
  <c r="L19" i="22"/>
  <c r="L17" i="22"/>
  <c r="V13" i="23"/>
  <c r="G16" i="23"/>
  <c r="BE24" i="23"/>
  <c r="BE12" i="23"/>
  <c r="M27" i="23"/>
  <c r="L25" i="23"/>
  <c r="M25" i="23"/>
  <c r="L26" i="23"/>
  <c r="N25" i="22"/>
  <c r="AP29" i="23"/>
  <c r="O12" i="23"/>
  <c r="O28" i="23"/>
  <c r="N23" i="23"/>
  <c r="U12" i="23"/>
  <c r="W19" i="23"/>
  <c r="Q23" i="23"/>
  <c r="O17" i="23"/>
  <c r="U29" i="23"/>
  <c r="U21" i="23"/>
  <c r="W12" i="23"/>
  <c r="W28" i="23"/>
  <c r="Q16" i="23"/>
  <c r="P29" i="23"/>
  <c r="O26" i="23"/>
  <c r="U30" i="23"/>
  <c r="U26" i="23"/>
  <c r="U22" i="23"/>
  <c r="U20" i="23"/>
  <c r="U13" i="23"/>
  <c r="AP28" i="23"/>
  <c r="W21" i="23"/>
  <c r="Q25" i="23"/>
  <c r="O19" i="23"/>
  <c r="U28" i="23"/>
  <c r="G20" i="22"/>
  <c r="U27" i="22"/>
  <c r="M27" i="22"/>
  <c r="W23" i="22"/>
  <c r="V20" i="22"/>
  <c r="O20" i="22"/>
  <c r="L20" i="22"/>
  <c r="L18" i="22"/>
  <c r="G12" i="22"/>
  <c r="AP24" i="23"/>
  <c r="O30" i="22"/>
  <c r="P30" i="22"/>
  <c r="M21" i="22"/>
  <c r="U16" i="22"/>
  <c r="U13" i="22"/>
  <c r="L13" i="22"/>
  <c r="Q26" i="22"/>
  <c r="L26" i="22"/>
  <c r="P24" i="22"/>
  <c r="O24" i="22"/>
  <c r="O24" i="23"/>
  <c r="Q21" i="23"/>
  <c r="T14" i="23"/>
  <c r="T26" i="22"/>
  <c r="G21" i="23"/>
  <c r="BE19" i="23"/>
  <c r="G12" i="23"/>
  <c r="M15" i="23"/>
  <c r="M18" i="22"/>
  <c r="M26" i="22"/>
  <c r="N18" i="23"/>
  <c r="L18" i="23"/>
  <c r="P19" i="23"/>
  <c r="BE30" i="23"/>
  <c r="AP26" i="23"/>
  <c r="P24" i="23"/>
  <c r="O21" i="23"/>
  <c r="W16" i="23"/>
  <c r="P17" i="23"/>
  <c r="O30" i="23"/>
  <c r="W25" i="23"/>
  <c r="Q29" i="23"/>
  <c r="P26" i="23"/>
  <c r="U16" i="23"/>
  <c r="G30" i="22"/>
  <c r="P28" i="22"/>
  <c r="M23" i="22"/>
  <c r="N18" i="22"/>
  <c r="M15" i="22"/>
  <c r="L15" i="22"/>
  <c r="V30" i="22"/>
  <c r="Q30" i="22"/>
  <c r="L30" i="22"/>
  <c r="P21" i="22"/>
  <c r="L21" i="22"/>
  <c r="W16" i="22"/>
  <c r="P22" i="22"/>
  <c r="M19" i="22"/>
  <c r="M17" i="22"/>
  <c r="Q14" i="22"/>
  <c r="P14" i="22"/>
  <c r="O29" i="23"/>
  <c r="L27" i="23"/>
  <c r="N23" i="22"/>
  <c r="AP21" i="23"/>
  <c r="AP30" i="23"/>
  <c r="P12" i="23"/>
  <c r="BE29" i="23"/>
  <c r="BE21" i="23"/>
  <c r="W20" i="23"/>
  <c r="P21" i="23"/>
  <c r="P30" i="23"/>
  <c r="L27" i="22"/>
  <c r="L25" i="22"/>
  <c r="L23" i="22"/>
  <c r="P20" i="22"/>
  <c r="P18" i="22"/>
  <c r="Q21" i="22"/>
  <c r="N26" i="22"/>
  <c r="Q24" i="22"/>
  <c r="U14" i="22"/>
  <c r="P11" i="23"/>
  <c r="W11" i="23"/>
  <c r="P11" i="22"/>
  <c r="Q11" i="23"/>
  <c r="G11" i="23"/>
  <c r="O11" i="23"/>
  <c r="O11" i="22"/>
  <c r="BE11" i="22"/>
  <c r="V11" i="22"/>
  <c r="BE11" i="23"/>
  <c r="G11" i="22"/>
  <c r="L11" i="22"/>
  <c r="V30" i="23"/>
  <c r="V14" i="23"/>
  <c r="G27" i="23"/>
  <c r="V18" i="23"/>
  <c r="BE23" i="23"/>
  <c r="G24" i="23"/>
  <c r="G15" i="23"/>
  <c r="BE27" i="23"/>
  <c r="G23" i="23"/>
  <c r="V23" i="23"/>
  <c r="V15" i="23"/>
  <c r="BE15" i="23"/>
  <c r="C10" i="26" l="1"/>
  <c r="N62" i="23"/>
  <c r="L62" i="23"/>
  <c r="M62" i="23"/>
  <c r="M67" i="23"/>
  <c r="L67" i="23"/>
  <c r="N67" i="23"/>
  <c r="L61" i="23"/>
  <c r="M61" i="23"/>
  <c r="N61" i="23"/>
  <c r="N60" i="23"/>
  <c r="M60" i="23"/>
  <c r="L60" i="23"/>
  <c r="P42" i="7"/>
  <c r="P43" i="7"/>
  <c r="P44" i="7"/>
  <c r="P45" i="7"/>
  <c r="P46" i="7"/>
  <c r="P47" i="7"/>
  <c r="P48" i="7"/>
  <c r="P49" i="7"/>
  <c r="P50" i="7"/>
  <c r="P51" i="7"/>
  <c r="P52" i="7"/>
  <c r="P53" i="7"/>
  <c r="P54" i="7"/>
  <c r="P55" i="7"/>
  <c r="P56" i="7"/>
  <c r="P57" i="7"/>
  <c r="P58" i="7"/>
  <c r="P59" i="7"/>
  <c r="P60" i="7"/>
  <c r="P61" i="7"/>
  <c r="P62" i="7"/>
  <c r="P63" i="7"/>
  <c r="P64" i="7"/>
  <c r="P65" i="7"/>
  <c r="P66" i="7"/>
  <c r="P67" i="7"/>
  <c r="P68" i="7"/>
  <c r="P69" i="7"/>
  <c r="P70" i="7"/>
  <c r="P71" i="7"/>
  <c r="P72" i="7"/>
  <c r="P73" i="7"/>
  <c r="P74" i="7"/>
  <c r="P75" i="7"/>
  <c r="P76" i="7"/>
  <c r="P77" i="7"/>
  <c r="P78" i="7"/>
  <c r="P79" i="7"/>
  <c r="P80" i="7"/>
  <c r="P81" i="7"/>
  <c r="P82" i="7"/>
  <c r="P83" i="7"/>
  <c r="P84" i="7"/>
  <c r="P85" i="7"/>
  <c r="P86" i="7"/>
  <c r="P87" i="7"/>
  <c r="P88" i="7"/>
  <c r="P89" i="7"/>
  <c r="P90" i="7"/>
  <c r="P91" i="7"/>
  <c r="P92" i="7"/>
  <c r="P93" i="7"/>
  <c r="P94" i="7"/>
  <c r="P95" i="7"/>
  <c r="P96" i="7"/>
  <c r="P97" i="7"/>
  <c r="P98" i="7"/>
  <c r="P99" i="7"/>
  <c r="P100" i="7"/>
  <c r="P101" i="7"/>
  <c r="P102" i="7"/>
  <c r="P103" i="7"/>
  <c r="P104" i="7"/>
  <c r="P105" i="7"/>
  <c r="P106" i="7"/>
  <c r="C33" i="7" s="1"/>
  <c r="P107" i="7"/>
  <c r="P108" i="7"/>
  <c r="P109" i="7"/>
  <c r="P110" i="7"/>
  <c r="P111" i="7"/>
  <c r="P112" i="7"/>
  <c r="P113" i="7"/>
  <c r="P114" i="7"/>
  <c r="P115" i="7"/>
  <c r="P116" i="7"/>
  <c r="P117" i="7"/>
  <c r="P118" i="7"/>
  <c r="P119" i="7"/>
  <c r="P120" i="7"/>
  <c r="P121" i="7"/>
  <c r="P122" i="7"/>
  <c r="P123" i="7"/>
  <c r="P124" i="7"/>
  <c r="P125" i="7"/>
  <c r="P126" i="7"/>
  <c r="P127" i="7"/>
  <c r="P128" i="7"/>
  <c r="P129" i="7"/>
  <c r="P130" i="7"/>
  <c r="P131" i="7"/>
  <c r="P132" i="7"/>
  <c r="P133" i="7"/>
  <c r="P134" i="7"/>
  <c r="P135" i="7"/>
  <c r="P136" i="7"/>
  <c r="P137" i="7"/>
  <c r="P138" i="7"/>
  <c r="P139" i="7"/>
  <c r="P140" i="7"/>
  <c r="P141" i="7"/>
  <c r="P142" i="7"/>
  <c r="P143" i="7"/>
  <c r="P144" i="7"/>
  <c r="P145" i="7"/>
  <c r="P146" i="7"/>
  <c r="P147" i="7"/>
  <c r="P148" i="7"/>
  <c r="P149" i="7"/>
  <c r="P150" i="7"/>
  <c r="P151" i="7"/>
  <c r="P152" i="7"/>
  <c r="P153" i="7"/>
  <c r="P154" i="7"/>
  <c r="P155" i="7"/>
  <c r="P156" i="7"/>
  <c r="P157" i="7"/>
  <c r="P158" i="7"/>
  <c r="P159" i="7"/>
  <c r="P160" i="7"/>
  <c r="P161" i="7"/>
  <c r="P162" i="7"/>
  <c r="P163" i="7"/>
  <c r="P164" i="7"/>
  <c r="P165" i="7"/>
  <c r="P166" i="7"/>
  <c r="P167" i="7"/>
  <c r="P168" i="7"/>
  <c r="P169" i="7"/>
  <c r="P170" i="7"/>
  <c r="P171" i="7"/>
  <c r="P172" i="7"/>
  <c r="P173" i="7"/>
  <c r="P174" i="7"/>
  <c r="P175" i="7"/>
  <c r="P176" i="7"/>
  <c r="P177" i="7"/>
  <c r="P178" i="7"/>
  <c r="P179" i="7"/>
  <c r="P180" i="7"/>
  <c r="P181" i="7"/>
  <c r="P182" i="7"/>
  <c r="P183" i="7"/>
  <c r="P184" i="7"/>
  <c r="P185" i="7"/>
  <c r="P186" i="7"/>
  <c r="P187" i="7"/>
  <c r="P188" i="7"/>
  <c r="P189" i="7"/>
  <c r="P190" i="7"/>
  <c r="P191" i="7"/>
  <c r="P192" i="7"/>
  <c r="P193" i="7"/>
  <c r="P194" i="7"/>
  <c r="P195" i="7"/>
  <c r="P196" i="7"/>
  <c r="P197" i="7"/>
  <c r="P198" i="7"/>
  <c r="P199" i="7"/>
  <c r="P200" i="7"/>
  <c r="P201" i="7"/>
  <c r="P202" i="7"/>
  <c r="P203" i="7"/>
  <c r="P204" i="7"/>
  <c r="P205" i="7"/>
  <c r="P206" i="7"/>
  <c r="P207" i="7"/>
  <c r="P208" i="7"/>
  <c r="P209" i="7"/>
  <c r="P210" i="7"/>
  <c r="P211" i="7"/>
  <c r="P212" i="7"/>
  <c r="P213" i="7"/>
  <c r="P214" i="7"/>
  <c r="P215" i="7"/>
  <c r="P216" i="7"/>
  <c r="P217" i="7"/>
  <c r="P218" i="7"/>
  <c r="P219" i="7"/>
  <c r="P220" i="7"/>
  <c r="P221" i="7"/>
  <c r="P222" i="7"/>
  <c r="P223" i="7"/>
  <c r="P224" i="7"/>
  <c r="P225" i="7"/>
  <c r="P226" i="7"/>
  <c r="P227" i="7"/>
  <c r="P228" i="7"/>
  <c r="P229" i="7"/>
  <c r="P230" i="7"/>
  <c r="P231" i="7"/>
  <c r="P232" i="7"/>
  <c r="P233" i="7"/>
  <c r="P234" i="7"/>
  <c r="P235" i="7"/>
  <c r="P236" i="7"/>
  <c r="P237" i="7"/>
  <c r="P238" i="7"/>
  <c r="P239" i="7"/>
  <c r="P240" i="7"/>
  <c r="P241" i="7"/>
  <c r="P242" i="7"/>
  <c r="P243" i="7"/>
  <c r="P244" i="7"/>
  <c r="P245" i="7"/>
  <c r="P246" i="7"/>
  <c r="P247" i="7"/>
  <c r="P248" i="7"/>
  <c r="P249" i="7"/>
  <c r="P250" i="7"/>
  <c r="P251" i="7"/>
  <c r="P252" i="7"/>
  <c r="P253" i="7"/>
  <c r="P254" i="7"/>
  <c r="P255" i="7"/>
  <c r="P256" i="7"/>
  <c r="P257" i="7"/>
  <c r="P258" i="7"/>
  <c r="P259" i="7"/>
  <c r="P260" i="7"/>
  <c r="P261" i="7"/>
  <c r="P262" i="7"/>
  <c r="P263" i="7"/>
  <c r="P264" i="7"/>
  <c r="P265" i="7"/>
  <c r="P266" i="7"/>
  <c r="P267" i="7"/>
  <c r="P268" i="7"/>
  <c r="P269" i="7"/>
  <c r="P270" i="7"/>
  <c r="P271" i="7"/>
  <c r="P272" i="7"/>
  <c r="P273" i="7"/>
  <c r="P274" i="7"/>
  <c r="P275" i="7"/>
  <c r="P276" i="7"/>
  <c r="P277" i="7"/>
  <c r="P278" i="7"/>
  <c r="P279" i="7"/>
  <c r="P280" i="7"/>
  <c r="P281" i="7"/>
  <c r="P282" i="7"/>
  <c r="P283" i="7"/>
  <c r="P284" i="7"/>
  <c r="P285" i="7"/>
  <c r="P286" i="7"/>
  <c r="P287" i="7"/>
  <c r="P288" i="7"/>
  <c r="P289" i="7"/>
  <c r="P290" i="7"/>
  <c r="P291" i="7"/>
  <c r="P292" i="7"/>
  <c r="P293" i="7"/>
  <c r="P294" i="7"/>
  <c r="P295" i="7"/>
  <c r="P296" i="7"/>
  <c r="P297" i="7"/>
  <c r="P298" i="7"/>
  <c r="P299" i="7"/>
  <c r="P300" i="7"/>
  <c r="P301" i="7"/>
  <c r="P302" i="7"/>
  <c r="P303" i="7"/>
  <c r="P304" i="7"/>
  <c r="P305" i="7"/>
  <c r="P306" i="7"/>
  <c r="P307" i="7"/>
  <c r="P308" i="7"/>
  <c r="P309" i="7"/>
  <c r="P310" i="7"/>
  <c r="P311" i="7"/>
  <c r="P312" i="7"/>
  <c r="P313" i="7"/>
  <c r="P314" i="7"/>
  <c r="P315" i="7"/>
  <c r="P316" i="7"/>
  <c r="P317" i="7"/>
  <c r="P318" i="7"/>
  <c r="P319" i="7"/>
  <c r="P320" i="7"/>
  <c r="P321" i="7"/>
  <c r="P322" i="7"/>
  <c r="P323" i="7"/>
  <c r="P324" i="7"/>
  <c r="P325" i="7"/>
  <c r="P326" i="7"/>
  <c r="P327" i="7"/>
  <c r="P328" i="7"/>
  <c r="P329" i="7"/>
  <c r="P330" i="7"/>
  <c r="P331" i="7"/>
  <c r="P332" i="7"/>
  <c r="P333" i="7"/>
  <c r="P334" i="7"/>
  <c r="P335" i="7"/>
  <c r="P336" i="7"/>
  <c r="P337" i="7"/>
  <c r="P338" i="7"/>
  <c r="P339" i="7"/>
  <c r="P340" i="7"/>
  <c r="P341" i="7"/>
  <c r="P342" i="7"/>
  <c r="P343" i="7"/>
  <c r="P344" i="7"/>
  <c r="P345" i="7"/>
  <c r="P346" i="7"/>
  <c r="P347" i="7"/>
  <c r="P348" i="7"/>
  <c r="P349" i="7"/>
  <c r="P350" i="7"/>
  <c r="P351" i="7"/>
  <c r="P352" i="7"/>
  <c r="P353" i="7"/>
  <c r="P354" i="7"/>
  <c r="P355" i="7"/>
  <c r="P356" i="7"/>
  <c r="P357" i="7"/>
  <c r="P358" i="7"/>
  <c r="P359" i="7"/>
  <c r="P360" i="7"/>
  <c r="P361" i="7"/>
  <c r="P362" i="7"/>
  <c r="P363" i="7"/>
  <c r="P364" i="7"/>
  <c r="P365" i="7"/>
  <c r="P366" i="7"/>
  <c r="P367" i="7"/>
  <c r="P368" i="7"/>
  <c r="P369" i="7"/>
  <c r="P370" i="7"/>
  <c r="P371" i="7"/>
  <c r="P372" i="7"/>
  <c r="P373" i="7"/>
  <c r="P374" i="7"/>
  <c r="P375" i="7"/>
  <c r="P376" i="7"/>
  <c r="P377" i="7"/>
  <c r="P378" i="7"/>
  <c r="P379" i="7"/>
  <c r="P380" i="7"/>
  <c r="P381" i="7"/>
  <c r="P382" i="7"/>
  <c r="P383" i="7"/>
  <c r="P384" i="7"/>
  <c r="P385" i="7"/>
  <c r="P386" i="7"/>
  <c r="P387" i="7"/>
  <c r="P388" i="7"/>
  <c r="P389" i="7"/>
  <c r="P390" i="7"/>
  <c r="P391" i="7"/>
  <c r="P392" i="7"/>
  <c r="P393" i="7"/>
  <c r="P394" i="7"/>
  <c r="P395" i="7"/>
  <c r="P396" i="7"/>
  <c r="P397" i="7"/>
  <c r="P398" i="7"/>
  <c r="P399" i="7"/>
  <c r="P400" i="7"/>
  <c r="P401" i="7"/>
  <c r="P402" i="7"/>
  <c r="P403" i="7"/>
  <c r="P404" i="7"/>
  <c r="P405" i="7"/>
  <c r="P406" i="7"/>
  <c r="P407" i="7"/>
  <c r="P408" i="7"/>
  <c r="P409" i="7"/>
  <c r="P410" i="7"/>
  <c r="P411" i="7"/>
  <c r="P412" i="7"/>
  <c r="P413" i="7"/>
  <c r="P414" i="7"/>
  <c r="P415" i="7"/>
  <c r="P416" i="7"/>
  <c r="P417" i="7"/>
  <c r="P418" i="7"/>
  <c r="P419" i="7"/>
  <c r="P420" i="7"/>
  <c r="P421" i="7"/>
  <c r="P422" i="7"/>
  <c r="P423" i="7"/>
  <c r="P424" i="7"/>
  <c r="P425" i="7"/>
  <c r="P426" i="7"/>
  <c r="P427" i="7"/>
  <c r="P428" i="7"/>
  <c r="P429" i="7"/>
  <c r="P430" i="7"/>
  <c r="P431" i="7"/>
  <c r="P432" i="7"/>
  <c r="P433" i="7"/>
  <c r="P434" i="7"/>
  <c r="P435" i="7"/>
  <c r="P436" i="7"/>
  <c r="P437" i="7"/>
  <c r="P438" i="7"/>
  <c r="P439" i="7"/>
  <c r="P440" i="7"/>
  <c r="P441" i="7"/>
  <c r="P442" i="7"/>
  <c r="P443" i="7"/>
  <c r="P444" i="7"/>
  <c r="P445" i="7"/>
  <c r="P446" i="7"/>
  <c r="P447" i="7"/>
  <c r="P448" i="7"/>
  <c r="P449" i="7"/>
  <c r="P450" i="7"/>
  <c r="P451" i="7"/>
  <c r="P452" i="7"/>
  <c r="P453" i="7"/>
  <c r="P454" i="7"/>
  <c r="P455" i="7"/>
  <c r="P456" i="7"/>
  <c r="P457" i="7"/>
  <c r="P458" i="7"/>
  <c r="P459" i="7"/>
  <c r="P460" i="7"/>
  <c r="P461" i="7"/>
  <c r="P462" i="7"/>
  <c r="P463" i="7"/>
  <c r="P464" i="7"/>
  <c r="P465" i="7"/>
  <c r="P466" i="7"/>
  <c r="P467" i="7"/>
  <c r="P468" i="7"/>
  <c r="P469" i="7"/>
  <c r="P470" i="7"/>
  <c r="P471" i="7"/>
  <c r="P472" i="7"/>
  <c r="P473" i="7"/>
  <c r="P474" i="7"/>
  <c r="P475" i="7"/>
  <c r="P476" i="7"/>
  <c r="P477" i="7"/>
  <c r="P478" i="7"/>
  <c r="P479" i="7"/>
  <c r="P480" i="7"/>
  <c r="P481" i="7"/>
  <c r="P482" i="7"/>
  <c r="P483" i="7"/>
  <c r="P484" i="7"/>
  <c r="P485" i="7"/>
  <c r="P486" i="7"/>
  <c r="P487" i="7"/>
  <c r="P488" i="7"/>
  <c r="P489" i="7"/>
  <c r="P490" i="7"/>
  <c r="P491" i="7"/>
  <c r="P492" i="7"/>
  <c r="P493" i="7"/>
  <c r="P494" i="7"/>
  <c r="P495" i="7"/>
  <c r="P496" i="7"/>
  <c r="P497" i="7"/>
  <c r="P498" i="7"/>
  <c r="P499" i="7"/>
  <c r="P500" i="7"/>
  <c r="P501" i="7"/>
  <c r="P502" i="7"/>
  <c r="P503" i="7"/>
  <c r="P504" i="7"/>
  <c r="P505" i="7"/>
  <c r="P506" i="7"/>
  <c r="P507" i="7"/>
  <c r="P508" i="7"/>
  <c r="P509" i="7"/>
  <c r="P510" i="7"/>
  <c r="P511" i="7"/>
  <c r="P512" i="7"/>
  <c r="P513" i="7"/>
  <c r="P514" i="7"/>
  <c r="P515" i="7"/>
  <c r="P516" i="7"/>
  <c r="P517" i="7"/>
  <c r="P518" i="7"/>
  <c r="P519" i="7"/>
  <c r="P520" i="7"/>
  <c r="P521" i="7"/>
  <c r="P522" i="7"/>
  <c r="P523" i="7"/>
  <c r="P524" i="7"/>
  <c r="P525" i="7"/>
  <c r="P526" i="7"/>
  <c r="P527" i="7"/>
  <c r="P528" i="7"/>
  <c r="P529" i="7"/>
  <c r="P530" i="7"/>
  <c r="P531" i="7"/>
  <c r="P532" i="7"/>
  <c r="P533" i="7"/>
  <c r="P534" i="7"/>
  <c r="P535" i="7"/>
  <c r="P536" i="7"/>
  <c r="P537" i="7"/>
  <c r="P538" i="7"/>
  <c r="P539" i="7"/>
  <c r="P540" i="7"/>
  <c r="P41" i="7"/>
  <c r="C32" i="7" s="1"/>
  <c r="C18" i="7" s="1"/>
  <c r="F71" i="18" s="1"/>
  <c r="I48" i="7"/>
  <c r="I49" i="7"/>
  <c r="I50" i="7"/>
  <c r="I51" i="7"/>
  <c r="I52" i="7"/>
  <c r="I53" i="7"/>
  <c r="I54" i="7"/>
  <c r="I55" i="7"/>
  <c r="I56" i="7"/>
  <c r="I57" i="7"/>
  <c r="I58" i="7"/>
  <c r="I59" i="7"/>
  <c r="I60" i="7"/>
  <c r="I61" i="7"/>
  <c r="I62" i="7"/>
  <c r="I63" i="7"/>
  <c r="I64" i="7"/>
  <c r="I65" i="7"/>
  <c r="I66" i="7"/>
  <c r="I67" i="7"/>
  <c r="I68" i="7"/>
  <c r="I69" i="7"/>
  <c r="I70" i="7"/>
  <c r="I71" i="7"/>
  <c r="I72" i="7"/>
  <c r="I73" i="7"/>
  <c r="I74" i="7"/>
  <c r="I75" i="7"/>
  <c r="I76" i="7"/>
  <c r="I77" i="7"/>
  <c r="I78" i="7"/>
  <c r="I79" i="7"/>
  <c r="I80" i="7"/>
  <c r="I81" i="7"/>
  <c r="I82" i="7"/>
  <c r="I83" i="7"/>
  <c r="I84" i="7"/>
  <c r="I85" i="7"/>
  <c r="I86" i="7"/>
  <c r="I87" i="7"/>
  <c r="I88" i="7"/>
  <c r="I89" i="7"/>
  <c r="I90" i="7"/>
  <c r="I91" i="7"/>
  <c r="I92" i="7"/>
  <c r="I93" i="7"/>
  <c r="I94" i="7"/>
  <c r="I95" i="7"/>
  <c r="I96" i="7"/>
  <c r="I97" i="7"/>
  <c r="I98" i="7"/>
  <c r="I99" i="7"/>
  <c r="I100" i="7"/>
  <c r="I101" i="7"/>
  <c r="I102" i="7"/>
  <c r="I103" i="7"/>
  <c r="I104" i="7"/>
  <c r="I105" i="7"/>
  <c r="I106" i="7"/>
  <c r="I107" i="7"/>
  <c r="I108" i="7"/>
  <c r="I109" i="7"/>
  <c r="I110" i="7"/>
  <c r="I111" i="7"/>
  <c r="I112" i="7"/>
  <c r="I113" i="7"/>
  <c r="I114" i="7"/>
  <c r="I115" i="7"/>
  <c r="I116" i="7"/>
  <c r="I117" i="7"/>
  <c r="I118" i="7"/>
  <c r="I119" i="7"/>
  <c r="I120" i="7"/>
  <c r="I121" i="7"/>
  <c r="I122" i="7"/>
  <c r="I123" i="7"/>
  <c r="I124" i="7"/>
  <c r="I125" i="7"/>
  <c r="I126" i="7"/>
  <c r="I127" i="7"/>
  <c r="I128" i="7"/>
  <c r="I129" i="7"/>
  <c r="I130" i="7"/>
  <c r="I131" i="7"/>
  <c r="I132" i="7"/>
  <c r="I133" i="7"/>
  <c r="I134" i="7"/>
  <c r="I135" i="7"/>
  <c r="I136" i="7"/>
  <c r="I137" i="7"/>
  <c r="I138" i="7"/>
  <c r="I139" i="7"/>
  <c r="I140" i="7"/>
  <c r="I141" i="7"/>
  <c r="I142" i="7"/>
  <c r="I143" i="7"/>
  <c r="I144" i="7"/>
  <c r="I145" i="7"/>
  <c r="I146" i="7"/>
  <c r="I147" i="7"/>
  <c r="I148" i="7"/>
  <c r="I149" i="7"/>
  <c r="I150" i="7"/>
  <c r="I151" i="7"/>
  <c r="I152" i="7"/>
  <c r="I153" i="7"/>
  <c r="I154" i="7"/>
  <c r="I155" i="7"/>
  <c r="I156" i="7"/>
  <c r="I157" i="7"/>
  <c r="I158" i="7"/>
  <c r="I159" i="7"/>
  <c r="I160" i="7"/>
  <c r="I161" i="7"/>
  <c r="I162" i="7"/>
  <c r="I163" i="7"/>
  <c r="I164" i="7"/>
  <c r="I165" i="7"/>
  <c r="I166" i="7"/>
  <c r="I167" i="7"/>
  <c r="I168" i="7"/>
  <c r="I169" i="7"/>
  <c r="I170" i="7"/>
  <c r="I171" i="7"/>
  <c r="I172" i="7"/>
  <c r="I173" i="7"/>
  <c r="I174" i="7"/>
  <c r="I175" i="7"/>
  <c r="I176" i="7"/>
  <c r="I177" i="7"/>
  <c r="I178" i="7"/>
  <c r="I179" i="7"/>
  <c r="I180" i="7"/>
  <c r="I181" i="7"/>
  <c r="I182" i="7"/>
  <c r="I183" i="7"/>
  <c r="I184" i="7"/>
  <c r="I185" i="7"/>
  <c r="I186" i="7"/>
  <c r="I187" i="7"/>
  <c r="I188" i="7"/>
  <c r="I189" i="7"/>
  <c r="I190" i="7"/>
  <c r="I191" i="7"/>
  <c r="I192" i="7"/>
  <c r="I193" i="7"/>
  <c r="I194" i="7"/>
  <c r="I195" i="7"/>
  <c r="I196" i="7"/>
  <c r="I197" i="7"/>
  <c r="I198" i="7"/>
  <c r="I199" i="7"/>
  <c r="I200" i="7"/>
  <c r="I201" i="7"/>
  <c r="I202" i="7"/>
  <c r="I203" i="7"/>
  <c r="I204" i="7"/>
  <c r="I205" i="7"/>
  <c r="I206" i="7"/>
  <c r="I207" i="7"/>
  <c r="I208" i="7"/>
  <c r="I209" i="7"/>
  <c r="I210" i="7"/>
  <c r="I211" i="7"/>
  <c r="I212" i="7"/>
  <c r="I213" i="7"/>
  <c r="I214" i="7"/>
  <c r="I215" i="7"/>
  <c r="I216" i="7"/>
  <c r="I217" i="7"/>
  <c r="I218" i="7"/>
  <c r="I219" i="7"/>
  <c r="I220" i="7"/>
  <c r="I221" i="7"/>
  <c r="I222" i="7"/>
  <c r="I223" i="7"/>
  <c r="I224" i="7"/>
  <c r="I225" i="7"/>
  <c r="I226" i="7"/>
  <c r="I227" i="7"/>
  <c r="I228" i="7"/>
  <c r="I229" i="7"/>
  <c r="I230" i="7"/>
  <c r="I231" i="7"/>
  <c r="I232" i="7"/>
  <c r="I233" i="7"/>
  <c r="I234" i="7"/>
  <c r="I235" i="7"/>
  <c r="I236" i="7"/>
  <c r="I237" i="7"/>
  <c r="I238" i="7"/>
  <c r="I239" i="7"/>
  <c r="I240" i="7"/>
  <c r="I241" i="7"/>
  <c r="I242" i="7"/>
  <c r="I243" i="7"/>
  <c r="I244" i="7"/>
  <c r="I245" i="7"/>
  <c r="I246" i="7"/>
  <c r="I247" i="7"/>
  <c r="I248" i="7"/>
  <c r="I249" i="7"/>
  <c r="I250" i="7"/>
  <c r="I251" i="7"/>
  <c r="I252" i="7"/>
  <c r="I253" i="7"/>
  <c r="I254" i="7"/>
  <c r="I255" i="7"/>
  <c r="I256" i="7"/>
  <c r="I257" i="7"/>
  <c r="I258" i="7"/>
  <c r="I259" i="7"/>
  <c r="I260" i="7"/>
  <c r="I261" i="7"/>
  <c r="I262" i="7"/>
  <c r="I263" i="7"/>
  <c r="I264" i="7"/>
  <c r="I265" i="7"/>
  <c r="I266" i="7"/>
  <c r="I267" i="7"/>
  <c r="I268" i="7"/>
  <c r="I269" i="7"/>
  <c r="I270" i="7"/>
  <c r="I271" i="7"/>
  <c r="I272" i="7"/>
  <c r="I273" i="7"/>
  <c r="I274" i="7"/>
  <c r="I275" i="7"/>
  <c r="I276" i="7"/>
  <c r="I277" i="7"/>
  <c r="I278" i="7"/>
  <c r="I279" i="7"/>
  <c r="I280" i="7"/>
  <c r="I281" i="7"/>
  <c r="I282" i="7"/>
  <c r="I283" i="7"/>
  <c r="I284" i="7"/>
  <c r="I285" i="7"/>
  <c r="I286" i="7"/>
  <c r="I287" i="7"/>
  <c r="I288" i="7"/>
  <c r="I289" i="7"/>
  <c r="I290" i="7"/>
  <c r="I291" i="7"/>
  <c r="I292" i="7"/>
  <c r="I293" i="7"/>
  <c r="I294" i="7"/>
  <c r="I295" i="7"/>
  <c r="I296" i="7"/>
  <c r="I297" i="7"/>
  <c r="I298" i="7"/>
  <c r="I299" i="7"/>
  <c r="I300" i="7"/>
  <c r="I301" i="7"/>
  <c r="I302" i="7"/>
  <c r="I303" i="7"/>
  <c r="I304" i="7"/>
  <c r="I305" i="7"/>
  <c r="I306" i="7"/>
  <c r="I307" i="7"/>
  <c r="I308" i="7"/>
  <c r="I309" i="7"/>
  <c r="I310" i="7"/>
  <c r="I311" i="7"/>
  <c r="I312" i="7"/>
  <c r="I313" i="7"/>
  <c r="I314" i="7"/>
  <c r="I315" i="7"/>
  <c r="I316" i="7"/>
  <c r="I317" i="7"/>
  <c r="I318" i="7"/>
  <c r="I319" i="7"/>
  <c r="I320" i="7"/>
  <c r="I321" i="7"/>
  <c r="I322" i="7"/>
  <c r="I323" i="7"/>
  <c r="I324" i="7"/>
  <c r="I325" i="7"/>
  <c r="I326" i="7"/>
  <c r="I327" i="7"/>
  <c r="I328" i="7"/>
  <c r="I329" i="7"/>
  <c r="I330" i="7"/>
  <c r="I331" i="7"/>
  <c r="I332" i="7"/>
  <c r="I333" i="7"/>
  <c r="I334" i="7"/>
  <c r="I335" i="7"/>
  <c r="I336" i="7"/>
  <c r="I337" i="7"/>
  <c r="I338" i="7"/>
  <c r="I339" i="7"/>
  <c r="I340" i="7"/>
  <c r="I341" i="7"/>
  <c r="I342" i="7"/>
  <c r="I343" i="7"/>
  <c r="I344" i="7"/>
  <c r="I345" i="7"/>
  <c r="I346" i="7"/>
  <c r="I347" i="7"/>
  <c r="I348" i="7"/>
  <c r="I349" i="7"/>
  <c r="I350" i="7"/>
  <c r="I351" i="7"/>
  <c r="I352" i="7"/>
  <c r="I353" i="7"/>
  <c r="I354" i="7"/>
  <c r="I355" i="7"/>
  <c r="I356" i="7"/>
  <c r="I357" i="7"/>
  <c r="I358" i="7"/>
  <c r="I359" i="7"/>
  <c r="I360" i="7"/>
  <c r="I361" i="7"/>
  <c r="I362" i="7"/>
  <c r="I363" i="7"/>
  <c r="I364" i="7"/>
  <c r="I365" i="7"/>
  <c r="I366" i="7"/>
  <c r="I367" i="7"/>
  <c r="I368" i="7"/>
  <c r="I369" i="7"/>
  <c r="I370" i="7"/>
  <c r="I371" i="7"/>
  <c r="I372" i="7"/>
  <c r="I373" i="7"/>
  <c r="I374" i="7"/>
  <c r="I375" i="7"/>
  <c r="I376" i="7"/>
  <c r="I377" i="7"/>
  <c r="I378" i="7"/>
  <c r="I379" i="7"/>
  <c r="I380" i="7"/>
  <c r="I381" i="7"/>
  <c r="I382" i="7"/>
  <c r="I383" i="7"/>
  <c r="I384" i="7"/>
  <c r="I385" i="7"/>
  <c r="I386" i="7"/>
  <c r="I387" i="7"/>
  <c r="I388" i="7"/>
  <c r="I389" i="7"/>
  <c r="I390" i="7"/>
  <c r="I391" i="7"/>
  <c r="I392" i="7"/>
  <c r="I393" i="7"/>
  <c r="I394" i="7"/>
  <c r="I395" i="7"/>
  <c r="I396" i="7"/>
  <c r="I397" i="7"/>
  <c r="I398" i="7"/>
  <c r="I399" i="7"/>
  <c r="I400" i="7"/>
  <c r="I401" i="7"/>
  <c r="I402" i="7"/>
  <c r="I403" i="7"/>
  <c r="I404" i="7"/>
  <c r="I405" i="7"/>
  <c r="I406" i="7"/>
  <c r="I407" i="7"/>
  <c r="I408" i="7"/>
  <c r="I409" i="7"/>
  <c r="I410" i="7"/>
  <c r="I411" i="7"/>
  <c r="I412" i="7"/>
  <c r="I413" i="7"/>
  <c r="I414" i="7"/>
  <c r="I415" i="7"/>
  <c r="I416" i="7"/>
  <c r="I417" i="7"/>
  <c r="I418" i="7"/>
  <c r="I419" i="7"/>
  <c r="I420" i="7"/>
  <c r="I421" i="7"/>
  <c r="I422" i="7"/>
  <c r="I423" i="7"/>
  <c r="I424" i="7"/>
  <c r="I425" i="7"/>
  <c r="I426" i="7"/>
  <c r="I427" i="7"/>
  <c r="I428" i="7"/>
  <c r="I429" i="7"/>
  <c r="I430" i="7"/>
  <c r="I431" i="7"/>
  <c r="I432" i="7"/>
  <c r="I433" i="7"/>
  <c r="I434" i="7"/>
  <c r="I435" i="7"/>
  <c r="I436" i="7"/>
  <c r="I437" i="7"/>
  <c r="I438" i="7"/>
  <c r="I439" i="7"/>
  <c r="I440" i="7"/>
  <c r="I441" i="7"/>
  <c r="I442" i="7"/>
  <c r="I443" i="7"/>
  <c r="I444" i="7"/>
  <c r="I445" i="7"/>
  <c r="I446" i="7"/>
  <c r="I447" i="7"/>
  <c r="I448" i="7"/>
  <c r="I449" i="7"/>
  <c r="I450" i="7"/>
  <c r="I451" i="7"/>
  <c r="I452" i="7"/>
  <c r="I453" i="7"/>
  <c r="I454" i="7"/>
  <c r="I455" i="7"/>
  <c r="I456" i="7"/>
  <c r="I457" i="7"/>
  <c r="I458" i="7"/>
  <c r="I459" i="7"/>
  <c r="I460" i="7"/>
  <c r="I461" i="7"/>
  <c r="I462" i="7"/>
  <c r="I463" i="7"/>
  <c r="I464" i="7"/>
  <c r="I465" i="7"/>
  <c r="I466" i="7"/>
  <c r="I467" i="7"/>
  <c r="I468" i="7"/>
  <c r="I469" i="7"/>
  <c r="I470" i="7"/>
  <c r="I471" i="7"/>
  <c r="I472" i="7"/>
  <c r="I473" i="7"/>
  <c r="I474" i="7"/>
  <c r="I475" i="7"/>
  <c r="I476" i="7"/>
  <c r="I477" i="7"/>
  <c r="I478" i="7"/>
  <c r="I479" i="7"/>
  <c r="I480" i="7"/>
  <c r="I481" i="7"/>
  <c r="I482" i="7"/>
  <c r="I483" i="7"/>
  <c r="I484" i="7"/>
  <c r="I485" i="7"/>
  <c r="I486" i="7"/>
  <c r="I487" i="7"/>
  <c r="I488" i="7"/>
  <c r="I489" i="7"/>
  <c r="I490" i="7"/>
  <c r="I491" i="7"/>
  <c r="I492" i="7"/>
  <c r="I493" i="7"/>
  <c r="I494" i="7"/>
  <c r="I495" i="7"/>
  <c r="I496" i="7"/>
  <c r="I497" i="7"/>
  <c r="I498" i="7"/>
  <c r="I499" i="7"/>
  <c r="I500" i="7"/>
  <c r="I501" i="7"/>
  <c r="I502" i="7"/>
  <c r="I503" i="7"/>
  <c r="I504" i="7"/>
  <c r="I505" i="7"/>
  <c r="I506" i="7"/>
  <c r="I507" i="7"/>
  <c r="I508" i="7"/>
  <c r="I509" i="7"/>
  <c r="I510" i="7"/>
  <c r="I511" i="7"/>
  <c r="I512" i="7"/>
  <c r="I513" i="7"/>
  <c r="I514" i="7"/>
  <c r="I515" i="7"/>
  <c r="I516" i="7"/>
  <c r="I517" i="7"/>
  <c r="I518" i="7"/>
  <c r="I519" i="7"/>
  <c r="I520" i="7"/>
  <c r="I521" i="7"/>
  <c r="I522" i="7"/>
  <c r="I523" i="7"/>
  <c r="I524" i="7"/>
  <c r="I525" i="7"/>
  <c r="I526" i="7"/>
  <c r="I527" i="7"/>
  <c r="I528" i="7"/>
  <c r="I529" i="7"/>
  <c r="I530" i="7"/>
  <c r="I531" i="7"/>
  <c r="I532" i="7"/>
  <c r="I533" i="7"/>
  <c r="I534" i="7"/>
  <c r="I535" i="7"/>
  <c r="I536" i="7"/>
  <c r="I537" i="7"/>
  <c r="I538" i="7"/>
  <c r="I539" i="7"/>
  <c r="I540" i="7"/>
  <c r="AL12" i="14"/>
  <c r="AS12" i="14" s="1"/>
  <c r="AL11" i="14"/>
  <c r="AS11" i="14" s="1"/>
  <c r="D25" i="18" l="1"/>
  <c r="K25" i="18" s="1"/>
  <c r="L25" i="18" s="1"/>
  <c r="C11" i="26"/>
  <c r="U32" i="6"/>
  <c r="R48" i="6"/>
  <c r="R58" i="6" s="1"/>
  <c r="N8" i="26" l="1"/>
  <c r="E25" i="18"/>
  <c r="F82" i="18"/>
  <c r="AL32" i="7"/>
  <c r="AH33" i="7"/>
  <c r="AH34" i="7"/>
  <c r="AH35" i="7"/>
  <c r="AH36" i="7"/>
  <c r="AH37" i="7"/>
  <c r="AH38" i="7"/>
  <c r="AH39" i="7"/>
  <c r="AH40" i="7"/>
  <c r="AH41" i="7"/>
  <c r="AH42" i="7"/>
  <c r="AH43" i="7"/>
  <c r="AH44" i="7"/>
  <c r="AH45" i="7"/>
  <c r="AH46" i="7"/>
  <c r="AH47" i="7"/>
  <c r="AH48" i="7"/>
  <c r="AH49" i="7"/>
  <c r="AH50" i="7"/>
  <c r="AH51" i="7"/>
  <c r="AH52" i="7"/>
  <c r="AH53" i="7"/>
  <c r="AH54" i="7"/>
  <c r="AH55" i="7"/>
  <c r="AH56" i="7"/>
  <c r="AH57" i="7"/>
  <c r="AH58" i="7"/>
  <c r="AH59" i="7"/>
  <c r="AH60" i="7"/>
  <c r="AH61" i="7"/>
  <c r="AH62" i="7"/>
  <c r="AH63" i="7"/>
  <c r="AH64" i="7"/>
  <c r="AH65" i="7"/>
  <c r="AH66" i="7"/>
  <c r="AH67" i="7"/>
  <c r="AH68" i="7"/>
  <c r="AH69" i="7"/>
  <c r="AH70" i="7"/>
  <c r="AH71" i="7"/>
  <c r="AH72" i="7"/>
  <c r="AH73" i="7"/>
  <c r="AH74" i="7"/>
  <c r="AH75" i="7"/>
  <c r="AH76" i="7"/>
  <c r="AH77" i="7"/>
  <c r="AH78" i="7"/>
  <c r="AH79" i="7"/>
  <c r="AH80" i="7"/>
  <c r="AH81" i="7"/>
  <c r="AH82" i="7"/>
  <c r="AH83" i="7"/>
  <c r="AH84" i="7"/>
  <c r="AH85" i="7"/>
  <c r="AH86" i="7"/>
  <c r="AH87" i="7"/>
  <c r="AH88" i="7"/>
  <c r="AH89" i="7"/>
  <c r="AH90" i="7"/>
  <c r="AH91" i="7"/>
  <c r="AH92" i="7"/>
  <c r="AH93" i="7"/>
  <c r="AH94" i="7"/>
  <c r="AH95" i="7"/>
  <c r="AH96" i="7"/>
  <c r="AH97" i="7"/>
  <c r="AH98" i="7"/>
  <c r="AH99" i="7"/>
  <c r="AH100" i="7"/>
  <c r="AH101" i="7"/>
  <c r="AH102" i="7"/>
  <c r="AH103" i="7"/>
  <c r="AH104" i="7"/>
  <c r="AH105" i="7"/>
  <c r="AH106" i="7"/>
  <c r="AH107" i="7"/>
  <c r="AH108" i="7"/>
  <c r="AH109" i="7"/>
  <c r="AH110" i="7"/>
  <c r="AH111" i="7"/>
  <c r="AH112" i="7"/>
  <c r="AH113" i="7"/>
  <c r="AH114" i="7"/>
  <c r="AH115" i="7"/>
  <c r="AH116" i="7"/>
  <c r="AH117" i="7"/>
  <c r="AH118" i="7"/>
  <c r="AH119" i="7"/>
  <c r="AH120" i="7"/>
  <c r="AH121" i="7"/>
  <c r="AH122" i="7"/>
  <c r="AH123" i="7"/>
  <c r="AH124" i="7"/>
  <c r="AH125" i="7"/>
  <c r="AH126" i="7"/>
  <c r="AH127" i="7"/>
  <c r="AH128" i="7"/>
  <c r="AH129" i="7"/>
  <c r="AH130" i="7"/>
  <c r="AH131" i="7"/>
  <c r="AH132" i="7"/>
  <c r="AH133" i="7"/>
  <c r="AH134" i="7"/>
  <c r="AH135" i="7"/>
  <c r="AH136" i="7"/>
  <c r="AH137" i="7"/>
  <c r="AH138" i="7"/>
  <c r="AH139" i="7"/>
  <c r="AH140" i="7"/>
  <c r="AH141" i="7"/>
  <c r="AH142" i="7"/>
  <c r="AH143" i="7"/>
  <c r="AH144" i="7"/>
  <c r="AH145" i="7"/>
  <c r="AH146" i="7"/>
  <c r="AH147" i="7"/>
  <c r="AH148" i="7"/>
  <c r="AH149" i="7"/>
  <c r="AH150" i="7"/>
  <c r="AH151" i="7"/>
  <c r="AH152" i="7"/>
  <c r="AH153" i="7"/>
  <c r="AH154" i="7"/>
  <c r="AH155" i="7"/>
  <c r="AH156" i="7"/>
  <c r="AH157" i="7"/>
  <c r="AH158" i="7"/>
  <c r="AH159" i="7"/>
  <c r="AH160" i="7"/>
  <c r="AH161" i="7"/>
  <c r="AH162" i="7"/>
  <c r="AH163" i="7"/>
  <c r="AH164" i="7"/>
  <c r="AH165" i="7"/>
  <c r="AH166" i="7"/>
  <c r="AH167" i="7"/>
  <c r="AH168" i="7"/>
  <c r="AH169" i="7"/>
  <c r="AH170" i="7"/>
  <c r="AH171" i="7"/>
  <c r="AH172" i="7"/>
  <c r="AH173" i="7"/>
  <c r="AH174" i="7"/>
  <c r="AH175" i="7"/>
  <c r="AH176" i="7"/>
  <c r="AH177" i="7"/>
  <c r="AH178" i="7"/>
  <c r="AH179" i="7"/>
  <c r="AH180" i="7"/>
  <c r="AH181" i="7"/>
  <c r="AH182" i="7"/>
  <c r="AH183" i="7"/>
  <c r="AH184" i="7"/>
  <c r="AH185" i="7"/>
  <c r="AH186" i="7"/>
  <c r="AH187" i="7"/>
  <c r="AH188" i="7"/>
  <c r="AH189" i="7"/>
  <c r="AH190" i="7"/>
  <c r="AH191" i="7"/>
  <c r="AH192" i="7"/>
  <c r="AH193" i="7"/>
  <c r="AH194" i="7"/>
  <c r="AH195" i="7"/>
  <c r="AH196" i="7"/>
  <c r="AH197" i="7"/>
  <c r="AH198" i="7"/>
  <c r="AH199" i="7"/>
  <c r="AH200" i="7"/>
  <c r="AH201" i="7"/>
  <c r="AH202" i="7"/>
  <c r="AH203" i="7"/>
  <c r="AH204" i="7"/>
  <c r="AH205" i="7"/>
  <c r="AH206" i="7"/>
  <c r="AH207" i="7"/>
  <c r="AH208" i="7"/>
  <c r="AH209" i="7"/>
  <c r="AH210" i="7"/>
  <c r="AH211" i="7"/>
  <c r="AH212" i="7"/>
  <c r="AH213" i="7"/>
  <c r="AH214" i="7"/>
  <c r="AH215" i="7"/>
  <c r="AH216" i="7"/>
  <c r="AH217" i="7"/>
  <c r="AH218" i="7"/>
  <c r="AH219" i="7"/>
  <c r="AH220" i="7"/>
  <c r="AH221" i="7"/>
  <c r="AH222" i="7"/>
  <c r="AH223" i="7"/>
  <c r="AH224" i="7"/>
  <c r="AH225" i="7"/>
  <c r="AH226" i="7"/>
  <c r="AH227" i="7"/>
  <c r="AH228" i="7"/>
  <c r="AH229" i="7"/>
  <c r="AH230" i="7"/>
  <c r="AH231" i="7"/>
  <c r="AH232" i="7"/>
  <c r="AH233" i="7"/>
  <c r="AH234" i="7"/>
  <c r="AH235" i="7"/>
  <c r="AH236" i="7"/>
  <c r="AH237" i="7"/>
  <c r="AH238" i="7"/>
  <c r="AH239" i="7"/>
  <c r="AH240" i="7"/>
  <c r="AH241" i="7"/>
  <c r="AH242" i="7"/>
  <c r="AH243" i="7"/>
  <c r="AH244" i="7"/>
  <c r="AH245" i="7"/>
  <c r="AH246" i="7"/>
  <c r="AH247" i="7"/>
  <c r="AH248" i="7"/>
  <c r="AH249" i="7"/>
  <c r="AH250" i="7"/>
  <c r="AH251" i="7"/>
  <c r="AH252" i="7"/>
  <c r="AH253" i="7"/>
  <c r="AH254" i="7"/>
  <c r="AH255" i="7"/>
  <c r="AH256" i="7"/>
  <c r="AH257" i="7"/>
  <c r="AH258" i="7"/>
  <c r="AH259" i="7"/>
  <c r="AH260" i="7"/>
  <c r="AH261" i="7"/>
  <c r="AH262" i="7"/>
  <c r="AH263" i="7"/>
  <c r="AH264" i="7"/>
  <c r="AH265" i="7"/>
  <c r="AH266" i="7"/>
  <c r="AH267" i="7"/>
  <c r="AH268" i="7"/>
  <c r="AH269" i="7"/>
  <c r="AH270" i="7"/>
  <c r="AH271" i="7"/>
  <c r="AH272" i="7"/>
  <c r="AH273" i="7"/>
  <c r="AH274" i="7"/>
  <c r="AH275" i="7"/>
  <c r="AH276" i="7"/>
  <c r="AH277" i="7"/>
  <c r="AH278" i="7"/>
  <c r="AH279" i="7"/>
  <c r="AH280" i="7"/>
  <c r="AH281" i="7"/>
  <c r="AH282" i="7"/>
  <c r="AH283" i="7"/>
  <c r="AH284" i="7"/>
  <c r="AH285" i="7"/>
  <c r="AH286" i="7"/>
  <c r="AH287" i="7"/>
  <c r="AH288" i="7"/>
  <c r="AH289" i="7"/>
  <c r="AH290" i="7"/>
  <c r="AH291" i="7"/>
  <c r="AH292" i="7"/>
  <c r="AH293" i="7"/>
  <c r="AH294" i="7"/>
  <c r="AH295" i="7"/>
  <c r="AH296" i="7"/>
  <c r="AH297" i="7"/>
  <c r="AH298" i="7"/>
  <c r="AH299" i="7"/>
  <c r="AH300" i="7"/>
  <c r="AH301" i="7"/>
  <c r="AH302" i="7"/>
  <c r="AH303" i="7"/>
  <c r="AH304" i="7"/>
  <c r="AH305" i="7"/>
  <c r="AH306" i="7"/>
  <c r="AH307" i="7"/>
  <c r="AH308" i="7"/>
  <c r="AH309" i="7"/>
  <c r="AH310" i="7"/>
  <c r="AH311" i="7"/>
  <c r="AH312" i="7"/>
  <c r="AH313" i="7"/>
  <c r="AH314" i="7"/>
  <c r="AH315" i="7"/>
  <c r="AH316" i="7"/>
  <c r="AH317" i="7"/>
  <c r="AH318" i="7"/>
  <c r="AH319" i="7"/>
  <c r="AH320" i="7"/>
  <c r="AH321" i="7"/>
  <c r="AH322" i="7"/>
  <c r="AH323" i="7"/>
  <c r="AH324" i="7"/>
  <c r="AH325" i="7"/>
  <c r="AH326" i="7"/>
  <c r="AH327" i="7"/>
  <c r="AH328" i="7"/>
  <c r="AH329" i="7"/>
  <c r="AH330" i="7"/>
  <c r="AH331" i="7"/>
  <c r="AH332" i="7"/>
  <c r="AH333" i="7"/>
  <c r="AH334" i="7"/>
  <c r="AH335" i="7"/>
  <c r="AH336" i="7"/>
  <c r="AH337" i="7"/>
  <c r="AH338" i="7"/>
  <c r="AH339" i="7"/>
  <c r="AH340" i="7"/>
  <c r="AH341" i="7"/>
  <c r="AH342" i="7"/>
  <c r="AH343" i="7"/>
  <c r="AH344" i="7"/>
  <c r="AH345" i="7"/>
  <c r="AH346" i="7"/>
  <c r="AH347" i="7"/>
  <c r="AH348" i="7"/>
  <c r="AH349" i="7"/>
  <c r="AH350" i="7"/>
  <c r="AH351" i="7"/>
  <c r="AH352" i="7"/>
  <c r="AH353" i="7"/>
  <c r="AH354" i="7"/>
  <c r="AH355" i="7"/>
  <c r="AH356" i="7"/>
  <c r="AH357" i="7"/>
  <c r="AH358" i="7"/>
  <c r="AH359" i="7"/>
  <c r="AH360" i="7"/>
  <c r="AH361" i="7"/>
  <c r="AH362" i="7"/>
  <c r="AH363" i="7"/>
  <c r="AH364" i="7"/>
  <c r="AH365" i="7"/>
  <c r="AH366" i="7"/>
  <c r="AH367" i="7"/>
  <c r="AH368" i="7"/>
  <c r="AH369" i="7"/>
  <c r="AH370" i="7"/>
  <c r="AH371" i="7"/>
  <c r="AH372" i="7"/>
  <c r="AH373" i="7"/>
  <c r="AH374" i="7"/>
  <c r="AH375" i="7"/>
  <c r="AH376" i="7"/>
  <c r="AH377" i="7"/>
  <c r="AH378" i="7"/>
  <c r="AH379" i="7"/>
  <c r="AH380" i="7"/>
  <c r="AH381" i="7"/>
  <c r="AH382" i="7"/>
  <c r="AH383" i="7"/>
  <c r="AH384" i="7"/>
  <c r="AH385" i="7"/>
  <c r="AH386" i="7"/>
  <c r="AH387" i="7"/>
  <c r="AH388" i="7"/>
  <c r="AH389" i="7"/>
  <c r="AH390" i="7"/>
  <c r="AH391" i="7"/>
  <c r="AH392" i="7"/>
  <c r="AH393" i="7"/>
  <c r="AH394" i="7"/>
  <c r="AH395" i="7"/>
  <c r="AH396" i="7"/>
  <c r="AH397" i="7"/>
  <c r="AH398" i="7"/>
  <c r="AH399" i="7"/>
  <c r="AH400" i="7"/>
  <c r="AH401" i="7"/>
  <c r="AH402" i="7"/>
  <c r="AH403" i="7"/>
  <c r="AH404" i="7"/>
  <c r="AH405" i="7"/>
  <c r="AH406" i="7"/>
  <c r="AH407" i="7"/>
  <c r="AH408" i="7"/>
  <c r="AH409" i="7"/>
  <c r="AH410" i="7"/>
  <c r="AH411" i="7"/>
  <c r="AH412" i="7"/>
  <c r="AH413" i="7"/>
  <c r="AH414" i="7"/>
  <c r="AH415" i="7"/>
  <c r="AH416" i="7"/>
  <c r="AH417" i="7"/>
  <c r="AH418" i="7"/>
  <c r="AH419" i="7"/>
  <c r="AH420" i="7"/>
  <c r="AH421" i="7"/>
  <c r="AH422" i="7"/>
  <c r="AH423" i="7"/>
  <c r="AH424" i="7"/>
  <c r="AH425" i="7"/>
  <c r="AH426" i="7"/>
  <c r="AH427" i="7"/>
  <c r="AH428" i="7"/>
  <c r="AH429" i="7"/>
  <c r="AH430" i="7"/>
  <c r="AH431" i="7"/>
  <c r="AH432" i="7"/>
  <c r="AH433" i="7"/>
  <c r="AH434" i="7"/>
  <c r="AH435" i="7"/>
  <c r="AH436" i="7"/>
  <c r="AH437" i="7"/>
  <c r="AH438" i="7"/>
  <c r="AH439" i="7"/>
  <c r="AH440" i="7"/>
  <c r="AH441" i="7"/>
  <c r="AH442" i="7"/>
  <c r="AH443" i="7"/>
  <c r="AH444" i="7"/>
  <c r="AH445" i="7"/>
  <c r="AH446" i="7"/>
  <c r="AH447" i="7"/>
  <c r="AH448" i="7"/>
  <c r="AH449" i="7"/>
  <c r="AH450" i="7"/>
  <c r="AH451" i="7"/>
  <c r="AH452" i="7"/>
  <c r="AH453" i="7"/>
  <c r="AH454" i="7"/>
  <c r="AH455" i="7"/>
  <c r="AH456" i="7"/>
  <c r="AH457" i="7"/>
  <c r="AH458" i="7"/>
  <c r="AH459" i="7"/>
  <c r="AH460" i="7"/>
  <c r="AH461" i="7"/>
  <c r="AH462" i="7"/>
  <c r="AH463" i="7"/>
  <c r="AH464" i="7"/>
  <c r="AH465" i="7"/>
  <c r="AH466" i="7"/>
  <c r="AH467" i="7"/>
  <c r="AH468" i="7"/>
  <c r="AH469" i="7"/>
  <c r="AH470" i="7"/>
  <c r="AH471" i="7"/>
  <c r="AH472" i="7"/>
  <c r="AH473" i="7"/>
  <c r="AH474" i="7"/>
  <c r="AH475" i="7"/>
  <c r="AH476" i="7"/>
  <c r="AH477" i="7"/>
  <c r="AH478" i="7"/>
  <c r="AH479" i="7"/>
  <c r="AH480" i="7"/>
  <c r="AH481" i="7"/>
  <c r="AH482" i="7"/>
  <c r="AH483" i="7"/>
  <c r="AH484" i="7"/>
  <c r="AH485" i="7"/>
  <c r="AH486" i="7"/>
  <c r="AH487" i="7"/>
  <c r="AH488" i="7"/>
  <c r="AH489" i="7"/>
  <c r="AH490" i="7"/>
  <c r="AH491" i="7"/>
  <c r="AH492" i="7"/>
  <c r="AH493" i="7"/>
  <c r="AH494" i="7"/>
  <c r="AH495" i="7"/>
  <c r="AH496" i="7"/>
  <c r="AH497" i="7"/>
  <c r="AH498" i="7"/>
  <c r="AH499" i="7"/>
  <c r="AH500" i="7"/>
  <c r="AH501" i="7"/>
  <c r="AH502" i="7"/>
  <c r="AH503" i="7"/>
  <c r="AH504" i="7"/>
  <c r="AH505" i="7"/>
  <c r="AH506" i="7"/>
  <c r="AH507" i="7"/>
  <c r="AH508" i="7"/>
  <c r="AH509" i="7"/>
  <c r="AH510" i="7"/>
  <c r="AH511" i="7"/>
  <c r="AH512" i="7"/>
  <c r="AH513" i="7"/>
  <c r="AH514" i="7"/>
  <c r="AH515" i="7"/>
  <c r="AH516" i="7"/>
  <c r="AH517" i="7"/>
  <c r="AH518" i="7"/>
  <c r="AH519" i="7"/>
  <c r="AH520" i="7"/>
  <c r="AH521" i="7"/>
  <c r="AH522" i="7"/>
  <c r="AH523" i="7"/>
  <c r="AH524" i="7"/>
  <c r="AH525" i="7"/>
  <c r="AH526" i="7"/>
  <c r="AH527" i="7"/>
  <c r="AH528" i="7"/>
  <c r="AH529" i="7"/>
  <c r="AH530" i="7"/>
  <c r="AH531" i="7"/>
  <c r="AH32" i="7"/>
  <c r="L41" i="7" l="1"/>
  <c r="J25" i="6"/>
  <c r="J26" i="6"/>
  <c r="J27" i="6"/>
  <c r="J28" i="6"/>
  <c r="J29" i="6"/>
  <c r="J30" i="6"/>
  <c r="J31" i="6"/>
  <c r="J32" i="6"/>
  <c r="J33" i="6"/>
  <c r="J34" i="6"/>
  <c r="J35" i="6"/>
  <c r="J36" i="6"/>
  <c r="J37" i="6"/>
  <c r="J44" i="6"/>
  <c r="J45" i="6"/>
  <c r="J46" i="6"/>
  <c r="J47" i="6"/>
  <c r="J48" i="6"/>
  <c r="J49" i="6"/>
  <c r="J50" i="6"/>
  <c r="J51" i="6"/>
  <c r="J52" i="6"/>
  <c r="J53" i="6"/>
  <c r="J54" i="6"/>
  <c r="J55" i="6"/>
  <c r="J56" i="6"/>
  <c r="J57" i="6"/>
  <c r="J58" i="6"/>
  <c r="J59" i="6"/>
  <c r="J60" i="6"/>
  <c r="J61" i="6"/>
  <c r="J62" i="6"/>
  <c r="J63" i="6"/>
  <c r="J64" i="6"/>
  <c r="J65" i="6"/>
  <c r="J66" i="6"/>
  <c r="J67" i="6"/>
  <c r="J68" i="6"/>
  <c r="J69" i="6"/>
  <c r="J70" i="6"/>
  <c r="J71" i="6"/>
  <c r="J72" i="6"/>
  <c r="J73" i="6"/>
  <c r="J74" i="6"/>
  <c r="J75" i="6"/>
  <c r="J76" i="6"/>
  <c r="J77" i="6"/>
  <c r="J78" i="6"/>
  <c r="J79" i="6"/>
  <c r="J80" i="6"/>
  <c r="J81" i="6"/>
  <c r="J82" i="6"/>
  <c r="J83" i="6"/>
  <c r="J84" i="6"/>
  <c r="J85" i="6"/>
  <c r="J86" i="6"/>
  <c r="J87" i="6"/>
  <c r="J88" i="6"/>
  <c r="J89" i="6"/>
  <c r="J90" i="6"/>
  <c r="J91" i="6"/>
  <c r="J92" i="6"/>
  <c r="J93" i="6"/>
  <c r="J94" i="6"/>
  <c r="J95" i="6"/>
  <c r="J96" i="6"/>
  <c r="J97" i="6"/>
  <c r="J98" i="6"/>
  <c r="J99" i="6"/>
  <c r="J100" i="6"/>
  <c r="J101" i="6"/>
  <c r="J102" i="6"/>
  <c r="J103" i="6"/>
  <c r="J104" i="6"/>
  <c r="J105" i="6"/>
  <c r="J106" i="6"/>
  <c r="J107" i="6"/>
  <c r="J108" i="6"/>
  <c r="J109" i="6"/>
  <c r="J110" i="6"/>
  <c r="J111" i="6"/>
  <c r="J112" i="6"/>
  <c r="J113" i="6"/>
  <c r="J114" i="6"/>
  <c r="J115" i="6"/>
  <c r="J116" i="6"/>
  <c r="J117" i="6"/>
  <c r="J118" i="6"/>
  <c r="J119" i="6"/>
  <c r="J120" i="6"/>
  <c r="J121" i="6"/>
  <c r="J122" i="6"/>
  <c r="J123" i="6"/>
  <c r="F25" i="6"/>
  <c r="F26" i="6"/>
  <c r="F27" i="6"/>
  <c r="F28" i="6"/>
  <c r="F29" i="6"/>
  <c r="F30" i="6"/>
  <c r="F31" i="6"/>
  <c r="F32" i="6"/>
  <c r="F33" i="6"/>
  <c r="F34" i="6"/>
  <c r="F35" i="6"/>
  <c r="F36" i="6"/>
  <c r="F37" i="6"/>
  <c r="F38" i="6"/>
  <c r="F39" i="6"/>
  <c r="H39" i="6" s="1"/>
  <c r="F40" i="6"/>
  <c r="H40" i="6" s="1"/>
  <c r="F41" i="6"/>
  <c r="H41" i="6" s="1"/>
  <c r="F42" i="6"/>
  <c r="H42" i="6" s="1"/>
  <c r="F43" i="6"/>
  <c r="H43" i="6" s="1"/>
  <c r="F44" i="6"/>
  <c r="F45" i="6"/>
  <c r="F46" i="6"/>
  <c r="F47" i="6"/>
  <c r="F48" i="6"/>
  <c r="F49" i="6"/>
  <c r="F50" i="6"/>
  <c r="F51" i="6"/>
  <c r="F52" i="6"/>
  <c r="F53" i="6"/>
  <c r="F54" i="6"/>
  <c r="F55" i="6"/>
  <c r="F56" i="6"/>
  <c r="F57" i="6"/>
  <c r="F58" i="6"/>
  <c r="F59" i="6"/>
  <c r="F60" i="6"/>
  <c r="F61" i="6"/>
  <c r="F62" i="6"/>
  <c r="F63" i="6"/>
  <c r="F64" i="6"/>
  <c r="F65" i="6"/>
  <c r="F66" i="6"/>
  <c r="F67" i="6"/>
  <c r="F68" i="6"/>
  <c r="F69" i="6"/>
  <c r="F70" i="6"/>
  <c r="F71" i="6"/>
  <c r="F72" i="6"/>
  <c r="F73" i="6"/>
  <c r="F74" i="6"/>
  <c r="F75" i="6"/>
  <c r="F76" i="6"/>
  <c r="F77" i="6"/>
  <c r="F78" i="6"/>
  <c r="F79" i="6"/>
  <c r="F80" i="6"/>
  <c r="F81" i="6"/>
  <c r="F82" i="6"/>
  <c r="F83" i="6"/>
  <c r="F84" i="6"/>
  <c r="F85" i="6"/>
  <c r="F86" i="6"/>
  <c r="F87" i="6"/>
  <c r="F88" i="6"/>
  <c r="F89" i="6"/>
  <c r="F90" i="6"/>
  <c r="F91" i="6"/>
  <c r="F92" i="6"/>
  <c r="F93" i="6"/>
  <c r="F94" i="6"/>
  <c r="F95" i="6"/>
  <c r="F96" i="6"/>
  <c r="F97" i="6"/>
  <c r="F98" i="6"/>
  <c r="F99" i="6"/>
  <c r="F100" i="6"/>
  <c r="F101" i="6"/>
  <c r="F102" i="6"/>
  <c r="F103" i="6"/>
  <c r="F104" i="6"/>
  <c r="F105" i="6"/>
  <c r="F106" i="6"/>
  <c r="F107" i="6"/>
  <c r="F108" i="6"/>
  <c r="F109" i="6"/>
  <c r="F110" i="6"/>
  <c r="F111" i="6"/>
  <c r="F112" i="6"/>
  <c r="F113" i="6"/>
  <c r="F114" i="6"/>
  <c r="F115" i="6"/>
  <c r="F116" i="6"/>
  <c r="F117" i="6"/>
  <c r="F118" i="6"/>
  <c r="F119" i="6"/>
  <c r="F120" i="6"/>
  <c r="F121" i="6"/>
  <c r="F122" i="6"/>
  <c r="F123" i="6"/>
  <c r="F24" i="6"/>
  <c r="L482" i="7"/>
  <c r="L483" i="7"/>
  <c r="L484" i="7"/>
  <c r="L485" i="7"/>
  <c r="L486" i="7"/>
  <c r="L487" i="7"/>
  <c r="L488" i="7"/>
  <c r="L489" i="7"/>
  <c r="L490" i="7"/>
  <c r="L491" i="7"/>
  <c r="L492" i="7"/>
  <c r="L493" i="7"/>
  <c r="L494" i="7"/>
  <c r="L495" i="7"/>
  <c r="L496" i="7"/>
  <c r="L497" i="7"/>
  <c r="L498" i="7"/>
  <c r="L499" i="7"/>
  <c r="L500" i="7"/>
  <c r="L501" i="7"/>
  <c r="L502" i="7"/>
  <c r="L503" i="7"/>
  <c r="L504" i="7"/>
  <c r="L505" i="7"/>
  <c r="L506" i="7"/>
  <c r="L507" i="7"/>
  <c r="L508" i="7"/>
  <c r="L509" i="7"/>
  <c r="L510" i="7"/>
  <c r="L511" i="7"/>
  <c r="L512" i="7"/>
  <c r="L513" i="7"/>
  <c r="L514" i="7"/>
  <c r="L515" i="7"/>
  <c r="L516" i="7"/>
  <c r="L517" i="7"/>
  <c r="L518" i="7"/>
  <c r="L519" i="7"/>
  <c r="L520" i="7"/>
  <c r="L521" i="7"/>
  <c r="L522" i="7"/>
  <c r="L523" i="7"/>
  <c r="L524" i="7"/>
  <c r="L525" i="7"/>
  <c r="L526" i="7"/>
  <c r="L527" i="7"/>
  <c r="L528" i="7"/>
  <c r="L529" i="7"/>
  <c r="L530" i="7"/>
  <c r="L531" i="7"/>
  <c r="L532" i="7"/>
  <c r="L533" i="7"/>
  <c r="L534" i="7"/>
  <c r="L535" i="7"/>
  <c r="L536" i="7"/>
  <c r="L537" i="7"/>
  <c r="L538" i="7"/>
  <c r="L539" i="7"/>
  <c r="L540" i="7"/>
  <c r="AE482" i="7"/>
  <c r="AE483" i="7"/>
  <c r="AE484" i="7"/>
  <c r="AE485" i="7"/>
  <c r="AE486" i="7"/>
  <c r="AE487" i="7"/>
  <c r="AE488" i="7"/>
  <c r="AE489" i="7"/>
  <c r="AE490" i="7"/>
  <c r="AE491" i="7"/>
  <c r="AE492" i="7"/>
  <c r="AE493" i="7"/>
  <c r="AE494" i="7"/>
  <c r="AE495" i="7"/>
  <c r="AE496" i="7"/>
  <c r="AE497" i="7"/>
  <c r="AE498" i="7"/>
  <c r="AE499" i="7"/>
  <c r="AE500" i="7"/>
  <c r="AE501" i="7"/>
  <c r="AE502" i="7"/>
  <c r="AE503" i="7"/>
  <c r="AE504" i="7"/>
  <c r="AE505" i="7"/>
  <c r="AE506" i="7"/>
  <c r="AE507" i="7"/>
  <c r="AE508" i="7"/>
  <c r="AE509" i="7"/>
  <c r="AE510" i="7"/>
  <c r="AE511" i="7"/>
  <c r="AE512" i="7"/>
  <c r="AE513" i="7"/>
  <c r="AE514" i="7"/>
  <c r="AE515" i="7"/>
  <c r="AE516" i="7"/>
  <c r="AE517" i="7"/>
  <c r="AE518" i="7"/>
  <c r="AE519" i="7"/>
  <c r="AE520" i="7"/>
  <c r="AE521" i="7"/>
  <c r="AE522" i="7"/>
  <c r="AE523" i="7"/>
  <c r="AE524" i="7"/>
  <c r="AE525" i="7"/>
  <c r="AE526" i="7"/>
  <c r="AE527" i="7"/>
  <c r="AE528" i="7"/>
  <c r="AE529" i="7"/>
  <c r="AE530" i="7"/>
  <c r="AE531" i="7"/>
  <c r="L43" i="7"/>
  <c r="L44" i="7"/>
  <c r="L45" i="7"/>
  <c r="L46" i="7"/>
  <c r="L48" i="7"/>
  <c r="L49" i="7"/>
  <c r="L50" i="7"/>
  <c r="L51" i="7"/>
  <c r="L52" i="7"/>
  <c r="L53" i="7"/>
  <c r="L54" i="7"/>
  <c r="L55" i="7"/>
  <c r="L56" i="7"/>
  <c r="L57" i="7"/>
  <c r="L58" i="7"/>
  <c r="L59" i="7"/>
  <c r="L60" i="7"/>
  <c r="L61" i="7"/>
  <c r="L62" i="7"/>
  <c r="L63" i="7"/>
  <c r="L64" i="7"/>
  <c r="L65" i="7"/>
  <c r="L66" i="7"/>
  <c r="L67" i="7"/>
  <c r="L68" i="7"/>
  <c r="L69" i="7"/>
  <c r="L70" i="7"/>
  <c r="L71" i="7"/>
  <c r="L72" i="7"/>
  <c r="L73" i="7"/>
  <c r="L74" i="7"/>
  <c r="L75" i="7"/>
  <c r="L76" i="7"/>
  <c r="L77" i="7"/>
  <c r="L78" i="7"/>
  <c r="L79" i="7"/>
  <c r="L80" i="7"/>
  <c r="L81" i="7"/>
  <c r="L82" i="7"/>
  <c r="L83" i="7"/>
  <c r="L84" i="7"/>
  <c r="L85" i="7"/>
  <c r="L86" i="7"/>
  <c r="L87" i="7"/>
  <c r="L88" i="7"/>
  <c r="L89" i="7"/>
  <c r="L90" i="7"/>
  <c r="L91" i="7"/>
  <c r="L92" i="7"/>
  <c r="L93" i="7"/>
  <c r="L94" i="7"/>
  <c r="L95" i="7"/>
  <c r="L96" i="7"/>
  <c r="L97" i="7"/>
  <c r="L98" i="7"/>
  <c r="L99" i="7"/>
  <c r="L100" i="7"/>
  <c r="L101" i="7"/>
  <c r="L102" i="7"/>
  <c r="L103" i="7"/>
  <c r="L104" i="7"/>
  <c r="L105" i="7"/>
  <c r="L106" i="7"/>
  <c r="L107" i="7"/>
  <c r="L108" i="7"/>
  <c r="L109" i="7"/>
  <c r="L110" i="7"/>
  <c r="L111" i="7"/>
  <c r="L112" i="7"/>
  <c r="L113" i="7"/>
  <c r="L114" i="7"/>
  <c r="L115" i="7"/>
  <c r="L116" i="7"/>
  <c r="L117" i="7"/>
  <c r="L118" i="7"/>
  <c r="L119" i="7"/>
  <c r="L120" i="7"/>
  <c r="L121" i="7"/>
  <c r="L122" i="7"/>
  <c r="L123" i="7"/>
  <c r="L124" i="7"/>
  <c r="L125" i="7"/>
  <c r="L126" i="7"/>
  <c r="L127" i="7"/>
  <c r="L128" i="7"/>
  <c r="L129" i="7"/>
  <c r="L130" i="7"/>
  <c r="L131" i="7"/>
  <c r="L132" i="7"/>
  <c r="L133" i="7"/>
  <c r="L134" i="7"/>
  <c r="L135" i="7"/>
  <c r="L136" i="7"/>
  <c r="L137" i="7"/>
  <c r="L138" i="7"/>
  <c r="L139" i="7"/>
  <c r="L140" i="7"/>
  <c r="L141" i="7"/>
  <c r="L142" i="7"/>
  <c r="L143" i="7"/>
  <c r="L144" i="7"/>
  <c r="L145" i="7"/>
  <c r="L146" i="7"/>
  <c r="L147" i="7"/>
  <c r="L148" i="7"/>
  <c r="L149" i="7"/>
  <c r="L150" i="7"/>
  <c r="L151" i="7"/>
  <c r="L152" i="7"/>
  <c r="L153" i="7"/>
  <c r="L154" i="7"/>
  <c r="L155" i="7"/>
  <c r="L156" i="7"/>
  <c r="L157" i="7"/>
  <c r="L158" i="7"/>
  <c r="L159" i="7"/>
  <c r="L160" i="7"/>
  <c r="L161" i="7"/>
  <c r="L162" i="7"/>
  <c r="L163" i="7"/>
  <c r="L164" i="7"/>
  <c r="L165" i="7"/>
  <c r="L166" i="7"/>
  <c r="L167" i="7"/>
  <c r="L168" i="7"/>
  <c r="L169" i="7"/>
  <c r="L170" i="7"/>
  <c r="L171" i="7"/>
  <c r="L172" i="7"/>
  <c r="L173" i="7"/>
  <c r="L174" i="7"/>
  <c r="L175" i="7"/>
  <c r="L176" i="7"/>
  <c r="L177" i="7"/>
  <c r="L178" i="7"/>
  <c r="L179" i="7"/>
  <c r="L180" i="7"/>
  <c r="L181" i="7"/>
  <c r="L182" i="7"/>
  <c r="L183" i="7"/>
  <c r="L184" i="7"/>
  <c r="L185" i="7"/>
  <c r="L186" i="7"/>
  <c r="L187" i="7"/>
  <c r="L188" i="7"/>
  <c r="L189" i="7"/>
  <c r="L190" i="7"/>
  <c r="L191" i="7"/>
  <c r="L192" i="7"/>
  <c r="L193" i="7"/>
  <c r="L194" i="7"/>
  <c r="L195" i="7"/>
  <c r="L196" i="7"/>
  <c r="L197" i="7"/>
  <c r="L198" i="7"/>
  <c r="L199" i="7"/>
  <c r="L200" i="7"/>
  <c r="L201" i="7"/>
  <c r="L202" i="7"/>
  <c r="L203" i="7"/>
  <c r="L204" i="7"/>
  <c r="L205" i="7"/>
  <c r="L206" i="7"/>
  <c r="L207" i="7"/>
  <c r="L208" i="7"/>
  <c r="L209" i="7"/>
  <c r="L210" i="7"/>
  <c r="L211" i="7"/>
  <c r="L212" i="7"/>
  <c r="L213" i="7"/>
  <c r="L214" i="7"/>
  <c r="L215" i="7"/>
  <c r="L216" i="7"/>
  <c r="L217" i="7"/>
  <c r="L218" i="7"/>
  <c r="L219" i="7"/>
  <c r="L220" i="7"/>
  <c r="L221" i="7"/>
  <c r="L222" i="7"/>
  <c r="L223" i="7"/>
  <c r="L224" i="7"/>
  <c r="L225" i="7"/>
  <c r="L226" i="7"/>
  <c r="L227" i="7"/>
  <c r="L228" i="7"/>
  <c r="L229" i="7"/>
  <c r="L230" i="7"/>
  <c r="L231" i="7"/>
  <c r="L232" i="7"/>
  <c r="L233" i="7"/>
  <c r="L234" i="7"/>
  <c r="L235" i="7"/>
  <c r="L236" i="7"/>
  <c r="L237" i="7"/>
  <c r="L238" i="7"/>
  <c r="L239" i="7"/>
  <c r="L240" i="7"/>
  <c r="L241" i="7"/>
  <c r="L242" i="7"/>
  <c r="L243" i="7"/>
  <c r="L244" i="7"/>
  <c r="L245" i="7"/>
  <c r="L246" i="7"/>
  <c r="L247" i="7"/>
  <c r="L248" i="7"/>
  <c r="L249" i="7"/>
  <c r="L250" i="7"/>
  <c r="L251" i="7"/>
  <c r="L252" i="7"/>
  <c r="L253" i="7"/>
  <c r="L254" i="7"/>
  <c r="L255" i="7"/>
  <c r="L256" i="7"/>
  <c r="L257" i="7"/>
  <c r="L258" i="7"/>
  <c r="L259" i="7"/>
  <c r="L260" i="7"/>
  <c r="L261" i="7"/>
  <c r="L262" i="7"/>
  <c r="L263" i="7"/>
  <c r="L264" i="7"/>
  <c r="L265" i="7"/>
  <c r="L266" i="7"/>
  <c r="L267" i="7"/>
  <c r="L268" i="7"/>
  <c r="L269" i="7"/>
  <c r="L270" i="7"/>
  <c r="L271" i="7"/>
  <c r="L272" i="7"/>
  <c r="L273" i="7"/>
  <c r="L274" i="7"/>
  <c r="L275" i="7"/>
  <c r="L276" i="7"/>
  <c r="L277" i="7"/>
  <c r="L278" i="7"/>
  <c r="L279" i="7"/>
  <c r="L280" i="7"/>
  <c r="L281" i="7"/>
  <c r="L282" i="7"/>
  <c r="L283" i="7"/>
  <c r="L284" i="7"/>
  <c r="L285" i="7"/>
  <c r="L286" i="7"/>
  <c r="L287" i="7"/>
  <c r="L288" i="7"/>
  <c r="L289" i="7"/>
  <c r="L290" i="7"/>
  <c r="L291" i="7"/>
  <c r="L292" i="7"/>
  <c r="L293" i="7"/>
  <c r="L294" i="7"/>
  <c r="L295" i="7"/>
  <c r="L296" i="7"/>
  <c r="L297" i="7"/>
  <c r="L298" i="7"/>
  <c r="L299" i="7"/>
  <c r="L300" i="7"/>
  <c r="L301" i="7"/>
  <c r="L302" i="7"/>
  <c r="L303" i="7"/>
  <c r="L304" i="7"/>
  <c r="L305" i="7"/>
  <c r="L306" i="7"/>
  <c r="L307" i="7"/>
  <c r="L308" i="7"/>
  <c r="L309" i="7"/>
  <c r="L310" i="7"/>
  <c r="L311" i="7"/>
  <c r="L312" i="7"/>
  <c r="L313" i="7"/>
  <c r="L314" i="7"/>
  <c r="L315" i="7"/>
  <c r="L316" i="7"/>
  <c r="L317" i="7"/>
  <c r="L318" i="7"/>
  <c r="L319" i="7"/>
  <c r="L320" i="7"/>
  <c r="L321" i="7"/>
  <c r="L322" i="7"/>
  <c r="L323" i="7"/>
  <c r="L324" i="7"/>
  <c r="L325" i="7"/>
  <c r="L326" i="7"/>
  <c r="L327" i="7"/>
  <c r="L328" i="7"/>
  <c r="L329" i="7"/>
  <c r="L330" i="7"/>
  <c r="L331" i="7"/>
  <c r="L332" i="7"/>
  <c r="L333" i="7"/>
  <c r="L334" i="7"/>
  <c r="L335" i="7"/>
  <c r="L336" i="7"/>
  <c r="L337" i="7"/>
  <c r="L338" i="7"/>
  <c r="L339" i="7"/>
  <c r="L340" i="7"/>
  <c r="L341" i="7"/>
  <c r="L342" i="7"/>
  <c r="L343" i="7"/>
  <c r="L344" i="7"/>
  <c r="L345" i="7"/>
  <c r="L346" i="7"/>
  <c r="L347" i="7"/>
  <c r="L348" i="7"/>
  <c r="L349" i="7"/>
  <c r="L350" i="7"/>
  <c r="L351" i="7"/>
  <c r="L352" i="7"/>
  <c r="L353" i="7"/>
  <c r="L354" i="7"/>
  <c r="L355" i="7"/>
  <c r="L356" i="7"/>
  <c r="L357" i="7"/>
  <c r="L358" i="7"/>
  <c r="L359" i="7"/>
  <c r="L360" i="7"/>
  <c r="L361" i="7"/>
  <c r="L362" i="7"/>
  <c r="L363" i="7"/>
  <c r="L364" i="7"/>
  <c r="L365" i="7"/>
  <c r="L366" i="7"/>
  <c r="L367" i="7"/>
  <c r="L368" i="7"/>
  <c r="L369" i="7"/>
  <c r="L370" i="7"/>
  <c r="L371" i="7"/>
  <c r="L372" i="7"/>
  <c r="L373" i="7"/>
  <c r="L374" i="7"/>
  <c r="L375" i="7"/>
  <c r="L376" i="7"/>
  <c r="L377" i="7"/>
  <c r="L378" i="7"/>
  <c r="L379" i="7"/>
  <c r="L380" i="7"/>
  <c r="L381" i="7"/>
  <c r="L382" i="7"/>
  <c r="L383" i="7"/>
  <c r="L384" i="7"/>
  <c r="L385" i="7"/>
  <c r="L386" i="7"/>
  <c r="L387" i="7"/>
  <c r="L388" i="7"/>
  <c r="L389" i="7"/>
  <c r="L390" i="7"/>
  <c r="L391" i="7"/>
  <c r="L392" i="7"/>
  <c r="L393" i="7"/>
  <c r="L394" i="7"/>
  <c r="L395" i="7"/>
  <c r="L396" i="7"/>
  <c r="L397" i="7"/>
  <c r="L398" i="7"/>
  <c r="L399" i="7"/>
  <c r="L400" i="7"/>
  <c r="L401" i="7"/>
  <c r="L402" i="7"/>
  <c r="L403" i="7"/>
  <c r="L404" i="7"/>
  <c r="L405" i="7"/>
  <c r="L406" i="7"/>
  <c r="L407" i="7"/>
  <c r="L408" i="7"/>
  <c r="L409" i="7"/>
  <c r="L410" i="7"/>
  <c r="L411" i="7"/>
  <c r="L412" i="7"/>
  <c r="L413" i="7"/>
  <c r="L414" i="7"/>
  <c r="L415" i="7"/>
  <c r="L416" i="7"/>
  <c r="L417" i="7"/>
  <c r="L418" i="7"/>
  <c r="L419" i="7"/>
  <c r="L420" i="7"/>
  <c r="L421" i="7"/>
  <c r="L422" i="7"/>
  <c r="L423" i="7"/>
  <c r="L424" i="7"/>
  <c r="L425" i="7"/>
  <c r="L426" i="7"/>
  <c r="L427" i="7"/>
  <c r="L428" i="7"/>
  <c r="L429" i="7"/>
  <c r="L430" i="7"/>
  <c r="L431" i="7"/>
  <c r="L432" i="7"/>
  <c r="L433" i="7"/>
  <c r="L434" i="7"/>
  <c r="L435" i="7"/>
  <c r="L436" i="7"/>
  <c r="L437" i="7"/>
  <c r="L438" i="7"/>
  <c r="L439" i="7"/>
  <c r="L440" i="7"/>
  <c r="L441" i="7"/>
  <c r="L442" i="7"/>
  <c r="L443" i="7"/>
  <c r="L444" i="7"/>
  <c r="L445" i="7"/>
  <c r="L446" i="7"/>
  <c r="L447" i="7"/>
  <c r="L448" i="7"/>
  <c r="L449" i="7"/>
  <c r="L450" i="7"/>
  <c r="L451" i="7"/>
  <c r="L452" i="7"/>
  <c r="L453" i="7"/>
  <c r="L454" i="7"/>
  <c r="L455" i="7"/>
  <c r="L456" i="7"/>
  <c r="L457" i="7"/>
  <c r="L458" i="7"/>
  <c r="L459" i="7"/>
  <c r="L460" i="7"/>
  <c r="L461" i="7"/>
  <c r="L462" i="7"/>
  <c r="L463" i="7"/>
  <c r="L464" i="7"/>
  <c r="L465" i="7"/>
  <c r="L466" i="7"/>
  <c r="L467" i="7"/>
  <c r="L468" i="7"/>
  <c r="L469" i="7"/>
  <c r="L470" i="7"/>
  <c r="L471" i="7"/>
  <c r="L472" i="7"/>
  <c r="L473" i="7"/>
  <c r="L474" i="7"/>
  <c r="L475" i="7"/>
  <c r="L476" i="7"/>
  <c r="L477" i="7"/>
  <c r="L478" i="7"/>
  <c r="L479" i="7"/>
  <c r="L480" i="7"/>
  <c r="L481" i="7"/>
  <c r="AE38" i="7"/>
  <c r="AE39" i="7"/>
  <c r="AE40" i="7"/>
  <c r="AE41" i="7"/>
  <c r="AE42" i="7"/>
  <c r="AE43" i="7"/>
  <c r="AE44" i="7"/>
  <c r="AE45" i="7"/>
  <c r="AE46" i="7"/>
  <c r="AE47" i="7"/>
  <c r="AE48" i="7"/>
  <c r="AE49" i="7"/>
  <c r="AE50" i="7"/>
  <c r="AE51" i="7"/>
  <c r="AE52" i="7"/>
  <c r="AE53" i="7"/>
  <c r="AE54" i="7"/>
  <c r="AE55" i="7"/>
  <c r="AE56" i="7"/>
  <c r="AE57" i="7"/>
  <c r="AE58" i="7"/>
  <c r="AE59" i="7"/>
  <c r="AE60" i="7"/>
  <c r="AE61" i="7"/>
  <c r="AE62" i="7"/>
  <c r="AE63" i="7"/>
  <c r="AE64" i="7"/>
  <c r="AE65" i="7"/>
  <c r="AE66" i="7"/>
  <c r="AE67" i="7"/>
  <c r="AE68" i="7"/>
  <c r="AE69" i="7"/>
  <c r="AE70" i="7"/>
  <c r="AE71" i="7"/>
  <c r="AE72" i="7"/>
  <c r="AE73" i="7"/>
  <c r="AE74" i="7"/>
  <c r="AE75" i="7"/>
  <c r="AE76" i="7"/>
  <c r="AE77" i="7"/>
  <c r="AE78" i="7"/>
  <c r="AE79" i="7"/>
  <c r="AE80" i="7"/>
  <c r="AE81" i="7"/>
  <c r="AE82" i="7"/>
  <c r="AE83" i="7"/>
  <c r="AE84" i="7"/>
  <c r="AE85" i="7"/>
  <c r="AE86" i="7"/>
  <c r="AE87" i="7"/>
  <c r="AE88" i="7"/>
  <c r="AE89" i="7"/>
  <c r="AE90" i="7"/>
  <c r="AE91" i="7"/>
  <c r="AE92" i="7"/>
  <c r="AE93" i="7"/>
  <c r="AE94" i="7"/>
  <c r="AE95" i="7"/>
  <c r="AE96" i="7"/>
  <c r="AE97" i="7"/>
  <c r="AE98" i="7"/>
  <c r="AE99" i="7"/>
  <c r="AE100" i="7"/>
  <c r="AE101" i="7"/>
  <c r="AE102" i="7"/>
  <c r="AE103" i="7"/>
  <c r="AE104" i="7"/>
  <c r="AE105" i="7"/>
  <c r="AE106" i="7"/>
  <c r="AE107" i="7"/>
  <c r="AE108" i="7"/>
  <c r="AE109" i="7"/>
  <c r="AE110" i="7"/>
  <c r="AE111" i="7"/>
  <c r="AE112" i="7"/>
  <c r="AE113" i="7"/>
  <c r="AE114" i="7"/>
  <c r="AE115" i="7"/>
  <c r="AE116" i="7"/>
  <c r="AE117" i="7"/>
  <c r="AE118" i="7"/>
  <c r="AE119" i="7"/>
  <c r="AE120" i="7"/>
  <c r="AE121" i="7"/>
  <c r="AE122" i="7"/>
  <c r="AE123" i="7"/>
  <c r="AE124" i="7"/>
  <c r="AE125" i="7"/>
  <c r="AE126" i="7"/>
  <c r="AE127" i="7"/>
  <c r="AE128" i="7"/>
  <c r="AE129" i="7"/>
  <c r="AE130" i="7"/>
  <c r="AE131" i="7"/>
  <c r="AE132" i="7"/>
  <c r="AE133" i="7"/>
  <c r="AE134" i="7"/>
  <c r="AE135" i="7"/>
  <c r="AE136" i="7"/>
  <c r="AE137" i="7"/>
  <c r="AE138" i="7"/>
  <c r="AE139" i="7"/>
  <c r="AE140" i="7"/>
  <c r="AE141" i="7"/>
  <c r="AE142" i="7"/>
  <c r="AE143" i="7"/>
  <c r="AE144" i="7"/>
  <c r="AE145" i="7"/>
  <c r="AE146" i="7"/>
  <c r="AE147" i="7"/>
  <c r="AE148" i="7"/>
  <c r="AE149" i="7"/>
  <c r="AE150" i="7"/>
  <c r="AE151" i="7"/>
  <c r="AE152" i="7"/>
  <c r="AE153" i="7"/>
  <c r="AE154" i="7"/>
  <c r="AE155" i="7"/>
  <c r="AE156" i="7"/>
  <c r="AE157" i="7"/>
  <c r="AE158" i="7"/>
  <c r="AE159" i="7"/>
  <c r="AE160" i="7"/>
  <c r="AE161" i="7"/>
  <c r="AE162" i="7"/>
  <c r="AE163" i="7"/>
  <c r="AE164" i="7"/>
  <c r="AE165" i="7"/>
  <c r="AE166" i="7"/>
  <c r="AE167" i="7"/>
  <c r="AE168" i="7"/>
  <c r="AE169" i="7"/>
  <c r="AE170" i="7"/>
  <c r="AE171" i="7"/>
  <c r="AE172" i="7"/>
  <c r="AE173" i="7"/>
  <c r="AE174" i="7"/>
  <c r="AE175" i="7"/>
  <c r="AE176" i="7"/>
  <c r="AE177" i="7"/>
  <c r="AE178" i="7"/>
  <c r="AE179" i="7"/>
  <c r="AE180" i="7"/>
  <c r="AE181" i="7"/>
  <c r="AE182" i="7"/>
  <c r="AE183" i="7"/>
  <c r="AE184" i="7"/>
  <c r="AE185" i="7"/>
  <c r="AE186" i="7"/>
  <c r="AE187" i="7"/>
  <c r="AE188" i="7"/>
  <c r="AE189" i="7"/>
  <c r="AE190" i="7"/>
  <c r="AE191" i="7"/>
  <c r="AE192" i="7"/>
  <c r="AE193" i="7"/>
  <c r="AE194" i="7"/>
  <c r="AE195" i="7"/>
  <c r="AE196" i="7"/>
  <c r="AE197" i="7"/>
  <c r="AE198" i="7"/>
  <c r="AE199" i="7"/>
  <c r="AE200" i="7"/>
  <c r="AE201" i="7"/>
  <c r="AE202" i="7"/>
  <c r="AE203" i="7"/>
  <c r="AE204" i="7"/>
  <c r="AE205" i="7"/>
  <c r="AE206" i="7"/>
  <c r="AE207" i="7"/>
  <c r="AE208" i="7"/>
  <c r="AE209" i="7"/>
  <c r="AE210" i="7"/>
  <c r="AE211" i="7"/>
  <c r="AE212" i="7"/>
  <c r="AE213" i="7"/>
  <c r="AE214" i="7"/>
  <c r="AE215" i="7"/>
  <c r="AE216" i="7"/>
  <c r="AE217" i="7"/>
  <c r="AE218" i="7"/>
  <c r="AE219" i="7"/>
  <c r="AE220" i="7"/>
  <c r="AE221" i="7"/>
  <c r="AE222" i="7"/>
  <c r="AE223" i="7"/>
  <c r="AE224" i="7"/>
  <c r="AE225" i="7"/>
  <c r="AE226" i="7"/>
  <c r="AE227" i="7"/>
  <c r="AE228" i="7"/>
  <c r="AE229" i="7"/>
  <c r="AE230" i="7"/>
  <c r="AE231" i="7"/>
  <c r="AE232" i="7"/>
  <c r="AE233" i="7"/>
  <c r="AE234" i="7"/>
  <c r="AE235" i="7"/>
  <c r="AE236" i="7"/>
  <c r="AE237" i="7"/>
  <c r="AE238" i="7"/>
  <c r="AE239" i="7"/>
  <c r="AE240" i="7"/>
  <c r="AE241" i="7"/>
  <c r="AE242" i="7"/>
  <c r="AE243" i="7"/>
  <c r="AE244" i="7"/>
  <c r="AE245" i="7"/>
  <c r="AE246" i="7"/>
  <c r="AE247" i="7"/>
  <c r="AE248" i="7"/>
  <c r="AE249" i="7"/>
  <c r="AE250" i="7"/>
  <c r="AE251" i="7"/>
  <c r="AE252" i="7"/>
  <c r="AE253" i="7"/>
  <c r="AE254" i="7"/>
  <c r="AE255" i="7"/>
  <c r="AE256" i="7"/>
  <c r="AE257" i="7"/>
  <c r="AE258" i="7"/>
  <c r="AE259" i="7"/>
  <c r="AE260" i="7"/>
  <c r="AE261" i="7"/>
  <c r="AE262" i="7"/>
  <c r="AE263" i="7"/>
  <c r="AE264" i="7"/>
  <c r="AE265" i="7"/>
  <c r="AE266" i="7"/>
  <c r="AE267" i="7"/>
  <c r="AE268" i="7"/>
  <c r="AE269" i="7"/>
  <c r="AE270" i="7"/>
  <c r="AE271" i="7"/>
  <c r="AE272" i="7"/>
  <c r="AE273" i="7"/>
  <c r="AE274" i="7"/>
  <c r="AE275" i="7"/>
  <c r="AE276" i="7"/>
  <c r="AE277" i="7"/>
  <c r="AE278" i="7"/>
  <c r="AE279" i="7"/>
  <c r="AE280" i="7"/>
  <c r="AE281" i="7"/>
  <c r="AE282" i="7"/>
  <c r="AE283" i="7"/>
  <c r="AE284" i="7"/>
  <c r="AE285" i="7"/>
  <c r="AE286" i="7"/>
  <c r="AE287" i="7"/>
  <c r="AE288" i="7"/>
  <c r="AE289" i="7"/>
  <c r="AE290" i="7"/>
  <c r="AE291" i="7"/>
  <c r="AE292" i="7"/>
  <c r="AE293" i="7"/>
  <c r="AE294" i="7"/>
  <c r="AE295" i="7"/>
  <c r="AE296" i="7"/>
  <c r="AE297" i="7"/>
  <c r="AE298" i="7"/>
  <c r="AE299" i="7"/>
  <c r="AE300" i="7"/>
  <c r="AE301" i="7"/>
  <c r="AE302" i="7"/>
  <c r="AE303" i="7"/>
  <c r="AE304" i="7"/>
  <c r="AE305" i="7"/>
  <c r="AE306" i="7"/>
  <c r="AE307" i="7"/>
  <c r="AE308" i="7"/>
  <c r="AE309" i="7"/>
  <c r="AE310" i="7"/>
  <c r="AE311" i="7"/>
  <c r="AE312" i="7"/>
  <c r="AE313" i="7"/>
  <c r="AE314" i="7"/>
  <c r="AE315" i="7"/>
  <c r="AE316" i="7"/>
  <c r="AE317" i="7"/>
  <c r="AE318" i="7"/>
  <c r="AE319" i="7"/>
  <c r="AE320" i="7"/>
  <c r="AE321" i="7"/>
  <c r="AE322" i="7"/>
  <c r="AE323" i="7"/>
  <c r="AE324" i="7"/>
  <c r="AE325" i="7"/>
  <c r="AE326" i="7"/>
  <c r="AE327" i="7"/>
  <c r="AE328" i="7"/>
  <c r="AE329" i="7"/>
  <c r="AE330" i="7"/>
  <c r="AE331" i="7"/>
  <c r="AE332" i="7"/>
  <c r="AE333" i="7"/>
  <c r="AE334" i="7"/>
  <c r="AE335" i="7"/>
  <c r="AE336" i="7"/>
  <c r="AE337" i="7"/>
  <c r="AE338" i="7"/>
  <c r="AE339" i="7"/>
  <c r="AE340" i="7"/>
  <c r="AE341" i="7"/>
  <c r="AE342" i="7"/>
  <c r="AE343" i="7"/>
  <c r="AE344" i="7"/>
  <c r="AE345" i="7"/>
  <c r="AE346" i="7"/>
  <c r="AE347" i="7"/>
  <c r="AE348" i="7"/>
  <c r="AE349" i="7"/>
  <c r="AE350" i="7"/>
  <c r="AE351" i="7"/>
  <c r="AE352" i="7"/>
  <c r="AE353" i="7"/>
  <c r="AE354" i="7"/>
  <c r="AE355" i="7"/>
  <c r="AE356" i="7"/>
  <c r="AE357" i="7"/>
  <c r="AE358" i="7"/>
  <c r="AE359" i="7"/>
  <c r="AE360" i="7"/>
  <c r="AE361" i="7"/>
  <c r="AE362" i="7"/>
  <c r="AE363" i="7"/>
  <c r="AE364" i="7"/>
  <c r="AE365" i="7"/>
  <c r="AE366" i="7"/>
  <c r="AE367" i="7"/>
  <c r="AE368" i="7"/>
  <c r="AE369" i="7"/>
  <c r="AE370" i="7"/>
  <c r="AE371" i="7"/>
  <c r="AE372" i="7"/>
  <c r="AE373" i="7"/>
  <c r="AE374" i="7"/>
  <c r="AE375" i="7"/>
  <c r="AE376" i="7"/>
  <c r="AE377" i="7"/>
  <c r="AE378" i="7"/>
  <c r="AE379" i="7"/>
  <c r="AE380" i="7"/>
  <c r="AE381" i="7"/>
  <c r="AE382" i="7"/>
  <c r="AE383" i="7"/>
  <c r="AE384" i="7"/>
  <c r="AE385" i="7"/>
  <c r="AE386" i="7"/>
  <c r="AE387" i="7"/>
  <c r="AE388" i="7"/>
  <c r="AE389" i="7"/>
  <c r="AE390" i="7"/>
  <c r="AE391" i="7"/>
  <c r="AE392" i="7"/>
  <c r="AE393" i="7"/>
  <c r="AE394" i="7"/>
  <c r="AE395" i="7"/>
  <c r="AE396" i="7"/>
  <c r="AE397" i="7"/>
  <c r="AE398" i="7"/>
  <c r="AE399" i="7"/>
  <c r="AE400" i="7"/>
  <c r="AE401" i="7"/>
  <c r="AE402" i="7"/>
  <c r="AE403" i="7"/>
  <c r="AE404" i="7"/>
  <c r="AE405" i="7"/>
  <c r="AE406" i="7"/>
  <c r="AE407" i="7"/>
  <c r="AE408" i="7"/>
  <c r="AE409" i="7"/>
  <c r="AE410" i="7"/>
  <c r="AE411" i="7"/>
  <c r="AE412" i="7"/>
  <c r="AE413" i="7"/>
  <c r="AE414" i="7"/>
  <c r="AE415" i="7"/>
  <c r="AE416" i="7"/>
  <c r="AE417" i="7"/>
  <c r="AE418" i="7"/>
  <c r="AE419" i="7"/>
  <c r="AE420" i="7"/>
  <c r="AE421" i="7"/>
  <c r="AE422" i="7"/>
  <c r="AE423" i="7"/>
  <c r="AE424" i="7"/>
  <c r="AE425" i="7"/>
  <c r="AE426" i="7"/>
  <c r="AE427" i="7"/>
  <c r="AE428" i="7"/>
  <c r="AE429" i="7"/>
  <c r="AE430" i="7"/>
  <c r="AE431" i="7"/>
  <c r="AE432" i="7"/>
  <c r="AE433" i="7"/>
  <c r="AE434" i="7"/>
  <c r="AE435" i="7"/>
  <c r="AE436" i="7"/>
  <c r="AE437" i="7"/>
  <c r="AE438" i="7"/>
  <c r="AE439" i="7"/>
  <c r="AE440" i="7"/>
  <c r="AE441" i="7"/>
  <c r="AE442" i="7"/>
  <c r="AE443" i="7"/>
  <c r="AE444" i="7"/>
  <c r="AE445" i="7"/>
  <c r="AE446" i="7"/>
  <c r="AE447" i="7"/>
  <c r="AE448" i="7"/>
  <c r="AE449" i="7"/>
  <c r="AE450" i="7"/>
  <c r="AE451" i="7"/>
  <c r="AE452" i="7"/>
  <c r="AE453" i="7"/>
  <c r="AE454" i="7"/>
  <c r="AE455" i="7"/>
  <c r="AE456" i="7"/>
  <c r="AE457" i="7"/>
  <c r="AE458" i="7"/>
  <c r="AE459" i="7"/>
  <c r="AE460" i="7"/>
  <c r="AE461" i="7"/>
  <c r="AE462" i="7"/>
  <c r="AE463" i="7"/>
  <c r="AE464" i="7"/>
  <c r="AE465" i="7"/>
  <c r="AE466" i="7"/>
  <c r="AE467" i="7"/>
  <c r="AE468" i="7"/>
  <c r="AE469" i="7"/>
  <c r="AE470" i="7"/>
  <c r="AE471" i="7"/>
  <c r="AE472" i="7"/>
  <c r="AE473" i="7"/>
  <c r="AE474" i="7"/>
  <c r="AE475" i="7"/>
  <c r="AE476" i="7"/>
  <c r="AE477" i="7"/>
  <c r="AE478" i="7"/>
  <c r="AE479" i="7"/>
  <c r="AE480" i="7"/>
  <c r="AE481" i="7"/>
  <c r="AE33" i="7"/>
  <c r="AE34" i="7"/>
  <c r="AE35" i="7"/>
  <c r="AE36" i="7"/>
  <c r="AE37" i="7"/>
  <c r="J34" i="7"/>
  <c r="I43" i="7"/>
  <c r="I44" i="7"/>
  <c r="I45" i="7"/>
  <c r="I46" i="7"/>
  <c r="I42" i="7"/>
  <c r="AM521" i="7" l="1"/>
  <c r="AM513" i="7"/>
  <c r="AM493" i="7"/>
  <c r="AM485" i="7"/>
  <c r="AM525" i="7"/>
  <c r="AN523" i="7"/>
  <c r="AM523" i="7"/>
  <c r="AM503" i="7"/>
  <c r="AL499" i="7"/>
  <c r="AM495" i="7"/>
  <c r="AL517" i="7"/>
  <c r="AN515" i="7"/>
  <c r="AO510" i="7"/>
  <c r="AN508" i="7"/>
  <c r="AM501" i="7"/>
  <c r="AN520" i="7"/>
  <c r="AM529" i="7"/>
  <c r="AO492" i="7"/>
  <c r="AN490" i="7"/>
  <c r="AN528" i="7"/>
  <c r="AN509" i="7"/>
  <c r="AL503" i="7"/>
  <c r="AO500" i="7"/>
  <c r="AN498" i="7"/>
  <c r="AN484" i="7"/>
  <c r="AM531" i="7"/>
  <c r="AL519" i="7"/>
  <c r="AM509" i="7"/>
  <c r="AM505" i="7"/>
  <c r="AO502" i="7"/>
  <c r="AL491" i="7"/>
  <c r="AM487" i="7"/>
  <c r="AO484" i="7"/>
  <c r="AM527" i="7"/>
  <c r="AM515" i="7"/>
  <c r="AO512" i="7"/>
  <c r="AM511" i="7"/>
  <c r="AN506" i="7"/>
  <c r="AL493" i="7"/>
  <c r="AM483" i="7"/>
  <c r="AN530" i="7"/>
  <c r="AL521" i="7"/>
  <c r="AN511" i="7"/>
  <c r="AL507" i="7"/>
  <c r="AN503" i="7"/>
  <c r="AO499" i="7"/>
  <c r="AL495" i="7"/>
  <c r="AN494" i="7"/>
  <c r="AO491" i="7"/>
  <c r="AL487" i="7"/>
  <c r="AN486" i="7"/>
  <c r="AO483" i="7"/>
  <c r="AO482" i="7"/>
  <c r="AN524" i="7"/>
  <c r="AO521" i="7"/>
  <c r="AN516" i="7"/>
  <c r="AL509" i="7"/>
  <c r="AN499" i="7"/>
  <c r="AN496" i="7"/>
  <c r="AN491" i="7"/>
  <c r="AN488" i="7"/>
  <c r="AN483" i="7"/>
  <c r="AN526" i="7"/>
  <c r="AO522" i="7"/>
  <c r="AN521" i="7"/>
  <c r="AN518" i="7"/>
  <c r="AM517" i="7"/>
  <c r="AO514" i="7"/>
  <c r="AN513" i="7"/>
  <c r="AO509" i="7"/>
  <c r="AL505" i="7"/>
  <c r="AN504" i="7"/>
  <c r="AN501" i="7"/>
  <c r="AM499" i="7"/>
  <c r="AL497" i="7"/>
  <c r="AN493" i="7"/>
  <c r="AM491" i="7"/>
  <c r="AL489" i="7"/>
  <c r="AN485" i="7"/>
  <c r="AO519" i="7"/>
  <c r="AO507" i="7"/>
  <c r="AO497" i="7"/>
  <c r="AO531" i="7"/>
  <c r="AO529" i="7"/>
  <c r="AO527" i="7"/>
  <c r="AO525" i="7"/>
  <c r="AM519" i="7"/>
  <c r="AN519" i="7"/>
  <c r="AO518" i="7"/>
  <c r="AO517" i="7"/>
  <c r="AM507" i="7"/>
  <c r="AN507" i="7"/>
  <c r="AO506" i="7"/>
  <c r="AO505" i="7"/>
  <c r="AM497" i="7"/>
  <c r="AN497" i="7"/>
  <c r="AO496" i="7"/>
  <c r="AO495" i="7"/>
  <c r="AM489" i="7"/>
  <c r="AN489" i="7"/>
  <c r="AO488" i="7"/>
  <c r="AO487" i="7"/>
  <c r="AL483" i="7"/>
  <c r="AL523" i="7"/>
  <c r="AO520" i="7"/>
  <c r="AL515" i="7"/>
  <c r="AO508" i="7"/>
  <c r="AO498" i="7"/>
  <c r="AN531" i="7"/>
  <c r="AO530" i="7"/>
  <c r="AL529" i="7"/>
  <c r="AO528" i="7"/>
  <c r="AN527" i="7"/>
  <c r="AO526" i="7"/>
  <c r="AL525" i="7"/>
  <c r="AO524" i="7"/>
  <c r="AO523" i="7"/>
  <c r="AN522" i="7"/>
  <c r="AN517" i="7"/>
  <c r="AO516" i="7"/>
  <c r="AO515" i="7"/>
  <c r="AN514" i="7"/>
  <c r="AO513" i="7"/>
  <c r="AN512" i="7"/>
  <c r="AO511" i="7"/>
  <c r="AN510" i="7"/>
  <c r="AN505" i="7"/>
  <c r="AO504" i="7"/>
  <c r="AO503" i="7"/>
  <c r="AN502" i="7"/>
  <c r="AO501" i="7"/>
  <c r="AN500" i="7"/>
  <c r="AN495" i="7"/>
  <c r="AO494" i="7"/>
  <c r="AO493" i="7"/>
  <c r="AN492" i="7"/>
  <c r="AN487" i="7"/>
  <c r="AO486" i="7"/>
  <c r="AO485" i="7"/>
  <c r="AO490" i="7"/>
  <c r="AO489" i="7"/>
  <c r="AL485" i="7"/>
  <c r="AJ31" i="7"/>
  <c r="AK31" i="7"/>
  <c r="AL513" i="7"/>
  <c r="AM530" i="7"/>
  <c r="AM528" i="7"/>
  <c r="AM526" i="7"/>
  <c r="AM524" i="7"/>
  <c r="AM522" i="7"/>
  <c r="AM520" i="7"/>
  <c r="AM518" i="7"/>
  <c r="AM516" i="7"/>
  <c r="AM514" i="7"/>
  <c r="AM512" i="7"/>
  <c r="AM510" i="7"/>
  <c r="AM508" i="7"/>
  <c r="AM506" i="7"/>
  <c r="AM504" i="7"/>
  <c r="AM502" i="7"/>
  <c r="AM500" i="7"/>
  <c r="AM498" i="7"/>
  <c r="AM496" i="7"/>
  <c r="AM494" i="7"/>
  <c r="AM492" i="7"/>
  <c r="AM490" i="7"/>
  <c r="AM488" i="7"/>
  <c r="AM486" i="7"/>
  <c r="AM484" i="7"/>
  <c r="AM482" i="7"/>
  <c r="AL531" i="7"/>
  <c r="AL527" i="7"/>
  <c r="AL511" i="7"/>
  <c r="AL501" i="7"/>
  <c r="AL530" i="7"/>
  <c r="AN529" i="7"/>
  <c r="AL528" i="7"/>
  <c r="AL526" i="7"/>
  <c r="AN525" i="7"/>
  <c r="AL524" i="7"/>
  <c r="AL522" i="7"/>
  <c r="AL520" i="7"/>
  <c r="AL518" i="7"/>
  <c r="AL516" i="7"/>
  <c r="AL514" i="7"/>
  <c r="AL512" i="7"/>
  <c r="AL510" i="7"/>
  <c r="AL508" i="7"/>
  <c r="AL506" i="7"/>
  <c r="AL504" i="7"/>
  <c r="AL502" i="7"/>
  <c r="AL500" i="7"/>
  <c r="AL498" i="7"/>
  <c r="AL496" i="7"/>
  <c r="AL494" i="7"/>
  <c r="AL492" i="7"/>
  <c r="AL490" i="7"/>
  <c r="AL488" i="7"/>
  <c r="AL486" i="7"/>
  <c r="AL484" i="7"/>
  <c r="AL482" i="7"/>
  <c r="AN482" i="7"/>
  <c r="I41" i="7"/>
  <c r="L42" i="7"/>
  <c r="AT11" i="14" l="1"/>
  <c r="AT12" i="14"/>
  <c r="AT13" i="14"/>
  <c r="AT14" i="14"/>
  <c r="AT15" i="14"/>
  <c r="AT16" i="14"/>
  <c r="AT17" i="14"/>
  <c r="AT18" i="14"/>
  <c r="AT19" i="14"/>
  <c r="AT20" i="14"/>
  <c r="AT21" i="14"/>
  <c r="AT22" i="14"/>
  <c r="AT23" i="14"/>
  <c r="AT24" i="14"/>
  <c r="AT25" i="14"/>
  <c r="AT26" i="14"/>
  <c r="AT27" i="14"/>
  <c r="AT28" i="14"/>
  <c r="AT29" i="14"/>
  <c r="AT30" i="14"/>
  <c r="AT31" i="14"/>
  <c r="AT32" i="14"/>
  <c r="AT33" i="14"/>
  <c r="AT34" i="14"/>
  <c r="AT35" i="14"/>
  <c r="AT36" i="14"/>
  <c r="AT37" i="14"/>
  <c r="AT38" i="14"/>
  <c r="AT39" i="14"/>
  <c r="AT40" i="14"/>
  <c r="AT41" i="14"/>
  <c r="AT42" i="14"/>
  <c r="AT43" i="14"/>
  <c r="AT44" i="14"/>
  <c r="AT45" i="14"/>
  <c r="AT46" i="14"/>
  <c r="AT47" i="14"/>
  <c r="AT48" i="14"/>
  <c r="AT49" i="14"/>
  <c r="AT50" i="14"/>
  <c r="AT51" i="14"/>
  <c r="AT52" i="14"/>
  <c r="AT53" i="14"/>
  <c r="AT54" i="14"/>
  <c r="AT55" i="14"/>
  <c r="AT56" i="14"/>
  <c r="AT57" i="14"/>
  <c r="AT58" i="14"/>
  <c r="AT59" i="14"/>
  <c r="AT60" i="14"/>
  <c r="AT61" i="14"/>
  <c r="AT62" i="14"/>
  <c r="AT63" i="14"/>
  <c r="AT64" i="14"/>
  <c r="AT65" i="14"/>
  <c r="AT66" i="14"/>
  <c r="AT67" i="14"/>
  <c r="AT68" i="14"/>
  <c r="AT69" i="14"/>
  <c r="AT70" i="14"/>
  <c r="AT71" i="14"/>
  <c r="AT72" i="14"/>
  <c r="AT73" i="14"/>
  <c r="AT74" i="14"/>
  <c r="AT75" i="14"/>
  <c r="AT76" i="14"/>
  <c r="AT77" i="14"/>
  <c r="AT78" i="14"/>
  <c r="AT79" i="14"/>
  <c r="AT80" i="14"/>
  <c r="AT81" i="14"/>
  <c r="AT82" i="14"/>
  <c r="AT83" i="14"/>
  <c r="AT84" i="14"/>
  <c r="AT85" i="14"/>
  <c r="AT86" i="14"/>
  <c r="AT87" i="14"/>
  <c r="AT88" i="14"/>
  <c r="AT89" i="14"/>
  <c r="AT90" i="14"/>
  <c r="AT91" i="14"/>
  <c r="AT92" i="14"/>
  <c r="AT93" i="14"/>
  <c r="AT94" i="14"/>
  <c r="AT95" i="14"/>
  <c r="AT96" i="14"/>
  <c r="AT97" i="14"/>
  <c r="AT98" i="14"/>
  <c r="AT99" i="14"/>
  <c r="AT100" i="14"/>
  <c r="AT101" i="14"/>
  <c r="AT102" i="14"/>
  <c r="AT103" i="14"/>
  <c r="AT104" i="14"/>
  <c r="AT105" i="14"/>
  <c r="AT106" i="14"/>
  <c r="AT107" i="14"/>
  <c r="AT108" i="14"/>
  <c r="AT109" i="14"/>
  <c r="AT110" i="14"/>
  <c r="AT111" i="14"/>
  <c r="AT112" i="14"/>
  <c r="AT113" i="14"/>
  <c r="AT114" i="14"/>
  <c r="AT115" i="14"/>
  <c r="AT116" i="14"/>
  <c r="AT117" i="14"/>
  <c r="AT118" i="14"/>
  <c r="AT119" i="14"/>
  <c r="AT120" i="14"/>
  <c r="AT121" i="14"/>
  <c r="AT122" i="14"/>
  <c r="AT123" i="14"/>
  <c r="AT124" i="14"/>
  <c r="AT125" i="14"/>
  <c r="AT126" i="14"/>
  <c r="AT127" i="14"/>
  <c r="AT128" i="14"/>
  <c r="AT129" i="14"/>
  <c r="AT130" i="14"/>
  <c r="AT131" i="14"/>
  <c r="AT132" i="14"/>
  <c r="AT133" i="14"/>
  <c r="AT134" i="14"/>
  <c r="AT135" i="14"/>
  <c r="AT136" i="14"/>
  <c r="AT137" i="14"/>
  <c r="AT138" i="14"/>
  <c r="AT139" i="14"/>
  <c r="AT140" i="14"/>
  <c r="AT141" i="14"/>
  <c r="AT142" i="14"/>
  <c r="AT143" i="14"/>
  <c r="AT144" i="14"/>
  <c r="AT145" i="14"/>
  <c r="AT146" i="14"/>
  <c r="AT147" i="14"/>
  <c r="AT148" i="14"/>
  <c r="AT149" i="14"/>
  <c r="AT150" i="14"/>
  <c r="AT151" i="14"/>
  <c r="AT152" i="14"/>
  <c r="AT153" i="14"/>
  <c r="AT154" i="14"/>
  <c r="AT155" i="14"/>
  <c r="AT156" i="14"/>
  <c r="AT157" i="14"/>
  <c r="AT158" i="14"/>
  <c r="AT159" i="14"/>
  <c r="AT160" i="14"/>
  <c r="AT161" i="14"/>
  <c r="AT162" i="14"/>
  <c r="AT163" i="14"/>
  <c r="AT164" i="14"/>
  <c r="AT165" i="14"/>
  <c r="AT166" i="14"/>
  <c r="AT167" i="14"/>
  <c r="AT168" i="14"/>
  <c r="AT169" i="14"/>
  <c r="AT170" i="14"/>
  <c r="AT171" i="14"/>
  <c r="AT172" i="14"/>
  <c r="AT173" i="14"/>
  <c r="AT174" i="14"/>
  <c r="AT175" i="14"/>
  <c r="AT176" i="14"/>
  <c r="AT177" i="14"/>
  <c r="AT178" i="14"/>
  <c r="AT179" i="14"/>
  <c r="AT180" i="14"/>
  <c r="AT181" i="14"/>
  <c r="AT182" i="14"/>
  <c r="AT183" i="14"/>
  <c r="AT184" i="14"/>
  <c r="AT185" i="14"/>
  <c r="AT186" i="14"/>
  <c r="AT187" i="14"/>
  <c r="AT188" i="14"/>
  <c r="AT189" i="14"/>
  <c r="AT190" i="14"/>
  <c r="AT191" i="14"/>
  <c r="AT192" i="14"/>
  <c r="AT193" i="14"/>
  <c r="AT194" i="14"/>
  <c r="AT195" i="14"/>
  <c r="AT196" i="14"/>
  <c r="AT197" i="14"/>
  <c r="AT198" i="14"/>
  <c r="AT199" i="14"/>
  <c r="AT200" i="14"/>
  <c r="AT201" i="14"/>
  <c r="AT202" i="14"/>
  <c r="AT203" i="14"/>
  <c r="AT204" i="14"/>
  <c r="AT205" i="14"/>
  <c r="AT206" i="14"/>
  <c r="AT207" i="14"/>
  <c r="AT208" i="14"/>
  <c r="AT209" i="14"/>
  <c r="AT210" i="14"/>
  <c r="AT211" i="14"/>
  <c r="AT212" i="14"/>
  <c r="AT213" i="14"/>
  <c r="AT214" i="14"/>
  <c r="AT215" i="14"/>
  <c r="AT216" i="14"/>
  <c r="AT217" i="14"/>
  <c r="AT218" i="14"/>
  <c r="AT219" i="14"/>
  <c r="AT220" i="14"/>
  <c r="AT221" i="14"/>
  <c r="AT222" i="14"/>
  <c r="AT223" i="14"/>
  <c r="AT224" i="14"/>
  <c r="AT225" i="14"/>
  <c r="AT226" i="14"/>
  <c r="AT227" i="14"/>
  <c r="AT228" i="14"/>
  <c r="AT229" i="14"/>
  <c r="AT230" i="14"/>
  <c r="AT231" i="14"/>
  <c r="AT232" i="14"/>
  <c r="AT233" i="14"/>
  <c r="AT234" i="14"/>
  <c r="AT235" i="14"/>
  <c r="AT236" i="14"/>
  <c r="AT237" i="14"/>
  <c r="AT238" i="14"/>
  <c r="AT239" i="14"/>
  <c r="AT240" i="14"/>
  <c r="AT241" i="14"/>
  <c r="AT242" i="14"/>
  <c r="AT243" i="14"/>
  <c r="AT244" i="14"/>
  <c r="AT245" i="14"/>
  <c r="AT246" i="14"/>
  <c r="AT247" i="14"/>
  <c r="AT248" i="14"/>
  <c r="AT249" i="14"/>
  <c r="AT250" i="14"/>
  <c r="AT251" i="14"/>
  <c r="AT252" i="14"/>
  <c r="AT253" i="14"/>
  <c r="AT254" i="14"/>
  <c r="AT255" i="14"/>
  <c r="AT256" i="14"/>
  <c r="AT257" i="14"/>
  <c r="AT258" i="14"/>
  <c r="AT259" i="14"/>
  <c r="AT260" i="14"/>
  <c r="AT261" i="14"/>
  <c r="AT262" i="14"/>
  <c r="AT263" i="14"/>
  <c r="AT264" i="14"/>
  <c r="AT265" i="14"/>
  <c r="AT266" i="14"/>
  <c r="AT267" i="14"/>
  <c r="AT268" i="14"/>
  <c r="AT269" i="14"/>
  <c r="AT270" i="14"/>
  <c r="AT271" i="14"/>
  <c r="AT272" i="14"/>
  <c r="AT273" i="14"/>
  <c r="AT274" i="14"/>
  <c r="AT275" i="14"/>
  <c r="AT276" i="14"/>
  <c r="AT277" i="14"/>
  <c r="AT278" i="14"/>
  <c r="AT279" i="14"/>
  <c r="AT280" i="14"/>
  <c r="AT281" i="14"/>
  <c r="AT282" i="14"/>
  <c r="AT283" i="14"/>
  <c r="AT284" i="14"/>
  <c r="AT285" i="14"/>
  <c r="AT286" i="14"/>
  <c r="AT287" i="14"/>
  <c r="AT288" i="14"/>
  <c r="AT289" i="14"/>
  <c r="AT290" i="14"/>
  <c r="AT291" i="14"/>
  <c r="AT292" i="14"/>
  <c r="AT293" i="14"/>
  <c r="AT294" i="14"/>
  <c r="AT295" i="14"/>
  <c r="AT296" i="14"/>
  <c r="AT297" i="14"/>
  <c r="AT298" i="14"/>
  <c r="AT299" i="14"/>
  <c r="AT300" i="14"/>
  <c r="AT301" i="14"/>
  <c r="AT302" i="14"/>
  <c r="AT303" i="14"/>
  <c r="AT304" i="14"/>
  <c r="AT305" i="14"/>
  <c r="AT306" i="14"/>
  <c r="AT307" i="14"/>
  <c r="AT308" i="14"/>
  <c r="AT309" i="14"/>
  <c r="AT310" i="14"/>
  <c r="AT311" i="14"/>
  <c r="AT312" i="14"/>
  <c r="AT313" i="14"/>
  <c r="AT314" i="14"/>
  <c r="AT315" i="14"/>
  <c r="AT316" i="14"/>
  <c r="AT317" i="14"/>
  <c r="AT318" i="14"/>
  <c r="AT319" i="14"/>
  <c r="AT320" i="14"/>
  <c r="AT321" i="14"/>
  <c r="AT322" i="14"/>
  <c r="AT323" i="14"/>
  <c r="AT324" i="14"/>
  <c r="AT325" i="14"/>
  <c r="AT326" i="14"/>
  <c r="AT327" i="14"/>
  <c r="AT328" i="14"/>
  <c r="AT329" i="14"/>
  <c r="AT330" i="14"/>
  <c r="AT331" i="14"/>
  <c r="AT332" i="14"/>
  <c r="AT333" i="14"/>
  <c r="AT334" i="14"/>
  <c r="AT335" i="14"/>
  <c r="AT336" i="14"/>
  <c r="AT337" i="14"/>
  <c r="AT338" i="14"/>
  <c r="AT339" i="14"/>
  <c r="AT340" i="14"/>
  <c r="AT341" i="14"/>
  <c r="AT342" i="14"/>
  <c r="AT343" i="14"/>
  <c r="AT344" i="14"/>
  <c r="AT345" i="14"/>
  <c r="AT346" i="14"/>
  <c r="AT347" i="14"/>
  <c r="AT348" i="14"/>
  <c r="AT349" i="14"/>
  <c r="AT350" i="14"/>
  <c r="AT351" i="14"/>
  <c r="AT352" i="14"/>
  <c r="AT353" i="14"/>
  <c r="AT354" i="14"/>
  <c r="AT355" i="14"/>
  <c r="AT356" i="14"/>
  <c r="AT357" i="14"/>
  <c r="AT358" i="14"/>
  <c r="AT359" i="14"/>
  <c r="AT360" i="14"/>
  <c r="AT361" i="14"/>
  <c r="AT362" i="14"/>
  <c r="AT363" i="14"/>
  <c r="AT364" i="14"/>
  <c r="AT365" i="14"/>
  <c r="AT366" i="14"/>
  <c r="AT367" i="14"/>
  <c r="AT368" i="14"/>
  <c r="AT369" i="14"/>
  <c r="AT370" i="14"/>
  <c r="AT371" i="14"/>
  <c r="AT372" i="14"/>
  <c r="AT373" i="14"/>
  <c r="AT374" i="14"/>
  <c r="AT375" i="14"/>
  <c r="AT376" i="14"/>
  <c r="AT377" i="14"/>
  <c r="AT378" i="14"/>
  <c r="AT379" i="14"/>
  <c r="AT380" i="14"/>
  <c r="AT381" i="14"/>
  <c r="AT382" i="14"/>
  <c r="AT383" i="14"/>
  <c r="AT384" i="14"/>
  <c r="AT385" i="14"/>
  <c r="AT386" i="14"/>
  <c r="AT387" i="14"/>
  <c r="AT388" i="14"/>
  <c r="AT389" i="14"/>
  <c r="AT390" i="14"/>
  <c r="AT391" i="14"/>
  <c r="AT392" i="14"/>
  <c r="AT393" i="14"/>
  <c r="AT394" i="14"/>
  <c r="AT395" i="14"/>
  <c r="AT396" i="14"/>
  <c r="AT397" i="14"/>
  <c r="AT398" i="14"/>
  <c r="AT10" i="14"/>
  <c r="I44" i="6"/>
  <c r="I45" i="6"/>
  <c r="I46" i="6"/>
  <c r="I47" i="6"/>
  <c r="I48" i="6"/>
  <c r="I49" i="6"/>
  <c r="I50" i="6"/>
  <c r="I51" i="6"/>
  <c r="I52" i="6"/>
  <c r="I53" i="6"/>
  <c r="I54" i="6"/>
  <c r="I55" i="6"/>
  <c r="I56" i="6"/>
  <c r="I57" i="6"/>
  <c r="I58" i="6"/>
  <c r="I59" i="6"/>
  <c r="I60" i="6"/>
  <c r="I61" i="6"/>
  <c r="I62" i="6"/>
  <c r="I63" i="6"/>
  <c r="I64" i="6"/>
  <c r="I65" i="6"/>
  <c r="I66" i="6"/>
  <c r="I67" i="6"/>
  <c r="I68" i="6"/>
  <c r="I69" i="6"/>
  <c r="I70" i="6"/>
  <c r="I71" i="6"/>
  <c r="I72" i="6"/>
  <c r="I73" i="6"/>
  <c r="I74" i="6"/>
  <c r="I75" i="6"/>
  <c r="I76" i="6"/>
  <c r="I77" i="6"/>
  <c r="I78" i="6"/>
  <c r="I79" i="6"/>
  <c r="I80" i="6"/>
  <c r="I81" i="6"/>
  <c r="I82" i="6"/>
  <c r="I83" i="6"/>
  <c r="I84" i="6"/>
  <c r="I85" i="6"/>
  <c r="I86" i="6"/>
  <c r="I87" i="6"/>
  <c r="I88" i="6"/>
  <c r="I89" i="6"/>
  <c r="I90" i="6"/>
  <c r="I91" i="6"/>
  <c r="I92" i="6"/>
  <c r="I93" i="6"/>
  <c r="I94" i="6"/>
  <c r="I95" i="6"/>
  <c r="I96" i="6"/>
  <c r="I97" i="6"/>
  <c r="I98" i="6"/>
  <c r="I99" i="6"/>
  <c r="I100" i="6"/>
  <c r="I101" i="6"/>
  <c r="I102" i="6"/>
  <c r="I103" i="6"/>
  <c r="I104" i="6"/>
  <c r="I105" i="6"/>
  <c r="I106" i="6"/>
  <c r="I107" i="6"/>
  <c r="I108" i="6"/>
  <c r="I109" i="6"/>
  <c r="I110" i="6"/>
  <c r="I111" i="6"/>
  <c r="I112" i="6"/>
  <c r="I113" i="6"/>
  <c r="I114" i="6"/>
  <c r="I115" i="6"/>
  <c r="I116" i="6"/>
  <c r="I117" i="6"/>
  <c r="I118" i="6"/>
  <c r="I119" i="6"/>
  <c r="I120" i="6"/>
  <c r="I121" i="6"/>
  <c r="I122" i="6"/>
  <c r="I123" i="6"/>
  <c r="AL14" i="14"/>
  <c r="AS14" i="14" s="1"/>
  <c r="U28" i="6"/>
  <c r="AL13" i="14"/>
  <c r="AS13" i="14" s="1"/>
  <c r="AL15" i="14"/>
  <c r="AS15" i="14" s="1"/>
  <c r="X26" i="6" l="1"/>
  <c r="X28" i="6" s="1"/>
  <c r="AT9" i="14"/>
  <c r="C11" i="21" s="1"/>
  <c r="D11" i="21" s="1"/>
  <c r="C34" i="21" s="1"/>
  <c r="L11" i="21" s="1"/>
  <c r="AL16" i="14"/>
  <c r="AS16" i="14" s="1"/>
  <c r="AL17" i="14"/>
  <c r="AS17" i="14" s="1"/>
  <c r="AL18" i="14"/>
  <c r="AS18" i="14" s="1"/>
  <c r="AL19" i="14"/>
  <c r="AS19" i="14" s="1"/>
  <c r="AL20" i="14"/>
  <c r="AS20" i="14" s="1"/>
  <c r="AL21" i="14"/>
  <c r="AS21" i="14" s="1"/>
  <c r="AL22" i="14"/>
  <c r="AS22" i="14" s="1"/>
  <c r="AL23" i="14"/>
  <c r="AS23" i="14" s="1"/>
  <c r="AL24" i="14"/>
  <c r="AS24" i="14" s="1"/>
  <c r="AL25" i="14"/>
  <c r="AS25" i="14" s="1"/>
  <c r="AL26" i="14"/>
  <c r="AS26" i="14" s="1"/>
  <c r="AL27" i="14"/>
  <c r="AS27" i="14" s="1"/>
  <c r="AL28" i="14"/>
  <c r="AS28" i="14" s="1"/>
  <c r="AL29" i="14"/>
  <c r="AS29" i="14" s="1"/>
  <c r="AL30" i="14"/>
  <c r="AS30" i="14" s="1"/>
  <c r="AL31" i="14"/>
  <c r="AS31" i="14" s="1"/>
  <c r="AL32" i="14"/>
  <c r="AS32" i="14" s="1"/>
  <c r="AL33" i="14"/>
  <c r="AS33" i="14" s="1"/>
  <c r="AL34" i="14"/>
  <c r="AS34" i="14" s="1"/>
  <c r="AL35" i="14"/>
  <c r="AS35" i="14" s="1"/>
  <c r="AL36" i="14"/>
  <c r="AS36" i="14" s="1"/>
  <c r="AL37" i="14"/>
  <c r="AS37" i="14" s="1"/>
  <c r="AL38" i="14"/>
  <c r="AS38" i="14" s="1"/>
  <c r="AL39" i="14"/>
  <c r="AS39" i="14" s="1"/>
  <c r="AL40" i="14"/>
  <c r="AS40" i="14" s="1"/>
  <c r="AL41" i="14"/>
  <c r="AS41" i="14" s="1"/>
  <c r="AL42" i="14"/>
  <c r="AS42" i="14" s="1"/>
  <c r="AL43" i="14"/>
  <c r="AS43" i="14" s="1"/>
  <c r="AL44" i="14"/>
  <c r="AS44" i="14" s="1"/>
  <c r="AL45" i="14"/>
  <c r="AS45" i="14" s="1"/>
  <c r="AL46" i="14"/>
  <c r="AS46" i="14" s="1"/>
  <c r="AL47" i="14"/>
  <c r="AS47" i="14" s="1"/>
  <c r="AL48" i="14"/>
  <c r="AS48" i="14" s="1"/>
  <c r="AL49" i="14"/>
  <c r="AS49" i="14" s="1"/>
  <c r="AL50" i="14"/>
  <c r="AS50" i="14" s="1"/>
  <c r="AL51" i="14"/>
  <c r="AS51" i="14" s="1"/>
  <c r="AL52" i="14"/>
  <c r="AS52" i="14" s="1"/>
  <c r="AL53" i="14"/>
  <c r="AS53" i="14" s="1"/>
  <c r="AL54" i="14"/>
  <c r="AS54" i="14" s="1"/>
  <c r="AL55" i="14"/>
  <c r="AS55" i="14" s="1"/>
  <c r="AL56" i="14"/>
  <c r="AS56" i="14" s="1"/>
  <c r="AL57" i="14"/>
  <c r="AS57" i="14" s="1"/>
  <c r="AL58" i="14"/>
  <c r="AS58" i="14" s="1"/>
  <c r="AL59" i="14"/>
  <c r="AS59" i="14" s="1"/>
  <c r="AL60" i="14"/>
  <c r="AS60" i="14" s="1"/>
  <c r="AL61" i="14"/>
  <c r="AS61" i="14" s="1"/>
  <c r="AL62" i="14"/>
  <c r="AS62" i="14" s="1"/>
  <c r="AL63" i="14"/>
  <c r="AS63" i="14" s="1"/>
  <c r="AL64" i="14"/>
  <c r="AS64" i="14" s="1"/>
  <c r="AL65" i="14"/>
  <c r="AS65" i="14" s="1"/>
  <c r="AL66" i="14"/>
  <c r="AS66" i="14" s="1"/>
  <c r="AL67" i="14"/>
  <c r="AS67" i="14" s="1"/>
  <c r="AL68" i="14"/>
  <c r="AS68" i="14" s="1"/>
  <c r="AL69" i="14"/>
  <c r="AS69" i="14" s="1"/>
  <c r="AL70" i="14"/>
  <c r="AS70" i="14" s="1"/>
  <c r="AL71" i="14"/>
  <c r="AS71" i="14" s="1"/>
  <c r="AL72" i="14"/>
  <c r="AS72" i="14" s="1"/>
  <c r="AL73" i="14"/>
  <c r="AS73" i="14" s="1"/>
  <c r="AL74" i="14"/>
  <c r="AS74" i="14" s="1"/>
  <c r="AL75" i="14"/>
  <c r="AS75" i="14" s="1"/>
  <c r="AL76" i="14"/>
  <c r="AS76" i="14" s="1"/>
  <c r="AL77" i="14"/>
  <c r="AS77" i="14" s="1"/>
  <c r="AL78" i="14"/>
  <c r="AS78" i="14" s="1"/>
  <c r="AL79" i="14"/>
  <c r="AS79" i="14" s="1"/>
  <c r="AL80" i="14"/>
  <c r="AS80" i="14" s="1"/>
  <c r="AL81" i="14"/>
  <c r="AS81" i="14" s="1"/>
  <c r="AL82" i="14"/>
  <c r="AS82" i="14" s="1"/>
  <c r="AL83" i="14"/>
  <c r="AS83" i="14" s="1"/>
  <c r="AL84" i="14"/>
  <c r="AS84" i="14" s="1"/>
  <c r="AL85" i="14"/>
  <c r="AS85" i="14" s="1"/>
  <c r="AL86" i="14"/>
  <c r="AS86" i="14" s="1"/>
  <c r="AL87" i="14"/>
  <c r="AS87" i="14" s="1"/>
  <c r="AL88" i="14"/>
  <c r="AS88" i="14" s="1"/>
  <c r="AL89" i="14"/>
  <c r="AS89" i="14" s="1"/>
  <c r="AL90" i="14"/>
  <c r="AS90" i="14" s="1"/>
  <c r="AL91" i="14"/>
  <c r="AS91" i="14" s="1"/>
  <c r="AL92" i="14"/>
  <c r="AS92" i="14" s="1"/>
  <c r="AL93" i="14"/>
  <c r="AS93" i="14" s="1"/>
  <c r="AL94" i="14"/>
  <c r="AS94" i="14" s="1"/>
  <c r="AL95" i="14"/>
  <c r="AS95" i="14" s="1"/>
  <c r="AL96" i="14"/>
  <c r="AS96" i="14" s="1"/>
  <c r="AL97" i="14"/>
  <c r="AS97" i="14" s="1"/>
  <c r="AL98" i="14"/>
  <c r="AS98" i="14" s="1"/>
  <c r="AL99" i="14"/>
  <c r="AS99" i="14" s="1"/>
  <c r="AL100" i="14"/>
  <c r="AS100" i="14" s="1"/>
  <c r="AL101" i="14"/>
  <c r="AS101" i="14" s="1"/>
  <c r="AL102" i="14"/>
  <c r="AS102" i="14" s="1"/>
  <c r="AL103" i="14"/>
  <c r="AS103" i="14" s="1"/>
  <c r="AL104" i="14"/>
  <c r="AS104" i="14" s="1"/>
  <c r="AL105" i="14"/>
  <c r="AS105" i="14" s="1"/>
  <c r="AL106" i="14"/>
  <c r="AS106" i="14" s="1"/>
  <c r="AL107" i="14"/>
  <c r="AS107" i="14" s="1"/>
  <c r="AL108" i="14"/>
  <c r="AS108" i="14" s="1"/>
  <c r="AL109" i="14"/>
  <c r="AS109" i="14" s="1"/>
  <c r="AL110" i="14"/>
  <c r="AS110" i="14" s="1"/>
  <c r="AL111" i="14"/>
  <c r="AS111" i="14" s="1"/>
  <c r="AL112" i="14"/>
  <c r="AS112" i="14" s="1"/>
  <c r="AL113" i="14"/>
  <c r="AS113" i="14" s="1"/>
  <c r="AL114" i="14"/>
  <c r="AS114" i="14" s="1"/>
  <c r="AL115" i="14"/>
  <c r="AS115" i="14" s="1"/>
  <c r="AL116" i="14"/>
  <c r="AS116" i="14" s="1"/>
  <c r="AL117" i="14"/>
  <c r="AS117" i="14" s="1"/>
  <c r="AL118" i="14"/>
  <c r="AS118" i="14" s="1"/>
  <c r="AL119" i="14"/>
  <c r="AS119" i="14" s="1"/>
  <c r="AL120" i="14"/>
  <c r="AS120" i="14" s="1"/>
  <c r="AL121" i="14"/>
  <c r="AS121" i="14" s="1"/>
  <c r="AL122" i="14"/>
  <c r="AS122" i="14" s="1"/>
  <c r="AL123" i="14"/>
  <c r="AS123" i="14" s="1"/>
  <c r="AL124" i="14"/>
  <c r="AS124" i="14" s="1"/>
  <c r="AL125" i="14"/>
  <c r="AS125" i="14" s="1"/>
  <c r="AL126" i="14"/>
  <c r="AS126" i="14" s="1"/>
  <c r="AL127" i="14"/>
  <c r="AS127" i="14" s="1"/>
  <c r="AL128" i="14"/>
  <c r="AS128" i="14" s="1"/>
  <c r="AL129" i="14"/>
  <c r="AS129" i="14" s="1"/>
  <c r="AL130" i="14"/>
  <c r="AS130" i="14" s="1"/>
  <c r="AL131" i="14"/>
  <c r="AS131" i="14" s="1"/>
  <c r="AL132" i="14"/>
  <c r="AS132" i="14" s="1"/>
  <c r="AL133" i="14"/>
  <c r="AS133" i="14" s="1"/>
  <c r="AL134" i="14"/>
  <c r="AS134" i="14" s="1"/>
  <c r="AL135" i="14"/>
  <c r="AS135" i="14" s="1"/>
  <c r="AL136" i="14"/>
  <c r="AS136" i="14" s="1"/>
  <c r="AL137" i="14"/>
  <c r="AS137" i="14" s="1"/>
  <c r="AL138" i="14"/>
  <c r="AS138" i="14" s="1"/>
  <c r="AL139" i="14"/>
  <c r="AS139" i="14" s="1"/>
  <c r="AL140" i="14"/>
  <c r="AS140" i="14" s="1"/>
  <c r="AL141" i="14"/>
  <c r="AS141" i="14" s="1"/>
  <c r="AL142" i="14"/>
  <c r="AS142" i="14" s="1"/>
  <c r="AL143" i="14"/>
  <c r="AS143" i="14" s="1"/>
  <c r="AL144" i="14"/>
  <c r="AS144" i="14" s="1"/>
  <c r="AL145" i="14"/>
  <c r="AS145" i="14" s="1"/>
  <c r="AL146" i="14"/>
  <c r="AS146" i="14" s="1"/>
  <c r="AL147" i="14"/>
  <c r="AS147" i="14" s="1"/>
  <c r="AL148" i="14"/>
  <c r="AS148" i="14" s="1"/>
  <c r="AL149" i="14"/>
  <c r="AS149" i="14" s="1"/>
  <c r="AL150" i="14"/>
  <c r="AS150" i="14" s="1"/>
  <c r="AL151" i="14"/>
  <c r="AS151" i="14" s="1"/>
  <c r="AL152" i="14"/>
  <c r="AS152" i="14" s="1"/>
  <c r="AL153" i="14"/>
  <c r="AS153" i="14" s="1"/>
  <c r="AL154" i="14"/>
  <c r="AS154" i="14" s="1"/>
  <c r="AL155" i="14"/>
  <c r="AS155" i="14" s="1"/>
  <c r="AL156" i="14"/>
  <c r="AS156" i="14" s="1"/>
  <c r="AL157" i="14"/>
  <c r="AS157" i="14" s="1"/>
  <c r="AL158" i="14"/>
  <c r="AS158" i="14" s="1"/>
  <c r="AL159" i="14"/>
  <c r="AS159" i="14" s="1"/>
  <c r="AL160" i="14"/>
  <c r="AS160" i="14" s="1"/>
  <c r="AL161" i="14"/>
  <c r="AS161" i="14" s="1"/>
  <c r="AL162" i="14"/>
  <c r="AS162" i="14" s="1"/>
  <c r="AL163" i="14"/>
  <c r="AS163" i="14" s="1"/>
  <c r="AL164" i="14"/>
  <c r="AS164" i="14" s="1"/>
  <c r="AL165" i="14"/>
  <c r="AS165" i="14" s="1"/>
  <c r="AL166" i="14"/>
  <c r="AS166" i="14" s="1"/>
  <c r="AL167" i="14"/>
  <c r="AS167" i="14" s="1"/>
  <c r="AL168" i="14"/>
  <c r="AS168" i="14" s="1"/>
  <c r="AL169" i="14"/>
  <c r="AS169" i="14" s="1"/>
  <c r="AL170" i="14"/>
  <c r="AS170" i="14" s="1"/>
  <c r="AL171" i="14"/>
  <c r="AS171" i="14" s="1"/>
  <c r="AL172" i="14"/>
  <c r="AS172" i="14" s="1"/>
  <c r="AL173" i="14"/>
  <c r="AS173" i="14" s="1"/>
  <c r="AL174" i="14"/>
  <c r="AS174" i="14" s="1"/>
  <c r="AL175" i="14"/>
  <c r="AS175" i="14" s="1"/>
  <c r="AL176" i="14"/>
  <c r="AS176" i="14" s="1"/>
  <c r="AL177" i="14"/>
  <c r="AS177" i="14" s="1"/>
  <c r="AL178" i="14"/>
  <c r="AS178" i="14" s="1"/>
  <c r="AL179" i="14"/>
  <c r="AS179" i="14" s="1"/>
  <c r="AL180" i="14"/>
  <c r="AS180" i="14" s="1"/>
  <c r="AL181" i="14"/>
  <c r="AS181" i="14" s="1"/>
  <c r="AL182" i="14"/>
  <c r="AS182" i="14" s="1"/>
  <c r="AL183" i="14"/>
  <c r="AS183" i="14" s="1"/>
  <c r="AL184" i="14"/>
  <c r="AS184" i="14" s="1"/>
  <c r="AL185" i="14"/>
  <c r="AS185" i="14" s="1"/>
  <c r="AL186" i="14"/>
  <c r="AS186" i="14" s="1"/>
  <c r="AL187" i="14"/>
  <c r="AS187" i="14" s="1"/>
  <c r="AL188" i="14"/>
  <c r="AS188" i="14" s="1"/>
  <c r="AL189" i="14"/>
  <c r="AS189" i="14" s="1"/>
  <c r="AL190" i="14"/>
  <c r="AS190" i="14" s="1"/>
  <c r="AL191" i="14"/>
  <c r="AS191" i="14" s="1"/>
  <c r="AL192" i="14"/>
  <c r="AS192" i="14" s="1"/>
  <c r="AL193" i="14"/>
  <c r="AS193" i="14" s="1"/>
  <c r="AL194" i="14"/>
  <c r="AS194" i="14" s="1"/>
  <c r="AL195" i="14"/>
  <c r="AS195" i="14" s="1"/>
  <c r="AL196" i="14"/>
  <c r="AS196" i="14" s="1"/>
  <c r="AL197" i="14"/>
  <c r="AS197" i="14" s="1"/>
  <c r="AL198" i="14"/>
  <c r="AS198" i="14" s="1"/>
  <c r="AL199" i="14"/>
  <c r="AS199" i="14" s="1"/>
  <c r="AL200" i="14"/>
  <c r="AS200" i="14" s="1"/>
  <c r="AL201" i="14"/>
  <c r="AS201" i="14" s="1"/>
  <c r="AL202" i="14"/>
  <c r="AS202" i="14" s="1"/>
  <c r="AL203" i="14"/>
  <c r="AS203" i="14" s="1"/>
  <c r="AL204" i="14"/>
  <c r="AS204" i="14" s="1"/>
  <c r="AL205" i="14"/>
  <c r="AS205" i="14" s="1"/>
  <c r="AL206" i="14"/>
  <c r="AS206" i="14" s="1"/>
  <c r="AL207" i="14"/>
  <c r="AS207" i="14" s="1"/>
  <c r="AL208" i="14"/>
  <c r="AS208" i="14" s="1"/>
  <c r="AL209" i="14"/>
  <c r="AS209" i="14" s="1"/>
  <c r="AL210" i="14"/>
  <c r="AS210" i="14" s="1"/>
  <c r="AL211" i="14"/>
  <c r="AS211" i="14" s="1"/>
  <c r="AL212" i="14"/>
  <c r="AS212" i="14" s="1"/>
  <c r="AL213" i="14"/>
  <c r="AS213" i="14" s="1"/>
  <c r="AL214" i="14"/>
  <c r="AS214" i="14" s="1"/>
  <c r="AL215" i="14"/>
  <c r="AS215" i="14" s="1"/>
  <c r="AL216" i="14"/>
  <c r="AS216" i="14" s="1"/>
  <c r="AL217" i="14"/>
  <c r="AS217" i="14" s="1"/>
  <c r="AL218" i="14"/>
  <c r="AS218" i="14" s="1"/>
  <c r="AL219" i="14"/>
  <c r="AS219" i="14" s="1"/>
  <c r="AL220" i="14"/>
  <c r="AS220" i="14" s="1"/>
  <c r="AL221" i="14"/>
  <c r="AS221" i="14" s="1"/>
  <c r="AL222" i="14"/>
  <c r="AS222" i="14" s="1"/>
  <c r="AL223" i="14"/>
  <c r="AS223" i="14" s="1"/>
  <c r="AL224" i="14"/>
  <c r="AS224" i="14" s="1"/>
  <c r="AL225" i="14"/>
  <c r="AS225" i="14" s="1"/>
  <c r="AL226" i="14"/>
  <c r="AS226" i="14" s="1"/>
  <c r="AL227" i="14"/>
  <c r="AS227" i="14" s="1"/>
  <c r="AL228" i="14"/>
  <c r="AS228" i="14" s="1"/>
  <c r="AL229" i="14"/>
  <c r="AS229" i="14" s="1"/>
  <c r="AL230" i="14"/>
  <c r="AS230" i="14" s="1"/>
  <c r="AL231" i="14"/>
  <c r="AS231" i="14" s="1"/>
  <c r="AL232" i="14"/>
  <c r="AS232" i="14" s="1"/>
  <c r="AL233" i="14"/>
  <c r="AS233" i="14" s="1"/>
  <c r="AL234" i="14"/>
  <c r="AS234" i="14" s="1"/>
  <c r="AL235" i="14"/>
  <c r="AS235" i="14" s="1"/>
  <c r="AL236" i="14"/>
  <c r="AS236" i="14" s="1"/>
  <c r="AL237" i="14"/>
  <c r="AS237" i="14" s="1"/>
  <c r="AL238" i="14"/>
  <c r="AS238" i="14" s="1"/>
  <c r="AL239" i="14"/>
  <c r="AS239" i="14" s="1"/>
  <c r="AL240" i="14"/>
  <c r="AS240" i="14" s="1"/>
  <c r="AL241" i="14"/>
  <c r="AS241" i="14" s="1"/>
  <c r="AL242" i="14"/>
  <c r="AS242" i="14" s="1"/>
  <c r="AL243" i="14"/>
  <c r="AS243" i="14" s="1"/>
  <c r="AL244" i="14"/>
  <c r="AS244" i="14" s="1"/>
  <c r="AL245" i="14"/>
  <c r="AS245" i="14" s="1"/>
  <c r="AL246" i="14"/>
  <c r="AS246" i="14" s="1"/>
  <c r="AL247" i="14"/>
  <c r="AS247" i="14" s="1"/>
  <c r="AL248" i="14"/>
  <c r="AS248" i="14" s="1"/>
  <c r="AL249" i="14"/>
  <c r="AS249" i="14" s="1"/>
  <c r="AL250" i="14"/>
  <c r="AS250" i="14" s="1"/>
  <c r="AL251" i="14"/>
  <c r="AS251" i="14" s="1"/>
  <c r="AL252" i="14"/>
  <c r="AS252" i="14" s="1"/>
  <c r="AL253" i="14"/>
  <c r="AS253" i="14" s="1"/>
  <c r="AL254" i="14"/>
  <c r="AS254" i="14" s="1"/>
  <c r="AL255" i="14"/>
  <c r="AS255" i="14" s="1"/>
  <c r="AL256" i="14"/>
  <c r="AS256" i="14" s="1"/>
  <c r="AL257" i="14"/>
  <c r="AS257" i="14" s="1"/>
  <c r="AL258" i="14"/>
  <c r="AS258" i="14" s="1"/>
  <c r="AL259" i="14"/>
  <c r="AS259" i="14" s="1"/>
  <c r="AL260" i="14"/>
  <c r="AS260" i="14" s="1"/>
  <c r="AL261" i="14"/>
  <c r="AS261" i="14" s="1"/>
  <c r="AL262" i="14"/>
  <c r="AS262" i="14" s="1"/>
  <c r="AL263" i="14"/>
  <c r="AS263" i="14" s="1"/>
  <c r="AL264" i="14"/>
  <c r="AS264" i="14" s="1"/>
  <c r="AL265" i="14"/>
  <c r="AS265" i="14" s="1"/>
  <c r="AL266" i="14"/>
  <c r="AS266" i="14" s="1"/>
  <c r="AL267" i="14"/>
  <c r="AS267" i="14" s="1"/>
  <c r="AL268" i="14"/>
  <c r="AS268" i="14" s="1"/>
  <c r="AL269" i="14"/>
  <c r="AS269" i="14" s="1"/>
  <c r="AL270" i="14"/>
  <c r="AS270" i="14" s="1"/>
  <c r="AL271" i="14"/>
  <c r="AS271" i="14" s="1"/>
  <c r="AL272" i="14"/>
  <c r="AS272" i="14" s="1"/>
  <c r="AL273" i="14"/>
  <c r="AS273" i="14" s="1"/>
  <c r="AL274" i="14"/>
  <c r="AS274" i="14" s="1"/>
  <c r="AL275" i="14"/>
  <c r="AS275" i="14" s="1"/>
  <c r="AL276" i="14"/>
  <c r="AS276" i="14" s="1"/>
  <c r="AL277" i="14"/>
  <c r="AS277" i="14" s="1"/>
  <c r="AL278" i="14"/>
  <c r="AS278" i="14" s="1"/>
  <c r="AL279" i="14"/>
  <c r="AS279" i="14" s="1"/>
  <c r="AL280" i="14"/>
  <c r="AS280" i="14" s="1"/>
  <c r="AL281" i="14"/>
  <c r="AS281" i="14" s="1"/>
  <c r="AL282" i="14"/>
  <c r="AS282" i="14" s="1"/>
  <c r="AL283" i="14"/>
  <c r="AS283" i="14" s="1"/>
  <c r="AL284" i="14"/>
  <c r="AS284" i="14" s="1"/>
  <c r="AL285" i="14"/>
  <c r="AS285" i="14" s="1"/>
  <c r="AL286" i="14"/>
  <c r="AS286" i="14" s="1"/>
  <c r="AL287" i="14"/>
  <c r="AS287" i="14" s="1"/>
  <c r="AL288" i="14"/>
  <c r="AS288" i="14" s="1"/>
  <c r="AL289" i="14"/>
  <c r="AS289" i="14" s="1"/>
  <c r="AL290" i="14"/>
  <c r="AS290" i="14" s="1"/>
  <c r="AL291" i="14"/>
  <c r="AS291" i="14" s="1"/>
  <c r="AL292" i="14"/>
  <c r="AS292" i="14" s="1"/>
  <c r="AL293" i="14"/>
  <c r="AS293" i="14" s="1"/>
  <c r="AL294" i="14"/>
  <c r="AS294" i="14" s="1"/>
  <c r="AL295" i="14"/>
  <c r="AS295" i="14" s="1"/>
  <c r="AL296" i="14"/>
  <c r="AS296" i="14" s="1"/>
  <c r="AL297" i="14"/>
  <c r="AS297" i="14" s="1"/>
  <c r="AL298" i="14"/>
  <c r="AS298" i="14" s="1"/>
  <c r="AL299" i="14"/>
  <c r="AS299" i="14" s="1"/>
  <c r="AL300" i="14"/>
  <c r="AS300" i="14" s="1"/>
  <c r="AL301" i="14"/>
  <c r="AS301" i="14" s="1"/>
  <c r="AL302" i="14"/>
  <c r="AS302" i="14" s="1"/>
  <c r="AL303" i="14"/>
  <c r="AS303" i="14" s="1"/>
  <c r="AL304" i="14"/>
  <c r="AS304" i="14" s="1"/>
  <c r="AL305" i="14"/>
  <c r="AS305" i="14" s="1"/>
  <c r="AL306" i="14"/>
  <c r="AS306" i="14" s="1"/>
  <c r="AL307" i="14"/>
  <c r="AS307" i="14" s="1"/>
  <c r="AL308" i="14"/>
  <c r="AS308" i="14" s="1"/>
  <c r="AL309" i="14"/>
  <c r="AS309" i="14" s="1"/>
  <c r="AL310" i="14"/>
  <c r="AS310" i="14" s="1"/>
  <c r="AL311" i="14"/>
  <c r="AS311" i="14" s="1"/>
  <c r="AL312" i="14"/>
  <c r="AS312" i="14" s="1"/>
  <c r="AL313" i="14"/>
  <c r="AS313" i="14" s="1"/>
  <c r="AL314" i="14"/>
  <c r="AS314" i="14" s="1"/>
  <c r="AL315" i="14"/>
  <c r="AS315" i="14" s="1"/>
  <c r="AL316" i="14"/>
  <c r="AS316" i="14" s="1"/>
  <c r="AL317" i="14"/>
  <c r="AS317" i="14" s="1"/>
  <c r="AL318" i="14"/>
  <c r="AS318" i="14" s="1"/>
  <c r="AL319" i="14"/>
  <c r="AS319" i="14" s="1"/>
  <c r="AL320" i="14"/>
  <c r="AS320" i="14" s="1"/>
  <c r="AL321" i="14"/>
  <c r="AS321" i="14" s="1"/>
  <c r="AL322" i="14"/>
  <c r="AS322" i="14" s="1"/>
  <c r="AL323" i="14"/>
  <c r="AS323" i="14" s="1"/>
  <c r="AL324" i="14"/>
  <c r="AS324" i="14" s="1"/>
  <c r="AL325" i="14"/>
  <c r="AS325" i="14" s="1"/>
  <c r="AL326" i="14"/>
  <c r="AS326" i="14" s="1"/>
  <c r="AL327" i="14"/>
  <c r="AS327" i="14" s="1"/>
  <c r="AL328" i="14"/>
  <c r="AS328" i="14" s="1"/>
  <c r="AL329" i="14"/>
  <c r="AS329" i="14" s="1"/>
  <c r="AL330" i="14"/>
  <c r="AS330" i="14" s="1"/>
  <c r="AL331" i="14"/>
  <c r="AS331" i="14" s="1"/>
  <c r="AL332" i="14"/>
  <c r="AS332" i="14" s="1"/>
  <c r="AL333" i="14"/>
  <c r="AS333" i="14" s="1"/>
  <c r="AL334" i="14"/>
  <c r="AS334" i="14" s="1"/>
  <c r="AL335" i="14"/>
  <c r="AS335" i="14" s="1"/>
  <c r="AL336" i="14"/>
  <c r="AS336" i="14" s="1"/>
  <c r="AL337" i="14"/>
  <c r="AS337" i="14" s="1"/>
  <c r="AL338" i="14"/>
  <c r="AS338" i="14" s="1"/>
  <c r="AL339" i="14"/>
  <c r="AS339" i="14" s="1"/>
  <c r="AL340" i="14"/>
  <c r="AS340" i="14" s="1"/>
  <c r="AL341" i="14"/>
  <c r="AS341" i="14" s="1"/>
  <c r="AL342" i="14"/>
  <c r="AS342" i="14" s="1"/>
  <c r="AL343" i="14"/>
  <c r="AS343" i="14" s="1"/>
  <c r="AL344" i="14"/>
  <c r="AS344" i="14" s="1"/>
  <c r="AL345" i="14"/>
  <c r="AS345" i="14" s="1"/>
  <c r="AL346" i="14"/>
  <c r="AS346" i="14" s="1"/>
  <c r="AL347" i="14"/>
  <c r="AS347" i="14" s="1"/>
  <c r="AL348" i="14"/>
  <c r="AS348" i="14" s="1"/>
  <c r="AL349" i="14"/>
  <c r="AS349" i="14" s="1"/>
  <c r="AL350" i="14"/>
  <c r="AS350" i="14" s="1"/>
  <c r="AL351" i="14"/>
  <c r="AS351" i="14" s="1"/>
  <c r="AL352" i="14"/>
  <c r="AS352" i="14" s="1"/>
  <c r="AL353" i="14"/>
  <c r="AS353" i="14" s="1"/>
  <c r="AL354" i="14"/>
  <c r="AS354" i="14" s="1"/>
  <c r="AL355" i="14"/>
  <c r="AS355" i="14" s="1"/>
  <c r="AL356" i="14"/>
  <c r="AS356" i="14" s="1"/>
  <c r="AL357" i="14"/>
  <c r="AS357" i="14" s="1"/>
  <c r="AL358" i="14"/>
  <c r="AS358" i="14" s="1"/>
  <c r="AL359" i="14"/>
  <c r="AS359" i="14" s="1"/>
  <c r="AL360" i="14"/>
  <c r="AS360" i="14" s="1"/>
  <c r="AL361" i="14"/>
  <c r="AS361" i="14" s="1"/>
  <c r="AL362" i="14"/>
  <c r="AS362" i="14" s="1"/>
  <c r="AL363" i="14"/>
  <c r="AS363" i="14" s="1"/>
  <c r="AL364" i="14"/>
  <c r="AS364" i="14" s="1"/>
  <c r="AL365" i="14"/>
  <c r="AS365" i="14" s="1"/>
  <c r="AL366" i="14"/>
  <c r="AS366" i="14" s="1"/>
  <c r="AL367" i="14"/>
  <c r="AS367" i="14" s="1"/>
  <c r="AL368" i="14"/>
  <c r="AS368" i="14" s="1"/>
  <c r="AL369" i="14"/>
  <c r="AS369" i="14" s="1"/>
  <c r="AL370" i="14"/>
  <c r="AS370" i="14" s="1"/>
  <c r="AL371" i="14"/>
  <c r="AS371" i="14" s="1"/>
  <c r="AL372" i="14"/>
  <c r="AS372" i="14" s="1"/>
  <c r="AL373" i="14"/>
  <c r="AS373" i="14" s="1"/>
  <c r="AL374" i="14"/>
  <c r="AS374" i="14" s="1"/>
  <c r="AL375" i="14"/>
  <c r="AS375" i="14" s="1"/>
  <c r="AL376" i="14"/>
  <c r="AS376" i="14" s="1"/>
  <c r="AL377" i="14"/>
  <c r="AS377" i="14" s="1"/>
  <c r="AL378" i="14"/>
  <c r="AS378" i="14" s="1"/>
  <c r="AL379" i="14"/>
  <c r="AS379" i="14" s="1"/>
  <c r="AL380" i="14"/>
  <c r="AS380" i="14" s="1"/>
  <c r="AL381" i="14"/>
  <c r="AS381" i="14" s="1"/>
  <c r="AL382" i="14"/>
  <c r="AS382" i="14" s="1"/>
  <c r="AL383" i="14"/>
  <c r="AS383" i="14" s="1"/>
  <c r="AL384" i="14"/>
  <c r="AS384" i="14" s="1"/>
  <c r="AL385" i="14"/>
  <c r="AS385" i="14" s="1"/>
  <c r="AL386" i="14"/>
  <c r="AS386" i="14" s="1"/>
  <c r="AL387" i="14"/>
  <c r="AS387" i="14" s="1"/>
  <c r="AL388" i="14"/>
  <c r="AS388" i="14" s="1"/>
  <c r="AL389" i="14"/>
  <c r="AS389" i="14" s="1"/>
  <c r="AL390" i="14"/>
  <c r="AS390" i="14" s="1"/>
  <c r="AL391" i="14"/>
  <c r="AS391" i="14" s="1"/>
  <c r="AL392" i="14"/>
  <c r="AS392" i="14" s="1"/>
  <c r="AL393" i="14"/>
  <c r="AS393" i="14" s="1"/>
  <c r="AL394" i="14"/>
  <c r="AS394" i="14" s="1"/>
  <c r="AL395" i="14"/>
  <c r="AS395" i="14" s="1"/>
  <c r="AL396" i="14"/>
  <c r="AS396" i="14" s="1"/>
  <c r="AL397" i="14"/>
  <c r="AS397" i="14" s="1"/>
  <c r="AL398" i="14"/>
  <c r="AS398" i="14" s="1"/>
  <c r="J13" i="21"/>
  <c r="I15" i="21" s="1"/>
  <c r="F25" i="18" s="1"/>
  <c r="J12" i="21"/>
  <c r="J11" i="21"/>
  <c r="D12" i="21"/>
  <c r="D13" i="21"/>
  <c r="D14" i="21"/>
  <c r="D15" i="21"/>
  <c r="D16" i="21"/>
  <c r="D17" i="21"/>
  <c r="D18" i="21"/>
  <c r="D19" i="21"/>
  <c r="D20" i="21"/>
  <c r="D21" i="21"/>
  <c r="D22" i="21"/>
  <c r="D23" i="21"/>
  <c r="D24" i="21"/>
  <c r="D25" i="21"/>
  <c r="D26" i="21"/>
  <c r="D27" i="21"/>
  <c r="D28" i="21"/>
  <c r="D29" i="21"/>
  <c r="D30" i="21"/>
  <c r="D31" i="21"/>
  <c r="D32" i="21"/>
  <c r="N28" i="6"/>
  <c r="R30" i="6"/>
  <c r="R28" i="6"/>
  <c r="V19" i="12"/>
  <c r="L13" i="21" l="1"/>
  <c r="R56" i="6"/>
  <c r="U36" i="6"/>
  <c r="U34" i="6"/>
  <c r="R54" i="6"/>
  <c r="B42" i="6"/>
  <c r="B43" i="6"/>
  <c r="B44" i="6"/>
  <c r="B45" i="6"/>
  <c r="B46" i="6"/>
  <c r="B47" i="6"/>
  <c r="B48" i="6"/>
  <c r="B49" i="6"/>
  <c r="B50" i="6"/>
  <c r="B51" i="6"/>
  <c r="B52" i="6"/>
  <c r="B53" i="6"/>
  <c r="B54" i="6"/>
  <c r="B55" i="6"/>
  <c r="B56" i="6"/>
  <c r="B57" i="6"/>
  <c r="B58" i="6"/>
  <c r="B59" i="6"/>
  <c r="B60" i="6"/>
  <c r="B61" i="6"/>
  <c r="B62" i="6"/>
  <c r="B63"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114" i="6"/>
  <c r="B115" i="6"/>
  <c r="B116" i="6"/>
  <c r="B117" i="6"/>
  <c r="B118" i="6"/>
  <c r="B119" i="6"/>
  <c r="B120" i="6"/>
  <c r="B121" i="6"/>
  <c r="B122" i="6"/>
  <c r="B123" i="6"/>
  <c r="B25" i="6"/>
  <c r="B26" i="6"/>
  <c r="B27" i="6"/>
  <c r="B28" i="6"/>
  <c r="B29" i="6"/>
  <c r="B30" i="6"/>
  <c r="B31" i="6"/>
  <c r="B32" i="6"/>
  <c r="B33" i="6"/>
  <c r="B34" i="6"/>
  <c r="B35" i="6"/>
  <c r="B36" i="6"/>
  <c r="B37" i="6"/>
  <c r="B38" i="6"/>
  <c r="B39" i="6"/>
  <c r="B40" i="6"/>
  <c r="B41" i="6"/>
  <c r="M11" i="21" l="1"/>
  <c r="M13" i="21"/>
  <c r="N34" i="6"/>
  <c r="D25" i="6"/>
  <c r="E25" i="6"/>
  <c r="D26" i="6"/>
  <c r="E26" i="6"/>
  <c r="D27" i="6"/>
  <c r="E27" i="6"/>
  <c r="D28" i="6"/>
  <c r="E28" i="6"/>
  <c r="D29" i="6"/>
  <c r="E29" i="6"/>
  <c r="D30" i="6"/>
  <c r="E30" i="6"/>
  <c r="D31" i="6"/>
  <c r="E31" i="6"/>
  <c r="D32" i="6"/>
  <c r="E32" i="6"/>
  <c r="D33" i="6"/>
  <c r="E33" i="6"/>
  <c r="D34" i="6"/>
  <c r="E34" i="6"/>
  <c r="D35" i="6"/>
  <c r="E35" i="6"/>
  <c r="D36" i="6"/>
  <c r="E36" i="6"/>
  <c r="D37" i="6"/>
  <c r="E37" i="6"/>
  <c r="D38" i="6"/>
  <c r="E38" i="6"/>
  <c r="D39" i="6"/>
  <c r="E39" i="6"/>
  <c r="D40" i="6"/>
  <c r="J40" i="6" s="1"/>
  <c r="E40" i="6"/>
  <c r="D41" i="6"/>
  <c r="J41" i="6" s="1"/>
  <c r="E41" i="6"/>
  <c r="D45" i="6"/>
  <c r="D46" i="6"/>
  <c r="E46" i="6"/>
  <c r="D47" i="6"/>
  <c r="E47" i="6"/>
  <c r="D48" i="6"/>
  <c r="E48" i="6"/>
  <c r="D49" i="6"/>
  <c r="E49" i="6"/>
  <c r="D50" i="6"/>
  <c r="E50" i="6"/>
  <c r="D51" i="6"/>
  <c r="E51" i="6"/>
  <c r="D52" i="6"/>
  <c r="E52" i="6"/>
  <c r="D53" i="6"/>
  <c r="E53" i="6"/>
  <c r="D54" i="6"/>
  <c r="E54" i="6"/>
  <c r="D55" i="6"/>
  <c r="E55" i="6"/>
  <c r="D56" i="6"/>
  <c r="E56" i="6"/>
  <c r="D57" i="6"/>
  <c r="E57" i="6"/>
  <c r="D58" i="6"/>
  <c r="E58" i="6"/>
  <c r="D59" i="6"/>
  <c r="E59" i="6"/>
  <c r="D60" i="6"/>
  <c r="E60" i="6"/>
  <c r="D61" i="6"/>
  <c r="E61" i="6"/>
  <c r="D62" i="6"/>
  <c r="E62" i="6"/>
  <c r="D63" i="6"/>
  <c r="E63" i="6"/>
  <c r="D64" i="6"/>
  <c r="E64" i="6"/>
  <c r="D65" i="6"/>
  <c r="E65" i="6"/>
  <c r="D66" i="6"/>
  <c r="E66" i="6"/>
  <c r="D67" i="6"/>
  <c r="E67" i="6"/>
  <c r="D68" i="6"/>
  <c r="E68" i="6"/>
  <c r="D69" i="6"/>
  <c r="E69" i="6"/>
  <c r="D70" i="6"/>
  <c r="E70" i="6"/>
  <c r="D71" i="6"/>
  <c r="E71" i="6"/>
  <c r="D72" i="6"/>
  <c r="E72" i="6"/>
  <c r="D73" i="6"/>
  <c r="E73" i="6"/>
  <c r="D74" i="6"/>
  <c r="E74" i="6"/>
  <c r="D75" i="6"/>
  <c r="E75" i="6"/>
  <c r="D76" i="6"/>
  <c r="E76" i="6"/>
  <c r="D77" i="6"/>
  <c r="E77" i="6"/>
  <c r="D78" i="6"/>
  <c r="E78" i="6"/>
  <c r="D79" i="6"/>
  <c r="E79" i="6"/>
  <c r="D80" i="6"/>
  <c r="E80" i="6"/>
  <c r="D81" i="6"/>
  <c r="E81" i="6"/>
  <c r="D82" i="6"/>
  <c r="E82" i="6"/>
  <c r="D83" i="6"/>
  <c r="E83" i="6"/>
  <c r="D84" i="6"/>
  <c r="E84" i="6"/>
  <c r="D85" i="6"/>
  <c r="E85" i="6"/>
  <c r="D86" i="6"/>
  <c r="E86" i="6"/>
  <c r="D87" i="6"/>
  <c r="E87" i="6"/>
  <c r="D88" i="6"/>
  <c r="E88" i="6"/>
  <c r="D89" i="6"/>
  <c r="E89" i="6"/>
  <c r="D90" i="6"/>
  <c r="E90" i="6"/>
  <c r="D91" i="6"/>
  <c r="E91" i="6"/>
  <c r="D92" i="6"/>
  <c r="E92" i="6"/>
  <c r="D93" i="6"/>
  <c r="E93" i="6"/>
  <c r="D94" i="6"/>
  <c r="E94" i="6"/>
  <c r="D95" i="6"/>
  <c r="E95" i="6"/>
  <c r="D96" i="6"/>
  <c r="E96" i="6"/>
  <c r="D97" i="6"/>
  <c r="E97" i="6"/>
  <c r="D98" i="6"/>
  <c r="E98" i="6"/>
  <c r="D99" i="6"/>
  <c r="E99" i="6"/>
  <c r="D100" i="6"/>
  <c r="E100" i="6"/>
  <c r="D101" i="6"/>
  <c r="E101" i="6"/>
  <c r="D102" i="6"/>
  <c r="E102" i="6"/>
  <c r="D103" i="6"/>
  <c r="E103" i="6"/>
  <c r="D104" i="6"/>
  <c r="E104" i="6"/>
  <c r="D105" i="6"/>
  <c r="E105" i="6"/>
  <c r="D106" i="6"/>
  <c r="E106" i="6"/>
  <c r="D107" i="6"/>
  <c r="E107" i="6"/>
  <c r="D108" i="6"/>
  <c r="E108" i="6"/>
  <c r="D109" i="6"/>
  <c r="E109" i="6"/>
  <c r="D110" i="6"/>
  <c r="E110" i="6"/>
  <c r="D111" i="6"/>
  <c r="E111" i="6"/>
  <c r="D112" i="6"/>
  <c r="E112" i="6"/>
  <c r="D113" i="6"/>
  <c r="E113" i="6"/>
  <c r="D114" i="6"/>
  <c r="E114" i="6"/>
  <c r="D115" i="6"/>
  <c r="E115" i="6"/>
  <c r="D116" i="6"/>
  <c r="E116" i="6"/>
  <c r="D117" i="6"/>
  <c r="E117" i="6"/>
  <c r="D118" i="6"/>
  <c r="E118" i="6"/>
  <c r="D119" i="6"/>
  <c r="E119" i="6"/>
  <c r="D120" i="6"/>
  <c r="E120" i="6"/>
  <c r="D121" i="6"/>
  <c r="E121" i="6"/>
  <c r="D122" i="6"/>
  <c r="E122" i="6"/>
  <c r="D123" i="6"/>
  <c r="E123" i="6"/>
  <c r="E24" i="6"/>
  <c r="D24" i="6"/>
  <c r="J24" i="6" s="1"/>
  <c r="X30" i="22"/>
  <c r="V38" i="12"/>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J39" i="6" l="1"/>
  <c r="R46" i="6"/>
  <c r="G43" i="6"/>
  <c r="I43" i="6" s="1"/>
  <c r="X30" i="23"/>
  <c r="U24" i="6"/>
  <c r="J38" i="6"/>
  <c r="X24" i="6"/>
  <c r="X30" i="6" s="1"/>
  <c r="AK10" i="14"/>
  <c r="R50" i="6"/>
  <c r="D21" i="18" l="1"/>
  <c r="F69" i="18" s="1"/>
  <c r="AL10" i="14"/>
  <c r="BU1" i="3"/>
  <c r="BT1" i="3"/>
  <c r="BS1" i="3"/>
  <c r="AS10" i="14" l="1"/>
  <c r="U26" i="6"/>
  <c r="U30" i="6" s="1"/>
  <c r="U38" i="6" s="1"/>
  <c r="G33" i="7"/>
  <c r="G34" i="7"/>
  <c r="G32" i="7"/>
  <c r="F33" i="7"/>
  <c r="F34" i="7"/>
  <c r="F32" i="7"/>
  <c r="C25" i="7"/>
  <c r="AU25" i="7" s="1"/>
  <c r="C19" i="6" l="1"/>
  <c r="U40" i="6"/>
  <c r="H33" i="7" l="1"/>
  <c r="K33" i="7" s="1"/>
  <c r="I33" i="7"/>
  <c r="H34" i="7"/>
  <c r="I34" i="7"/>
  <c r="AM34" i="7"/>
  <c r="AM35" i="7"/>
  <c r="AM36" i="7"/>
  <c r="AM37" i="7"/>
  <c r="AM38" i="7"/>
  <c r="AM39" i="7"/>
  <c r="AM40" i="7"/>
  <c r="AM41" i="7"/>
  <c r="AM42" i="7"/>
  <c r="AM43" i="7"/>
  <c r="AM44" i="7"/>
  <c r="AM45" i="7"/>
  <c r="AM46" i="7"/>
  <c r="AM47" i="7"/>
  <c r="AM48" i="7"/>
  <c r="AM49" i="7"/>
  <c r="AM50" i="7"/>
  <c r="AM51" i="7"/>
  <c r="AM52" i="7"/>
  <c r="AM53" i="7"/>
  <c r="AM54" i="7"/>
  <c r="AM55" i="7"/>
  <c r="AM56" i="7"/>
  <c r="AM57" i="7"/>
  <c r="AM58" i="7"/>
  <c r="AM59" i="7"/>
  <c r="AM60" i="7"/>
  <c r="AM61" i="7"/>
  <c r="AM62" i="7"/>
  <c r="AM63" i="7"/>
  <c r="AM64" i="7"/>
  <c r="AM65" i="7"/>
  <c r="AM66" i="7"/>
  <c r="AM67" i="7"/>
  <c r="AM68" i="7"/>
  <c r="AM69" i="7"/>
  <c r="AM70" i="7"/>
  <c r="AM71" i="7"/>
  <c r="AM72" i="7"/>
  <c r="AM73" i="7"/>
  <c r="AM74" i="7"/>
  <c r="AM75" i="7"/>
  <c r="AM76" i="7"/>
  <c r="AM77" i="7"/>
  <c r="AM78" i="7"/>
  <c r="AM79" i="7"/>
  <c r="AM80" i="7"/>
  <c r="AM81" i="7"/>
  <c r="AM82" i="7"/>
  <c r="AM83" i="7"/>
  <c r="AM84" i="7"/>
  <c r="AM85" i="7"/>
  <c r="AM86" i="7"/>
  <c r="AM87" i="7"/>
  <c r="AM88" i="7"/>
  <c r="AM89" i="7"/>
  <c r="AM90" i="7"/>
  <c r="AM91" i="7"/>
  <c r="AM92" i="7"/>
  <c r="AM93" i="7"/>
  <c r="AM94" i="7"/>
  <c r="AM95" i="7"/>
  <c r="AM96" i="7"/>
  <c r="AM97" i="7"/>
  <c r="AM98" i="7"/>
  <c r="AM99" i="7"/>
  <c r="AM100" i="7"/>
  <c r="AM101" i="7"/>
  <c r="AM102" i="7"/>
  <c r="AM103" i="7"/>
  <c r="AM104" i="7"/>
  <c r="AM105" i="7"/>
  <c r="AM106" i="7"/>
  <c r="AM107" i="7"/>
  <c r="AM108" i="7"/>
  <c r="AM109" i="7"/>
  <c r="AM110" i="7"/>
  <c r="AM111" i="7"/>
  <c r="AM112" i="7"/>
  <c r="AM113" i="7"/>
  <c r="AM114" i="7"/>
  <c r="AM115" i="7"/>
  <c r="AM116" i="7"/>
  <c r="AM117" i="7"/>
  <c r="AM118" i="7"/>
  <c r="AM119" i="7"/>
  <c r="AM120" i="7"/>
  <c r="AM121" i="7"/>
  <c r="AM122" i="7"/>
  <c r="AM123" i="7"/>
  <c r="AM124" i="7"/>
  <c r="AM125" i="7"/>
  <c r="AM126" i="7"/>
  <c r="AM127" i="7"/>
  <c r="AM128" i="7"/>
  <c r="AM129" i="7"/>
  <c r="AM130" i="7"/>
  <c r="AM131" i="7"/>
  <c r="AM132" i="7"/>
  <c r="AM133" i="7"/>
  <c r="AM134" i="7"/>
  <c r="AM135" i="7"/>
  <c r="AM136" i="7"/>
  <c r="AM137" i="7"/>
  <c r="AM138" i="7"/>
  <c r="AM139" i="7"/>
  <c r="AM140" i="7"/>
  <c r="AM141" i="7"/>
  <c r="AM142" i="7"/>
  <c r="AM143" i="7"/>
  <c r="AM144" i="7"/>
  <c r="AM145" i="7"/>
  <c r="AM146" i="7"/>
  <c r="AM147" i="7"/>
  <c r="AM148" i="7"/>
  <c r="AM149" i="7"/>
  <c r="AM150" i="7"/>
  <c r="AM151" i="7"/>
  <c r="AM152" i="7"/>
  <c r="AM153" i="7"/>
  <c r="AM154" i="7"/>
  <c r="AM155" i="7"/>
  <c r="AM156" i="7"/>
  <c r="AM157" i="7"/>
  <c r="AM158" i="7"/>
  <c r="AM159" i="7"/>
  <c r="AM160" i="7"/>
  <c r="AM161" i="7"/>
  <c r="AM162" i="7"/>
  <c r="AM163" i="7"/>
  <c r="AM164" i="7"/>
  <c r="AM165" i="7"/>
  <c r="AM166" i="7"/>
  <c r="AM167" i="7"/>
  <c r="AM168" i="7"/>
  <c r="AM169" i="7"/>
  <c r="AM170" i="7"/>
  <c r="AM171" i="7"/>
  <c r="AM172" i="7"/>
  <c r="AM173" i="7"/>
  <c r="AM174" i="7"/>
  <c r="AM175" i="7"/>
  <c r="AM176" i="7"/>
  <c r="AM177" i="7"/>
  <c r="AM178" i="7"/>
  <c r="AM179" i="7"/>
  <c r="AM180" i="7"/>
  <c r="AM181" i="7"/>
  <c r="AM182" i="7"/>
  <c r="AM183" i="7"/>
  <c r="AM184" i="7"/>
  <c r="AM185" i="7"/>
  <c r="AM186" i="7"/>
  <c r="AM187" i="7"/>
  <c r="AM188" i="7"/>
  <c r="AM189" i="7"/>
  <c r="AM190" i="7"/>
  <c r="AM191" i="7"/>
  <c r="AM192" i="7"/>
  <c r="AM193" i="7"/>
  <c r="AM194" i="7"/>
  <c r="AM195" i="7"/>
  <c r="AM196" i="7"/>
  <c r="AM197" i="7"/>
  <c r="AM198" i="7"/>
  <c r="AM199" i="7"/>
  <c r="AM200" i="7"/>
  <c r="AM201" i="7"/>
  <c r="AM202" i="7"/>
  <c r="AM203" i="7"/>
  <c r="AM204" i="7"/>
  <c r="AM205" i="7"/>
  <c r="AM206" i="7"/>
  <c r="AM207" i="7"/>
  <c r="AM208" i="7"/>
  <c r="AM209" i="7"/>
  <c r="AM210" i="7"/>
  <c r="AM211" i="7"/>
  <c r="AM212" i="7"/>
  <c r="AM213" i="7"/>
  <c r="AM214" i="7"/>
  <c r="AM215" i="7"/>
  <c r="AM216" i="7"/>
  <c r="AM217" i="7"/>
  <c r="AM218" i="7"/>
  <c r="AM219" i="7"/>
  <c r="AM220" i="7"/>
  <c r="AM221" i="7"/>
  <c r="AM222" i="7"/>
  <c r="AM223" i="7"/>
  <c r="AM224" i="7"/>
  <c r="AM225" i="7"/>
  <c r="AM226" i="7"/>
  <c r="AM227" i="7"/>
  <c r="AM228" i="7"/>
  <c r="AM229" i="7"/>
  <c r="AM230" i="7"/>
  <c r="AM231" i="7"/>
  <c r="AM232" i="7"/>
  <c r="AM233" i="7"/>
  <c r="AM234" i="7"/>
  <c r="AM235" i="7"/>
  <c r="AM236" i="7"/>
  <c r="AM237" i="7"/>
  <c r="AM238" i="7"/>
  <c r="AM239" i="7"/>
  <c r="AM240" i="7"/>
  <c r="AM241" i="7"/>
  <c r="AM242" i="7"/>
  <c r="AM243" i="7"/>
  <c r="AM244" i="7"/>
  <c r="AM245" i="7"/>
  <c r="AM246" i="7"/>
  <c r="AM247" i="7"/>
  <c r="AM248" i="7"/>
  <c r="AM249" i="7"/>
  <c r="AM250" i="7"/>
  <c r="AM251" i="7"/>
  <c r="AM252" i="7"/>
  <c r="AM253" i="7"/>
  <c r="AM254" i="7"/>
  <c r="AM255" i="7"/>
  <c r="AM256" i="7"/>
  <c r="AM257" i="7"/>
  <c r="AM258" i="7"/>
  <c r="AM259" i="7"/>
  <c r="AM260" i="7"/>
  <c r="AM261" i="7"/>
  <c r="AM262" i="7"/>
  <c r="AM263" i="7"/>
  <c r="AM264" i="7"/>
  <c r="AM265" i="7"/>
  <c r="AM266" i="7"/>
  <c r="AM267" i="7"/>
  <c r="AM268" i="7"/>
  <c r="AM269" i="7"/>
  <c r="AM270" i="7"/>
  <c r="AM271" i="7"/>
  <c r="AM272" i="7"/>
  <c r="AM273" i="7"/>
  <c r="AM274" i="7"/>
  <c r="AM275" i="7"/>
  <c r="AM276" i="7"/>
  <c r="AM277" i="7"/>
  <c r="AM278" i="7"/>
  <c r="AM279" i="7"/>
  <c r="AM280" i="7"/>
  <c r="AM281" i="7"/>
  <c r="AM282" i="7"/>
  <c r="AM283" i="7"/>
  <c r="AM284" i="7"/>
  <c r="AM285" i="7"/>
  <c r="AM286" i="7"/>
  <c r="AM287" i="7"/>
  <c r="AM288" i="7"/>
  <c r="AM289" i="7"/>
  <c r="AM290" i="7"/>
  <c r="AM291" i="7"/>
  <c r="AM292" i="7"/>
  <c r="AM293" i="7"/>
  <c r="AM294" i="7"/>
  <c r="AM295" i="7"/>
  <c r="AM296" i="7"/>
  <c r="AM297" i="7"/>
  <c r="AM298" i="7"/>
  <c r="AM299" i="7"/>
  <c r="AM300" i="7"/>
  <c r="AM301" i="7"/>
  <c r="AM302" i="7"/>
  <c r="AM303" i="7"/>
  <c r="AM304" i="7"/>
  <c r="AM305" i="7"/>
  <c r="AM306" i="7"/>
  <c r="AM307" i="7"/>
  <c r="AM308" i="7"/>
  <c r="AM309" i="7"/>
  <c r="AM310" i="7"/>
  <c r="AM311" i="7"/>
  <c r="AM312" i="7"/>
  <c r="AM313" i="7"/>
  <c r="AM314" i="7"/>
  <c r="AM315" i="7"/>
  <c r="AM316" i="7"/>
  <c r="AM317" i="7"/>
  <c r="AM318" i="7"/>
  <c r="AM319" i="7"/>
  <c r="AM320" i="7"/>
  <c r="AM321" i="7"/>
  <c r="AM322" i="7"/>
  <c r="AM323" i="7"/>
  <c r="AM324" i="7"/>
  <c r="AM325" i="7"/>
  <c r="AM326" i="7"/>
  <c r="AM327" i="7"/>
  <c r="AM328" i="7"/>
  <c r="AM329" i="7"/>
  <c r="AM330" i="7"/>
  <c r="AM331" i="7"/>
  <c r="AM332" i="7"/>
  <c r="AM333" i="7"/>
  <c r="AM334" i="7"/>
  <c r="AM335" i="7"/>
  <c r="AM336" i="7"/>
  <c r="AM337" i="7"/>
  <c r="AM338" i="7"/>
  <c r="AM339" i="7"/>
  <c r="AM340" i="7"/>
  <c r="AM341" i="7"/>
  <c r="AM342" i="7"/>
  <c r="AM343" i="7"/>
  <c r="AM344" i="7"/>
  <c r="AM345" i="7"/>
  <c r="AM346" i="7"/>
  <c r="AM347" i="7"/>
  <c r="AM348" i="7"/>
  <c r="AM349" i="7"/>
  <c r="AM350" i="7"/>
  <c r="AM351" i="7"/>
  <c r="AM352" i="7"/>
  <c r="AM353" i="7"/>
  <c r="AM354" i="7"/>
  <c r="AM355" i="7"/>
  <c r="AM356" i="7"/>
  <c r="AM357" i="7"/>
  <c r="AM358" i="7"/>
  <c r="AM359" i="7"/>
  <c r="AM360" i="7"/>
  <c r="AM361" i="7"/>
  <c r="AM362" i="7"/>
  <c r="AM363" i="7"/>
  <c r="AM364" i="7"/>
  <c r="AM365" i="7"/>
  <c r="AM366" i="7"/>
  <c r="AM367" i="7"/>
  <c r="AM368" i="7"/>
  <c r="AM369" i="7"/>
  <c r="AM370" i="7"/>
  <c r="AM371" i="7"/>
  <c r="AM372" i="7"/>
  <c r="AM373" i="7"/>
  <c r="AM374" i="7"/>
  <c r="AM375" i="7"/>
  <c r="AM376" i="7"/>
  <c r="AM377" i="7"/>
  <c r="AM378" i="7"/>
  <c r="AM379" i="7"/>
  <c r="AM380" i="7"/>
  <c r="AM381" i="7"/>
  <c r="AM382" i="7"/>
  <c r="AM383" i="7"/>
  <c r="AM384" i="7"/>
  <c r="AM385" i="7"/>
  <c r="AM386" i="7"/>
  <c r="AM387" i="7"/>
  <c r="AM388" i="7"/>
  <c r="AM389" i="7"/>
  <c r="AM390" i="7"/>
  <c r="AM391" i="7"/>
  <c r="AM392" i="7"/>
  <c r="AM393" i="7"/>
  <c r="AM394" i="7"/>
  <c r="AM395" i="7"/>
  <c r="AM396" i="7"/>
  <c r="AM397" i="7"/>
  <c r="AM398" i="7"/>
  <c r="AM399" i="7"/>
  <c r="AM400" i="7"/>
  <c r="AM401" i="7"/>
  <c r="AM402" i="7"/>
  <c r="AM403" i="7"/>
  <c r="AM404" i="7"/>
  <c r="AM405" i="7"/>
  <c r="AM406" i="7"/>
  <c r="AM407" i="7"/>
  <c r="AM408" i="7"/>
  <c r="AM409" i="7"/>
  <c r="AM410" i="7"/>
  <c r="AM411" i="7"/>
  <c r="AM412" i="7"/>
  <c r="AM413" i="7"/>
  <c r="AM414" i="7"/>
  <c r="AM415" i="7"/>
  <c r="AM416" i="7"/>
  <c r="AM417" i="7"/>
  <c r="AM418" i="7"/>
  <c r="AM419" i="7"/>
  <c r="AM420" i="7"/>
  <c r="AM421" i="7"/>
  <c r="AM422" i="7"/>
  <c r="AM423" i="7"/>
  <c r="AM424" i="7"/>
  <c r="AM425" i="7"/>
  <c r="AM426" i="7"/>
  <c r="AM427" i="7"/>
  <c r="AM428" i="7"/>
  <c r="AM429" i="7"/>
  <c r="AM430" i="7"/>
  <c r="AM431" i="7"/>
  <c r="AM432" i="7"/>
  <c r="AM433" i="7"/>
  <c r="AM434" i="7"/>
  <c r="AM435" i="7"/>
  <c r="AM436" i="7"/>
  <c r="AM437" i="7"/>
  <c r="AM438" i="7"/>
  <c r="AM439" i="7"/>
  <c r="AM440" i="7"/>
  <c r="AM441" i="7"/>
  <c r="AM442" i="7"/>
  <c r="AM443" i="7"/>
  <c r="AM444" i="7"/>
  <c r="AM445" i="7"/>
  <c r="AM446" i="7"/>
  <c r="AM447" i="7"/>
  <c r="AM448" i="7"/>
  <c r="AM449" i="7"/>
  <c r="AM450" i="7"/>
  <c r="AM451" i="7"/>
  <c r="AM452" i="7"/>
  <c r="AM453" i="7"/>
  <c r="AM454" i="7"/>
  <c r="AM455" i="7"/>
  <c r="AM456" i="7"/>
  <c r="AM457" i="7"/>
  <c r="AM458" i="7"/>
  <c r="AM459" i="7"/>
  <c r="AM460" i="7"/>
  <c r="AM461" i="7"/>
  <c r="AM462" i="7"/>
  <c r="AM463" i="7"/>
  <c r="AM464" i="7"/>
  <c r="AM465" i="7"/>
  <c r="AM466" i="7"/>
  <c r="AM467" i="7"/>
  <c r="AM468" i="7"/>
  <c r="AM469" i="7"/>
  <c r="AM470" i="7"/>
  <c r="AM471" i="7"/>
  <c r="AM472" i="7"/>
  <c r="AM473" i="7"/>
  <c r="AM474" i="7"/>
  <c r="AM475" i="7"/>
  <c r="AM476" i="7"/>
  <c r="AM477" i="7"/>
  <c r="AM478" i="7"/>
  <c r="AM479" i="7"/>
  <c r="AM480" i="7"/>
  <c r="AM481" i="7"/>
  <c r="AO33" i="7"/>
  <c r="AO34" i="7"/>
  <c r="AO35" i="7"/>
  <c r="AO36" i="7"/>
  <c r="AO37" i="7"/>
  <c r="AO38" i="7"/>
  <c r="AO39" i="7"/>
  <c r="AO40" i="7"/>
  <c r="AO41" i="7"/>
  <c r="AO42" i="7"/>
  <c r="AO43" i="7"/>
  <c r="AO44" i="7"/>
  <c r="AO45" i="7"/>
  <c r="AO46" i="7"/>
  <c r="AO47" i="7"/>
  <c r="AO48" i="7"/>
  <c r="AO49" i="7"/>
  <c r="AO50" i="7"/>
  <c r="AO51" i="7"/>
  <c r="AO52" i="7"/>
  <c r="AO53" i="7"/>
  <c r="AO54" i="7"/>
  <c r="AO55" i="7"/>
  <c r="AO56" i="7"/>
  <c r="AO57" i="7"/>
  <c r="AO58" i="7"/>
  <c r="AO59" i="7"/>
  <c r="AO60" i="7"/>
  <c r="AO61" i="7"/>
  <c r="AO62" i="7"/>
  <c r="AO63" i="7"/>
  <c r="AO64" i="7"/>
  <c r="AO65" i="7"/>
  <c r="AO66" i="7"/>
  <c r="AO67" i="7"/>
  <c r="AO68" i="7"/>
  <c r="AO69" i="7"/>
  <c r="AO70" i="7"/>
  <c r="AO71" i="7"/>
  <c r="AO72" i="7"/>
  <c r="AO73" i="7"/>
  <c r="AO74" i="7"/>
  <c r="AO75" i="7"/>
  <c r="AO76" i="7"/>
  <c r="AO77" i="7"/>
  <c r="AO78" i="7"/>
  <c r="AO79" i="7"/>
  <c r="AO80" i="7"/>
  <c r="AO81" i="7"/>
  <c r="AO82" i="7"/>
  <c r="AO83" i="7"/>
  <c r="AO84" i="7"/>
  <c r="AO85" i="7"/>
  <c r="AO86" i="7"/>
  <c r="AO87" i="7"/>
  <c r="AO88" i="7"/>
  <c r="AO89" i="7"/>
  <c r="AO90" i="7"/>
  <c r="AO91" i="7"/>
  <c r="AO92" i="7"/>
  <c r="AO93" i="7"/>
  <c r="AO94" i="7"/>
  <c r="AO95" i="7"/>
  <c r="AO96" i="7"/>
  <c r="AO97" i="7"/>
  <c r="AO98" i="7"/>
  <c r="AO99" i="7"/>
  <c r="AO100" i="7"/>
  <c r="AO101" i="7"/>
  <c r="AO102" i="7"/>
  <c r="AO103" i="7"/>
  <c r="AO104" i="7"/>
  <c r="AO105" i="7"/>
  <c r="AO106" i="7"/>
  <c r="AO107" i="7"/>
  <c r="AO108" i="7"/>
  <c r="AO109" i="7"/>
  <c r="AO110" i="7"/>
  <c r="AO111" i="7"/>
  <c r="AO112" i="7"/>
  <c r="AO113" i="7"/>
  <c r="AO114" i="7"/>
  <c r="AO115" i="7"/>
  <c r="AO116" i="7"/>
  <c r="AO117" i="7"/>
  <c r="AO118" i="7"/>
  <c r="AO119" i="7"/>
  <c r="AO120" i="7"/>
  <c r="AO121" i="7"/>
  <c r="AO122" i="7"/>
  <c r="AO123" i="7"/>
  <c r="AO124" i="7"/>
  <c r="AO125" i="7"/>
  <c r="AO126" i="7"/>
  <c r="AO127" i="7"/>
  <c r="AO128" i="7"/>
  <c r="AO129" i="7"/>
  <c r="AO130" i="7"/>
  <c r="AO131" i="7"/>
  <c r="AO132" i="7"/>
  <c r="AO133" i="7"/>
  <c r="AO134" i="7"/>
  <c r="AO135" i="7"/>
  <c r="AO136" i="7"/>
  <c r="AO137" i="7"/>
  <c r="AO138" i="7"/>
  <c r="AO139" i="7"/>
  <c r="AO140" i="7"/>
  <c r="AO141" i="7"/>
  <c r="AO142" i="7"/>
  <c r="AO143" i="7"/>
  <c r="AO144" i="7"/>
  <c r="AO145" i="7"/>
  <c r="AO146" i="7"/>
  <c r="AO147" i="7"/>
  <c r="AO148" i="7"/>
  <c r="AO149" i="7"/>
  <c r="AO150" i="7"/>
  <c r="AO151" i="7"/>
  <c r="AO152" i="7"/>
  <c r="AO153" i="7"/>
  <c r="AO154" i="7"/>
  <c r="AO155" i="7"/>
  <c r="AO156" i="7"/>
  <c r="AO157" i="7"/>
  <c r="AO158" i="7"/>
  <c r="AO159" i="7"/>
  <c r="AO160" i="7"/>
  <c r="AO161" i="7"/>
  <c r="AO162" i="7"/>
  <c r="AO163" i="7"/>
  <c r="AO164" i="7"/>
  <c r="AO165" i="7"/>
  <c r="AO166" i="7"/>
  <c r="AO167" i="7"/>
  <c r="AO168" i="7"/>
  <c r="AO169" i="7"/>
  <c r="AO170" i="7"/>
  <c r="AO171" i="7"/>
  <c r="AO172" i="7"/>
  <c r="AO173" i="7"/>
  <c r="AO174" i="7"/>
  <c r="AO175" i="7"/>
  <c r="AO176" i="7"/>
  <c r="AO177" i="7"/>
  <c r="AO178" i="7"/>
  <c r="AO179" i="7"/>
  <c r="AO180" i="7"/>
  <c r="AO181" i="7"/>
  <c r="AO182" i="7"/>
  <c r="AO183" i="7"/>
  <c r="AO184" i="7"/>
  <c r="AO185" i="7"/>
  <c r="AO186" i="7"/>
  <c r="AO187" i="7"/>
  <c r="AO188" i="7"/>
  <c r="AO189" i="7"/>
  <c r="AO190" i="7"/>
  <c r="AO191" i="7"/>
  <c r="AO192" i="7"/>
  <c r="AO193" i="7"/>
  <c r="AO194" i="7"/>
  <c r="AO195" i="7"/>
  <c r="AO196" i="7"/>
  <c r="AO197" i="7"/>
  <c r="AO198" i="7"/>
  <c r="AO199" i="7"/>
  <c r="AO200" i="7"/>
  <c r="AO201" i="7"/>
  <c r="AO202" i="7"/>
  <c r="AO203" i="7"/>
  <c r="AO204" i="7"/>
  <c r="AO205" i="7"/>
  <c r="AO206" i="7"/>
  <c r="AO207" i="7"/>
  <c r="AO208" i="7"/>
  <c r="AO209" i="7"/>
  <c r="AO210" i="7"/>
  <c r="AO211" i="7"/>
  <c r="AO212" i="7"/>
  <c r="AO213" i="7"/>
  <c r="AO214" i="7"/>
  <c r="AO215" i="7"/>
  <c r="AO216" i="7"/>
  <c r="AO217" i="7"/>
  <c r="AO218" i="7"/>
  <c r="AO219" i="7"/>
  <c r="AO220" i="7"/>
  <c r="AO221" i="7"/>
  <c r="AO222" i="7"/>
  <c r="AO223" i="7"/>
  <c r="AO224" i="7"/>
  <c r="AO225" i="7"/>
  <c r="AO226" i="7"/>
  <c r="AO227" i="7"/>
  <c r="AO228" i="7"/>
  <c r="AO229" i="7"/>
  <c r="AO230" i="7"/>
  <c r="AO231" i="7"/>
  <c r="AO232" i="7"/>
  <c r="AO233" i="7"/>
  <c r="AO234" i="7"/>
  <c r="AO235" i="7"/>
  <c r="AO236" i="7"/>
  <c r="AO237" i="7"/>
  <c r="AO238" i="7"/>
  <c r="AO239" i="7"/>
  <c r="AO240" i="7"/>
  <c r="AO241" i="7"/>
  <c r="AO242" i="7"/>
  <c r="AO243" i="7"/>
  <c r="AO244" i="7"/>
  <c r="AO245" i="7"/>
  <c r="AO246" i="7"/>
  <c r="AO247" i="7"/>
  <c r="AO248" i="7"/>
  <c r="AO249" i="7"/>
  <c r="AO250" i="7"/>
  <c r="AO251" i="7"/>
  <c r="AO252" i="7"/>
  <c r="AO253" i="7"/>
  <c r="AO254" i="7"/>
  <c r="AO255" i="7"/>
  <c r="AO256" i="7"/>
  <c r="AO257" i="7"/>
  <c r="AO258" i="7"/>
  <c r="AO259" i="7"/>
  <c r="AO260" i="7"/>
  <c r="AO261" i="7"/>
  <c r="AO262" i="7"/>
  <c r="AO263" i="7"/>
  <c r="AO264" i="7"/>
  <c r="AO265" i="7"/>
  <c r="AO266" i="7"/>
  <c r="AO267" i="7"/>
  <c r="AO268" i="7"/>
  <c r="AO269" i="7"/>
  <c r="AO270" i="7"/>
  <c r="AO271" i="7"/>
  <c r="AO272" i="7"/>
  <c r="AO273" i="7"/>
  <c r="AO274" i="7"/>
  <c r="AO275" i="7"/>
  <c r="AO276" i="7"/>
  <c r="AO277" i="7"/>
  <c r="AO278" i="7"/>
  <c r="AO279" i="7"/>
  <c r="AO280" i="7"/>
  <c r="AO281" i="7"/>
  <c r="AO282" i="7"/>
  <c r="AO283" i="7"/>
  <c r="AO284" i="7"/>
  <c r="AO285" i="7"/>
  <c r="AO286" i="7"/>
  <c r="AO287" i="7"/>
  <c r="AO288" i="7"/>
  <c r="AO289" i="7"/>
  <c r="AO290" i="7"/>
  <c r="AO291" i="7"/>
  <c r="AO292" i="7"/>
  <c r="AO293" i="7"/>
  <c r="AO294" i="7"/>
  <c r="AO295" i="7"/>
  <c r="AO296" i="7"/>
  <c r="AO297" i="7"/>
  <c r="AO298" i="7"/>
  <c r="AO299" i="7"/>
  <c r="AO300" i="7"/>
  <c r="AO301" i="7"/>
  <c r="AO302" i="7"/>
  <c r="AO303" i="7"/>
  <c r="AO304" i="7"/>
  <c r="AO305" i="7"/>
  <c r="AO306" i="7"/>
  <c r="AO307" i="7"/>
  <c r="AO308" i="7"/>
  <c r="AO309" i="7"/>
  <c r="AO310" i="7"/>
  <c r="AO311" i="7"/>
  <c r="AO312" i="7"/>
  <c r="AO313" i="7"/>
  <c r="AO314" i="7"/>
  <c r="AO315" i="7"/>
  <c r="AO316" i="7"/>
  <c r="AO317" i="7"/>
  <c r="AO318" i="7"/>
  <c r="AO319" i="7"/>
  <c r="AO320" i="7"/>
  <c r="AO321" i="7"/>
  <c r="AO322" i="7"/>
  <c r="AO323" i="7"/>
  <c r="AO324" i="7"/>
  <c r="AO325" i="7"/>
  <c r="AO326" i="7"/>
  <c r="AO327" i="7"/>
  <c r="AO328" i="7"/>
  <c r="AO329" i="7"/>
  <c r="AO330" i="7"/>
  <c r="AO331" i="7"/>
  <c r="AO332" i="7"/>
  <c r="AO333" i="7"/>
  <c r="AO334" i="7"/>
  <c r="AO335" i="7"/>
  <c r="AO336" i="7"/>
  <c r="AO337" i="7"/>
  <c r="AO338" i="7"/>
  <c r="AO339" i="7"/>
  <c r="AO340" i="7"/>
  <c r="AO341" i="7"/>
  <c r="AO342" i="7"/>
  <c r="AO343" i="7"/>
  <c r="AO344" i="7"/>
  <c r="AO345" i="7"/>
  <c r="AO346" i="7"/>
  <c r="AO347" i="7"/>
  <c r="AO348" i="7"/>
  <c r="AO349" i="7"/>
  <c r="AO350" i="7"/>
  <c r="AO351" i="7"/>
  <c r="AO352" i="7"/>
  <c r="AO353" i="7"/>
  <c r="AO354" i="7"/>
  <c r="AO355" i="7"/>
  <c r="AO356" i="7"/>
  <c r="AO357" i="7"/>
  <c r="AO358" i="7"/>
  <c r="AO359" i="7"/>
  <c r="AO360" i="7"/>
  <c r="AO361" i="7"/>
  <c r="AO362" i="7"/>
  <c r="AO363" i="7"/>
  <c r="AO364" i="7"/>
  <c r="AO365" i="7"/>
  <c r="AO366" i="7"/>
  <c r="AO367" i="7"/>
  <c r="AO368" i="7"/>
  <c r="AO369" i="7"/>
  <c r="AO370" i="7"/>
  <c r="AO371" i="7"/>
  <c r="AO372" i="7"/>
  <c r="AO373" i="7"/>
  <c r="AO374" i="7"/>
  <c r="AO375" i="7"/>
  <c r="AO376" i="7"/>
  <c r="AO377" i="7"/>
  <c r="AO378" i="7"/>
  <c r="AO379" i="7"/>
  <c r="AO380" i="7"/>
  <c r="AO381" i="7"/>
  <c r="AO382" i="7"/>
  <c r="AO383" i="7"/>
  <c r="AO384" i="7"/>
  <c r="AO385" i="7"/>
  <c r="AO386" i="7"/>
  <c r="AO387" i="7"/>
  <c r="AO388" i="7"/>
  <c r="AO389" i="7"/>
  <c r="AO390" i="7"/>
  <c r="AO391" i="7"/>
  <c r="AO392" i="7"/>
  <c r="AO393" i="7"/>
  <c r="AO394" i="7"/>
  <c r="AO395" i="7"/>
  <c r="AO396" i="7"/>
  <c r="AO397" i="7"/>
  <c r="AO398" i="7"/>
  <c r="AO399" i="7"/>
  <c r="AO400" i="7"/>
  <c r="AO401" i="7"/>
  <c r="AO402" i="7"/>
  <c r="AO403" i="7"/>
  <c r="AO404" i="7"/>
  <c r="AO405" i="7"/>
  <c r="AO406" i="7"/>
  <c r="AO407" i="7"/>
  <c r="AO408" i="7"/>
  <c r="AO409" i="7"/>
  <c r="AO410" i="7"/>
  <c r="AO411" i="7"/>
  <c r="AO412" i="7"/>
  <c r="AO413" i="7"/>
  <c r="AO414" i="7"/>
  <c r="AO415" i="7"/>
  <c r="AO416" i="7"/>
  <c r="AO417" i="7"/>
  <c r="AO418" i="7"/>
  <c r="AO419" i="7"/>
  <c r="AO420" i="7"/>
  <c r="AO421" i="7"/>
  <c r="AO422" i="7"/>
  <c r="AO423" i="7"/>
  <c r="AO424" i="7"/>
  <c r="AO425" i="7"/>
  <c r="AO426" i="7"/>
  <c r="AO427" i="7"/>
  <c r="AO428" i="7"/>
  <c r="AO429" i="7"/>
  <c r="AO430" i="7"/>
  <c r="AO431" i="7"/>
  <c r="AO432" i="7"/>
  <c r="AO433" i="7"/>
  <c r="AO434" i="7"/>
  <c r="AO435" i="7"/>
  <c r="AO436" i="7"/>
  <c r="AO437" i="7"/>
  <c r="AO438" i="7"/>
  <c r="AO439" i="7"/>
  <c r="AO440" i="7"/>
  <c r="AO441" i="7"/>
  <c r="AO442" i="7"/>
  <c r="AO443" i="7"/>
  <c r="AO444" i="7"/>
  <c r="AO445" i="7"/>
  <c r="AO446" i="7"/>
  <c r="AO447" i="7"/>
  <c r="AO448" i="7"/>
  <c r="AO449" i="7"/>
  <c r="AO450" i="7"/>
  <c r="AO451" i="7"/>
  <c r="AO452" i="7"/>
  <c r="AO453" i="7"/>
  <c r="AO454" i="7"/>
  <c r="AO455" i="7"/>
  <c r="AO456" i="7"/>
  <c r="AO457" i="7"/>
  <c r="AO458" i="7"/>
  <c r="AO459" i="7"/>
  <c r="AO460" i="7"/>
  <c r="AO461" i="7"/>
  <c r="AO462" i="7"/>
  <c r="AO463" i="7"/>
  <c r="AO464" i="7"/>
  <c r="AO465" i="7"/>
  <c r="AO466" i="7"/>
  <c r="AO467" i="7"/>
  <c r="AO468" i="7"/>
  <c r="AO469" i="7"/>
  <c r="AO470" i="7"/>
  <c r="AO471" i="7"/>
  <c r="AO472" i="7"/>
  <c r="AO473" i="7"/>
  <c r="AO474" i="7"/>
  <c r="AO475" i="7"/>
  <c r="AO476" i="7"/>
  <c r="AO477" i="7"/>
  <c r="AO478" i="7"/>
  <c r="AO479" i="7"/>
  <c r="AO480" i="7"/>
  <c r="AO481" i="7"/>
  <c r="AO32" i="7"/>
  <c r="I32" i="7"/>
  <c r="H32" i="7"/>
  <c r="K32" i="7" s="1"/>
  <c r="T28" i="7" l="1"/>
  <c r="J33" i="7"/>
  <c r="L33" i="7" s="1"/>
  <c r="L47" i="7"/>
  <c r="J32" i="7" s="1"/>
  <c r="AM33" i="7"/>
  <c r="I47" i="7"/>
  <c r="M40" i="7" s="1"/>
  <c r="AN473" i="7"/>
  <c r="AL473" i="7"/>
  <c r="AN469" i="7"/>
  <c r="AL469" i="7"/>
  <c r="AN465" i="7"/>
  <c r="AL465" i="7"/>
  <c r="AN461" i="7"/>
  <c r="AL461" i="7"/>
  <c r="AN455" i="7"/>
  <c r="AL455" i="7"/>
  <c r="AN449" i="7"/>
  <c r="AL449" i="7"/>
  <c r="AN447" i="7"/>
  <c r="AL447" i="7"/>
  <c r="AN441" i="7"/>
  <c r="AL441" i="7"/>
  <c r="AN437" i="7"/>
  <c r="AL437" i="7"/>
  <c r="AN431" i="7"/>
  <c r="AL431" i="7"/>
  <c r="AN425" i="7"/>
  <c r="AL425" i="7"/>
  <c r="AN417" i="7"/>
  <c r="AL417" i="7"/>
  <c r="AN405" i="7"/>
  <c r="AL405" i="7"/>
  <c r="AN395" i="7"/>
  <c r="AL395" i="7"/>
  <c r="AN391" i="7"/>
  <c r="AL391" i="7"/>
  <c r="AN385" i="7"/>
  <c r="AL385" i="7"/>
  <c r="AN381" i="7"/>
  <c r="AL381" i="7"/>
  <c r="AN375" i="7"/>
  <c r="AL375" i="7"/>
  <c r="AN369" i="7"/>
  <c r="AL369" i="7"/>
  <c r="AN363" i="7"/>
  <c r="AL363" i="7"/>
  <c r="AN355" i="7"/>
  <c r="AL355" i="7"/>
  <c r="AN347" i="7"/>
  <c r="AL347" i="7"/>
  <c r="AN341" i="7"/>
  <c r="AL341" i="7"/>
  <c r="AN337" i="7"/>
  <c r="AL337" i="7"/>
  <c r="AN331" i="7"/>
  <c r="AL331" i="7"/>
  <c r="AN325" i="7"/>
  <c r="AL325" i="7"/>
  <c r="AN319" i="7"/>
  <c r="AL319" i="7"/>
  <c r="AN313" i="7"/>
  <c r="AL313" i="7"/>
  <c r="AN307" i="7"/>
  <c r="AL307" i="7"/>
  <c r="AN301" i="7"/>
  <c r="AL301" i="7"/>
  <c r="AN295" i="7"/>
  <c r="AL295" i="7"/>
  <c r="AN289" i="7"/>
  <c r="AL289" i="7"/>
  <c r="AN283" i="7"/>
  <c r="AL283" i="7"/>
  <c r="AN277" i="7"/>
  <c r="AL277" i="7"/>
  <c r="AN271" i="7"/>
  <c r="AL271" i="7"/>
  <c r="AN265" i="7"/>
  <c r="AL265" i="7"/>
  <c r="AN259" i="7"/>
  <c r="AL259" i="7"/>
  <c r="AN251" i="7"/>
  <c r="AL251" i="7"/>
  <c r="AN245" i="7"/>
  <c r="AL245" i="7"/>
  <c r="AN237" i="7"/>
  <c r="AL237" i="7"/>
  <c r="AN231" i="7"/>
  <c r="AL231" i="7"/>
  <c r="AN225" i="7"/>
  <c r="AL225" i="7"/>
  <c r="AN219" i="7"/>
  <c r="AL219" i="7"/>
  <c r="AN215" i="7"/>
  <c r="AL215" i="7"/>
  <c r="AN209" i="7"/>
  <c r="AL209" i="7"/>
  <c r="AN205" i="7"/>
  <c r="AL205" i="7"/>
  <c r="AN199" i="7"/>
  <c r="AL199" i="7"/>
  <c r="AN191" i="7"/>
  <c r="AL191" i="7"/>
  <c r="AN185" i="7"/>
  <c r="AL185" i="7"/>
  <c r="AN179" i="7"/>
  <c r="AL179" i="7"/>
  <c r="AN173" i="7"/>
  <c r="AL173" i="7"/>
  <c r="AN167" i="7"/>
  <c r="AL167" i="7"/>
  <c r="AN159" i="7"/>
  <c r="AL159" i="7"/>
  <c r="AN151" i="7"/>
  <c r="AL151" i="7"/>
  <c r="AN143" i="7"/>
  <c r="AL143" i="7"/>
  <c r="AN135" i="7"/>
  <c r="AL135" i="7"/>
  <c r="AN127" i="7"/>
  <c r="AL127" i="7"/>
  <c r="AN121" i="7"/>
  <c r="AL121" i="7"/>
  <c r="AN117" i="7"/>
  <c r="AL117" i="7"/>
  <c r="AN109" i="7"/>
  <c r="AL109" i="7"/>
  <c r="AN103" i="7"/>
  <c r="AL103" i="7"/>
  <c r="AN97" i="7"/>
  <c r="AL97" i="7"/>
  <c r="AN91" i="7"/>
  <c r="AL91" i="7"/>
  <c r="AN83" i="7"/>
  <c r="AL83" i="7"/>
  <c r="AN69" i="7"/>
  <c r="AL69" i="7"/>
  <c r="AN37" i="7"/>
  <c r="AL37" i="7"/>
  <c r="AN481" i="7"/>
  <c r="AL481" i="7"/>
  <c r="AN475" i="7"/>
  <c r="AL475" i="7"/>
  <c r="AN467" i="7"/>
  <c r="AL467" i="7"/>
  <c r="AN459" i="7"/>
  <c r="AL459" i="7"/>
  <c r="AN453" i="7"/>
  <c r="AL453" i="7"/>
  <c r="AN445" i="7"/>
  <c r="AL445" i="7"/>
  <c r="AN439" i="7"/>
  <c r="AL439" i="7"/>
  <c r="AN433" i="7"/>
  <c r="AL433" i="7"/>
  <c r="AN427" i="7"/>
  <c r="AL427" i="7"/>
  <c r="AN419" i="7"/>
  <c r="AL419" i="7"/>
  <c r="AN413" i="7"/>
  <c r="AL413" i="7"/>
  <c r="AN409" i="7"/>
  <c r="AL409" i="7"/>
  <c r="AN403" i="7"/>
  <c r="AL403" i="7"/>
  <c r="AN399" i="7"/>
  <c r="AL399" i="7"/>
  <c r="AN387" i="7"/>
  <c r="AL387" i="7"/>
  <c r="AN379" i="7"/>
  <c r="AL379" i="7"/>
  <c r="AN371" i="7"/>
  <c r="AL371" i="7"/>
  <c r="AN365" i="7"/>
  <c r="AL365" i="7"/>
  <c r="AN359" i="7"/>
  <c r="AL359" i="7"/>
  <c r="AN353" i="7"/>
  <c r="AL353" i="7"/>
  <c r="AN349" i="7"/>
  <c r="AL349" i="7"/>
  <c r="AN343" i="7"/>
  <c r="AL343" i="7"/>
  <c r="AN335" i="7"/>
  <c r="AL335" i="7"/>
  <c r="AN329" i="7"/>
  <c r="AL329" i="7"/>
  <c r="AN321" i="7"/>
  <c r="AL321" i="7"/>
  <c r="AN315" i="7"/>
  <c r="AL315" i="7"/>
  <c r="AN309" i="7"/>
  <c r="AL309" i="7"/>
  <c r="AN303" i="7"/>
  <c r="AL303" i="7"/>
  <c r="AN297" i="7"/>
  <c r="AL297" i="7"/>
  <c r="AN291" i="7"/>
  <c r="AL291" i="7"/>
  <c r="AN285" i="7"/>
  <c r="AL285" i="7"/>
  <c r="AN279" i="7"/>
  <c r="AL279" i="7"/>
  <c r="AN273" i="7"/>
  <c r="AL273" i="7"/>
  <c r="AN267" i="7"/>
  <c r="AL267" i="7"/>
  <c r="AN261" i="7"/>
  <c r="AL261" i="7"/>
  <c r="AN255" i="7"/>
  <c r="AL255" i="7"/>
  <c r="AN249" i="7"/>
  <c r="AL249" i="7"/>
  <c r="AN241" i="7"/>
  <c r="AL241" i="7"/>
  <c r="AN235" i="7"/>
  <c r="AL235" i="7"/>
  <c r="AN229" i="7"/>
  <c r="AL229" i="7"/>
  <c r="AN223" i="7"/>
  <c r="AL223" i="7"/>
  <c r="AN217" i="7"/>
  <c r="AL217" i="7"/>
  <c r="AN211" i="7"/>
  <c r="AL211" i="7"/>
  <c r="AN203" i="7"/>
  <c r="AL203" i="7"/>
  <c r="AN195" i="7"/>
  <c r="AL195" i="7"/>
  <c r="AN187" i="7"/>
  <c r="AL187" i="7"/>
  <c r="AN181" i="7"/>
  <c r="AL181" i="7"/>
  <c r="AN177" i="7"/>
  <c r="AL177" i="7"/>
  <c r="AN169" i="7"/>
  <c r="AL169" i="7"/>
  <c r="AN163" i="7"/>
  <c r="AL163" i="7"/>
  <c r="AN157" i="7"/>
  <c r="AL157" i="7"/>
  <c r="AN153" i="7"/>
  <c r="AL153" i="7"/>
  <c r="AN147" i="7"/>
  <c r="AL147" i="7"/>
  <c r="AN141" i="7"/>
  <c r="AL141" i="7"/>
  <c r="AN137" i="7"/>
  <c r="AL137" i="7"/>
  <c r="AN131" i="7"/>
  <c r="AL131" i="7"/>
  <c r="AN125" i="7"/>
  <c r="AL125" i="7"/>
  <c r="AN119" i="7"/>
  <c r="AL119" i="7"/>
  <c r="AN113" i="7"/>
  <c r="AL113" i="7"/>
  <c r="AN105" i="7"/>
  <c r="AL105" i="7"/>
  <c r="AN99" i="7"/>
  <c r="AL99" i="7"/>
  <c r="AN93" i="7"/>
  <c r="AL93" i="7"/>
  <c r="AN87" i="7"/>
  <c r="AL87" i="7"/>
  <c r="AN81" i="7"/>
  <c r="AL81" i="7"/>
  <c r="AN77" i="7"/>
  <c r="AL77" i="7"/>
  <c r="AN73" i="7"/>
  <c r="AL73" i="7"/>
  <c r="AN65" i="7"/>
  <c r="AL65" i="7"/>
  <c r="AN53" i="7"/>
  <c r="AL53" i="7"/>
  <c r="AN49" i="7"/>
  <c r="AL49" i="7"/>
  <c r="AN45" i="7"/>
  <c r="AL45" i="7"/>
  <c r="AN41" i="7"/>
  <c r="AL41" i="7"/>
  <c r="AN39" i="7"/>
  <c r="AL39" i="7"/>
  <c r="AN33" i="7"/>
  <c r="AL33" i="7"/>
  <c r="AN32" i="7"/>
  <c r="AN480" i="7"/>
  <c r="AL480" i="7"/>
  <c r="AN478" i="7"/>
  <c r="AL478" i="7"/>
  <c r="AN476" i="7"/>
  <c r="AL476" i="7"/>
  <c r="AN474" i="7"/>
  <c r="AL474" i="7"/>
  <c r="AN472" i="7"/>
  <c r="AL472" i="7"/>
  <c r="AN470" i="7"/>
  <c r="AL470" i="7"/>
  <c r="AN468" i="7"/>
  <c r="AL468" i="7"/>
  <c r="AN466" i="7"/>
  <c r="AL466" i="7"/>
  <c r="AN464" i="7"/>
  <c r="AL464" i="7"/>
  <c r="AN462" i="7"/>
  <c r="AL462" i="7"/>
  <c r="AN460" i="7"/>
  <c r="AL460" i="7"/>
  <c r="AN458" i="7"/>
  <c r="AL458" i="7"/>
  <c r="AN456" i="7"/>
  <c r="AL456" i="7"/>
  <c r="AN454" i="7"/>
  <c r="AL454" i="7"/>
  <c r="AN452" i="7"/>
  <c r="AL452" i="7"/>
  <c r="AN450" i="7"/>
  <c r="AL450" i="7"/>
  <c r="AN448" i="7"/>
  <c r="AL448" i="7"/>
  <c r="AN446" i="7"/>
  <c r="AL446" i="7"/>
  <c r="AN444" i="7"/>
  <c r="AL444" i="7"/>
  <c r="AN442" i="7"/>
  <c r="AL442" i="7"/>
  <c r="AN440" i="7"/>
  <c r="AL440" i="7"/>
  <c r="AN438" i="7"/>
  <c r="AL438" i="7"/>
  <c r="AN436" i="7"/>
  <c r="AL436" i="7"/>
  <c r="AN434" i="7"/>
  <c r="AL434" i="7"/>
  <c r="AN432" i="7"/>
  <c r="AL432" i="7"/>
  <c r="AN430" i="7"/>
  <c r="AL430" i="7"/>
  <c r="AN428" i="7"/>
  <c r="AL428" i="7"/>
  <c r="AN426" i="7"/>
  <c r="AL426" i="7"/>
  <c r="AN424" i="7"/>
  <c r="AL424" i="7"/>
  <c r="AN422" i="7"/>
  <c r="AL422" i="7"/>
  <c r="AN420" i="7"/>
  <c r="AL420" i="7"/>
  <c r="AN418" i="7"/>
  <c r="AL418" i="7"/>
  <c r="AN416" i="7"/>
  <c r="AL416" i="7"/>
  <c r="AN414" i="7"/>
  <c r="AL414" i="7"/>
  <c r="AN412" i="7"/>
  <c r="AL412" i="7"/>
  <c r="AN410" i="7"/>
  <c r="AL410" i="7"/>
  <c r="AN408" i="7"/>
  <c r="AL408" i="7"/>
  <c r="AN406" i="7"/>
  <c r="AL406" i="7"/>
  <c r="AN404" i="7"/>
  <c r="AL404" i="7"/>
  <c r="AN402" i="7"/>
  <c r="AL402" i="7"/>
  <c r="AN400" i="7"/>
  <c r="AL400" i="7"/>
  <c r="AN398" i="7"/>
  <c r="AL398" i="7"/>
  <c r="AN396" i="7"/>
  <c r="AL396" i="7"/>
  <c r="AN394" i="7"/>
  <c r="AL394" i="7"/>
  <c r="AN392" i="7"/>
  <c r="AL392" i="7"/>
  <c r="AN390" i="7"/>
  <c r="AL390" i="7"/>
  <c r="AN388" i="7"/>
  <c r="AL388" i="7"/>
  <c r="AN386" i="7"/>
  <c r="AL386" i="7"/>
  <c r="AN384" i="7"/>
  <c r="AL384" i="7"/>
  <c r="AN382" i="7"/>
  <c r="AL382" i="7"/>
  <c r="AN380" i="7"/>
  <c r="AL380" i="7"/>
  <c r="AN378" i="7"/>
  <c r="AL378" i="7"/>
  <c r="AN376" i="7"/>
  <c r="AL376" i="7"/>
  <c r="AN374" i="7"/>
  <c r="AL374" i="7"/>
  <c r="AN372" i="7"/>
  <c r="AL372" i="7"/>
  <c r="AN370" i="7"/>
  <c r="AL370" i="7"/>
  <c r="AN368" i="7"/>
  <c r="AL368" i="7"/>
  <c r="AN366" i="7"/>
  <c r="AL366" i="7"/>
  <c r="AN364" i="7"/>
  <c r="AL364" i="7"/>
  <c r="AN362" i="7"/>
  <c r="AL362" i="7"/>
  <c r="AN360" i="7"/>
  <c r="AL360" i="7"/>
  <c r="AN358" i="7"/>
  <c r="AL358" i="7"/>
  <c r="AN356" i="7"/>
  <c r="AL356" i="7"/>
  <c r="AN354" i="7"/>
  <c r="AL354" i="7"/>
  <c r="AN352" i="7"/>
  <c r="AL352" i="7"/>
  <c r="AN350" i="7"/>
  <c r="AL350" i="7"/>
  <c r="AN348" i="7"/>
  <c r="AL348" i="7"/>
  <c r="AN346" i="7"/>
  <c r="AL346" i="7"/>
  <c r="AN344" i="7"/>
  <c r="AL344" i="7"/>
  <c r="AN342" i="7"/>
  <c r="AL342" i="7"/>
  <c r="AN340" i="7"/>
  <c r="AL340" i="7"/>
  <c r="AN338" i="7"/>
  <c r="AL338" i="7"/>
  <c r="AN336" i="7"/>
  <c r="AL336" i="7"/>
  <c r="AN334" i="7"/>
  <c r="AL334" i="7"/>
  <c r="AN332" i="7"/>
  <c r="AL332" i="7"/>
  <c r="AN330" i="7"/>
  <c r="AL330" i="7"/>
  <c r="AN328" i="7"/>
  <c r="AL328" i="7"/>
  <c r="AN326" i="7"/>
  <c r="AL326" i="7"/>
  <c r="AN324" i="7"/>
  <c r="AL324" i="7"/>
  <c r="AN322" i="7"/>
  <c r="AL322" i="7"/>
  <c r="AN320" i="7"/>
  <c r="AL320" i="7"/>
  <c r="AN318" i="7"/>
  <c r="AL318" i="7"/>
  <c r="AN316" i="7"/>
  <c r="AL316" i="7"/>
  <c r="AN314" i="7"/>
  <c r="AL314" i="7"/>
  <c r="AN312" i="7"/>
  <c r="AL312" i="7"/>
  <c r="AN310" i="7"/>
  <c r="AL310" i="7"/>
  <c r="AN308" i="7"/>
  <c r="AL308" i="7"/>
  <c r="AN306" i="7"/>
  <c r="AL306" i="7"/>
  <c r="AN304" i="7"/>
  <c r="AL304" i="7"/>
  <c r="AN302" i="7"/>
  <c r="AL302" i="7"/>
  <c r="AN300" i="7"/>
  <c r="AL300" i="7"/>
  <c r="AN298" i="7"/>
  <c r="AL298" i="7"/>
  <c r="AN296" i="7"/>
  <c r="AL296" i="7"/>
  <c r="AN294" i="7"/>
  <c r="AL294" i="7"/>
  <c r="AN292" i="7"/>
  <c r="AL292" i="7"/>
  <c r="AN290" i="7"/>
  <c r="AL290" i="7"/>
  <c r="AN288" i="7"/>
  <c r="AL288" i="7"/>
  <c r="AN286" i="7"/>
  <c r="AL286" i="7"/>
  <c r="AN284" i="7"/>
  <c r="AL284" i="7"/>
  <c r="AN282" i="7"/>
  <c r="AL282" i="7"/>
  <c r="AN280" i="7"/>
  <c r="AL280" i="7"/>
  <c r="AN278" i="7"/>
  <c r="AL278" i="7"/>
  <c r="AN276" i="7"/>
  <c r="AL276" i="7"/>
  <c r="AN274" i="7"/>
  <c r="AL274" i="7"/>
  <c r="AN272" i="7"/>
  <c r="AL272" i="7"/>
  <c r="AN270" i="7"/>
  <c r="AL270" i="7"/>
  <c r="AN268" i="7"/>
  <c r="AL268" i="7"/>
  <c r="AN266" i="7"/>
  <c r="AL266" i="7"/>
  <c r="AN264" i="7"/>
  <c r="AL264" i="7"/>
  <c r="AN262" i="7"/>
  <c r="AL262" i="7"/>
  <c r="AN260" i="7"/>
  <c r="AL260" i="7"/>
  <c r="AN258" i="7"/>
  <c r="AL258" i="7"/>
  <c r="AN256" i="7"/>
  <c r="AL256" i="7"/>
  <c r="AN254" i="7"/>
  <c r="AL254" i="7"/>
  <c r="AN252" i="7"/>
  <c r="AL252" i="7"/>
  <c r="AN250" i="7"/>
  <c r="AL250" i="7"/>
  <c r="AN248" i="7"/>
  <c r="AL248" i="7"/>
  <c r="AN246" i="7"/>
  <c r="AL246" i="7"/>
  <c r="AN244" i="7"/>
  <c r="AL244" i="7"/>
  <c r="AN242" i="7"/>
  <c r="AL242" i="7"/>
  <c r="AN240" i="7"/>
  <c r="AL240" i="7"/>
  <c r="AN238" i="7"/>
  <c r="AL238" i="7"/>
  <c r="AN236" i="7"/>
  <c r="AL236" i="7"/>
  <c r="AN234" i="7"/>
  <c r="AL234" i="7"/>
  <c r="AN232" i="7"/>
  <c r="AL232" i="7"/>
  <c r="AN230" i="7"/>
  <c r="AL230" i="7"/>
  <c r="AN228" i="7"/>
  <c r="AL228" i="7"/>
  <c r="AN226" i="7"/>
  <c r="AL226" i="7"/>
  <c r="AN224" i="7"/>
  <c r="AL224" i="7"/>
  <c r="AN222" i="7"/>
  <c r="AL222" i="7"/>
  <c r="AN220" i="7"/>
  <c r="AL220" i="7"/>
  <c r="AN218" i="7"/>
  <c r="AL218" i="7"/>
  <c r="AN216" i="7"/>
  <c r="AL216" i="7"/>
  <c r="AN214" i="7"/>
  <c r="AL214" i="7"/>
  <c r="AN212" i="7"/>
  <c r="AL212" i="7"/>
  <c r="AN210" i="7"/>
  <c r="AL210" i="7"/>
  <c r="AN208" i="7"/>
  <c r="AL208" i="7"/>
  <c r="AN206" i="7"/>
  <c r="AL206" i="7"/>
  <c r="AN204" i="7"/>
  <c r="AL204" i="7"/>
  <c r="AN202" i="7"/>
  <c r="AL202" i="7"/>
  <c r="AN200" i="7"/>
  <c r="AL200" i="7"/>
  <c r="AN198" i="7"/>
  <c r="AL198" i="7"/>
  <c r="AN196" i="7"/>
  <c r="AL196" i="7"/>
  <c r="AN194" i="7"/>
  <c r="AL194" i="7"/>
  <c r="AN192" i="7"/>
  <c r="AL192" i="7"/>
  <c r="AN190" i="7"/>
  <c r="AL190" i="7"/>
  <c r="AN188" i="7"/>
  <c r="AL188" i="7"/>
  <c r="AN186" i="7"/>
  <c r="AL186" i="7"/>
  <c r="AN184" i="7"/>
  <c r="AL184" i="7"/>
  <c r="AN182" i="7"/>
  <c r="AL182" i="7"/>
  <c r="AN180" i="7"/>
  <c r="AL180" i="7"/>
  <c r="AN178" i="7"/>
  <c r="AL178" i="7"/>
  <c r="AN176" i="7"/>
  <c r="AL176" i="7"/>
  <c r="AN174" i="7"/>
  <c r="AL174" i="7"/>
  <c r="AN172" i="7"/>
  <c r="AL172" i="7"/>
  <c r="AN170" i="7"/>
  <c r="AL170" i="7"/>
  <c r="AN168" i="7"/>
  <c r="AL168" i="7"/>
  <c r="AN166" i="7"/>
  <c r="AL166" i="7"/>
  <c r="AN164" i="7"/>
  <c r="AL164" i="7"/>
  <c r="AN162" i="7"/>
  <c r="AL162" i="7"/>
  <c r="AN160" i="7"/>
  <c r="AL160" i="7"/>
  <c r="AN158" i="7"/>
  <c r="AL158" i="7"/>
  <c r="AN156" i="7"/>
  <c r="AL156" i="7"/>
  <c r="AN154" i="7"/>
  <c r="AL154" i="7"/>
  <c r="AN152" i="7"/>
  <c r="AL152" i="7"/>
  <c r="AN150" i="7"/>
  <c r="AL150" i="7"/>
  <c r="AN148" i="7"/>
  <c r="AL148" i="7"/>
  <c r="AN146" i="7"/>
  <c r="AL146" i="7"/>
  <c r="AN144" i="7"/>
  <c r="AL144" i="7"/>
  <c r="AN142" i="7"/>
  <c r="AL142" i="7"/>
  <c r="AN140" i="7"/>
  <c r="AL140" i="7"/>
  <c r="AN138" i="7"/>
  <c r="AL138" i="7"/>
  <c r="AN136" i="7"/>
  <c r="AL136" i="7"/>
  <c r="AN134" i="7"/>
  <c r="AL134" i="7"/>
  <c r="AN132" i="7"/>
  <c r="AL132" i="7"/>
  <c r="AN130" i="7"/>
  <c r="AL130" i="7"/>
  <c r="AN128" i="7"/>
  <c r="AL128" i="7"/>
  <c r="AN126" i="7"/>
  <c r="AL126" i="7"/>
  <c r="AN124" i="7"/>
  <c r="AL124" i="7"/>
  <c r="AN122" i="7"/>
  <c r="AL122" i="7"/>
  <c r="AN120" i="7"/>
  <c r="AL120" i="7"/>
  <c r="AN118" i="7"/>
  <c r="AL118" i="7"/>
  <c r="AN116" i="7"/>
  <c r="AL116" i="7"/>
  <c r="AN114" i="7"/>
  <c r="AL114" i="7"/>
  <c r="AN112" i="7"/>
  <c r="AL112" i="7"/>
  <c r="AN110" i="7"/>
  <c r="AL110" i="7"/>
  <c r="AN108" i="7"/>
  <c r="AL108" i="7"/>
  <c r="AN106" i="7"/>
  <c r="AL106" i="7"/>
  <c r="AN104" i="7"/>
  <c r="AL104" i="7"/>
  <c r="AN102" i="7"/>
  <c r="AL102" i="7"/>
  <c r="AN100" i="7"/>
  <c r="AL100" i="7"/>
  <c r="AN98" i="7"/>
  <c r="AL98" i="7"/>
  <c r="AN96" i="7"/>
  <c r="AL96" i="7"/>
  <c r="AN94" i="7"/>
  <c r="AL94" i="7"/>
  <c r="AN92" i="7"/>
  <c r="AL92" i="7"/>
  <c r="AN90" i="7"/>
  <c r="AL90" i="7"/>
  <c r="AN88" i="7"/>
  <c r="AL88" i="7"/>
  <c r="AN86" i="7"/>
  <c r="AL86" i="7"/>
  <c r="AN84" i="7"/>
  <c r="AL84" i="7"/>
  <c r="AN82" i="7"/>
  <c r="AL82" i="7"/>
  <c r="AN80" i="7"/>
  <c r="AL80" i="7"/>
  <c r="AN78" i="7"/>
  <c r="AL78" i="7"/>
  <c r="AN76" i="7"/>
  <c r="AL76" i="7"/>
  <c r="AN74" i="7"/>
  <c r="AL74" i="7"/>
  <c r="AN72" i="7"/>
  <c r="AL72" i="7"/>
  <c r="AN70" i="7"/>
  <c r="AL70" i="7"/>
  <c r="AN68" i="7"/>
  <c r="AL68" i="7"/>
  <c r="AN66" i="7"/>
  <c r="AL66" i="7"/>
  <c r="AN64" i="7"/>
  <c r="AL64" i="7"/>
  <c r="AN62" i="7"/>
  <c r="AL62" i="7"/>
  <c r="AN60" i="7"/>
  <c r="AL60" i="7"/>
  <c r="AN58" i="7"/>
  <c r="AL58" i="7"/>
  <c r="AN56" i="7"/>
  <c r="AL56" i="7"/>
  <c r="AN54" i="7"/>
  <c r="AL54" i="7"/>
  <c r="AN52" i="7"/>
  <c r="AL52" i="7"/>
  <c r="AN50" i="7"/>
  <c r="AL50" i="7"/>
  <c r="AN48" i="7"/>
  <c r="AL48" i="7"/>
  <c r="AN46" i="7"/>
  <c r="AL46" i="7"/>
  <c r="AN44" i="7"/>
  <c r="AL44" i="7"/>
  <c r="AN42" i="7"/>
  <c r="AL42" i="7"/>
  <c r="AN40" i="7"/>
  <c r="AL40" i="7"/>
  <c r="AN38" i="7"/>
  <c r="AL38" i="7"/>
  <c r="AN36" i="7"/>
  <c r="AL36" i="7"/>
  <c r="AN34" i="7"/>
  <c r="AL34" i="7"/>
  <c r="AN479" i="7"/>
  <c r="AL479" i="7"/>
  <c r="AN477" i="7"/>
  <c r="AL477" i="7"/>
  <c r="AN471" i="7"/>
  <c r="AL471" i="7"/>
  <c r="AN463" i="7"/>
  <c r="AL463" i="7"/>
  <c r="AN457" i="7"/>
  <c r="AL457" i="7"/>
  <c r="AN451" i="7"/>
  <c r="AL451" i="7"/>
  <c r="AN443" i="7"/>
  <c r="AL443" i="7"/>
  <c r="AN435" i="7"/>
  <c r="AL435" i="7"/>
  <c r="AN429" i="7"/>
  <c r="AL429" i="7"/>
  <c r="AN423" i="7"/>
  <c r="AL423" i="7"/>
  <c r="AN421" i="7"/>
  <c r="AL421" i="7"/>
  <c r="AN415" i="7"/>
  <c r="AL415" i="7"/>
  <c r="AN411" i="7"/>
  <c r="AL411" i="7"/>
  <c r="AN407" i="7"/>
  <c r="AL407" i="7"/>
  <c r="AN401" i="7"/>
  <c r="AL401" i="7"/>
  <c r="AN397" i="7"/>
  <c r="AL397" i="7"/>
  <c r="AN393" i="7"/>
  <c r="AL393" i="7"/>
  <c r="AN389" i="7"/>
  <c r="AL389" i="7"/>
  <c r="AN383" i="7"/>
  <c r="AL383" i="7"/>
  <c r="AN377" i="7"/>
  <c r="AL377" i="7"/>
  <c r="AN373" i="7"/>
  <c r="AL373" i="7"/>
  <c r="AN367" i="7"/>
  <c r="AL367" i="7"/>
  <c r="AN361" i="7"/>
  <c r="AL361" i="7"/>
  <c r="AN357" i="7"/>
  <c r="AL357" i="7"/>
  <c r="AN351" i="7"/>
  <c r="AL351" i="7"/>
  <c r="AN345" i="7"/>
  <c r="AL345" i="7"/>
  <c r="AN339" i="7"/>
  <c r="AL339" i="7"/>
  <c r="AN333" i="7"/>
  <c r="AL333" i="7"/>
  <c r="AN327" i="7"/>
  <c r="AL327" i="7"/>
  <c r="AN323" i="7"/>
  <c r="AL323" i="7"/>
  <c r="AN317" i="7"/>
  <c r="AL317" i="7"/>
  <c r="AN311" i="7"/>
  <c r="AL311" i="7"/>
  <c r="AN305" i="7"/>
  <c r="AL305" i="7"/>
  <c r="AN299" i="7"/>
  <c r="AL299" i="7"/>
  <c r="AN293" i="7"/>
  <c r="AL293" i="7"/>
  <c r="AN287" i="7"/>
  <c r="AL287" i="7"/>
  <c r="AN281" i="7"/>
  <c r="AL281" i="7"/>
  <c r="AN275" i="7"/>
  <c r="AL275" i="7"/>
  <c r="AN269" i="7"/>
  <c r="AL269" i="7"/>
  <c r="AN263" i="7"/>
  <c r="AL263" i="7"/>
  <c r="AN257" i="7"/>
  <c r="AL257" i="7"/>
  <c r="AN253" i="7"/>
  <c r="AL253" i="7"/>
  <c r="AN247" i="7"/>
  <c r="AL247" i="7"/>
  <c r="AN243" i="7"/>
  <c r="AL243" i="7"/>
  <c r="AN239" i="7"/>
  <c r="AL239" i="7"/>
  <c r="AN233" i="7"/>
  <c r="AL233" i="7"/>
  <c r="AN227" i="7"/>
  <c r="AL227" i="7"/>
  <c r="AN221" i="7"/>
  <c r="AL221" i="7"/>
  <c r="AN213" i="7"/>
  <c r="AL213" i="7"/>
  <c r="AN207" i="7"/>
  <c r="AL207" i="7"/>
  <c r="AN201" i="7"/>
  <c r="AL201" i="7"/>
  <c r="AN197" i="7"/>
  <c r="AL197" i="7"/>
  <c r="AN193" i="7"/>
  <c r="AL193" i="7"/>
  <c r="AN189" i="7"/>
  <c r="AL189" i="7"/>
  <c r="AN183" i="7"/>
  <c r="AL183" i="7"/>
  <c r="AN175" i="7"/>
  <c r="AL175" i="7"/>
  <c r="AN171" i="7"/>
  <c r="AL171" i="7"/>
  <c r="AN165" i="7"/>
  <c r="AL165" i="7"/>
  <c r="AN161" i="7"/>
  <c r="AL161" i="7"/>
  <c r="AN155" i="7"/>
  <c r="AL155" i="7"/>
  <c r="AN149" i="7"/>
  <c r="AL149" i="7"/>
  <c r="AN145" i="7"/>
  <c r="AL145" i="7"/>
  <c r="AN139" i="7"/>
  <c r="AL139" i="7"/>
  <c r="AN133" i="7"/>
  <c r="AL133" i="7"/>
  <c r="AN129" i="7"/>
  <c r="AL129" i="7"/>
  <c r="AN123" i="7"/>
  <c r="AL123" i="7"/>
  <c r="AN115" i="7"/>
  <c r="AL115" i="7"/>
  <c r="AN111" i="7"/>
  <c r="AL111" i="7"/>
  <c r="AN107" i="7"/>
  <c r="AL107" i="7"/>
  <c r="AN101" i="7"/>
  <c r="AL101" i="7"/>
  <c r="AN95" i="7"/>
  <c r="AL95" i="7"/>
  <c r="AN89" i="7"/>
  <c r="AL89" i="7"/>
  <c r="AN85" i="7"/>
  <c r="AL85" i="7"/>
  <c r="AN79" i="7"/>
  <c r="AL79" i="7"/>
  <c r="AN75" i="7"/>
  <c r="AL75" i="7"/>
  <c r="AN71" i="7"/>
  <c r="AL71" i="7"/>
  <c r="AN67" i="7"/>
  <c r="AL67" i="7"/>
  <c r="AN63" i="7"/>
  <c r="AL63" i="7"/>
  <c r="AN61" i="7"/>
  <c r="AL61" i="7"/>
  <c r="AN59" i="7"/>
  <c r="AL59" i="7"/>
  <c r="AN57" i="7"/>
  <c r="AL57" i="7"/>
  <c r="AN55" i="7"/>
  <c r="AL55" i="7"/>
  <c r="AN51" i="7"/>
  <c r="AL51" i="7"/>
  <c r="AN47" i="7"/>
  <c r="AL47" i="7"/>
  <c r="AN43" i="7"/>
  <c r="AL43" i="7"/>
  <c r="AN35" i="7"/>
  <c r="AL35" i="7"/>
  <c r="C19" i="7" l="1"/>
  <c r="S39" i="12" s="1"/>
  <c r="Y31" i="22" s="1"/>
  <c r="L32" i="7"/>
  <c r="S61" i="12"/>
  <c r="Y53" i="22" s="1"/>
  <c r="S65" i="12"/>
  <c r="Y57" i="22" s="1"/>
  <c r="S69" i="12"/>
  <c r="Y61" i="22" s="1"/>
  <c r="S73" i="12"/>
  <c r="Y65" i="22" s="1"/>
  <c r="S77" i="12"/>
  <c r="Y69" i="22" s="1"/>
  <c r="S85" i="12"/>
  <c r="Y77" i="22" s="1"/>
  <c r="S89" i="12"/>
  <c r="Y81" i="22" s="1"/>
  <c r="S93" i="12"/>
  <c r="Y85" i="22" s="1"/>
  <c r="S97" i="12"/>
  <c r="Y89" i="22" s="1"/>
  <c r="S101" i="12"/>
  <c r="Y93" i="22" s="1"/>
  <c r="S56" i="12"/>
  <c r="Y48" i="22" s="1"/>
  <c r="S64" i="12"/>
  <c r="Y56" i="22" s="1"/>
  <c r="S68" i="12"/>
  <c r="Y60" i="22" s="1"/>
  <c r="S76" i="12"/>
  <c r="Y68" i="22" s="1"/>
  <c r="S100" i="12"/>
  <c r="Y92" i="22" s="1"/>
  <c r="S47" i="12"/>
  <c r="Y39" i="22" s="1"/>
  <c r="S51" i="12"/>
  <c r="Y43" i="22" s="1"/>
  <c r="S55" i="12"/>
  <c r="Y47" i="22" s="1"/>
  <c r="S59" i="12"/>
  <c r="Y51" i="22" s="1"/>
  <c r="S63" i="12"/>
  <c r="Y55" i="22" s="1"/>
  <c r="S67" i="12"/>
  <c r="Y59" i="22" s="1"/>
  <c r="S71" i="12"/>
  <c r="Y63" i="22" s="1"/>
  <c r="S75" i="12"/>
  <c r="Y67" i="22" s="1"/>
  <c r="S79" i="12"/>
  <c r="Y71" i="22" s="1"/>
  <c r="S83" i="12"/>
  <c r="Y75" i="22" s="1"/>
  <c r="S87" i="12"/>
  <c r="Y79" i="22" s="1"/>
  <c r="S91" i="12"/>
  <c r="Y83" i="22" s="1"/>
  <c r="S95" i="12"/>
  <c r="Y87" i="22" s="1"/>
  <c r="S99" i="12"/>
  <c r="Y91" i="22" s="1"/>
  <c r="S46" i="12"/>
  <c r="Y38" i="22" s="1"/>
  <c r="S50" i="12"/>
  <c r="Y42" i="22" s="1"/>
  <c r="S54" i="12"/>
  <c r="Y46" i="22" s="1"/>
  <c r="S58" i="12"/>
  <c r="Y50" i="22" s="1"/>
  <c r="S62" i="12"/>
  <c r="Y54" i="22" s="1"/>
  <c r="S66" i="12"/>
  <c r="Y58" i="22" s="1"/>
  <c r="S70" i="12"/>
  <c r="Y62" i="22" s="1"/>
  <c r="S74" i="12"/>
  <c r="Y66" i="22" s="1"/>
  <c r="S78" i="12"/>
  <c r="Y70" i="22" s="1"/>
  <c r="S82" i="12"/>
  <c r="Y74" i="22" s="1"/>
  <c r="S86" i="12"/>
  <c r="Y78" i="22" s="1"/>
  <c r="S90" i="12"/>
  <c r="Y82" i="22" s="1"/>
  <c r="S94" i="12"/>
  <c r="Y86" i="22" s="1"/>
  <c r="S98" i="12"/>
  <c r="Y90" i="22" s="1"/>
  <c r="S72" i="12"/>
  <c r="Y64" i="22" s="1"/>
  <c r="S80" i="12"/>
  <c r="Y72" i="22" s="1"/>
  <c r="S84" i="12"/>
  <c r="Y76" i="22" s="1"/>
  <c r="S88" i="12"/>
  <c r="Y80" i="22" s="1"/>
  <c r="S92" i="12"/>
  <c r="Y84" i="22" s="1"/>
  <c r="S96" i="12"/>
  <c r="Y88" i="22" s="1"/>
  <c r="T27" i="7"/>
  <c r="O40" i="7"/>
  <c r="F13" i="21" s="1"/>
  <c r="G13" i="21" s="1"/>
  <c r="N40" i="7"/>
  <c r="F12" i="21" s="1"/>
  <c r="G12" i="21" s="1"/>
  <c r="CK74" i="3"/>
  <c r="CK75" i="3"/>
  <c r="CK76" i="3"/>
  <c r="CK73" i="3"/>
  <c r="CK69" i="3"/>
  <c r="CK70" i="3"/>
  <c r="CK71" i="3"/>
  <c r="CK72" i="3"/>
  <c r="CK68" i="3"/>
  <c r="CK64" i="3"/>
  <c r="CK65" i="3"/>
  <c r="CK66" i="3"/>
  <c r="CK67" i="3"/>
  <c r="CK63" i="3"/>
  <c r="CK62" i="3"/>
  <c r="CK61" i="3"/>
  <c r="CK58" i="3"/>
  <c r="CK59" i="3"/>
  <c r="CK60" i="3"/>
  <c r="CK57" i="3"/>
  <c r="CK54" i="3"/>
  <c r="CK55" i="3"/>
  <c r="CK56" i="3"/>
  <c r="CK53" i="3"/>
  <c r="CK51" i="3"/>
  <c r="CK52" i="3"/>
  <c r="CK50" i="3"/>
  <c r="CK47" i="3"/>
  <c r="CK48" i="3"/>
  <c r="CK49" i="3"/>
  <c r="CK46" i="3"/>
  <c r="CK43" i="3"/>
  <c r="CK44" i="3"/>
  <c r="CK45" i="3"/>
  <c r="CK42" i="3"/>
  <c r="CK39" i="3"/>
  <c r="CK40" i="3"/>
  <c r="CK41" i="3"/>
  <c r="CK38" i="3"/>
  <c r="CK35" i="3"/>
  <c r="CK36" i="3"/>
  <c r="CK37" i="3"/>
  <c r="CJ34" i="3"/>
  <c r="CJ35" i="3" s="1"/>
  <c r="CJ36" i="3" s="1"/>
  <c r="CJ37" i="3" s="1"/>
  <c r="CJ38" i="3" s="1"/>
  <c r="CJ39" i="3" s="1"/>
  <c r="CJ40" i="3" s="1"/>
  <c r="CJ41" i="3" s="1"/>
  <c r="CJ43" i="3" s="1"/>
  <c r="CJ44" i="3" s="1"/>
  <c r="CJ45" i="3" s="1"/>
  <c r="CJ47" i="3" s="1"/>
  <c r="CJ48" i="3" s="1"/>
  <c r="CJ49" i="3" s="1"/>
  <c r="CJ50" i="3" s="1"/>
  <c r="CJ51" i="3" s="1"/>
  <c r="CJ52" i="3" s="1"/>
  <c r="CJ54" i="3" s="1"/>
  <c r="CJ55" i="3" s="1"/>
  <c r="CJ56" i="3" s="1"/>
  <c r="CJ57" i="3" s="1"/>
  <c r="CJ58" i="3" s="1"/>
  <c r="CJ59" i="3" s="1"/>
  <c r="CJ60" i="3" s="1"/>
  <c r="CJ62" i="3" s="1"/>
  <c r="CJ63" i="3" s="1"/>
  <c r="CJ64" i="3" s="1"/>
  <c r="CJ65" i="3" s="1"/>
  <c r="CJ66" i="3" s="1"/>
  <c r="CJ67" i="3" s="1"/>
  <c r="CJ68" i="3" s="1"/>
  <c r="CJ69" i="3" s="1"/>
  <c r="CJ70" i="3" s="1"/>
  <c r="CJ71" i="3" s="1"/>
  <c r="CJ72" i="3" s="1"/>
  <c r="CJ73" i="3" s="1"/>
  <c r="CJ74" i="3" s="1"/>
  <c r="CJ75" i="3" s="1"/>
  <c r="CJ76" i="3" s="1"/>
  <c r="CK34" i="3"/>
  <c r="CK33" i="3"/>
  <c r="CK30" i="3"/>
  <c r="CK31" i="3"/>
  <c r="CK32" i="3"/>
  <c r="CK29" i="3"/>
  <c r="CK26" i="3"/>
  <c r="CK27" i="3"/>
  <c r="CK28" i="3"/>
  <c r="CK25" i="3"/>
  <c r="CK24" i="3"/>
  <c r="S43" i="12" l="1"/>
  <c r="Y35" i="22" s="1"/>
  <c r="S52" i="12"/>
  <c r="Y44" i="22" s="1"/>
  <c r="S42" i="12"/>
  <c r="Y34" i="22" s="1"/>
  <c r="S40" i="12"/>
  <c r="Y32" i="22" s="1"/>
  <c r="S57" i="12"/>
  <c r="Y49" i="22" s="1"/>
  <c r="S48" i="12"/>
  <c r="Y40" i="22" s="1"/>
  <c r="S53" i="12"/>
  <c r="Y45" i="22" s="1"/>
  <c r="S49" i="12"/>
  <c r="Y41" i="22" s="1"/>
  <c r="S45" i="12"/>
  <c r="Y37" i="22" s="1"/>
  <c r="S41" i="12"/>
  <c r="Y33" i="22" s="1"/>
  <c r="S44" i="12"/>
  <c r="Y36" i="22" s="1"/>
  <c r="S31" i="12"/>
  <c r="S33" i="12"/>
  <c r="Y25" i="22" s="1"/>
  <c r="S38" i="12"/>
  <c r="Y30" i="22" s="1"/>
  <c r="S28" i="12"/>
  <c r="Y20" i="22" s="1"/>
  <c r="S26" i="12"/>
  <c r="Y18" i="22" s="1"/>
  <c r="S27" i="12"/>
  <c r="Y19" i="22" s="1"/>
  <c r="S29" i="12"/>
  <c r="Y21" i="22" s="1"/>
  <c r="S22" i="12"/>
  <c r="Y14" i="22" s="1"/>
  <c r="S24" i="12"/>
  <c r="Y16" i="22" s="1"/>
  <c r="S19" i="12"/>
  <c r="Y11" i="22" s="1"/>
  <c r="S23" i="12"/>
  <c r="Y15" i="22" s="1"/>
  <c r="S30" i="12"/>
  <c r="Y22" i="22" s="1"/>
  <c r="S25" i="12"/>
  <c r="Y17" i="22" s="1"/>
  <c r="S36" i="12"/>
  <c r="Y28" i="22" s="1"/>
  <c r="S20" i="12"/>
  <c r="Y12" i="22" s="1"/>
  <c r="S35" i="12"/>
  <c r="Y27" i="22" s="1"/>
  <c r="S37" i="12"/>
  <c r="Y29" i="22" s="1"/>
  <c r="S21" i="12"/>
  <c r="Y13" i="22" s="1"/>
  <c r="S32" i="12"/>
  <c r="Y24" i="22" s="1"/>
  <c r="S34" i="12"/>
  <c r="Y26" i="22" s="1"/>
  <c r="Y23" i="22"/>
  <c r="F11" i="21"/>
  <c r="G11" i="21" s="1"/>
  <c r="F15" i="21" l="1"/>
  <c r="X11" i="22"/>
  <c r="X12" i="22"/>
  <c r="V20" i="12"/>
  <c r="X13" i="22"/>
  <c r="V21" i="12"/>
  <c r="X14" i="22"/>
  <c r="V22" i="12"/>
  <c r="X15" i="22"/>
  <c r="V23" i="12"/>
  <c r="X16" i="22"/>
  <c r="V24" i="12"/>
  <c r="X17" i="22"/>
  <c r="V25" i="12"/>
  <c r="X18" i="22"/>
  <c r="V26" i="12"/>
  <c r="X19" i="22"/>
  <c r="V27" i="12"/>
  <c r="X20" i="22"/>
  <c r="V28" i="12"/>
  <c r="X21" i="22"/>
  <c r="V29" i="12"/>
  <c r="X22" i="22"/>
  <c r="V30" i="12"/>
  <c r="X23" i="22"/>
  <c r="V31" i="12"/>
  <c r="X24" i="22"/>
  <c r="V32" i="12"/>
  <c r="X25" i="22"/>
  <c r="V33" i="12"/>
  <c r="X26" i="22"/>
  <c r="V34" i="12"/>
  <c r="X27" i="22"/>
  <c r="V35" i="12"/>
  <c r="X28" i="22"/>
  <c r="V36" i="12"/>
  <c r="X29" i="22"/>
  <c r="V37" i="12"/>
  <c r="G14" i="18"/>
  <c r="B24" i="6"/>
  <c r="C4" i="17"/>
  <c r="C5" i="17"/>
  <c r="C6" i="17"/>
  <c r="C7" i="17"/>
  <c r="C8" i="17"/>
  <c r="C9" i="17"/>
  <c r="C10" i="17"/>
  <c r="C11" i="17"/>
  <c r="C12" i="17"/>
  <c r="C13" i="17"/>
  <c r="C14" i="17"/>
  <c r="C15" i="17"/>
  <c r="C16" i="17"/>
  <c r="C17" i="17"/>
  <c r="C18" i="17"/>
  <c r="C19" i="17"/>
  <c r="C20" i="17"/>
  <c r="C21" i="17"/>
  <c r="C22" i="17"/>
  <c r="C23" i="17"/>
  <c r="C24" i="17"/>
  <c r="C25" i="17"/>
  <c r="C26" i="17"/>
  <c r="C27" i="17"/>
  <c r="C28" i="17"/>
  <c r="C29" i="17"/>
  <c r="C30" i="17"/>
  <c r="C31" i="17"/>
  <c r="C32" i="17"/>
  <c r="C33" i="17"/>
  <c r="C34" i="17"/>
  <c r="C35" i="17"/>
  <c r="C36" i="17"/>
  <c r="C37" i="17"/>
  <c r="C38" i="17"/>
  <c r="C39" i="17"/>
  <c r="C40" i="17"/>
  <c r="C41" i="17"/>
  <c r="C42" i="17"/>
  <c r="C43" i="17"/>
  <c r="C44" i="17"/>
  <c r="C45" i="17"/>
  <c r="C46" i="17"/>
  <c r="C47" i="17"/>
  <c r="C48" i="17"/>
  <c r="C49" i="17"/>
  <c r="C50" i="17"/>
  <c r="C51" i="17"/>
  <c r="C52" i="17"/>
  <c r="C53" i="17"/>
  <c r="C54" i="17"/>
  <c r="C55" i="17"/>
  <c r="C56" i="17"/>
  <c r="C57" i="17"/>
  <c r="C58" i="17"/>
  <c r="C59" i="17"/>
  <c r="C60" i="17"/>
  <c r="C61" i="17"/>
  <c r="C62" i="17"/>
  <c r="C63" i="17"/>
  <c r="C64" i="17"/>
  <c r="C65" i="17"/>
  <c r="C66" i="17"/>
  <c r="C67" i="17"/>
  <c r="C68" i="17"/>
  <c r="C69" i="17"/>
  <c r="C70" i="17"/>
  <c r="C71" i="17"/>
  <c r="C72" i="17"/>
  <c r="C73" i="17"/>
  <c r="C74" i="17"/>
  <c r="C75" i="17"/>
  <c r="C76" i="17"/>
  <c r="C77" i="17"/>
  <c r="C78" i="17"/>
  <c r="C79" i="17"/>
  <c r="C80" i="17"/>
  <c r="C81" i="17"/>
  <c r="C82" i="17"/>
  <c r="C83" i="17"/>
  <c r="C84" i="17"/>
  <c r="C85" i="17"/>
  <c r="C86" i="17"/>
  <c r="C87" i="17"/>
  <c r="C88" i="17"/>
  <c r="C89" i="17"/>
  <c r="C90" i="17"/>
  <c r="C91" i="17"/>
  <c r="C92" i="17"/>
  <c r="C93" i="17"/>
  <c r="C94" i="17"/>
  <c r="C95" i="17"/>
  <c r="C96" i="17"/>
  <c r="C97" i="17"/>
  <c r="C98" i="17"/>
  <c r="C99" i="17"/>
  <c r="C100" i="17"/>
  <c r="C101" i="17"/>
  <c r="C102" i="17"/>
  <c r="C103" i="17"/>
  <c r="C104" i="17"/>
  <c r="C105" i="17"/>
  <c r="C106" i="17"/>
  <c r="C107" i="17"/>
  <c r="C108" i="17"/>
  <c r="C109" i="17"/>
  <c r="C110" i="17"/>
  <c r="C111" i="17"/>
  <c r="C112" i="17"/>
  <c r="C113" i="17"/>
  <c r="C114" i="17"/>
  <c r="C115" i="17"/>
  <c r="C116" i="17"/>
  <c r="C117" i="17"/>
  <c r="C118" i="17"/>
  <c r="C119" i="17"/>
  <c r="C120" i="17"/>
  <c r="C121" i="17"/>
  <c r="C122" i="17"/>
  <c r="C123" i="17"/>
  <c r="C124" i="17"/>
  <c r="C125" i="17"/>
  <c r="C126" i="17"/>
  <c r="C127" i="17"/>
  <c r="C128" i="17"/>
  <c r="C129" i="17"/>
  <c r="C130" i="17"/>
  <c r="C131" i="17"/>
  <c r="C132" i="17"/>
  <c r="C133" i="17"/>
  <c r="C134" i="17"/>
  <c r="C135" i="17"/>
  <c r="C136" i="17"/>
  <c r="C137" i="17"/>
  <c r="C138" i="17"/>
  <c r="C139" i="17"/>
  <c r="C140" i="17"/>
  <c r="C141" i="17"/>
  <c r="C142" i="17"/>
  <c r="C143" i="17"/>
  <c r="C144" i="17"/>
  <c r="C145" i="17"/>
  <c r="C146" i="17"/>
  <c r="C147" i="17"/>
  <c r="C148" i="17"/>
  <c r="C149" i="17"/>
  <c r="C150" i="17"/>
  <c r="C151" i="17"/>
  <c r="C152" i="17"/>
  <c r="C153" i="17"/>
  <c r="C154" i="17"/>
  <c r="C155" i="17"/>
  <c r="C156" i="17"/>
  <c r="C157" i="17"/>
  <c r="C158" i="17"/>
  <c r="C159" i="17"/>
  <c r="C160" i="17"/>
  <c r="C161" i="17"/>
  <c r="C162" i="17"/>
  <c r="C163" i="17"/>
  <c r="C164" i="17"/>
  <c r="C165" i="17"/>
  <c r="C166" i="17"/>
  <c r="C167" i="17"/>
  <c r="C168" i="17"/>
  <c r="C169" i="17"/>
  <c r="C170" i="17"/>
  <c r="C171" i="17"/>
  <c r="C172" i="17"/>
  <c r="C173" i="17"/>
  <c r="C174" i="17"/>
  <c r="C175" i="17"/>
  <c r="C176" i="17"/>
  <c r="C177" i="17"/>
  <c r="C178" i="17"/>
  <c r="C179" i="17"/>
  <c r="C180" i="17"/>
  <c r="C181" i="17"/>
  <c r="C182" i="17"/>
  <c r="C183" i="17"/>
  <c r="C184" i="17"/>
  <c r="C185" i="17"/>
  <c r="C186" i="17"/>
  <c r="C187" i="17"/>
  <c r="C188" i="17"/>
  <c r="C189" i="17"/>
  <c r="C190" i="17"/>
  <c r="C191" i="17"/>
  <c r="C192" i="17"/>
  <c r="C193" i="17"/>
  <c r="C194" i="17"/>
  <c r="C195" i="17"/>
  <c r="C196" i="17"/>
  <c r="C197" i="17"/>
  <c r="C198" i="17"/>
  <c r="C199" i="17"/>
  <c r="C200" i="17"/>
  <c r="C201" i="17"/>
  <c r="C202" i="17"/>
  <c r="C203" i="17"/>
  <c r="C204" i="17"/>
  <c r="C205" i="17"/>
  <c r="C206" i="17"/>
  <c r="C207" i="17"/>
  <c r="C208" i="17"/>
  <c r="C209" i="17"/>
  <c r="C210" i="17"/>
  <c r="C211" i="17"/>
  <c r="C212" i="17"/>
  <c r="C213" i="17"/>
  <c r="C214" i="17"/>
  <c r="C215" i="17"/>
  <c r="C216" i="17"/>
  <c r="C217" i="17"/>
  <c r="C218" i="17"/>
  <c r="C219" i="17"/>
  <c r="C220" i="17"/>
  <c r="C221" i="17"/>
  <c r="C222" i="17"/>
  <c r="C223" i="17"/>
  <c r="C224" i="17"/>
  <c r="C225" i="17"/>
  <c r="C226" i="17"/>
  <c r="C227" i="17"/>
  <c r="C228" i="17"/>
  <c r="C229" i="17"/>
  <c r="C230" i="17"/>
  <c r="C231" i="17"/>
  <c r="C232" i="17"/>
  <c r="C233" i="17"/>
  <c r="C234" i="17"/>
  <c r="C235" i="17"/>
  <c r="C236" i="17"/>
  <c r="C237" i="17"/>
  <c r="C238" i="17"/>
  <c r="C239" i="17"/>
  <c r="C240" i="17"/>
  <c r="C241" i="17"/>
  <c r="C242" i="17"/>
  <c r="C243" i="17"/>
  <c r="C244" i="17"/>
  <c r="C245" i="17"/>
  <c r="C246" i="17"/>
  <c r="C247" i="17"/>
  <c r="C248" i="17"/>
  <c r="C249" i="17"/>
  <c r="C250" i="17"/>
  <c r="C251" i="17"/>
  <c r="C252" i="17"/>
  <c r="C253" i="17"/>
  <c r="C254" i="17"/>
  <c r="C255" i="17"/>
  <c r="C256" i="17"/>
  <c r="C257" i="17"/>
  <c r="C258" i="17"/>
  <c r="C259" i="17"/>
  <c r="C260" i="17"/>
  <c r="C261" i="17"/>
  <c r="C262" i="17"/>
  <c r="C263" i="17"/>
  <c r="C264" i="17"/>
  <c r="C265" i="17"/>
  <c r="C266" i="17"/>
  <c r="C267" i="17"/>
  <c r="C268" i="17"/>
  <c r="C269" i="17"/>
  <c r="C270" i="17"/>
  <c r="C271" i="17"/>
  <c r="C272" i="17"/>
  <c r="C273" i="17"/>
  <c r="C274" i="17"/>
  <c r="C275" i="17"/>
  <c r="C276" i="17"/>
  <c r="C277" i="17"/>
  <c r="C278" i="17"/>
  <c r="C279" i="17"/>
  <c r="C280" i="17"/>
  <c r="C281" i="17"/>
  <c r="C282" i="17"/>
  <c r="C283" i="17"/>
  <c r="C284" i="17"/>
  <c r="C285" i="17"/>
  <c r="C286" i="17"/>
  <c r="C287" i="17"/>
  <c r="C288" i="17"/>
  <c r="C289" i="17"/>
  <c r="C290" i="17"/>
  <c r="C291" i="17"/>
  <c r="C292" i="17"/>
  <c r="C293" i="17"/>
  <c r="C294" i="17"/>
  <c r="C295" i="17"/>
  <c r="C296" i="17"/>
  <c r="C297" i="17"/>
  <c r="C298" i="17"/>
  <c r="C299" i="17"/>
  <c r="C300" i="17"/>
  <c r="C301" i="17"/>
  <c r="C302" i="17"/>
  <c r="C303" i="17"/>
  <c r="C304" i="17"/>
  <c r="C305" i="17"/>
  <c r="C306" i="17"/>
  <c r="C307" i="17"/>
  <c r="C308" i="17"/>
  <c r="C309" i="17"/>
  <c r="C310" i="17"/>
  <c r="C311" i="17"/>
  <c r="C312" i="17"/>
  <c r="C313" i="17"/>
  <c r="C314" i="17"/>
  <c r="C315" i="17"/>
  <c r="C316" i="17"/>
  <c r="C317" i="17"/>
  <c r="C318" i="17"/>
  <c r="C319" i="17"/>
  <c r="C320" i="17"/>
  <c r="C321" i="17"/>
  <c r="C322" i="17"/>
  <c r="C323" i="17"/>
  <c r="C324" i="17"/>
  <c r="C325" i="17"/>
  <c r="C326" i="17"/>
  <c r="C327" i="17"/>
  <c r="C328" i="17"/>
  <c r="C329" i="17"/>
  <c r="C330" i="17"/>
  <c r="C331" i="17"/>
  <c r="C332" i="17"/>
  <c r="C333" i="17"/>
  <c r="C334" i="17"/>
  <c r="C335" i="17"/>
  <c r="C336" i="17"/>
  <c r="C337" i="17"/>
  <c r="C338" i="17"/>
  <c r="C339" i="17"/>
  <c r="C340" i="17"/>
  <c r="C341" i="17"/>
  <c r="C342" i="17"/>
  <c r="C343" i="17"/>
  <c r="C344" i="17"/>
  <c r="C345" i="17"/>
  <c r="C346" i="17"/>
  <c r="C347" i="17"/>
  <c r="C348" i="17"/>
  <c r="C349" i="17"/>
  <c r="C350" i="17"/>
  <c r="C351" i="17"/>
  <c r="C352" i="17"/>
  <c r="C353" i="17"/>
  <c r="C354" i="17"/>
  <c r="C355" i="17"/>
  <c r="C356" i="17"/>
  <c r="C357" i="17"/>
  <c r="C358" i="17"/>
  <c r="C359" i="17"/>
  <c r="C360" i="17"/>
  <c r="C361" i="17"/>
  <c r="C362" i="17"/>
  <c r="C363" i="17"/>
  <c r="C364" i="17"/>
  <c r="C365" i="17"/>
  <c r="C366" i="17"/>
  <c r="C367" i="17"/>
  <c r="C368" i="17"/>
  <c r="C369" i="17"/>
  <c r="C370" i="17"/>
  <c r="C371" i="17"/>
  <c r="C372" i="17"/>
  <c r="C373" i="17"/>
  <c r="C374" i="17"/>
  <c r="C375" i="17"/>
  <c r="C376" i="17"/>
  <c r="C377" i="17"/>
  <c r="C378" i="17"/>
  <c r="C379" i="17"/>
  <c r="C380" i="17"/>
  <c r="C381" i="17"/>
  <c r="C382" i="17"/>
  <c r="C383" i="17"/>
  <c r="C384" i="17"/>
  <c r="C385" i="17"/>
  <c r="C386" i="17"/>
  <c r="C387" i="17"/>
  <c r="C388" i="17"/>
  <c r="C389" i="17"/>
  <c r="C390" i="17"/>
  <c r="C391" i="17"/>
  <c r="C392" i="17"/>
  <c r="C393" i="17"/>
  <c r="C394" i="17"/>
  <c r="C395" i="17"/>
  <c r="C396" i="17"/>
  <c r="C397" i="17"/>
  <c r="C398" i="17"/>
  <c r="C399" i="17"/>
  <c r="C400" i="17"/>
  <c r="C401" i="17"/>
  <c r="C402" i="17"/>
  <c r="C403" i="17"/>
  <c r="C404" i="17"/>
  <c r="C405" i="17"/>
  <c r="C406" i="17"/>
  <c r="C407" i="17"/>
  <c r="C408" i="17"/>
  <c r="C409" i="17"/>
  <c r="C410" i="17"/>
  <c r="C411" i="17"/>
  <c r="C412" i="17"/>
  <c r="C413" i="17"/>
  <c r="C3" i="17"/>
  <c r="S4" i="17"/>
  <c r="S5" i="17"/>
  <c r="S6" i="17"/>
  <c r="S7" i="17"/>
  <c r="S8" i="17"/>
  <c r="S9" i="17"/>
  <c r="S10" i="17"/>
  <c r="S11" i="17"/>
  <c r="S12" i="17"/>
  <c r="S13" i="17"/>
  <c r="S14" i="17"/>
  <c r="S15" i="17"/>
  <c r="S16" i="17"/>
  <c r="S17" i="17"/>
  <c r="S18" i="17"/>
  <c r="S19" i="17"/>
  <c r="S20" i="17"/>
  <c r="S21" i="17"/>
  <c r="S22" i="17"/>
  <c r="S23" i="17"/>
  <c r="S24" i="17"/>
  <c r="S25" i="17"/>
  <c r="S26" i="17"/>
  <c r="S27" i="17"/>
  <c r="S28" i="17"/>
  <c r="S29" i="17"/>
  <c r="S30" i="17"/>
  <c r="S31" i="17"/>
  <c r="S32" i="17"/>
  <c r="S33" i="17"/>
  <c r="S34" i="17"/>
  <c r="S35" i="17"/>
  <c r="S36" i="17"/>
  <c r="S37" i="17"/>
  <c r="S38" i="17"/>
  <c r="S39" i="17"/>
  <c r="S40" i="17"/>
  <c r="S41" i="17"/>
  <c r="S42" i="17"/>
  <c r="S43" i="17"/>
  <c r="S44" i="17"/>
  <c r="S45" i="17"/>
  <c r="S46" i="17"/>
  <c r="S47" i="17"/>
  <c r="S48" i="17"/>
  <c r="S49" i="17"/>
  <c r="S50" i="17"/>
  <c r="S51" i="17"/>
  <c r="S52" i="17"/>
  <c r="S53" i="17"/>
  <c r="S54" i="17"/>
  <c r="S55" i="17"/>
  <c r="S56" i="17"/>
  <c r="S57" i="17"/>
  <c r="S58" i="17"/>
  <c r="S59" i="17"/>
  <c r="S60" i="17"/>
  <c r="S61" i="17"/>
  <c r="S62" i="17"/>
  <c r="S63" i="17"/>
  <c r="S64" i="17"/>
  <c r="S65" i="17"/>
  <c r="S66" i="17"/>
  <c r="S67" i="17"/>
  <c r="S68" i="17"/>
  <c r="S69" i="17"/>
  <c r="S70" i="17"/>
  <c r="S71" i="17"/>
  <c r="S72" i="17"/>
  <c r="S73" i="17"/>
  <c r="S74" i="17"/>
  <c r="S75" i="17"/>
  <c r="S76" i="17"/>
  <c r="S77" i="17"/>
  <c r="S78" i="17"/>
  <c r="S79" i="17"/>
  <c r="S80" i="17"/>
  <c r="S81" i="17"/>
  <c r="S82" i="17"/>
  <c r="S83" i="17"/>
  <c r="S84" i="17"/>
  <c r="S85" i="17"/>
  <c r="S86" i="17"/>
  <c r="S87" i="17"/>
  <c r="S88" i="17"/>
  <c r="S89" i="17"/>
  <c r="S90" i="17"/>
  <c r="S91" i="17"/>
  <c r="S92" i="17"/>
  <c r="S93" i="17"/>
  <c r="S94" i="17"/>
  <c r="S95" i="17"/>
  <c r="S96" i="17"/>
  <c r="S97" i="17"/>
  <c r="S98" i="17"/>
  <c r="S99" i="17"/>
  <c r="S100" i="17"/>
  <c r="S101" i="17"/>
  <c r="S102" i="17"/>
  <c r="S103" i="17"/>
  <c r="S104" i="17"/>
  <c r="S105" i="17"/>
  <c r="S106" i="17"/>
  <c r="S107" i="17"/>
  <c r="S108" i="17"/>
  <c r="S109" i="17"/>
  <c r="S110" i="17"/>
  <c r="S111" i="17"/>
  <c r="S112" i="17"/>
  <c r="S113" i="17"/>
  <c r="S114" i="17"/>
  <c r="S115" i="17"/>
  <c r="S116" i="17"/>
  <c r="S117" i="17"/>
  <c r="S118" i="17"/>
  <c r="S119" i="17"/>
  <c r="S120" i="17"/>
  <c r="S121" i="17"/>
  <c r="S122" i="17"/>
  <c r="S123" i="17"/>
  <c r="S124" i="17"/>
  <c r="S125" i="17"/>
  <c r="S126" i="17"/>
  <c r="S127" i="17"/>
  <c r="S128" i="17"/>
  <c r="S129" i="17"/>
  <c r="S130" i="17"/>
  <c r="S131" i="17"/>
  <c r="S132" i="17"/>
  <c r="S133" i="17"/>
  <c r="S134" i="17"/>
  <c r="S135" i="17"/>
  <c r="S136" i="17"/>
  <c r="S137" i="17"/>
  <c r="S138" i="17"/>
  <c r="S139" i="17"/>
  <c r="S140" i="17"/>
  <c r="S141" i="17"/>
  <c r="S142" i="17"/>
  <c r="S143" i="17"/>
  <c r="S144" i="17"/>
  <c r="S145" i="17"/>
  <c r="S146" i="17"/>
  <c r="S147" i="17"/>
  <c r="S148" i="17"/>
  <c r="S149" i="17"/>
  <c r="S150" i="17"/>
  <c r="S151" i="17"/>
  <c r="S152" i="17"/>
  <c r="S153" i="17"/>
  <c r="S154" i="17"/>
  <c r="S155" i="17"/>
  <c r="S156" i="17"/>
  <c r="S157" i="17"/>
  <c r="S158" i="17"/>
  <c r="S159" i="17"/>
  <c r="S160" i="17"/>
  <c r="S161" i="17"/>
  <c r="S162" i="17"/>
  <c r="S163" i="17"/>
  <c r="S164" i="17"/>
  <c r="S165" i="17"/>
  <c r="S166" i="17"/>
  <c r="S167" i="17"/>
  <c r="S168" i="17"/>
  <c r="S169" i="17"/>
  <c r="S170" i="17"/>
  <c r="S171" i="17"/>
  <c r="S172" i="17"/>
  <c r="S173" i="17"/>
  <c r="S174" i="17"/>
  <c r="S175" i="17"/>
  <c r="S176" i="17"/>
  <c r="S177" i="17"/>
  <c r="S178" i="17"/>
  <c r="S179" i="17"/>
  <c r="S180" i="17"/>
  <c r="S181" i="17"/>
  <c r="S182" i="17"/>
  <c r="S183" i="17"/>
  <c r="S184" i="17"/>
  <c r="S185" i="17"/>
  <c r="S186" i="17"/>
  <c r="S187" i="17"/>
  <c r="S188" i="17"/>
  <c r="S189" i="17"/>
  <c r="S190" i="17"/>
  <c r="S191" i="17"/>
  <c r="S192" i="17"/>
  <c r="S193" i="17"/>
  <c r="S194" i="17"/>
  <c r="S195" i="17"/>
  <c r="S196" i="17"/>
  <c r="S197" i="17"/>
  <c r="S198" i="17"/>
  <c r="S199" i="17"/>
  <c r="S200" i="17"/>
  <c r="S201" i="17"/>
  <c r="S202" i="17"/>
  <c r="S203" i="17"/>
  <c r="S204" i="17"/>
  <c r="S205" i="17"/>
  <c r="S206" i="17"/>
  <c r="S207" i="17"/>
  <c r="S208" i="17"/>
  <c r="S209" i="17"/>
  <c r="S210" i="17"/>
  <c r="S211" i="17"/>
  <c r="S212" i="17"/>
  <c r="S213" i="17"/>
  <c r="S214" i="17"/>
  <c r="S215" i="17"/>
  <c r="S216" i="17"/>
  <c r="S217" i="17"/>
  <c r="S218" i="17"/>
  <c r="S219" i="17"/>
  <c r="S220" i="17"/>
  <c r="S221" i="17"/>
  <c r="S222" i="17"/>
  <c r="S223" i="17"/>
  <c r="S224" i="17"/>
  <c r="S225" i="17"/>
  <c r="S226" i="17"/>
  <c r="S227" i="17"/>
  <c r="S228" i="17"/>
  <c r="S229" i="17"/>
  <c r="S230" i="17"/>
  <c r="S231" i="17"/>
  <c r="S232" i="17"/>
  <c r="S233" i="17"/>
  <c r="S234" i="17"/>
  <c r="S235" i="17"/>
  <c r="S236" i="17"/>
  <c r="S237" i="17"/>
  <c r="S238" i="17"/>
  <c r="S239" i="17"/>
  <c r="S240" i="17"/>
  <c r="S241" i="17"/>
  <c r="S242" i="17"/>
  <c r="S243" i="17"/>
  <c r="S244" i="17"/>
  <c r="S245" i="17"/>
  <c r="S246" i="17"/>
  <c r="S247" i="17"/>
  <c r="S248" i="17"/>
  <c r="S249" i="17"/>
  <c r="S250" i="17"/>
  <c r="S251" i="17"/>
  <c r="S252" i="17"/>
  <c r="S253" i="17"/>
  <c r="S254" i="17"/>
  <c r="S255" i="17"/>
  <c r="S256" i="17"/>
  <c r="S257" i="17"/>
  <c r="S258" i="17"/>
  <c r="S259" i="17"/>
  <c r="S260" i="17"/>
  <c r="S261" i="17"/>
  <c r="S262" i="17"/>
  <c r="S263" i="17"/>
  <c r="S264" i="17"/>
  <c r="S265" i="17"/>
  <c r="S266" i="17"/>
  <c r="S267" i="17"/>
  <c r="S268" i="17"/>
  <c r="S269" i="17"/>
  <c r="S270" i="17"/>
  <c r="S271" i="17"/>
  <c r="S272" i="17"/>
  <c r="S273" i="17"/>
  <c r="S274" i="17"/>
  <c r="S275" i="17"/>
  <c r="S276" i="17"/>
  <c r="S277" i="17"/>
  <c r="S278" i="17"/>
  <c r="S279" i="17"/>
  <c r="S280" i="17"/>
  <c r="S281" i="17"/>
  <c r="S282" i="17"/>
  <c r="S283" i="17"/>
  <c r="S284" i="17"/>
  <c r="S285" i="17"/>
  <c r="S286" i="17"/>
  <c r="S287" i="17"/>
  <c r="S288" i="17"/>
  <c r="S289" i="17"/>
  <c r="S290" i="17"/>
  <c r="S291" i="17"/>
  <c r="S292" i="17"/>
  <c r="S293" i="17"/>
  <c r="S294" i="17"/>
  <c r="S295" i="17"/>
  <c r="S296" i="17"/>
  <c r="S297" i="17"/>
  <c r="S298" i="17"/>
  <c r="S299" i="17"/>
  <c r="S300" i="17"/>
  <c r="S301" i="17"/>
  <c r="S302" i="17"/>
  <c r="S303" i="17"/>
  <c r="S304" i="17"/>
  <c r="S305" i="17"/>
  <c r="S306" i="17"/>
  <c r="S307" i="17"/>
  <c r="S308" i="17"/>
  <c r="S309" i="17"/>
  <c r="S310" i="17"/>
  <c r="S311" i="17"/>
  <c r="S312" i="17"/>
  <c r="S313" i="17"/>
  <c r="S314" i="17"/>
  <c r="S315" i="17"/>
  <c r="S316" i="17"/>
  <c r="S317" i="17"/>
  <c r="S318" i="17"/>
  <c r="S319" i="17"/>
  <c r="S320" i="17"/>
  <c r="S321" i="17"/>
  <c r="S322" i="17"/>
  <c r="S323" i="17"/>
  <c r="S324" i="17"/>
  <c r="S325" i="17"/>
  <c r="S326" i="17"/>
  <c r="S327" i="17"/>
  <c r="S328" i="17"/>
  <c r="S329" i="17"/>
  <c r="S330" i="17"/>
  <c r="S331" i="17"/>
  <c r="S332" i="17"/>
  <c r="S333" i="17"/>
  <c r="S334" i="17"/>
  <c r="S335" i="17"/>
  <c r="S336" i="17"/>
  <c r="S337" i="17"/>
  <c r="S338" i="17"/>
  <c r="S339" i="17"/>
  <c r="S340" i="17"/>
  <c r="S341" i="17"/>
  <c r="S342" i="17"/>
  <c r="S343" i="17"/>
  <c r="S344" i="17"/>
  <c r="S345" i="17"/>
  <c r="S346" i="17"/>
  <c r="S347" i="17"/>
  <c r="S348" i="17"/>
  <c r="S349" i="17"/>
  <c r="S350" i="17"/>
  <c r="S351" i="17"/>
  <c r="S352" i="17"/>
  <c r="S353" i="17"/>
  <c r="S354" i="17"/>
  <c r="S355" i="17"/>
  <c r="S356" i="17"/>
  <c r="S357" i="17"/>
  <c r="S358" i="17"/>
  <c r="S359" i="17"/>
  <c r="S360" i="17"/>
  <c r="S361" i="17"/>
  <c r="S362" i="17"/>
  <c r="S363" i="17"/>
  <c r="S364" i="17"/>
  <c r="S365" i="17"/>
  <c r="S366" i="17"/>
  <c r="S367" i="17"/>
  <c r="S368" i="17"/>
  <c r="S369" i="17"/>
  <c r="S370" i="17"/>
  <c r="S371" i="17"/>
  <c r="S372" i="17"/>
  <c r="S373" i="17"/>
  <c r="S374" i="17"/>
  <c r="S375" i="17"/>
  <c r="S376" i="17"/>
  <c r="S377" i="17"/>
  <c r="S378" i="17"/>
  <c r="S379" i="17"/>
  <c r="S380" i="17"/>
  <c r="S381" i="17"/>
  <c r="S382" i="17"/>
  <c r="S383" i="17"/>
  <c r="S384" i="17"/>
  <c r="S385" i="17"/>
  <c r="S386" i="17"/>
  <c r="S387" i="17"/>
  <c r="S388" i="17"/>
  <c r="S389" i="17"/>
  <c r="S390" i="17"/>
  <c r="S391" i="17"/>
  <c r="S392" i="17"/>
  <c r="S393" i="17"/>
  <c r="S394" i="17"/>
  <c r="S395" i="17"/>
  <c r="S396" i="17"/>
  <c r="S397" i="17"/>
  <c r="S398" i="17"/>
  <c r="S399" i="17"/>
  <c r="S400" i="17"/>
  <c r="S401" i="17"/>
  <c r="S402" i="17"/>
  <c r="S403" i="17"/>
  <c r="S404" i="17"/>
  <c r="S405" i="17"/>
  <c r="S406" i="17"/>
  <c r="S407" i="17"/>
  <c r="S408" i="17"/>
  <c r="S409" i="17"/>
  <c r="S410" i="17"/>
  <c r="S411" i="17"/>
  <c r="S412" i="17"/>
  <c r="S413" i="17"/>
  <c r="S3" i="17"/>
  <c r="D7" i="7"/>
  <c r="L12" i="21" l="1"/>
  <c r="M12" i="21" s="1"/>
  <c r="L15" i="21" s="1"/>
  <c r="G42" i="6"/>
  <c r="I42" i="6" s="1"/>
  <c r="X29" i="23"/>
  <c r="G40" i="6"/>
  <c r="I40" i="6" s="1"/>
  <c r="X27" i="23"/>
  <c r="G38" i="6"/>
  <c r="I38" i="6" s="1"/>
  <c r="X25" i="23"/>
  <c r="G36" i="6"/>
  <c r="I36" i="6" s="1"/>
  <c r="X23" i="23"/>
  <c r="G34" i="6"/>
  <c r="I34" i="6" s="1"/>
  <c r="X21" i="23"/>
  <c r="G32" i="6"/>
  <c r="I32" i="6" s="1"/>
  <c r="X19" i="23"/>
  <c r="G30" i="6"/>
  <c r="I30" i="6" s="1"/>
  <c r="X17" i="23"/>
  <c r="G28" i="6"/>
  <c r="I28" i="6" s="1"/>
  <c r="X15" i="23"/>
  <c r="G26" i="6"/>
  <c r="I26" i="6" s="1"/>
  <c r="X13" i="23"/>
  <c r="G41" i="6"/>
  <c r="I41" i="6" s="1"/>
  <c r="X28" i="23"/>
  <c r="G39" i="6"/>
  <c r="I39" i="6" s="1"/>
  <c r="X26" i="23"/>
  <c r="G37" i="6"/>
  <c r="I37" i="6" s="1"/>
  <c r="X24" i="23"/>
  <c r="G35" i="6"/>
  <c r="I35" i="6" s="1"/>
  <c r="X22" i="23"/>
  <c r="G33" i="6"/>
  <c r="I33" i="6" s="1"/>
  <c r="X20" i="23"/>
  <c r="G31" i="6"/>
  <c r="I31" i="6" s="1"/>
  <c r="X18" i="23"/>
  <c r="G29" i="6"/>
  <c r="I29" i="6" s="1"/>
  <c r="X16" i="23"/>
  <c r="G27" i="6"/>
  <c r="I27" i="6" s="1"/>
  <c r="X14" i="23"/>
  <c r="G25" i="6"/>
  <c r="I25" i="6" s="1"/>
  <c r="X12" i="23"/>
  <c r="G24" i="6"/>
  <c r="X11" i="23"/>
  <c r="I24" i="6"/>
  <c r="BK1" i="3"/>
  <c r="BJ1" i="3"/>
  <c r="V10" i="12"/>
  <c r="C10" i="10"/>
  <c r="D27" i="18" s="1"/>
  <c r="N25" i="6" l="1"/>
  <c r="R52" i="6"/>
  <c r="R60" i="6" s="1"/>
  <c r="BH7" i="3"/>
  <c r="BH8" i="3"/>
  <c r="BH16" i="3"/>
  <c r="BH24" i="3"/>
  <c r="BH32" i="3"/>
  <c r="BH40" i="3"/>
  <c r="BH48" i="3"/>
  <c r="BH56" i="3"/>
  <c r="BH64" i="3"/>
  <c r="BH72" i="3"/>
  <c r="BH80" i="3"/>
  <c r="BH88" i="3"/>
  <c r="BH96" i="3"/>
  <c r="BH104" i="3"/>
  <c r="BH112" i="3"/>
  <c r="BH120" i="3"/>
  <c r="BH128" i="3"/>
  <c r="BH136" i="3"/>
  <c r="BH144" i="3"/>
  <c r="BH152" i="3"/>
  <c r="BH160" i="3"/>
  <c r="BH168" i="3"/>
  <c r="BH176" i="3"/>
  <c r="BH184" i="3"/>
  <c r="BH192" i="3"/>
  <c r="BH200" i="3"/>
  <c r="BH208" i="3"/>
  <c r="BH216" i="3"/>
  <c r="BH224" i="3"/>
  <c r="BH232" i="3"/>
  <c r="BH240" i="3"/>
  <c r="BH248" i="3"/>
  <c r="BH256" i="3"/>
  <c r="BH264" i="3"/>
  <c r="BH272" i="3"/>
  <c r="BH280" i="3"/>
  <c r="BH288" i="3"/>
  <c r="BH296" i="3"/>
  <c r="BH304" i="3"/>
  <c r="BH312" i="3"/>
  <c r="BH320" i="3"/>
  <c r="BH328" i="3"/>
  <c r="BH336" i="3"/>
  <c r="BH344" i="3"/>
  <c r="BH352" i="3"/>
  <c r="BH360" i="3"/>
  <c r="BH368" i="3"/>
  <c r="CB7" i="3"/>
  <c r="CB15" i="3"/>
  <c r="CB23" i="3"/>
  <c r="CB31" i="3"/>
  <c r="CB39" i="3"/>
  <c r="CB47" i="3"/>
  <c r="CB55" i="3"/>
  <c r="CB63" i="3"/>
  <c r="CB71" i="3"/>
  <c r="CB83" i="3"/>
  <c r="CB91" i="3"/>
  <c r="CB99" i="3"/>
  <c r="CB107" i="3"/>
  <c r="CB115" i="3"/>
  <c r="CB123" i="3"/>
  <c r="CB131" i="3"/>
  <c r="CB139" i="3"/>
  <c r="CB147" i="3"/>
  <c r="CB155" i="3"/>
  <c r="CB163" i="3"/>
  <c r="CB171" i="3"/>
  <c r="CB179" i="3"/>
  <c r="CB187" i="3"/>
  <c r="CB195" i="3"/>
  <c r="CB203" i="3"/>
  <c r="CB211" i="3"/>
  <c r="CB219" i="3"/>
  <c r="CB227" i="3"/>
  <c r="CB235" i="3"/>
  <c r="CB243" i="3"/>
  <c r="CB251" i="3"/>
  <c r="CB259" i="3"/>
  <c r="CB267" i="3"/>
  <c r="CB275" i="3"/>
  <c r="CB283" i="3"/>
  <c r="CB291" i="3"/>
  <c r="CB299" i="3"/>
  <c r="CB307" i="3"/>
  <c r="CB315" i="3"/>
  <c r="BH9" i="3"/>
  <c r="BH17" i="3"/>
  <c r="BH25" i="3"/>
  <c r="BH33" i="3"/>
  <c r="BH41" i="3"/>
  <c r="BH49" i="3"/>
  <c r="BH57" i="3"/>
  <c r="BH65" i="3"/>
  <c r="BH73" i="3"/>
  <c r="BH81" i="3"/>
  <c r="BH89" i="3"/>
  <c r="BH97" i="3"/>
  <c r="BH105" i="3"/>
  <c r="BH113" i="3"/>
  <c r="BH121" i="3"/>
  <c r="BH129" i="3"/>
  <c r="BH137" i="3"/>
  <c r="BH145" i="3"/>
  <c r="BH153" i="3"/>
  <c r="BH161" i="3"/>
  <c r="BH169" i="3"/>
  <c r="BH177" i="3"/>
  <c r="BH185" i="3"/>
  <c r="BH193" i="3"/>
  <c r="BH201" i="3"/>
  <c r="BH209" i="3"/>
  <c r="BH217" i="3"/>
  <c r="BH225" i="3"/>
  <c r="BH233" i="3"/>
  <c r="BH241" i="3"/>
  <c r="BH249" i="3"/>
  <c r="BH257" i="3"/>
  <c r="BH265" i="3"/>
  <c r="BH273" i="3"/>
  <c r="BH281" i="3"/>
  <c r="BH289" i="3"/>
  <c r="BH297" i="3"/>
  <c r="BH305" i="3"/>
  <c r="BH313" i="3"/>
  <c r="BH321" i="3"/>
  <c r="BH329" i="3"/>
  <c r="BH337" i="3"/>
  <c r="BH345" i="3"/>
  <c r="BH353" i="3"/>
  <c r="BH361" i="3"/>
  <c r="BH369" i="3"/>
  <c r="CB8" i="3"/>
  <c r="CB16" i="3"/>
  <c r="CB24" i="3"/>
  <c r="CB32" i="3"/>
  <c r="CB40" i="3"/>
  <c r="CB48" i="3"/>
  <c r="CB56" i="3"/>
  <c r="CB64" i="3"/>
  <c r="CB72" i="3"/>
  <c r="CB84" i="3"/>
  <c r="CB92" i="3"/>
  <c r="CB100" i="3"/>
  <c r="CB108" i="3"/>
  <c r="CB116" i="3"/>
  <c r="CB124" i="3"/>
  <c r="CB132" i="3"/>
  <c r="CB140" i="3"/>
  <c r="CB148" i="3"/>
  <c r="CB156" i="3"/>
  <c r="CB164" i="3"/>
  <c r="CB172" i="3"/>
  <c r="CB180" i="3"/>
  <c r="CB188" i="3"/>
  <c r="CB196" i="3"/>
  <c r="CB204" i="3"/>
  <c r="CB212" i="3"/>
  <c r="CB220" i="3"/>
  <c r="CB228" i="3"/>
  <c r="CB236" i="3"/>
  <c r="CB244" i="3"/>
  <c r="CB252" i="3"/>
  <c r="CB260" i="3"/>
  <c r="CB268" i="3"/>
  <c r="CB276" i="3"/>
  <c r="CB284" i="3"/>
  <c r="CB292" i="3"/>
  <c r="CB300" i="3"/>
  <c r="CB308" i="3"/>
  <c r="CB316" i="3"/>
  <c r="BH10" i="3"/>
  <c r="BH3" i="3"/>
  <c r="BH11" i="3"/>
  <c r="BH19" i="3"/>
  <c r="BH27" i="3"/>
  <c r="BH35" i="3"/>
  <c r="BH43" i="3"/>
  <c r="BH51" i="3"/>
  <c r="BH59" i="3"/>
  <c r="BH67" i="3"/>
  <c r="BH75" i="3"/>
  <c r="BH83" i="3"/>
  <c r="BH91" i="3"/>
  <c r="BH99" i="3"/>
  <c r="BH107" i="3"/>
  <c r="BH115" i="3"/>
  <c r="BH123" i="3"/>
  <c r="BH131" i="3"/>
  <c r="BH139" i="3"/>
  <c r="BH147" i="3"/>
  <c r="BH155" i="3"/>
  <c r="BH163" i="3"/>
  <c r="BH171" i="3"/>
  <c r="BH179" i="3"/>
  <c r="BH187" i="3"/>
  <c r="BH195" i="3"/>
  <c r="BH203" i="3"/>
  <c r="BH211" i="3"/>
  <c r="BH219" i="3"/>
  <c r="BH227" i="3"/>
  <c r="BH235" i="3"/>
  <c r="BH243" i="3"/>
  <c r="BH251" i="3"/>
  <c r="BH259" i="3"/>
  <c r="BH267" i="3"/>
  <c r="BH275" i="3"/>
  <c r="BH283" i="3"/>
  <c r="BH291" i="3"/>
  <c r="BH299" i="3"/>
  <c r="BH307" i="3"/>
  <c r="BH315" i="3"/>
  <c r="BH323" i="3"/>
  <c r="BH331" i="3"/>
  <c r="BH339" i="3"/>
  <c r="BH347" i="3"/>
  <c r="BH355" i="3"/>
  <c r="BH363" i="3"/>
  <c r="CB10" i="3"/>
  <c r="CB18" i="3"/>
  <c r="CB26" i="3"/>
  <c r="CB34" i="3"/>
  <c r="CB42" i="3"/>
  <c r="CB50" i="3"/>
  <c r="CB58" i="3"/>
  <c r="CB66" i="3"/>
  <c r="CB78" i="3"/>
  <c r="CB86" i="3"/>
  <c r="CB94" i="3"/>
  <c r="CB102" i="3"/>
  <c r="CB110" i="3"/>
  <c r="CB118" i="3"/>
  <c r="CB126" i="3"/>
  <c r="CB134" i="3"/>
  <c r="CB142" i="3"/>
  <c r="CB150" i="3"/>
  <c r="CB158" i="3"/>
  <c r="CB166" i="3"/>
  <c r="CB174" i="3"/>
  <c r="CB182" i="3"/>
  <c r="CB190" i="3"/>
  <c r="CB198" i="3"/>
  <c r="CB206" i="3"/>
  <c r="CB214" i="3"/>
  <c r="CB222" i="3"/>
  <c r="CB230" i="3"/>
  <c r="CB238" i="3"/>
  <c r="CB246" i="3"/>
  <c r="CB254" i="3"/>
  <c r="CB262" i="3"/>
  <c r="CB270" i="3"/>
  <c r="CB278" i="3"/>
  <c r="CB286" i="3"/>
  <c r="CB294" i="3"/>
  <c r="CB302" i="3"/>
  <c r="CB310" i="3"/>
  <c r="CB318" i="3"/>
  <c r="BH4" i="3"/>
  <c r="BH5" i="3"/>
  <c r="BH13" i="3"/>
  <c r="BH21" i="3"/>
  <c r="BH29" i="3"/>
  <c r="BH37" i="3"/>
  <c r="BH45" i="3"/>
  <c r="BH53" i="3"/>
  <c r="BH61" i="3"/>
  <c r="BH69" i="3"/>
  <c r="BH77" i="3"/>
  <c r="BH85" i="3"/>
  <c r="BH93" i="3"/>
  <c r="BH101" i="3"/>
  <c r="BH109" i="3"/>
  <c r="BH117" i="3"/>
  <c r="BH125" i="3"/>
  <c r="BH133" i="3"/>
  <c r="BH141" i="3"/>
  <c r="BH149" i="3"/>
  <c r="BH157" i="3"/>
  <c r="BH165" i="3"/>
  <c r="BH173" i="3"/>
  <c r="BH181" i="3"/>
  <c r="BH189" i="3"/>
  <c r="BH197" i="3"/>
  <c r="BH205" i="3"/>
  <c r="BH213" i="3"/>
  <c r="BH221" i="3"/>
  <c r="BH229" i="3"/>
  <c r="BH237" i="3"/>
  <c r="BH245" i="3"/>
  <c r="BH253" i="3"/>
  <c r="BH261" i="3"/>
  <c r="BH269" i="3"/>
  <c r="BH277" i="3"/>
  <c r="BH285" i="3"/>
  <c r="BH293" i="3"/>
  <c r="BH301" i="3"/>
  <c r="BH309" i="3"/>
  <c r="BH317" i="3"/>
  <c r="BH325" i="3"/>
  <c r="BH333" i="3"/>
  <c r="BH341" i="3"/>
  <c r="BH349" i="3"/>
  <c r="BH357" i="3"/>
  <c r="BH365" i="3"/>
  <c r="CB4" i="3"/>
  <c r="CB12" i="3"/>
  <c r="CB20" i="3"/>
  <c r="CB28" i="3"/>
  <c r="CB36" i="3"/>
  <c r="CB44" i="3"/>
  <c r="CB52" i="3"/>
  <c r="CB60" i="3"/>
  <c r="CB68" i="3"/>
  <c r="CB80" i="3"/>
  <c r="CB88" i="3"/>
  <c r="CB96" i="3"/>
  <c r="CB104" i="3"/>
  <c r="CB112" i="3"/>
  <c r="CB120" i="3"/>
  <c r="CB128" i="3"/>
  <c r="CB136" i="3"/>
  <c r="CB144" i="3"/>
  <c r="CB152" i="3"/>
  <c r="CB160" i="3"/>
  <c r="CB168" i="3"/>
  <c r="CB176" i="3"/>
  <c r="CB184" i="3"/>
  <c r="CB192" i="3"/>
  <c r="CB200" i="3"/>
  <c r="CB208" i="3"/>
  <c r="CB216" i="3"/>
  <c r="CB224" i="3"/>
  <c r="CB232" i="3"/>
  <c r="CB240" i="3"/>
  <c r="CB248" i="3"/>
  <c r="CB256" i="3"/>
  <c r="CB264" i="3"/>
  <c r="CB272" i="3"/>
  <c r="CB280" i="3"/>
  <c r="CB288" i="3"/>
  <c r="CB296" i="3"/>
  <c r="CB304" i="3"/>
  <c r="CB312" i="3"/>
  <c r="BH6" i="3"/>
  <c r="BH14" i="3"/>
  <c r="BH22" i="3"/>
  <c r="BH30" i="3"/>
  <c r="BH38" i="3"/>
  <c r="BH46" i="3"/>
  <c r="BH54" i="3"/>
  <c r="BH62" i="3"/>
  <c r="BH70" i="3"/>
  <c r="BH78" i="3"/>
  <c r="BH86" i="3"/>
  <c r="BH94" i="3"/>
  <c r="BH102" i="3"/>
  <c r="BH110" i="3"/>
  <c r="BH118" i="3"/>
  <c r="BH126" i="3"/>
  <c r="BH134" i="3"/>
  <c r="BH142" i="3"/>
  <c r="BH150" i="3"/>
  <c r="BH158" i="3"/>
  <c r="BH166" i="3"/>
  <c r="BH174" i="3"/>
  <c r="BH182" i="3"/>
  <c r="BH190" i="3"/>
  <c r="BH198" i="3"/>
  <c r="BH206" i="3"/>
  <c r="BH214" i="3"/>
  <c r="BH222" i="3"/>
  <c r="BH230" i="3"/>
  <c r="BH238" i="3"/>
  <c r="BH246" i="3"/>
  <c r="BH254" i="3"/>
  <c r="BH262" i="3"/>
  <c r="BH270" i="3"/>
  <c r="BH278" i="3"/>
  <c r="BH286" i="3"/>
  <c r="BH294" i="3"/>
  <c r="BH302" i="3"/>
  <c r="BH310" i="3"/>
  <c r="BH318" i="3"/>
  <c r="BH326" i="3"/>
  <c r="BH334" i="3"/>
  <c r="BH342" i="3"/>
  <c r="BH350" i="3"/>
  <c r="BH358" i="3"/>
  <c r="BH366" i="3"/>
  <c r="CB5" i="3"/>
  <c r="CB13" i="3"/>
  <c r="CB21" i="3"/>
  <c r="CB29" i="3"/>
  <c r="CB37" i="3"/>
  <c r="CB45" i="3"/>
  <c r="CB53" i="3"/>
  <c r="CB61" i="3"/>
  <c r="CB69" i="3"/>
  <c r="CB81" i="3"/>
  <c r="CB89" i="3"/>
  <c r="CB97" i="3"/>
  <c r="CB105" i="3"/>
  <c r="CB113" i="3"/>
  <c r="CB121" i="3"/>
  <c r="CB129" i="3"/>
  <c r="CB137" i="3"/>
  <c r="CB145" i="3"/>
  <c r="CB153" i="3"/>
  <c r="CB161" i="3"/>
  <c r="CB169" i="3"/>
  <c r="CB177" i="3"/>
  <c r="CB185" i="3"/>
  <c r="CB193" i="3"/>
  <c r="CB201" i="3"/>
  <c r="CB209" i="3"/>
  <c r="CB217" i="3"/>
  <c r="CB225" i="3"/>
  <c r="CB233" i="3"/>
  <c r="CB241" i="3"/>
  <c r="CB249" i="3"/>
  <c r="CB257" i="3"/>
  <c r="CB265" i="3"/>
  <c r="CB273" i="3"/>
  <c r="CB281" i="3"/>
  <c r="CB289" i="3"/>
  <c r="CB297" i="3"/>
  <c r="CB305" i="3"/>
  <c r="CB313" i="3"/>
  <c r="BH26" i="3"/>
  <c r="BH47" i="3"/>
  <c r="BH68" i="3"/>
  <c r="BH90" i="3"/>
  <c r="BH111" i="3"/>
  <c r="BH132" i="3"/>
  <c r="BH154" i="3"/>
  <c r="BH175" i="3"/>
  <c r="BH196" i="3"/>
  <c r="BH218" i="3"/>
  <c r="BH239" i="3"/>
  <c r="BH260" i="3"/>
  <c r="BH282" i="3"/>
  <c r="BH303" i="3"/>
  <c r="BH324" i="3"/>
  <c r="BH346" i="3"/>
  <c r="BH367" i="3"/>
  <c r="CB17" i="3"/>
  <c r="CB38" i="3"/>
  <c r="CB59" i="3"/>
  <c r="CB85" i="3"/>
  <c r="CB106" i="3"/>
  <c r="CB127" i="3"/>
  <c r="CB149" i="3"/>
  <c r="CB170" i="3"/>
  <c r="CB191" i="3"/>
  <c r="CB213" i="3"/>
  <c r="CB234" i="3"/>
  <c r="CB255" i="3"/>
  <c r="CB277" i="3"/>
  <c r="CB298" i="3"/>
  <c r="CB319" i="3"/>
  <c r="CB327" i="3"/>
  <c r="CB335" i="3"/>
  <c r="CB343" i="3"/>
  <c r="CB351" i="3"/>
  <c r="CB359" i="3"/>
  <c r="CB367" i="3"/>
  <c r="CB375" i="3"/>
  <c r="BR7" i="3"/>
  <c r="BR15" i="3"/>
  <c r="BR23" i="3"/>
  <c r="BR31" i="3"/>
  <c r="BR39" i="3"/>
  <c r="BR47" i="3"/>
  <c r="BR55" i="3"/>
  <c r="BR63" i="3"/>
  <c r="BR72" i="3"/>
  <c r="BR81" i="3"/>
  <c r="BR90" i="3"/>
  <c r="BR99" i="3"/>
  <c r="BR107" i="3"/>
  <c r="BR115" i="3"/>
  <c r="BR123" i="3"/>
  <c r="BR131" i="3"/>
  <c r="BR139" i="3"/>
  <c r="BR147" i="3"/>
  <c r="BR155" i="3"/>
  <c r="BR163" i="3"/>
  <c r="BR171" i="3"/>
  <c r="BR179" i="3"/>
  <c r="BR187" i="3"/>
  <c r="BR195" i="3"/>
  <c r="BR203" i="3"/>
  <c r="BR211" i="3"/>
  <c r="BR219" i="3"/>
  <c r="BR227" i="3"/>
  <c r="BR235" i="3"/>
  <c r="BR243" i="3"/>
  <c r="BR251" i="3"/>
  <c r="BR259" i="3"/>
  <c r="BR267" i="3"/>
  <c r="BR275" i="3"/>
  <c r="BR283" i="3"/>
  <c r="BR291" i="3"/>
  <c r="BR299" i="3"/>
  <c r="BR307" i="3"/>
  <c r="BR315" i="3"/>
  <c r="BR323" i="3"/>
  <c r="BR331" i="3"/>
  <c r="BR339" i="3"/>
  <c r="BR347" i="3"/>
  <c r="BR355" i="3"/>
  <c r="BR363" i="3"/>
  <c r="BH28" i="3"/>
  <c r="BH50" i="3"/>
  <c r="BH71" i="3"/>
  <c r="BH92" i="3"/>
  <c r="BH114" i="3"/>
  <c r="BH135" i="3"/>
  <c r="BH156" i="3"/>
  <c r="BH178" i="3"/>
  <c r="BH199" i="3"/>
  <c r="BH220" i="3"/>
  <c r="BH242" i="3"/>
  <c r="BH263" i="3"/>
  <c r="BH284" i="3"/>
  <c r="BH306" i="3"/>
  <c r="BH327" i="3"/>
  <c r="BH348" i="3"/>
  <c r="BH2" i="3"/>
  <c r="CB19" i="3"/>
  <c r="CB41" i="3"/>
  <c r="CB62" i="3"/>
  <c r="CB87" i="3"/>
  <c r="CB109" i="3"/>
  <c r="CB130" i="3"/>
  <c r="CB151" i="3"/>
  <c r="CB173" i="3"/>
  <c r="CB194" i="3"/>
  <c r="CB215" i="3"/>
  <c r="CB237" i="3"/>
  <c r="CB258" i="3"/>
  <c r="CB279" i="3"/>
  <c r="CB301" i="3"/>
  <c r="CB320" i="3"/>
  <c r="CB328" i="3"/>
  <c r="CB336" i="3"/>
  <c r="CB344" i="3"/>
  <c r="CB352" i="3"/>
  <c r="CB360" i="3"/>
  <c r="CB368" i="3"/>
  <c r="CB376" i="3"/>
  <c r="BR8" i="3"/>
  <c r="BR16" i="3"/>
  <c r="BR24" i="3"/>
  <c r="BR32" i="3"/>
  <c r="BR40" i="3"/>
  <c r="BR48" i="3"/>
  <c r="BR56" i="3"/>
  <c r="BR64" i="3"/>
  <c r="BR73" i="3"/>
  <c r="BR82" i="3"/>
  <c r="BR91" i="3"/>
  <c r="BR100" i="3"/>
  <c r="BR108" i="3"/>
  <c r="BR116" i="3"/>
  <c r="BR124" i="3"/>
  <c r="BR132" i="3"/>
  <c r="BR140" i="3"/>
  <c r="BR148" i="3"/>
  <c r="BR156" i="3"/>
  <c r="BR164" i="3"/>
  <c r="BR172" i="3"/>
  <c r="BR180" i="3"/>
  <c r="BR188" i="3"/>
  <c r="BR196" i="3"/>
  <c r="BR204" i="3"/>
  <c r="BR212" i="3"/>
  <c r="BR220" i="3"/>
  <c r="BR228" i="3"/>
  <c r="BR236" i="3"/>
  <c r="BR244" i="3"/>
  <c r="BR252" i="3"/>
  <c r="BR260" i="3"/>
  <c r="BR268" i="3"/>
  <c r="BR276" i="3"/>
  <c r="BR284" i="3"/>
  <c r="BR292" i="3"/>
  <c r="BR300" i="3"/>
  <c r="BR308" i="3"/>
  <c r="BR316" i="3"/>
  <c r="BR324" i="3"/>
  <c r="BR332" i="3"/>
  <c r="BR340" i="3"/>
  <c r="BR348" i="3"/>
  <c r="BR356" i="3"/>
  <c r="BR364" i="3"/>
  <c r="BH12" i="3"/>
  <c r="BH34" i="3"/>
  <c r="BH55" i="3"/>
  <c r="BH76" i="3"/>
  <c r="BH98" i="3"/>
  <c r="BH119" i="3"/>
  <c r="BH140" i="3"/>
  <c r="BH162" i="3"/>
  <c r="BH183" i="3"/>
  <c r="BH204" i="3"/>
  <c r="BH226" i="3"/>
  <c r="BH247" i="3"/>
  <c r="BH268" i="3"/>
  <c r="BH290" i="3"/>
  <c r="BH311" i="3"/>
  <c r="BH332" i="3"/>
  <c r="BH354" i="3"/>
  <c r="CB3" i="3"/>
  <c r="CB25" i="3"/>
  <c r="CB46" i="3"/>
  <c r="CB67" i="3"/>
  <c r="CB93" i="3"/>
  <c r="CB114" i="3"/>
  <c r="CB135" i="3"/>
  <c r="CB157" i="3"/>
  <c r="CB178" i="3"/>
  <c r="CB199" i="3"/>
  <c r="CB221" i="3"/>
  <c r="CB242" i="3"/>
  <c r="CB263" i="3"/>
  <c r="CB285" i="3"/>
  <c r="CB306" i="3"/>
  <c r="CB322" i="3"/>
  <c r="CB330" i="3"/>
  <c r="CB338" i="3"/>
  <c r="CB346" i="3"/>
  <c r="CB354" i="3"/>
  <c r="CB362" i="3"/>
  <c r="CB370" i="3"/>
  <c r="CB2" i="3"/>
  <c r="BR10" i="3"/>
  <c r="BR18" i="3"/>
  <c r="BR26" i="3"/>
  <c r="BR34" i="3"/>
  <c r="BR42" i="3"/>
  <c r="BR50" i="3"/>
  <c r="BR58" i="3"/>
  <c r="BR66" i="3"/>
  <c r="BR75" i="3"/>
  <c r="BR85" i="3"/>
  <c r="BR94" i="3"/>
  <c r="BR102" i="3"/>
  <c r="BR110" i="3"/>
  <c r="BR118" i="3"/>
  <c r="BR126" i="3"/>
  <c r="BR134" i="3"/>
  <c r="BR142" i="3"/>
  <c r="BR150" i="3"/>
  <c r="BR158" i="3"/>
  <c r="BR166" i="3"/>
  <c r="BR174" i="3"/>
  <c r="BR182" i="3"/>
  <c r="BR190" i="3"/>
  <c r="BR198" i="3"/>
  <c r="BR206" i="3"/>
  <c r="BR214" i="3"/>
  <c r="BR222" i="3"/>
  <c r="BR230" i="3"/>
  <c r="BR238" i="3"/>
  <c r="BR246" i="3"/>
  <c r="BR254" i="3"/>
  <c r="BR262" i="3"/>
  <c r="BR270" i="3"/>
  <c r="BR278" i="3"/>
  <c r="BR286" i="3"/>
  <c r="BR294" i="3"/>
  <c r="BR302" i="3"/>
  <c r="BR310" i="3"/>
  <c r="BR318" i="3"/>
  <c r="BR326" i="3"/>
  <c r="BR334" i="3"/>
  <c r="BR342" i="3"/>
  <c r="BR350" i="3"/>
  <c r="BR358" i="3"/>
  <c r="BR366" i="3"/>
  <c r="BH15" i="3"/>
  <c r="BH36" i="3"/>
  <c r="BH58" i="3"/>
  <c r="BH79" i="3"/>
  <c r="BH100" i="3"/>
  <c r="BH122" i="3"/>
  <c r="BH143" i="3"/>
  <c r="BH164" i="3"/>
  <c r="BH186" i="3"/>
  <c r="BH207" i="3"/>
  <c r="BH228" i="3"/>
  <c r="BH250" i="3"/>
  <c r="BH271" i="3"/>
  <c r="BH292" i="3"/>
  <c r="BH314" i="3"/>
  <c r="BH335" i="3"/>
  <c r="BH356" i="3"/>
  <c r="CB6" i="3"/>
  <c r="CB27" i="3"/>
  <c r="CB49" i="3"/>
  <c r="CB70" i="3"/>
  <c r="CB95" i="3"/>
  <c r="CB117" i="3"/>
  <c r="CB138" i="3"/>
  <c r="CB159" i="3"/>
  <c r="CB181" i="3"/>
  <c r="CB202" i="3"/>
  <c r="CB223" i="3"/>
  <c r="CB245" i="3"/>
  <c r="CB266" i="3"/>
  <c r="CB287" i="3"/>
  <c r="CB309" i="3"/>
  <c r="CB323" i="3"/>
  <c r="CB331" i="3"/>
  <c r="CB339" i="3"/>
  <c r="CB347" i="3"/>
  <c r="CB355" i="3"/>
  <c r="CB363" i="3"/>
  <c r="CB371" i="3"/>
  <c r="BR3" i="3"/>
  <c r="BR11" i="3"/>
  <c r="BR19" i="3"/>
  <c r="BR27" i="3"/>
  <c r="BR35" i="3"/>
  <c r="BR43" i="3"/>
  <c r="BR51" i="3"/>
  <c r="BR59" i="3"/>
  <c r="BR67" i="3"/>
  <c r="BR77" i="3"/>
  <c r="BR86" i="3"/>
  <c r="BR95" i="3"/>
  <c r="BR103" i="3"/>
  <c r="BR111" i="3"/>
  <c r="BR119" i="3"/>
  <c r="BR127" i="3"/>
  <c r="BR135" i="3"/>
  <c r="BR143" i="3"/>
  <c r="BR151" i="3"/>
  <c r="BR159" i="3"/>
  <c r="BR167" i="3"/>
  <c r="BR175" i="3"/>
  <c r="BR183" i="3"/>
  <c r="BR191" i="3"/>
  <c r="BR199" i="3"/>
  <c r="BR207" i="3"/>
  <c r="BR215" i="3"/>
  <c r="BR223" i="3"/>
  <c r="BR231" i="3"/>
  <c r="BR239" i="3"/>
  <c r="BR247" i="3"/>
  <c r="BR255" i="3"/>
  <c r="BR263" i="3"/>
  <c r="BR271" i="3"/>
  <c r="BR279" i="3"/>
  <c r="BR287" i="3"/>
  <c r="BR295" i="3"/>
  <c r="BR303" i="3"/>
  <c r="BR311" i="3"/>
  <c r="BR319" i="3"/>
  <c r="BR327" i="3"/>
  <c r="BR335" i="3"/>
  <c r="BR343" i="3"/>
  <c r="BR351" i="3"/>
  <c r="BR359" i="3"/>
  <c r="BR367" i="3"/>
  <c r="BH39" i="3"/>
  <c r="BH82" i="3"/>
  <c r="BH124" i="3"/>
  <c r="BH167" i="3"/>
  <c r="BH210" i="3"/>
  <c r="BH252" i="3"/>
  <c r="BH295" i="3"/>
  <c r="BH338" i="3"/>
  <c r="CB9" i="3"/>
  <c r="CB51" i="3"/>
  <c r="CB98" i="3"/>
  <c r="CB141" i="3"/>
  <c r="CB183" i="3"/>
  <c r="CB226" i="3"/>
  <c r="CB269" i="3"/>
  <c r="CB311" i="3"/>
  <c r="CB332" i="3"/>
  <c r="CB348" i="3"/>
  <c r="CB364" i="3"/>
  <c r="BR4" i="3"/>
  <c r="BR20" i="3"/>
  <c r="BR36" i="3"/>
  <c r="BR52" i="3"/>
  <c r="BR69" i="3"/>
  <c r="BR87" i="3"/>
  <c r="BR104" i="3"/>
  <c r="BR120" i="3"/>
  <c r="BR136" i="3"/>
  <c r="BR152" i="3"/>
  <c r="BR168" i="3"/>
  <c r="BR184" i="3"/>
  <c r="BR200" i="3"/>
  <c r="BR216" i="3"/>
  <c r="BR232" i="3"/>
  <c r="BR248" i="3"/>
  <c r="BR264" i="3"/>
  <c r="BR280" i="3"/>
  <c r="BR296" i="3"/>
  <c r="BR312" i="3"/>
  <c r="BR328" i="3"/>
  <c r="BR344" i="3"/>
  <c r="BR360" i="3"/>
  <c r="BH20" i="3"/>
  <c r="BH106" i="3"/>
  <c r="BH234" i="3"/>
  <c r="CB33" i="3"/>
  <c r="CB165" i="3"/>
  <c r="CB207" i="3"/>
  <c r="CB293" i="3"/>
  <c r="BR13" i="3"/>
  <c r="BR45" i="3"/>
  <c r="BR129" i="3"/>
  <c r="BR177" i="3"/>
  <c r="BR257" i="3"/>
  <c r="BR337" i="3"/>
  <c r="BH151" i="3"/>
  <c r="CB35" i="3"/>
  <c r="CB253" i="3"/>
  <c r="CB374" i="3"/>
  <c r="BR114" i="3"/>
  <c r="BR194" i="3"/>
  <c r="BR306" i="3"/>
  <c r="BR354" i="3"/>
  <c r="BH42" i="3"/>
  <c r="BH84" i="3"/>
  <c r="BH127" i="3"/>
  <c r="BH170" i="3"/>
  <c r="BH212" i="3"/>
  <c r="BH255" i="3"/>
  <c r="BH298" i="3"/>
  <c r="BH340" i="3"/>
  <c r="CB11" i="3"/>
  <c r="CB54" i="3"/>
  <c r="CB101" i="3"/>
  <c r="CB143" i="3"/>
  <c r="CB186" i="3"/>
  <c r="CB229" i="3"/>
  <c r="CB271" i="3"/>
  <c r="CB314" i="3"/>
  <c r="CB333" i="3"/>
  <c r="CB349" i="3"/>
  <c r="CB365" i="3"/>
  <c r="BR5" i="3"/>
  <c r="BR21" i="3"/>
  <c r="BR37" i="3"/>
  <c r="BR53" i="3"/>
  <c r="BR70" i="3"/>
  <c r="BR88" i="3"/>
  <c r="BR105" i="3"/>
  <c r="BR121" i="3"/>
  <c r="BR137" i="3"/>
  <c r="BR153" i="3"/>
  <c r="BR169" i="3"/>
  <c r="BR185" i="3"/>
  <c r="BR201" i="3"/>
  <c r="BR217" i="3"/>
  <c r="BR233" i="3"/>
  <c r="BR249" i="3"/>
  <c r="BR265" i="3"/>
  <c r="BR281" i="3"/>
  <c r="BR297" i="3"/>
  <c r="BR313" i="3"/>
  <c r="BR329" i="3"/>
  <c r="BR345" i="3"/>
  <c r="BR361" i="3"/>
  <c r="CB122" i="3"/>
  <c r="BR97" i="3"/>
  <c r="BR273" i="3"/>
  <c r="BH279" i="3"/>
  <c r="BR46" i="3"/>
  <c r="BR258" i="3"/>
  <c r="BH44" i="3"/>
  <c r="BH87" i="3"/>
  <c r="BH130" i="3"/>
  <c r="BH172" i="3"/>
  <c r="BH215" i="3"/>
  <c r="BH258" i="3"/>
  <c r="BH300" i="3"/>
  <c r="BH343" i="3"/>
  <c r="CB14" i="3"/>
  <c r="CB57" i="3"/>
  <c r="CB103" i="3"/>
  <c r="CB146" i="3"/>
  <c r="CB189" i="3"/>
  <c r="CB231" i="3"/>
  <c r="CB274" i="3"/>
  <c r="CB317" i="3"/>
  <c r="CB334" i="3"/>
  <c r="CB350" i="3"/>
  <c r="CB366" i="3"/>
  <c r="BR6" i="3"/>
  <c r="BR22" i="3"/>
  <c r="BR38" i="3"/>
  <c r="BR54" i="3"/>
  <c r="BR71" i="3"/>
  <c r="BR89" i="3"/>
  <c r="BR106" i="3"/>
  <c r="BR122" i="3"/>
  <c r="BR138" i="3"/>
  <c r="BR154" i="3"/>
  <c r="BR170" i="3"/>
  <c r="BR186" i="3"/>
  <c r="BR202" i="3"/>
  <c r="BR218" i="3"/>
  <c r="BR234" i="3"/>
  <c r="BR250" i="3"/>
  <c r="BR266" i="3"/>
  <c r="BR282" i="3"/>
  <c r="BR298" i="3"/>
  <c r="BR314" i="3"/>
  <c r="BR330" i="3"/>
  <c r="BR346" i="3"/>
  <c r="BR362" i="3"/>
  <c r="BH191" i="3"/>
  <c r="CB341" i="3"/>
  <c r="BR161" i="3"/>
  <c r="BR289" i="3"/>
  <c r="BH66" i="3"/>
  <c r="BH364" i="3"/>
  <c r="CB295" i="3"/>
  <c r="BR30" i="3"/>
  <c r="BR130" i="3"/>
  <c r="BR274" i="3"/>
  <c r="BH52" i="3"/>
  <c r="BH95" i="3"/>
  <c r="BH138" i="3"/>
  <c r="BH180" i="3"/>
  <c r="BH223" i="3"/>
  <c r="BH266" i="3"/>
  <c r="BH308" i="3"/>
  <c r="BH351" i="3"/>
  <c r="CB22" i="3"/>
  <c r="CB65" i="3"/>
  <c r="CB111" i="3"/>
  <c r="CB154" i="3"/>
  <c r="CB197" i="3"/>
  <c r="CB239" i="3"/>
  <c r="CB282" i="3"/>
  <c r="CB321" i="3"/>
  <c r="CB337" i="3"/>
  <c r="CB353" i="3"/>
  <c r="CB369" i="3"/>
  <c r="BR9" i="3"/>
  <c r="BR25" i="3"/>
  <c r="BR41" i="3"/>
  <c r="BR57" i="3"/>
  <c r="BR74" i="3"/>
  <c r="BR93" i="3"/>
  <c r="BR109" i="3"/>
  <c r="BR125" i="3"/>
  <c r="BR141" i="3"/>
  <c r="BR157" i="3"/>
  <c r="BR173" i="3"/>
  <c r="BR189" i="3"/>
  <c r="BR205" i="3"/>
  <c r="BR221" i="3"/>
  <c r="BR237" i="3"/>
  <c r="BR253" i="3"/>
  <c r="BR269" i="3"/>
  <c r="BR285" i="3"/>
  <c r="BR301" i="3"/>
  <c r="BR317" i="3"/>
  <c r="BR333" i="3"/>
  <c r="BR349" i="3"/>
  <c r="BR365" i="3"/>
  <c r="BH362" i="3"/>
  <c r="CB373" i="3"/>
  <c r="BR113" i="3"/>
  <c r="BR225" i="3"/>
  <c r="BR353" i="3"/>
  <c r="BH194" i="3"/>
  <c r="CB82" i="3"/>
  <c r="CB210" i="3"/>
  <c r="CB342" i="3"/>
  <c r="BR98" i="3"/>
  <c r="BR162" i="3"/>
  <c r="BR242" i="3"/>
  <c r="BR338" i="3"/>
  <c r="BH18" i="3"/>
  <c r="BH60" i="3"/>
  <c r="BH103" i="3"/>
  <c r="BH146" i="3"/>
  <c r="BH188" i="3"/>
  <c r="BH231" i="3"/>
  <c r="BH274" i="3"/>
  <c r="BH316" i="3"/>
  <c r="BH359" i="3"/>
  <c r="CB30" i="3"/>
  <c r="CB73" i="3"/>
  <c r="CB119" i="3"/>
  <c r="CB162" i="3"/>
  <c r="CB205" i="3"/>
  <c r="CB247" i="3"/>
  <c r="CB290" i="3"/>
  <c r="CB324" i="3"/>
  <c r="CB340" i="3"/>
  <c r="CB356" i="3"/>
  <c r="CB372" i="3"/>
  <c r="BR12" i="3"/>
  <c r="BR28" i="3"/>
  <c r="BR44" i="3"/>
  <c r="BR60" i="3"/>
  <c r="BR78" i="3"/>
  <c r="BR96" i="3"/>
  <c r="BR112" i="3"/>
  <c r="BR128" i="3"/>
  <c r="BR144" i="3"/>
  <c r="BR160" i="3"/>
  <c r="BR176" i="3"/>
  <c r="BR192" i="3"/>
  <c r="BR208" i="3"/>
  <c r="BR224" i="3"/>
  <c r="BR240" i="3"/>
  <c r="BR256" i="3"/>
  <c r="BR272" i="3"/>
  <c r="BR288" i="3"/>
  <c r="BR304" i="3"/>
  <c r="BR320" i="3"/>
  <c r="BR336" i="3"/>
  <c r="BR352" i="3"/>
  <c r="BR368" i="3"/>
  <c r="BH276" i="3"/>
  <c r="CB325" i="3"/>
  <c r="BR79" i="3"/>
  <c r="BR209" i="3"/>
  <c r="BR321" i="3"/>
  <c r="BH108" i="3"/>
  <c r="BH322" i="3"/>
  <c r="CB167" i="3"/>
  <c r="CB358" i="3"/>
  <c r="BR62" i="3"/>
  <c r="BR178" i="3"/>
  <c r="BR226" i="3"/>
  <c r="BR322" i="3"/>
  <c r="BH31" i="3"/>
  <c r="BH74" i="3"/>
  <c r="BH116" i="3"/>
  <c r="BH159" i="3"/>
  <c r="BH202" i="3"/>
  <c r="BH244" i="3"/>
  <c r="BH287" i="3"/>
  <c r="BH330" i="3"/>
  <c r="CB43" i="3"/>
  <c r="CB90" i="3"/>
  <c r="CB133" i="3"/>
  <c r="CB175" i="3"/>
  <c r="CB218" i="3"/>
  <c r="CB261" i="3"/>
  <c r="CB303" i="3"/>
  <c r="CB329" i="3"/>
  <c r="CB345" i="3"/>
  <c r="CB361" i="3"/>
  <c r="CB377" i="3"/>
  <c r="BR17" i="3"/>
  <c r="BR33" i="3"/>
  <c r="BR49" i="3"/>
  <c r="BR65" i="3"/>
  <c r="BR83" i="3"/>
  <c r="BR101" i="3"/>
  <c r="BR117" i="3"/>
  <c r="BR133" i="3"/>
  <c r="BR149" i="3"/>
  <c r="BR165" i="3"/>
  <c r="BR181" i="3"/>
  <c r="BR197" i="3"/>
  <c r="BR213" i="3"/>
  <c r="BR229" i="3"/>
  <c r="BR245" i="3"/>
  <c r="BR261" i="3"/>
  <c r="BR277" i="3"/>
  <c r="BR293" i="3"/>
  <c r="BR309" i="3"/>
  <c r="BR325" i="3"/>
  <c r="BR341" i="3"/>
  <c r="BR357" i="3"/>
  <c r="BH63" i="3"/>
  <c r="BH148" i="3"/>
  <c r="BH319" i="3"/>
  <c r="CB79" i="3"/>
  <c r="CB250" i="3"/>
  <c r="CB357" i="3"/>
  <c r="BR29" i="3"/>
  <c r="BR61" i="3"/>
  <c r="BR145" i="3"/>
  <c r="BR193" i="3"/>
  <c r="BR241" i="3"/>
  <c r="BR305" i="3"/>
  <c r="BR369" i="3"/>
  <c r="BH23" i="3"/>
  <c r="BH236" i="3"/>
  <c r="CB125" i="3"/>
  <c r="CB326" i="3"/>
  <c r="BR14" i="3"/>
  <c r="BR80" i="3"/>
  <c r="BR146" i="3"/>
  <c r="BR210" i="3"/>
  <c r="BR290" i="3"/>
  <c r="BR2" i="3"/>
  <c r="CC1" i="3"/>
  <c r="CB75" i="3"/>
  <c r="CB76" i="3"/>
  <c r="BR68" i="3"/>
  <c r="BR76" i="3"/>
  <c r="BR84" i="3"/>
  <c r="BR92" i="3"/>
  <c r="CB77" i="3"/>
  <c r="CB74" i="3"/>
  <c r="M34" i="7"/>
  <c r="K34" i="7"/>
  <c r="C10" i="7" s="1"/>
  <c r="C24" i="18" s="1"/>
  <c r="L34" i="7"/>
  <c r="C11" i="7" s="1"/>
  <c r="D24" i="18" s="1"/>
  <c r="F72" i="18" s="1"/>
  <c r="N34" i="7"/>
  <c r="M33" i="7"/>
  <c r="N33" i="7"/>
  <c r="N32" i="7"/>
  <c r="M32" i="7"/>
  <c r="CE1" i="3"/>
  <c r="CD1" i="3"/>
  <c r="T25" i="7"/>
  <c r="C7" i="6"/>
  <c r="C6" i="6"/>
  <c r="C8" i="12"/>
  <c r="C7" i="12"/>
  <c r="C8" i="7"/>
  <c r="C7" i="7"/>
  <c r="F87" i="18" l="1"/>
  <c r="K27" i="18"/>
  <c r="C9" i="18"/>
  <c r="C11" i="18" s="1"/>
  <c r="S6" i="6"/>
  <c r="V6" i="6" s="1"/>
  <c r="U9" i="6" s="1"/>
  <c r="R26" i="6"/>
  <c r="C10" i="6"/>
  <c r="D23" i="18" s="1"/>
  <c r="S7" i="12"/>
  <c r="V7" i="12" s="1"/>
  <c r="R11" i="12" s="1"/>
  <c r="S10" i="12" s="1"/>
  <c r="C28" i="7"/>
  <c r="D29" i="18" l="1"/>
  <c r="D28" i="18"/>
  <c r="S9" i="6"/>
  <c r="R10" i="6" s="1"/>
  <c r="T9" i="6"/>
  <c r="S10" i="6" s="1"/>
  <c r="T10" i="6"/>
  <c r="AM32" i="7"/>
  <c r="E15" i="18"/>
  <c r="F14" i="18" s="1"/>
  <c r="D15" i="18"/>
  <c r="E14" i="18" s="1"/>
  <c r="C15" i="18"/>
  <c r="D14" i="18" s="1"/>
  <c r="T11" i="12"/>
  <c r="U10" i="12" s="1"/>
  <c r="S11" i="12"/>
  <c r="C27" i="7"/>
  <c r="C20" i="7" s="1"/>
  <c r="C12" i="7" l="1"/>
  <c r="E24" i="18" s="1"/>
  <c r="K24" i="18" l="1"/>
  <c r="J24" i="18"/>
  <c r="A25" i="18"/>
  <c r="L24" i="18" l="1"/>
  <c r="J8" i="7"/>
  <c r="I9" i="7" s="1"/>
  <c r="K8" i="7"/>
  <c r="J9" i="7" s="1"/>
  <c r="L8" i="7"/>
  <c r="K9" i="7" s="1"/>
  <c r="N8" i="7" l="1"/>
  <c r="C13" i="7" s="1"/>
  <c r="F24" i="18" s="1"/>
  <c r="T10" i="12" l="1"/>
  <c r="F75" i="18" l="1"/>
  <c r="Z91" i="22"/>
  <c r="Z91" i="23"/>
  <c r="Z76" i="22"/>
  <c r="Z76" i="23"/>
  <c r="Z85" i="23"/>
  <c r="Z85" i="22"/>
  <c r="Z89" i="22"/>
  <c r="Z89" i="23"/>
  <c r="Z75" i="22"/>
  <c r="Z75" i="23"/>
  <c r="Z77" i="22"/>
  <c r="Z77" i="23"/>
  <c r="Z83" i="23"/>
  <c r="Z83" i="22"/>
  <c r="Z82" i="23"/>
  <c r="Z82" i="22"/>
  <c r="Z80" i="23"/>
  <c r="Z80" i="22"/>
  <c r="Z78" i="22"/>
  <c r="Z78" i="23"/>
  <c r="Z90" i="22"/>
  <c r="Z90" i="23"/>
  <c r="Z81" i="23"/>
  <c r="Z81" i="22"/>
  <c r="Z86" i="22"/>
  <c r="Z86" i="23"/>
  <c r="Z74" i="22"/>
  <c r="Z74" i="23"/>
  <c r="Z88" i="22"/>
  <c r="Z88" i="23"/>
  <c r="Z93" i="22"/>
  <c r="Z93" i="23"/>
  <c r="Z84" i="23"/>
  <c r="Z84" i="22"/>
  <c r="Z79" i="23"/>
  <c r="Z79" i="22"/>
  <c r="Z87" i="23"/>
  <c r="Z87" i="22"/>
  <c r="Z92" i="22"/>
  <c r="Z92" i="23"/>
  <c r="Z72" i="22"/>
  <c r="Z72" i="23"/>
  <c r="Z68" i="22"/>
  <c r="Z68" i="23"/>
  <c r="Z71" i="22"/>
  <c r="Z71" i="23"/>
  <c r="Z59" i="22"/>
  <c r="Z59" i="23"/>
  <c r="Z56" i="22"/>
  <c r="Z56" i="23"/>
  <c r="Z69" i="22"/>
  <c r="Z69" i="23"/>
  <c r="Z66" i="22"/>
  <c r="Z66" i="23"/>
  <c r="Z65" i="22"/>
  <c r="Z65" i="23"/>
  <c r="Z64" i="22"/>
  <c r="Z64" i="23"/>
  <c r="Z67" i="22"/>
  <c r="Z67" i="23"/>
  <c r="Z61" i="22"/>
  <c r="Z61" i="23"/>
  <c r="Z62" i="22"/>
  <c r="Z62" i="23"/>
  <c r="Z63" i="22"/>
  <c r="Z63" i="23"/>
  <c r="Z60" i="22"/>
  <c r="Z60" i="23"/>
  <c r="Z58" i="23"/>
  <c r="Z58" i="22"/>
  <c r="Z55" i="22"/>
  <c r="Z55" i="23"/>
  <c r="Z53" i="22"/>
  <c r="Z53" i="23"/>
  <c r="Z70" i="22"/>
  <c r="Z70" i="23"/>
  <c r="Z57" i="22"/>
  <c r="Z57" i="23"/>
  <c r="Z54" i="23"/>
  <c r="Z54" i="22"/>
  <c r="Z51" i="22"/>
  <c r="Z51" i="23"/>
  <c r="Z47" i="22"/>
  <c r="Z47" i="23"/>
  <c r="Z49" i="22"/>
  <c r="Z49" i="23"/>
  <c r="Z39" i="23"/>
  <c r="Z39" i="22"/>
  <c r="Z41" i="22"/>
  <c r="Z41" i="23"/>
  <c r="Z43" i="22"/>
  <c r="Z43" i="23"/>
  <c r="Z40" i="22"/>
  <c r="Z40" i="23"/>
  <c r="Z36" i="22"/>
  <c r="Z36" i="23"/>
  <c r="Z35" i="22"/>
  <c r="Z35" i="23"/>
  <c r="Z50" i="22"/>
  <c r="Z50" i="23"/>
  <c r="Z37" i="23"/>
  <c r="Z37" i="22"/>
  <c r="Z33" i="22"/>
  <c r="Z33" i="23"/>
  <c r="Z48" i="22"/>
  <c r="Z48" i="23"/>
  <c r="Z46" i="22"/>
  <c r="Z46" i="23"/>
  <c r="Z42" i="22"/>
  <c r="Z42" i="23"/>
  <c r="Z44" i="22"/>
  <c r="Z44" i="23"/>
  <c r="Z45" i="22"/>
  <c r="Z45" i="23"/>
  <c r="Z34" i="23"/>
  <c r="Z34" i="22"/>
  <c r="Z32" i="23"/>
  <c r="Z32" i="22"/>
  <c r="Z38" i="22"/>
  <c r="Z38" i="23"/>
  <c r="K23" i="18"/>
  <c r="K29" i="18" s="1"/>
  <c r="K28" i="18" l="1"/>
  <c r="F76" i="18"/>
  <c r="U10" i="6" l="1"/>
  <c r="AO10" i="14" l="1"/>
  <c r="R34" i="6" l="1"/>
  <c r="C9" i="6" s="1"/>
  <c r="C23" i="18" s="1"/>
  <c r="C21" i="18"/>
  <c r="C12" i="12"/>
  <c r="C28" i="18" l="1"/>
  <c r="E28" i="18" s="1"/>
  <c r="C29" i="18"/>
  <c r="E29" i="18" s="1"/>
  <c r="F29" i="18" s="1"/>
  <c r="E21" i="18"/>
  <c r="Y10" i="12"/>
  <c r="F21" i="18" s="1"/>
  <c r="C11" i="6"/>
  <c r="E23" i="18" s="1"/>
  <c r="W9" i="6" l="1"/>
  <c r="C12" i="6" s="1"/>
  <c r="F23" i="18" s="1"/>
  <c r="Z13" i="22"/>
  <c r="Z13" i="23"/>
  <c r="J23" i="18"/>
  <c r="J29" i="18" s="1"/>
  <c r="L29" i="18" s="1"/>
  <c r="Z26" i="22"/>
  <c r="Z26" i="23"/>
  <c r="Z15" i="23"/>
  <c r="Z15" i="22"/>
  <c r="Z11" i="23"/>
  <c r="Z11" i="22"/>
  <c r="Z25" i="23"/>
  <c r="Z25" i="22"/>
  <c r="J28" i="18" l="1"/>
  <c r="L28" i="18" s="1"/>
  <c r="L23" i="18"/>
  <c r="Z14" i="22"/>
  <c r="Z14" i="23"/>
  <c r="Z29" i="22"/>
  <c r="Z29" i="23"/>
  <c r="Z16" i="23"/>
  <c r="Z16" i="22"/>
  <c r="Z20" i="22"/>
  <c r="Z20" i="23"/>
  <c r="Z22" i="22"/>
  <c r="Z22" i="23"/>
  <c r="Z12" i="23"/>
  <c r="Z12" i="22"/>
  <c r="F28" i="18"/>
  <c r="Z17" i="22"/>
  <c r="Z17" i="23"/>
  <c r="Z18" i="23"/>
  <c r="Z18" i="22"/>
  <c r="Z21" i="23"/>
  <c r="Z21" i="22"/>
  <c r="Z19" i="22"/>
  <c r="Z19" i="23"/>
  <c r="Z23" i="23"/>
  <c r="Z23" i="22"/>
  <c r="Z24" i="23"/>
  <c r="Z24" i="22"/>
  <c r="Z30" i="22"/>
  <c r="Z30" i="23"/>
  <c r="Z28" i="23"/>
  <c r="Z28" i="22"/>
  <c r="Z27" i="23"/>
  <c r="Z27" i="22"/>
  <c r="E32" i="18" l="1"/>
  <c r="J26" i="18"/>
  <c r="D26" i="18"/>
  <c r="F92" i="18" s="1"/>
  <c r="C32" i="18"/>
  <c r="D32" i="18" l="1"/>
  <c r="F89" i="18"/>
  <c r="K26" i="18"/>
  <c r="F90" i="18" l="1"/>
  <c r="F91" i="1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Matheus Geraldi</author>
  </authors>
  <commentList>
    <comment ref="C21" authorId="0" shapeId="0" xr:uid="{00000000-0006-0000-0100-000001000000}">
      <text>
        <r>
          <rPr>
            <b/>
            <sz val="9"/>
            <color indexed="81"/>
            <rFont val="Segoe UI"/>
            <family val="2"/>
          </rPr>
          <t>CB3E:</t>
        </r>
        <r>
          <rPr>
            <sz val="9"/>
            <color indexed="81"/>
            <rFont val="Segoe UI"/>
            <family val="2"/>
          </rPr>
          <t xml:space="preserve">
Razão entre a área da envoltória e o volume da edificação.
Por exemplo: Em uma edificação quadrada, de um pavimento 25x25 com pé-direito de 3m, o fator de forma será:
Área das fachadas: 25x3 x 4 fachadas = 300m²
Área da cobertura: 25x25 = 625m²
Volume da edificação: 25x25x3 = 1875m³
</t>
        </r>
        <r>
          <rPr>
            <b/>
            <sz val="9"/>
            <color indexed="81"/>
            <rFont val="Segoe UI"/>
            <family val="2"/>
          </rPr>
          <t>FF = (300+625)/1875 = 0.493m²/m³</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Geraldi</author>
  </authors>
  <commentList>
    <comment ref="X30" authorId="0" shapeId="0" xr:uid="{98FE4263-EB90-4B40-817F-32F337D4C7FF}">
      <text>
        <r>
          <rPr>
            <b/>
            <sz val="9"/>
            <color indexed="81"/>
            <rFont val="Segoe UI"/>
            <family val="2"/>
          </rPr>
          <t>CB3E:</t>
        </r>
        <r>
          <rPr>
            <sz val="9"/>
            <color indexed="81"/>
            <rFont val="Segoe UI"/>
            <family val="2"/>
          </rPr>
          <t xml:space="preserve">
Caso o ambiente não tenha projeto luminotécnico previsto, a INI determina que a Potência de Iluminação do ambiente seja a DPI de referência D, majorada em 1,5.</t>
        </r>
      </text>
    </comment>
    <comment ref="F39" authorId="0" shapeId="0" xr:uid="{2D93CBDE-42B5-4262-A747-CEC06FBA6AD2}">
      <text>
        <r>
          <rPr>
            <b/>
            <sz val="9"/>
            <color indexed="81"/>
            <rFont val="Segoe UI"/>
            <family val="2"/>
          </rPr>
          <t>CB3E:</t>
        </r>
        <r>
          <rPr>
            <sz val="9"/>
            <color indexed="81"/>
            <rFont val="Segoe UI"/>
            <family val="2"/>
          </rPr>
          <t xml:space="preserve">
Caso o ambiente não tenha projeto luminotécnico previsto, a INI determina que a Potência de Iluminação do ambiente seja a DPI de referência D, majorada em 1,5.</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Matheus Geraldi</author>
    <author>Matheus Soares Geraldi</author>
    <author>Geraldi</author>
  </authors>
  <commentList>
    <comment ref="AB16" authorId="0" shapeId="0" xr:uid="{F222A2E6-67D0-46C7-9C5B-91B2CCA08ECA}">
      <text>
        <r>
          <rPr>
            <b/>
            <sz val="9"/>
            <color theme="1"/>
            <rFont val="Segoe UI"/>
            <family val="2"/>
          </rPr>
          <t>CB3E:</t>
        </r>
        <r>
          <rPr>
            <sz val="9"/>
            <color theme="1"/>
            <rFont val="Segoe UI"/>
            <family val="2"/>
          </rPr>
          <t xml:space="preserve">
SOMENTE SE NATURALMENTE VENTILADA OU HÍBRIDA!
Varia de 0 a 100. Incluir o valor como absoluto (se PHOCT = 25%, escrever 25).
De acordo com 
http://pbeedifica.com.br/naturalcomfort/
A planilha nãso se aplica para casos em que o PHOCT é aplicado apenas para uma área ou sistema .</t>
        </r>
      </text>
    </comment>
    <comment ref="C18" authorId="1" shapeId="0" xr:uid="{CD42C479-505C-4CE4-84DF-0D920E1641A9}">
      <text>
        <r>
          <rPr>
            <b/>
            <sz val="9"/>
            <color indexed="81"/>
            <rFont val="Tahoma"/>
            <family val="2"/>
          </rPr>
          <t>CB3E:</t>
        </r>
        <r>
          <rPr>
            <sz val="9"/>
            <color indexed="81"/>
            <rFont val="Tahoma"/>
            <family val="2"/>
          </rPr>
          <t xml:space="preserve">
Designação da Zona Térmica. Entrar com texto livre.</t>
        </r>
      </text>
    </comment>
    <comment ref="D18" authorId="1" shapeId="0" xr:uid="{35752111-0E55-4173-A7EC-2216B7331644}">
      <text>
        <r>
          <rPr>
            <b/>
            <sz val="9"/>
            <color indexed="81"/>
            <rFont val="Tahoma"/>
            <family val="2"/>
          </rPr>
          <t xml:space="preserve">CB3E:
</t>
        </r>
        <r>
          <rPr>
            <sz val="9"/>
            <color indexed="81"/>
            <rFont val="Tahoma"/>
            <family val="2"/>
          </rPr>
          <t>Intervalo de 2.3 a 10.0m</t>
        </r>
      </text>
    </comment>
    <comment ref="E18" authorId="0" shapeId="0" xr:uid="{00000000-0006-0000-0300-000001000000}">
      <text>
        <r>
          <rPr>
            <b/>
            <sz val="9"/>
            <color indexed="81"/>
            <rFont val="Segoe UI"/>
            <family val="2"/>
          </rPr>
          <t>CB3E:</t>
        </r>
        <r>
          <rPr>
            <sz val="9"/>
            <color indexed="81"/>
            <rFont val="Segoe UI"/>
            <family val="2"/>
          </rPr>
          <t xml:space="preserve">
Intervalo de 2.3 a 10.0m</t>
        </r>
      </text>
    </comment>
    <comment ref="H18" authorId="2" shapeId="0" xr:uid="{00000000-0006-0000-0300-000002000000}">
      <text>
        <r>
          <rPr>
            <b/>
            <sz val="9"/>
            <color indexed="81"/>
            <rFont val="Segoe UI"/>
            <family val="2"/>
          </rPr>
          <t xml:space="preserve">CB3E: </t>
        </r>
        <r>
          <rPr>
            <sz val="9"/>
            <color indexed="81"/>
            <rFont val="Segoe UI"/>
            <family val="2"/>
          </rPr>
          <t>Verificar a relação da zona térmica com as zonas térmicas adjacentes. Se a ZT avaliada tem maior proporção (&gt;50%) do perímetro em contato com ZTs não condicionadas, considerar "Zona adjacente não condicionada". Se o contrário, considerar "Zona adjacente condicionada".</t>
        </r>
        <r>
          <rPr>
            <b/>
            <sz val="9"/>
            <color indexed="81"/>
            <rFont val="Segoe UI"/>
            <family val="2"/>
          </rPr>
          <t xml:space="preserve">
</t>
        </r>
      </text>
    </comment>
    <comment ref="J18" authorId="0" shapeId="0" xr:uid="{00000000-0006-0000-0300-000003000000}">
      <text>
        <r>
          <rPr>
            <b/>
            <sz val="9"/>
            <color indexed="81"/>
            <rFont val="Segoe UI"/>
            <family val="2"/>
          </rPr>
          <t>CB3E:</t>
        </r>
        <r>
          <rPr>
            <sz val="9"/>
            <color indexed="81"/>
            <rFont val="Segoe UI"/>
            <family val="2"/>
          </rPr>
          <t xml:space="preserve">
Preencher componente na aba "Componente".</t>
        </r>
      </text>
    </comment>
    <comment ref="K18" authorId="0" shapeId="0" xr:uid="{00000000-0006-0000-0300-000004000000}">
      <text>
        <r>
          <rPr>
            <b/>
            <sz val="9"/>
            <color indexed="81"/>
            <rFont val="Segoe UI"/>
            <family val="2"/>
          </rPr>
          <t>CB3E:</t>
        </r>
        <r>
          <rPr>
            <sz val="9"/>
            <color indexed="81"/>
            <rFont val="Segoe UI"/>
            <family val="2"/>
          </rPr>
          <t xml:space="preserve">
Preencher componente na aba "Componente".</t>
        </r>
      </text>
    </comment>
    <comment ref="L18" authorId="0" shapeId="0" xr:uid="{00000000-0006-0000-0300-000005000000}">
      <text>
        <r>
          <rPr>
            <b/>
            <sz val="9"/>
            <color indexed="81"/>
            <rFont val="Segoe UI"/>
            <family val="2"/>
          </rPr>
          <t>CB3E:</t>
        </r>
        <r>
          <rPr>
            <sz val="9"/>
            <color indexed="81"/>
            <rFont val="Segoe UI"/>
            <family val="2"/>
          </rPr>
          <t xml:space="preserve">
Preencher componente na aba "Componente".</t>
        </r>
      </text>
    </comment>
    <comment ref="M18" authorId="0" shapeId="0" xr:uid="{00000000-0006-0000-0300-000006000000}">
      <text>
        <r>
          <rPr>
            <b/>
            <sz val="9"/>
            <color indexed="81"/>
            <rFont val="Segoe UI"/>
            <family val="2"/>
          </rPr>
          <t>CB3E:</t>
        </r>
        <r>
          <rPr>
            <sz val="9"/>
            <color indexed="81"/>
            <rFont val="Segoe UI"/>
            <family val="2"/>
          </rPr>
          <t xml:space="preserve">
Preencher componente na aba "Componente".</t>
        </r>
      </text>
    </comment>
    <comment ref="N18" authorId="0" shapeId="0" xr:uid="{00000000-0006-0000-0300-000007000000}">
      <text>
        <r>
          <rPr>
            <b/>
            <sz val="9"/>
            <color indexed="81"/>
            <rFont val="Segoe UI"/>
            <family val="2"/>
          </rPr>
          <t>CB3E:</t>
        </r>
        <r>
          <rPr>
            <sz val="9"/>
            <color indexed="81"/>
            <rFont val="Segoe UI"/>
            <family val="2"/>
          </rPr>
          <t xml:space="preserve">
Preencher componente na aba "Componente".</t>
        </r>
      </text>
    </comment>
    <comment ref="O18" authorId="0" shapeId="0" xr:uid="{00000000-0006-0000-0300-000008000000}">
      <text>
        <r>
          <rPr>
            <b/>
            <sz val="9"/>
            <color indexed="81"/>
            <rFont val="Segoe UI"/>
            <family val="2"/>
          </rPr>
          <t>CB3E:</t>
        </r>
        <r>
          <rPr>
            <sz val="9"/>
            <color indexed="81"/>
            <rFont val="Segoe UI"/>
            <family val="2"/>
          </rPr>
          <t xml:space="preserve">
Intervalo de 0 a 0.9. 
</t>
        </r>
        <r>
          <rPr>
            <b/>
            <sz val="9"/>
            <color indexed="81"/>
            <rFont val="Segoe UI"/>
            <family val="2"/>
          </rPr>
          <t>INSERIR VALOR ABSOLUTO, NÃO EM PORCENTAGEM.</t>
        </r>
        <r>
          <rPr>
            <sz val="9"/>
            <color indexed="81"/>
            <rFont val="Segoe UI"/>
            <family val="2"/>
          </rPr>
          <t xml:space="preserve">
Por exemplo, se a Zona Térmica tem PAF = 50%, colocar 0.5 ou 0,5 (dependendo do separador decimal).
</t>
        </r>
        <r>
          <rPr>
            <b/>
            <sz val="9"/>
            <color indexed="81"/>
            <rFont val="Segoe UI"/>
            <family val="2"/>
          </rPr>
          <t>CASO ZONA INTERNA, PAF = 0.</t>
        </r>
      </text>
    </comment>
    <comment ref="Q18" authorId="0" shapeId="0" xr:uid="{00000000-0006-0000-0300-000009000000}">
      <text>
        <r>
          <rPr>
            <b/>
            <sz val="9"/>
            <color indexed="81"/>
            <rFont val="Segoe UI"/>
            <family val="2"/>
          </rPr>
          <t xml:space="preserve">CB3E: 
</t>
        </r>
        <r>
          <rPr>
            <sz val="9"/>
            <color indexed="81"/>
            <rFont val="Segoe UI"/>
            <family val="2"/>
          </rPr>
          <t xml:space="preserve">Intervalo é de 0 a 5%.
</t>
        </r>
        <r>
          <rPr>
            <b/>
            <sz val="9"/>
            <color indexed="81"/>
            <rFont val="Segoe UI"/>
            <family val="2"/>
          </rPr>
          <t>INSERIR VALOR ABSOLUTO, NÃO EM PORCENTAGEM.</t>
        </r>
        <r>
          <rPr>
            <sz val="9"/>
            <color indexed="81"/>
            <rFont val="Segoe UI"/>
            <family val="2"/>
          </rPr>
          <t xml:space="preserve">
Por exemplo, se a Zona Térmica tem PAZ = 50%, colocar 0.5 ou 0,5 (dependendo do separador decimal).
Caso a cobertura não seja exposta, considera-se PAZ = 0. </t>
        </r>
      </text>
    </comment>
    <comment ref="R18" authorId="0" shapeId="0" xr:uid="{00000000-0006-0000-0300-00000A000000}">
      <text>
        <r>
          <rPr>
            <b/>
            <sz val="9"/>
            <color indexed="81"/>
            <rFont val="Segoe UI"/>
            <family val="2"/>
          </rPr>
          <t>CB3E:</t>
        </r>
        <r>
          <rPr>
            <sz val="9"/>
            <color indexed="81"/>
            <rFont val="Segoe UI"/>
            <family val="2"/>
          </rPr>
          <t xml:space="preserve">
Preencher componente na aba "Componente".</t>
        </r>
      </text>
    </comment>
    <comment ref="S18" authorId="2" shapeId="0" xr:uid="{4245BBC7-2109-476D-A57B-5FEC99086F50}">
      <text>
        <r>
          <rPr>
            <b/>
            <sz val="9"/>
            <color indexed="81"/>
            <rFont val="Segoe UI"/>
            <family val="2"/>
          </rPr>
          <t>CB3E:</t>
        </r>
        <r>
          <rPr>
            <sz val="9"/>
            <color indexed="81"/>
            <rFont val="Segoe UI"/>
            <family val="2"/>
          </rPr>
          <t xml:space="preserve">
DPI média da edificação, levantado na avaliação do sistema de iluminação.</t>
        </r>
      </text>
    </comment>
    <comment ref="T18" authorId="0" shapeId="0" xr:uid="{00000000-0006-0000-0300-00000B000000}">
      <text>
        <r>
          <rPr>
            <b/>
            <sz val="9"/>
            <color indexed="81"/>
            <rFont val="Segoe UI"/>
            <family val="2"/>
          </rPr>
          <t>CB3E:</t>
        </r>
        <r>
          <rPr>
            <sz val="9"/>
            <color indexed="81"/>
            <rFont val="Segoe UI"/>
            <family val="2"/>
          </rPr>
          <t xml:space="preserve">
Em casos em que se deseje utilizar os valores reais ou levantados por meio de projeto, a DPE para a condição real e de referência devem ser iguais. Caso sejam adotados valores não tabelados, deve ser entregue memorial de cálculo e declaração de responsabilidade técnica (ART/RRT).
</t>
        </r>
        <r>
          <rPr>
            <b/>
            <sz val="9"/>
            <color indexed="81"/>
            <rFont val="Segoe UI"/>
            <family val="2"/>
          </rPr>
          <t>Caso seja levantado, Preencher aba "Equipamentos".</t>
        </r>
      </text>
    </comment>
    <comment ref="Z18" authorId="0" shapeId="0" xr:uid="{00000000-0006-0000-0300-00000D000000}">
      <text>
        <r>
          <rPr>
            <b/>
            <sz val="9"/>
            <color indexed="81"/>
            <rFont val="Segoe UI"/>
            <family val="2"/>
          </rPr>
          <t>CB3E:</t>
        </r>
        <r>
          <rPr>
            <sz val="9"/>
            <color indexed="81"/>
            <rFont val="Segoe UI"/>
            <family val="2"/>
          </rPr>
          <t xml:space="preserve">
A ser gerado na Interface.</t>
        </r>
      </text>
    </comment>
    <comment ref="AA18" authorId="0" shapeId="0" xr:uid="{00000000-0006-0000-0300-00000E000000}">
      <text>
        <r>
          <rPr>
            <b/>
            <sz val="9"/>
            <color indexed="81"/>
            <rFont val="Segoe UI"/>
            <family val="2"/>
          </rPr>
          <t>CB3E:</t>
        </r>
        <r>
          <rPr>
            <sz val="9"/>
            <color indexed="81"/>
            <rFont val="Segoe UI"/>
            <family val="2"/>
          </rPr>
          <t xml:space="preserve">
A ser gerado na Interface.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Geraldi</author>
    <author>Matheus Geraldi</author>
  </authors>
  <commentList>
    <comment ref="D29" authorId="0" shapeId="0" xr:uid="{ED3554A4-30DB-48B2-BC86-764E157DA543}">
      <text>
        <r>
          <rPr>
            <b/>
            <sz val="9"/>
            <color indexed="81"/>
            <rFont val="Segoe UI"/>
            <family val="2"/>
          </rPr>
          <t>CB3E:</t>
        </r>
        <r>
          <rPr>
            <sz val="9"/>
            <color indexed="81"/>
            <rFont val="Segoe UI"/>
            <family val="2"/>
          </rPr>
          <t xml:space="preserve">
Volume corrigido.</t>
        </r>
      </text>
    </comment>
    <comment ref="B35" authorId="0" shapeId="0" xr:uid="{9EF3F689-81F1-480D-911A-CA94813D9EC8}">
      <text>
        <r>
          <rPr>
            <b/>
            <sz val="9"/>
            <color indexed="81"/>
            <rFont val="Segoe UI"/>
            <family val="2"/>
          </rPr>
          <t>CB3E:</t>
        </r>
        <r>
          <rPr>
            <sz val="9"/>
            <color indexed="81"/>
            <rFont val="Segoe UI"/>
            <family val="2"/>
          </rPr>
          <t xml:space="preserve">
Necessário apenas para classificação. O sistema predominante é aquele que atende o maior volume diário de água quente.</t>
        </r>
      </text>
    </comment>
    <comment ref="G47" authorId="1" shapeId="0" xr:uid="{785E3CED-AC57-48AF-BDFB-5492B95191FB}">
      <text>
        <r>
          <rPr>
            <b/>
            <sz val="9"/>
            <color indexed="81"/>
            <rFont val="Segoe UI"/>
            <family val="2"/>
          </rPr>
          <t>CB3E:</t>
        </r>
        <r>
          <rPr>
            <sz val="9"/>
            <color indexed="81"/>
            <rFont val="Segoe UI"/>
            <family val="2"/>
          </rPr>
          <t xml:space="preserve">
Obter da etiqueta do INMETRO coletor escolhido.</t>
        </r>
      </text>
    </comment>
    <comment ref="G49" authorId="1" shapeId="0" xr:uid="{EC80159C-3523-4B66-8DAE-791E4CBCB536}">
      <text>
        <r>
          <rPr>
            <b/>
            <sz val="9"/>
            <color indexed="81"/>
            <rFont val="Segoe UI"/>
            <family val="2"/>
          </rPr>
          <t xml:space="preserve">CB3E:
</t>
        </r>
        <r>
          <rPr>
            <sz val="9"/>
            <color indexed="81"/>
            <rFont val="Segoe UI"/>
            <family val="2"/>
          </rPr>
          <t xml:space="preserve">Obter em:
http://labren.ccst.inpe.br/atlas_2017.html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Matheus Soares Geraldi</author>
    <author>Matheus Geraldi</author>
  </authors>
  <commentList>
    <comment ref="U8" authorId="0" shapeId="0" xr:uid="{8EEC87DB-AE56-4DE3-B4E4-C8089D6A8E8F}">
      <text>
        <r>
          <rPr>
            <b/>
            <sz val="9"/>
            <color indexed="81"/>
            <rFont val="Tahoma"/>
            <family val="2"/>
          </rPr>
          <t>CB3E:</t>
        </r>
        <r>
          <rPr>
            <sz val="9"/>
            <color indexed="81"/>
            <rFont val="Tahoma"/>
            <family val="2"/>
          </rPr>
          <t xml:space="preserve">
Transmitância térmica do vidro localizada na fachada. Caso a zona térmica não possua janela, o metamodelo vai considerar esse valor como 0.
</t>
        </r>
        <r>
          <rPr>
            <b/>
            <sz val="9"/>
            <color indexed="81"/>
            <rFont val="Tahoma"/>
            <family val="2"/>
          </rPr>
          <t>Seu intervalo é de 1,5 W/(m²K) a 6,0 W/(m²K).</t>
        </r>
      </text>
    </comment>
    <comment ref="V8" authorId="0" shapeId="0" xr:uid="{BC8C2341-8F37-438C-B72B-2FE2E4EEE092}">
      <text>
        <r>
          <rPr>
            <b/>
            <sz val="9"/>
            <color indexed="81"/>
            <rFont val="Tahoma"/>
            <family val="2"/>
          </rPr>
          <t>CB3E:</t>
        </r>
        <r>
          <rPr>
            <sz val="9"/>
            <color indexed="81"/>
            <rFont val="Tahoma"/>
            <family val="2"/>
          </rPr>
          <t xml:space="preserve">
Razão entre o ganho de calor que entra em um ambiente por uma abertura e a radiação solar incidente nesta mesma abertura, a qual inclui o calor radiante transmitido pelo vidro e a radiação solar absorvida, que é transmitida ao ambiente por condução ou convecção.  </t>
        </r>
        <r>
          <rPr>
            <b/>
            <sz val="9"/>
            <color indexed="81"/>
            <rFont val="Tahoma"/>
            <family val="2"/>
          </rPr>
          <t>Seu intervalo é de 0.0 a 0.90.</t>
        </r>
      </text>
    </comment>
    <comment ref="C9" authorId="1" shapeId="0" xr:uid="{00000000-0006-0000-0200-000003000000}">
      <text>
        <r>
          <rPr>
            <b/>
            <sz val="9"/>
            <color indexed="81"/>
            <rFont val="Segoe UI"/>
            <family val="2"/>
          </rPr>
          <t>CB3E:</t>
        </r>
        <r>
          <rPr>
            <sz val="9"/>
            <color indexed="81"/>
            <rFont val="Segoe UI"/>
            <family val="2"/>
          </rPr>
          <t xml:space="preserve">
Transmitância térmica da parede externa. Caso seja uma zona interna, deve-se usar -6. 
Seu intervalo é de 0,25 W/(m²K) a 5,0 W/(m²K).
</t>
        </r>
      </text>
    </comment>
    <comment ref="D9" authorId="1" shapeId="0" xr:uid="{00000000-0006-0000-0200-000004000000}">
      <text>
        <r>
          <rPr>
            <b/>
            <sz val="9"/>
            <color indexed="81"/>
            <rFont val="Segoe UI"/>
            <family val="2"/>
          </rPr>
          <t>CB3E:</t>
        </r>
        <r>
          <rPr>
            <sz val="9"/>
            <color indexed="81"/>
            <rFont val="Segoe UI"/>
            <family val="2"/>
          </rPr>
          <t xml:space="preserve">
Capacidade térmica da parede externa. Caso seja uma zona interna, deve-se usar -400.
Seu intervalo é de 0 a 400 kJ/(m²K). </t>
        </r>
      </text>
    </comment>
    <comment ref="E9" authorId="0" shapeId="0" xr:uid="{196EB50A-A4F9-4FA7-84A3-F8C2FE60769C}">
      <text>
        <r>
          <rPr>
            <b/>
            <sz val="9"/>
            <color indexed="81"/>
            <rFont val="Tahoma"/>
            <family val="2"/>
          </rPr>
          <t>CB3E:</t>
        </r>
        <r>
          <rPr>
            <sz val="9"/>
            <color indexed="81"/>
            <rFont val="Tahoma"/>
            <family val="2"/>
          </rPr>
          <t xml:space="preserve">
Absortância solar da Parede Externa.
Seu intervalo é de 0,2 a 0,8.</t>
        </r>
      </text>
    </comment>
    <comment ref="H9" authorId="1" shapeId="0" xr:uid="{00000000-0006-0000-0200-000005000000}">
      <text>
        <r>
          <rPr>
            <b/>
            <sz val="9"/>
            <color indexed="81"/>
            <rFont val="Segoe UI"/>
            <family val="2"/>
          </rPr>
          <t>CB3E:</t>
        </r>
        <r>
          <rPr>
            <sz val="9"/>
            <color indexed="81"/>
            <rFont val="Segoe UI"/>
            <family val="2"/>
          </rPr>
          <t xml:space="preserve">
Transmitância térmica da parede interna. 
Seu intervalo é de 0,31 W/(m²K) a 5,0 W/(m²K).</t>
        </r>
      </text>
    </comment>
    <comment ref="I9" authorId="1" shapeId="0" xr:uid="{00000000-0006-0000-0200-000006000000}">
      <text>
        <r>
          <rPr>
            <b/>
            <sz val="9"/>
            <color indexed="81"/>
            <rFont val="Segoe UI"/>
            <family val="2"/>
          </rPr>
          <t>CB3E:</t>
        </r>
        <r>
          <rPr>
            <sz val="9"/>
            <color indexed="81"/>
            <rFont val="Segoe UI"/>
            <family val="2"/>
          </rPr>
          <t xml:space="preserve">
Capacidade térmica da parede interna. 
Seu intervalo é de 25,0 kJ/(m²K)  a 400,0 kJ/(m²K).
</t>
        </r>
      </text>
    </comment>
    <comment ref="L9" authorId="1" shapeId="0" xr:uid="{00000000-0006-0000-0200-000007000000}">
      <text>
        <r>
          <rPr>
            <b/>
            <sz val="9"/>
            <color indexed="81"/>
            <rFont val="Segoe UI"/>
            <family val="2"/>
          </rPr>
          <t>CB3E:</t>
        </r>
        <r>
          <rPr>
            <sz val="9"/>
            <color indexed="81"/>
            <rFont val="Segoe UI"/>
            <family val="2"/>
          </rPr>
          <t xml:space="preserve">
Transmitância térmica da cobertura da zona térmica. Caso seja uma zona sem cobertura exposta,  deve-se considerar o valor do piso/teto.
Seu intervalo é de 0,3 W/(m²K) a 5,20 W/(m²K).
</t>
        </r>
      </text>
    </comment>
    <comment ref="M9" authorId="1" shapeId="0" xr:uid="{00000000-0006-0000-0200-000008000000}">
      <text>
        <r>
          <rPr>
            <b/>
            <sz val="9"/>
            <color indexed="81"/>
            <rFont val="Segoe UI"/>
            <family val="2"/>
          </rPr>
          <t>CB3E:</t>
        </r>
        <r>
          <rPr>
            <sz val="9"/>
            <color indexed="81"/>
            <rFont val="Segoe UI"/>
            <family val="2"/>
          </rPr>
          <t xml:space="preserve">
Capacidade térmica da cobertura da zona térmica. Caso seja uma zona sem cobertura exposta, deve-se considerar o valor do piso/teto.
Intervalo de 0,15 kJ/(m²K)  a 450,0 kJ/(m²K).</t>
        </r>
      </text>
    </comment>
    <comment ref="N9" authorId="0" shapeId="0" xr:uid="{0EF0E8EE-8C9C-4EF9-BAAB-307B75962701}">
      <text>
        <r>
          <rPr>
            <b/>
            <sz val="9"/>
            <color indexed="81"/>
            <rFont val="Tahoma"/>
            <family val="2"/>
          </rPr>
          <t>CB3E:</t>
        </r>
        <r>
          <rPr>
            <sz val="9"/>
            <color indexed="81"/>
            <rFont val="Tahoma"/>
            <family val="2"/>
          </rPr>
          <t xml:space="preserve">
Absortância solar da Parede Externa.
Seu intervalo é de 0,2 a 0,8.</t>
        </r>
      </text>
    </comment>
    <comment ref="Q9" authorId="1" shapeId="0" xr:uid="{00000000-0006-0000-0200-000009000000}">
      <text>
        <r>
          <rPr>
            <b/>
            <sz val="9"/>
            <color indexed="81"/>
            <rFont val="Segoe UI"/>
            <family val="2"/>
          </rPr>
          <t>CB3E:</t>
        </r>
        <r>
          <rPr>
            <sz val="9"/>
            <color indexed="81"/>
            <rFont val="Segoe UI"/>
            <family val="2"/>
          </rPr>
          <t xml:space="preserve">
Transmitância térmica do piso. 
Seu intervalo é de 1,75 W/(m²K) a 3,75 W/(m²K).
</t>
        </r>
      </text>
    </comment>
    <comment ref="R9" authorId="1" shapeId="0" xr:uid="{00000000-0006-0000-0200-00000A000000}">
      <text>
        <r>
          <rPr>
            <b/>
            <sz val="9"/>
            <color indexed="81"/>
            <rFont val="Segoe UI"/>
            <family val="2"/>
          </rPr>
          <t>CB3E:</t>
        </r>
        <r>
          <rPr>
            <sz val="9"/>
            <color indexed="81"/>
            <rFont val="Segoe UI"/>
            <family val="2"/>
          </rPr>
          <t xml:space="preserve">
Capacidade térmica do piso.
Seu intervalo é de 130,0 kJ/(m²K) a 400,0 kJ/(m²K).
</t>
        </r>
      </text>
    </comment>
    <comment ref="W9" authorId="0" shapeId="0" xr:uid="{38CAC8C9-82B3-4C43-8439-30A686E939AB}">
      <text>
        <r>
          <rPr>
            <b/>
            <sz val="9"/>
            <color indexed="81"/>
            <rFont val="Tahoma"/>
            <family val="2"/>
          </rPr>
          <t>CB3E:</t>
        </r>
        <r>
          <rPr>
            <sz val="9"/>
            <color indexed="81"/>
            <rFont val="Tahoma"/>
            <family val="2"/>
          </rPr>
          <t xml:space="preserve">
Ângulo de autossombreamento horizontal. Refere-se ao sombreamento provocado pela própria edificação (não contando varandas e beirais). </t>
        </r>
        <r>
          <rPr>
            <b/>
            <sz val="9"/>
            <color indexed="81"/>
            <rFont val="Tahoma"/>
            <family val="2"/>
          </rPr>
          <t>Seu intervalo é de 0 a 90º.</t>
        </r>
      </text>
    </comment>
    <comment ref="X9" authorId="0" shapeId="0" xr:uid="{2C1827FE-5EE2-46DE-9BCA-96C745F2D768}">
      <text>
        <r>
          <rPr>
            <b/>
            <sz val="9"/>
            <color indexed="81"/>
            <rFont val="Tahoma"/>
            <family val="2"/>
          </rPr>
          <t>CB3E:</t>
        </r>
        <r>
          <rPr>
            <sz val="9"/>
            <color indexed="81"/>
            <rFont val="Tahoma"/>
            <family val="2"/>
          </rPr>
          <t xml:space="preserve">
Ângulo Vertical de Sombreamento: Ângulo de sombreamento entre a abertura e a proteção solar horizontal instalada; é formado entre os dois planos que contêm a base da abertura: o primeiro é o plano vertical na base da folha de vidro (ou material translúcido); o segundo plano é formado pela extremidade mais distante da proteção solar horizontal até a base da folha de vidro (ou material translúcido). </t>
        </r>
        <r>
          <rPr>
            <b/>
            <sz val="9"/>
            <color indexed="81"/>
            <rFont val="Tahoma"/>
            <family val="2"/>
          </rPr>
          <t>Seu intervalo é de 0 a 90º.</t>
        </r>
      </text>
    </comment>
    <comment ref="Y9" authorId="0" shapeId="0" xr:uid="{A02B7849-B8E8-4939-91E6-13DD1451D84A}">
      <text>
        <r>
          <rPr>
            <b/>
            <sz val="9"/>
            <color indexed="81"/>
            <rFont val="Tahoma"/>
            <family val="2"/>
          </rPr>
          <t>CB3E:</t>
        </r>
        <r>
          <rPr>
            <sz val="9"/>
            <color indexed="81"/>
            <rFont val="Tahoma"/>
            <family val="2"/>
          </rPr>
          <t xml:space="preserve">
Ângulo de Obstrução Vizinha: Ângulo que representa o efeito do sombreamento de uma edificação vizinha, representada por uma superfície paralela à fachada da zona térmica. Deve ser determinado pelo ângulo formado entre a altura desta superfície em relação à abertura da zona térmica.  </t>
        </r>
        <r>
          <rPr>
            <b/>
            <sz val="9"/>
            <color indexed="81"/>
            <rFont val="Tahoma"/>
            <family val="2"/>
          </rPr>
          <t>Seu intervalo é de 0 a 90º.</t>
        </r>
      </text>
    </comment>
    <comment ref="Z9" authorId="0" shapeId="0" xr:uid="{F31FF57C-6BF1-4A6C-BA57-0C9692553B74}">
      <text>
        <r>
          <rPr>
            <b/>
            <sz val="9"/>
            <color indexed="81"/>
            <rFont val="Tahoma"/>
            <family val="2"/>
          </rPr>
          <t>CB3E:</t>
        </r>
        <r>
          <rPr>
            <sz val="9"/>
            <color indexed="81"/>
            <rFont val="Tahoma"/>
            <family val="2"/>
          </rPr>
          <t xml:space="preserve">
Ângulo de autossombreamento horizontal. Refere-se ao sombreamento provocado pela própria edificação (não contando varandas e beirais). </t>
        </r>
        <r>
          <rPr>
            <b/>
            <sz val="9"/>
            <color indexed="81"/>
            <rFont val="Tahoma"/>
            <family val="2"/>
          </rPr>
          <t>Seu intervalo é de 0 a 90º.</t>
        </r>
      </text>
    </comment>
    <comment ref="AA9" authorId="0" shapeId="0" xr:uid="{CD2987E9-7DE8-4A92-A059-17CE244C2078}">
      <text>
        <r>
          <rPr>
            <b/>
            <sz val="9"/>
            <color indexed="81"/>
            <rFont val="Tahoma"/>
            <family val="2"/>
          </rPr>
          <t>CB3E:</t>
        </r>
        <r>
          <rPr>
            <sz val="9"/>
            <color indexed="81"/>
            <rFont val="Tahoma"/>
            <family val="2"/>
          </rPr>
          <t xml:space="preserve">
Ângulo Vertical de Sombreamento: Ângulo de sombreamento entre a abertura e a proteção solar horizontal instalada; é formado entre os dois planos que contêm a base da abertura: o primeiro é o plano vertical na base da folha de vidro (ou material translúcido); o segundo plano é formado pela extremidade mais distante da proteção solar horizontal até a base da folha de vidro (ou material translúcido). </t>
        </r>
        <r>
          <rPr>
            <b/>
            <sz val="9"/>
            <color indexed="81"/>
            <rFont val="Tahoma"/>
            <family val="2"/>
          </rPr>
          <t>Seu intervalo é de 0 a 90º.</t>
        </r>
      </text>
    </comment>
    <comment ref="AB9" authorId="0" shapeId="0" xr:uid="{854109B9-FF74-4C01-BB42-FD00BA7C9474}">
      <text>
        <r>
          <rPr>
            <b/>
            <sz val="9"/>
            <color indexed="81"/>
            <rFont val="Tahoma"/>
            <family val="2"/>
          </rPr>
          <t>CB3E:</t>
        </r>
        <r>
          <rPr>
            <sz val="9"/>
            <color indexed="81"/>
            <rFont val="Tahoma"/>
            <family val="2"/>
          </rPr>
          <t xml:space="preserve">
Ângulo de Obstrução Vizinha: Ângulo que representa o efeito do sombreamento de uma edificação vizinha, representada por uma superfície paralela à fachada da zona térmica. Deve ser determinado pelo ângulo formado entre a altura desta superfície em relação à abertura da zona térmica.  </t>
        </r>
        <r>
          <rPr>
            <b/>
            <sz val="9"/>
            <color indexed="81"/>
            <rFont val="Tahoma"/>
            <family val="2"/>
          </rPr>
          <t>Seu intervalo é de 0 a 90º.</t>
        </r>
      </text>
    </comment>
    <comment ref="AE9" authorId="1" shapeId="0" xr:uid="{00000000-0006-0000-0200-00000D000000}">
      <text>
        <r>
          <rPr>
            <b/>
            <sz val="9"/>
            <color indexed="81"/>
            <rFont val="Segoe UI"/>
            <family val="2"/>
          </rPr>
          <t>CB3E:</t>
        </r>
        <r>
          <rPr>
            <sz val="9"/>
            <color indexed="81"/>
            <rFont val="Segoe UI"/>
            <family val="2"/>
          </rPr>
          <t xml:space="preserve">
Transmitância térmica da janela localizada na cobertura. Caso a zona térmica não possua janela, deve-se considerar como 0. 
Seu intervalo é de 1,5 W/(m²K) a 6,0 W/(m²K).</t>
        </r>
      </text>
    </comment>
    <comment ref="AF9" authorId="1" shapeId="0" xr:uid="{00000000-0006-0000-0200-00000E000000}">
      <text>
        <r>
          <rPr>
            <b/>
            <sz val="9"/>
            <color indexed="81"/>
            <rFont val="Segoe UI"/>
            <family val="2"/>
          </rPr>
          <t>CB3E:</t>
        </r>
        <r>
          <rPr>
            <sz val="9"/>
            <color indexed="81"/>
            <rFont val="Segoe UI"/>
            <family val="2"/>
          </rPr>
          <t xml:space="preserve">
Fator solar da janela localizada na cobertura. Caso a zona térmica não possua janela, deve-se considerar como 0. 
Seu intervalo é de 0,2 a 0,9.
</t>
        </r>
      </text>
    </comment>
    <comment ref="AK9" authorId="1" shapeId="0" xr:uid="{00000000-0006-0000-0200-000010000000}">
      <text>
        <r>
          <rPr>
            <b/>
            <sz val="9"/>
            <color indexed="81"/>
            <rFont val="Segoe UI"/>
            <family val="2"/>
          </rPr>
          <t>CB3E:</t>
        </r>
        <r>
          <rPr>
            <sz val="9"/>
            <color indexed="81"/>
            <rFont val="Segoe UI"/>
            <family val="2"/>
          </rPr>
          <t xml:space="preserve">
Para converter o valor de BTU/h para kW, basta multiplicar por 0.2929 e dividir por 1000.
Exemplo:
12.000 BTU/h x0.2929/1000 = 3,5148 kW</t>
        </r>
      </text>
    </comment>
    <comment ref="AL9" authorId="1" shapeId="0" xr:uid="{3ABC6212-E313-4C85-8165-6FFE9956EFEE}">
      <text>
        <r>
          <rPr>
            <b/>
            <sz val="9"/>
            <color indexed="81"/>
            <rFont val="Segoe UI"/>
            <family val="2"/>
          </rPr>
          <t>CB3E:</t>
        </r>
        <r>
          <rPr>
            <sz val="9"/>
            <color indexed="81"/>
            <rFont val="Segoe UI"/>
            <family val="2"/>
          </rPr>
          <t xml:space="preserve">
Para converter o valor de BTU/h para kW, basta multiplicar por 0.2929 e dividir por 1000.
Exemplo:
12.000 BTU/h x0.2929/1000 = 3,5148 kW</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Geraldi</author>
  </authors>
  <commentList>
    <comment ref="B28" authorId="0" shapeId="0" xr:uid="{4E769563-7E70-499F-8782-95AA405F632C}">
      <text>
        <r>
          <rPr>
            <b/>
            <sz val="9"/>
            <color indexed="81"/>
            <rFont val="Segoe UI"/>
            <family val="2"/>
          </rPr>
          <t>CB3E:</t>
        </r>
        <r>
          <rPr>
            <sz val="9"/>
            <color indexed="81"/>
            <rFont val="Segoe UI"/>
            <family val="2"/>
          </rPr>
          <t xml:space="preserve">
A classificação não considera o consumo com equipamento.</t>
        </r>
      </text>
    </comment>
    <comment ref="F67" authorId="0" shapeId="0" xr:uid="{C1A6668F-5648-4C93-9932-AAF33D86D0AC}">
      <text>
        <r>
          <rPr>
            <b/>
            <sz val="9"/>
            <color indexed="81"/>
            <rFont val="Segoe UI"/>
            <family val="2"/>
          </rPr>
          <t>CB3E</t>
        </r>
        <r>
          <rPr>
            <sz val="9"/>
            <color indexed="81"/>
            <rFont val="Segoe UI"/>
            <family val="2"/>
          </rPr>
          <t xml:space="preserve">
Todos os valores referem-se à condição real.</t>
        </r>
      </text>
    </comment>
  </commentList>
</comments>
</file>

<file path=xl/sharedStrings.xml><?xml version="1.0" encoding="utf-8"?>
<sst xmlns="http://schemas.openxmlformats.org/spreadsheetml/2006/main" count="64667" uniqueCount="10848">
  <si>
    <t>APRESENTAÇÃO</t>
  </si>
  <si>
    <t>Sobre</t>
  </si>
  <si>
    <t>Declaração de uso</t>
  </si>
  <si>
    <t>A divulgação e utilização desta planilha eletrônica para outras finalidades não é de responsabilidade do CB3E ou do Procel. Todas as funcionalidades existentes nesta planilha eletrônica e os resultados fornecidos por ela foram desenvolvidos para fins didáticos, não estando atrelada a esta planilha nenhuma responsabilidade acerca do processo de etiquetagem em si. O CB3E Não se responsabiliza em prestar suporte para esta ferramenta, sendo seu uso de inteira responsabilidade do usuário, de acordo com a sua interpretação da Instrução Normativa do INMETRO (INI-C).
Qualquer divergência entre os parâmetros, cálculos ou premissas presentes nesta planilha e o texto da INI-C, prevalece a INI-C.</t>
  </si>
  <si>
    <t>Orientações</t>
  </si>
  <si>
    <t>- Preencher apenas os campos requeridos;
- Prestar atenção nas unidades;
- Recomendamos não adicionar ou excluir linhas, colunas e células;
- Recomendamos não alterar as fórmulas;
- O intuito desta planilha é auxiliar o processo de etiquetagem de uma edificação. Porém, análises e cálculos acessórios podem ser necessários.</t>
  </si>
  <si>
    <t>Legenda das células:</t>
  </si>
  <si>
    <t>Guia de cores das abas:</t>
  </si>
  <si>
    <t>Preencher</t>
  </si>
  <si>
    <t>Abas Verdes: Representam os sistemas avaliados.</t>
  </si>
  <si>
    <t>Escolher na lista</t>
  </si>
  <si>
    <t>Aba Roxa: Representa dados que são informativos na etiqueta.</t>
  </si>
  <si>
    <t>Não preencher (Fórmula)</t>
  </si>
  <si>
    <t>Abas Azuis: Representam informações que são opcionais.</t>
  </si>
  <si>
    <t>Modificável de acordo com o projeto</t>
  </si>
  <si>
    <t>Abas sem cor (Cinza): Representam abas auxiliares para a planilha.</t>
  </si>
  <si>
    <t>Inserir de cálculo externo.</t>
  </si>
  <si>
    <t>Versão do metamodelo:</t>
  </si>
  <si>
    <t>V3.0</t>
  </si>
  <si>
    <t>Data da versão da planilha:</t>
  </si>
  <si>
    <t>Legenda:</t>
  </si>
  <si>
    <t>DADOS GERAIS</t>
  </si>
  <si>
    <t>Nome da Edificação:</t>
  </si>
  <si>
    <t>Endereço:</t>
  </si>
  <si>
    <t>Etapa:</t>
  </si>
  <si>
    <t>Projeto</t>
  </si>
  <si>
    <t>UF:</t>
  </si>
  <si>
    <t>SC</t>
  </si>
  <si>
    <t>Cidade:</t>
  </si>
  <si>
    <t>Florianópolis</t>
  </si>
  <si>
    <t>Tipo de sistema de geração de eletricidade</t>
  </si>
  <si>
    <t>Sistema Interligado Nacional</t>
  </si>
  <si>
    <t>Zona Bioclimática:</t>
  </si>
  <si>
    <t>Área construída (m²):</t>
  </si>
  <si>
    <t>Tipologia predominante:</t>
  </si>
  <si>
    <t>Escritórios</t>
  </si>
  <si>
    <t>Fator de Forma (m²/m³):</t>
  </si>
  <si>
    <t>Não</t>
  </si>
  <si>
    <t>ENVOLTÓRIA</t>
  </si>
  <si>
    <t>CRCgTTD-A</t>
  </si>
  <si>
    <t>i</t>
  </si>
  <si>
    <t>Método:</t>
  </si>
  <si>
    <t>Método Simplificado</t>
  </si>
  <si>
    <t>A</t>
  </si>
  <si>
    <t>B</t>
  </si>
  <si>
    <t>C</t>
  </si>
  <si>
    <t>D</t>
  </si>
  <si>
    <t>E</t>
  </si>
  <si>
    <t>Carga térmica Referência (kWh/ano):</t>
  </si>
  <si>
    <t>Limite Superior</t>
  </si>
  <si>
    <t>-</t>
  </si>
  <si>
    <t>Carga térmica Real (kWh/ano):</t>
  </si>
  <si>
    <t>Limite Inferior</t>
  </si>
  <si>
    <t>RedCEnv:</t>
  </si>
  <si>
    <t>Classificação:</t>
  </si>
  <si>
    <t>Cargas internas</t>
  </si>
  <si>
    <t>Zona Térmica</t>
  </si>
  <si>
    <t>Área</t>
  </si>
  <si>
    <t>Pé-direito 
[m]</t>
  </si>
  <si>
    <t>Tipo de Zona Térmica</t>
  </si>
  <si>
    <t>Orientação</t>
  </si>
  <si>
    <t>Uso</t>
  </si>
  <si>
    <t>DPI (W/m²)</t>
  </si>
  <si>
    <t>DPE (W/m²)</t>
  </si>
  <si>
    <t>Ocupação (pessoa/m²)</t>
  </si>
  <si>
    <t>Horas de ocupação</t>
  </si>
  <si>
    <t>Térreo (único pvto)</t>
  </si>
  <si>
    <t>Perimetral</t>
  </si>
  <si>
    <t>N</t>
  </si>
  <si>
    <t>Zona adjacente condicionada</t>
  </si>
  <si>
    <t>Varejo - Comércio</t>
  </si>
  <si>
    <t>Sem Aber. Zenital</t>
  </si>
  <si>
    <t>L</t>
  </si>
  <si>
    <t>S</t>
  </si>
  <si>
    <t>O</t>
  </si>
  <si>
    <t>Interna</t>
  </si>
  <si>
    <t>CONDICIONAMENTO DE AR</t>
  </si>
  <si>
    <t>ZB</t>
  </si>
  <si>
    <t>Consumo de energia final Referência (kWh/ano):</t>
  </si>
  <si>
    <t>Consumo de energia final Real (kWh/ano):</t>
  </si>
  <si>
    <t>RedCR:</t>
  </si>
  <si>
    <t>Capacidade de Resfriamento total (kW):</t>
  </si>
  <si>
    <t>Área condicionada (m²)</t>
  </si>
  <si>
    <t>Tipo de Sistema</t>
  </si>
  <si>
    <t>Controles de sist. de vent.: altas taxas de ocupação</t>
  </si>
  <si>
    <t>Controle do ventilador:  sistemas VAV</t>
  </si>
  <si>
    <t>Posicionamento do sensor de pressão</t>
  </si>
  <si>
    <t>Sist. vazão de líquido variável</t>
  </si>
  <si>
    <t>Operação das bombas</t>
  </si>
  <si>
    <t>Controle reajuste da temp. água gelada e quente</t>
  </si>
  <si>
    <t>Não se aplica</t>
  </si>
  <si>
    <t>ILUMINAÇÃO</t>
  </si>
  <si>
    <t>Método de Simulação</t>
  </si>
  <si>
    <t>RedCIL:</t>
  </si>
  <si>
    <t>Coeficiente "i":</t>
  </si>
  <si>
    <t>Método das atividades do edifício</t>
  </si>
  <si>
    <t>Tipologia Predominante da edificação:</t>
  </si>
  <si>
    <t>Consumo limite Classe D (W):</t>
  </si>
  <si>
    <t>Consumo limite Classe A (W):</t>
  </si>
  <si>
    <t>Consumo (kWh/ano)</t>
  </si>
  <si>
    <t>Área iluminada (m²)</t>
  </si>
  <si>
    <t>Horas de Ocupação</t>
  </si>
  <si>
    <t>Número de dias</t>
  </si>
  <si>
    <t>Densidade de Potência de Iluminação Limite para D (DPI ref)
[W/m²]</t>
  </si>
  <si>
    <t>Densidade de Potência de Iluminação Limite para A
[W/m²]</t>
  </si>
  <si>
    <t>Potência de Iluminação sem controle automatizado [W]</t>
  </si>
  <si>
    <t>Fator de ajuste de potência (FAP)</t>
  </si>
  <si>
    <t>Potência de Iluminação Total Real (PITreal)
[W]</t>
  </si>
  <si>
    <t>Contribuição da luz natural</t>
  </si>
  <si>
    <t>Controle Local</t>
  </si>
  <si>
    <t>Deslig. Automático</t>
  </si>
  <si>
    <t>Referência</t>
  </si>
  <si>
    <t>Real</t>
  </si>
  <si>
    <t>Garagem – edifício garagem</t>
  </si>
  <si>
    <t>Escritório</t>
  </si>
  <si>
    <t>Banco/escritório - área de atividades bancárias</t>
  </si>
  <si>
    <t>Restaurante</t>
  </si>
  <si>
    <t>AQUECIMENTO DE ÁGUA</t>
  </si>
  <si>
    <t>Tipo de Sistema:</t>
  </si>
  <si>
    <t>Eletricidade</t>
  </si>
  <si>
    <t>Cidade</t>
  </si>
  <si>
    <t>Temperatura média anual (°C)</t>
  </si>
  <si>
    <t>Método de cálculo:</t>
  </si>
  <si>
    <t>Condutividade térmica (W/mK):</t>
  </si>
  <si>
    <t>Consumo total em Energia Final
(kWh/ano)</t>
  </si>
  <si>
    <t>Área unitária do coletor solar (m²):</t>
  </si>
  <si>
    <t>dA (m):</t>
  </si>
  <si>
    <t>Número de coletores solares:</t>
  </si>
  <si>
    <t>dR (m):</t>
  </si>
  <si>
    <t>Temperatura da água fria (°C):</t>
  </si>
  <si>
    <t>Produção média mensal do Coletor (kWh/mês):</t>
  </si>
  <si>
    <t>αA (W/m²K):</t>
  </si>
  <si>
    <t>Produção específica do Coletor (kWh/m².mês):</t>
  </si>
  <si>
    <t>Fper,tub (W/mK):</t>
  </si>
  <si>
    <t>Calor específico da água (kJ/g°C)</t>
  </si>
  <si>
    <t>Irradiação média anual no plano inclinado (kWh/m²dia):</t>
  </si>
  <si>
    <t>Hper,dist,i (h/dia):</t>
  </si>
  <si>
    <t>Temperatura de uso da água (°C)</t>
  </si>
  <si>
    <t>Comprimento da tubulação (m):</t>
  </si>
  <si>
    <t>EA,per,tub,i (kWh/dia):</t>
  </si>
  <si>
    <t>Energia Requerida (kWh/dia)</t>
  </si>
  <si>
    <t>Especificações do sistema:</t>
  </si>
  <si>
    <t>Eficiência do sistema:</t>
  </si>
  <si>
    <t>Eficiência do sistema de Referência:</t>
  </si>
  <si>
    <t>∆θA,res,sby (°C):</t>
  </si>
  <si>
    <t>Sistema</t>
  </si>
  <si>
    <t>Quantidade</t>
  </si>
  <si>
    <t>Tipo</t>
  </si>
  <si>
    <t>Eficiência</t>
  </si>
  <si>
    <t>USO RACIONAL DE ÁGUA</t>
  </si>
  <si>
    <t>#</t>
  </si>
  <si>
    <t>Equipamentos Economizadores</t>
  </si>
  <si>
    <t>Oferta de água não potável</t>
  </si>
  <si>
    <t>Bacia Sanitária</t>
  </si>
  <si>
    <t>Vazão Mictório</t>
  </si>
  <si>
    <t>Chuveiro</t>
  </si>
  <si>
    <t>Torneira Lavatório</t>
  </si>
  <si>
    <t>Torneira cozinha</t>
  </si>
  <si>
    <t>Oferta  (L/ano)</t>
  </si>
  <si>
    <t>Vazão (L/min)</t>
  </si>
  <si>
    <t>GERAÇÃO DE ENERGIA</t>
  </si>
  <si>
    <t>Fotovoltaico</t>
  </si>
  <si>
    <t>Geração total estimada (kWh/ano):</t>
  </si>
  <si>
    <t>Equipamento (modelo)</t>
  </si>
  <si>
    <t>Características</t>
  </si>
  <si>
    <t>Geração estimada (kWh/ano)</t>
  </si>
  <si>
    <t>Equipamentos</t>
  </si>
  <si>
    <t>Envoltória</t>
  </si>
  <si>
    <t>Condicionamento de ar</t>
  </si>
  <si>
    <t>RESULTADOS</t>
  </si>
  <si>
    <t>CRCepd-a</t>
  </si>
  <si>
    <t>Coeficiente "i"</t>
  </si>
  <si>
    <t>Condição de Referência (kWh/ano)</t>
  </si>
  <si>
    <t>Condição Real (kWh/ano)</t>
  </si>
  <si>
    <t xml:space="preserve"> % de Redução</t>
  </si>
  <si>
    <t>Classificação</t>
  </si>
  <si>
    <r>
      <t>Condição de Referência
(kgCO</t>
    </r>
    <r>
      <rPr>
        <b/>
        <vertAlign val="subscript"/>
        <sz val="11"/>
        <color theme="1"/>
        <rFont val="Calibri"/>
        <family val="2"/>
        <scheme val="minor"/>
      </rPr>
      <t>2</t>
    </r>
    <r>
      <rPr>
        <b/>
        <sz val="11"/>
        <color theme="1"/>
        <rFont val="Calibri"/>
        <family val="2"/>
        <scheme val="minor"/>
      </rPr>
      <t>eq)</t>
    </r>
  </si>
  <si>
    <r>
      <t>Condição Real 
(kgCO</t>
    </r>
    <r>
      <rPr>
        <b/>
        <vertAlign val="subscript"/>
        <sz val="11"/>
        <color theme="1"/>
        <rFont val="Calibri"/>
        <family val="2"/>
        <scheme val="minor"/>
      </rPr>
      <t>2</t>
    </r>
    <r>
      <rPr>
        <b/>
        <sz val="11"/>
        <color theme="1"/>
        <rFont val="Calibri"/>
        <family val="2"/>
        <scheme val="minor"/>
      </rPr>
      <t>eq)</t>
    </r>
  </si>
  <si>
    <t>Iluminação</t>
  </si>
  <si>
    <t>Aquecimento de Água</t>
  </si>
  <si>
    <t>Paredes Externas</t>
  </si>
  <si>
    <t>Paredes internas</t>
  </si>
  <si>
    <t>Coberturas</t>
  </si>
  <si>
    <t>Piso</t>
  </si>
  <si>
    <t>Equipamentos de Ar-Condicionado</t>
  </si>
  <si>
    <t xml:space="preserve">Nome </t>
  </si>
  <si>
    <t>U (W/m²k)</t>
  </si>
  <si>
    <t>CT (kJ/m²K)</t>
  </si>
  <si>
    <t>Absortância</t>
  </si>
  <si>
    <t>Fator Solar</t>
  </si>
  <si>
    <t>Nome  do Equipamento</t>
  </si>
  <si>
    <t>Capacidade unitária de Resfriamento (kW)</t>
  </si>
  <si>
    <t>Potência Total dos equipamentos de Renovação de ar (W) associados a este equipamento</t>
  </si>
  <si>
    <t>Tipo de equipamento</t>
  </si>
  <si>
    <t>Pvto interm.</t>
  </si>
  <si>
    <t>Split, self a ar, splitão e rooftop - Aquecimento: sem ou resistência elétrica</t>
  </si>
  <si>
    <t>≥ 40 kW e &lt; 70 kW</t>
  </si>
  <si>
    <t>Multi-split VRF a água (ciclo reverso)</t>
  </si>
  <si>
    <t>≥ 19 kW e &lt; 40 kW</t>
  </si>
  <si>
    <t>Self a água, split a água  - Aquecimento: outros</t>
  </si>
  <si>
    <t>Absorção a água de duplo efeito e queima direta</t>
  </si>
  <si>
    <t>Todas</t>
  </si>
  <si>
    <t>Tipo de Zona</t>
  </si>
  <si>
    <t>Ocupação (m²/pessoa)</t>
  </si>
  <si>
    <t>Dias de ocupação</t>
  </si>
  <si>
    <t>Condição de piso</t>
  </si>
  <si>
    <t>is_1pvto_0</t>
  </si>
  <si>
    <t>is_1pvto_1</t>
  </si>
  <si>
    <t>floor_exp_0</t>
  </si>
  <si>
    <t>floor_exp_1</t>
  </si>
  <si>
    <t>roof_exp_0</t>
  </si>
  <si>
    <t>roof_exp_1</t>
  </si>
  <si>
    <t>apt_near_0</t>
  </si>
  <si>
    <t>apt_near_1</t>
  </si>
  <si>
    <t>UF</t>
  </si>
  <si>
    <t>Estado</t>
  </si>
  <si>
    <t>Tipo de controle</t>
  </si>
  <si>
    <t>Fator de ajuste de
potência (FAP)</t>
  </si>
  <si>
    <t>Função do edifício</t>
  </si>
  <si>
    <t>Ambientes/Atividades</t>
  </si>
  <si>
    <t>Energia/Ano</t>
  </si>
  <si>
    <t>Média</t>
  </si>
  <si>
    <t>Combustível</t>
  </si>
  <si>
    <r>
      <t>Fatores de Emissão de CO</t>
    </r>
    <r>
      <rPr>
        <b/>
        <sz val="8"/>
        <color rgb="FF212529"/>
        <rFont val="Calibri"/>
        <family val="2"/>
      </rPr>
      <t>2</t>
    </r>
    <r>
      <rPr>
        <b/>
        <sz val="11"/>
        <color rgb="FF212529"/>
        <rFont val="Calibri"/>
        <family val="2"/>
      </rPr>
      <t> por Queima de Combustível</t>
    </r>
  </si>
  <si>
    <t>Unidade</t>
  </si>
  <si>
    <t>Geração de eletricidade</t>
  </si>
  <si>
    <t>Fatores de Emissão de Dióxido de Carbono por Geração de Eletricidade</t>
  </si>
  <si>
    <t>Tipologia</t>
  </si>
  <si>
    <t>Classificação Climática</t>
  </si>
  <si>
    <t>FF inferior</t>
  </si>
  <si>
    <t>FF Superior</t>
  </si>
  <si>
    <t>CRCgTTD do Projeto</t>
  </si>
  <si>
    <t>Sistemas de geração de eletricidade</t>
  </si>
  <si>
    <t>Térreo (com + pvtos acima)</t>
  </si>
  <si>
    <t>AC</t>
  </si>
  <si>
    <t>Norte</t>
  </si>
  <si>
    <t>RS</t>
  </si>
  <si>
    <t>Fazenda Vilanova</t>
  </si>
  <si>
    <t xml:space="preserve">Controle sensível à luz natural - por passos ou dimerizável </t>
  </si>
  <si>
    <t>Academia</t>
  </si>
  <si>
    <t>Gás natural</t>
  </si>
  <si>
    <r>
      <t>kg.CO</t>
    </r>
    <r>
      <rPr>
        <sz val="8"/>
        <color rgb="FF212529"/>
        <rFont val="Calibri"/>
        <family val="2"/>
      </rPr>
      <t>2</t>
    </r>
    <r>
      <rPr>
        <sz val="11"/>
        <color rgb="FF212529"/>
        <rFont val="Calibri"/>
        <family val="2"/>
      </rPr>
      <t>/kWh</t>
    </r>
  </si>
  <si>
    <t>SIN – Sistema Interligado Nacional</t>
  </si>
  <si>
    <t>kg.CO2/kWh</t>
  </si>
  <si>
    <t>Educacional - Ensino Infantil</t>
  </si>
  <si>
    <t>NE</t>
  </si>
  <si>
    <t>Zona adjacente não-condicionada</t>
  </si>
  <si>
    <t>AL</t>
  </si>
  <si>
    <t>Nordeste</t>
  </si>
  <si>
    <t>General Câmara</t>
  </si>
  <si>
    <t>Armazém</t>
  </si>
  <si>
    <t>Gás</t>
  </si>
  <si>
    <t>Óleo diesel</t>
  </si>
  <si>
    <t>SIS - Sistemas Isolados</t>
  </si>
  <si>
    <t>Sistemas Isolados</t>
  </si>
  <si>
    <t>Caso</t>
  </si>
  <si>
    <t>Tabela ref</t>
  </si>
  <si>
    <t>caso1</t>
  </si>
  <si>
    <t>caso2</t>
  </si>
  <si>
    <t>caso3</t>
  </si>
  <si>
    <t>caso4</t>
  </si>
  <si>
    <t>caso5</t>
  </si>
  <si>
    <t>caso6</t>
  </si>
  <si>
    <t>caso7</t>
  </si>
  <si>
    <t>caso8</t>
  </si>
  <si>
    <t>Educacional - Ensino Fundamental e Médio</t>
  </si>
  <si>
    <t>NO</t>
  </si>
  <si>
    <t>Pilotis (com + pvtos acima)</t>
  </si>
  <si>
    <t>AM</t>
  </si>
  <si>
    <t>Imbituba</t>
  </si>
  <si>
    <t>Biblioteca</t>
  </si>
  <si>
    <t>Gás Liquefeito de Petróleo (GLP)</t>
  </si>
  <si>
    <t>Split, self a ar, splitão e rooftop (todos)</t>
  </si>
  <si>
    <t>&lt;19 kW</t>
  </si>
  <si>
    <t>&lt; 19 kW</t>
  </si>
  <si>
    <t>&lt; 528 kW</t>
  </si>
  <si>
    <t>&lt; 264 kW</t>
  </si>
  <si>
    <t>Educacional - Ensino Superior</t>
  </si>
  <si>
    <t>Pilotis (único pvto)</t>
  </si>
  <si>
    <t>AP</t>
  </si>
  <si>
    <t>Paverama</t>
  </si>
  <si>
    <t>Sem ajuste de potência</t>
  </si>
  <si>
    <t>Bombeiros</t>
  </si>
  <si>
    <t>Madeira</t>
  </si>
  <si>
    <t>≥ 528 kW</t>
  </si>
  <si>
    <t>≥ 264 kW e &lt; 528 kW</t>
  </si>
  <si>
    <t>≥ 528 kW e &lt; 1055 kW</t>
  </si>
  <si>
    <t>Hospedagem</t>
  </si>
  <si>
    <t>Intermediário</t>
  </si>
  <si>
    <t>BA</t>
  </si>
  <si>
    <t>Tabaí</t>
  </si>
  <si>
    <t>Centro de convenções</t>
  </si>
  <si>
    <t>Gasolina</t>
  </si>
  <si>
    <t>Split, self a ar, splitão e rooftop - Aquecimento: outros</t>
  </si>
  <si>
    <t>≥ 70 kW e &lt; 223 kW</t>
  </si>
  <si>
    <t>≥ 1055 kW e &lt; 1407 kW</t>
  </si>
  <si>
    <t>≥ 70 kW</t>
  </si>
  <si>
    <t>Est. Assist. de Saúde</t>
  </si>
  <si>
    <t>SE</t>
  </si>
  <si>
    <t>Cobertura</t>
  </si>
  <si>
    <t>CE</t>
  </si>
  <si>
    <t>Presidente Castelo Branco</t>
  </si>
  <si>
    <t>Cinema</t>
  </si>
  <si>
    <t>Etanol</t>
  </si>
  <si>
    <t>Self a água, split a água</t>
  </si>
  <si>
    <t>≥ 223 kW</t>
  </si>
  <si>
    <t>≥ 1055 kW e &lt; 2110 kW</t>
  </si>
  <si>
    <t>≥ 1407 kW e &lt; 2110 kW</t>
  </si>
  <si>
    <t>SO</t>
  </si>
  <si>
    <t>DF</t>
  </si>
  <si>
    <t>Centro-Oeste</t>
  </si>
  <si>
    <t>PR</t>
  </si>
  <si>
    <t>Mariópolis</t>
  </si>
  <si>
    <t>Comércio</t>
  </si>
  <si>
    <t>Self a água, split a água - Aquecimento: sem ou resistência elétrica</t>
  </si>
  <si>
    <t>≥ 2110 kW</t>
  </si>
  <si>
    <t>Varejo - Mercados</t>
  </si>
  <si>
    <t>ES</t>
  </si>
  <si>
    <t>Sudeste</t>
  </si>
  <si>
    <t>Bocaiúva do Sul</t>
  </si>
  <si>
    <t>Correios</t>
  </si>
  <si>
    <t>Restaurantes</t>
  </si>
  <si>
    <t>GO</t>
  </si>
  <si>
    <t>PE</t>
  </si>
  <si>
    <t>Caetés</t>
  </si>
  <si>
    <t>Venda e locação de veículos</t>
  </si>
  <si>
    <t>Multi-split VRF a ar (sem ciclo reverso)</t>
  </si>
  <si>
    <t>Outras</t>
  </si>
  <si>
    <t>MA</t>
  </si>
  <si>
    <t>Santa Leopoldina</t>
  </si>
  <si>
    <t>Escola/universidade</t>
  </si>
  <si>
    <t>Multi-split VRF a ar (ciclo reverso)</t>
  </si>
  <si>
    <t>Educacional</t>
  </si>
  <si>
    <t>MG</t>
  </si>
  <si>
    <t>Santa Maria de Jetibá</t>
  </si>
  <si>
    <t xml:space="preserve">Multi-split VRF a ar (ciclo reverso) - refrigeração e aquecimento simultâneos </t>
  </si>
  <si>
    <t>MS</t>
  </si>
  <si>
    <t>Garopaba</t>
  </si>
  <si>
    <t>Estádio de esportes</t>
  </si>
  <si>
    <t>Penitenciária</t>
  </si>
  <si>
    <t>MT</t>
  </si>
  <si>
    <t>Santa Teresa</t>
  </si>
  <si>
    <t>Teatro</t>
  </si>
  <si>
    <t xml:space="preserve">Multi-split VRF a água (ciclo reverso) - refrigeração e aquecimento simultâneos </t>
  </si>
  <si>
    <t>PA</t>
  </si>
  <si>
    <t>Paulo Lopes</t>
  </si>
  <si>
    <t>Ginásio</t>
  </si>
  <si>
    <t>Condensação a ar com condensador</t>
  </si>
  <si>
    <t>PB</t>
  </si>
  <si>
    <t>Palma Sola</t>
  </si>
  <si>
    <t>Hospedagem, dormitório</t>
  </si>
  <si>
    <t>Banheiros</t>
  </si>
  <si>
    <t>Condensação a água (compressor do tipo alternativo, parafuso e scroll)</t>
  </si>
  <si>
    <t>COP Referência:</t>
  </si>
  <si>
    <t>Bom Jardim da Serra</t>
  </si>
  <si>
    <t>Hospital</t>
  </si>
  <si>
    <t>Condensação a água (compressor centrífugo)</t>
  </si>
  <si>
    <t>PI</t>
  </si>
  <si>
    <t>RJ</t>
  </si>
  <si>
    <t>Trajano de Morais</t>
  </si>
  <si>
    <t>Hotel</t>
  </si>
  <si>
    <t>Absorção a ar de simples efeito</t>
  </si>
  <si>
    <t>Tipologias</t>
  </si>
  <si>
    <t>Sul</t>
  </si>
  <si>
    <t>Urubici</t>
  </si>
  <si>
    <t>Igreja/templo</t>
  </si>
  <si>
    <t>Absorção a água de simples efeito</t>
  </si>
  <si>
    <t>Guarapuava</t>
  </si>
  <si>
    <t>Absorção a água de duplo efeito e queima indireta</t>
  </si>
  <si>
    <t>RN</t>
  </si>
  <si>
    <t>Erval Velho</t>
  </si>
  <si>
    <t>Restaurante: bar/lazer</t>
  </si>
  <si>
    <t>RO</t>
  </si>
  <si>
    <t>Jaborá</t>
  </si>
  <si>
    <t>Restaurante: fast-food</t>
  </si>
  <si>
    <t>RR</t>
  </si>
  <si>
    <t>SP</t>
  </si>
  <si>
    <t>São Paulo</t>
  </si>
  <si>
    <t>Museu</t>
  </si>
  <si>
    <t>Lista limites</t>
  </si>
  <si>
    <t>Santa Maria Madalena</t>
  </si>
  <si>
    <t>Oficina</t>
  </si>
  <si>
    <t xml:space="preserve">Circulação </t>
  </si>
  <si>
    <t>5,5 IDRS*</t>
  </si>
  <si>
    <t>Santo André</t>
  </si>
  <si>
    <t>3,78 ICOP</t>
  </si>
  <si>
    <t>São Bernardo do Campo</t>
  </si>
  <si>
    <t>Posto de saúde/clínica</t>
  </si>
  <si>
    <t>3,75 ICOP</t>
  </si>
  <si>
    <t>Vargeão</t>
  </si>
  <si>
    <t>Posto policial</t>
  </si>
  <si>
    <t>Cozinhas</t>
  </si>
  <si>
    <t>3,4 ICOP</t>
  </si>
  <si>
    <t>TO</t>
  </si>
  <si>
    <t>Capinzal</t>
  </si>
  <si>
    <t>Prefeitura – Instituição governamental</t>
  </si>
  <si>
    <t>Depósitos</t>
  </si>
  <si>
    <t>3,28 ICOP</t>
  </si>
  <si>
    <t>Ouro</t>
  </si>
  <si>
    <t>Dormitórios – alojamentos</t>
  </si>
  <si>
    <t>3,76 ICOP</t>
  </si>
  <si>
    <t>Diadema</t>
  </si>
  <si>
    <t>Transportes</t>
  </si>
  <si>
    <t>Escadas</t>
  </si>
  <si>
    <t>3,72 ICOP</t>
  </si>
  <si>
    <t>São Caetano do Sul</t>
  </si>
  <si>
    <t>Tribunal</t>
  </si>
  <si>
    <t>3,34 ICOP</t>
  </si>
  <si>
    <t>Ribeirão Pires</t>
  </si>
  <si>
    <t>3,22 ICOP</t>
  </si>
  <si>
    <t>Rio Grande da Serra</t>
  </si>
  <si>
    <t>Garagem</t>
  </si>
  <si>
    <t>3,60 ICOP</t>
  </si>
  <si>
    <t>Faxinal dos Guedes</t>
  </si>
  <si>
    <t>4,07 ICOP</t>
  </si>
  <si>
    <t>Zortéa</t>
  </si>
  <si>
    <t>São Sebastião do Alto</t>
  </si>
  <si>
    <t>3,99 ICOP</t>
  </si>
  <si>
    <t>Lacerdópolis</t>
  </si>
  <si>
    <t>3,96 ICOP</t>
  </si>
  <si>
    <t>Bela Vista de Minas</t>
  </si>
  <si>
    <t>4,02 ICOP</t>
  </si>
  <si>
    <t>Três Barras do Paraná</t>
  </si>
  <si>
    <t>Colombo</t>
  </si>
  <si>
    <t>3,93 ICOP</t>
  </si>
  <si>
    <t>Campina Grande do Sul</t>
  </si>
  <si>
    <t>3,90 ICOP</t>
  </si>
  <si>
    <t>Mauá</t>
  </si>
  <si>
    <t>3,81 SCOP</t>
  </si>
  <si>
    <t>Xavantina</t>
  </si>
  <si>
    <t>4,54 ICOP</t>
  </si>
  <si>
    <t>Ipumirim</t>
  </si>
  <si>
    <t>4,37 ICOP</t>
  </si>
  <si>
    <t>Paial</t>
  </si>
  <si>
    <t>Catanduvas</t>
  </si>
  <si>
    <t>Cascavel</t>
  </si>
  <si>
    <t>4,28 ICOP</t>
  </si>
  <si>
    <t>Barra do Rio Azul</t>
  </si>
  <si>
    <t>Campo Erê</t>
  </si>
  <si>
    <t>Capoeiras</t>
  </si>
  <si>
    <t>4,22 ICOP</t>
  </si>
  <si>
    <t>Tanguá</t>
  </si>
  <si>
    <t>4,01 ICOP</t>
  </si>
  <si>
    <t>Itatiba do Sul</t>
  </si>
  <si>
    <t>3,66 ICOP</t>
  </si>
  <si>
    <t>Ibema</t>
  </si>
  <si>
    <t>4,69 ICOP</t>
  </si>
  <si>
    <t>Santa Maria do Oeste</t>
  </si>
  <si>
    <t>4,69  ICOP</t>
  </si>
  <si>
    <t>Taboão da Serra</t>
  </si>
  <si>
    <t>4,10 ICOP</t>
  </si>
  <si>
    <t>Balsa Nova</t>
  </si>
  <si>
    <t>3,52 ICOP</t>
  </si>
  <si>
    <t>Jucati</t>
  </si>
  <si>
    <t>4,63 ICOP</t>
  </si>
  <si>
    <t>Calmon</t>
  </si>
  <si>
    <t>Arvoredo</t>
  </si>
  <si>
    <t>Garuva</t>
  </si>
  <si>
    <t>3,46 ICOP</t>
  </si>
  <si>
    <t>Nova Veneza</t>
  </si>
  <si>
    <t>ver alternativas em Tabela 7.6</t>
  </si>
  <si>
    <t>Contenda</t>
  </si>
  <si>
    <t>Ajuricaba</t>
  </si>
  <si>
    <t>Corbélia</t>
  </si>
  <si>
    <t>Osasco</t>
  </si>
  <si>
    <t>Palhoça</t>
  </si>
  <si>
    <t>Itaboraí</t>
  </si>
  <si>
    <t>Rio Branco do Sul</t>
  </si>
  <si>
    <t>Lavanderia</t>
  </si>
  <si>
    <t>Cruz Machado</t>
  </si>
  <si>
    <t>Santa Lúcia</t>
  </si>
  <si>
    <t>Pomerode</t>
  </si>
  <si>
    <t>Tunas do Paraná</t>
  </si>
  <si>
    <t>Ibirité</t>
  </si>
  <si>
    <t>Oficina – seminário, cursos</t>
  </si>
  <si>
    <t>Schroeder</t>
  </si>
  <si>
    <t xml:space="preserve">Quartos de hotel </t>
  </si>
  <si>
    <t>Itaperuçu</t>
  </si>
  <si>
    <t>Refeitório</t>
  </si>
  <si>
    <t>Campo Largo</t>
  </si>
  <si>
    <t>Biguaçu</t>
  </si>
  <si>
    <t>Jandira</t>
  </si>
  <si>
    <t>Contagem</t>
  </si>
  <si>
    <t>Sem-Peixe</t>
  </si>
  <si>
    <t>Sala de Aula, treinamento</t>
  </si>
  <si>
    <t>Pinhais</t>
  </si>
  <si>
    <t>Sala de espera, convivência</t>
  </si>
  <si>
    <t>Ipira</t>
  </si>
  <si>
    <t>Sala de reuniões, conferência, multiuso</t>
  </si>
  <si>
    <t>Rio Piracicaba</t>
  </si>
  <si>
    <t>Vestiário</t>
  </si>
  <si>
    <t>Treviso</t>
  </si>
  <si>
    <t>Machadinho</t>
  </si>
  <si>
    <t>São José</t>
  </si>
  <si>
    <t>João Monlevade</t>
  </si>
  <si>
    <t>Alvinópolis</t>
  </si>
  <si>
    <t>Dom Silvério</t>
  </si>
  <si>
    <t>Cachoeiras de Macacu</t>
  </si>
  <si>
    <t>São José dos Ausentes</t>
  </si>
  <si>
    <t>Mandirituba</t>
  </si>
  <si>
    <t>Rio Paranaíba</t>
  </si>
  <si>
    <t>Marquinho</t>
  </si>
  <si>
    <t>São José dos Pinhais</t>
  </si>
  <si>
    <t>Piratuba</t>
  </si>
  <si>
    <t>Santa Cruz do Escalvado</t>
  </si>
  <si>
    <t>Rio Doce</t>
  </si>
  <si>
    <t>Quatro Barras</t>
  </si>
  <si>
    <t>Fazenda Rio Grande</t>
  </si>
  <si>
    <t>Matos Costa</t>
  </si>
  <si>
    <t>Araucária</t>
  </si>
  <si>
    <t>Juiz de Fora</t>
  </si>
  <si>
    <t>São Joaquim</t>
  </si>
  <si>
    <t>Tijucas do Sul</t>
  </si>
  <si>
    <t>Palmital</t>
  </si>
  <si>
    <t>Quitandinha</t>
  </si>
  <si>
    <t>Siderópolis</t>
  </si>
  <si>
    <t>Guapimirim</t>
  </si>
  <si>
    <t>Lapa</t>
  </si>
  <si>
    <t>Piedade de Ponte Nova</t>
  </si>
  <si>
    <t>Embu</t>
  </si>
  <si>
    <t>Nova Resende</t>
  </si>
  <si>
    <t>Diamantina</t>
  </si>
  <si>
    <t>Rio Casca</t>
  </si>
  <si>
    <t>Timbé do Sul</t>
  </si>
  <si>
    <t>Urucânia</t>
  </si>
  <si>
    <t>Barra Longa</t>
  </si>
  <si>
    <t>Matias Barbosa</t>
  </si>
  <si>
    <t>Curiúva</t>
  </si>
  <si>
    <t>Morro Grande</t>
  </si>
  <si>
    <t>Ponte Nova</t>
  </si>
  <si>
    <t>Bom Jardim</t>
  </si>
  <si>
    <t>Campo Magro</t>
  </si>
  <si>
    <t>Corupá</t>
  </si>
  <si>
    <t>Mário Campos</t>
  </si>
  <si>
    <t>Sarzedo</t>
  </si>
  <si>
    <t>Oratórios</t>
  </si>
  <si>
    <t>Nova Friburgo</t>
  </si>
  <si>
    <t>Nova Lima</t>
  </si>
  <si>
    <t>Guarulhos</t>
  </si>
  <si>
    <t>Rio dos Cedros</t>
  </si>
  <si>
    <t>Almirante Tamandaré</t>
  </si>
  <si>
    <t>Jequeri</t>
  </si>
  <si>
    <t>Ouro Branco</t>
  </si>
  <si>
    <t>Magé</t>
  </si>
  <si>
    <t>Simão Pereira</t>
  </si>
  <si>
    <t>Moeda</t>
  </si>
  <si>
    <t>Santo Antônio do Grama</t>
  </si>
  <si>
    <t>Belmiro Braga</t>
  </si>
  <si>
    <t>Amparo do Serra</t>
  </si>
  <si>
    <t>Couto de Magalhães de Minas</t>
  </si>
  <si>
    <t>Carapicuíba</t>
  </si>
  <si>
    <t>Agudos do Sul</t>
  </si>
  <si>
    <t>Pinhalão</t>
  </si>
  <si>
    <t>Olaria</t>
  </si>
  <si>
    <t>Jaboti</t>
  </si>
  <si>
    <t>Sapopema</t>
  </si>
  <si>
    <t>Pedro Teixeira</t>
  </si>
  <si>
    <t>Guaraciaba</t>
  </si>
  <si>
    <t>Figueira</t>
  </si>
  <si>
    <t>Datas</t>
  </si>
  <si>
    <t>Bonfim</t>
  </si>
  <si>
    <t>Catas Altas da Noruega</t>
  </si>
  <si>
    <t>Abre Campo</t>
  </si>
  <si>
    <t>Congonhas</t>
  </si>
  <si>
    <t>Pedra do Anta</t>
  </si>
  <si>
    <t>Belo Vale</t>
  </si>
  <si>
    <t>Nova Tebas</t>
  </si>
  <si>
    <t>Rio Acima</t>
  </si>
  <si>
    <t>Abaíra</t>
  </si>
  <si>
    <t>Piatã</t>
  </si>
  <si>
    <t>Conceição do Castelo</t>
  </si>
  <si>
    <t>Acaiaca</t>
  </si>
  <si>
    <t>Aiuruoca</t>
  </si>
  <si>
    <t>Alagoa</t>
  </si>
  <si>
    <t>Alfenas</t>
  </si>
  <si>
    <t>Alfredo Vasconcelos</t>
  </si>
  <si>
    <t>Alpinópolis</t>
  </si>
  <si>
    <t>Alterosa</t>
  </si>
  <si>
    <t>Alto Rio Doce</t>
  </si>
  <si>
    <t>Andrelândia</t>
  </si>
  <si>
    <t>Antônio Carlos</t>
  </si>
  <si>
    <t>Aracitaba</t>
  </si>
  <si>
    <t>Arantina</t>
  </si>
  <si>
    <t>Areado</t>
  </si>
  <si>
    <t>Bandeira do Sul</t>
  </si>
  <si>
    <t>Barbacena</t>
  </si>
  <si>
    <t>Barroso</t>
  </si>
  <si>
    <t>Bias Fortes</t>
  </si>
  <si>
    <t>Boa Esperança</t>
  </si>
  <si>
    <t>Bocaina de Minas</t>
  </si>
  <si>
    <t>Bom Jardim de Minas</t>
  </si>
  <si>
    <t>Bom Jesus da Penha</t>
  </si>
  <si>
    <t>Bom Sucesso</t>
  </si>
  <si>
    <t>Botelhos</t>
  </si>
  <si>
    <t>Brás Pires</t>
  </si>
  <si>
    <t>Brumadinho</t>
  </si>
  <si>
    <t>Cambuí</t>
  </si>
  <si>
    <t>Campo do Meio</t>
  </si>
  <si>
    <t>Campos Gerais</t>
  </si>
  <si>
    <t>Capela Nova</t>
  </si>
  <si>
    <t>Capelinha</t>
  </si>
  <si>
    <t>Caputira</t>
  </si>
  <si>
    <t>Caranaíba</t>
  </si>
  <si>
    <t>Carandaí</t>
  </si>
  <si>
    <t>Carmo da Cachoeira</t>
  </si>
  <si>
    <t>Carmo do Rio Claro</t>
  </si>
  <si>
    <t>Carmópolis de Minas</t>
  </si>
  <si>
    <t>Carrancas</t>
  </si>
  <si>
    <t>Carvalhos</t>
  </si>
  <si>
    <t>Casa Grande</t>
  </si>
  <si>
    <t>Catas Altas</t>
  </si>
  <si>
    <t>Chiador</t>
  </si>
  <si>
    <t>Cipotânea</t>
  </si>
  <si>
    <t>Conceição da Aparecida</t>
  </si>
  <si>
    <t>Conceição da Barra de Minas</t>
  </si>
  <si>
    <t>Conselheiro Lafaiete</t>
  </si>
  <si>
    <t>Consolação</t>
  </si>
  <si>
    <t>Coqueiral</t>
  </si>
  <si>
    <t>Coronel Xavier Chaves</t>
  </si>
  <si>
    <t>Córrego do Bom Jesus</t>
  </si>
  <si>
    <t>Cristiano Otoni</t>
  </si>
  <si>
    <t>Crucilândia</t>
  </si>
  <si>
    <t>Desterro de Entre Rios</t>
  </si>
  <si>
    <t>Desterro do Melo</t>
  </si>
  <si>
    <t>Diogo de Vasconcelos</t>
  </si>
  <si>
    <t>Divisa Nova</t>
  </si>
  <si>
    <t>Dores de Campos</t>
  </si>
  <si>
    <t>Entre Rios de Minas</t>
  </si>
  <si>
    <t>Ewbank da Câmara</t>
  </si>
  <si>
    <t>Fama</t>
  </si>
  <si>
    <t>Felício dos Santos</t>
  </si>
  <si>
    <t>Gonçalves</t>
  </si>
  <si>
    <t>Gouvêa</t>
  </si>
  <si>
    <t>Ibertioga</t>
  </si>
  <si>
    <t>Ijaci</t>
  </si>
  <si>
    <t>Ilicínea</t>
  </si>
  <si>
    <t>Itaguara</t>
  </si>
  <si>
    <t>Itamonte</t>
  </si>
  <si>
    <t>Itaverava</t>
  </si>
  <si>
    <t>Itutinga</t>
  </si>
  <si>
    <t>Jeceaba</t>
  </si>
  <si>
    <t>Lagoa Dourada</t>
  </si>
  <si>
    <t>Lamim</t>
  </si>
  <si>
    <t>Liberdade</t>
  </si>
  <si>
    <t>Lima Duarte</t>
  </si>
  <si>
    <t>Mar de Espanha</t>
  </si>
  <si>
    <t>Maria da Fé</t>
  </si>
  <si>
    <t>Mariana</t>
  </si>
  <si>
    <t>Matipó</t>
  </si>
  <si>
    <t>Medeiros</t>
  </si>
  <si>
    <t>Mercês</t>
  </si>
  <si>
    <t>Minduri</t>
  </si>
  <si>
    <t>Nazareno</t>
  </si>
  <si>
    <t>Oliveira Fortes</t>
  </si>
  <si>
    <t>Oliveira</t>
  </si>
  <si>
    <t>Ouro Preto</t>
  </si>
  <si>
    <t>Paiva</t>
  </si>
  <si>
    <t>Paraisópolis</t>
  </si>
  <si>
    <t>Passa Quatro</t>
  </si>
  <si>
    <t>Pequeri</t>
  </si>
  <si>
    <t>Piedade do Rio Grande</t>
  </si>
  <si>
    <t>Piedade dos Gerais</t>
  </si>
  <si>
    <t>Piracema</t>
  </si>
  <si>
    <t>Piranga</t>
  </si>
  <si>
    <t>Porto Firme</t>
  </si>
  <si>
    <t>Prados</t>
  </si>
  <si>
    <t>Pratinha</t>
  </si>
  <si>
    <t>Presidente Bernardes</t>
  </si>
  <si>
    <t>Presidente Kubitschek</t>
  </si>
  <si>
    <t>Presidente Olegário</t>
  </si>
  <si>
    <t>Queluzita</t>
  </si>
  <si>
    <t>Resende Costa</t>
  </si>
  <si>
    <t>Ressaquinha</t>
  </si>
  <si>
    <t>Rio Espera</t>
  </si>
  <si>
    <t>Rio Manso</t>
  </si>
  <si>
    <t>Ritápolis</t>
  </si>
  <si>
    <t>Santa Bárbara do Monte Verde</t>
  </si>
  <si>
    <t>Santa Bárbara do Tugúrio</t>
  </si>
  <si>
    <t>Santa Bárbara</t>
  </si>
  <si>
    <t>Santa Cruz de Minas</t>
  </si>
  <si>
    <t>Santa Margarida</t>
  </si>
  <si>
    <t>Santa Rita do Ibitipoca</t>
  </si>
  <si>
    <t>Santa Rita de Jacutinga</t>
  </si>
  <si>
    <t>Santana da Vargem</t>
  </si>
  <si>
    <t>Santana do Deserto</t>
  </si>
  <si>
    <t>Santana do Garambéu</t>
  </si>
  <si>
    <t>Santana dos Montes</t>
  </si>
  <si>
    <t>Santo Antônio do Itambé</t>
  </si>
  <si>
    <t>Santos Dumont</t>
  </si>
  <si>
    <t>São Brás do Suaçuí</t>
  </si>
  <si>
    <t>São Francisco de Paula</t>
  </si>
  <si>
    <t>São Gonçalo do Rio Preto</t>
  </si>
  <si>
    <t>São João del Rei</t>
  </si>
  <si>
    <t>São Pedro da União</t>
  </si>
  <si>
    <t>São Roque de Minas</t>
  </si>
  <si>
    <t>São Tiago</t>
  </si>
  <si>
    <t>São Vicente de Minas</t>
  </si>
  <si>
    <t>Sapucaí-Mirim</t>
  </si>
  <si>
    <t>Senador Firmino</t>
  </si>
  <si>
    <t>Senador Modestino Gonçalves</t>
  </si>
  <si>
    <t>Senhora de Oliveira</t>
  </si>
  <si>
    <t>Senhora dos Remédios</t>
  </si>
  <si>
    <t>Seritinga</t>
  </si>
  <si>
    <t>Serra Azul de Minas</t>
  </si>
  <si>
    <t>Serranos</t>
  </si>
  <si>
    <t>Serro</t>
  </si>
  <si>
    <t>Teixeiras</t>
  </si>
  <si>
    <t>Três Pontas</t>
  </si>
  <si>
    <t>Varginha</t>
  </si>
  <si>
    <t>Viçosa</t>
  </si>
  <si>
    <t>Castro</t>
  </si>
  <si>
    <t>Curitiba</t>
  </si>
  <si>
    <t>Ibaiti</t>
  </si>
  <si>
    <t>Japira</t>
  </si>
  <si>
    <t>Piên</t>
  </si>
  <si>
    <t>Piraí do Sul</t>
  </si>
  <si>
    <t>Areal</t>
  </si>
  <si>
    <t>Comendador Levy Gasparian</t>
  </si>
  <si>
    <t>Paraíba do Sul</t>
  </si>
  <si>
    <t>São José do Vale do Rio Preto</t>
  </si>
  <si>
    <t>Sapucaia</t>
  </si>
  <si>
    <t>Teresópolis</t>
  </si>
  <si>
    <t>Três Rios</t>
  </si>
  <si>
    <t>Campo Alegre</t>
  </si>
  <si>
    <t>Itapoá</t>
  </si>
  <si>
    <t>São Bento do Sul</t>
  </si>
  <si>
    <t>Avaré</t>
  </si>
  <si>
    <t>Barueri</t>
  </si>
  <si>
    <t>Caieiras</t>
  </si>
  <si>
    <t>Campos do Jordão</t>
  </si>
  <si>
    <t>Embu-Guaçu</t>
  </si>
  <si>
    <t>Franco da Rocha</t>
  </si>
  <si>
    <t>Itapecerica da Serra</t>
  </si>
  <si>
    <t>Itapeva</t>
  </si>
  <si>
    <t>Nova Campina</t>
  </si>
  <si>
    <t>Santo Antônio do Pinhal</t>
  </si>
  <si>
    <t>São Bento do Sapucaí</t>
  </si>
  <si>
    <t>São Carlos</t>
  </si>
  <si>
    <t>São Luís do Paraitinga</t>
  </si>
  <si>
    <t>Bom Retiro do Sul</t>
  </si>
  <si>
    <t>Mariano Moro</t>
  </si>
  <si>
    <t>Turvo</t>
  </si>
  <si>
    <t>Aratiba</t>
  </si>
  <si>
    <t>Arabutã</t>
  </si>
  <si>
    <t>Campina da Lagoa</t>
  </si>
  <si>
    <t>Honório Serpa</t>
  </si>
  <si>
    <t>Santa Tereza do Oeste</t>
  </si>
  <si>
    <t>Altamira do Paraná</t>
  </si>
  <si>
    <t>Boa Ventura de São Roque</t>
  </si>
  <si>
    <t>Coronel Domingos Soares</t>
  </si>
  <si>
    <t>Braganey</t>
  </si>
  <si>
    <t>Campina do Simão</t>
  </si>
  <si>
    <t>Campo Bonito</t>
  </si>
  <si>
    <t>Pitanga</t>
  </si>
  <si>
    <t>Mato Rico</t>
  </si>
  <si>
    <t>Juranda</t>
  </si>
  <si>
    <t>Ponta Grossa</t>
  </si>
  <si>
    <t>Lindoeste</t>
  </si>
  <si>
    <t>Iguatu</t>
  </si>
  <si>
    <t>Guaraniaçu</t>
  </si>
  <si>
    <t>Passos Maia</t>
  </si>
  <si>
    <t>Nova Cantu</t>
  </si>
  <si>
    <t>Mamborê</t>
  </si>
  <si>
    <t>Mangueirinha</t>
  </si>
  <si>
    <t>São João do Triunfo</t>
  </si>
  <si>
    <t>Vargem Bonita</t>
  </si>
  <si>
    <t>Arapuã</t>
  </si>
  <si>
    <t>Lindóia do Sul</t>
  </si>
  <si>
    <t>Manoel Ribas</t>
  </si>
  <si>
    <t>Ariranha do Ivaí</t>
  </si>
  <si>
    <t>Marmeleiro</t>
  </si>
  <si>
    <t>Goioxim</t>
  </si>
  <si>
    <t>Diamante do Sul</t>
  </si>
  <si>
    <t>Luiziana</t>
  </si>
  <si>
    <t>Chopinzinho</t>
  </si>
  <si>
    <t>Rio Bonito do Iguaçu</t>
  </si>
  <si>
    <t>Porto Amazonas</t>
  </si>
  <si>
    <t>Roncador</t>
  </si>
  <si>
    <t>São João</t>
  </si>
  <si>
    <t>Saudade do Iguaçu</t>
  </si>
  <si>
    <t>Renascença</t>
  </si>
  <si>
    <t>Laranjeiras do Sul</t>
  </si>
  <si>
    <t>Irani</t>
  </si>
  <si>
    <t>Porto Barreiro</t>
  </si>
  <si>
    <t>Sulina</t>
  </si>
  <si>
    <t>Laranjal</t>
  </si>
  <si>
    <t>Coronel Vivida</t>
  </si>
  <si>
    <t>Nova Laranjeiras</t>
  </si>
  <si>
    <t>Virmond</t>
  </si>
  <si>
    <t>Concórdia</t>
  </si>
  <si>
    <t>Itapejara d'Oeste</t>
  </si>
  <si>
    <t>Foz do Jordão</t>
  </si>
  <si>
    <t>São Jorge d'Oeste</t>
  </si>
  <si>
    <t>Palmeira</t>
  </si>
  <si>
    <t>Francisco Beltrão</t>
  </si>
  <si>
    <t>São Pedro do Iguaçu</t>
  </si>
  <si>
    <t>Candói</t>
  </si>
  <si>
    <t>Cantagalo</t>
  </si>
  <si>
    <t>Reserva do Iguaçu</t>
  </si>
  <si>
    <t>Verê</t>
  </si>
  <si>
    <t>Jardim Alegre</t>
  </si>
  <si>
    <t>Porto Vitória</t>
  </si>
  <si>
    <t>Bom Sucesso do Sul</t>
  </si>
  <si>
    <t>Campo Mourão</t>
  </si>
  <si>
    <t>Cianorte</t>
  </si>
  <si>
    <t>Pato Branco</t>
  </si>
  <si>
    <t>Poá</t>
  </si>
  <si>
    <t>Suzano</t>
  </si>
  <si>
    <t>Fernandes Pinheiro</t>
  </si>
  <si>
    <t>Bituruna</t>
  </si>
  <si>
    <t>Imbituva</t>
  </si>
  <si>
    <t>Rio Branco do Ivaí</t>
  </si>
  <si>
    <t>Vera Cruz do Oeste</t>
  </si>
  <si>
    <t>Ferraz de Vasconcelos</t>
  </si>
  <si>
    <t>Ventania</t>
  </si>
  <si>
    <t>Moji das Cruzes</t>
  </si>
  <si>
    <t>Biritiba-Mirim</t>
  </si>
  <si>
    <t>Teixeira Soares</t>
  </si>
  <si>
    <t>Céu Azul</t>
  </si>
  <si>
    <t>Ponte Serrada</t>
  </si>
  <si>
    <t>Tibagi</t>
  </si>
  <si>
    <t>Jussiape</t>
  </si>
  <si>
    <t>Barra da Estiva</t>
  </si>
  <si>
    <t>Itaquaquecetuba</t>
  </si>
  <si>
    <t>União da Vitória</t>
  </si>
  <si>
    <t>Pinhão</t>
  </si>
  <si>
    <t>Itatiaia</t>
  </si>
  <si>
    <t>Arapongas</t>
  </si>
  <si>
    <t>Ipiranga</t>
  </si>
  <si>
    <t>Guararema</t>
  </si>
  <si>
    <t>Grão Mogol</t>
  </si>
  <si>
    <t>Piraquara</t>
  </si>
  <si>
    <t>Jacareí</t>
  </si>
  <si>
    <t>Monte Santo de Minas</t>
  </si>
  <si>
    <t>Itumirim</t>
  </si>
  <si>
    <t>Monte Carmelo</t>
  </si>
  <si>
    <t>Arapoti</t>
  </si>
  <si>
    <t>Itabirito</t>
  </si>
  <si>
    <t>Guanhães</t>
  </si>
  <si>
    <t>Imbaú</t>
  </si>
  <si>
    <t>São Miguel Arcanjo</t>
  </si>
  <si>
    <t>Jaguariaíva</t>
  </si>
  <si>
    <t>Santa Branca</t>
  </si>
  <si>
    <t>Petrópolis</t>
  </si>
  <si>
    <t>Ibituruna</t>
  </si>
  <si>
    <t>Camanducaia</t>
  </si>
  <si>
    <t>Madre de Deus de Minas</t>
  </si>
  <si>
    <t>Carambeí</t>
  </si>
  <si>
    <t>Reserva</t>
  </si>
  <si>
    <t>Tiradentes</t>
  </si>
  <si>
    <t>Perdizes</t>
  </si>
  <si>
    <t>Guaxupé</t>
  </si>
  <si>
    <t>São José dos Campos</t>
  </si>
  <si>
    <t>Salesópolis</t>
  </si>
  <si>
    <t>Telêmaco Borba</t>
  </si>
  <si>
    <t>Ouro Fino</t>
  </si>
  <si>
    <t>Sabáudia</t>
  </si>
  <si>
    <t>Doutor Ulysses</t>
  </si>
  <si>
    <t>Ingaí</t>
  </si>
  <si>
    <t>Itararé</t>
  </si>
  <si>
    <t>Cotia</t>
  </si>
  <si>
    <t>Luminárias</t>
  </si>
  <si>
    <t>Tomazina</t>
  </si>
  <si>
    <t>Bofete</t>
  </si>
  <si>
    <t>Itapevi</t>
  </si>
  <si>
    <t>Sengés</t>
  </si>
  <si>
    <t>Piranguçu</t>
  </si>
  <si>
    <t>Areias</t>
  </si>
  <si>
    <t>Arujá</t>
  </si>
  <si>
    <t>Inconfidentes</t>
  </si>
  <si>
    <t>Santa Isabel</t>
  </si>
  <si>
    <t>Torre de Pedra</t>
  </si>
  <si>
    <t>Porangaba</t>
  </si>
  <si>
    <t>Natividade da Serra</t>
  </si>
  <si>
    <t>Wenceslau Braz</t>
  </si>
  <si>
    <t>Cambuquira</t>
  </si>
  <si>
    <t>Lagoinha</t>
  </si>
  <si>
    <t>Sabinópolis</t>
  </si>
  <si>
    <t>Jacuí</t>
  </si>
  <si>
    <t>São João do Manhuaçu</t>
  </si>
  <si>
    <t>Guaranésia</t>
  </si>
  <si>
    <t>Cunha</t>
  </si>
  <si>
    <t>Senador Amaral</t>
  </si>
  <si>
    <t>Itatiaiuçu</t>
  </si>
  <si>
    <t>Juruaia</t>
  </si>
  <si>
    <t>Itajubá</t>
  </si>
  <si>
    <t>Materlândia</t>
  </si>
  <si>
    <t>Luisburgo</t>
  </si>
  <si>
    <t>Rolândia</t>
  </si>
  <si>
    <t>Lavras</t>
  </si>
  <si>
    <t>Bom Repouso</t>
  </si>
  <si>
    <t>Cabo Verde</t>
  </si>
  <si>
    <t>Brasópolis</t>
  </si>
  <si>
    <t>Venda Nova do Imigrante</t>
  </si>
  <si>
    <t>Bueno Brandão</t>
  </si>
  <si>
    <t>Echaporã</t>
  </si>
  <si>
    <t>Jambeiro</t>
  </si>
  <si>
    <t>Paraibuna</t>
  </si>
  <si>
    <t>Cruzília</t>
  </si>
  <si>
    <t>São Bento Abade</t>
  </si>
  <si>
    <t>Araçoiaba da Serra</t>
  </si>
  <si>
    <t>Reduto</t>
  </si>
  <si>
    <t>São Tomé das Letras</t>
  </si>
  <si>
    <t>Alvorada de Minas</t>
  </si>
  <si>
    <t>Delfim Moreira</t>
  </si>
  <si>
    <t>Tocos do Moji</t>
  </si>
  <si>
    <t>Martins Soares</t>
  </si>
  <si>
    <t>Redenção da Serra</t>
  </si>
  <si>
    <t>São José da Boa Vista</t>
  </si>
  <si>
    <t>Igaratá</t>
  </si>
  <si>
    <t>Bom Sucesso de Itararé</t>
  </si>
  <si>
    <t>Iraí de Minas</t>
  </si>
  <si>
    <t>Manhuaçu</t>
  </si>
  <si>
    <t>Carmo da Mata</t>
  </si>
  <si>
    <t>Caçapava</t>
  </si>
  <si>
    <t>Estiva</t>
  </si>
  <si>
    <t>Mairiporã</t>
  </si>
  <si>
    <t>Manhumirim</t>
  </si>
  <si>
    <t>Monteiro Lobato</t>
  </si>
  <si>
    <t>Águas da Prata</t>
  </si>
  <si>
    <t>Itabira</t>
  </si>
  <si>
    <t>Piranguinho</t>
  </si>
  <si>
    <t>Salto de Pirapora</t>
  </si>
  <si>
    <t>Votorantim</t>
  </si>
  <si>
    <t>Pereiras</t>
  </si>
  <si>
    <t>Siqueira Campos</t>
  </si>
  <si>
    <t>Borda da Mata</t>
  </si>
  <si>
    <t>Alto Jequitibá</t>
  </si>
  <si>
    <t>Conceição dos Ouros</t>
  </si>
  <si>
    <t>Pilar do Sul</t>
  </si>
  <si>
    <t>Conchas</t>
  </si>
  <si>
    <t>Marmelópolis</t>
  </si>
  <si>
    <t>Tapiratiba</t>
  </si>
  <si>
    <t>Itamogi</t>
  </si>
  <si>
    <t>Alto Caparaó</t>
  </si>
  <si>
    <t>Muzambinho</t>
  </si>
  <si>
    <t>Caconde</t>
  </si>
  <si>
    <t>Quadra</t>
  </si>
  <si>
    <t>Cachoeira de Minas</t>
  </si>
  <si>
    <t>Itanhandu</t>
  </si>
  <si>
    <t>Itapirapuã Paulista</t>
  </si>
  <si>
    <t>Quatiguá</t>
  </si>
  <si>
    <t>Sarapuí</t>
  </si>
  <si>
    <t>Caparaó</t>
  </si>
  <si>
    <t>Taquarivaí</t>
  </si>
  <si>
    <t>Munhoz</t>
  </si>
  <si>
    <t>Baependi</t>
  </si>
  <si>
    <t>São José do Alegre</t>
  </si>
  <si>
    <t>Vargem Grande Paulista</t>
  </si>
  <si>
    <t>Santa Rita do Sapucaí</t>
  </si>
  <si>
    <t>Ribeirão Branco</t>
  </si>
  <si>
    <t>Divinolândia</t>
  </si>
  <si>
    <t>Conceição do Rio Verde</t>
  </si>
  <si>
    <t>Guareí</t>
  </si>
  <si>
    <t>Santana do Itararé</t>
  </si>
  <si>
    <t>Santana de Parnaíba</t>
  </si>
  <si>
    <t>Pouso Alegre</t>
  </si>
  <si>
    <t>Monte Sião</t>
  </si>
  <si>
    <t>Analândia</t>
  </si>
  <si>
    <t>Arandu</t>
  </si>
  <si>
    <t>Guapiara</t>
  </si>
  <si>
    <t>Virgínia</t>
  </si>
  <si>
    <t>Paraguaçu</t>
  </si>
  <si>
    <t>Elói Mendes</t>
  </si>
  <si>
    <t>Congonhal</t>
  </si>
  <si>
    <t>São Sebastião do Rio Verde</t>
  </si>
  <si>
    <t>Senador José Bento</t>
  </si>
  <si>
    <t>Serrania</t>
  </si>
  <si>
    <t>São Sebastião da Bela Vista</t>
  </si>
  <si>
    <t>Caxambu</t>
  </si>
  <si>
    <t>Campanha</t>
  </si>
  <si>
    <t>Dom Viçoso</t>
  </si>
  <si>
    <t>Piedade</t>
  </si>
  <si>
    <t>São Sebastião da Grama</t>
  </si>
  <si>
    <t>Poços de Caldas</t>
  </si>
  <si>
    <t>Porto Feliz</t>
  </si>
  <si>
    <t>Águas de Lindóia</t>
  </si>
  <si>
    <t>Monsenhor Paulo</t>
  </si>
  <si>
    <t>Silvianópolis</t>
  </si>
  <si>
    <t>Carvalhópolis</t>
  </si>
  <si>
    <t>Cordislândia</t>
  </si>
  <si>
    <t>Careaçu</t>
  </si>
  <si>
    <t>Lindóia</t>
  </si>
  <si>
    <t>Itirapina</t>
  </si>
  <si>
    <t>Pouso Alto</t>
  </si>
  <si>
    <t>Espírito Santo do Dourado</t>
  </si>
  <si>
    <t>Três Corações</t>
  </si>
  <si>
    <t>Anhembi</t>
  </si>
  <si>
    <t>Pedralva</t>
  </si>
  <si>
    <t>Poço Fundo</t>
  </si>
  <si>
    <t>Barra do Chapéu</t>
  </si>
  <si>
    <t>Laranjal Paulista</t>
  </si>
  <si>
    <t>Monte Belo</t>
  </si>
  <si>
    <t>Ribeirão Grande</t>
  </si>
  <si>
    <t>Salto do Itararé</t>
  </si>
  <si>
    <t>Buri</t>
  </si>
  <si>
    <t>Turvolândia</t>
  </si>
  <si>
    <t>Ipeúna</t>
  </si>
  <si>
    <t>Ipuiúna</t>
  </si>
  <si>
    <t>Carlópolis</t>
  </si>
  <si>
    <t>Campestre</t>
  </si>
  <si>
    <t>Pratânia</t>
  </si>
  <si>
    <t>São Gonçalo do Sapucaí</t>
  </si>
  <si>
    <t>Cajamar</t>
  </si>
  <si>
    <t>Francisco Morato</t>
  </si>
  <si>
    <t>Cristina</t>
  </si>
  <si>
    <t>Natércia</t>
  </si>
  <si>
    <t>São João da Mata</t>
  </si>
  <si>
    <t>Carmo de Minas</t>
  </si>
  <si>
    <t>Jacutinga</t>
  </si>
  <si>
    <t>Conceição das Pedras</t>
  </si>
  <si>
    <t>Barão de Antonina</t>
  </si>
  <si>
    <t>Soledade de Minas</t>
  </si>
  <si>
    <t>Heliodora</t>
  </si>
  <si>
    <t>Borebi</t>
  </si>
  <si>
    <t>Andradas</t>
  </si>
  <si>
    <t>São Lourenço</t>
  </si>
  <si>
    <t>Socorro</t>
  </si>
  <si>
    <t>Toledo</t>
  </si>
  <si>
    <t>Areiópolis</t>
  </si>
  <si>
    <t>Joanópolis</t>
  </si>
  <si>
    <t>Angatuba</t>
  </si>
  <si>
    <t>Vinhedo</t>
  </si>
  <si>
    <t>Jesuânia</t>
  </si>
  <si>
    <t>Olímpio Noronha</t>
  </si>
  <si>
    <t>Patrocínio</t>
  </si>
  <si>
    <t>Itu</t>
  </si>
  <si>
    <t>Salto</t>
  </si>
  <si>
    <t>Pirapora do Bom Jesus</t>
  </si>
  <si>
    <t>Itatinga</t>
  </si>
  <si>
    <t>Alumínio</t>
  </si>
  <si>
    <t>Ibitiúra de Minas</t>
  </si>
  <si>
    <t>Capão Bonito</t>
  </si>
  <si>
    <t>Campina do Monte Alegre</t>
  </si>
  <si>
    <t>Itupeva</t>
  </si>
  <si>
    <t>Albertina</t>
  </si>
  <si>
    <t>Cerqueira César</t>
  </si>
  <si>
    <t>Lambari</t>
  </si>
  <si>
    <t>Santa Cruz das Palmeiras</t>
  </si>
  <si>
    <t>Santo Antônio da Alegria</t>
  </si>
  <si>
    <t>Iaras</t>
  </si>
  <si>
    <t>Itaí</t>
  </si>
  <si>
    <t>Indaiatuba</t>
  </si>
  <si>
    <t>Serra Negra</t>
  </si>
  <si>
    <t>Monte Alegre do Sul</t>
  </si>
  <si>
    <t>Extrema</t>
  </si>
  <si>
    <t>Jarinu</t>
  </si>
  <si>
    <t>Santa Rita de Caldas</t>
  </si>
  <si>
    <t>Charqueada</t>
  </si>
  <si>
    <t>Torrinha</t>
  </si>
  <si>
    <t>Louveira</t>
  </si>
  <si>
    <t>Pedreira</t>
  </si>
  <si>
    <t>Cabreúva</t>
  </si>
  <si>
    <t>Pedra Bela</t>
  </si>
  <si>
    <t>Várzea Paulista</t>
  </si>
  <si>
    <t>Bom Jesus dos Perdões</t>
  </si>
  <si>
    <t>Claraval</t>
  </si>
  <si>
    <t>Araçariguama</t>
  </si>
  <si>
    <t>Campo Limpo Paulista</t>
  </si>
  <si>
    <t>Pinhalzinho</t>
  </si>
  <si>
    <t>Piracaia</t>
  </si>
  <si>
    <t>Morungaba</t>
  </si>
  <si>
    <t>Fartura</t>
  </si>
  <si>
    <t>Espírito Santo do Pinhal</t>
  </si>
  <si>
    <t>Arceburgo</t>
  </si>
  <si>
    <t>Bragança Paulista</t>
  </si>
  <si>
    <t>São Manuel</t>
  </si>
  <si>
    <t>Santa Maria da Serra</t>
  </si>
  <si>
    <t>Jundiaí</t>
  </si>
  <si>
    <t>Mairinque</t>
  </si>
  <si>
    <t>Timburi</t>
  </si>
  <si>
    <t>São Roque</t>
  </si>
  <si>
    <t>Tuiuti</t>
  </si>
  <si>
    <t>Itatiba</t>
  </si>
  <si>
    <t>Garça</t>
  </si>
  <si>
    <t>Atibaia</t>
  </si>
  <si>
    <t>Tejupá</t>
  </si>
  <si>
    <t>Águas de São Pedro</t>
  </si>
  <si>
    <t>Sarutaiá</t>
  </si>
  <si>
    <t>Pardinho</t>
  </si>
  <si>
    <t>Santo Antônio do Jardim</t>
  </si>
  <si>
    <t>Caldas</t>
  </si>
  <si>
    <t>Cássia dos Coqueiros</t>
  </si>
  <si>
    <t>Amparo</t>
  </si>
  <si>
    <t>Vargem</t>
  </si>
  <si>
    <t>Piraju</t>
  </si>
  <si>
    <t>São Pedro</t>
  </si>
  <si>
    <t>Cajuru</t>
  </si>
  <si>
    <t>Cristais Paulista</t>
  </si>
  <si>
    <t>Laguna</t>
  </si>
  <si>
    <t>São José do Norte</t>
  </si>
  <si>
    <t>Rio Grande</t>
  </si>
  <si>
    <t>São Bernardino</t>
  </si>
  <si>
    <t>Imaruí</t>
  </si>
  <si>
    <t>Jupiá</t>
  </si>
  <si>
    <t>Santo Antônio da Patrulha</t>
  </si>
  <si>
    <t>Galvão</t>
  </si>
  <si>
    <t>Caraã</t>
  </si>
  <si>
    <t>Rio Fortuna</t>
  </si>
  <si>
    <t>Santa Rosa de Lima</t>
  </si>
  <si>
    <t>Coronel Martins</t>
  </si>
  <si>
    <t>Anitápolis</t>
  </si>
  <si>
    <t>Saltinho</t>
  </si>
  <si>
    <t>Riozinho</t>
  </si>
  <si>
    <t>São Martinho</t>
  </si>
  <si>
    <t>Irati</t>
  </si>
  <si>
    <t>Jaquirana</t>
  </si>
  <si>
    <t>Tapes</t>
  </si>
  <si>
    <t>Monte Carlo</t>
  </si>
  <si>
    <t>Sentinela do Sul</t>
  </si>
  <si>
    <t>Arroio dos Ratos</t>
  </si>
  <si>
    <t>Novo Horizonte</t>
  </si>
  <si>
    <t>Pelotas</t>
  </si>
  <si>
    <t>São Bonifácio</t>
  </si>
  <si>
    <t>Grão Pará</t>
  </si>
  <si>
    <t>Formosa do Sul</t>
  </si>
  <si>
    <t>Santiago do Sul</t>
  </si>
  <si>
    <t>São Lourenço do Oeste</t>
  </si>
  <si>
    <t>Capivari de Baixo</t>
  </si>
  <si>
    <t>Jardinópolis</t>
  </si>
  <si>
    <t>Palmares do Sul</t>
  </si>
  <si>
    <t>Capivari do Sul</t>
  </si>
  <si>
    <t>Mariana Pimentel</t>
  </si>
  <si>
    <t>Correia Pinto</t>
  </si>
  <si>
    <t>União do Oeste</t>
  </si>
  <si>
    <t>Vitor Meireles</t>
  </si>
  <si>
    <t>Eldorado do Sul</t>
  </si>
  <si>
    <t>São José do Cerrito</t>
  </si>
  <si>
    <t>Alfredo Wagner</t>
  </si>
  <si>
    <t>Glorinha</t>
  </si>
  <si>
    <t>Sertão Santana</t>
  </si>
  <si>
    <t>Turuçu</t>
  </si>
  <si>
    <t>Sul Brasil</t>
  </si>
  <si>
    <t>Quilombo</t>
  </si>
  <si>
    <t>Rolante</t>
  </si>
  <si>
    <t>Flor da Serra do Sul</t>
  </si>
  <si>
    <t>Barão do Triunfo</t>
  </si>
  <si>
    <t>Butiá</t>
  </si>
  <si>
    <t>Capão do Leão</t>
  </si>
  <si>
    <t>Muitos Capões</t>
  </si>
  <si>
    <t>São Lourenço do Sul</t>
  </si>
  <si>
    <t>Bom Jesus do Oeste</t>
  </si>
  <si>
    <t>Terra de Areia</t>
  </si>
  <si>
    <t>Mirim Doce</t>
  </si>
  <si>
    <t>Taió</t>
  </si>
  <si>
    <t>Brunópolis</t>
  </si>
  <si>
    <t>Painel</t>
  </si>
  <si>
    <t>Osório</t>
  </si>
  <si>
    <t>Igrejinha</t>
  </si>
  <si>
    <t>Três Forquilhas</t>
  </si>
  <si>
    <t>Taquara</t>
  </si>
  <si>
    <t>Lages</t>
  </si>
  <si>
    <t>Maquiné</t>
  </si>
  <si>
    <t>Bom Retiro</t>
  </si>
  <si>
    <t>Serra Alta</t>
  </si>
  <si>
    <t>Witmarsum</t>
  </si>
  <si>
    <t>Modelo</t>
  </si>
  <si>
    <t>Ponte Alta</t>
  </si>
  <si>
    <t>Itati</t>
  </si>
  <si>
    <t>Gravatal</t>
  </si>
  <si>
    <t>Otacílio Costa</t>
  </si>
  <si>
    <t>Campestre da Serra</t>
  </si>
  <si>
    <t>Capela de Santana</t>
  </si>
  <si>
    <t>Rio Rufino</t>
  </si>
  <si>
    <t>Parobé</t>
  </si>
  <si>
    <t>Águas Frias</t>
  </si>
  <si>
    <t>Barra do Ribeiro</t>
  </si>
  <si>
    <t>Guabiruba</t>
  </si>
  <si>
    <t>Capão da Canoa</t>
  </si>
  <si>
    <t>Xangri-lá</t>
  </si>
  <si>
    <t>Rancho Queimado</t>
  </si>
  <si>
    <t>Três Coroas</t>
  </si>
  <si>
    <t>Bom Princípio</t>
  </si>
  <si>
    <t>Nova Erechim</t>
  </si>
  <si>
    <t>Antônio Prado</t>
  </si>
  <si>
    <t>Ipê</t>
  </si>
  <si>
    <t>Urupema</t>
  </si>
  <si>
    <t>Entre Rios</t>
  </si>
  <si>
    <t>Tigrinhos</t>
  </si>
  <si>
    <t>Tubarão</t>
  </si>
  <si>
    <t>André da Rocha</t>
  </si>
  <si>
    <t>Arambaré</t>
  </si>
  <si>
    <t>Nova Hartz</t>
  </si>
  <si>
    <t>Nova Itaberaba</t>
  </si>
  <si>
    <t>Arroio do Padre</t>
  </si>
  <si>
    <t>São Marcos</t>
  </si>
  <si>
    <t>Marema</t>
  </si>
  <si>
    <t>Coronel Freitas</t>
  </si>
  <si>
    <t>São Vendelino</t>
  </si>
  <si>
    <t>Morro Redondo</t>
  </si>
  <si>
    <t>Guabiju</t>
  </si>
  <si>
    <t>Protásio Alves</t>
  </si>
  <si>
    <t>Portão</t>
  </si>
  <si>
    <t>Feliz</t>
  </si>
  <si>
    <t>Lagoa dos Três Cantos</t>
  </si>
  <si>
    <t>Viamão</t>
  </si>
  <si>
    <t>Santa Terezinha do Progresso</t>
  </si>
  <si>
    <t>Nova Prata</t>
  </si>
  <si>
    <t>Angelina</t>
  </si>
  <si>
    <t>Lajeado Grande</t>
  </si>
  <si>
    <t>Santa Vitória do Palmar</t>
  </si>
  <si>
    <t>Bocaina do Sul</t>
  </si>
  <si>
    <t>Nova Santa Rita</t>
  </si>
  <si>
    <t>Cambará do Sul</t>
  </si>
  <si>
    <t>Dona Emma</t>
  </si>
  <si>
    <t>Araricá</t>
  </si>
  <si>
    <t>Alvorada</t>
  </si>
  <si>
    <t>Leoberto Leal</t>
  </si>
  <si>
    <t>Capão Bonito do Sul</t>
  </si>
  <si>
    <t>Victor Graeff</t>
  </si>
  <si>
    <t>São Francisco do Sul</t>
  </si>
  <si>
    <t>São Jorge</t>
  </si>
  <si>
    <t>Pouso Redondo</t>
  </si>
  <si>
    <t>São José do Hortêncio</t>
  </si>
  <si>
    <t>São Leopoldo</t>
  </si>
  <si>
    <t>Brusque</t>
  </si>
  <si>
    <t>Major Gercino</t>
  </si>
  <si>
    <t>Esteio</t>
  </si>
  <si>
    <t>Sapucaia do Sul</t>
  </si>
  <si>
    <t>Gravataí</t>
  </si>
  <si>
    <t>Águas Mornas</t>
  </si>
  <si>
    <t>Cordilheira Alta</t>
  </si>
  <si>
    <t>Espumoso</t>
  </si>
  <si>
    <t>Botuverá</t>
  </si>
  <si>
    <t>Cerro Grande do Sul</t>
  </si>
  <si>
    <t>Lindolfo Collor</t>
  </si>
  <si>
    <t>Tio Hugo</t>
  </si>
  <si>
    <t>Alto Feliz</t>
  </si>
  <si>
    <t>Ivoti</t>
  </si>
  <si>
    <t>Nova Trento</t>
  </si>
  <si>
    <t>Não-Me-Toque</t>
  </si>
  <si>
    <t>Estância Velha</t>
  </si>
  <si>
    <t>Maravilha</t>
  </si>
  <si>
    <t>Vale Real</t>
  </si>
  <si>
    <t>Novo Hamburgo</t>
  </si>
  <si>
    <t>Bom Jesus do Sul</t>
  </si>
  <si>
    <t>Sapiranga</t>
  </si>
  <si>
    <t>Minas do Leão</t>
  </si>
  <si>
    <t>Rio do Oeste</t>
  </si>
  <si>
    <t>Santa Maria do Herval</t>
  </si>
  <si>
    <t>Morro Reuter</t>
  </si>
  <si>
    <t>Nicolau Vergueiro</t>
  </si>
  <si>
    <t>Ernestina</t>
  </si>
  <si>
    <t>Presidente Lucena</t>
  </si>
  <si>
    <t>Anchieta</t>
  </si>
  <si>
    <t>Santo Amaro da Imperatriz</t>
  </si>
  <si>
    <t>Flores da Cunha</t>
  </si>
  <si>
    <t>Dois Irmãos</t>
  </si>
  <si>
    <t>Mormaço</t>
  </si>
  <si>
    <t>Linha Nova</t>
  </si>
  <si>
    <t>Vidal Ramos</t>
  </si>
  <si>
    <t>São Miguel da Boa Vista</t>
  </si>
  <si>
    <t>São Pedro de Alcântara</t>
  </si>
  <si>
    <t>Nova Roma do Sul</t>
  </si>
  <si>
    <t>Xaxim</t>
  </si>
  <si>
    <t>Nova Pádua</t>
  </si>
  <si>
    <t>David Canabarro</t>
  </si>
  <si>
    <t>Ponte Alta do Norte</t>
  </si>
  <si>
    <t>Balneário Pinhal</t>
  </si>
  <si>
    <t>Braço do Trombudo</t>
  </si>
  <si>
    <t>Picada Café</t>
  </si>
  <si>
    <t>Vila Flores</t>
  </si>
  <si>
    <t>Marau</t>
  </si>
  <si>
    <t>Ibirapuitã</t>
  </si>
  <si>
    <t>Cachoeirinha</t>
  </si>
  <si>
    <t>Três Cachoeiras</t>
  </si>
  <si>
    <t>Nova Petrópolis</t>
  </si>
  <si>
    <t>Cerrito</t>
  </si>
  <si>
    <t>Ibiraiaras</t>
  </si>
  <si>
    <t>Imbuia</t>
  </si>
  <si>
    <t>Presidente Getúlio</t>
  </si>
  <si>
    <t>Santo Antônio do Planalto</t>
  </si>
  <si>
    <t>São Cristovão do Sul</t>
  </si>
  <si>
    <t>Tavares</t>
  </si>
  <si>
    <t>Caxias do Sul</t>
  </si>
  <si>
    <t>Cidreira</t>
  </si>
  <si>
    <t>Monte Belo do Sul</t>
  </si>
  <si>
    <t>Pedro Osório</t>
  </si>
  <si>
    <t>Presidente Nereu</t>
  </si>
  <si>
    <t>Muliterno</t>
  </si>
  <si>
    <t>São João Batista</t>
  </si>
  <si>
    <t>Rio do Sul</t>
  </si>
  <si>
    <t>Lontras</t>
  </si>
  <si>
    <t>Mampituba</t>
  </si>
  <si>
    <t>Praia Grande</t>
  </si>
  <si>
    <t>Chapadão do Lageado</t>
  </si>
  <si>
    <t>Morrinhos do Sul</t>
  </si>
  <si>
    <t>Guaíba</t>
  </si>
  <si>
    <t>Jaguaruna</t>
  </si>
  <si>
    <t>Laurentino</t>
  </si>
  <si>
    <t>Caseiros</t>
  </si>
  <si>
    <t>Trombudo Central</t>
  </si>
  <si>
    <t>Arroio do Sal</t>
  </si>
  <si>
    <t>Gramado</t>
  </si>
  <si>
    <t>José Boiteux</t>
  </si>
  <si>
    <t>Carazinho</t>
  </si>
  <si>
    <t>São José do Cedro</t>
  </si>
  <si>
    <t>Canelinha</t>
  </si>
  <si>
    <t>Canguçu</t>
  </si>
  <si>
    <t>Farroupilha</t>
  </si>
  <si>
    <t>Cristal</t>
  </si>
  <si>
    <t>Veranópolis</t>
  </si>
  <si>
    <t>Canela</t>
  </si>
  <si>
    <t>Chuí</t>
  </si>
  <si>
    <t>Agronômica</t>
  </si>
  <si>
    <t>Santa Cecília do Sul</t>
  </si>
  <si>
    <t>Governador Celso Ramos</t>
  </si>
  <si>
    <t>Amaral Ferrador</t>
  </si>
  <si>
    <t>Mostardas</t>
  </si>
  <si>
    <t>Romelândia</t>
  </si>
  <si>
    <t>Água Santa</t>
  </si>
  <si>
    <t>Agrolândia</t>
  </si>
  <si>
    <t>Frei Rogério</t>
  </si>
  <si>
    <t>Pedras Grandes</t>
  </si>
  <si>
    <t>Guarujá do Sul</t>
  </si>
  <si>
    <t>Mato Castelhano</t>
  </si>
  <si>
    <t>Xanxerê</t>
  </si>
  <si>
    <t>Ibirama</t>
  </si>
  <si>
    <t>Almirante Tamandaré do Sul</t>
  </si>
  <si>
    <t>Bento Gonçalves</t>
  </si>
  <si>
    <t>Porto Alegre</t>
  </si>
  <si>
    <t>Princesa</t>
  </si>
  <si>
    <t>Imbé</t>
  </si>
  <si>
    <t>Tramandaí</t>
  </si>
  <si>
    <t>Coqueiros do Sul</t>
  </si>
  <si>
    <t>Pontão</t>
  </si>
  <si>
    <t>Aurora</t>
  </si>
  <si>
    <t>Criciúma</t>
  </si>
  <si>
    <t>Tijucas</t>
  </si>
  <si>
    <t>Petrolândia</t>
  </si>
  <si>
    <t>Erval Seco</t>
  </si>
  <si>
    <t>Flor do Sertão</t>
  </si>
  <si>
    <t>Dom Feliciano</t>
  </si>
  <si>
    <t>Atalanta</t>
  </si>
  <si>
    <t>Lagoa Vermelha</t>
  </si>
  <si>
    <t>Dionísio Cerqueira</t>
  </si>
  <si>
    <t>Vila Lângaro</t>
  </si>
  <si>
    <t>Soledade</t>
  </si>
  <si>
    <t>Sarandi</t>
  </si>
  <si>
    <t>Chuvisca</t>
  </si>
  <si>
    <t>Rondinha</t>
  </si>
  <si>
    <t>Ituporanga</t>
  </si>
  <si>
    <t>Chapada</t>
  </si>
  <si>
    <t>Coxilha</t>
  </si>
  <si>
    <t>Lajeado do Bugre</t>
  </si>
  <si>
    <t>Sangão</t>
  </si>
  <si>
    <t>Barra Funda</t>
  </si>
  <si>
    <t>Boa Vista das Missões</t>
  </si>
  <si>
    <t>Porto Belo</t>
  </si>
  <si>
    <t>Sertão</t>
  </si>
  <si>
    <t>Jaboticaba</t>
  </si>
  <si>
    <t>Seberi</t>
  </si>
  <si>
    <t>Piratini</t>
  </si>
  <si>
    <t>Paraíso</t>
  </si>
  <si>
    <t>Sagrada Família</t>
  </si>
  <si>
    <t>Camboriú</t>
  </si>
  <si>
    <t>Passo Fundo</t>
  </si>
  <si>
    <t>Dois Irmãos das Missões</t>
  </si>
  <si>
    <t>Redentora</t>
  </si>
  <si>
    <t>Ipiranga do Sul</t>
  </si>
  <si>
    <t>Nova Boa Vista</t>
  </si>
  <si>
    <t>Quatro Irmãos</t>
  </si>
  <si>
    <t>Dom Pedro de Alcântara</t>
  </si>
  <si>
    <t>Novo Barreiro</t>
  </si>
  <si>
    <t>São João do Sul</t>
  </si>
  <si>
    <t>São José das Missões</t>
  </si>
  <si>
    <t>Barra Bonita</t>
  </si>
  <si>
    <t>Barracão</t>
  </si>
  <si>
    <t>Itapema</t>
  </si>
  <si>
    <t>Taquaruçu do Sul</t>
  </si>
  <si>
    <t>Bombinhas</t>
  </si>
  <si>
    <t>Apiúna</t>
  </si>
  <si>
    <t>Curitibanos</t>
  </si>
  <si>
    <t>Doutor Pedrinho</t>
  </si>
  <si>
    <t>Monte Castelo</t>
  </si>
  <si>
    <t>Indaial</t>
  </si>
  <si>
    <t>Santiago</t>
  </si>
  <si>
    <t>Treze de Maio</t>
  </si>
  <si>
    <t>Pântano Grande</t>
  </si>
  <si>
    <t>Camaquã</t>
  </si>
  <si>
    <t>Palmeira das Missões</t>
  </si>
  <si>
    <t>Bandeirante</t>
  </si>
  <si>
    <t>Benedito Novo</t>
  </si>
  <si>
    <t>Arroio Grande</t>
  </si>
  <si>
    <t>Timbó</t>
  </si>
  <si>
    <t>Coronel Bicaco</t>
  </si>
  <si>
    <t>Balneário Camboriú</t>
  </si>
  <si>
    <t>Rio Pardo</t>
  </si>
  <si>
    <t>Descanso</t>
  </si>
  <si>
    <t>Jacinto Machado</t>
  </si>
  <si>
    <t>Belmonte</t>
  </si>
  <si>
    <t>Formigueiro</t>
  </si>
  <si>
    <t>Santana da Boa Vista</t>
  </si>
  <si>
    <t>São Miguel d'Oeste</t>
  </si>
  <si>
    <t>Ascurra</t>
  </si>
  <si>
    <t>Rodeio</t>
  </si>
  <si>
    <t>Pinheiro Machado</t>
  </si>
  <si>
    <t>Içara</t>
  </si>
  <si>
    <t>Encruzilhada do Sul</t>
  </si>
  <si>
    <t>Morro da Fumaça</t>
  </si>
  <si>
    <t>Inácio Martins</t>
  </si>
  <si>
    <t>Meleiro</t>
  </si>
  <si>
    <t>Herval</t>
  </si>
  <si>
    <t>Santa Rosa do Sul</t>
  </si>
  <si>
    <t>Cocal do Sul</t>
  </si>
  <si>
    <t>São Sepé</t>
  </si>
  <si>
    <t>Torres</t>
  </si>
  <si>
    <t>Passo de Torres</t>
  </si>
  <si>
    <t>Pedras Altas</t>
  </si>
  <si>
    <t>Major Vieira</t>
  </si>
  <si>
    <t>Vila Nova do Sul</t>
  </si>
  <si>
    <t>Santo Augusto</t>
  </si>
  <si>
    <t>Candiota</t>
  </si>
  <si>
    <t>Maracajá</t>
  </si>
  <si>
    <t>Ermo</t>
  </si>
  <si>
    <t>Santa Margarida do Sul</t>
  </si>
  <si>
    <t>Caçapava do Sul</t>
  </si>
  <si>
    <t>Sombrio</t>
  </si>
  <si>
    <t>Rio Negrinho</t>
  </si>
  <si>
    <t>Jaguarão</t>
  </si>
  <si>
    <t>Lavras do Sul</t>
  </si>
  <si>
    <t>Balneário Gaivota</t>
  </si>
  <si>
    <t>Hulha Negra</t>
  </si>
  <si>
    <t>Balneário Arroio do Silva</t>
  </si>
  <si>
    <t>Araranguá</t>
  </si>
  <si>
    <t>Cruzeiro do Sul</t>
  </si>
  <si>
    <t>Estrela</t>
  </si>
  <si>
    <t>Lajeado</t>
  </si>
  <si>
    <t>Santa Clara do Sul</t>
  </si>
  <si>
    <t>Mato Leitão</t>
  </si>
  <si>
    <t>Travesseiro</t>
  </si>
  <si>
    <t>Arroio do Meio</t>
  </si>
  <si>
    <t>Marques de Souza</t>
  </si>
  <si>
    <t>Forquetinha</t>
  </si>
  <si>
    <t>Doutor Ricardo</t>
  </si>
  <si>
    <t>Venâncio Aires</t>
  </si>
  <si>
    <t>Coqueiro Baixo</t>
  </si>
  <si>
    <t>Capitão</t>
  </si>
  <si>
    <t>Colinas</t>
  </si>
  <si>
    <t>Relvado</t>
  </si>
  <si>
    <t>Teutônia</t>
  </si>
  <si>
    <t>Nova Bréscia</t>
  </si>
  <si>
    <t>Westfalia</t>
  </si>
  <si>
    <t>São Jerônimo</t>
  </si>
  <si>
    <t>Triunfo</t>
  </si>
  <si>
    <t>Muçum</t>
  </si>
  <si>
    <t>Encantado</t>
  </si>
  <si>
    <t>Canudos do Vale</t>
  </si>
  <si>
    <t>Roca Sales</t>
  </si>
  <si>
    <t>Anta Gorda</t>
  </si>
  <si>
    <t>Sério</t>
  </si>
  <si>
    <t>Imigrante</t>
  </si>
  <si>
    <t>Dois Lajeados</t>
  </si>
  <si>
    <t>Abdon Batista</t>
  </si>
  <si>
    <t>Ilópolis</t>
  </si>
  <si>
    <t>Ibiam</t>
  </si>
  <si>
    <t>Brochier</t>
  </si>
  <si>
    <t>Vespasiano Correa</t>
  </si>
  <si>
    <t>Cerro Negro</t>
  </si>
  <si>
    <t>Pouso Novo</t>
  </si>
  <si>
    <t>Tangará</t>
  </si>
  <si>
    <t>Poço das Antas</t>
  </si>
  <si>
    <t>Guaporé</t>
  </si>
  <si>
    <t>União da Serra</t>
  </si>
  <si>
    <t>Maratá</t>
  </si>
  <si>
    <t>Vale Verde</t>
  </si>
  <si>
    <t>Putinga</t>
  </si>
  <si>
    <t>Campo Belo do Sul</t>
  </si>
  <si>
    <t>Capão do Cipó</t>
  </si>
  <si>
    <t>Anita Garibaldi</t>
  </si>
  <si>
    <t>Serafina Corrêa</t>
  </si>
  <si>
    <t>Pinhal da Serra</t>
  </si>
  <si>
    <t>Eugênio de Castro</t>
  </si>
  <si>
    <t>Salete</t>
  </si>
  <si>
    <t>Capão Alto</t>
  </si>
  <si>
    <t>Arvorezinha</t>
  </si>
  <si>
    <t>Pinheiro Preto</t>
  </si>
  <si>
    <t>Charqueadas</t>
  </si>
  <si>
    <t>Iomerê</t>
  </si>
  <si>
    <t>Esmeralda</t>
  </si>
  <si>
    <t>Vista Alegre do Prata</t>
  </si>
  <si>
    <t>São Valentim do Sul</t>
  </si>
  <si>
    <t>São José do Sul</t>
  </si>
  <si>
    <t>Arroio Trinta</t>
  </si>
  <si>
    <t>Jóia</t>
  </si>
  <si>
    <t>Paulo Frontin</t>
  </si>
  <si>
    <t>São Domingos</t>
  </si>
  <si>
    <t>Boa Vista do Sul</t>
  </si>
  <si>
    <t>Santa Terezinha</t>
  </si>
  <si>
    <t>Porto União</t>
  </si>
  <si>
    <t>Entre-Ijuís</t>
  </si>
  <si>
    <t>Salvador do Sul</t>
  </si>
  <si>
    <t>São Pedro da Serra</t>
  </si>
  <si>
    <t>Harmonia</t>
  </si>
  <si>
    <t>Progresso</t>
  </si>
  <si>
    <t>Paula Freitas</t>
  </si>
  <si>
    <t>Itapuca</t>
  </si>
  <si>
    <t>Montenegro</t>
  </si>
  <si>
    <t>Boqueirão do Leão</t>
  </si>
  <si>
    <t>Nova Araçá</t>
  </si>
  <si>
    <t>Treze Tílias</t>
  </si>
  <si>
    <t>Montauri</t>
  </si>
  <si>
    <t>Barão</t>
  </si>
  <si>
    <t>Severiano de Almeida</t>
  </si>
  <si>
    <t>Nova Bassano</t>
  </si>
  <si>
    <t>Coronel Pilar</t>
  </si>
  <si>
    <t>Tupandi</t>
  </si>
  <si>
    <t>Passo do Sobrado</t>
  </si>
  <si>
    <t>Fagundes Varela</t>
  </si>
  <si>
    <t>Pareci Novo</t>
  </si>
  <si>
    <t>São Sebastião do Caí</t>
  </si>
  <si>
    <t>Ibicaré</t>
  </si>
  <si>
    <t>São José do Herval</t>
  </si>
  <si>
    <t>Mallet</t>
  </si>
  <si>
    <t>Garibaldi</t>
  </si>
  <si>
    <t>Nova Alvorada</t>
  </si>
  <si>
    <t>Santo Ângelo</t>
  </si>
  <si>
    <t>Bom Jesus</t>
  </si>
  <si>
    <t>Rio das Antas</t>
  </si>
  <si>
    <t>Cotiporã</t>
  </si>
  <si>
    <t>Salto Veloso</t>
  </si>
  <si>
    <t>Peritiba</t>
  </si>
  <si>
    <t>São Domingos do Sul</t>
  </si>
  <si>
    <t>Santa Tereza</t>
  </si>
  <si>
    <t>Paraí</t>
  </si>
  <si>
    <t>Manfrinópolis</t>
  </si>
  <si>
    <t>Salgado Filho</t>
  </si>
  <si>
    <t>Monte Alegre dos Campos</t>
  </si>
  <si>
    <t>Carlos Barbosa</t>
  </si>
  <si>
    <t>Camargo</t>
  </si>
  <si>
    <t>Campos Novos</t>
  </si>
  <si>
    <t>Tapera</t>
  </si>
  <si>
    <t>Vitória das Missões</t>
  </si>
  <si>
    <t>Braço do Norte</t>
  </si>
  <si>
    <t>Casca</t>
  </si>
  <si>
    <t>Jaguari</t>
  </si>
  <si>
    <t>Ouro Verde</t>
  </si>
  <si>
    <t>Videira</t>
  </si>
  <si>
    <t>Rio do Campo</t>
  </si>
  <si>
    <t>Tupanci do Sul</t>
  </si>
  <si>
    <t>Celso Ramos</t>
  </si>
  <si>
    <t>Gramado Xavier</t>
  </si>
  <si>
    <t>Herveiras</t>
  </si>
  <si>
    <t>Ipuaçu</t>
  </si>
  <si>
    <t>Jari</t>
  </si>
  <si>
    <t>Sinimbu</t>
  </si>
  <si>
    <t>Vanini</t>
  </si>
  <si>
    <t>Selbach</t>
  </si>
  <si>
    <t>Jacuizinho</t>
  </si>
  <si>
    <t>Saudades</t>
  </si>
  <si>
    <t>Vila Maria</t>
  </si>
  <si>
    <t>Clevelândia</t>
  </si>
  <si>
    <t>Fontoura Xavier</t>
  </si>
  <si>
    <t>Nova Esperança do Sul</t>
  </si>
  <si>
    <t>Tunas</t>
  </si>
  <si>
    <t>São Ludgero</t>
  </si>
  <si>
    <t>Águas de Chapecó</t>
  </si>
  <si>
    <t>Alto Alegre</t>
  </si>
  <si>
    <t>Santo Antônio do Palma</t>
  </si>
  <si>
    <t>Campos Borges</t>
  </si>
  <si>
    <t>Estrela Velha</t>
  </si>
  <si>
    <t>Pinhal de São Bento</t>
  </si>
  <si>
    <t>Lagoão</t>
  </si>
  <si>
    <t>Guatambu</t>
  </si>
  <si>
    <t>Cunhataí</t>
  </si>
  <si>
    <t>Santa Cecília</t>
  </si>
  <si>
    <t>Macieira</t>
  </si>
  <si>
    <t>Chapecó</t>
  </si>
  <si>
    <t>Três Arroios</t>
  </si>
  <si>
    <t>Segredo</t>
  </si>
  <si>
    <t>Planalto Alegre</t>
  </si>
  <si>
    <t>Santo Antônio do Sudoeste</t>
  </si>
  <si>
    <t>São Miguel das Missões</t>
  </si>
  <si>
    <t>São Mateus do Sul</t>
  </si>
  <si>
    <t>Rio Azul</t>
  </si>
  <si>
    <t>Caxambu do Sul</t>
  </si>
  <si>
    <t>Barros Cassal</t>
  </si>
  <si>
    <t>Santo Expedito do Sul</t>
  </si>
  <si>
    <t>Tupanciretã</t>
  </si>
  <si>
    <t>Gentil</t>
  </si>
  <si>
    <t>Quinze de Novembro</t>
  </si>
  <si>
    <t>Colorado</t>
  </si>
  <si>
    <t>Palmitos</t>
  </si>
  <si>
    <t>Abelardo Luz</t>
  </si>
  <si>
    <t>Alpestre</t>
  </si>
  <si>
    <t>Rebouças</t>
  </si>
  <si>
    <t>Passa Sete</t>
  </si>
  <si>
    <t>Quevedos</t>
  </si>
  <si>
    <t>Itaiópolis</t>
  </si>
  <si>
    <t>Santa Cruz do Sul</t>
  </si>
  <si>
    <t>Cunha Porã</t>
  </si>
  <si>
    <t>Salto do Jacuí</t>
  </si>
  <si>
    <t>Rio dos Índios</t>
  </si>
  <si>
    <t>Viadutos</t>
  </si>
  <si>
    <t>Erval Grande</t>
  </si>
  <si>
    <t>São Pedro das Missões</t>
  </si>
  <si>
    <t>Caibi</t>
  </si>
  <si>
    <t>São José do Ouro</t>
  </si>
  <si>
    <t>Arroio do Tigre</t>
  </si>
  <si>
    <t>Ibarama</t>
  </si>
  <si>
    <t>Fortaleza dos Valos</t>
  </si>
  <si>
    <t>Ametista do Sul</t>
  </si>
  <si>
    <t>Lauro Muller</t>
  </si>
  <si>
    <t>Mata</t>
  </si>
  <si>
    <t>Prudentópolis</t>
  </si>
  <si>
    <t>Vitorino</t>
  </si>
  <si>
    <t>Vale do Sol</t>
  </si>
  <si>
    <t>Luzerna</t>
  </si>
  <si>
    <t>Pinhal Grande</t>
  </si>
  <si>
    <t>Orleans</t>
  </si>
  <si>
    <t>Sobradinho</t>
  </si>
  <si>
    <t>Toropi</t>
  </si>
  <si>
    <t>Vera Cruz</t>
  </si>
  <si>
    <t>Ibirubá</t>
  </si>
  <si>
    <t>Nonoai</t>
  </si>
  <si>
    <t>Vicente Dutra</t>
  </si>
  <si>
    <t>Mondaí</t>
  </si>
  <si>
    <t>Riqueza</t>
  </si>
  <si>
    <t>São Vicente do Sul</t>
  </si>
  <si>
    <t>Tenente Portela</t>
  </si>
  <si>
    <t>Planalto</t>
  </si>
  <si>
    <t>Lagoa Bonita do Sul</t>
  </si>
  <si>
    <t>Cacique Doble</t>
  </si>
  <si>
    <t>Antônio Olinto</t>
  </si>
  <si>
    <t>Fraiburgo</t>
  </si>
  <si>
    <t>São João da Urtiga</t>
  </si>
  <si>
    <t>Ciríaco</t>
  </si>
  <si>
    <t>Canoas</t>
  </si>
  <si>
    <t>Marcelino Ramos</t>
  </si>
  <si>
    <t>Alto Bela Vista</t>
  </si>
  <si>
    <t>Saldanha Marinho</t>
  </si>
  <si>
    <t>Faxinalzinho</t>
  </si>
  <si>
    <t>São Francisco de Assis</t>
  </si>
  <si>
    <t>Boa Vista do Cadeado</t>
  </si>
  <si>
    <t>Paim Filho</t>
  </si>
  <si>
    <t>Sananduva</t>
  </si>
  <si>
    <t>Boa Vista do Incra</t>
  </si>
  <si>
    <t>Palmas</t>
  </si>
  <si>
    <t>Pranchita</t>
  </si>
  <si>
    <t>Nova Palma</t>
  </si>
  <si>
    <t>Ivaiporã</t>
  </si>
  <si>
    <t>Maximiliano de Almeida</t>
  </si>
  <si>
    <t>Alegria</t>
  </si>
  <si>
    <t>Carlos Gomes</t>
  </si>
  <si>
    <t>Candelária</t>
  </si>
  <si>
    <t>Água Doce</t>
  </si>
  <si>
    <t>Cerro Branco</t>
  </si>
  <si>
    <t>Ibiaçá</t>
  </si>
  <si>
    <t>Júlio de Castilhos</t>
  </si>
  <si>
    <t>Benjamin Constant do Sul</t>
  </si>
  <si>
    <t>Trindade do Sul</t>
  </si>
  <si>
    <t>Gaurama</t>
  </si>
  <si>
    <t>Gramado dos Loureiros</t>
  </si>
  <si>
    <t>Caçador</t>
  </si>
  <si>
    <t>Ivorá</t>
  </si>
  <si>
    <t>Três Barras</t>
  </si>
  <si>
    <t>Iraceminha</t>
  </si>
  <si>
    <t>Vacaria</t>
  </si>
  <si>
    <t>Miraguaí</t>
  </si>
  <si>
    <t>Rio Negro</t>
  </si>
  <si>
    <t>Mafra</t>
  </si>
  <si>
    <t>Rodeio Bonito</t>
  </si>
  <si>
    <t>Áurea</t>
  </si>
  <si>
    <t>São Valentim</t>
  </si>
  <si>
    <t>Entre Rios do Sul</t>
  </si>
  <si>
    <t>Ampére</t>
  </si>
  <si>
    <t>Timbó Grande</t>
  </si>
  <si>
    <t>Tapejara</t>
  </si>
  <si>
    <t>Bom Progresso</t>
  </si>
  <si>
    <t>Novo Cabrais</t>
  </si>
  <si>
    <t>Cristal do Sul</t>
  </si>
  <si>
    <t>Palmitinho</t>
  </si>
  <si>
    <t>Enéas Marques</t>
  </si>
  <si>
    <t>Agudo</t>
  </si>
  <si>
    <t>Bossoroca</t>
  </si>
  <si>
    <t>Caiçara</t>
  </si>
  <si>
    <t>Dona Francisca</t>
  </si>
  <si>
    <t>Charrua</t>
  </si>
  <si>
    <t>Três Palmeiras</t>
  </si>
  <si>
    <t>Santa Bárbara do Sul</t>
  </si>
  <si>
    <t>Pejuçara</t>
  </si>
  <si>
    <t>Paraíso do Sul</t>
  </si>
  <si>
    <t>Irineópolis</t>
  </si>
  <si>
    <t>Sede Nova</t>
  </si>
  <si>
    <t>Frederico Westphalen</t>
  </si>
  <si>
    <t>Centenário</t>
  </si>
  <si>
    <t>Unistalda</t>
  </si>
  <si>
    <t>Inhacorá</t>
  </si>
  <si>
    <t>Faxinal do Soturno</t>
  </si>
  <si>
    <t>Panambi</t>
  </si>
  <si>
    <t>Cruzaltense</t>
  </si>
  <si>
    <t>Liberato Salzano</t>
  </si>
  <si>
    <t>Canoinhas</t>
  </si>
  <si>
    <t>São João do Polêsine</t>
  </si>
  <si>
    <t>São Pedro do Sul</t>
  </si>
  <si>
    <t>Pinhal</t>
  </si>
  <si>
    <t>Novo Tiradentes</t>
  </si>
  <si>
    <t>Iporã do Oeste</t>
  </si>
  <si>
    <t>Herval d'Oeste</t>
  </si>
  <si>
    <t>Joaçaba</t>
  </si>
  <si>
    <t>Condor</t>
  </si>
  <si>
    <t>Cerro Grande</t>
  </si>
  <si>
    <t>Floriano Peixoto</t>
  </si>
  <si>
    <t>Engenho Velho</t>
  </si>
  <si>
    <t>Santa Helena</t>
  </si>
  <si>
    <t>Chiapetta</t>
  </si>
  <si>
    <t>Guamiranga</t>
  </si>
  <si>
    <t>Campinas do Sul</t>
  </si>
  <si>
    <t>Novo Xingu</t>
  </si>
  <si>
    <t>Ponte Preta</t>
  </si>
  <si>
    <t>Vista Alegre</t>
  </si>
  <si>
    <t>Ronda Alta</t>
  </si>
  <si>
    <t>Constantina</t>
  </si>
  <si>
    <t>Nova Esperança do Sudoeste</t>
  </si>
  <si>
    <t>Braga</t>
  </si>
  <si>
    <t>Paulo Bento</t>
  </si>
  <si>
    <t>Cruzeiro do Iguaçu</t>
  </si>
  <si>
    <t>Estação</t>
  </si>
  <si>
    <t>Papanduva</t>
  </si>
  <si>
    <t>Barão de Cotegipe</t>
  </si>
  <si>
    <t>Dilermando de Aguiar</t>
  </si>
  <si>
    <t>Getúlio Vargas</t>
  </si>
  <si>
    <t>Itacurubi</t>
  </si>
  <si>
    <t>Bela Vista do Toldo</t>
  </si>
  <si>
    <t>Nova Ramada</t>
  </si>
  <si>
    <t>Erebango</t>
  </si>
  <si>
    <t>Cacequi</t>
  </si>
  <si>
    <t>São Martinho da Serra</t>
  </si>
  <si>
    <t>São Valério do Sul</t>
  </si>
  <si>
    <t>Dois Vizinhos</t>
  </si>
  <si>
    <t>Silveira Martins</t>
  </si>
  <si>
    <t>Campo Novo</t>
  </si>
  <si>
    <t>Cachoeira do Sul</t>
  </si>
  <si>
    <t>Restinga Seca</t>
  </si>
  <si>
    <t>Erechim</t>
  </si>
  <si>
    <t>Itaara</t>
  </si>
  <si>
    <t>Campo do Tenente</t>
  </si>
  <si>
    <t>Rolador</t>
  </si>
  <si>
    <t>Cruz Alta</t>
  </si>
  <si>
    <t>Maçambará</t>
  </si>
  <si>
    <t>Lebon Régis</t>
  </si>
  <si>
    <t>São Borja</t>
  </si>
  <si>
    <t>Manoel Viana</t>
  </si>
  <si>
    <t>Santo Antônio das Missões</t>
  </si>
  <si>
    <t>Urussanga</t>
  </si>
  <si>
    <t>Rosário do Sul</t>
  </si>
  <si>
    <t>Barra do Quaraí</t>
  </si>
  <si>
    <t>Ivaí</t>
  </si>
  <si>
    <t>São Luiz Gonzaga</t>
  </si>
  <si>
    <t>Aceguá</t>
  </si>
  <si>
    <t>Santa Maria</t>
  </si>
  <si>
    <t>General Carneiro</t>
  </si>
  <si>
    <t>Alegrete</t>
  </si>
  <si>
    <t>Uruguaiana</t>
  </si>
  <si>
    <t>Juquitiba</t>
  </si>
  <si>
    <t>São Gabriel</t>
  </si>
  <si>
    <t>Capela do Alto</t>
  </si>
  <si>
    <t>Bagé</t>
  </si>
  <si>
    <t>Iperó</t>
  </si>
  <si>
    <t>Cesário Lange</t>
  </si>
  <si>
    <t>Riversul</t>
  </si>
  <si>
    <t>Alambari</t>
  </si>
  <si>
    <t>Dom Pedrito</t>
  </si>
  <si>
    <t>Santana do Livramento</t>
  </si>
  <si>
    <t>Boituva</t>
  </si>
  <si>
    <t>Quaraí</t>
  </si>
  <si>
    <t>Itaporanga</t>
  </si>
  <si>
    <t>Tapiraí</t>
  </si>
  <si>
    <t>São Lourenço da Serra</t>
  </si>
  <si>
    <t>Jaguariúna</t>
  </si>
  <si>
    <t>Jumirim</t>
  </si>
  <si>
    <t>Cerquilho</t>
  </si>
  <si>
    <t>Coronel Macedo</t>
  </si>
  <si>
    <t>Itaberá</t>
  </si>
  <si>
    <t>Nazaré Paulista</t>
  </si>
  <si>
    <t>Taquarituba</t>
  </si>
  <si>
    <t>Tietê</t>
  </si>
  <si>
    <t>Itapetininga</t>
  </si>
  <si>
    <t>Tatuí</t>
  </si>
  <si>
    <t>Descalvado</t>
  </si>
  <si>
    <t>Águas de Santa Bárbara</t>
  </si>
  <si>
    <t>Taguaí</t>
  </si>
  <si>
    <t>Ibiúna</t>
  </si>
  <si>
    <t>Bernardino de Campos</t>
  </si>
  <si>
    <t>Vargem Grande do Sul</t>
  </si>
  <si>
    <t>Óleo</t>
  </si>
  <si>
    <t>São Pedro do Turvo</t>
  </si>
  <si>
    <t>Gália</t>
  </si>
  <si>
    <t>Apiaí</t>
  </si>
  <si>
    <t>Ibirarema</t>
  </si>
  <si>
    <t>Manduri</t>
  </si>
  <si>
    <t>Santa Bárbara d'Oeste</t>
  </si>
  <si>
    <t>Ipauçu</t>
  </si>
  <si>
    <t>São João da Boa Vista</t>
  </si>
  <si>
    <t>Assis</t>
  </si>
  <si>
    <t>Paranapanema</t>
  </si>
  <si>
    <t>Bela Vista do Paraíso</t>
  </si>
  <si>
    <t>Piratininga</t>
  </si>
  <si>
    <t>Cabo Frio</t>
  </si>
  <si>
    <t>Arraial do Cabo</t>
  </si>
  <si>
    <t>Mucuri</t>
  </si>
  <si>
    <t>Nova Viçosa</t>
  </si>
  <si>
    <t>Itabela</t>
  </si>
  <si>
    <t>João Neiva</t>
  </si>
  <si>
    <t>Teixeira de Freitas</t>
  </si>
  <si>
    <t>Itamaraju</t>
  </si>
  <si>
    <t>Jaguaraçu</t>
  </si>
  <si>
    <t>Timóteo</t>
  </si>
  <si>
    <t>Sooretama</t>
  </si>
  <si>
    <t>Conceição da Barra</t>
  </si>
  <si>
    <t>Prado</t>
  </si>
  <si>
    <t>Guaratinga</t>
  </si>
  <si>
    <t>Colatina</t>
  </si>
  <si>
    <t>Aracruz</t>
  </si>
  <si>
    <t>Santa Inês</t>
  </si>
  <si>
    <t>Ibiraçu</t>
  </si>
  <si>
    <t>Jucuruçu</t>
  </si>
  <si>
    <t>Alcobaça</t>
  </si>
  <si>
    <t>Palmópolis</t>
  </si>
  <si>
    <t>Rio do Prado</t>
  </si>
  <si>
    <t>São Roque do Canaã</t>
  </si>
  <si>
    <t>Limoeiro</t>
  </si>
  <si>
    <t>Pojuca</t>
  </si>
  <si>
    <t>Brejões</t>
  </si>
  <si>
    <t>Saloá</t>
  </si>
  <si>
    <t>Jandaíra</t>
  </si>
  <si>
    <t>Araruama</t>
  </si>
  <si>
    <t>Paripiranga</t>
  </si>
  <si>
    <t>Itagimirim</t>
  </si>
  <si>
    <t>Una</t>
  </si>
  <si>
    <t>Mascote</t>
  </si>
  <si>
    <t>Pedro Alexandre</t>
  </si>
  <si>
    <t>Quissamã</t>
  </si>
  <si>
    <t>Felisburgo</t>
  </si>
  <si>
    <t>João Alfredo</t>
  </si>
  <si>
    <t>Saquarema</t>
  </si>
  <si>
    <t>Iguaba Grande</t>
  </si>
  <si>
    <t>Itapebi</t>
  </si>
  <si>
    <t>Vereda</t>
  </si>
  <si>
    <t>Marliéria</t>
  </si>
  <si>
    <t>Bertópolis</t>
  </si>
  <si>
    <t>Salto da Divisa</t>
  </si>
  <si>
    <t>Carpina</t>
  </si>
  <si>
    <t>Serra de São Bento</t>
  </si>
  <si>
    <t>Antônio Dias</t>
  </si>
  <si>
    <t>Rio Novo do Sul</t>
  </si>
  <si>
    <t>Santa Helena de Minas</t>
  </si>
  <si>
    <t>Itanhém</t>
  </si>
  <si>
    <t>Condeúba</t>
  </si>
  <si>
    <t>Canavieiras</t>
  </si>
  <si>
    <t>Maricá</t>
  </si>
  <si>
    <t>Cordeiros</t>
  </si>
  <si>
    <t>Cravolândia</t>
  </si>
  <si>
    <t>Passa e Fica</t>
  </si>
  <si>
    <t>Vila Pavão</t>
  </si>
  <si>
    <t>Paranatama</t>
  </si>
  <si>
    <t>Cumaru</t>
  </si>
  <si>
    <t>Fundão</t>
  </si>
  <si>
    <t>Pedro Canário</t>
  </si>
  <si>
    <t>Tobias Barreto</t>
  </si>
  <si>
    <t>Piripá</t>
  </si>
  <si>
    <t>Santo Antônio do Jacinto</t>
  </si>
  <si>
    <t>Dionísio</t>
  </si>
  <si>
    <t>Barra de São Francisco</t>
  </si>
  <si>
    <t>Santa Luzia</t>
  </si>
  <si>
    <t>São Domingos do Prata</t>
  </si>
  <si>
    <t>Cariacica</t>
  </si>
  <si>
    <t>Água Doce do Norte</t>
  </si>
  <si>
    <t>Jaguaré</t>
  </si>
  <si>
    <t>Normandia</t>
  </si>
  <si>
    <t>Machacalis</t>
  </si>
  <si>
    <t>Nova Belém</t>
  </si>
  <si>
    <t>Rubim</t>
  </si>
  <si>
    <t>Itapemirim</t>
  </si>
  <si>
    <t>Itabirinha de Mantena</t>
  </si>
  <si>
    <t>São Joaquim do Monte</t>
  </si>
  <si>
    <t>Serra</t>
  </si>
  <si>
    <t>Linhares</t>
  </si>
  <si>
    <t>Brasilândia de Minas</t>
  </si>
  <si>
    <t>Umburatiba</t>
  </si>
  <si>
    <t>Marataizes</t>
  </si>
  <si>
    <t>São João do Manteninha</t>
  </si>
  <si>
    <t>Fronteira dos Vales</t>
  </si>
  <si>
    <t>Rio Bonito</t>
  </si>
  <si>
    <t>São José do Divino</t>
  </si>
  <si>
    <t>Cardeal da Silva</t>
  </si>
  <si>
    <t>Uiramutã</t>
  </si>
  <si>
    <t>Cuparaque</t>
  </si>
  <si>
    <t>Camacan</t>
  </si>
  <si>
    <t>Araçás</t>
  </si>
  <si>
    <t>Central de Minas</t>
  </si>
  <si>
    <t>Goiabeira</t>
  </si>
  <si>
    <t>Monte das Gameleiras</t>
  </si>
  <si>
    <t>Santa Luzia do Norte</t>
  </si>
  <si>
    <t>Mendes Pimentel</t>
  </si>
  <si>
    <t>São José do Campestre</t>
  </si>
  <si>
    <t>Mantena</t>
  </si>
  <si>
    <t>Lafaiete Coutinho</t>
  </si>
  <si>
    <t>Amajari</t>
  </si>
  <si>
    <t>Mortugaba</t>
  </si>
  <si>
    <t>Ubaíra</t>
  </si>
  <si>
    <t>Medeiros Neto</t>
  </si>
  <si>
    <t>Nova Módica</t>
  </si>
  <si>
    <t>Divino das Laranjeiras</t>
  </si>
  <si>
    <t>São Sebastião do Passé</t>
  </si>
  <si>
    <t>Frutal</t>
  </si>
  <si>
    <t>Arataca</t>
  </si>
  <si>
    <t>Águas Formosas</t>
  </si>
  <si>
    <t>São Félix de Minas</t>
  </si>
  <si>
    <t>Mantenópolis</t>
  </si>
  <si>
    <t>São Geraldo do Baixio</t>
  </si>
  <si>
    <t>Ecoporanga</t>
  </si>
  <si>
    <t>Presidente Jânio Quadros</t>
  </si>
  <si>
    <t>Jurema</t>
  </si>
  <si>
    <t>Catu</t>
  </si>
  <si>
    <t>Crisólita</t>
  </si>
  <si>
    <t>Uirapurú</t>
  </si>
  <si>
    <t>Jupi</t>
  </si>
  <si>
    <t>Lagoa d'Anta</t>
  </si>
  <si>
    <t>São José do Goiabal</t>
  </si>
  <si>
    <t>Guarapari</t>
  </si>
  <si>
    <t>Nova Era</t>
  </si>
  <si>
    <t>Estrela de Alagoas</t>
  </si>
  <si>
    <t>Ouriçangas</t>
  </si>
  <si>
    <t>São José da Vitória</t>
  </si>
  <si>
    <t>Pescador</t>
  </si>
  <si>
    <t>Galiléia</t>
  </si>
  <si>
    <t>Itaquara</t>
  </si>
  <si>
    <t>Lajedo</t>
  </si>
  <si>
    <t>Buerarema</t>
  </si>
  <si>
    <t>Resplendor</t>
  </si>
  <si>
    <t>Montezuma</t>
  </si>
  <si>
    <t>Mutuípe</t>
  </si>
  <si>
    <t>Jiquiriçá</t>
  </si>
  <si>
    <t>Pau Brasil</t>
  </si>
  <si>
    <t>Tumiritinga</t>
  </si>
  <si>
    <t>Vargem Alta</t>
  </si>
  <si>
    <t>Campanário</t>
  </si>
  <si>
    <t>Conselheiro Pena</t>
  </si>
  <si>
    <t>Campo de Santana</t>
  </si>
  <si>
    <t>Riachão</t>
  </si>
  <si>
    <t>Lagoa dos Gatos</t>
  </si>
  <si>
    <t>São João da Barra</t>
  </si>
  <si>
    <t>Jacaraci</t>
  </si>
  <si>
    <t>Laje</t>
  </si>
  <si>
    <t>Esplanada</t>
  </si>
  <si>
    <t>Amargosa</t>
  </si>
  <si>
    <t>Santa Rita do Itueto</t>
  </si>
  <si>
    <t>Apucarana</t>
  </si>
  <si>
    <t>Ilhéus</t>
  </si>
  <si>
    <t>Iconha</t>
  </si>
  <si>
    <t>Pavão</t>
  </si>
  <si>
    <t>Araruna</t>
  </si>
  <si>
    <t>Joinville</t>
  </si>
  <si>
    <t>Jampruca</t>
  </si>
  <si>
    <t>Marechal Deodoro</t>
  </si>
  <si>
    <t>Piúma</t>
  </si>
  <si>
    <t>Ibirapuã</t>
  </si>
  <si>
    <t>Frei Gaspar</t>
  </si>
  <si>
    <t>Lajedão</t>
  </si>
  <si>
    <t>Santa Maria do Salto</t>
  </si>
  <si>
    <t>Itabuna</t>
  </si>
  <si>
    <t>Mangaratiba</t>
  </si>
  <si>
    <t>São Miguel das Matas</t>
  </si>
  <si>
    <t>Itambacuri</t>
  </si>
  <si>
    <t>Itatim</t>
  </si>
  <si>
    <t>Salgadinho</t>
  </si>
  <si>
    <t>Ouro Verde de Minas</t>
  </si>
  <si>
    <t>Pariconha</t>
  </si>
  <si>
    <t>Coromandel</t>
  </si>
  <si>
    <t>Caculé</t>
  </si>
  <si>
    <t>Licínio de Almeida</t>
  </si>
  <si>
    <t>Novo Oriente de Minas</t>
  </si>
  <si>
    <t>Jussari</t>
  </si>
  <si>
    <t>Santo Antônio do Retiro</t>
  </si>
  <si>
    <t>Poté</t>
  </si>
  <si>
    <t>Lajedo do Tabocal</t>
  </si>
  <si>
    <t>Frei Inocêncio</t>
  </si>
  <si>
    <t>Mathias Lobato</t>
  </si>
  <si>
    <t>Elísio Medrado</t>
  </si>
  <si>
    <t>Pacaraima</t>
  </si>
  <si>
    <t>Bezerros</t>
  </si>
  <si>
    <t>Franciscópolis</t>
  </si>
  <si>
    <t>São Gonçalo</t>
  </si>
  <si>
    <t>Ituberá</t>
  </si>
  <si>
    <t>Ataléia</t>
  </si>
  <si>
    <t>Palmeirina</t>
  </si>
  <si>
    <t>Malacacheta</t>
  </si>
  <si>
    <t>Varzedo</t>
  </si>
  <si>
    <t>Três Marias</t>
  </si>
  <si>
    <t>Uruçuca</t>
  </si>
  <si>
    <t>Capitão Andrade</t>
  </si>
  <si>
    <t>Iaçu</t>
  </si>
  <si>
    <t>Hidrolândia</t>
  </si>
  <si>
    <t>Ladainha</t>
  </si>
  <si>
    <t>Santa Cruz Cabrália</t>
  </si>
  <si>
    <t>Governador Valadares</t>
  </si>
  <si>
    <t>Alvarenga</t>
  </si>
  <si>
    <t>Calçado</t>
  </si>
  <si>
    <t>Marilac</t>
  </si>
  <si>
    <t>Teixeira</t>
  </si>
  <si>
    <t>São João do Paraíso</t>
  </si>
  <si>
    <t>Cristalina</t>
  </si>
  <si>
    <t>Ibiassucê</t>
  </si>
  <si>
    <t>Itanhomi</t>
  </si>
  <si>
    <t>Acajutiba</t>
  </si>
  <si>
    <t>Guajeru</t>
  </si>
  <si>
    <t>Santo Antônio de Jesus</t>
  </si>
  <si>
    <t>Catuji</t>
  </si>
  <si>
    <t>Itaipé</t>
  </si>
  <si>
    <t>Niterói</t>
  </si>
  <si>
    <t>Presidente Tancredo Neves</t>
  </si>
  <si>
    <t>Alfredo Chaves</t>
  </si>
  <si>
    <t>Serra dos Aimorés</t>
  </si>
  <si>
    <t>São Domingos das Dores</t>
  </si>
  <si>
    <t>São Sebastião do Anta</t>
  </si>
  <si>
    <t>Itapicuru</t>
  </si>
  <si>
    <t>Nilo Peçanha</t>
  </si>
  <si>
    <t>Bonito</t>
  </si>
  <si>
    <t>Cafarnaum</t>
  </si>
  <si>
    <t>Caetité</t>
  </si>
  <si>
    <t>Entre Folhas</t>
  </si>
  <si>
    <t>Inhapim</t>
  </si>
  <si>
    <t>Vargem Alegre</t>
  </si>
  <si>
    <t>Novo Cruzeiro</t>
  </si>
  <si>
    <t>Itapé</t>
  </si>
  <si>
    <t>Inhambupe</t>
  </si>
  <si>
    <t>Aporá</t>
  </si>
  <si>
    <t>Setubinha</t>
  </si>
  <si>
    <t>Santa Teresinha</t>
  </si>
  <si>
    <t>Terra Nova</t>
  </si>
  <si>
    <t>São José da Safira</t>
  </si>
  <si>
    <t>Barra de Santana</t>
  </si>
  <si>
    <t>Arapuá</t>
  </si>
  <si>
    <t>Imaculada</t>
  </si>
  <si>
    <t>Teófilo Otoni</t>
  </si>
  <si>
    <t>Barro Preto</t>
  </si>
  <si>
    <t>Pingo d'Água</t>
  </si>
  <si>
    <t>Córrego Novo</t>
  </si>
  <si>
    <t>Castro Alves</t>
  </si>
  <si>
    <t>São Pedro dos Ferros</t>
  </si>
  <si>
    <t>Água Fria</t>
  </si>
  <si>
    <t>Itaju do Colônia</t>
  </si>
  <si>
    <t>Utinga</t>
  </si>
  <si>
    <t>Pocrane</t>
  </si>
  <si>
    <t>Muniz Ferreira</t>
  </si>
  <si>
    <t>Porto Seguro</t>
  </si>
  <si>
    <t>Angelândia</t>
  </si>
  <si>
    <t>Ninheira</t>
  </si>
  <si>
    <t>Aratuípe</t>
  </si>
  <si>
    <t>Nazaré</t>
  </si>
  <si>
    <t>América Dourada</t>
  </si>
  <si>
    <t>Irará</t>
  </si>
  <si>
    <t>Vila Velha</t>
  </si>
  <si>
    <t>Livramento</t>
  </si>
  <si>
    <t>Wagner</t>
  </si>
  <si>
    <t>Ubaporanga</t>
  </si>
  <si>
    <t>Rio Real</t>
  </si>
  <si>
    <t>Nacip Raydan</t>
  </si>
  <si>
    <t>Imbé de Minas</t>
  </si>
  <si>
    <t>Dom Macedo Costa</t>
  </si>
  <si>
    <t>Buenópolis</t>
  </si>
  <si>
    <t>Vargem Grande do Rio Pardo</t>
  </si>
  <si>
    <t>São Gonçalo do Abaeté</t>
  </si>
  <si>
    <t>Dona Inês</t>
  </si>
  <si>
    <t>Morro do Chapéu</t>
  </si>
  <si>
    <t>Lajedinho</t>
  </si>
  <si>
    <t>Taperoá</t>
  </si>
  <si>
    <t>Posse</t>
  </si>
  <si>
    <t>Riacho de Santo Antônio</t>
  </si>
  <si>
    <t>São Francisco de Itabapoana</t>
  </si>
  <si>
    <t>São Felipe</t>
  </si>
  <si>
    <t>Macarani</t>
  </si>
  <si>
    <t>Joaquim Felício</t>
  </si>
  <si>
    <t>Itajuípe</t>
  </si>
  <si>
    <t>Água Boa</t>
  </si>
  <si>
    <t>Teolândia</t>
  </si>
  <si>
    <t>Raul Soares</t>
  </si>
  <si>
    <t>Lagoa Real</t>
  </si>
  <si>
    <t>Bom Jesus do Galho</t>
  </si>
  <si>
    <t>Muniz Freire</t>
  </si>
  <si>
    <t>Aricanduva</t>
  </si>
  <si>
    <t>Crisópolis</t>
  </si>
  <si>
    <t>Panelas</t>
  </si>
  <si>
    <t>Conceição do Almeida</t>
  </si>
  <si>
    <t>Santa Maria do Suaçuí</t>
  </si>
  <si>
    <t>Rio do Antônio</t>
  </si>
  <si>
    <t>Japi</t>
  </si>
  <si>
    <t>Raposos</t>
  </si>
  <si>
    <t>Luziânia</t>
  </si>
  <si>
    <t>Morada Nova de Minas</t>
  </si>
  <si>
    <t>Guarani de Goiás</t>
  </si>
  <si>
    <t>Turmalina</t>
  </si>
  <si>
    <t>Ibicaraí</t>
  </si>
  <si>
    <t>Piraí do Norte</t>
  </si>
  <si>
    <t>Teodoro Sampaio</t>
  </si>
  <si>
    <t>Mata Verde</t>
  </si>
  <si>
    <t>São José do Bonfim</t>
  </si>
  <si>
    <t>Cairu</t>
  </si>
  <si>
    <t>Divisópolis</t>
  </si>
  <si>
    <t>Lagamar</t>
  </si>
  <si>
    <t>Sairé</t>
  </si>
  <si>
    <t>São Gotardo</t>
  </si>
  <si>
    <t>Mambaí</t>
  </si>
  <si>
    <t>Sabará</t>
  </si>
  <si>
    <t>João Pinheiro</t>
  </si>
  <si>
    <t>Wenceslau Guimarães</t>
  </si>
  <si>
    <t>Varjão de Minas</t>
  </si>
  <si>
    <t>Tapiramutá</t>
  </si>
  <si>
    <t>Carmo do Paranaíba</t>
  </si>
  <si>
    <t>Sátiro Dias</t>
  </si>
  <si>
    <t>Jitaúna</t>
  </si>
  <si>
    <t>Caratinga</t>
  </si>
  <si>
    <t>Desterro</t>
  </si>
  <si>
    <t>Piedade de Caratinga</t>
  </si>
  <si>
    <t>Itatuba</t>
  </si>
  <si>
    <t>Ibiá</t>
  </si>
  <si>
    <t>Ipatinga</t>
  </si>
  <si>
    <t>Alcantil</t>
  </si>
  <si>
    <t>Barro</t>
  </si>
  <si>
    <t>Poção</t>
  </si>
  <si>
    <t>Lagoa Grande</t>
  </si>
  <si>
    <t>João Dourado</t>
  </si>
  <si>
    <t>Queimadas</t>
  </si>
  <si>
    <t>Conceição da Feira</t>
  </si>
  <si>
    <t>Cubati</t>
  </si>
  <si>
    <t>Vazante</t>
  </si>
  <si>
    <t>Vermelho Novo</t>
  </si>
  <si>
    <t>Cacimbas</t>
  </si>
  <si>
    <t>Coronel Fabriciano</t>
  </si>
  <si>
    <t>Juazeirinho</t>
  </si>
  <si>
    <t>Campos Altos</t>
  </si>
  <si>
    <t>Aurelino Leal</t>
  </si>
  <si>
    <t>Ubaitaba</t>
  </si>
  <si>
    <t>Mãe d'Água</t>
  </si>
  <si>
    <t>Passa Vinte</t>
  </si>
  <si>
    <t>São José dos Cordeiros</t>
  </si>
  <si>
    <t>Gandu</t>
  </si>
  <si>
    <t>Mauriti</t>
  </si>
  <si>
    <t>Sapeaçu</t>
  </si>
  <si>
    <t>Tenório</t>
  </si>
  <si>
    <t>Duas Estradas</t>
  </si>
  <si>
    <t>Serra da Raiz</t>
  </si>
  <si>
    <t>Juarez Távora</t>
  </si>
  <si>
    <t>Caeté</t>
  </si>
  <si>
    <t>Engenheiro Navarro</t>
  </si>
  <si>
    <t>Ouvidor</t>
  </si>
  <si>
    <t>Congonhinhas</t>
  </si>
  <si>
    <t>Olindina</t>
  </si>
  <si>
    <t>Encruzilhada</t>
  </si>
  <si>
    <t>Matutina</t>
  </si>
  <si>
    <t>Santa Bárbara do Leste</t>
  </si>
  <si>
    <t>Dianópolis</t>
  </si>
  <si>
    <t>Ribas do Rio Pardo</t>
  </si>
  <si>
    <t>Logradouro</t>
  </si>
  <si>
    <t>Floresta Azul</t>
  </si>
  <si>
    <t>Santanópolis</t>
  </si>
  <si>
    <t>Bocaiúva</t>
  </si>
  <si>
    <t>Ribeirão do Largo</t>
  </si>
  <si>
    <t>Iaciara</t>
  </si>
  <si>
    <t>Ourolândia</t>
  </si>
  <si>
    <t>Gurjão</t>
  </si>
  <si>
    <t>Várzea Nova</t>
  </si>
  <si>
    <t>Indaiabira</t>
  </si>
  <si>
    <t>Prata</t>
  </si>
  <si>
    <t>Junco do Seridó</t>
  </si>
  <si>
    <t>Equador</t>
  </si>
  <si>
    <t>Belém</t>
  </si>
  <si>
    <t>Itamari</t>
  </si>
  <si>
    <t>Cabaceiras do Paraguaçu</t>
  </si>
  <si>
    <t>Biritinga</t>
  </si>
  <si>
    <t>Vespasiano</t>
  </si>
  <si>
    <t>Coaraci</t>
  </si>
  <si>
    <t>Almadina</t>
  </si>
  <si>
    <t>Areia de Baraúnas</t>
  </si>
  <si>
    <t>Novo Jardim</t>
  </si>
  <si>
    <t>Rafael Jambeiro</t>
  </si>
  <si>
    <t>Santa Cruz da Vitória</t>
  </si>
  <si>
    <t>São José da Lapa</t>
  </si>
  <si>
    <t>Assunção</t>
  </si>
  <si>
    <t>Zabelê</t>
  </si>
  <si>
    <t>Pedra Lavrada</t>
  </si>
  <si>
    <t>Canudos</t>
  </si>
  <si>
    <t>Mundo Novo</t>
  </si>
  <si>
    <t>Pé de Serra</t>
  </si>
  <si>
    <t>Caraúbas</t>
  </si>
  <si>
    <t>Brasília</t>
  </si>
  <si>
    <t>Apuarema</t>
  </si>
  <si>
    <t>Nova Palmeira</t>
  </si>
  <si>
    <t>Pintadas</t>
  </si>
  <si>
    <t>Serraria</t>
  </si>
  <si>
    <t>Santo Antônio do Amparo</t>
  </si>
  <si>
    <t>Lagoa Santa</t>
  </si>
  <si>
    <t>Ribeirão Vermelho</t>
  </si>
  <si>
    <t>Damião</t>
  </si>
  <si>
    <t>Baixa Grande</t>
  </si>
  <si>
    <t>Picuí</t>
  </si>
  <si>
    <t>Ribeirão das Neves</t>
  </si>
  <si>
    <t>Perdões</t>
  </si>
  <si>
    <t>Água Branca</t>
  </si>
  <si>
    <t>Cupira</t>
  </si>
  <si>
    <t>Coração de Maria</t>
  </si>
  <si>
    <t>Araxá</t>
  </si>
  <si>
    <t>Puxinanã</t>
  </si>
  <si>
    <t>Parari</t>
  </si>
  <si>
    <t>Chapada Gaúcha</t>
  </si>
  <si>
    <t>Toritama</t>
  </si>
  <si>
    <t>Serra Branca</t>
  </si>
  <si>
    <t>Pesqueira</t>
  </si>
  <si>
    <t>Franca</t>
  </si>
  <si>
    <t>Piritiba</t>
  </si>
  <si>
    <t>Malhada de Pedras</t>
  </si>
  <si>
    <t>Montadas</t>
  </si>
  <si>
    <t>Araripe</t>
  </si>
  <si>
    <t>Cruz das Almas</t>
  </si>
  <si>
    <t>Olivedos</t>
  </si>
  <si>
    <t>Confins</t>
  </si>
  <si>
    <t>Nova Floresta</t>
  </si>
  <si>
    <t>Jaçanã</t>
  </si>
  <si>
    <t>São Bento do Trairí</t>
  </si>
  <si>
    <t>São José de Princesa</t>
  </si>
  <si>
    <t>Taquaraçu de Minas</t>
  </si>
  <si>
    <t>Congo</t>
  </si>
  <si>
    <t>Riachão do Bacamarte</t>
  </si>
  <si>
    <t>Aroeiras</t>
  </si>
  <si>
    <t>Pilõezinhos</t>
  </si>
  <si>
    <t>Pilar</t>
  </si>
  <si>
    <t>Amélia Rodrigues</t>
  </si>
  <si>
    <t>Coronel Ezequiel</t>
  </si>
  <si>
    <t>Nova Fátima</t>
  </si>
  <si>
    <t>Jaguaquara</t>
  </si>
  <si>
    <t>Araci</t>
  </si>
  <si>
    <t>Fagundes</t>
  </si>
  <si>
    <t>Boa Vista</t>
  </si>
  <si>
    <t>Riachão do Jacuípe</t>
  </si>
  <si>
    <t>Cuité</t>
  </si>
  <si>
    <t>Ibicuí</t>
  </si>
  <si>
    <t>Camalaú</t>
  </si>
  <si>
    <t>Mairi</t>
  </si>
  <si>
    <t>Serra Redonda</t>
  </si>
  <si>
    <t>Nova Canaã</t>
  </si>
  <si>
    <t>Nova Ibiá</t>
  </si>
  <si>
    <t>Pocinhos</t>
  </si>
  <si>
    <t>Buritis</t>
  </si>
  <si>
    <t>Passa Tempo</t>
  </si>
  <si>
    <t>Iguaí</t>
  </si>
  <si>
    <t>Capela do Alto Alegre</t>
  </si>
  <si>
    <t>Barra de São Miguel</t>
  </si>
  <si>
    <t>Cana Verde</t>
  </si>
  <si>
    <t>Solânea</t>
  </si>
  <si>
    <t>Ruy Barbosa</t>
  </si>
  <si>
    <t>Teofilândia</t>
  </si>
  <si>
    <t>São João do Cariri</t>
  </si>
  <si>
    <t>Guarda-Mor</t>
  </si>
  <si>
    <t>Saúde</t>
  </si>
  <si>
    <t>Tabira</t>
  </si>
  <si>
    <t>Várzea da Roça</t>
  </si>
  <si>
    <t>Alagoa Nova</t>
  </si>
  <si>
    <t>Belo Horizonte</t>
  </si>
  <si>
    <t>Alvorada do Norte</t>
  </si>
  <si>
    <t>Simolândia</t>
  </si>
  <si>
    <t>Massaranduba</t>
  </si>
  <si>
    <t>Santo Estêvão</t>
  </si>
  <si>
    <t>Alagoinha</t>
  </si>
  <si>
    <t>São Sebastião de Lagoa de Roça</t>
  </si>
  <si>
    <t>Ichu</t>
  </si>
  <si>
    <t>Lagoa Seca</t>
  </si>
  <si>
    <t>Areial</t>
  </si>
  <si>
    <t>Matinhas</t>
  </si>
  <si>
    <t>Cacimba de Dentro</t>
  </si>
  <si>
    <t>São João do Tigre</t>
  </si>
  <si>
    <t>Barão de Cocais</t>
  </si>
  <si>
    <t>Parambu</t>
  </si>
  <si>
    <t>Potengi</t>
  </si>
  <si>
    <t>Gado Bravo</t>
  </si>
  <si>
    <t>Bananeiras</t>
  </si>
  <si>
    <t>Borborema</t>
  </si>
  <si>
    <t>Caatiba</t>
  </si>
  <si>
    <t>Mirangaba</t>
  </si>
  <si>
    <t>Conceição do Jacuípe</t>
  </si>
  <si>
    <t>Casserengue</t>
  </si>
  <si>
    <t>Pilões</t>
  </si>
  <si>
    <t>Valença</t>
  </si>
  <si>
    <t>Remígio</t>
  </si>
  <si>
    <t>Retirolândia</t>
  </si>
  <si>
    <t>Coxixola</t>
  </si>
  <si>
    <t>Arara</t>
  </si>
  <si>
    <t>São Domingos do Cariri</t>
  </si>
  <si>
    <t>Pimenta</t>
  </si>
  <si>
    <t>Itambé</t>
  </si>
  <si>
    <t>Esperança</t>
  </si>
  <si>
    <t>Baraúna</t>
  </si>
  <si>
    <t>Conceição do Coité</t>
  </si>
  <si>
    <t>Nepomuceno</t>
  </si>
  <si>
    <t>Santa Rosa da Serra</t>
  </si>
  <si>
    <t>Caldeirão Grande</t>
  </si>
  <si>
    <t>Alagoa Grande</t>
  </si>
  <si>
    <t>Antônio Cardoso</t>
  </si>
  <si>
    <t>Santana do Jacaré</t>
  </si>
  <si>
    <t>Camapuã</t>
  </si>
  <si>
    <t>Algodão de Jandaíra</t>
  </si>
  <si>
    <t>Sossego</t>
  </si>
  <si>
    <t>Ipecaetá</t>
  </si>
  <si>
    <t>Barra de Santa Rosa</t>
  </si>
  <si>
    <t>Ibirajuba</t>
  </si>
  <si>
    <t>Macajuba</t>
  </si>
  <si>
    <t>Manaíra</t>
  </si>
  <si>
    <t>Barra do Choça</t>
  </si>
  <si>
    <t>Campina Grande</t>
  </si>
  <si>
    <t>Sumé</t>
  </si>
  <si>
    <t>Várzea do Poço</t>
  </si>
  <si>
    <t>Miguel Calmon</t>
  </si>
  <si>
    <t>Serra Preta</t>
  </si>
  <si>
    <t>Ribeira do Pombal</t>
  </si>
  <si>
    <t>Valente</t>
  </si>
  <si>
    <t>Catalão</t>
  </si>
  <si>
    <t>Campo Belo</t>
  </si>
  <si>
    <t>Cumari</t>
  </si>
  <si>
    <t>Aiquara</t>
  </si>
  <si>
    <t>Caridade</t>
  </si>
  <si>
    <t>Jaraguari</t>
  </si>
  <si>
    <t>Anhanguera</t>
  </si>
  <si>
    <t>Cristais</t>
  </si>
  <si>
    <t>Caém</t>
  </si>
  <si>
    <t>Araguari</t>
  </si>
  <si>
    <t>São Gonçalo dos Campos</t>
  </si>
  <si>
    <t>Ponto Novo</t>
  </si>
  <si>
    <t>Flores de Goiás</t>
  </si>
  <si>
    <t>Palmácia</t>
  </si>
  <si>
    <t>Aguanil</t>
  </si>
  <si>
    <t>Casa Branca</t>
  </si>
  <si>
    <t>Tapira</t>
  </si>
  <si>
    <t>Goiandira</t>
  </si>
  <si>
    <t>Vila Boa</t>
  </si>
  <si>
    <t>Guaramiranga</t>
  </si>
  <si>
    <t>Mulungu</t>
  </si>
  <si>
    <t>Terenos</t>
  </si>
  <si>
    <t>Pains</t>
  </si>
  <si>
    <t>Nova Roma</t>
  </si>
  <si>
    <t>Uberlândia</t>
  </si>
  <si>
    <t>Areia</t>
  </si>
  <si>
    <t>Bandeirantes</t>
  </si>
  <si>
    <t>Resende</t>
  </si>
  <si>
    <t>São Sebastião do Umbuzeiro</t>
  </si>
  <si>
    <t>Tucano</t>
  </si>
  <si>
    <t>Filadélfia</t>
  </si>
  <si>
    <t>Serrolândia</t>
  </si>
  <si>
    <t>Serra do Salitre</t>
  </si>
  <si>
    <t>Baturité</t>
  </si>
  <si>
    <t>Jacobina</t>
  </si>
  <si>
    <t>Pacoti</t>
  </si>
  <si>
    <t>Costa Rica</t>
  </si>
  <si>
    <t>São João d'Aliança</t>
  </si>
  <si>
    <t>Candeias</t>
  </si>
  <si>
    <t>Campo Formoso</t>
  </si>
  <si>
    <t>Figueirão</t>
  </si>
  <si>
    <t>Cabeceiras</t>
  </si>
  <si>
    <t>São José de Caiana</t>
  </si>
  <si>
    <t>Campo Grande</t>
  </si>
  <si>
    <t>Antônio Gonçalves</t>
  </si>
  <si>
    <t>Agrestina</t>
  </si>
  <si>
    <t>Água Fria de Goiás</t>
  </si>
  <si>
    <t>Tapurah</t>
  </si>
  <si>
    <t>Serra da Saudade</t>
  </si>
  <si>
    <t>Formosa</t>
  </si>
  <si>
    <t>Teresina de Goiás</t>
  </si>
  <si>
    <t>Vitória da Conquista</t>
  </si>
  <si>
    <t>Jaguarari</t>
  </si>
  <si>
    <t>Serra Grande</t>
  </si>
  <si>
    <t>Alto Paraíso de Goiás</t>
  </si>
  <si>
    <t>Altinho</t>
  </si>
  <si>
    <t>Angelim</t>
  </si>
  <si>
    <t>Jales</t>
  </si>
  <si>
    <t>Colinas do Sul</t>
  </si>
  <si>
    <t>Vilhena</t>
  </si>
  <si>
    <t>Cavalcante</t>
  </si>
  <si>
    <t>Alto Taquari</t>
  </si>
  <si>
    <t>Ibirataia</t>
  </si>
  <si>
    <t>Córrego Fundo</t>
  </si>
  <si>
    <t>Camocim de São Félix</t>
  </si>
  <si>
    <t>Senhor do Bonfim</t>
  </si>
  <si>
    <t>Niquelândia</t>
  </si>
  <si>
    <t>Itiquira</t>
  </si>
  <si>
    <t>Itanhangá_MT</t>
  </si>
  <si>
    <t>Dores do Indaiá</t>
  </si>
  <si>
    <t>Monteiro</t>
  </si>
  <si>
    <t>Caruaru</t>
  </si>
  <si>
    <t>Alcinópolis</t>
  </si>
  <si>
    <t>Chapadão do Sul</t>
  </si>
  <si>
    <t>Anastácio</t>
  </si>
  <si>
    <t>Campos de Júlio</t>
  </si>
  <si>
    <t>Aquidauana</t>
  </si>
  <si>
    <t>Brumado</t>
  </si>
  <si>
    <t>Campo Verde</t>
  </si>
  <si>
    <t>Rio Verde</t>
  </si>
  <si>
    <t>Formiga</t>
  </si>
  <si>
    <t>Colorado do Oeste</t>
  </si>
  <si>
    <t>Sonora</t>
  </si>
  <si>
    <t>Ipiranga do Norte</t>
  </si>
  <si>
    <t>Arcoverde</t>
  </si>
  <si>
    <t>Garanhuns</t>
  </si>
  <si>
    <t>Cabixi</t>
  </si>
  <si>
    <t>Campo Novo do Parecis</t>
  </si>
  <si>
    <t>Dom Aquino</t>
  </si>
  <si>
    <t>Jaciara</t>
  </si>
  <si>
    <t>São Pedro da Cipa</t>
  </si>
  <si>
    <t>Caiapônia</t>
  </si>
  <si>
    <t>Nova Itarana</t>
  </si>
  <si>
    <t>Maribondo</t>
  </si>
  <si>
    <t>Rio Bananal</t>
  </si>
  <si>
    <t>Pinheiros</t>
  </si>
  <si>
    <t>Lagoa do Ouro</t>
  </si>
  <si>
    <t>Águia Branca</t>
  </si>
  <si>
    <t>Vila Valério</t>
  </si>
  <si>
    <t>Terezinha</t>
  </si>
  <si>
    <t>Taquarana</t>
  </si>
  <si>
    <t>São Gabriel da Palha</t>
  </si>
  <si>
    <t>Barra de Guabiraba</t>
  </si>
  <si>
    <t>Brejão</t>
  </si>
  <si>
    <t>São Domingos do Norte</t>
  </si>
  <si>
    <t>Ituaçu</t>
  </si>
  <si>
    <t>Tanque d'Arca</t>
  </si>
  <si>
    <t>Gravatá</t>
  </si>
  <si>
    <t>Santa Cruz do Capibaribe</t>
  </si>
  <si>
    <t>Iati</t>
  </si>
  <si>
    <t>Limoeiro de Anadia</t>
  </si>
  <si>
    <t>São Bento do Una</t>
  </si>
  <si>
    <t>Mirante</t>
  </si>
  <si>
    <t>Pedra Azul</t>
  </si>
  <si>
    <t>Itacuruba</t>
  </si>
  <si>
    <t>Caetanos</t>
  </si>
  <si>
    <t>Minador do Negrão</t>
  </si>
  <si>
    <t>Milagres</t>
  </si>
  <si>
    <t>Rodelas</t>
  </si>
  <si>
    <t>Maracás</t>
  </si>
  <si>
    <t>Bom Conselho</t>
  </si>
  <si>
    <t>Pindoba</t>
  </si>
  <si>
    <t>Marília</t>
  </si>
  <si>
    <t>Coité do Nóia</t>
  </si>
  <si>
    <t>Chã Grande</t>
  </si>
  <si>
    <t>Inajá</t>
  </si>
  <si>
    <t>Santa Maria do Cambucá</t>
  </si>
  <si>
    <t>Brejo da Madre de Deus</t>
  </si>
  <si>
    <t>Curaçá</t>
  </si>
  <si>
    <t>Planaltino</t>
  </si>
  <si>
    <t>São Benedito do Sul</t>
  </si>
  <si>
    <t>Maetinga</t>
  </si>
  <si>
    <t>Maraial</t>
  </si>
  <si>
    <t>Iraquara</t>
  </si>
  <si>
    <t>Souto Soares</t>
  </si>
  <si>
    <t>Correntes</t>
  </si>
  <si>
    <t>Canhotinho</t>
  </si>
  <si>
    <t>Quipapá</t>
  </si>
  <si>
    <t>Contendas do Sincorá</t>
  </si>
  <si>
    <t>Tanhaçu</t>
  </si>
  <si>
    <t>Itaeté</t>
  </si>
  <si>
    <t>Caturité</t>
  </si>
  <si>
    <t>Riacho das Almas</t>
  </si>
  <si>
    <t>Iramaia</t>
  </si>
  <si>
    <t>Carlos Chagas</t>
  </si>
  <si>
    <t>Venturosa</t>
  </si>
  <si>
    <t>Domingos Martins</t>
  </si>
  <si>
    <t>Marechal Floriano</t>
  </si>
  <si>
    <t>Pombos</t>
  </si>
  <si>
    <t>Afrânio</t>
  </si>
  <si>
    <t>Vertentes</t>
  </si>
  <si>
    <t>Mulungu do Morro</t>
  </si>
  <si>
    <t>Andaraí</t>
  </si>
  <si>
    <t>Caraíbas</t>
  </si>
  <si>
    <t>Nanuque</t>
  </si>
  <si>
    <t>Anagé</t>
  </si>
  <si>
    <t>Manoel Vitorino</t>
  </si>
  <si>
    <t>Águas Belas</t>
  </si>
  <si>
    <t>Tacaratu</t>
  </si>
  <si>
    <t>Nova Redenção</t>
  </si>
  <si>
    <t>Belo Jardim</t>
  </si>
  <si>
    <t>Frei Paulo</t>
  </si>
  <si>
    <t>Mucugê</t>
  </si>
  <si>
    <t>Joaíma</t>
  </si>
  <si>
    <t>Joaquim Nabuco</t>
  </si>
  <si>
    <t>Montanha</t>
  </si>
  <si>
    <t>Serrita</t>
  </si>
  <si>
    <t>Belo Oriente</t>
  </si>
  <si>
    <t>Campo do Brito</t>
  </si>
  <si>
    <t>Pedra</t>
  </si>
  <si>
    <t>Sertânia</t>
  </si>
  <si>
    <t>Sanharó</t>
  </si>
  <si>
    <t>Dormentes</t>
  </si>
  <si>
    <t>Santa Maria da Boa Vista</t>
  </si>
  <si>
    <t>Nossa Senhora da Glória</t>
  </si>
  <si>
    <t>Frei Miguelinho</t>
  </si>
  <si>
    <t>Granito</t>
  </si>
  <si>
    <t>Santa Cruz</t>
  </si>
  <si>
    <t>Timbaúba</t>
  </si>
  <si>
    <t>Bom Jesus da Serra</t>
  </si>
  <si>
    <t>Naque</t>
  </si>
  <si>
    <t>Tremedal</t>
  </si>
  <si>
    <t>Bugre</t>
  </si>
  <si>
    <t>Macambira</t>
  </si>
  <si>
    <t>Moreilândia</t>
  </si>
  <si>
    <t>Parnamirim</t>
  </si>
  <si>
    <t>Salgado</t>
  </si>
  <si>
    <t>Barro Alto</t>
  </si>
  <si>
    <t>Capela</t>
  </si>
  <si>
    <t>Cristinápolis</t>
  </si>
  <si>
    <t>Nossa Senhora Aparecida</t>
  </si>
  <si>
    <t>Tomar do Geru</t>
  </si>
  <si>
    <t>Ribeirópolis</t>
  </si>
  <si>
    <t>Crixás</t>
  </si>
  <si>
    <t>Moita Bonita</t>
  </si>
  <si>
    <t>Nossa Senhora de Lourdes</t>
  </si>
  <si>
    <t>Santana do Paraíso</t>
  </si>
  <si>
    <t>Iapu</t>
  </si>
  <si>
    <t>Carnaubeira da Penha</t>
  </si>
  <si>
    <t>Poço Redondo</t>
  </si>
  <si>
    <t>Afogados da Ingazeira</t>
  </si>
  <si>
    <t>Arauá</t>
  </si>
  <si>
    <t>Jacinto</t>
  </si>
  <si>
    <t>São João do Oriente</t>
  </si>
  <si>
    <t>Iguaraci</t>
  </si>
  <si>
    <t>Periquito</t>
  </si>
  <si>
    <t>Salgueiro</t>
  </si>
  <si>
    <t>Ibicoara</t>
  </si>
  <si>
    <t>Flores</t>
  </si>
  <si>
    <t>Belém de São Francisco</t>
  </si>
  <si>
    <t>Seabra</t>
  </si>
  <si>
    <t>Ponto Belo</t>
  </si>
  <si>
    <t>Monte Alegre de Sergipe</t>
  </si>
  <si>
    <t>Barra do Mendes</t>
  </si>
  <si>
    <t>Sobrália</t>
  </si>
  <si>
    <t>Quebrangulo</t>
  </si>
  <si>
    <t>Ladário</t>
  </si>
  <si>
    <t>Pedrinhas</t>
  </si>
  <si>
    <t>Ipubi</t>
  </si>
  <si>
    <t>Aracatu</t>
  </si>
  <si>
    <t>Santa Rita do Araguaia</t>
  </si>
  <si>
    <t>Alto Araguaia</t>
  </si>
  <si>
    <t>Mesquita</t>
  </si>
  <si>
    <t>São José do Egito</t>
  </si>
  <si>
    <t>Dom Cavati</t>
  </si>
  <si>
    <t>Tarumirim</t>
  </si>
  <si>
    <t>Riachão do Dantas</t>
  </si>
  <si>
    <t>Itaguaçu</t>
  </si>
  <si>
    <t>Palmeiras</t>
  </si>
  <si>
    <t>Jequitinhonha</t>
  </si>
  <si>
    <t>Monte Formoso</t>
  </si>
  <si>
    <t>Feira Nova</t>
  </si>
  <si>
    <t>Nossa Senhora das Dores</t>
  </si>
  <si>
    <t>Fernandes Tourinho</t>
  </si>
  <si>
    <t>Engenheiro Caldas</t>
  </si>
  <si>
    <t>Umbaúba</t>
  </si>
  <si>
    <t>Canarana</t>
  </si>
  <si>
    <t>Itapetim</t>
  </si>
  <si>
    <t>Boninal</t>
  </si>
  <si>
    <t>Gracho Cardoso</t>
  </si>
  <si>
    <t>Ibipeba</t>
  </si>
  <si>
    <t>Teotônio Vilela</t>
  </si>
  <si>
    <t>São Geraldo da Piedade</t>
  </si>
  <si>
    <t>São José da Laje</t>
  </si>
  <si>
    <t>Medina</t>
  </si>
  <si>
    <t>Tacaimbó</t>
  </si>
  <si>
    <t>Major Isidoro</t>
  </si>
  <si>
    <t>Feira Grande</t>
  </si>
  <si>
    <t>Cumbe</t>
  </si>
  <si>
    <t>Belo Campo</t>
  </si>
  <si>
    <t>Olho d'Água das Flores</t>
  </si>
  <si>
    <t>Cacimbinhas</t>
  </si>
  <si>
    <t>Uibaí</t>
  </si>
  <si>
    <t>Canapi</t>
  </si>
  <si>
    <t>Mar Vermelho</t>
  </si>
  <si>
    <t>Mato Verde</t>
  </si>
  <si>
    <t>Simão Dias</t>
  </si>
  <si>
    <t>Ibateguara</t>
  </si>
  <si>
    <t>Passo de Camaragibe</t>
  </si>
  <si>
    <t>Mirandiba</t>
  </si>
  <si>
    <t>Açucena</t>
  </si>
  <si>
    <t>Monte Horebe</t>
  </si>
  <si>
    <t>Custódia</t>
  </si>
  <si>
    <t>Bonito de Santa Fé</t>
  </si>
  <si>
    <t>Amaralina</t>
  </si>
  <si>
    <t>Penaforte</t>
  </si>
  <si>
    <t>Davinópolis</t>
  </si>
  <si>
    <t>Mucurici</t>
  </si>
  <si>
    <t>Alpercata</t>
  </si>
  <si>
    <t>Irajuba</t>
  </si>
  <si>
    <t>Jussara</t>
  </si>
  <si>
    <t>Princesa Isabel</t>
  </si>
  <si>
    <t>Paulo Jacinto</t>
  </si>
  <si>
    <t>Coroaci</t>
  </si>
  <si>
    <t>Padre Paraíso</t>
  </si>
  <si>
    <t>Ibititá</t>
  </si>
  <si>
    <t>Poço das Trincheiras</t>
  </si>
  <si>
    <t>Santana do Mundaú</t>
  </si>
  <si>
    <t>Campos Verdes</t>
  </si>
  <si>
    <t>Cambará</t>
  </si>
  <si>
    <t>Presidente Dutra</t>
  </si>
  <si>
    <t>Caraí</t>
  </si>
  <si>
    <t>Joaquim Gomes</t>
  </si>
  <si>
    <t>Igaci</t>
  </si>
  <si>
    <t>Rio de Contas</t>
  </si>
  <si>
    <t>Senador Rui Palmeira</t>
  </si>
  <si>
    <t>Dois Riachos</t>
  </si>
  <si>
    <t>Cajueiro</t>
  </si>
  <si>
    <t>Chã Preta</t>
  </si>
  <si>
    <t>Faina</t>
  </si>
  <si>
    <t>Três Ranchos</t>
  </si>
  <si>
    <t>Inhapi</t>
  </si>
  <si>
    <t>Central</t>
  </si>
  <si>
    <t>Boa Nova</t>
  </si>
  <si>
    <t>Biquinhas</t>
  </si>
  <si>
    <t>Joanésia</t>
  </si>
  <si>
    <t>Lagoa da Canoa</t>
  </si>
  <si>
    <t>Braúnas</t>
  </si>
  <si>
    <t>Olivença</t>
  </si>
  <si>
    <t>Taparuba</t>
  </si>
  <si>
    <t>Santana do Ipanema</t>
  </si>
  <si>
    <t>Mutum</t>
  </si>
  <si>
    <t>Douradoquara</t>
  </si>
  <si>
    <t>Livramento de Nossa Senhora</t>
  </si>
  <si>
    <t>Porteirinha</t>
  </si>
  <si>
    <t>São Sebastião do Maranhão</t>
  </si>
  <si>
    <t>Poções</t>
  </si>
  <si>
    <t>Itaguaçu da Bahia</t>
  </si>
  <si>
    <t>Mara Rosa</t>
  </si>
  <si>
    <t>Carneiros</t>
  </si>
  <si>
    <t>Delmiro Gouveia</t>
  </si>
  <si>
    <t>Caldas Novas</t>
  </si>
  <si>
    <t>Érico Cardoso</t>
  </si>
  <si>
    <t>Rio do Pires</t>
  </si>
  <si>
    <t>Ponto dos Volantes</t>
  </si>
  <si>
    <t>Araripina</t>
  </si>
  <si>
    <t>Alto Horizonte</t>
  </si>
  <si>
    <t>Riacho dos Machados</t>
  </si>
  <si>
    <t>Ouro Velho</t>
  </si>
  <si>
    <t>Grupiara</t>
  </si>
  <si>
    <t>Paineiras</t>
  </si>
  <si>
    <t>Itagi</t>
  </si>
  <si>
    <t>Estrela do Norte</t>
  </si>
  <si>
    <t>Ji-Paraná</t>
  </si>
  <si>
    <t>Veredinha</t>
  </si>
  <si>
    <t>Itaobim</t>
  </si>
  <si>
    <t>Serranópolis de Minas</t>
  </si>
  <si>
    <t>Monjolos</t>
  </si>
  <si>
    <t>Dom Basílio</t>
  </si>
  <si>
    <t>Caturama</t>
  </si>
  <si>
    <t>Paramirim</t>
  </si>
  <si>
    <t>Pirajuba</t>
  </si>
  <si>
    <t>Quirinópolis</t>
  </si>
  <si>
    <t>Aragoiânia</t>
  </si>
  <si>
    <t>Ibitiara</t>
  </si>
  <si>
    <t>Dom Bosco</t>
  </si>
  <si>
    <t>Igaporã</t>
  </si>
  <si>
    <t>Matina</t>
  </si>
  <si>
    <t>Tanque Novo</t>
  </si>
  <si>
    <t>Bambuí</t>
  </si>
  <si>
    <t>Nova Iguaçu de Goiás</t>
  </si>
  <si>
    <t>Josenópolis</t>
  </si>
  <si>
    <t>Cachoeira de Pajeú</t>
  </si>
  <si>
    <t>Ingazeira</t>
  </si>
  <si>
    <t>Campinorte</t>
  </si>
  <si>
    <t>Cristália</t>
  </si>
  <si>
    <t>Campo Alegre de Goiás</t>
  </si>
  <si>
    <t>Padre Carvalho</t>
  </si>
  <si>
    <t>Inaciolândia</t>
  </si>
  <si>
    <t>Maturéia</t>
  </si>
  <si>
    <t>Umburanas</t>
  </si>
  <si>
    <t>Damianópolis</t>
  </si>
  <si>
    <t>Orobó</t>
  </si>
  <si>
    <t>Santa Cruz de Salinas</t>
  </si>
  <si>
    <t>Planura</t>
  </si>
  <si>
    <t>Bonfinópolis de Minas</t>
  </si>
  <si>
    <t>Cascalho Rico</t>
  </si>
  <si>
    <t>Santa Terezinha de Goiás</t>
  </si>
  <si>
    <t>Botuporã</t>
  </si>
  <si>
    <t>Estrela do Sul</t>
  </si>
  <si>
    <t>Comercinho</t>
  </si>
  <si>
    <t>Rubelita</t>
  </si>
  <si>
    <t>Irecê</t>
  </si>
  <si>
    <t>Virgem da Lapa</t>
  </si>
  <si>
    <t>Rio Pardo de Minas</t>
  </si>
  <si>
    <t>Guapó</t>
  </si>
  <si>
    <t>Bom Jesus do Amparo</t>
  </si>
  <si>
    <t>Francisco Badaró</t>
  </si>
  <si>
    <t>Jenipapo de Minas</t>
  </si>
  <si>
    <t>Castelândia</t>
  </si>
  <si>
    <t>Olhos-d'Água</t>
  </si>
  <si>
    <t>Francisco Dumont</t>
  </si>
  <si>
    <t>Ibipitanga</t>
  </si>
  <si>
    <t>José Gonçalves de Minas</t>
  </si>
  <si>
    <t>Junqueiro</t>
  </si>
  <si>
    <t>Botumirim</t>
  </si>
  <si>
    <t>Buritinópolis</t>
  </si>
  <si>
    <t>Rio Quente</t>
  </si>
  <si>
    <t>Lapão</t>
  </si>
  <si>
    <t>Seridó</t>
  </si>
  <si>
    <t>Uruaçu</t>
  </si>
  <si>
    <t>Anápolis</t>
  </si>
  <si>
    <t>Berilo</t>
  </si>
  <si>
    <t>Abadia de Goiás</t>
  </si>
  <si>
    <t>Gentio do Ouro</t>
  </si>
  <si>
    <t>Nova União</t>
  </si>
  <si>
    <t>Presidente Juscelino</t>
  </si>
  <si>
    <t>Guajará-Mirim</t>
  </si>
  <si>
    <t>Goiatuba</t>
  </si>
  <si>
    <t>Gouvelândia</t>
  </si>
  <si>
    <t>Leme do Prado</t>
  </si>
  <si>
    <t>Cândido Sales</t>
  </si>
  <si>
    <t>Goianápolis</t>
  </si>
  <si>
    <t>Salitre</t>
  </si>
  <si>
    <t>Bela Vista de Goiás</t>
  </si>
  <si>
    <t>Mairipotaba</t>
  </si>
  <si>
    <t>Cromínia</t>
  </si>
  <si>
    <t>Anadia</t>
  </si>
  <si>
    <t>Ipiaçu</t>
  </si>
  <si>
    <t>Pedro Leopoldo</t>
  </si>
  <si>
    <t>Macaúbas</t>
  </si>
  <si>
    <t>Aparecida de Goiânia</t>
  </si>
  <si>
    <t>Trindade</t>
  </si>
  <si>
    <t>Coronel Murta</t>
  </si>
  <si>
    <t>Cedro do Abaeté</t>
  </si>
  <si>
    <t>Vicentinópolis</t>
  </si>
  <si>
    <t>Terezópolis de Goiás</t>
  </si>
  <si>
    <t>Comendador Gomes</t>
  </si>
  <si>
    <t>Jaboticatubas</t>
  </si>
  <si>
    <t>Pindobaçu</t>
  </si>
  <si>
    <t>Córrego Danta</t>
  </si>
  <si>
    <t>Lagoa Formosa</t>
  </si>
  <si>
    <t>Inhumas</t>
  </si>
  <si>
    <t>Manari</t>
  </si>
  <si>
    <t>Francisco Sá</t>
  </si>
  <si>
    <t>Cláudio</t>
  </si>
  <si>
    <t>Chapadão do Céu</t>
  </si>
  <si>
    <t>Boquira</t>
  </si>
  <si>
    <t>Botucatu</t>
  </si>
  <si>
    <t>Bonito de Minas</t>
  </si>
  <si>
    <t>Matozinhos</t>
  </si>
  <si>
    <t>Itacambira</t>
  </si>
  <si>
    <t>Ipupiara</t>
  </si>
  <si>
    <t>Romaria</t>
  </si>
  <si>
    <t>Porteirão</t>
  </si>
  <si>
    <t>Ibaté</t>
  </si>
  <si>
    <t>Curral de Dentro</t>
  </si>
  <si>
    <t>Marzagão</t>
  </si>
  <si>
    <t>Minas Novas</t>
  </si>
  <si>
    <t>Senador Canedo</t>
  </si>
  <si>
    <t>Panamá</t>
  </si>
  <si>
    <t>Berizal</t>
  </si>
  <si>
    <t>Guaraciama</t>
  </si>
  <si>
    <t>Itinga</t>
  </si>
  <si>
    <t>Professor Jamil</t>
  </si>
  <si>
    <t>Brotas de Macaúbas</t>
  </si>
  <si>
    <t>Maurilândia</t>
  </si>
  <si>
    <t>Santa Vitória</t>
  </si>
  <si>
    <t>Campo Florido</t>
  </si>
  <si>
    <t>Colômbia</t>
  </si>
  <si>
    <t>Divisa Alegre</t>
  </si>
  <si>
    <t>Caldazinha</t>
  </si>
  <si>
    <t>Santa Cruz da Baixa Verde</t>
  </si>
  <si>
    <t>Bonfinópolis</t>
  </si>
  <si>
    <t>Fruta de Leite</t>
  </si>
  <si>
    <t>Santa Juliana</t>
  </si>
  <si>
    <t>Campestre de Goiás</t>
  </si>
  <si>
    <t>Edealina</t>
  </si>
  <si>
    <t>Pedrinópolis</t>
  </si>
  <si>
    <t>Campo Limpo de Goiás</t>
  </si>
  <si>
    <t>Valparaíso de Goiás</t>
  </si>
  <si>
    <t>Casinhas</t>
  </si>
  <si>
    <t>Capim Branco</t>
  </si>
  <si>
    <t>Chapada do Norte</t>
  </si>
  <si>
    <t>Novo Gama</t>
  </si>
  <si>
    <t>Cachoeira Dourada</t>
  </si>
  <si>
    <t>Joviânia</t>
  </si>
  <si>
    <t>Turvelândia</t>
  </si>
  <si>
    <t>Caturaí</t>
  </si>
  <si>
    <t>Bauru</t>
  </si>
  <si>
    <t>Morro Agudo de Goiás</t>
  </si>
  <si>
    <t>Porto dos Gaúchos</t>
  </si>
  <si>
    <t>São Sebastião</t>
  </si>
  <si>
    <t>Morro da Garça</t>
  </si>
  <si>
    <t>Funilândia</t>
  </si>
  <si>
    <t>Sítio d'Abadia</t>
  </si>
  <si>
    <t>Baldim</t>
  </si>
  <si>
    <t>Barretos</t>
  </si>
  <si>
    <t>Nova Aurora</t>
  </si>
  <si>
    <t>Cidade Ocidental</t>
  </si>
  <si>
    <t>Santa Bárbara de Goiás</t>
  </si>
  <si>
    <t>Corumbaíba</t>
  </si>
  <si>
    <t>Goiânia</t>
  </si>
  <si>
    <t>Cezarina</t>
  </si>
  <si>
    <t>Damolândia</t>
  </si>
  <si>
    <t>Araguapaz</t>
  </si>
  <si>
    <t>Patrocínio Paulista</t>
  </si>
  <si>
    <t>Guaraíta</t>
  </si>
  <si>
    <t>Araçu</t>
  </si>
  <si>
    <t>Natalândia</t>
  </si>
  <si>
    <t>Claro dos Poções</t>
  </si>
  <si>
    <t>Montes Claros</t>
  </si>
  <si>
    <t>Edéia</t>
  </si>
  <si>
    <t>Itauçu</t>
  </si>
  <si>
    <t>Ouro Verde de Goiás</t>
  </si>
  <si>
    <t>Indianópolis</t>
  </si>
  <si>
    <t>Inocência</t>
  </si>
  <si>
    <t>Piracanjuba</t>
  </si>
  <si>
    <t>Patos de Minas</t>
  </si>
  <si>
    <t>Inimutaba</t>
  </si>
  <si>
    <t>Capitão Enéas</t>
  </si>
  <si>
    <t>Felixlândia</t>
  </si>
  <si>
    <t>Água Limpa</t>
  </si>
  <si>
    <t>Taquaritinga do Norte</t>
  </si>
  <si>
    <t>Paracatu</t>
  </si>
  <si>
    <t>Nerópolis</t>
  </si>
  <si>
    <t>Jequitaí</t>
  </si>
  <si>
    <t>Itirapuã</t>
  </si>
  <si>
    <t>Prudente de Morais</t>
  </si>
  <si>
    <t>Novais</t>
  </si>
  <si>
    <t>Cruzeiro da Fortaleza</t>
  </si>
  <si>
    <t>Itapuranga</t>
  </si>
  <si>
    <t>Júlio Mesquita</t>
  </si>
  <si>
    <t>Santana de Pirapama</t>
  </si>
  <si>
    <t>Jequitibá</t>
  </si>
  <si>
    <t>São Sebastião do Paraíso</t>
  </si>
  <si>
    <t>Goianira</t>
  </si>
  <si>
    <t>Planaltina</t>
  </si>
  <si>
    <t>Estrela do Indaiá</t>
  </si>
  <si>
    <t>Campinaçu</t>
  </si>
  <si>
    <t>Oliveira dos Brejinhos</t>
  </si>
  <si>
    <t>Santo Antônio do Descoberto</t>
  </si>
  <si>
    <t>Brejinho</t>
  </si>
  <si>
    <t>Avelinópolis</t>
  </si>
  <si>
    <t>Petrolina de Goiás</t>
  </si>
  <si>
    <t>Jataúba</t>
  </si>
  <si>
    <t>Capinópolis</t>
  </si>
  <si>
    <t>Matrinchã</t>
  </si>
  <si>
    <t>Cristianópolis</t>
  </si>
  <si>
    <t>Formoso</t>
  </si>
  <si>
    <t>Santa Rosa de Goiás</t>
  </si>
  <si>
    <t>Araçaí</t>
  </si>
  <si>
    <t>Glaucilândia</t>
  </si>
  <si>
    <t>Santa Fé de Minas</t>
  </si>
  <si>
    <t>Sete Lagoas</t>
  </si>
  <si>
    <t>Carbonita</t>
  </si>
  <si>
    <t>Altair</t>
  </si>
  <si>
    <t>Indiara</t>
  </si>
  <si>
    <t>Alto Garças</t>
  </si>
  <si>
    <t>Restinga</t>
  </si>
  <si>
    <t>Aloândia</t>
  </si>
  <si>
    <t>Águas Lindas de Goiás</t>
  </si>
  <si>
    <t>Abadiânia</t>
  </si>
  <si>
    <t>Taiobeiras</t>
  </si>
  <si>
    <t>Brazabrantes</t>
  </si>
  <si>
    <t>Águas Vermelhas</t>
  </si>
  <si>
    <t>Papagaios</t>
  </si>
  <si>
    <t>Buíque</t>
  </si>
  <si>
    <t>Cordisburgo</t>
  </si>
  <si>
    <t>Curvelo</t>
  </si>
  <si>
    <t>Pontalina</t>
  </si>
  <si>
    <t>Veríssimo</t>
  </si>
  <si>
    <t>Arcos</t>
  </si>
  <si>
    <t>Cabeceira Grande</t>
  </si>
  <si>
    <t>Mata Grande</t>
  </si>
  <si>
    <t>São Caitano</t>
  </si>
  <si>
    <t>Heitoraí</t>
  </si>
  <si>
    <t>Taquaral de Goiás</t>
  </si>
  <si>
    <t>Nazário</t>
  </si>
  <si>
    <t>Paraopeba</t>
  </si>
  <si>
    <t>Anicuns</t>
  </si>
  <si>
    <t>Juramento</t>
  </si>
  <si>
    <t>Camacho</t>
  </si>
  <si>
    <t>Nova Ponte</t>
  </si>
  <si>
    <t>Novorizonte</t>
  </si>
  <si>
    <t>São Miguel do Passa Quatro</t>
  </si>
  <si>
    <t>Santa Helena de Goiás</t>
  </si>
  <si>
    <t>Tuparetama</t>
  </si>
  <si>
    <t>Guimarânia</t>
  </si>
  <si>
    <t>São Tomás de Aquino</t>
  </si>
  <si>
    <t>Delfinópolis</t>
  </si>
  <si>
    <t>Guaraci</t>
  </si>
  <si>
    <t>Americano do Brasil</t>
  </si>
  <si>
    <t>Paranaiguara</t>
  </si>
  <si>
    <t>Caetanópolis</t>
  </si>
  <si>
    <t>Santa Cruz de Goiás</t>
  </si>
  <si>
    <t>Capetinga</t>
  </si>
  <si>
    <t>Alexânia</t>
  </si>
  <si>
    <t>Itaguari</t>
  </si>
  <si>
    <t>Marinópolis</t>
  </si>
  <si>
    <t>Uruana de Minas</t>
  </si>
  <si>
    <t>Jesúpolis</t>
  </si>
  <si>
    <t>Urucuia</t>
  </si>
  <si>
    <t>Fortaleza de Minas</t>
  </si>
  <si>
    <t>Uruana</t>
  </si>
  <si>
    <t>Mimoso de Goiás</t>
  </si>
  <si>
    <t>Itaguaru</t>
  </si>
  <si>
    <t>Lins</t>
  </si>
  <si>
    <t>São Simão</t>
  </si>
  <si>
    <t>Pratápolis</t>
  </si>
  <si>
    <t>Cocos</t>
  </si>
  <si>
    <t>Quartel Geral</t>
  </si>
  <si>
    <t>Palmelo</t>
  </si>
  <si>
    <t>Rochedo</t>
  </si>
  <si>
    <t>Buriti Alegre</t>
  </si>
  <si>
    <t>Adelândia</t>
  </si>
  <si>
    <t>São Joaquim da Barra</t>
  </si>
  <si>
    <t>Luz</t>
  </si>
  <si>
    <t>Cássia</t>
  </si>
  <si>
    <t>Acreúna</t>
  </si>
  <si>
    <t>São Francisco de Goiás</t>
  </si>
  <si>
    <t>Coribe</t>
  </si>
  <si>
    <t>Tupaciguara</t>
  </si>
  <si>
    <t>Itapecerica</t>
  </si>
  <si>
    <t>Jandaia</t>
  </si>
  <si>
    <t>Orizona</t>
  </si>
  <si>
    <t>Miguelópolis</t>
  </si>
  <si>
    <t>São Patrício</t>
  </si>
  <si>
    <t>Uberaba</t>
  </si>
  <si>
    <t>Itaú de Minas</t>
  </si>
  <si>
    <t>Gameleira de Goiás</t>
  </si>
  <si>
    <t>Santo Antônio da Barra</t>
  </si>
  <si>
    <t>Jaraguá</t>
  </si>
  <si>
    <t>Cônego Marinho</t>
  </si>
  <si>
    <t>Inhaúma</t>
  </si>
  <si>
    <t>Padre Bernardo</t>
  </si>
  <si>
    <t>Santo Antônio de Goiás</t>
  </si>
  <si>
    <t>Turvânia</t>
  </si>
  <si>
    <t>Palmeiras de Goiás</t>
  </si>
  <si>
    <t>Urutaí</t>
  </si>
  <si>
    <t>Cachoeira da Prata</t>
  </si>
  <si>
    <t>Corguinho</t>
  </si>
  <si>
    <t>São Luís de Montes Belos</t>
  </si>
  <si>
    <t>Cachoeira Alta</t>
  </si>
  <si>
    <t>Firminópolis</t>
  </si>
  <si>
    <t>Conceição das Alagoas</t>
  </si>
  <si>
    <t>Pompéu</t>
  </si>
  <si>
    <t>Tupanatinga</t>
  </si>
  <si>
    <t>Palminópolis</t>
  </si>
  <si>
    <t>Itaberaí</t>
  </si>
  <si>
    <t>Pires do Rio</t>
  </si>
  <si>
    <t>Álvaro de Carvalho</t>
  </si>
  <si>
    <t>São Francisco</t>
  </si>
  <si>
    <t>Matias Cardoso</t>
  </si>
  <si>
    <t>Araguainha</t>
  </si>
  <si>
    <t>Gurinhatã</t>
  </si>
  <si>
    <t>Santa Salete</t>
  </si>
  <si>
    <t>Urânia</t>
  </si>
  <si>
    <t>Itumbiara</t>
  </si>
  <si>
    <t>Aurilândia</t>
  </si>
  <si>
    <t>Manga</t>
  </si>
  <si>
    <t>Lagoa dos Patos</t>
  </si>
  <si>
    <t>Corumbá de Goiás</t>
  </si>
  <si>
    <t>Buritizeiro</t>
  </si>
  <si>
    <t>Pirapora</t>
  </si>
  <si>
    <t>Limeira do Oeste</t>
  </si>
  <si>
    <t>Ibiraci</t>
  </si>
  <si>
    <t>Ivolândia</t>
  </si>
  <si>
    <t>São Gabriel do Oeste</t>
  </si>
  <si>
    <t>Salinas</t>
  </si>
  <si>
    <t>Jaborandi</t>
  </si>
  <si>
    <t>Moiporá</t>
  </si>
  <si>
    <t>São João da Paraúna</t>
  </si>
  <si>
    <t>São João da Lagoa</t>
  </si>
  <si>
    <t>Passos</t>
  </si>
  <si>
    <t>Minaçu</t>
  </si>
  <si>
    <t>Umbuzeiro</t>
  </si>
  <si>
    <t>União de Minas</t>
  </si>
  <si>
    <t>Cachoeira de Goiás</t>
  </si>
  <si>
    <t>Unaí</t>
  </si>
  <si>
    <t>São João das Missões</t>
  </si>
  <si>
    <t>Ipameri</t>
  </si>
  <si>
    <t>Sacramento</t>
  </si>
  <si>
    <t>Januária</t>
  </si>
  <si>
    <t>Iporá</t>
  </si>
  <si>
    <t>Araporã</t>
  </si>
  <si>
    <t>Vitória Brasil</t>
  </si>
  <si>
    <t>Leopoldo de Bulhões</t>
  </si>
  <si>
    <t>São João da Ponte</t>
  </si>
  <si>
    <t>Centralina</t>
  </si>
  <si>
    <t>Monte Alegre de Minas</t>
  </si>
  <si>
    <t>Amorinópolis</t>
  </si>
  <si>
    <t>Paraúna</t>
  </si>
  <si>
    <t>Votuporanga</t>
  </si>
  <si>
    <t>Patis</t>
  </si>
  <si>
    <t>Caçu</t>
  </si>
  <si>
    <t>Paranapuã</t>
  </si>
  <si>
    <t>Carneirinho</t>
  </si>
  <si>
    <t>Miravânia</t>
  </si>
  <si>
    <t>Água Comprida</t>
  </si>
  <si>
    <t>Pedras de Maria da Cruz</t>
  </si>
  <si>
    <t>Nova América</t>
  </si>
  <si>
    <t>Mirabela</t>
  </si>
  <si>
    <t>Conquista</t>
  </si>
  <si>
    <t>Pintópolis</t>
  </si>
  <si>
    <t>Feira da Mata</t>
  </si>
  <si>
    <t>Cocalzinho de Goiás</t>
  </si>
  <si>
    <t>Guarinos</t>
  </si>
  <si>
    <t>Campina Verde</t>
  </si>
  <si>
    <t>Canápolis</t>
  </si>
  <si>
    <t>Nova Brasilândia</t>
  </si>
  <si>
    <t>Juvenília</t>
  </si>
  <si>
    <t>Ponte Branca</t>
  </si>
  <si>
    <t>Álvares Florence</t>
  </si>
  <si>
    <t>Varzelândia</t>
  </si>
  <si>
    <t>Rubiataba</t>
  </si>
  <si>
    <t>Ibiracatu</t>
  </si>
  <si>
    <t>Vianópolis</t>
  </si>
  <si>
    <t>Dolcinópolis</t>
  </si>
  <si>
    <t>Santa Rita do Novo Destino</t>
  </si>
  <si>
    <t>Lontra</t>
  </si>
  <si>
    <t>Pirenópolis</t>
  </si>
  <si>
    <t>Iturama</t>
  </si>
  <si>
    <t>Ibiaí</t>
  </si>
  <si>
    <t>Palestina de Goiás</t>
  </si>
  <si>
    <t>Populina</t>
  </si>
  <si>
    <t>Aparecida do Rio Doce</t>
  </si>
  <si>
    <t>Arenópolis</t>
  </si>
  <si>
    <t>Japonvar</t>
  </si>
  <si>
    <t>Ilhabela</t>
  </si>
  <si>
    <t>Itarumã</t>
  </si>
  <si>
    <t>Planalto da Serra</t>
  </si>
  <si>
    <t>Catolândia</t>
  </si>
  <si>
    <t>Aporé</t>
  </si>
  <si>
    <t>Vila Propício</t>
  </si>
  <si>
    <t>Piranhas</t>
  </si>
  <si>
    <t>Montividiu</t>
  </si>
  <si>
    <t>Coração de Jesus</t>
  </si>
  <si>
    <t>Boqueirão</t>
  </si>
  <si>
    <t>Ponto Chique</t>
  </si>
  <si>
    <t>Itajá</t>
  </si>
  <si>
    <t>Rio Verde de Mato Grosso</t>
  </si>
  <si>
    <t>São Desidério</t>
  </si>
  <si>
    <t>Brasília de Minas</t>
  </si>
  <si>
    <t>Doverlândia</t>
  </si>
  <si>
    <t>Hidrolina</t>
  </si>
  <si>
    <t>Ipiranga de Goiás</t>
  </si>
  <si>
    <t>Silvânia</t>
  </si>
  <si>
    <t>Luislândia</t>
  </si>
  <si>
    <t>Luis Eduardo Magalhães</t>
  </si>
  <si>
    <t>Ribeirãozinho</t>
  </si>
  <si>
    <t>São João do Pacuí</t>
  </si>
  <si>
    <t>Cassilândia</t>
  </si>
  <si>
    <t>Portelândia</t>
  </si>
  <si>
    <t>Serranópolis</t>
  </si>
  <si>
    <t>Santo Antônio do Leste</t>
  </si>
  <si>
    <t>Montalvânia</t>
  </si>
  <si>
    <t>Ubaí</t>
  </si>
  <si>
    <t>Icaraí de Minas</t>
  </si>
  <si>
    <t>Campo Azul</t>
  </si>
  <si>
    <t>São Luíz do Norte</t>
  </si>
  <si>
    <t>Ituiutaba</t>
  </si>
  <si>
    <t>Pilar de Goiás</t>
  </si>
  <si>
    <t>Corumbá</t>
  </si>
  <si>
    <t>Tesouro</t>
  </si>
  <si>
    <t>Perolândia</t>
  </si>
  <si>
    <t>Mineiros</t>
  </si>
  <si>
    <t>Morrinhos</t>
  </si>
  <si>
    <t>Primavera do Leste</t>
  </si>
  <si>
    <t>Correntina</t>
  </si>
  <si>
    <t>Jataí</t>
  </si>
  <si>
    <t>Comodoro</t>
  </si>
  <si>
    <t>Paranatinga</t>
  </si>
  <si>
    <t>Itapaci</t>
  </si>
  <si>
    <t>Taquari</t>
  </si>
  <si>
    <t>Sete de Setembro</t>
  </si>
  <si>
    <t>Araquari</t>
  </si>
  <si>
    <t>Giruá</t>
  </si>
  <si>
    <t>Guaraqueçaba</t>
  </si>
  <si>
    <t>Senador Salgado Filho</t>
  </si>
  <si>
    <t>Gaspar</t>
  </si>
  <si>
    <t>Blumenau</t>
  </si>
  <si>
    <t>Luiz Alves</t>
  </si>
  <si>
    <t>Rio de Janeiro</t>
  </si>
  <si>
    <t>Guarani das Missões</t>
  </si>
  <si>
    <t>Augusto Pestana</t>
  </si>
  <si>
    <t>Santo Cristo</t>
  </si>
  <si>
    <t>Eldorado</t>
  </si>
  <si>
    <t>Balneário Barra do Sul</t>
  </si>
  <si>
    <t>Japorã</t>
  </si>
  <si>
    <t>Ubiretama</t>
  </si>
  <si>
    <t>Paranaguá</t>
  </si>
  <si>
    <t>São João do Itaperiú</t>
  </si>
  <si>
    <t>Conceição de Macabu</t>
  </si>
  <si>
    <t>Pontal do Paraná</t>
  </si>
  <si>
    <t>Tucunduva</t>
  </si>
  <si>
    <t>Ijuí</t>
  </si>
  <si>
    <t>Rio das Ostras</t>
  </si>
  <si>
    <t>Tuparendi</t>
  </si>
  <si>
    <t>Governador Lindenberg</t>
  </si>
  <si>
    <t>Maripá</t>
  </si>
  <si>
    <t>São Pedro da Aldeia</t>
  </si>
  <si>
    <t>Matinhos</t>
  </si>
  <si>
    <t>Cândido Godói</t>
  </si>
  <si>
    <t>Catuípe</t>
  </si>
  <si>
    <t>Cubatão</t>
  </si>
  <si>
    <t>Itaguaí</t>
  </si>
  <si>
    <t>Barra Velha</t>
  </si>
  <si>
    <t>Horizontina</t>
  </si>
  <si>
    <t>São Vicente</t>
  </si>
  <si>
    <t>Novo Machado</t>
  </si>
  <si>
    <t>Doutor Maurício Cardoso</t>
  </si>
  <si>
    <t>Angra dos Reis</t>
  </si>
  <si>
    <t>Porto Mauá</t>
  </si>
  <si>
    <t>Alecrim</t>
  </si>
  <si>
    <t>Seara</t>
  </si>
  <si>
    <t>Santa Rosa</t>
  </si>
  <si>
    <t>Carapebus</t>
  </si>
  <si>
    <t>Guaíra</t>
  </si>
  <si>
    <t>Silva Jardim</t>
  </si>
  <si>
    <t>Santa Terezinha de Itaipu</t>
  </si>
  <si>
    <t>Três de Maio</t>
  </si>
  <si>
    <t>Santos</t>
  </si>
  <si>
    <t>Miguel Pereira</t>
  </si>
  <si>
    <t>Paty do Alferes</t>
  </si>
  <si>
    <t>Nova Prata do Iguaçu</t>
  </si>
  <si>
    <t>Porto Vera Cruz</t>
  </si>
  <si>
    <t>Boa Vista da Aparecida</t>
  </si>
  <si>
    <t>Tiradentes do Sul</t>
  </si>
  <si>
    <t>Bozano</t>
  </si>
  <si>
    <t>Marilândia</t>
  </si>
  <si>
    <t>Casimiro de Abreu</t>
  </si>
  <si>
    <t>Caibaté</t>
  </si>
  <si>
    <t>Mato Queimado</t>
  </si>
  <si>
    <t>Campos dos Goytacazes</t>
  </si>
  <si>
    <t>Guaratuba</t>
  </si>
  <si>
    <t>Independência</t>
  </si>
  <si>
    <t>Iguatemi</t>
  </si>
  <si>
    <t>Naviraí</t>
  </si>
  <si>
    <t>Paranavaí</t>
  </si>
  <si>
    <t>Guaramirim</t>
  </si>
  <si>
    <t>Crissiumal</t>
  </si>
  <si>
    <t>Brasilândia do Sul</t>
  </si>
  <si>
    <t>Esperança do Sul</t>
  </si>
  <si>
    <t>Terra Roxa</t>
  </si>
  <si>
    <t>Campo Bom</t>
  </si>
  <si>
    <t>Campina das Missões</t>
  </si>
  <si>
    <t>Jaraguá do Sul</t>
  </si>
  <si>
    <t>Queimados</t>
  </si>
  <si>
    <t>Ilhota</t>
  </si>
  <si>
    <t>Ubiratã</t>
  </si>
  <si>
    <t>Porto Lucena</t>
  </si>
  <si>
    <t>Boa Esperança do Iguaçu</t>
  </si>
  <si>
    <t>Godoy Moreira</t>
  </si>
  <si>
    <t>Cerro Largo</t>
  </si>
  <si>
    <t>Itá</t>
  </si>
  <si>
    <t>Seropédica</t>
  </si>
  <si>
    <t>Boa Vista do Buricá</t>
  </si>
  <si>
    <t>São João do Ivaí</t>
  </si>
  <si>
    <t>Balneário Piçarras</t>
  </si>
  <si>
    <t>Penha</t>
  </si>
  <si>
    <t>Anahy</t>
  </si>
  <si>
    <t>São José do Inhacorá</t>
  </si>
  <si>
    <t>Cachoeiro de Itapemirim</t>
  </si>
  <si>
    <t>Tupãssi</t>
  </si>
  <si>
    <t>Iretama</t>
  </si>
  <si>
    <t>Nova Candelária</t>
  </si>
  <si>
    <t>Lunardelli</t>
  </si>
  <si>
    <t>São Fidélis</t>
  </si>
  <si>
    <t>Japeri</t>
  </si>
  <si>
    <t>Barbosa Ferraz</t>
  </si>
  <si>
    <t>Engenheiro Paulo de Frontin</t>
  </si>
  <si>
    <t>Borrazópolis</t>
  </si>
  <si>
    <t>Pinheirinho do Vale</t>
  </si>
  <si>
    <t>Janiópolis</t>
  </si>
  <si>
    <t>Novo Itacolomi</t>
  </si>
  <si>
    <t>Três Passos</t>
  </si>
  <si>
    <t>Ipaba</t>
  </si>
  <si>
    <t>Alto Paraná</t>
  </si>
  <si>
    <t>Presidente Kennedy</t>
  </si>
  <si>
    <t>Farol</t>
  </si>
  <si>
    <t>Porto Xavier</t>
  </si>
  <si>
    <t>Rancho Alegre d'Oeste</t>
  </si>
  <si>
    <t>Lidianópolis</t>
  </si>
  <si>
    <t>São Pedro do Ivaí</t>
  </si>
  <si>
    <t>Humaitá</t>
  </si>
  <si>
    <t>Corumbataí do Sul</t>
  </si>
  <si>
    <t>Kaloré</t>
  </si>
  <si>
    <t>São Miguel do Iguaçu</t>
  </si>
  <si>
    <t>Cambira</t>
  </si>
  <si>
    <t>Cafelândia</t>
  </si>
  <si>
    <t>Ouro Verde do Oeste</t>
  </si>
  <si>
    <t>Atílio Vivacqua</t>
  </si>
  <si>
    <t>Serranópolis do Iguaçu</t>
  </si>
  <si>
    <t>Nova Olímpia</t>
  </si>
  <si>
    <t>Maria Helena</t>
  </si>
  <si>
    <t>São Paulo das Missões</t>
  </si>
  <si>
    <t>Tuneiras do Oeste</t>
  </si>
  <si>
    <t>Guaporema</t>
  </si>
  <si>
    <t>Marumbi</t>
  </si>
  <si>
    <t>Cardoso Moreira</t>
  </si>
  <si>
    <t>Jequié</t>
  </si>
  <si>
    <t>Fênix</t>
  </si>
  <si>
    <t>Nova Santa Rosa</t>
  </si>
  <si>
    <t>Mirador</t>
  </si>
  <si>
    <t>Alto Paraíso</t>
  </si>
  <si>
    <t>Macuco</t>
  </si>
  <si>
    <t>Douradina</t>
  </si>
  <si>
    <t>Rondon</t>
  </si>
  <si>
    <t>Cruzmaltina</t>
  </si>
  <si>
    <t>Paracambi</t>
  </si>
  <si>
    <t>Cruzeiro do Oeste</t>
  </si>
  <si>
    <t>Jandaia do Sul</t>
  </si>
  <si>
    <t>São José das Palmeiras</t>
  </si>
  <si>
    <t>Entre Rios do Oeste</t>
  </si>
  <si>
    <t>Tamboara</t>
  </si>
  <si>
    <t>Abatiá</t>
  </si>
  <si>
    <t>Macaé</t>
  </si>
  <si>
    <t>Salvador das Missões</t>
  </si>
  <si>
    <t>Capitão Leônidas Marques</t>
  </si>
  <si>
    <t>Rio Bom</t>
  </si>
  <si>
    <t>Novo Horizonte do Sul</t>
  </si>
  <si>
    <t>Peabiru</t>
  </si>
  <si>
    <t>Barão de Monte Alto</t>
  </si>
  <si>
    <t>Quinta do Sol</t>
  </si>
  <si>
    <t>Patrocínio do Muriaé</t>
  </si>
  <si>
    <t>Espigão Alto do Iguaçu</t>
  </si>
  <si>
    <t>Terra Boa</t>
  </si>
  <si>
    <t>Nova Aliança do Ivaí</t>
  </si>
  <si>
    <t>Engenheiro Beltrão</t>
  </si>
  <si>
    <t>Guairaçá</t>
  </si>
  <si>
    <t>Formosa do Oeste</t>
  </si>
  <si>
    <t>Quarto Centenário</t>
  </si>
  <si>
    <t>Jundiaí do Sul</t>
  </si>
  <si>
    <t>Itajaí</t>
  </si>
  <si>
    <t>Navegantes</t>
  </si>
  <si>
    <t>Amaporã</t>
  </si>
  <si>
    <t>Forquilhinha</t>
  </si>
  <si>
    <t>Palma</t>
  </si>
  <si>
    <t>Faxinal</t>
  </si>
  <si>
    <t>Querência do Norte</t>
  </si>
  <si>
    <t>Mariluz</t>
  </si>
  <si>
    <t>Eugenópolis</t>
  </si>
  <si>
    <t>Marilândia do Sul</t>
  </si>
  <si>
    <t>Italva</t>
  </si>
  <si>
    <t>Eunápolis</t>
  </si>
  <si>
    <t>Mandaguari</t>
  </si>
  <si>
    <t>Ribeirão do Pinhal</t>
  </si>
  <si>
    <t>Cordeiro</t>
  </si>
  <si>
    <t>Mendes</t>
  </si>
  <si>
    <t>São Pedro do Butiá</t>
  </si>
  <si>
    <t>Pato Bragado</t>
  </si>
  <si>
    <t>Vassouras</t>
  </si>
  <si>
    <t>Jesuítas</t>
  </si>
  <si>
    <t>Mercedes</t>
  </si>
  <si>
    <t>Bertioga</t>
  </si>
  <si>
    <t>Iracema do Oeste</t>
  </si>
  <si>
    <t>Miracema</t>
  </si>
  <si>
    <t>Moreira Sales</t>
  </si>
  <si>
    <t>Santa Mônica</t>
  </si>
  <si>
    <t>Realeza</t>
  </si>
  <si>
    <t>Nova Esperança</t>
  </si>
  <si>
    <t>Califórnia</t>
  </si>
  <si>
    <t>Cidade Gaúcha</t>
  </si>
  <si>
    <t>Uniflor</t>
  </si>
  <si>
    <t>Santa Isabel do Ivaí</t>
  </si>
  <si>
    <t>Verdejante</t>
  </si>
  <si>
    <t>Ivaté</t>
  </si>
  <si>
    <t>Tunápolis</t>
  </si>
  <si>
    <t>Guarujá</t>
  </si>
  <si>
    <t>Umuarama</t>
  </si>
  <si>
    <t>Paranhos</t>
  </si>
  <si>
    <t>Santa Cruz de Monte Castelo</t>
  </si>
  <si>
    <t>Planaltina do Paraná</t>
  </si>
  <si>
    <t>Assis Chateaubriand</t>
  </si>
  <si>
    <t>Quedas do Iguaçu</t>
  </si>
  <si>
    <t>Jateí</t>
  </si>
  <si>
    <t>Castelo</t>
  </si>
  <si>
    <t>Paranacity</t>
  </si>
  <si>
    <t>Pirapetinga</t>
  </si>
  <si>
    <t>São João do Caiuá</t>
  </si>
  <si>
    <t>Goioerê</t>
  </si>
  <si>
    <t>Mauá da Serra</t>
  </si>
  <si>
    <t>Santo Antônio da Platina</t>
  </si>
  <si>
    <t>Santa Amélia</t>
  </si>
  <si>
    <t>Santo Antônio de Pádua</t>
  </si>
  <si>
    <t>Itaqui</t>
  </si>
  <si>
    <t>Cornélio Procópio</t>
  </si>
  <si>
    <t>Rosário do Ivaí</t>
  </si>
  <si>
    <t>Glória de Dourados</t>
  </si>
  <si>
    <t>Itaocara</t>
  </si>
  <si>
    <t>São Pedro do Paraná</t>
  </si>
  <si>
    <t>Laje do Muriaé</t>
  </si>
  <si>
    <t>Antonina</t>
  </si>
  <si>
    <t>Ivatuba</t>
  </si>
  <si>
    <t>Loanda</t>
  </si>
  <si>
    <t>Uraí</t>
  </si>
  <si>
    <t>Rosário da Limeira</t>
  </si>
  <si>
    <t>Aperibé</t>
  </si>
  <si>
    <t>Calumbi</t>
  </si>
  <si>
    <t>Duas Barras</t>
  </si>
  <si>
    <t>Muriaé</t>
  </si>
  <si>
    <t>Pirapó</t>
  </si>
  <si>
    <t>Cerro Azul</t>
  </si>
  <si>
    <t>Porto Rico</t>
  </si>
  <si>
    <t>Miradouro</t>
  </si>
  <si>
    <t>Floraí</t>
  </si>
  <si>
    <t>Garruchos</t>
  </si>
  <si>
    <t>Marialva</t>
  </si>
  <si>
    <t>Caracol</t>
  </si>
  <si>
    <t>Antônio Prado de Minas</t>
  </si>
  <si>
    <t>Recreio</t>
  </si>
  <si>
    <t>Vieiras</t>
  </si>
  <si>
    <t>Doutor Camargo</t>
  </si>
  <si>
    <t>Roque Gonzales</t>
  </si>
  <si>
    <t>Cândido de Abreu</t>
  </si>
  <si>
    <t>Duque de Caxias</t>
  </si>
  <si>
    <t>Muqui</t>
  </si>
  <si>
    <t>Floresta</t>
  </si>
  <si>
    <t>Atalaia</t>
  </si>
  <si>
    <t>Mimoso do Sul</t>
  </si>
  <si>
    <t>Conselheiro Mairinck</t>
  </si>
  <si>
    <t>Santana de Cataguases</t>
  </si>
  <si>
    <t>São Sebastião da Vargem Alegre</t>
  </si>
  <si>
    <t>Capanema</t>
  </si>
  <si>
    <t>Apiacá</t>
  </si>
  <si>
    <t>Tacuru</t>
  </si>
  <si>
    <t>Nova Iguaçu</t>
  </si>
  <si>
    <t>Miraí</t>
  </si>
  <si>
    <t>Araponga</t>
  </si>
  <si>
    <t>Sete Quedas</t>
  </si>
  <si>
    <t>Mongaguá</t>
  </si>
  <si>
    <t>Mandaguaçu</t>
  </si>
  <si>
    <t>Itaperuna</t>
  </si>
  <si>
    <t>Sardoá</t>
  </si>
  <si>
    <t>Lobato</t>
  </si>
  <si>
    <t>Ourizona</t>
  </si>
  <si>
    <t>Palotina</t>
  </si>
  <si>
    <t>Canaã</t>
  </si>
  <si>
    <t>Água Clara</t>
  </si>
  <si>
    <t>Morretes</t>
  </si>
  <si>
    <t>Taquarussu</t>
  </si>
  <si>
    <t>Flórida</t>
  </si>
  <si>
    <t>Sumidouro</t>
  </si>
  <si>
    <t>São Miguel do Anta</t>
  </si>
  <si>
    <t>Santo Antônio do Caiuá</t>
  </si>
  <si>
    <t>São Nicolau</t>
  </si>
  <si>
    <t>Nova Londrina</t>
  </si>
  <si>
    <t>Santa Efigênia de Minas</t>
  </si>
  <si>
    <t>Marilena</t>
  </si>
  <si>
    <t>Ervália</t>
  </si>
  <si>
    <t>Vicentina</t>
  </si>
  <si>
    <t>Ipanema</t>
  </si>
  <si>
    <t>Caarapó</t>
  </si>
  <si>
    <t>São Jorge do Ivaí</t>
  </si>
  <si>
    <t>Terra Rica</t>
  </si>
  <si>
    <t>Ortigueira</t>
  </si>
  <si>
    <t>Fátima do Sul</t>
  </si>
  <si>
    <t>São Francisco do Glória</t>
  </si>
  <si>
    <t>Nova América da Colina</t>
  </si>
  <si>
    <t>Ferros</t>
  </si>
  <si>
    <t>Ângulo</t>
  </si>
  <si>
    <t>Varjão</t>
  </si>
  <si>
    <t>Pedra Dourada</t>
  </si>
  <si>
    <t>Porciúncula</t>
  </si>
  <si>
    <t>Sericita</t>
  </si>
  <si>
    <t>Várzea da Palma</t>
  </si>
  <si>
    <t>Virgolândia</t>
  </si>
  <si>
    <t>Vitória</t>
  </si>
  <si>
    <t>Fervedouro</t>
  </si>
  <si>
    <t>São José de Ubá</t>
  </si>
  <si>
    <t>Iguaraçu</t>
  </si>
  <si>
    <t>Quatro Pontes</t>
  </si>
  <si>
    <t>Bom Jesus de Goiás</t>
  </si>
  <si>
    <t>Coimbra</t>
  </si>
  <si>
    <t>Paiçandu</t>
  </si>
  <si>
    <t>São Mateus</t>
  </si>
  <si>
    <t>Cajuri</t>
  </si>
  <si>
    <t>Bela Vista</t>
  </si>
  <si>
    <t>Deodápolis</t>
  </si>
  <si>
    <t>Tombos</t>
  </si>
  <si>
    <t>Abaeté</t>
  </si>
  <si>
    <t>Tamarana</t>
  </si>
  <si>
    <t>Bom Jesus do Norte</t>
  </si>
  <si>
    <t>Bom Jesus do Itabapoana</t>
  </si>
  <si>
    <t>Icaraíma</t>
  </si>
  <si>
    <t>Pitangui</t>
  </si>
  <si>
    <t>São Gonçalo do Rio Abaixo</t>
  </si>
  <si>
    <t>Augusto de Lima</t>
  </si>
  <si>
    <t>Gonzaga</t>
  </si>
  <si>
    <t>Munhoz de Melo</t>
  </si>
  <si>
    <t>Abadia dos Dourados</t>
  </si>
  <si>
    <t>Ubatuba</t>
  </si>
  <si>
    <t>José Raydan</t>
  </si>
  <si>
    <t>Lassance</t>
  </si>
  <si>
    <t>Dores de Guanhães</t>
  </si>
  <si>
    <t>São Jerônimo da Serra</t>
  </si>
  <si>
    <t>Tiros</t>
  </si>
  <si>
    <t>Itaúna do Sul</t>
  </si>
  <si>
    <t>Iguatama</t>
  </si>
  <si>
    <t>Itamarandiba</t>
  </si>
  <si>
    <t>Barra do Piraí</t>
  </si>
  <si>
    <t>Betim</t>
  </si>
  <si>
    <t>Piraí</t>
  </si>
  <si>
    <t>Nova Santa Bárbara</t>
  </si>
  <si>
    <t>Guapirama</t>
  </si>
  <si>
    <t>Faria Lemos</t>
  </si>
  <si>
    <t>Carmo do Cajuru</t>
  </si>
  <si>
    <t>Rosana</t>
  </si>
  <si>
    <t>Pedra Bonita</t>
  </si>
  <si>
    <t>Sidrolândia</t>
  </si>
  <si>
    <t>Dezesseis de Novembro</t>
  </si>
  <si>
    <t>Guiricema</t>
  </si>
  <si>
    <t>Santa Rita de Minas</t>
  </si>
  <si>
    <t>Santo Hipólito</t>
  </si>
  <si>
    <t>Bataiporã</t>
  </si>
  <si>
    <t>Doresópolis</t>
  </si>
  <si>
    <t>Martinho Campos</t>
  </si>
  <si>
    <t>Iúna</t>
  </si>
  <si>
    <t>Conceição de Ipanema</t>
  </si>
  <si>
    <t>Varre-Sai</t>
  </si>
  <si>
    <t>Santo Antônio do Paraíso</t>
  </si>
  <si>
    <t>Diamante do Norte</t>
  </si>
  <si>
    <t>Virginópolis</t>
  </si>
  <si>
    <t>Ivinhema</t>
  </si>
  <si>
    <t>Coronel João Sá</t>
  </si>
  <si>
    <t>Rio Preto</t>
  </si>
  <si>
    <t>Maracaju</t>
  </si>
  <si>
    <t>São Sebastião da Amoreira</t>
  </si>
  <si>
    <t>Maringá</t>
  </si>
  <si>
    <t>Jerônimo Monteiro</t>
  </si>
  <si>
    <t>Nova Andradina</t>
  </si>
  <si>
    <t>Belford Roxo</t>
  </si>
  <si>
    <t>São João de Meriti</t>
  </si>
  <si>
    <t>São Geraldo</t>
  </si>
  <si>
    <t>Ibatiba</t>
  </si>
  <si>
    <t>Santa Maria de Itabira</t>
  </si>
  <si>
    <t>Jeremoabo</t>
  </si>
  <si>
    <t>São José do Mantimento</t>
  </si>
  <si>
    <t>Santa Cecília do Pavão</t>
  </si>
  <si>
    <t>Santo Antônio do Aventureiro</t>
  </si>
  <si>
    <t>Senador Cortes</t>
  </si>
  <si>
    <t>Lajinha</t>
  </si>
  <si>
    <t>Passabém</t>
  </si>
  <si>
    <t>Lamarão</t>
  </si>
  <si>
    <t>Angélica</t>
  </si>
  <si>
    <t>Divinolândia de Minas</t>
  </si>
  <si>
    <t>Piumhi</t>
  </si>
  <si>
    <t>Divino</t>
  </si>
  <si>
    <t>Guapé</t>
  </si>
  <si>
    <t>Orizânia</t>
  </si>
  <si>
    <t>Assaí</t>
  </si>
  <si>
    <t>São José do Calçado</t>
  </si>
  <si>
    <t>Chalé</t>
  </si>
  <si>
    <t>Paula Cândido</t>
  </si>
  <si>
    <t>Marechal Cândido Rondon</t>
  </si>
  <si>
    <t>Frei Lagonegro</t>
  </si>
  <si>
    <t>Euclides da Cunha Paulista</t>
  </si>
  <si>
    <t>Jardim</t>
  </si>
  <si>
    <t>Itiruçu</t>
  </si>
  <si>
    <t>Guia Lopes da Laguna</t>
  </si>
  <si>
    <t>Visconde do Rio Branco</t>
  </si>
  <si>
    <t>Laguna Carapã</t>
  </si>
  <si>
    <t>Capitólio</t>
  </si>
  <si>
    <t>Antônio João</t>
  </si>
  <si>
    <t>Brejetuba</t>
  </si>
  <si>
    <t>Bicas</t>
  </si>
  <si>
    <t>Guarará</t>
  </si>
  <si>
    <t>Presidente Prudente</t>
  </si>
  <si>
    <t>Carangola</t>
  </si>
  <si>
    <t>Cataguases</t>
  </si>
  <si>
    <t>Senhora do Porto</t>
  </si>
  <si>
    <t>Guidoval</t>
  </si>
  <si>
    <t>Afonso Cláudio</t>
  </si>
  <si>
    <t>Chácara</t>
  </si>
  <si>
    <t>Maripá de Minas</t>
  </si>
  <si>
    <t>Caiana</t>
  </si>
  <si>
    <t>Rio Vermelho</t>
  </si>
  <si>
    <t>São José do Jacuri</t>
  </si>
  <si>
    <t>Candeal</t>
  </si>
  <si>
    <t>Quatis</t>
  </si>
  <si>
    <t>Irupi</t>
  </si>
  <si>
    <t>São Sebastião do Rio Preto</t>
  </si>
  <si>
    <t>Coluna</t>
  </si>
  <si>
    <t>Simonésia</t>
  </si>
  <si>
    <t>Paranapoema</t>
  </si>
  <si>
    <t>Santana do Manhuaçu</t>
  </si>
  <si>
    <t>Iguape</t>
  </si>
  <si>
    <t>Ilha Comprida</t>
  </si>
  <si>
    <t>Adustina</t>
  </si>
  <si>
    <t>Corinto</t>
  </si>
  <si>
    <t>Espera Feliz</t>
  </si>
  <si>
    <t>São Pedro do Suaçuí</t>
  </si>
  <si>
    <t>Peçanha</t>
  </si>
  <si>
    <t>Igarapé</t>
  </si>
  <si>
    <t>São Joaquim de Bicas</t>
  </si>
  <si>
    <t>Porto Real</t>
  </si>
  <si>
    <t>Barrocas</t>
  </si>
  <si>
    <t>Ibitirama</t>
  </si>
  <si>
    <t>Dois Irmãos do Buriti</t>
  </si>
  <si>
    <t>Durandé</t>
  </si>
  <si>
    <t>Sítio do Quinto</t>
  </si>
  <si>
    <t>Divino de São Lourenço</t>
  </si>
  <si>
    <t>Dores do Turvo</t>
  </si>
  <si>
    <t>Tanquinho</t>
  </si>
  <si>
    <t>Rio das Flores</t>
  </si>
  <si>
    <t>Nioaque</t>
  </si>
  <si>
    <t>Itapuí</t>
  </si>
  <si>
    <t>Dores do Rio Preto</t>
  </si>
  <si>
    <t>Divinésia</t>
  </si>
  <si>
    <t>Rochedo de Minas</t>
  </si>
  <si>
    <t>Antas</t>
  </si>
  <si>
    <t>Volta Redonda</t>
  </si>
  <si>
    <t>Pederneiras</t>
  </si>
  <si>
    <t>Aral Moreira</t>
  </si>
  <si>
    <t>Juti</t>
  </si>
  <si>
    <t>Anguera</t>
  </si>
  <si>
    <t>Catanduva</t>
  </si>
  <si>
    <t>Itanhaém</t>
  </si>
  <si>
    <t>Serrinha</t>
  </si>
  <si>
    <t>Novo Triunfo</t>
  </si>
  <si>
    <t>Poço Verde</t>
  </si>
  <si>
    <t>Álvares Machado</t>
  </si>
  <si>
    <t>São João Nepomuceno</t>
  </si>
  <si>
    <t>Boracéia</t>
  </si>
  <si>
    <t>Fátima</t>
  </si>
  <si>
    <t>Parati</t>
  </si>
  <si>
    <t>Jardim Olinda</t>
  </si>
  <si>
    <t>Heliópolis</t>
  </si>
  <si>
    <t>Coronel Pacheco</t>
  </si>
  <si>
    <t>Dourados</t>
  </si>
  <si>
    <t>Itambé do Mato Dentro</t>
  </si>
  <si>
    <t>Cícero Dantas</t>
  </si>
  <si>
    <t>Ponta Porã</t>
  </si>
  <si>
    <t>Carira</t>
  </si>
  <si>
    <t>Guaçuí</t>
  </si>
  <si>
    <t>Silveirânia</t>
  </si>
  <si>
    <t>Indiana</t>
  </si>
  <si>
    <t>Anaurilândia</t>
  </si>
  <si>
    <t>Santa Rita do Pardo</t>
  </si>
  <si>
    <t>Cambuci</t>
  </si>
  <si>
    <t>Congonhas do Norte</t>
  </si>
  <si>
    <t>Taubaté</t>
  </si>
  <si>
    <t>Itaporã</t>
  </si>
  <si>
    <t>Bariri</t>
  </si>
  <si>
    <t>Nilópolis</t>
  </si>
  <si>
    <t>Banzaê</t>
  </si>
  <si>
    <t>Piau</t>
  </si>
  <si>
    <t>Santana do Riacho</t>
  </si>
  <si>
    <t>Sorocaba</t>
  </si>
  <si>
    <t>Goianá</t>
  </si>
  <si>
    <t>Arealva</t>
  </si>
  <si>
    <t>Itapura</t>
  </si>
  <si>
    <t>Itaju</t>
  </si>
  <si>
    <t>Alegre</t>
  </si>
  <si>
    <t>Sabino</t>
  </si>
  <si>
    <t>Ourinhos</t>
  </si>
  <si>
    <t>Itapira</t>
  </si>
  <si>
    <t>São João Batista do Glória</t>
  </si>
  <si>
    <t>Sales</t>
  </si>
  <si>
    <t>Joaquim Távora</t>
  </si>
  <si>
    <t>Euclides da Cunha</t>
  </si>
  <si>
    <t>Alfredo Marcondes</t>
  </si>
  <si>
    <t>Japaraíba</t>
  </si>
  <si>
    <t>São José da Barra</t>
  </si>
  <si>
    <t>Bodoquena</t>
  </si>
  <si>
    <t>Três Lagoas</t>
  </si>
  <si>
    <t>Piracicaba</t>
  </si>
  <si>
    <t>Lençóis Paulista</t>
  </si>
  <si>
    <t>Bataguassu</t>
  </si>
  <si>
    <t>Agudos</t>
  </si>
  <si>
    <t>Embaúba</t>
  </si>
  <si>
    <t>Pongaí</t>
  </si>
  <si>
    <t>Balbinos</t>
  </si>
  <si>
    <t>Iacanga</t>
  </si>
  <si>
    <t>Mesópolis</t>
  </si>
  <si>
    <t>Reginópolis</t>
  </si>
  <si>
    <t>Guaiçara</t>
  </si>
  <si>
    <t>Uru</t>
  </si>
  <si>
    <t>Itapagipe</t>
  </si>
  <si>
    <t>Cosmorama</t>
  </si>
  <si>
    <t>Adolfo</t>
  </si>
  <si>
    <t>Américo de Campos</t>
  </si>
  <si>
    <t>Orindiúva</t>
  </si>
  <si>
    <t>São Francisco de Sales</t>
  </si>
  <si>
    <t>Ouroeste</t>
  </si>
  <si>
    <t>Guariba</t>
  </si>
  <si>
    <t>Pontes Gestal</t>
  </si>
  <si>
    <t>Parisi</t>
  </si>
  <si>
    <t>Cardoso</t>
  </si>
  <si>
    <t>Riolândia</t>
  </si>
  <si>
    <t>Estrela d'Oeste</t>
  </si>
  <si>
    <t>Indiaporã</t>
  </si>
  <si>
    <t>Guarani d'Oeste</t>
  </si>
  <si>
    <t>Mira Estrela</t>
  </si>
  <si>
    <t>Ubarana</t>
  </si>
  <si>
    <t>Paulo de Faria</t>
  </si>
  <si>
    <t>Monte Azul Paulista</t>
  </si>
  <si>
    <t>Tambaú</t>
  </si>
  <si>
    <t>Coronel Barros</t>
  </si>
  <si>
    <t>Foz do Iguaçu</t>
  </si>
  <si>
    <t>Altônia</t>
  </si>
  <si>
    <t>São Jorge do Patrocínio</t>
  </si>
  <si>
    <t>Viana</t>
  </si>
  <si>
    <t>Esperança Nova</t>
  </si>
  <si>
    <t>Iraí</t>
  </si>
  <si>
    <t>Alto Piquiri</t>
  </si>
  <si>
    <t>Missal</t>
  </si>
  <si>
    <t>Itaipulândia</t>
  </si>
  <si>
    <t>Francisco Alves</t>
  </si>
  <si>
    <t>Cafezal do Sul</t>
  </si>
  <si>
    <t>Xambrê</t>
  </si>
  <si>
    <t>Derrubadas</t>
  </si>
  <si>
    <t>Perobal</t>
  </si>
  <si>
    <t>Vista Gaúcha</t>
  </si>
  <si>
    <t>Diamante d'Oeste</t>
  </si>
  <si>
    <t>Barra do Guarita</t>
  </si>
  <si>
    <t>Itapiranga</t>
  </si>
  <si>
    <t>Medianeira</t>
  </si>
  <si>
    <t>Pérola</t>
  </si>
  <si>
    <t>São João do Oeste</t>
  </si>
  <si>
    <t>Grandes Rios</t>
  </si>
  <si>
    <t>São Manoel do Paraná</t>
  </si>
  <si>
    <t>Iporã</t>
  </si>
  <si>
    <t>São Tomé</t>
  </si>
  <si>
    <t>Santa Izabel do Oeste</t>
  </si>
  <si>
    <t>Japurá</t>
  </si>
  <si>
    <t>São Carlos do Ivaí</t>
  </si>
  <si>
    <t>Ramilândia</t>
  </si>
  <si>
    <t>Paraíso do Norte</t>
  </si>
  <si>
    <t>Barra do Jacaré</t>
  </si>
  <si>
    <t>Santa Mariana</t>
  </si>
  <si>
    <t>Salto do Lontra</t>
  </si>
  <si>
    <t>Leópolis</t>
  </si>
  <si>
    <t>Matelândia</t>
  </si>
  <si>
    <t>Estrela Dalva</t>
  </si>
  <si>
    <t>Bela Vista do Caroba</t>
  </si>
  <si>
    <t>Carmo</t>
  </si>
  <si>
    <t>Caraguatatuba</t>
  </si>
  <si>
    <t>Pérola d'Oeste</t>
  </si>
  <si>
    <t>Volta Grande</t>
  </si>
  <si>
    <t>Andirá</t>
  </si>
  <si>
    <t>Florínia</t>
  </si>
  <si>
    <t>Além Paraíba</t>
  </si>
  <si>
    <t>Sertaneja</t>
  </si>
  <si>
    <t>Itaquiraí</t>
  </si>
  <si>
    <t>Ocauçu</t>
  </si>
  <si>
    <t>Natividade</t>
  </si>
  <si>
    <t>Jacarezinho</t>
  </si>
  <si>
    <t>Santa Fé</t>
  </si>
  <si>
    <t>Santa Cruz do Rio Pardo</t>
  </si>
  <si>
    <t>Arapeí</t>
  </si>
  <si>
    <t>Lupércio</t>
  </si>
  <si>
    <t>Astorga</t>
  </si>
  <si>
    <t>Nossa Senhora das Graças</t>
  </si>
  <si>
    <t>Rancho Alegre</t>
  </si>
  <si>
    <t>Lavrinhas</t>
  </si>
  <si>
    <t>Laranja da Terra</t>
  </si>
  <si>
    <t>Pitangueiras</t>
  </si>
  <si>
    <t>Leopoldina</t>
  </si>
  <si>
    <t>Paulínia</t>
  </si>
  <si>
    <t>Coronel Sapucaia</t>
  </si>
  <si>
    <t>Cândido Mota</t>
  </si>
  <si>
    <t>Rio Claro</t>
  </si>
  <si>
    <t>São José do Barreiro</t>
  </si>
  <si>
    <t>Cachoeira Paulista</t>
  </si>
  <si>
    <t>Lorena</t>
  </si>
  <si>
    <t>Canas</t>
  </si>
  <si>
    <t>Argirita</t>
  </si>
  <si>
    <t>Guaratinguetá</t>
  </si>
  <si>
    <t>Anhumas</t>
  </si>
  <si>
    <t>Cruzeiro</t>
  </si>
  <si>
    <t>Queluz</t>
  </si>
  <si>
    <t>Cafeara</t>
  </si>
  <si>
    <t>Igaraçu do Tietê</t>
  </si>
  <si>
    <t>Santo Inácio</t>
  </si>
  <si>
    <t>Limeira</t>
  </si>
  <si>
    <t>Silveiras</t>
  </si>
  <si>
    <t>Itarana</t>
  </si>
  <si>
    <t>Aparecida</t>
  </si>
  <si>
    <t>Lupionópolis</t>
  </si>
  <si>
    <t>Tremembé</t>
  </si>
  <si>
    <t>Piquete</t>
  </si>
  <si>
    <t>Catiguá</t>
  </si>
  <si>
    <t>Carmésia</t>
  </si>
  <si>
    <t>Jaú</t>
  </si>
  <si>
    <t>Cordeirópolis</t>
  </si>
  <si>
    <t>Centenário do Sul</t>
  </si>
  <si>
    <t>Pirapozinho</t>
  </si>
  <si>
    <t>Itamarati de Minas</t>
  </si>
  <si>
    <t>Mogi Mirim</t>
  </si>
  <si>
    <t>Mogi Guaçu</t>
  </si>
  <si>
    <t>Potim</t>
  </si>
  <si>
    <t>Dona Euzébia</t>
  </si>
  <si>
    <t>Pinheiral</t>
  </si>
  <si>
    <t>Barra Mansa</t>
  </si>
  <si>
    <t>Jacupiranga</t>
  </si>
  <si>
    <t>Onça de Pitangui</t>
  </si>
  <si>
    <t>Amambaí</t>
  </si>
  <si>
    <t>Campinas</t>
  </si>
  <si>
    <t>Tabapuã</t>
  </si>
  <si>
    <t>Santa Gertrudes</t>
  </si>
  <si>
    <t>Narandiba</t>
  </si>
  <si>
    <t>Oriente</t>
  </si>
  <si>
    <t>Astolfo Dutra</t>
  </si>
  <si>
    <t>Paulistas</t>
  </si>
  <si>
    <t>Itaguajé</t>
  </si>
  <si>
    <t>Alvinlândia</t>
  </si>
  <si>
    <t>Jaguapitã</t>
  </si>
  <si>
    <t>Santo Antônio do Rio Abaixo</t>
  </si>
  <si>
    <t>Descoberto</t>
  </si>
  <si>
    <t>Itambaracá</t>
  </si>
  <si>
    <t>Rodeiro</t>
  </si>
  <si>
    <t>Regente Feijó</t>
  </si>
  <si>
    <t>Iracemápolis</t>
  </si>
  <si>
    <t>Barra do Turvo</t>
  </si>
  <si>
    <t>Tarabaí</t>
  </si>
  <si>
    <t>Bananal</t>
  </si>
  <si>
    <t>Junqueirópolis</t>
  </si>
  <si>
    <t>Mineiros do Tietê</t>
  </si>
  <si>
    <t>Engenheiro Coelho</t>
  </si>
  <si>
    <t>Uchoa</t>
  </si>
  <si>
    <t>Guatapará</t>
  </si>
  <si>
    <t>Bocaina</t>
  </si>
  <si>
    <t>Dom Joaquim</t>
  </si>
  <si>
    <t>Nova Alvorada do Sul</t>
  </si>
  <si>
    <t>Luís Antônio</t>
  </si>
  <si>
    <t>Pradópolis</t>
  </si>
  <si>
    <t>Roseira</t>
  </si>
  <si>
    <t>São José do Rio Pardo</t>
  </si>
  <si>
    <t>Guarani</t>
  </si>
  <si>
    <t>Araras</t>
  </si>
  <si>
    <t>Taquaritinga</t>
  </si>
  <si>
    <t>Piraúba</t>
  </si>
  <si>
    <t>Ibirá</t>
  </si>
  <si>
    <t>Tabuleiro</t>
  </si>
  <si>
    <t>Artur Nogueira</t>
  </si>
  <si>
    <t>Rio Pomba</t>
  </si>
  <si>
    <t>Taciba</t>
  </si>
  <si>
    <t>Ribeirão Bonito</t>
  </si>
  <si>
    <t>Santa Rita do Passa Quatro</t>
  </si>
  <si>
    <t>Ubá</t>
  </si>
  <si>
    <t>Morro do Pilar</t>
  </si>
  <si>
    <t>Tocantins</t>
  </si>
  <si>
    <t>Macatuba</t>
  </si>
  <si>
    <t>Rio Novo</t>
  </si>
  <si>
    <t>Aguaí</t>
  </si>
  <si>
    <t>Conceição do Pará</t>
  </si>
  <si>
    <t>Araçatuba</t>
  </si>
  <si>
    <t>Rincão</t>
  </si>
  <si>
    <t>Dourado</t>
  </si>
  <si>
    <t>Leandro Ferreira</t>
  </si>
  <si>
    <t>Trabiju</t>
  </si>
  <si>
    <t>Jaboticabal</t>
  </si>
  <si>
    <t>Estiva Gerbi</t>
  </si>
  <si>
    <t>Porecatu</t>
  </si>
  <si>
    <t>Dois Córregos</t>
  </si>
  <si>
    <t>Guaimbê</t>
  </si>
  <si>
    <t>Cosmópolis</t>
  </si>
  <si>
    <t>Maravilhas</t>
  </si>
  <si>
    <t>Barrinha</t>
  </si>
  <si>
    <t>Pequi</t>
  </si>
  <si>
    <t>Boa Esperança do Sul</t>
  </si>
  <si>
    <t>São João Evangelista</t>
  </si>
  <si>
    <t>Holambra</t>
  </si>
  <si>
    <t>Elisiário</t>
  </si>
  <si>
    <t>Corumbataí</t>
  </si>
  <si>
    <t>Guarantã</t>
  </si>
  <si>
    <t>Conchal</t>
  </si>
  <si>
    <t>Américo Brasiliense</t>
  </si>
  <si>
    <t>Guapiaçu</t>
  </si>
  <si>
    <t>Cambé</t>
  </si>
  <si>
    <t>Olímpia</t>
  </si>
  <si>
    <t>Urupês</t>
  </si>
  <si>
    <t>Colina</t>
  </si>
  <si>
    <t>Irapuã</t>
  </si>
  <si>
    <t>Conceição do Mato Dentro</t>
  </si>
  <si>
    <t>Cedral</t>
  </si>
  <si>
    <t>Dumont</t>
  </si>
  <si>
    <t>Potirendaba</t>
  </si>
  <si>
    <t>Lagoa da Prata</t>
  </si>
  <si>
    <t>Nuporanga</t>
  </si>
  <si>
    <t>Araraquara</t>
  </si>
  <si>
    <t>Pedrinhas Paulista</t>
  </si>
  <si>
    <t>Canitar</t>
  </si>
  <si>
    <t>Miraselva</t>
  </si>
  <si>
    <t>Selvíria</t>
  </si>
  <si>
    <t>Santa Cruz da Conceição</t>
  </si>
  <si>
    <t>Prado Ferreira</t>
  </si>
  <si>
    <t>Sales Oliveira</t>
  </si>
  <si>
    <t>Iporanga</t>
  </si>
  <si>
    <t>Itobi</t>
  </si>
  <si>
    <t>Delta</t>
  </si>
  <si>
    <t>Orlândia</t>
  </si>
  <si>
    <t>Itaúna</t>
  </si>
  <si>
    <t>Londrina</t>
  </si>
  <si>
    <t>Leme</t>
  </si>
  <si>
    <t>Martinópolis</t>
  </si>
  <si>
    <t>Juatuba</t>
  </si>
  <si>
    <t>Pompéia</t>
  </si>
  <si>
    <t>Palmeira d'Oeste</t>
  </si>
  <si>
    <t>Monte Alto</t>
  </si>
  <si>
    <t>São José da Bela Vista</t>
  </si>
  <si>
    <t>Florestópolis</t>
  </si>
  <si>
    <t>Fortuna de Minas</t>
  </si>
  <si>
    <t>Sandovalina</t>
  </si>
  <si>
    <t>Cravinhos</t>
  </si>
  <si>
    <t>Alvorada do Sul</t>
  </si>
  <si>
    <t>Fronteira</t>
  </si>
  <si>
    <t>Nantes</t>
  </si>
  <si>
    <t>Icém</t>
  </si>
  <si>
    <t>Machado</t>
  </si>
  <si>
    <t>Onda Verde</t>
  </si>
  <si>
    <t>Igaratinga</t>
  </si>
  <si>
    <t>Irapuru</t>
  </si>
  <si>
    <t>Ribeirão Claro</t>
  </si>
  <si>
    <t>Cajati</t>
  </si>
  <si>
    <t>Ubirajara</t>
  </si>
  <si>
    <t>Aparecida d'Oeste</t>
  </si>
  <si>
    <t>Jataizinho</t>
  </si>
  <si>
    <t>Santo Anastácio</t>
  </si>
  <si>
    <t>São Gonçalo do Pará</t>
  </si>
  <si>
    <t>Campos Novos Paulista</t>
  </si>
  <si>
    <t>Gavião Peixoto</t>
  </si>
  <si>
    <t>Sertãozinho</t>
  </si>
  <si>
    <t>Porto Ferreira</t>
  </si>
  <si>
    <t>Ribeirão Preto</t>
  </si>
  <si>
    <t>Bady Bassitt</t>
  </si>
  <si>
    <t>Motuca</t>
  </si>
  <si>
    <t>Pirajuí</t>
  </si>
  <si>
    <t>Hortolândia</t>
  </si>
  <si>
    <t>Nova Europa</t>
  </si>
  <si>
    <t>Pontal</t>
  </si>
  <si>
    <t>Santo Antônio de Posse</t>
  </si>
  <si>
    <t>Valparaíso</t>
  </si>
  <si>
    <t>Caiabu</t>
  </si>
  <si>
    <t>Brotas</t>
  </si>
  <si>
    <t>Primeiro de Maio</t>
  </si>
  <si>
    <t>Esmeraldas</t>
  </si>
  <si>
    <t>Santo Expedito</t>
  </si>
  <si>
    <t>Nova Aliança</t>
  </si>
  <si>
    <t>Ilha Solteira</t>
  </si>
  <si>
    <t>Brodowski</t>
  </si>
  <si>
    <t>Morro Agudo</t>
  </si>
  <si>
    <t>Emilianópolis</t>
  </si>
  <si>
    <t>Batatais</t>
  </si>
  <si>
    <t>Cajobi</t>
  </si>
  <si>
    <t>Nova Granada</t>
  </si>
  <si>
    <t>Tabatinga</t>
  </si>
  <si>
    <t>Bento de Abreu</t>
  </si>
  <si>
    <t>Pedro de Toledo</t>
  </si>
  <si>
    <t>Rio das Pedras</t>
  </si>
  <si>
    <t>Santa Ernestina</t>
  </si>
  <si>
    <t>Rubiácea</t>
  </si>
  <si>
    <t>Mendonça</t>
  </si>
  <si>
    <t>Pirassununga</t>
  </si>
  <si>
    <t>Oscar Bressane</t>
  </si>
  <si>
    <t>Guararapes</t>
  </si>
  <si>
    <t>Dirce Reis</t>
  </si>
  <si>
    <t>Juquiá</t>
  </si>
  <si>
    <t>Itariri</t>
  </si>
  <si>
    <t>Peruíbe</t>
  </si>
  <si>
    <t>Miracatu</t>
  </si>
  <si>
    <t>Cândido Rodrigues</t>
  </si>
  <si>
    <t>São José do Rio Preto</t>
  </si>
  <si>
    <t>Presidente Alves</t>
  </si>
  <si>
    <t>Flora Rica</t>
  </si>
  <si>
    <t>São Sebastião do Oeste</t>
  </si>
  <si>
    <t>Getulina</t>
  </si>
  <si>
    <t>Rio Brilhante</t>
  </si>
  <si>
    <t>Igarapava</t>
  </si>
  <si>
    <t>Sertanópolis</t>
  </si>
  <si>
    <t>Divinópolis</t>
  </si>
  <si>
    <t>Pacaembu</t>
  </si>
  <si>
    <t>Ipuã</t>
  </si>
  <si>
    <t>Ipiguá</t>
  </si>
  <si>
    <t>Nova Serrana</t>
  </si>
  <si>
    <t>São José da Varginha</t>
  </si>
  <si>
    <t>Mateus Leme</t>
  </si>
  <si>
    <t>Avaí</t>
  </si>
  <si>
    <t>Ribeirão do Sul</t>
  </si>
  <si>
    <t>Suzanápolis</t>
  </si>
  <si>
    <t>Chavantes</t>
  </si>
  <si>
    <t>Santana da Ponte Pensa</t>
  </si>
  <si>
    <t>Ribeirão dos Índios</t>
  </si>
  <si>
    <t>Birigui</t>
  </si>
  <si>
    <t>Aramina</t>
  </si>
  <si>
    <t>Marapoama</t>
  </si>
  <si>
    <t>Aspásia</t>
  </si>
  <si>
    <t>Piquerobi</t>
  </si>
  <si>
    <t>Guará</t>
  </si>
  <si>
    <t>Adrianópolis</t>
  </si>
  <si>
    <t>Ribeira</t>
  </si>
  <si>
    <t>Barbosa</t>
  </si>
  <si>
    <t>Pedra do Indaiá</t>
  </si>
  <si>
    <t>Severínia</t>
  </si>
  <si>
    <t>Ibitinga</t>
  </si>
  <si>
    <t>Platina</t>
  </si>
  <si>
    <t>Taiaçu</t>
  </si>
  <si>
    <t>José Bonifácio</t>
  </si>
  <si>
    <t>Pará de Minas</t>
  </si>
  <si>
    <t>Elias Fausto</t>
  </si>
  <si>
    <t>Santa Albertina</t>
  </si>
  <si>
    <t>Valinhos</t>
  </si>
  <si>
    <t>Serra Azul</t>
  </si>
  <si>
    <t>Pariquera-Açu</t>
  </si>
  <si>
    <t>Salto Grande</t>
  </si>
  <si>
    <t>Serrana</t>
  </si>
  <si>
    <t>Sud Mennucci</t>
  </si>
  <si>
    <t>Santo Antônio do Monte</t>
  </si>
  <si>
    <t>Cananéia</t>
  </si>
  <si>
    <t>Mombuca</t>
  </si>
  <si>
    <t>Espírito Santo do Turvo</t>
  </si>
  <si>
    <t>Pereira Barreto</t>
  </si>
  <si>
    <t>Nova Canaã Paulista</t>
  </si>
  <si>
    <t>Moema</t>
  </si>
  <si>
    <t>Americana</t>
  </si>
  <si>
    <t>Presidente Venceslau</t>
  </si>
  <si>
    <t>Presidente Epitácio</t>
  </si>
  <si>
    <t>Monte Mor</t>
  </si>
  <si>
    <t>Bilac</t>
  </si>
  <si>
    <t>Mirassolândia</t>
  </si>
  <si>
    <t>Altinópolis</t>
  </si>
  <si>
    <t>Palestina</t>
  </si>
  <si>
    <t>Lucianópolis</t>
  </si>
  <si>
    <t>Pontalinda</t>
  </si>
  <si>
    <t>Caiuá</t>
  </si>
  <si>
    <t>Taiúva</t>
  </si>
  <si>
    <t>Dobrada</t>
  </si>
  <si>
    <t>Fernando Prestes</t>
  </si>
  <si>
    <t>Bom Despacho</t>
  </si>
  <si>
    <t>Brasilândia</t>
  </si>
  <si>
    <t>Itaóca</t>
  </si>
  <si>
    <t>Coroados</t>
  </si>
  <si>
    <t>Araújos</t>
  </si>
  <si>
    <t>Palmares Paulista</t>
  </si>
  <si>
    <t>Perdigão</t>
  </si>
  <si>
    <t>Viradouro</t>
  </si>
  <si>
    <t>Vista Alegre do Alto</t>
  </si>
  <si>
    <t>Marabá Paulista</t>
  </si>
  <si>
    <t>Lavínia</t>
  </si>
  <si>
    <t>Santa Rosa de Viterbo</t>
  </si>
  <si>
    <t>Duartina</t>
  </si>
  <si>
    <t>Capivari</t>
  </si>
  <si>
    <t>Rafard</t>
  </si>
  <si>
    <t>Buritizal</t>
  </si>
  <si>
    <t>Taquaral</t>
  </si>
  <si>
    <t>Paulistânia</t>
  </si>
  <si>
    <t>Itajobi</t>
  </si>
  <si>
    <t>Santo Antônio do Aracanguá</t>
  </si>
  <si>
    <t>Aparecida do Taboado</t>
  </si>
  <si>
    <t>Rifaina</t>
  </si>
  <si>
    <t>Castilho</t>
  </si>
  <si>
    <t>Pirangi</t>
  </si>
  <si>
    <t>Avanhandava</t>
  </si>
  <si>
    <t>Itápolis</t>
  </si>
  <si>
    <t>Glicério</t>
  </si>
  <si>
    <t>Fernão</t>
  </si>
  <si>
    <t>Cabrália Paulista</t>
  </si>
  <si>
    <t>Pindamonhangaba</t>
  </si>
  <si>
    <t>Registro</t>
  </si>
  <si>
    <t>Valentim Gentil</t>
  </si>
  <si>
    <t>Sebastianópolis do Sul</t>
  </si>
  <si>
    <t>Nhandeara</t>
  </si>
  <si>
    <t>Guzolândia</t>
  </si>
  <si>
    <t>Brejo Alegre</t>
  </si>
  <si>
    <t>Santa Rita d'Oeste</t>
  </si>
  <si>
    <t>Ariranha</t>
  </si>
  <si>
    <t>Flórida Paulista</t>
  </si>
  <si>
    <t>Ribeirão Corrente</t>
  </si>
  <si>
    <t>São João das Duas Pontes</t>
  </si>
  <si>
    <t>Jaci</t>
  </si>
  <si>
    <t>Nova Odessa</t>
  </si>
  <si>
    <t>Zacarias</t>
  </si>
  <si>
    <t>Santa Adélia</t>
  </si>
  <si>
    <t>Iepê</t>
  </si>
  <si>
    <t>Queiroz</t>
  </si>
  <si>
    <t>Mariápolis</t>
  </si>
  <si>
    <t>União Paulista</t>
  </si>
  <si>
    <t>Ituverava</t>
  </si>
  <si>
    <t>Braúna</t>
  </si>
  <si>
    <t>Floreal</t>
  </si>
  <si>
    <t>Mirante do Paranapanema</t>
  </si>
  <si>
    <t>Macaubal</t>
  </si>
  <si>
    <t>Quintana</t>
  </si>
  <si>
    <t>Mirandópolis</t>
  </si>
  <si>
    <t>Magda</t>
  </si>
  <si>
    <t>Nipoã</t>
  </si>
  <si>
    <t>Panorama</t>
  </si>
  <si>
    <t>Paulicéia</t>
  </si>
  <si>
    <t>Gastão Vidigal</t>
  </si>
  <si>
    <t>Monções</t>
  </si>
  <si>
    <t>Rancharia</t>
  </si>
  <si>
    <t>São João de Iracema</t>
  </si>
  <si>
    <t>Santa Clara d'Oeste</t>
  </si>
  <si>
    <t>Tanabi</t>
  </si>
  <si>
    <t>Pracinha</t>
  </si>
  <si>
    <t>Santa Cruz da Esperança</t>
  </si>
  <si>
    <t>Matão</t>
  </si>
  <si>
    <t>Nova Independência</t>
  </si>
  <si>
    <t>Lutécia</t>
  </si>
  <si>
    <t>Nova Luzitânia</t>
  </si>
  <si>
    <t>Turiúba</t>
  </si>
  <si>
    <t>General Salgado</t>
  </si>
  <si>
    <t>Nova Castilho</t>
  </si>
  <si>
    <t>Florestal</t>
  </si>
  <si>
    <t>Santa Mercedes</t>
  </si>
  <si>
    <t>Guaraçaí</t>
  </si>
  <si>
    <t>Sumaré</t>
  </si>
  <si>
    <t>Bebedouro</t>
  </si>
  <si>
    <t>Lourdes</t>
  </si>
  <si>
    <t>Três Fronteiras</t>
  </si>
  <si>
    <t>São Romão</t>
  </si>
  <si>
    <t>São João do Pau d'Alho</t>
  </si>
  <si>
    <t>Mirassol</t>
  </si>
  <si>
    <t>Rubinéia</t>
  </si>
  <si>
    <t>Luiziânia</t>
  </si>
  <si>
    <t>Clementina</t>
  </si>
  <si>
    <t>Herculândia</t>
  </si>
  <si>
    <t>Poloni</t>
  </si>
  <si>
    <t>Neves Paulista</t>
  </si>
  <si>
    <t>Penápolis</t>
  </si>
  <si>
    <t>Bálsamo</t>
  </si>
  <si>
    <t>Pindorama</t>
  </si>
  <si>
    <t>Pedranópolis</t>
  </si>
  <si>
    <t>Murutinga do Sul</t>
  </si>
  <si>
    <t>Nova Guataporanga</t>
  </si>
  <si>
    <t>Jeriquara</t>
  </si>
  <si>
    <t>Promissão</t>
  </si>
  <si>
    <t>Auriflama</t>
  </si>
  <si>
    <t>Buritama</t>
  </si>
  <si>
    <t>Macedônia</t>
  </si>
  <si>
    <t>Salmourão</t>
  </si>
  <si>
    <t>Sagres</t>
  </si>
  <si>
    <t>Tupi Paulista</t>
  </si>
  <si>
    <t>Meridiano</t>
  </si>
  <si>
    <t>João Ramalho</t>
  </si>
  <si>
    <t>Gabriel Monteiro</t>
  </si>
  <si>
    <t>Santópolis do Aguapeí</t>
  </si>
  <si>
    <t>Arco-Íris</t>
  </si>
  <si>
    <t>Santa Fé do Sul</t>
  </si>
  <si>
    <t>Ibiporã</t>
  </si>
  <si>
    <t>Inúbia Paulista</t>
  </si>
  <si>
    <t>Lucélia</t>
  </si>
  <si>
    <t>Dracena</t>
  </si>
  <si>
    <t>Quatá</t>
  </si>
  <si>
    <t>Tupã</t>
  </si>
  <si>
    <t>Osvaldo Cruz</t>
  </si>
  <si>
    <t>Adamantina</t>
  </si>
  <si>
    <t>Pedregulho</t>
  </si>
  <si>
    <t>Mococa</t>
  </si>
  <si>
    <t>Bastos</t>
  </si>
  <si>
    <t>Parapuã</t>
  </si>
  <si>
    <t>Rinópolis</t>
  </si>
  <si>
    <t>Monte Aprazível</t>
  </si>
  <si>
    <t>Iacri</t>
  </si>
  <si>
    <t>Andradina</t>
  </si>
  <si>
    <t>Piacatu</t>
  </si>
  <si>
    <t>Sete Barras</t>
  </si>
  <si>
    <t>Borá</t>
  </si>
  <si>
    <t>Fernandópolis</t>
  </si>
  <si>
    <t>Cruzália</t>
  </si>
  <si>
    <t>Paraguaçu Paulista</t>
  </si>
  <si>
    <t>Maracaí</t>
  </si>
  <si>
    <t>Tarumã</t>
  </si>
  <si>
    <t>Santa Cruz do Arari</t>
  </si>
  <si>
    <t>Cachoeira do Arari</t>
  </si>
  <si>
    <t>Pureza</t>
  </si>
  <si>
    <t>Ipojuca</t>
  </si>
  <si>
    <t>Avelino Lopes</t>
  </si>
  <si>
    <t>Raposa</t>
  </si>
  <si>
    <t>Ponta de Pedras</t>
  </si>
  <si>
    <t>Parazinho</t>
  </si>
  <si>
    <t>Ilha de Itamaracá</t>
  </si>
  <si>
    <t>Abreu e Lima</t>
  </si>
  <si>
    <t>Marapanim</t>
  </si>
  <si>
    <t>Tamandaré</t>
  </si>
  <si>
    <t>São José de Ribamar</t>
  </si>
  <si>
    <t>Curuçá</t>
  </si>
  <si>
    <t>Apicum-Açu</t>
  </si>
  <si>
    <t>Lucena</t>
  </si>
  <si>
    <t>Vigia</t>
  </si>
  <si>
    <t>Magalhães Barata</t>
  </si>
  <si>
    <t>Pedra Grande</t>
  </si>
  <si>
    <t>Cabedelo</t>
  </si>
  <si>
    <t>São Caetano de Odivelas</t>
  </si>
  <si>
    <t>Colares</t>
  </si>
  <si>
    <t>Maracanã</t>
  </si>
  <si>
    <t>Paço do Lumiar</t>
  </si>
  <si>
    <t>Barreirinhas</t>
  </si>
  <si>
    <t>Muaná</t>
  </si>
  <si>
    <t>Itanagra</t>
  </si>
  <si>
    <t>Paulino Neves</t>
  </si>
  <si>
    <t>São João da Ponta</t>
  </si>
  <si>
    <t>Carutapera</t>
  </si>
  <si>
    <t>Ferreiros</t>
  </si>
  <si>
    <t>Pitimbu</t>
  </si>
  <si>
    <t>São José da Coroa Grande</t>
  </si>
  <si>
    <t>São Bento do Norte</t>
  </si>
  <si>
    <t>São Luís</t>
  </si>
  <si>
    <t>Nísia Floresta</t>
  </si>
  <si>
    <t>Senador Georgino Avelino</t>
  </si>
  <si>
    <t>Tibau do Sul</t>
  </si>
  <si>
    <t>São João de Pirabas</t>
  </si>
  <si>
    <t>Luís Domingues</t>
  </si>
  <si>
    <t>Porto Rico do Maranhão</t>
  </si>
  <si>
    <t>Pindoretama</t>
  </si>
  <si>
    <t>João Câmara</t>
  </si>
  <si>
    <t>Baía Formosa</t>
  </si>
  <si>
    <t>Alcântara</t>
  </si>
  <si>
    <t>Arês</t>
  </si>
  <si>
    <t>Viseu</t>
  </si>
  <si>
    <t>São José de Mipibu</t>
  </si>
  <si>
    <t>Vila Flor</t>
  </si>
  <si>
    <t>Baía da Traição</t>
  </si>
  <si>
    <t>Barcarena</t>
  </si>
  <si>
    <t>Salinópolis</t>
  </si>
  <si>
    <t>Caiçara do Norte</t>
  </si>
  <si>
    <t>Beberibe</t>
  </si>
  <si>
    <t>Godofredo Viana</t>
  </si>
  <si>
    <t>Taipu</t>
  </si>
  <si>
    <t>Poço Branco</t>
  </si>
  <si>
    <t>Lauro de Freitas</t>
  </si>
  <si>
    <t>Ceará-Mirim</t>
  </si>
  <si>
    <t>Fortaleza</t>
  </si>
  <si>
    <t>Recife</t>
  </si>
  <si>
    <t>Chaves</t>
  </si>
  <si>
    <t>Rio do Fogo</t>
  </si>
  <si>
    <t>Eusébio</t>
  </si>
  <si>
    <t>Anajás</t>
  </si>
  <si>
    <t>Icatu</t>
  </si>
  <si>
    <t>Cândido Mendes</t>
  </si>
  <si>
    <t>Santa Bárbara do Pará</t>
  </si>
  <si>
    <t>Marcação</t>
  </si>
  <si>
    <t>São Miguel do Gostoso</t>
  </si>
  <si>
    <t>Canguaretama</t>
  </si>
  <si>
    <t>Soure</t>
  </si>
  <si>
    <t>Limoeiro do Ajuru</t>
  </si>
  <si>
    <t>Ananindeua</t>
  </si>
  <si>
    <t>Abaetetuba</t>
  </si>
  <si>
    <t>Marituba</t>
  </si>
  <si>
    <t>Paracuru</t>
  </si>
  <si>
    <t>Aquiraz</t>
  </si>
  <si>
    <t>Salvaterra</t>
  </si>
  <si>
    <t>Pedra Preta</t>
  </si>
  <si>
    <t>Araçoiaba</t>
  </si>
  <si>
    <t>Itaitinga</t>
  </si>
  <si>
    <t>Axixá</t>
  </si>
  <si>
    <t>Bento Fernandes</t>
  </si>
  <si>
    <t>São Gabriel da Cachoeira</t>
  </si>
  <si>
    <t>Maxaranguape</t>
  </si>
  <si>
    <t>Mateiros</t>
  </si>
  <si>
    <t>Bagre</t>
  </si>
  <si>
    <t>Guimarães</t>
  </si>
  <si>
    <t>Rio Tinto</t>
  </si>
  <si>
    <t>Goianinha</t>
  </si>
  <si>
    <t>Cururupu</t>
  </si>
  <si>
    <t>Santarém Novo</t>
  </si>
  <si>
    <t>Pendências</t>
  </si>
  <si>
    <t>Simões Filho</t>
  </si>
  <si>
    <t>Fonte Boa</t>
  </si>
  <si>
    <t>Bacuri</t>
  </si>
  <si>
    <t>Caucaia</t>
  </si>
  <si>
    <t>Jardim de Angicos</t>
  </si>
  <si>
    <t>Touros</t>
  </si>
  <si>
    <t>Maracanaú</t>
  </si>
  <si>
    <t>Pacajus</t>
  </si>
  <si>
    <t>Alvarães</t>
  </si>
  <si>
    <t>Horizonte</t>
  </si>
  <si>
    <t>Santa Rita</t>
  </si>
  <si>
    <t>Mataraca</t>
  </si>
  <si>
    <t>Galinhos</t>
  </si>
  <si>
    <t>Trairi</t>
  </si>
  <si>
    <t>Pedro Avelino</t>
  </si>
  <si>
    <t>Riachuelo</t>
  </si>
  <si>
    <t>Morros</t>
  </si>
  <si>
    <t>Tefé</t>
  </si>
  <si>
    <t>Rorainópolis</t>
  </si>
  <si>
    <t>Mamanguape</t>
  </si>
  <si>
    <t>Paraipaba</t>
  </si>
  <si>
    <t>Turiaçu</t>
  </si>
  <si>
    <t>Afonso Bezerra</t>
  </si>
  <si>
    <t>São Rafael</t>
  </si>
  <si>
    <t>Alto do Rodrigues</t>
  </si>
  <si>
    <t>Pacatuba</t>
  </si>
  <si>
    <t>Augusto Corrêa</t>
  </si>
  <si>
    <t>Uarini</t>
  </si>
  <si>
    <t>Tutóia</t>
  </si>
  <si>
    <t>São Luiz</t>
  </si>
  <si>
    <t>Guamaré</t>
  </si>
  <si>
    <t>Cachoeira Grande</t>
  </si>
  <si>
    <t>Maranguape</t>
  </si>
  <si>
    <t>Serrano do Maranhão</t>
  </si>
  <si>
    <t>Guaiúba</t>
  </si>
  <si>
    <t>Santo Antônio do Tauá</t>
  </si>
  <si>
    <t>Benevides</t>
  </si>
  <si>
    <t>Mirinzal</t>
  </si>
  <si>
    <t>Capim</t>
  </si>
  <si>
    <t>Igarapé-Miri</t>
  </si>
  <si>
    <t>Caiçara do Rio do Vento</t>
  </si>
  <si>
    <t>Moju</t>
  </si>
  <si>
    <t>Laranjal do Jari</t>
  </si>
  <si>
    <t>Porto do Mangue</t>
  </si>
  <si>
    <t>Amapá do Maranhão</t>
  </si>
  <si>
    <t>Terra Alta</t>
  </si>
  <si>
    <t>São Félix do Tocantins</t>
  </si>
  <si>
    <t>Vitória do Jari</t>
  </si>
  <si>
    <t>Santa Isabel do Pará</t>
  </si>
  <si>
    <t>Monte Alegre</t>
  </si>
  <si>
    <t>Cametá</t>
  </si>
  <si>
    <t>São João da Baliza</t>
  </si>
  <si>
    <t>Lajes</t>
  </si>
  <si>
    <t>Extremoz</t>
  </si>
  <si>
    <t>Porto Walter</t>
  </si>
  <si>
    <t>Remanso</t>
  </si>
  <si>
    <t>Rosário</t>
  </si>
  <si>
    <t>Mucajaí</t>
  </si>
  <si>
    <t>Santa Isabel do Rio Negro</t>
  </si>
  <si>
    <t>Carnaubais</t>
  </si>
  <si>
    <t>Bragança</t>
  </si>
  <si>
    <t>Breves</t>
  </si>
  <si>
    <t>Chorozinho</t>
  </si>
  <si>
    <t>Iracema</t>
  </si>
  <si>
    <t>Caroebe</t>
  </si>
  <si>
    <t>Itapororoca</t>
  </si>
  <si>
    <t>Serra do Mel</t>
  </si>
  <si>
    <t>Cantá</t>
  </si>
  <si>
    <t>Portel</t>
  </si>
  <si>
    <t>Igarapé-Açu</t>
  </si>
  <si>
    <t>Mocajuba</t>
  </si>
  <si>
    <t>Santarém</t>
  </si>
  <si>
    <t>Primavera</t>
  </si>
  <si>
    <t>Baião</t>
  </si>
  <si>
    <t>Curuá</t>
  </si>
  <si>
    <t>Quatipuru</t>
  </si>
  <si>
    <t>Angicos</t>
  </si>
  <si>
    <t>Melgaço</t>
  </si>
  <si>
    <t>Boa Vista do Gurupi</t>
  </si>
  <si>
    <t>Bacabeira</t>
  </si>
  <si>
    <t>São Gonçalo do Amarante</t>
  </si>
  <si>
    <t>Breu Branco</t>
  </si>
  <si>
    <t>Juruá</t>
  </si>
  <si>
    <t>Junco do Maranhão</t>
  </si>
  <si>
    <t>Alenquer</t>
  </si>
  <si>
    <t>Tucuruí</t>
  </si>
  <si>
    <t>Maraã</t>
  </si>
  <si>
    <t>Óbidos</t>
  </si>
  <si>
    <t>Fernando Pedroza</t>
  </si>
  <si>
    <t>Divinópolis de Goiás</t>
  </si>
  <si>
    <t>Cuité de Mamanguape</t>
  </si>
  <si>
    <t>Calçoene</t>
  </si>
  <si>
    <t>Chã de Alegria</t>
  </si>
  <si>
    <t>Fortim</t>
  </si>
  <si>
    <t>Jacaraú</t>
  </si>
  <si>
    <t>Pedro Régis</t>
  </si>
  <si>
    <t>Curral de Cima</t>
  </si>
  <si>
    <t>Goianésia do Pará</t>
  </si>
  <si>
    <t>Itarema</t>
  </si>
  <si>
    <t>Cachoeira do Piriá</t>
  </si>
  <si>
    <t>Jijoca de Jericoacoara</t>
  </si>
  <si>
    <t>Porto de Moz</t>
  </si>
  <si>
    <t>Baixa Grande do Ribeiro</t>
  </si>
  <si>
    <t>Afuá</t>
  </si>
  <si>
    <t>Jutaí</t>
  </si>
  <si>
    <t>Central do Maranhão</t>
  </si>
  <si>
    <t>Anamã</t>
  </si>
  <si>
    <t>Tururu</t>
  </si>
  <si>
    <t>Caapiranga</t>
  </si>
  <si>
    <t>Manaquiri</t>
  </si>
  <si>
    <t>São Paulo de Olivença</t>
  </si>
  <si>
    <t>Belterra</t>
  </si>
  <si>
    <t>São Francisco do Pará</t>
  </si>
  <si>
    <t>Beruri</t>
  </si>
  <si>
    <t>Acaraú</t>
  </si>
  <si>
    <t>Areia Branca</t>
  </si>
  <si>
    <t>Codajás</t>
  </si>
  <si>
    <t>Prainha</t>
  </si>
  <si>
    <t>Água Doce do Maranhão</t>
  </si>
  <si>
    <t>Gurupá</t>
  </si>
  <si>
    <t>Anori</t>
  </si>
  <si>
    <t>Careiro da Várzea</t>
  </si>
  <si>
    <t>Santo Antônio do Içá</t>
  </si>
  <si>
    <t>Palhano</t>
  </si>
  <si>
    <t>Tonantins</t>
  </si>
  <si>
    <t>Oriximiná</t>
  </si>
  <si>
    <t>Peixe-Boi</t>
  </si>
  <si>
    <t>Itaubal</t>
  </si>
  <si>
    <t>Maracaçumé</t>
  </si>
  <si>
    <t>Juruti</t>
  </si>
  <si>
    <t>Manacapuru</t>
  </si>
  <si>
    <t>Governador Nunes Freire</t>
  </si>
  <si>
    <t>Grossos</t>
  </si>
  <si>
    <t>Aramari</t>
  </si>
  <si>
    <t>Novo Airão</t>
  </si>
  <si>
    <t>Centro Novo do Maranhão</t>
  </si>
  <si>
    <t>Nova Timboteua</t>
  </si>
  <si>
    <t>Uruburetama</t>
  </si>
  <si>
    <t>Careiro</t>
  </si>
  <si>
    <t>Rio da Conceição</t>
  </si>
  <si>
    <t>Bujaru</t>
  </si>
  <si>
    <t>Bequimão</t>
  </si>
  <si>
    <t>Barreira</t>
  </si>
  <si>
    <t>Recursolândia</t>
  </si>
  <si>
    <t>Acarapé</t>
  </si>
  <si>
    <t>Redenção</t>
  </si>
  <si>
    <t>Ribeiro Gonçalves</t>
  </si>
  <si>
    <t>Garrafão do Norte</t>
  </si>
  <si>
    <t>Itacoatiara</t>
  </si>
  <si>
    <t>Cruz</t>
  </si>
  <si>
    <t>Capitão Poço</t>
  </si>
  <si>
    <t>Senador José Porfírio</t>
  </si>
  <si>
    <t>Lagoa de Dentro</t>
  </si>
  <si>
    <t>Santa Maria do Pará</t>
  </si>
  <si>
    <t>Parauapebas</t>
  </si>
  <si>
    <t>Tailândia</t>
  </si>
  <si>
    <t>Bacurituba</t>
  </si>
  <si>
    <t>Cajapió</t>
  </si>
  <si>
    <t>Maranhãozinho</t>
  </si>
  <si>
    <t>Lizarda</t>
  </si>
  <si>
    <t>Amontada</t>
  </si>
  <si>
    <t>Coari</t>
  </si>
  <si>
    <t>Manaus</t>
  </si>
  <si>
    <t>Santa Luzia do Pará</t>
  </si>
  <si>
    <t>Camaçari</t>
  </si>
  <si>
    <t>Bodó</t>
  </si>
  <si>
    <t>Senador Pompeu</t>
  </si>
  <si>
    <t>Aracati</t>
  </si>
  <si>
    <t>Vitória do Xingu</t>
  </si>
  <si>
    <t>Acará</t>
  </si>
  <si>
    <t>Loreto</t>
  </si>
  <si>
    <t>Ourém</t>
  </si>
  <si>
    <t>Icapuí</t>
  </si>
  <si>
    <t>Tibau</t>
  </si>
  <si>
    <t>Inhangapi</t>
  </si>
  <si>
    <t>Ipanguaçu</t>
  </si>
  <si>
    <t>Itapagé</t>
  </si>
  <si>
    <t>Centro do Guilherme</t>
  </si>
  <si>
    <t>Cerro Corá</t>
  </si>
  <si>
    <t>Ocara</t>
  </si>
  <si>
    <t>Feijó</t>
  </si>
  <si>
    <t>São Félix de Balsas</t>
  </si>
  <si>
    <t>Macau</t>
  </si>
  <si>
    <t>Natal</t>
  </si>
  <si>
    <t>Bela Cruz</t>
  </si>
  <si>
    <t>Presidente Médici</t>
  </si>
  <si>
    <t>São Benedito</t>
  </si>
  <si>
    <t>Nova Esperança do Piriá</t>
  </si>
  <si>
    <t>Peri Mirim</t>
  </si>
  <si>
    <t>Jacundá</t>
  </si>
  <si>
    <t>Turilândia</t>
  </si>
  <si>
    <t>Canaã dos Carajás</t>
  </si>
  <si>
    <t>Castanhal</t>
  </si>
  <si>
    <t>Irituia</t>
  </si>
  <si>
    <t>Brasil Novo</t>
  </si>
  <si>
    <t>São Miguel do Guamá</t>
  </si>
  <si>
    <t>Ibiapina</t>
  </si>
  <si>
    <t>Porto Alegre do Tocantins</t>
  </si>
  <si>
    <t>São Domingos do Capim</t>
  </si>
  <si>
    <t>São Bento</t>
  </si>
  <si>
    <t>Medicilândia</t>
  </si>
  <si>
    <t>Marco</t>
  </si>
  <si>
    <t>Piquet Carneiro</t>
  </si>
  <si>
    <t>Camocim</t>
  </si>
  <si>
    <t>Umirim</t>
  </si>
  <si>
    <t>Lagoa Nova</t>
  </si>
  <si>
    <t>Santa Luzia do Paruá</t>
  </si>
  <si>
    <t>Ilha Grande</t>
  </si>
  <si>
    <t>Araioses</t>
  </si>
  <si>
    <t>Paramoti</t>
  </si>
  <si>
    <t>Palmeirândia</t>
  </si>
  <si>
    <t>Carnaubal</t>
  </si>
  <si>
    <t>Ubajara</t>
  </si>
  <si>
    <t>Novo Repartimento</t>
  </si>
  <si>
    <t>São Luís do Curu</t>
  </si>
  <si>
    <t>Mombaça</t>
  </si>
  <si>
    <t>Silves</t>
  </si>
  <si>
    <t>Aveiro</t>
  </si>
  <si>
    <t>Concórdia do Pará</t>
  </si>
  <si>
    <t>Itaiçaba</t>
  </si>
  <si>
    <t>Sambaíba</t>
  </si>
  <si>
    <t>Tejuçuoca</t>
  </si>
  <si>
    <t>Apuiarés</t>
  </si>
  <si>
    <t>Almas</t>
  </si>
  <si>
    <t>Mãe do Rio</t>
  </si>
  <si>
    <t>Irauçuba</t>
  </si>
  <si>
    <t>Acari</t>
  </si>
  <si>
    <t>Aurora do Pará</t>
  </si>
  <si>
    <t>Graça</t>
  </si>
  <si>
    <t>General Sampaio</t>
  </si>
  <si>
    <t>Anapu</t>
  </si>
  <si>
    <t>Alagoinhas</t>
  </si>
  <si>
    <t>Açu</t>
  </si>
  <si>
    <t>Barcelos</t>
  </si>
  <si>
    <t>Urucurituba</t>
  </si>
  <si>
    <t>Nova Olinda do Norte</t>
  </si>
  <si>
    <t>Miraíma</t>
  </si>
  <si>
    <t>Autazes</t>
  </si>
  <si>
    <t>Milhã</t>
  </si>
  <si>
    <t>Lagoa do Tocantins</t>
  </si>
  <si>
    <t>Bom Jesus das Selvas</t>
  </si>
  <si>
    <t>Itapiúna</t>
  </si>
  <si>
    <t>Amapá</t>
  </si>
  <si>
    <t>Aratuba</t>
  </si>
  <si>
    <t>Deputado Irapuan Pinheiro</t>
  </si>
  <si>
    <t>São Domingos do Azeitão</t>
  </si>
  <si>
    <t>Arame</t>
  </si>
  <si>
    <t>Trairão</t>
  </si>
  <si>
    <t>Aracoiaba</t>
  </si>
  <si>
    <t>Novo Acordo</t>
  </si>
  <si>
    <t>Capistrano</t>
  </si>
  <si>
    <t>Nova Ipixuna</t>
  </si>
  <si>
    <t>Canutama</t>
  </si>
  <si>
    <t>Itupiranga</t>
  </si>
  <si>
    <t>Itaituba</t>
  </si>
  <si>
    <t>Ponte Alta do Tocantins</t>
  </si>
  <si>
    <t>Itacajá</t>
  </si>
  <si>
    <t>Canindé</t>
  </si>
  <si>
    <t>São Raimundo das Mangabeiras</t>
  </si>
  <si>
    <t>Luciara</t>
  </si>
  <si>
    <t>Itaipava do Grajaú</t>
  </si>
  <si>
    <t>Manoel Urbano</t>
  </si>
  <si>
    <t>Marajá do Sena</t>
  </si>
  <si>
    <t>Buriticupu</t>
  </si>
  <si>
    <t>Ipixuna do Pará</t>
  </si>
  <si>
    <t>Palmeirante</t>
  </si>
  <si>
    <t>Arapoema</t>
  </si>
  <si>
    <t>Brejo de Areia</t>
  </si>
  <si>
    <t>Açailândia</t>
  </si>
  <si>
    <t>Bernardo Sayão</t>
  </si>
  <si>
    <t>Colinas do Tocantins</t>
  </si>
  <si>
    <t>Bom Jesus do Tocantins</t>
  </si>
  <si>
    <t>Uruará</t>
  </si>
  <si>
    <t>Miranorte</t>
  </si>
  <si>
    <t>Bandeirantes do Tocantins</t>
  </si>
  <si>
    <t>Abel Figueiredo</t>
  </si>
  <si>
    <t>Marabá</t>
  </si>
  <si>
    <t>Itapiratins</t>
  </si>
  <si>
    <t>Tupiratins</t>
  </si>
  <si>
    <t>Pacajá</t>
  </si>
  <si>
    <t>Jenipapo dos Vieiras</t>
  </si>
  <si>
    <t>São Francisco do Brejão</t>
  </si>
  <si>
    <t>São João do Araguaia</t>
  </si>
  <si>
    <t>Aparecida do Rio Negro</t>
  </si>
  <si>
    <t>Colméia</t>
  </si>
  <si>
    <t>São Pedro da Água Branca</t>
  </si>
  <si>
    <t>Lagoa Grande do Maranhão</t>
  </si>
  <si>
    <t>Santa Maria das Barreiras</t>
  </si>
  <si>
    <t>Jaguaruana</t>
  </si>
  <si>
    <t>Brasilândia do Tocantins</t>
  </si>
  <si>
    <t>Cutias</t>
  </si>
  <si>
    <t>Itaporã do Tocantins</t>
  </si>
  <si>
    <t>Pracuúba</t>
  </si>
  <si>
    <t>Curionópolis</t>
  </si>
  <si>
    <t>Mazagão</t>
  </si>
  <si>
    <t>Bujari</t>
  </si>
  <si>
    <t>Sapezal</t>
  </si>
  <si>
    <t>Miracema do Tocantins</t>
  </si>
  <si>
    <t>Tocantínia</t>
  </si>
  <si>
    <t>Santa Rosa do Purus</t>
  </si>
  <si>
    <t>Chupinguaia</t>
  </si>
  <si>
    <t>Santa Fé do Araguaia</t>
  </si>
  <si>
    <t>Nova Olinda</t>
  </si>
  <si>
    <t>Amarante do Maranhão</t>
  </si>
  <si>
    <t>Santana</t>
  </si>
  <si>
    <t>Corumbiara</t>
  </si>
  <si>
    <t>Candeias do Jamari</t>
  </si>
  <si>
    <t>Itapuã do Oeste</t>
  </si>
  <si>
    <t>Cerejeiras</t>
  </si>
  <si>
    <t>Maués</t>
  </si>
  <si>
    <t>Porto Velho</t>
  </si>
  <si>
    <t>Ferreira Gomes</t>
  </si>
  <si>
    <t>Placas</t>
  </si>
  <si>
    <t>Macapá</t>
  </si>
  <si>
    <t>Porto Grande</t>
  </si>
  <si>
    <t>Senador La Rocque</t>
  </si>
  <si>
    <t>Presidente Figueiredo</t>
  </si>
  <si>
    <t>Tartarugalzinho</t>
  </si>
  <si>
    <t>Oiapoque</t>
  </si>
  <si>
    <t>Carlinda</t>
  </si>
  <si>
    <t>Juína</t>
  </si>
  <si>
    <t>Espigão d'Oeste</t>
  </si>
  <si>
    <t>Wanderley</t>
  </si>
  <si>
    <t>Sento Sé</t>
  </si>
  <si>
    <t>Nova Crixás</t>
  </si>
  <si>
    <t>Queimada Nova</t>
  </si>
  <si>
    <t>Bonópolis</t>
  </si>
  <si>
    <t>Curimatá</t>
  </si>
  <si>
    <t>Lagoa do Barro do Piauí</t>
  </si>
  <si>
    <t>São João do Piauí</t>
  </si>
  <si>
    <t>Capitão Gervásio Oliveira</t>
  </si>
  <si>
    <t>Benjamin Constant</t>
  </si>
  <si>
    <t>Carauari</t>
  </si>
  <si>
    <t>Pilão Arcado</t>
  </si>
  <si>
    <t>Campo Alegre do Fidalgo</t>
  </si>
  <si>
    <t>Dom Inocêncio</t>
  </si>
  <si>
    <t>Cotegipe</t>
  </si>
  <si>
    <t>Paraú</t>
  </si>
  <si>
    <t>Triunfo Potiguar</t>
  </si>
  <si>
    <t>Caracaraí</t>
  </si>
  <si>
    <t>São Francisco de Assis do Piauí</t>
  </si>
  <si>
    <t>Santana do Matos</t>
  </si>
  <si>
    <t>Amaturá</t>
  </si>
  <si>
    <t>Pedro Laurentino</t>
  </si>
  <si>
    <t>Aurora do Tocantins</t>
  </si>
  <si>
    <t>Júlio Borges</t>
  </si>
  <si>
    <t>João Costa</t>
  </si>
  <si>
    <t>Poço de José de Moura</t>
  </si>
  <si>
    <t>Novo Planalto</t>
  </si>
  <si>
    <t>Novo Alegre</t>
  </si>
  <si>
    <t>Paulista</t>
  </si>
  <si>
    <t>Lavandeira</t>
  </si>
  <si>
    <t>Augusto Severo</t>
  </si>
  <si>
    <t>Jucurutu</t>
  </si>
  <si>
    <t>Passagem</t>
  </si>
  <si>
    <t>Belém do Brejo do Cruz</t>
  </si>
  <si>
    <t>Brejo do Cruz</t>
  </si>
  <si>
    <t>Mato Grosso</t>
  </si>
  <si>
    <t>São Bentinho</t>
  </si>
  <si>
    <t>Eirunepé</t>
  </si>
  <si>
    <t>Riacho dos Cavalos</t>
  </si>
  <si>
    <t>Pombal</t>
  </si>
  <si>
    <t>Combinado</t>
  </si>
  <si>
    <t>Condado</t>
  </si>
  <si>
    <t>Messias Targino</t>
  </si>
  <si>
    <t>Janduís</t>
  </si>
  <si>
    <t>Catolé do Rocha</t>
  </si>
  <si>
    <t>Bernardino Batista</t>
  </si>
  <si>
    <t>Quixadá</t>
  </si>
  <si>
    <t>Patu</t>
  </si>
  <si>
    <t>Upanema</t>
  </si>
  <si>
    <t>São José de Espinharas</t>
  </si>
  <si>
    <t>Ingá</t>
  </si>
  <si>
    <t>Frei Martinho</t>
  </si>
  <si>
    <t>São José do Seridó</t>
  </si>
  <si>
    <t>Envira</t>
  </si>
  <si>
    <t>João Dias</t>
  </si>
  <si>
    <t>Uiraúna</t>
  </si>
  <si>
    <t>Brejo dos Santos</t>
  </si>
  <si>
    <t>Jericó</t>
  </si>
  <si>
    <t>Taguatinga</t>
  </si>
  <si>
    <t>Almino Afonso</t>
  </si>
  <si>
    <t>Poço Dantas</t>
  </si>
  <si>
    <t>Lagoa</t>
  </si>
  <si>
    <t>Vista Serrana</t>
  </si>
  <si>
    <t>Itaú</t>
  </si>
  <si>
    <t>Rodrigues Alves</t>
  </si>
  <si>
    <t>Frutuoso Gomes</t>
  </si>
  <si>
    <t>Rafael Godeiro</t>
  </si>
  <si>
    <t>Carnaúba dos Dantas</t>
  </si>
  <si>
    <t>Várzea</t>
  </si>
  <si>
    <t>Paraná</t>
  </si>
  <si>
    <t>Tenente Laurentino Cruz</t>
  </si>
  <si>
    <t>Major Sales</t>
  </si>
  <si>
    <t>Antônio Martins</t>
  </si>
  <si>
    <t>Campos Lindos</t>
  </si>
  <si>
    <t>Venha-Ver</t>
  </si>
  <si>
    <t>Lucrécia</t>
  </si>
  <si>
    <t>Alexandria</t>
  </si>
  <si>
    <t>Luís Gomes</t>
  </si>
  <si>
    <t>Santana do Seridó</t>
  </si>
  <si>
    <t>Riacho de Santana</t>
  </si>
  <si>
    <t>Cruzeta</t>
  </si>
  <si>
    <t>Vieirópolis</t>
  </si>
  <si>
    <t>Florânia</t>
  </si>
  <si>
    <t>Macaíba</t>
  </si>
  <si>
    <t>Manicoré</t>
  </si>
  <si>
    <t>São José do Sabugi</t>
  </si>
  <si>
    <t>Rafael Fernandes</t>
  </si>
  <si>
    <t>Martins</t>
  </si>
  <si>
    <t>Marcelino Vieira</t>
  </si>
  <si>
    <t>José da Penha</t>
  </si>
  <si>
    <t>Riacho da Cruz</t>
  </si>
  <si>
    <t>Serrinha dos Pintos</t>
  </si>
  <si>
    <t>Tenente Ananias</t>
  </si>
  <si>
    <t>Coronel João Pessoa</t>
  </si>
  <si>
    <t>Ponte Alta do Bom Jesus</t>
  </si>
  <si>
    <t>Mâncio Lima</t>
  </si>
  <si>
    <t>Água Nova</t>
  </si>
  <si>
    <t>Altamira</t>
  </si>
  <si>
    <t>Francisco Dantas</t>
  </si>
  <si>
    <t>Lastro</t>
  </si>
  <si>
    <t>Taboleiro Grande</t>
  </si>
  <si>
    <t>Pau dos Ferros</t>
  </si>
  <si>
    <t>Umarizal</t>
  </si>
  <si>
    <t>Currais Novos</t>
  </si>
  <si>
    <t>Portalegre</t>
  </si>
  <si>
    <t>Parelhas</t>
  </si>
  <si>
    <t>Serra Negra do Norte</t>
  </si>
  <si>
    <t>Presidente Vargas</t>
  </si>
  <si>
    <t>São Francisco do Oeste</t>
  </si>
  <si>
    <t>Campos Belos</t>
  </si>
  <si>
    <t>Arneiroz</t>
  </si>
  <si>
    <t>Santana do Maranhão</t>
  </si>
  <si>
    <t>Antonina do Norte</t>
  </si>
  <si>
    <t>Aiuaba</t>
  </si>
  <si>
    <t>Socorro do Piauí</t>
  </si>
  <si>
    <t>Olho-d'Água do Borges</t>
  </si>
  <si>
    <t>São Miguel</t>
  </si>
  <si>
    <t>Taipas do Tocantins</t>
  </si>
  <si>
    <t>Guajará</t>
  </si>
  <si>
    <t>Jardim do Seridó</t>
  </si>
  <si>
    <t>Nina Rodrigues</t>
  </si>
  <si>
    <t>Nova Olinda do Maranhão</t>
  </si>
  <si>
    <t>Choró</t>
  </si>
  <si>
    <t>Zé Doca</t>
  </si>
  <si>
    <t>Encanto</t>
  </si>
  <si>
    <t>Saboeiro</t>
  </si>
  <si>
    <t>Cedro</t>
  </si>
  <si>
    <t>Dom Eliseu</t>
  </si>
  <si>
    <t>Araguanã</t>
  </si>
  <si>
    <t>São Vicente Ferrer</t>
  </si>
  <si>
    <t>Conceição do Canindé</t>
  </si>
  <si>
    <t>Bela Vista do Piauí</t>
  </si>
  <si>
    <t>Ibaretama</t>
  </si>
  <si>
    <t>Doutor Severiano</t>
  </si>
  <si>
    <t>Itapecuru Mirim</t>
  </si>
  <si>
    <t>Ererê</t>
  </si>
  <si>
    <t>Tianguá</t>
  </si>
  <si>
    <t>Luís Correia</t>
  </si>
  <si>
    <t>Brejo do Piauí</t>
  </si>
  <si>
    <t>Anajatuba</t>
  </si>
  <si>
    <t>Itinga do Maranhão</t>
  </si>
  <si>
    <t>Nova Russas</t>
  </si>
  <si>
    <t>Arraias</t>
  </si>
  <si>
    <t>Frecheirinha</t>
  </si>
  <si>
    <t>Pacujá</t>
  </si>
  <si>
    <t>Rodolfo Fernandes</t>
  </si>
  <si>
    <t>Guaraciaba do Norte</t>
  </si>
  <si>
    <t>Russas</t>
  </si>
  <si>
    <t>Olinda Nova do Maranhão</t>
  </si>
  <si>
    <t>Ipu</t>
  </si>
  <si>
    <t>Vargem Grande</t>
  </si>
  <si>
    <t>Presidente Sarney</t>
  </si>
  <si>
    <t>Granja</t>
  </si>
  <si>
    <t>Pires Ferreira</t>
  </si>
  <si>
    <t>Pedro do Rosário</t>
  </si>
  <si>
    <t>Governador Newton Bello</t>
  </si>
  <si>
    <t>São João do Carú</t>
  </si>
  <si>
    <t>Mucambo</t>
  </si>
  <si>
    <t>Cristópolis</t>
  </si>
  <si>
    <t>Matinha</t>
  </si>
  <si>
    <t>Conceição do Tocantins</t>
  </si>
  <si>
    <t>Sousa</t>
  </si>
  <si>
    <t>Nova Mamoré</t>
  </si>
  <si>
    <t>Ipueiras</t>
  </si>
  <si>
    <t>Tracuateua</t>
  </si>
  <si>
    <t>Croatá</t>
  </si>
  <si>
    <t>Martinópole</t>
  </si>
  <si>
    <t>Mirante da Serra</t>
  </si>
  <si>
    <t>São João da Fronteira</t>
  </si>
  <si>
    <t>Uruoca</t>
  </si>
  <si>
    <t>Itamarati</t>
  </si>
  <si>
    <t>Senador Sá</t>
  </si>
  <si>
    <t>Severiano Melo</t>
  </si>
  <si>
    <t>Cocalinho</t>
  </si>
  <si>
    <t>Cabeceiras do Piauí</t>
  </si>
  <si>
    <t>Tamboril</t>
  </si>
  <si>
    <t>Alto Alegre do Pindaré</t>
  </si>
  <si>
    <t>Santana do Acaraú</t>
  </si>
  <si>
    <t>Pajeú do Piauí</t>
  </si>
  <si>
    <t>Governador Dix-Sept Rosado</t>
  </si>
  <si>
    <t>Tamboril do Piauí</t>
  </si>
  <si>
    <t>Madalena</t>
  </si>
  <si>
    <t>Monte Alegre de Goiás</t>
  </si>
  <si>
    <t>Penalva</t>
  </si>
  <si>
    <t>Viçosa do Ceará</t>
  </si>
  <si>
    <t>Paes Landim</t>
  </si>
  <si>
    <t>Pinheiro</t>
  </si>
  <si>
    <t>Moraújo</t>
  </si>
  <si>
    <t>Reriutaba</t>
  </si>
  <si>
    <t>Canto do Buriti</t>
  </si>
  <si>
    <t>Monsenhor Tabosa</t>
  </si>
  <si>
    <t>Catunda</t>
  </si>
  <si>
    <t>Itatira</t>
  </si>
  <si>
    <t>Cajari</t>
  </si>
  <si>
    <t>Dirceu Arcoverde</t>
  </si>
  <si>
    <t>Arari</t>
  </si>
  <si>
    <t>Cristalândia do Piauí</t>
  </si>
  <si>
    <t>Buriti dos Lopes</t>
  </si>
  <si>
    <t>Isaías Coelho</t>
  </si>
  <si>
    <t>Cantanhede</t>
  </si>
  <si>
    <t>Tomé-Açu</t>
  </si>
  <si>
    <t>Paratinga</t>
  </si>
  <si>
    <t>Vitória do Mearim</t>
  </si>
  <si>
    <t>Coreaú</t>
  </si>
  <si>
    <t>Pauini</t>
  </si>
  <si>
    <t>Pedra Branca do Amapari</t>
  </si>
  <si>
    <t>Varjota</t>
  </si>
  <si>
    <t>Tarauacá</t>
  </si>
  <si>
    <t>Barroquinha</t>
  </si>
  <si>
    <t>Miranda do Norte</t>
  </si>
  <si>
    <t>Cocal dos Alves</t>
  </si>
  <si>
    <t>Flores do Piauí</t>
  </si>
  <si>
    <t>São Pedro do Piauí</t>
  </si>
  <si>
    <t>Novo Progresso</t>
  </si>
  <si>
    <t>Altos</t>
  </si>
  <si>
    <t>Ibicuitinga</t>
  </si>
  <si>
    <t>Ipaporanga</t>
  </si>
  <si>
    <t>Bom Princípio do Piauí</t>
  </si>
  <si>
    <t>Pindorama do Tocantins</t>
  </si>
  <si>
    <t>São Gonçalo do Piauí</t>
  </si>
  <si>
    <t>Matões do Norte</t>
  </si>
  <si>
    <t>Ribeira do Piauí</t>
  </si>
  <si>
    <t>Ararendá</t>
  </si>
  <si>
    <t>Santo Antônio dos Milagres</t>
  </si>
  <si>
    <t>Massapê</t>
  </si>
  <si>
    <t>Cajueiro da Praia</t>
  </si>
  <si>
    <t>Pirapemas</t>
  </si>
  <si>
    <t>Alcântaras</t>
  </si>
  <si>
    <t>Monção</t>
  </si>
  <si>
    <t>Quixeré</t>
  </si>
  <si>
    <t>Angical do Piauí</t>
  </si>
  <si>
    <t>Domingos Mourão</t>
  </si>
  <si>
    <t>Santa Quitéria</t>
  </si>
  <si>
    <t>Tufilândia</t>
  </si>
  <si>
    <t>Itaueira</t>
  </si>
  <si>
    <t>Rio Grande do Piauí</t>
  </si>
  <si>
    <t>Goiás</t>
  </si>
  <si>
    <t>Cocal</t>
  </si>
  <si>
    <t>Poranga</t>
  </si>
  <si>
    <t>Lábrea</t>
  </si>
  <si>
    <t>Goiatins</t>
  </si>
  <si>
    <t>Santa Tereza do Tocantins</t>
  </si>
  <si>
    <t>Jardim do Mulato</t>
  </si>
  <si>
    <t>Lagoinha do Piauí</t>
  </si>
  <si>
    <t>Amarante</t>
  </si>
  <si>
    <t>São Francisco do Maranhão</t>
  </si>
  <si>
    <t>Hugo Napoleão</t>
  </si>
  <si>
    <t>Olho d'Água do Piauí</t>
  </si>
  <si>
    <t>Mossâmedes</t>
  </si>
  <si>
    <t>Meruoca</t>
  </si>
  <si>
    <t>Cariré</t>
  </si>
  <si>
    <t>Almeirim</t>
  </si>
  <si>
    <t>Pavussu</t>
  </si>
  <si>
    <t>Agricolândia</t>
  </si>
  <si>
    <t>Alta Floresta d'Oeste</t>
  </si>
  <si>
    <t>Altamira do Maranhão</t>
  </si>
  <si>
    <t>Novo Horizonte do Oeste</t>
  </si>
  <si>
    <t>Chaval</t>
  </si>
  <si>
    <t>Santa Luzia d'Oeste</t>
  </si>
  <si>
    <t>Pindaré-Mirim</t>
  </si>
  <si>
    <t>Regeneração</t>
  </si>
  <si>
    <t>Colônia do Gurguéia</t>
  </si>
  <si>
    <t>Buriti de Goiás</t>
  </si>
  <si>
    <t>Sena Madureira</t>
  </si>
  <si>
    <t>Simplício Mendes</t>
  </si>
  <si>
    <t>Igarapé do Meio</t>
  </si>
  <si>
    <t>Baianópolis</t>
  </si>
  <si>
    <t>Barro Duro</t>
  </si>
  <si>
    <t>Sanclerlândia</t>
  </si>
  <si>
    <t>Palmeirais</t>
  </si>
  <si>
    <t>Santa Maria do Tocantins</t>
  </si>
  <si>
    <t>Esperantina</t>
  </si>
  <si>
    <t>Castanheiras</t>
  </si>
  <si>
    <t>São Miguel do Fidalgo</t>
  </si>
  <si>
    <t>Bela Vista do Maranhão</t>
  </si>
  <si>
    <t>Caraúbas do Piauí</t>
  </si>
  <si>
    <t>Coivaras</t>
  </si>
  <si>
    <t>Governador Jorge Teixeira</t>
  </si>
  <si>
    <t>Vitorino Freire</t>
  </si>
  <si>
    <t>Caxingó</t>
  </si>
  <si>
    <t>Passagem Franca do Piauí</t>
  </si>
  <si>
    <t>Piracuruca</t>
  </si>
  <si>
    <t>Paulo Ramos</t>
  </si>
  <si>
    <t>Novo Santo Antônio</t>
  </si>
  <si>
    <t>Groaíras</t>
  </si>
  <si>
    <t>Sobral</t>
  </si>
  <si>
    <t>Paragominas</t>
  </si>
  <si>
    <t>Coronel José Dias</t>
  </si>
  <si>
    <t>Rondon do Pará</t>
  </si>
  <si>
    <t>Campinas do Piauí</t>
  </si>
  <si>
    <t>Vila Nova dos Martírios</t>
  </si>
  <si>
    <t>Conceição do Lago-Açu</t>
  </si>
  <si>
    <t>Satubinha</t>
  </si>
  <si>
    <t>Guadalupe</t>
  </si>
  <si>
    <t>Batalha</t>
  </si>
  <si>
    <t>Pio XII</t>
  </si>
  <si>
    <t>Formosa do Rio Preto</t>
  </si>
  <si>
    <t>Eliseu Martins</t>
  </si>
  <si>
    <t>Barra do Ouro</t>
  </si>
  <si>
    <t>Buriti do Tocantins</t>
  </si>
  <si>
    <t>Cujubim</t>
  </si>
  <si>
    <t>Porto Alegre do Piauí</t>
  </si>
  <si>
    <t>Miguel Leão</t>
  </si>
  <si>
    <t>Boa Hora</t>
  </si>
  <si>
    <t>São Sebastião do Tocantins</t>
  </si>
  <si>
    <t>Ceres</t>
  </si>
  <si>
    <t>Rialma</t>
  </si>
  <si>
    <t>Carmo do Rio Verde</t>
  </si>
  <si>
    <t>Rondolândia</t>
  </si>
  <si>
    <t>Boqueirão do Piauí</t>
  </si>
  <si>
    <t>Rio Branco</t>
  </si>
  <si>
    <t>Tasso Fragoso</t>
  </si>
  <si>
    <t>São José do Peixe</t>
  </si>
  <si>
    <t>Lago da Pedra</t>
  </si>
  <si>
    <t>Rianápolis</t>
  </si>
  <si>
    <t>Barras</t>
  </si>
  <si>
    <t>Rio Sono</t>
  </si>
  <si>
    <t>Limoeiro do Norte</t>
  </si>
  <si>
    <t>Carrasco Bonito</t>
  </si>
  <si>
    <t>Pugmil</t>
  </si>
  <si>
    <t>Lago Verde</t>
  </si>
  <si>
    <t>Pau d'Arco do Piauí</t>
  </si>
  <si>
    <t>São Domingos do Araguaia</t>
  </si>
  <si>
    <t>União</t>
  </si>
  <si>
    <t>Cidelândia</t>
  </si>
  <si>
    <t>Chapada da Natividade</t>
  </si>
  <si>
    <t>Caseara</t>
  </si>
  <si>
    <t>Olho d'Água das Cunhãs</t>
  </si>
  <si>
    <t>Araguatins</t>
  </si>
  <si>
    <t>Malta</t>
  </si>
  <si>
    <t>Forquilha</t>
  </si>
  <si>
    <t>São Félix do Araguaia</t>
  </si>
  <si>
    <t>Santa Rita do Trivelato</t>
  </si>
  <si>
    <t>Monsenhor Gil</t>
  </si>
  <si>
    <t>Plácido de Castro</t>
  </si>
  <si>
    <t>Senador Guiomard</t>
  </si>
  <si>
    <t>Sucupira do Riachão</t>
  </si>
  <si>
    <t>Barra do Corda</t>
  </si>
  <si>
    <t>Assis Brasil</t>
  </si>
  <si>
    <t>Santana do Araguaia</t>
  </si>
  <si>
    <t>Lago do Junco</t>
  </si>
  <si>
    <t>Nova Iorque</t>
  </si>
  <si>
    <t>Bom Lugar</t>
  </si>
  <si>
    <t>São Mateus do Maranhão</t>
  </si>
  <si>
    <t>Fernando Falcão</t>
  </si>
  <si>
    <t>Tabuleiro do Norte</t>
  </si>
  <si>
    <t>São João dos Patos</t>
  </si>
  <si>
    <t>Sampaio</t>
  </si>
  <si>
    <t>Lago dos Rodrigues</t>
  </si>
  <si>
    <t>Beneditinos</t>
  </si>
  <si>
    <t>Cristalândia</t>
  </si>
  <si>
    <t>Capixaba</t>
  </si>
  <si>
    <t>Brejo Grande do Araguaia</t>
  </si>
  <si>
    <t>Porto Acre</t>
  </si>
  <si>
    <t>Palestina do Pará</t>
  </si>
  <si>
    <t>Rio dos Bois</t>
  </si>
  <si>
    <t>Curralinhos</t>
  </si>
  <si>
    <t>Rolim de Moura</t>
  </si>
  <si>
    <t>Pastos Bons</t>
  </si>
  <si>
    <t>Paranaíta</t>
  </si>
  <si>
    <t>Coroatá</t>
  </si>
  <si>
    <t>Augustinópolis</t>
  </si>
  <si>
    <t>Talismã</t>
  </si>
  <si>
    <t>Poção de Pedras</t>
  </si>
  <si>
    <t>Parnarama</t>
  </si>
  <si>
    <t>Guaraí</t>
  </si>
  <si>
    <t>Praia Norte</t>
  </si>
  <si>
    <t>São Raimundo do Doca Bezerra</t>
  </si>
  <si>
    <t>Pedro II</t>
  </si>
  <si>
    <t>São Roberto</t>
  </si>
  <si>
    <t>Fortaleza do Tabocão</t>
  </si>
  <si>
    <t>São Felipe d'Oeste</t>
  </si>
  <si>
    <t>Muricilândia</t>
  </si>
  <si>
    <t>Sucupira do Norte</t>
  </si>
  <si>
    <t>Brasileira</t>
  </si>
  <si>
    <t>Lagoa do Mato</t>
  </si>
  <si>
    <t>Nova Nazaré</t>
  </si>
  <si>
    <t>Alto Alegre do Maranhão</t>
  </si>
  <si>
    <t>Grajaú</t>
  </si>
  <si>
    <t>Nova Canaã do Norte</t>
  </si>
  <si>
    <t>Buritirana</t>
  </si>
  <si>
    <t>Igarapé Grande</t>
  </si>
  <si>
    <t>Nova Rosalândia</t>
  </si>
  <si>
    <t>Timbiras</t>
  </si>
  <si>
    <t>Capitão de Campos</t>
  </si>
  <si>
    <t>Bacabal</t>
  </si>
  <si>
    <t>Serra Nova Dourada</t>
  </si>
  <si>
    <t>Colniza</t>
  </si>
  <si>
    <t>Paraibano</t>
  </si>
  <si>
    <t>Lagoa do Piauí</t>
  </si>
  <si>
    <t>São Luís Gonzaga do Maranhão</t>
  </si>
  <si>
    <t>Ribeirão Cascalheira</t>
  </si>
  <si>
    <t>Demerval Lobão</t>
  </si>
  <si>
    <t>Bom Jesus do Araguaia</t>
  </si>
  <si>
    <t>Bernardo do Mearim</t>
  </si>
  <si>
    <t>Monte Negro</t>
  </si>
  <si>
    <t>Pedreiras</t>
  </si>
  <si>
    <t>Trizidela do Vale</t>
  </si>
  <si>
    <t>Peritoró</t>
  </si>
  <si>
    <t>João Lisboa</t>
  </si>
  <si>
    <t>Codó</t>
  </si>
  <si>
    <t>Marcelândia</t>
  </si>
  <si>
    <t>Aragominas</t>
  </si>
  <si>
    <t>Axixá do Tocantins</t>
  </si>
  <si>
    <t>Sítio Novo</t>
  </si>
  <si>
    <t>São Lourenço do Piauí</t>
  </si>
  <si>
    <t>Acrelândia</t>
  </si>
  <si>
    <t>Cacaulândia</t>
  </si>
  <si>
    <t>São Bento do Tocantins</t>
  </si>
  <si>
    <t>Lima Campos</t>
  </si>
  <si>
    <t>Passagem Franca</t>
  </si>
  <si>
    <t>Eldorado dos Carajás</t>
  </si>
  <si>
    <t>Canabrava do Norte</t>
  </si>
  <si>
    <t>Nova Santa Helena</t>
  </si>
  <si>
    <t>Esperantinópolis</t>
  </si>
  <si>
    <t>Alto Boa Vista</t>
  </si>
  <si>
    <t>Piçarra</t>
  </si>
  <si>
    <t>Matões</t>
  </si>
  <si>
    <t>Formosa da Serra Negra</t>
  </si>
  <si>
    <t>Colíder</t>
  </si>
  <si>
    <t>Aldeias Altas</t>
  </si>
  <si>
    <t>Primavera de Rondônia</t>
  </si>
  <si>
    <t>Monte do Carmo</t>
  </si>
  <si>
    <t>Joselândia</t>
  </si>
  <si>
    <t>Montes Altos</t>
  </si>
  <si>
    <t>Imperatriz</t>
  </si>
  <si>
    <t>Itaúba</t>
  </si>
  <si>
    <t>Porto Alegre do Norte</t>
  </si>
  <si>
    <t>São Miguel do Tocantins</t>
  </si>
  <si>
    <t>Capinzal do Norte</t>
  </si>
  <si>
    <t>Brasnorte</t>
  </si>
  <si>
    <t>Confresa</t>
  </si>
  <si>
    <t>Boca do Acre</t>
  </si>
  <si>
    <t>Sítio Novo do Tocantins</t>
  </si>
  <si>
    <t>Oliveira de Fátima</t>
  </si>
  <si>
    <t>Tabaporã</t>
  </si>
  <si>
    <t>União do Sul</t>
  </si>
  <si>
    <t>Governador Edison Lobão</t>
  </si>
  <si>
    <t>São José dos Basílios</t>
  </si>
  <si>
    <t>Nova Marilândia</t>
  </si>
  <si>
    <t>Santa Rosa do Tocantins</t>
  </si>
  <si>
    <t>Fortaleza dos Nogueiras</t>
  </si>
  <si>
    <t>Itaguatins</t>
  </si>
  <si>
    <t>Santo Antônio dos Lopes</t>
  </si>
  <si>
    <t>Caxias</t>
  </si>
  <si>
    <t>Apuí</t>
  </si>
  <si>
    <t>Balsas</t>
  </si>
  <si>
    <t>São Geraldo do Araguaia</t>
  </si>
  <si>
    <t>Xambioá</t>
  </si>
  <si>
    <t>Silvanópolis</t>
  </si>
  <si>
    <t>Maurilândia do Tocantins</t>
  </si>
  <si>
    <t>Ministro Andreazza</t>
  </si>
  <si>
    <t>São Valério da Natividade</t>
  </si>
  <si>
    <t>Buriti Bravo</t>
  </si>
  <si>
    <t>Ribamar Fiquene</t>
  </si>
  <si>
    <t>Terra Nova do Norte</t>
  </si>
  <si>
    <t>Carolina</t>
  </si>
  <si>
    <t>Dom Pedro</t>
  </si>
  <si>
    <t>Brasiléia</t>
  </si>
  <si>
    <t>Tuntum</t>
  </si>
  <si>
    <t>São João do Soter</t>
  </si>
  <si>
    <t>Nova Guarita</t>
  </si>
  <si>
    <t>Epitaciolândia</t>
  </si>
  <si>
    <t>Governador Archer</t>
  </si>
  <si>
    <t>Timon</t>
  </si>
  <si>
    <t>Querência</t>
  </si>
  <si>
    <t>Santa Rita do Tocantins</t>
  </si>
  <si>
    <t>Nova Colinas</t>
  </si>
  <si>
    <t>Nova Mutum</t>
  </si>
  <si>
    <t>Gaúcha do Norte</t>
  </si>
  <si>
    <t>Pimenta Bueno</t>
  </si>
  <si>
    <t>Castanheira</t>
  </si>
  <si>
    <t>Cláudia</t>
  </si>
  <si>
    <t>Nazária</t>
  </si>
  <si>
    <t>Teresina</t>
  </si>
  <si>
    <t>Rio Crespo</t>
  </si>
  <si>
    <t>Campestre do Maranhão</t>
  </si>
  <si>
    <t>Lajeado Novo</t>
  </si>
  <si>
    <t>Porto Nacional</t>
  </si>
  <si>
    <t>Carmolândia</t>
  </si>
  <si>
    <t>Gonçalves Dias</t>
  </si>
  <si>
    <t>São Pedro dos Crentes</t>
  </si>
  <si>
    <t>Luzinópolis</t>
  </si>
  <si>
    <t>Lucas do Rio Verde</t>
  </si>
  <si>
    <t>Senador Alexandre Costa</t>
  </si>
  <si>
    <t>Peixe</t>
  </si>
  <si>
    <t>Feira Nova do Maranhão</t>
  </si>
  <si>
    <t>Governador Luiz Rocha</t>
  </si>
  <si>
    <t>Tupirama</t>
  </si>
  <si>
    <t>Santa Filomena do Maranhão</t>
  </si>
  <si>
    <t>Jaú do Tocantins</t>
  </si>
  <si>
    <t>Jatobá</t>
  </si>
  <si>
    <t>Xapuri</t>
  </si>
  <si>
    <t>Pentecoste</t>
  </si>
  <si>
    <t>Porto Franco</t>
  </si>
  <si>
    <t>Tocantinópolis</t>
  </si>
  <si>
    <t>Governador Eugênio Barros</t>
  </si>
  <si>
    <t>Ariquemes</t>
  </si>
  <si>
    <t>Brejinho de Nazaré</t>
  </si>
  <si>
    <t>Fortuna</t>
  </si>
  <si>
    <t>Piraquê</t>
  </si>
  <si>
    <t>Pedro Afonso</t>
  </si>
  <si>
    <t>Babaçulândia</t>
  </si>
  <si>
    <t>Campinápolis</t>
  </si>
  <si>
    <t>Graça Aranha</t>
  </si>
  <si>
    <t>Ananás</t>
  </si>
  <si>
    <t>São Raimundo Nonato</t>
  </si>
  <si>
    <t>Sorriso</t>
  </si>
  <si>
    <t>Feliz Natal</t>
  </si>
  <si>
    <t>Riachinho</t>
  </si>
  <si>
    <t>Peixoto de Azevedo</t>
  </si>
  <si>
    <t>Novo Mundo</t>
  </si>
  <si>
    <t>Angico</t>
  </si>
  <si>
    <t>Crixás do Tocantins</t>
  </si>
  <si>
    <t>Araguaína</t>
  </si>
  <si>
    <t>Alto Parnaíba</t>
  </si>
  <si>
    <t>Santa Filomena</t>
  </si>
  <si>
    <t>São Domingos do Maranhão</t>
  </si>
  <si>
    <t>Matupá</t>
  </si>
  <si>
    <t>Cacoal</t>
  </si>
  <si>
    <t>Santa Carmem</t>
  </si>
  <si>
    <t>Dueré</t>
  </si>
  <si>
    <t>Guarantã do Norte</t>
  </si>
  <si>
    <t>Atalaia do Norte</t>
  </si>
  <si>
    <t>Santa Terezinha do Tocantins</t>
  </si>
  <si>
    <t>Wanderlândia</t>
  </si>
  <si>
    <t>Figueirópolis</t>
  </si>
  <si>
    <t>Juruena</t>
  </si>
  <si>
    <t>São Salvador do Tocantins</t>
  </si>
  <si>
    <t>Sinop</t>
  </si>
  <si>
    <t>Aliança do Tocantins</t>
  </si>
  <si>
    <t>Darcinópolis</t>
  </si>
  <si>
    <t>Sucupira</t>
  </si>
  <si>
    <t>Nova Monte Verde</t>
  </si>
  <si>
    <t>Estreito</t>
  </si>
  <si>
    <t>Aguiarnópolis</t>
  </si>
  <si>
    <t>Cotriguaçu</t>
  </si>
  <si>
    <t>Apiacás</t>
  </si>
  <si>
    <t>Juara</t>
  </si>
  <si>
    <t>Nova Bandeirantes</t>
  </si>
  <si>
    <t>Palmeiras do Tocantins</t>
  </si>
  <si>
    <t>Cariri do Tocantins</t>
  </si>
  <si>
    <t>Paranã</t>
  </si>
  <si>
    <t>Satuba</t>
  </si>
  <si>
    <t>Pirambu</t>
  </si>
  <si>
    <t>Juripiranga</t>
  </si>
  <si>
    <t>Camutanga</t>
  </si>
  <si>
    <t>Conde</t>
  </si>
  <si>
    <t>Caaporã</t>
  </si>
  <si>
    <t>João Pessoa</t>
  </si>
  <si>
    <t>Itaquitinga</t>
  </si>
  <si>
    <t>Aliança</t>
  </si>
  <si>
    <t>Buenos Aires</t>
  </si>
  <si>
    <t>Olinda</t>
  </si>
  <si>
    <t>Roteiro</t>
  </si>
  <si>
    <t>Jaqueira</t>
  </si>
  <si>
    <t>Santo Amaro do Maranhão</t>
  </si>
  <si>
    <t>Vicência</t>
  </si>
  <si>
    <t>Bayeux</t>
  </si>
  <si>
    <t>Piaçabuçu</t>
  </si>
  <si>
    <t>Lagoa do Carro</t>
  </si>
  <si>
    <t>Itabaiana</t>
  </si>
  <si>
    <t>Malhada dos Bois</t>
  </si>
  <si>
    <t>Escada</t>
  </si>
  <si>
    <t>Maraú</t>
  </si>
  <si>
    <t>Santa Brígida</t>
  </si>
  <si>
    <t>Caravelas</t>
  </si>
  <si>
    <t>Senador Elói de Souza</t>
  </si>
  <si>
    <t>Alhandra</t>
  </si>
  <si>
    <t>Jequiá da Praia</t>
  </si>
  <si>
    <t>Lagoa Salgada</t>
  </si>
  <si>
    <t>Mata de São João</t>
  </si>
  <si>
    <t>Amparo de São Francisco</t>
  </si>
  <si>
    <t>Lagoa do Itaenga</t>
  </si>
  <si>
    <t>São Miguel de Taipu</t>
  </si>
  <si>
    <t>Itacaré</t>
  </si>
  <si>
    <t>Ielmo Marinho</t>
  </si>
  <si>
    <t>Rio Formoso</t>
  </si>
  <si>
    <t>Cruz do Espírito Santo</t>
  </si>
  <si>
    <t>Lagoa de Pedras</t>
  </si>
  <si>
    <t>Aracaju</t>
  </si>
  <si>
    <t>Barra dos Coqueiros</t>
  </si>
  <si>
    <t>Januário Cicco</t>
  </si>
  <si>
    <t>Muribeca</t>
  </si>
  <si>
    <t>Feliz Deserto</t>
  </si>
  <si>
    <t>Japoatã</t>
  </si>
  <si>
    <t>Macaparana</t>
  </si>
  <si>
    <t>Porto Real do Colégio</t>
  </si>
  <si>
    <t>Alto Rio Novo</t>
  </si>
  <si>
    <t>Moreno</t>
  </si>
  <si>
    <t>Glória do Goitá</t>
  </si>
  <si>
    <t>Brejo Grande</t>
  </si>
  <si>
    <t>Sobrado</t>
  </si>
  <si>
    <t>São José dos Ramos</t>
  </si>
  <si>
    <t>Camamu</t>
  </si>
  <si>
    <t>Jordânia</t>
  </si>
  <si>
    <t>Itarantim</t>
  </si>
  <si>
    <t>Potiraguá</t>
  </si>
  <si>
    <t>Machados</t>
  </si>
  <si>
    <t>Riachão do Poço</t>
  </si>
  <si>
    <t>São Paulo do Potengi</t>
  </si>
  <si>
    <t>Salgado de São Félix</t>
  </si>
  <si>
    <t>Sirinhaém</t>
  </si>
  <si>
    <t>Goiana</t>
  </si>
  <si>
    <t>Sapé</t>
  </si>
  <si>
    <t>Baixo Guandu</t>
  </si>
  <si>
    <t>Dias d'Ávila</t>
  </si>
  <si>
    <t>Paudalho</t>
  </si>
  <si>
    <t>Camaragibe</t>
  </si>
  <si>
    <t>São Lourenço da Mata</t>
  </si>
  <si>
    <t>Morro Cabeça no Tempo</t>
  </si>
  <si>
    <t>Coruripe</t>
  </si>
  <si>
    <t>Madre de Deus</t>
  </si>
  <si>
    <t>Jundiá</t>
  </si>
  <si>
    <t>Itueta</t>
  </si>
  <si>
    <t>Porto Calvo</t>
  </si>
  <si>
    <t>Aimorés</t>
  </si>
  <si>
    <t>Cedro de São João</t>
  </si>
  <si>
    <t>Oeiras do Pará</t>
  </si>
  <si>
    <t>Porto de Pedras</t>
  </si>
  <si>
    <t>Pedro Velho</t>
  </si>
  <si>
    <t>São Sebastião da Boa Vista</t>
  </si>
  <si>
    <t>Nazaré da Mata</t>
  </si>
  <si>
    <t>Igrapiúna</t>
  </si>
  <si>
    <t>Palmares</t>
  </si>
  <si>
    <t>Japaratinga</t>
  </si>
  <si>
    <t>Caldas Brandão</t>
  </si>
  <si>
    <t>Natuba</t>
  </si>
  <si>
    <t>Itaparica</t>
  </si>
  <si>
    <t>Maiquinique</t>
  </si>
  <si>
    <t>Acauã</t>
  </si>
  <si>
    <t>Espírito Santo</t>
  </si>
  <si>
    <t>Itapissuma</t>
  </si>
  <si>
    <t>Mari</t>
  </si>
  <si>
    <t>Santo Antônio</t>
  </si>
  <si>
    <t>Mogeiro</t>
  </si>
  <si>
    <t>Salinas da Margarida</t>
  </si>
  <si>
    <t>Barra de Santo Antônio</t>
  </si>
  <si>
    <t>Coqueiro Seco</t>
  </si>
  <si>
    <t>Lagoa de Velhos</t>
  </si>
  <si>
    <t>Barcelona</t>
  </si>
  <si>
    <t>Montanhas</t>
  </si>
  <si>
    <t>São Miguel do Araguaia</t>
  </si>
  <si>
    <t>Jaguaripe</t>
  </si>
  <si>
    <t>Nova Venécia</t>
  </si>
  <si>
    <t>Telha</t>
  </si>
  <si>
    <t>Pedrão</t>
  </si>
  <si>
    <t>Bandeira</t>
  </si>
  <si>
    <t>Orocó</t>
  </si>
  <si>
    <t>Catende</t>
  </si>
  <si>
    <t>Arapiraca</t>
  </si>
  <si>
    <t>Belém de Maria</t>
  </si>
  <si>
    <t>Paripueira</t>
  </si>
  <si>
    <t>Gurinhém</t>
  </si>
  <si>
    <t>Saubara</t>
  </si>
  <si>
    <t>Ilha das Flores</t>
  </si>
  <si>
    <t>Paulistana</t>
  </si>
  <si>
    <t>Urandi</t>
  </si>
  <si>
    <t>Pindaí</t>
  </si>
  <si>
    <t>Maragogipe</t>
  </si>
  <si>
    <t>Cortês</t>
  </si>
  <si>
    <t>Itapipoca</t>
  </si>
  <si>
    <t>São Francisco do Conde</t>
  </si>
  <si>
    <t>Governador Mangabeira</t>
  </si>
  <si>
    <t>Curralinho</t>
  </si>
  <si>
    <t>Jacobina do Piauí</t>
  </si>
  <si>
    <t>Sebastião Laranjeiras</t>
  </si>
  <si>
    <t>Santo Amaro</t>
  </si>
  <si>
    <t>São Luís do Quitunde</t>
  </si>
  <si>
    <t>Maceió</t>
  </si>
  <si>
    <t>Cachoeira</t>
  </si>
  <si>
    <t>São Félix</t>
  </si>
  <si>
    <t>Terra Santa</t>
  </si>
  <si>
    <t>Candiba</t>
  </si>
  <si>
    <t>Salvador</t>
  </si>
  <si>
    <t>Piancó</t>
  </si>
  <si>
    <t>Tapauá</t>
  </si>
  <si>
    <t>Ouricuri</t>
  </si>
  <si>
    <t>Igaracy</t>
  </si>
  <si>
    <t>Araguaçu</t>
  </si>
  <si>
    <t>Araçagi</t>
  </si>
  <si>
    <t>Nhamundá</t>
  </si>
  <si>
    <t>Faro</t>
  </si>
  <si>
    <t>São Brás</t>
  </si>
  <si>
    <t>Conceição</t>
  </si>
  <si>
    <t>Firmino Alves</t>
  </si>
  <si>
    <t>Novo Aripuanã</t>
  </si>
  <si>
    <t>Cacimba de Areia</t>
  </si>
  <si>
    <t>Itororó</t>
  </si>
  <si>
    <t>Itabaianinha</t>
  </si>
  <si>
    <t>Pirpirituba</t>
  </si>
  <si>
    <t>Guanambi</t>
  </si>
  <si>
    <t>Água Azul do Norte</t>
  </si>
  <si>
    <t>São João do Sabugi</t>
  </si>
  <si>
    <t>Jardim de Piranhas</t>
  </si>
  <si>
    <t>Icó</t>
  </si>
  <si>
    <t>Muritiba</t>
  </si>
  <si>
    <t>Borba</t>
  </si>
  <si>
    <t>Itapetinga</t>
  </si>
  <si>
    <t>Propriá</t>
  </si>
  <si>
    <t>Almenara</t>
  </si>
  <si>
    <t>Aguiar</t>
  </si>
  <si>
    <t>São Mamede</t>
  </si>
  <si>
    <t>Campo Redondo</t>
  </si>
  <si>
    <t>Orós</t>
  </si>
  <si>
    <t>Parintins</t>
  </si>
  <si>
    <t>Lajes Pintadas</t>
  </si>
  <si>
    <t>Mossoró</t>
  </si>
  <si>
    <t>Lençóis</t>
  </si>
  <si>
    <t>Quixabá</t>
  </si>
  <si>
    <t>Ibirapitanga</t>
  </si>
  <si>
    <t>Cuitegi</t>
  </si>
  <si>
    <t>Itaberaba</t>
  </si>
  <si>
    <t>Assaré</t>
  </si>
  <si>
    <t>Tarrafas</t>
  </si>
  <si>
    <t>Gongogi</t>
  </si>
  <si>
    <t>Jucás</t>
  </si>
  <si>
    <t>Santana do Cariri</t>
  </si>
  <si>
    <t>Urupá</t>
  </si>
  <si>
    <t>Timbaúba dos Batistas</t>
  </si>
  <si>
    <t>Monte Santo do Tocantins</t>
  </si>
  <si>
    <t>São Gonçalo do Gurguéia</t>
  </si>
  <si>
    <t>Pio IX</t>
  </si>
  <si>
    <t>Várzea Alegre</t>
  </si>
  <si>
    <t>Seringueiras</t>
  </si>
  <si>
    <t>Altaneira</t>
  </si>
  <si>
    <t>Cabaceiras</t>
  </si>
  <si>
    <t>Abaiara</t>
  </si>
  <si>
    <t>Coxim</t>
  </si>
  <si>
    <t>Gavião</t>
  </si>
  <si>
    <t>Capim Grosso</t>
  </si>
  <si>
    <t>Guarabira</t>
  </si>
  <si>
    <t>Quixabeira</t>
  </si>
  <si>
    <t>Pedra Branca</t>
  </si>
  <si>
    <t>São José do Jacuípe</t>
  </si>
  <si>
    <t>Barreiras do Piauí</t>
  </si>
  <si>
    <t>Santaluz</t>
  </si>
  <si>
    <t>Itapitanga</t>
  </si>
  <si>
    <t>Catarina</t>
  </si>
  <si>
    <t>Juazeiro</t>
  </si>
  <si>
    <t>Petrolina</t>
  </si>
  <si>
    <t>Parnaíba</t>
  </si>
  <si>
    <t>Farias Brito</t>
  </si>
  <si>
    <t>Divinópolis do Tocantins</t>
  </si>
  <si>
    <t>Dário Meira</t>
  </si>
  <si>
    <t>Rurópolis</t>
  </si>
  <si>
    <t>Serra do Navio</t>
  </si>
  <si>
    <t>Barreirinha</t>
  </si>
  <si>
    <t>Abreulândia</t>
  </si>
  <si>
    <t>Cansanção</t>
  </si>
  <si>
    <t>Pereiro</t>
  </si>
  <si>
    <t>Gilbués</t>
  </si>
  <si>
    <t>Itiúba</t>
  </si>
  <si>
    <t>Boa Viagem</t>
  </si>
  <si>
    <t>Caririaçu</t>
  </si>
  <si>
    <t>Barrolândia</t>
  </si>
  <si>
    <t>Surubim</t>
  </si>
  <si>
    <t>Xinguara</t>
  </si>
  <si>
    <t>Chapada de Areia</t>
  </si>
  <si>
    <t>Glória</t>
  </si>
  <si>
    <t>Ourilândia do Norte</t>
  </si>
  <si>
    <t>Chapada dos Guimarães</t>
  </si>
  <si>
    <t>Bannach</t>
  </si>
  <si>
    <t>Benedito Leite</t>
  </si>
  <si>
    <t>Uruçuí</t>
  </si>
  <si>
    <t>Nordestina</t>
  </si>
  <si>
    <t>Andorinha</t>
  </si>
  <si>
    <t>Ubatã</t>
  </si>
  <si>
    <t>Uauá</t>
  </si>
  <si>
    <t>Monte Alegre do Piauí</t>
  </si>
  <si>
    <t>Rio Maria</t>
  </si>
  <si>
    <t>Acopiara</t>
  </si>
  <si>
    <t>Paraíso do Tocantins</t>
  </si>
  <si>
    <t>Marianópolis do Tocantins</t>
  </si>
  <si>
    <t>Tucumã</t>
  </si>
  <si>
    <t>Paulo Afonso</t>
  </si>
  <si>
    <t>Ipixuna</t>
  </si>
  <si>
    <t>Missão Velha</t>
  </si>
  <si>
    <t>Cabrobó</t>
  </si>
  <si>
    <t>Solonópole</t>
  </si>
  <si>
    <t>Parecis</t>
  </si>
  <si>
    <t>Quijingue</t>
  </si>
  <si>
    <t>São Sebastião do Uatumã</t>
  </si>
  <si>
    <t>Dois Irmãos do Tocantins</t>
  </si>
  <si>
    <t>Redenção do Gurguéia</t>
  </si>
  <si>
    <t>Sandolândia</t>
  </si>
  <si>
    <t>Banabuiú</t>
  </si>
  <si>
    <t>Campos Sales</t>
  </si>
  <si>
    <t>Floresta do Araguaia</t>
  </si>
  <si>
    <t>Pau d'Arco</t>
  </si>
  <si>
    <t>Vila Rica</t>
  </si>
  <si>
    <t>Cumaru do Norte</t>
  </si>
  <si>
    <t>Juarina</t>
  </si>
  <si>
    <t>Crato</t>
  </si>
  <si>
    <t>Conceição do Araguaia</t>
  </si>
  <si>
    <t>Urucará</t>
  </si>
  <si>
    <t>Couto de Magalhães</t>
  </si>
  <si>
    <t>Itagibá</t>
  </si>
  <si>
    <t>Araguacema</t>
  </si>
  <si>
    <t>Mata Roma</t>
  </si>
  <si>
    <t>Goianorte</t>
  </si>
  <si>
    <t>Marechal Thaumaturgo</t>
  </si>
  <si>
    <t>Quiterianópolis</t>
  </si>
  <si>
    <t>Pequizeiro</t>
  </si>
  <si>
    <t>Barão de Grajaú</t>
  </si>
  <si>
    <t>Floriano</t>
  </si>
  <si>
    <t>Quixeramobim</t>
  </si>
  <si>
    <t>Vale de São Domingos</t>
  </si>
  <si>
    <t>Palmeira do Piauí</t>
  </si>
  <si>
    <t>Boa Vista do Ramos</t>
  </si>
  <si>
    <t>Crateús</t>
  </si>
  <si>
    <t>Serra Talhada</t>
  </si>
  <si>
    <t>Juazeiro do Norte</t>
  </si>
  <si>
    <t>Jauru</t>
  </si>
  <si>
    <t>Jaru</t>
  </si>
  <si>
    <t>Santa Cruz do Xingu</t>
  </si>
  <si>
    <t>Anapurus</t>
  </si>
  <si>
    <t>Jaguaretama</t>
  </si>
  <si>
    <t>Tangará da Serra</t>
  </si>
  <si>
    <t>Barra do Rocha</t>
  </si>
  <si>
    <t>Pimenteiras do Oeste</t>
  </si>
  <si>
    <t>Pium</t>
  </si>
  <si>
    <t>Jerumenha</t>
  </si>
  <si>
    <t>Quixelô</t>
  </si>
  <si>
    <t>Potiretama</t>
  </si>
  <si>
    <t>Patos</t>
  </si>
  <si>
    <t>Lagoa da Confusão</t>
  </si>
  <si>
    <t>Sebastião Leal</t>
  </si>
  <si>
    <t>São Francisco do Guaporé</t>
  </si>
  <si>
    <t>Ipiaú</t>
  </si>
  <si>
    <t>Feira de Santana</t>
  </si>
  <si>
    <t>Tauá</t>
  </si>
  <si>
    <t>Novo Oriente</t>
  </si>
  <si>
    <t>São José do Xingu</t>
  </si>
  <si>
    <t>Cristino Castro</t>
  </si>
  <si>
    <t>Antônio Almeida</t>
  </si>
  <si>
    <t>Marcos Parente</t>
  </si>
  <si>
    <t>Chapadinha</t>
  </si>
  <si>
    <t>Barbalha</t>
  </si>
  <si>
    <t>Landri Sales</t>
  </si>
  <si>
    <t>Jaguaribara</t>
  </si>
  <si>
    <t>Felipe Guerra</t>
  </si>
  <si>
    <t>Buriti</t>
  </si>
  <si>
    <t>Jordão</t>
  </si>
  <si>
    <t>Jaguaribe</t>
  </si>
  <si>
    <t>Palmeira dos Índios</t>
  </si>
  <si>
    <t>Alto Santo</t>
  </si>
  <si>
    <t>Afonso Cunha</t>
  </si>
  <si>
    <t>São João do Jaguaribe</t>
  </si>
  <si>
    <t>Morada Nova</t>
  </si>
  <si>
    <t>Apodi</t>
  </si>
  <si>
    <t>Assunção do Piauí</t>
  </si>
  <si>
    <t>Buriti dos Montes</t>
  </si>
  <si>
    <t>Juscimeira</t>
  </si>
  <si>
    <t>São Félix do Xingu</t>
  </si>
  <si>
    <t>São Miguel do Tapuio</t>
  </si>
  <si>
    <t>Casa Nova</t>
  </si>
  <si>
    <t>Pancas</t>
  </si>
  <si>
    <t>Humberto de Campos</t>
  </si>
  <si>
    <t>Primeira Cruz</t>
  </si>
  <si>
    <t>Macururé</t>
  </si>
  <si>
    <t>Vitória de Santo Antão</t>
  </si>
  <si>
    <t>Amaraji</t>
  </si>
  <si>
    <t>Xexéu</t>
  </si>
  <si>
    <t>Chorrochó</t>
  </si>
  <si>
    <t>Craíbas</t>
  </si>
  <si>
    <t>Água Preta</t>
  </si>
  <si>
    <t>Olho d'Água Grande</t>
  </si>
  <si>
    <t>Passira</t>
  </si>
  <si>
    <t>Gameleira</t>
  </si>
  <si>
    <t>Ribeirão</t>
  </si>
  <si>
    <t>Belo Monte</t>
  </si>
  <si>
    <t>Barreiros</t>
  </si>
  <si>
    <t>Penedo</t>
  </si>
  <si>
    <t>Santana do São Francisco</t>
  </si>
  <si>
    <t>Pedras de Fogo</t>
  </si>
  <si>
    <t>Lagarto</t>
  </si>
  <si>
    <t>Aquidabã</t>
  </si>
  <si>
    <t>Neópolis</t>
  </si>
  <si>
    <t>Porto da Folha</t>
  </si>
  <si>
    <t>Maruim</t>
  </si>
  <si>
    <t>Rosário do Catete</t>
  </si>
  <si>
    <t>Tracunhaém</t>
  </si>
  <si>
    <t>Marcionílio Souza</t>
  </si>
  <si>
    <t>Cabo de Santo Agostinho</t>
  </si>
  <si>
    <t>Olho d'Água do Casado</t>
  </si>
  <si>
    <t>Malhador</t>
  </si>
  <si>
    <t>Ibiquera</t>
  </si>
  <si>
    <t>Divina Pastora</t>
  </si>
  <si>
    <t>Jaboatão dos Guararapes</t>
  </si>
  <si>
    <t>Nossa Senhora do Socorro</t>
  </si>
  <si>
    <t>Igarassu</t>
  </si>
  <si>
    <t>Canhoba</t>
  </si>
  <si>
    <t>Carmópolis</t>
  </si>
  <si>
    <t>General Maynard</t>
  </si>
  <si>
    <t>São Miguel do Aleixo</t>
  </si>
  <si>
    <t>Rio Preto da Eva</t>
  </si>
  <si>
    <t>Boquim</t>
  </si>
  <si>
    <t>Santo Amaro das Brotas</t>
  </si>
  <si>
    <t>Siriri</t>
  </si>
  <si>
    <t>Pedra Mole</t>
  </si>
  <si>
    <t>Boa Vista do Tupim</t>
  </si>
  <si>
    <t>Itabi</t>
  </si>
  <si>
    <t>José de Freitas</t>
  </si>
  <si>
    <t>Indiaroba</t>
  </si>
  <si>
    <t>Monte Azul</t>
  </si>
  <si>
    <t>Novo Lino</t>
  </si>
  <si>
    <t>Bodocó</t>
  </si>
  <si>
    <t>Abaré</t>
  </si>
  <si>
    <t>Gararu</t>
  </si>
  <si>
    <t>Colônia Leopoldina</t>
  </si>
  <si>
    <t>Jacuípe</t>
  </si>
  <si>
    <t>Iranduba</t>
  </si>
  <si>
    <t>Messias</t>
  </si>
  <si>
    <t>Rio Largo</t>
  </si>
  <si>
    <t>Laranjeiras</t>
  </si>
  <si>
    <t>Japaratuba</t>
  </si>
  <si>
    <t>Mutunópolis</t>
  </si>
  <si>
    <t>Igreja Nova</t>
  </si>
  <si>
    <t>Belágua</t>
  </si>
  <si>
    <t>Mamonas</t>
  </si>
  <si>
    <t>Catuti</t>
  </si>
  <si>
    <t>Flexeiras</t>
  </si>
  <si>
    <t>São Cristóvão</t>
  </si>
  <si>
    <t>Matriz de Camaragibe</t>
  </si>
  <si>
    <t>São Miguel dos Campos</t>
  </si>
  <si>
    <t>Jaramataia</t>
  </si>
  <si>
    <t>Ibiara</t>
  </si>
  <si>
    <t>Santa Luzia do Itanhy</t>
  </si>
  <si>
    <t>Diamante</t>
  </si>
  <si>
    <t>Urbano Santos</t>
  </si>
  <si>
    <t>Canindé de São Francisco</t>
  </si>
  <si>
    <t>Olho d'Água</t>
  </si>
  <si>
    <t>Carnaíba</t>
  </si>
  <si>
    <t>Curral Novo do Piauí</t>
  </si>
  <si>
    <t>Boa Ventura</t>
  </si>
  <si>
    <t>Porangatu</t>
  </si>
  <si>
    <t>Araçuaí</t>
  </si>
  <si>
    <t>Betânia do Piauí</t>
  </si>
  <si>
    <t>Murici</t>
  </si>
  <si>
    <t>Santana dos Garrotes</t>
  </si>
  <si>
    <t>Emas</t>
  </si>
  <si>
    <t>Jacaré dos Homens</t>
  </si>
  <si>
    <t>Monteirópolis</t>
  </si>
  <si>
    <t>São José da Tapera</t>
  </si>
  <si>
    <t>Catingueira</t>
  </si>
  <si>
    <t>Boca da Mata</t>
  </si>
  <si>
    <t>São Miguel dos Milagres</t>
  </si>
  <si>
    <t>Maragogi</t>
  </si>
  <si>
    <t>São José de Piranhas</t>
  </si>
  <si>
    <t>Girau do Ponciano</t>
  </si>
  <si>
    <t>São Miguel do Guaporé</t>
  </si>
  <si>
    <t>Traipu</t>
  </si>
  <si>
    <t>Carrapateira</t>
  </si>
  <si>
    <t>Estância</t>
  </si>
  <si>
    <t>Simões</t>
  </si>
  <si>
    <t>União dos Palmares</t>
  </si>
  <si>
    <t>Caridade do Piauí</t>
  </si>
  <si>
    <t>Branquinha</t>
  </si>
  <si>
    <t>Nazarezinho</t>
  </si>
  <si>
    <t>Itaporanga d'Ajuda</t>
  </si>
  <si>
    <t>Cajazeirinhas</t>
  </si>
  <si>
    <t>São José da Lagoa Tapada</t>
  </si>
  <si>
    <t>Aripuanã</t>
  </si>
  <si>
    <t>Espinosa</t>
  </si>
  <si>
    <t>Jacareacanga</t>
  </si>
  <si>
    <t>Brejolândia</t>
  </si>
  <si>
    <t>Pai Pedro</t>
  </si>
  <si>
    <t>Cachoeira dos Índios</t>
  </si>
  <si>
    <t>Gameleiras</t>
  </si>
  <si>
    <t>Ipaumirim</t>
  </si>
  <si>
    <t>São Benedito do Rio Preto</t>
  </si>
  <si>
    <t>Santana de Mangueira</t>
  </si>
  <si>
    <t>Cajazeiras</t>
  </si>
  <si>
    <t>Coremas</t>
  </si>
  <si>
    <t>Baixio</t>
  </si>
  <si>
    <t>Vertente do Lério</t>
  </si>
  <si>
    <t>São João do Rio do Peixe</t>
  </si>
  <si>
    <t>Marcolândia</t>
  </si>
  <si>
    <t>Curral Velho</t>
  </si>
  <si>
    <t>Umari</t>
  </si>
  <si>
    <t>Nova Porteirinha</t>
  </si>
  <si>
    <t>São Domingos de Pombal</t>
  </si>
  <si>
    <t>São José do Brejo do Cruz</t>
  </si>
  <si>
    <t>Francisco Macedo</t>
  </si>
  <si>
    <t>Ipirá</t>
  </si>
  <si>
    <t>Belém do Piauí</t>
  </si>
  <si>
    <t>Santa Tereza de Goiás</t>
  </si>
  <si>
    <t>Ribeira do Amparo</t>
  </si>
  <si>
    <t>Palmas de Monte Alto</t>
  </si>
  <si>
    <t>Padre Marcos</t>
  </si>
  <si>
    <t>Alegrete do Piauí</t>
  </si>
  <si>
    <t>Patos do Piauí</t>
  </si>
  <si>
    <t>Nova Soure</t>
  </si>
  <si>
    <t>Caldeirão Grande do Piauí</t>
  </si>
  <si>
    <t>Muquém de São Francisco</t>
  </si>
  <si>
    <t>Ulianópolis</t>
  </si>
  <si>
    <t>Janaúba</t>
  </si>
  <si>
    <t>São Julião</t>
  </si>
  <si>
    <t>Lavras da Mangabeira</t>
  </si>
  <si>
    <t>São José do Belmonte</t>
  </si>
  <si>
    <t>Massapê do Piauí</t>
  </si>
  <si>
    <t>Cipó</t>
  </si>
  <si>
    <t>Alagoinha do Piauí</t>
  </si>
  <si>
    <t>Vila Nova do Piauí</t>
  </si>
  <si>
    <t>Jati</t>
  </si>
  <si>
    <t>Alto Alegre dos Parecis</t>
  </si>
  <si>
    <t>Monsenhor Hipólito</t>
  </si>
  <si>
    <t>Exu</t>
  </si>
  <si>
    <t>Jaicós</t>
  </si>
  <si>
    <t>Teixeirópolis</t>
  </si>
  <si>
    <t>Campo Grande do Piauí</t>
  </si>
  <si>
    <t>Ipueira</t>
  </si>
  <si>
    <t>Francisco Santos</t>
  </si>
  <si>
    <t>Parnaguá</t>
  </si>
  <si>
    <t>Brejo Santo</t>
  </si>
  <si>
    <t>Mozarlândia</t>
  </si>
  <si>
    <t>Alvorada d'Oeste</t>
  </si>
  <si>
    <t>Juru</t>
  </si>
  <si>
    <t>Fronteiras</t>
  </si>
  <si>
    <t>Porteiras</t>
  </si>
  <si>
    <t>Betânia</t>
  </si>
  <si>
    <t>Quixaba</t>
  </si>
  <si>
    <t>Marizópolis</t>
  </si>
  <si>
    <t>Ouro Preto do Oeste</t>
  </si>
  <si>
    <t>Granjeiro</t>
  </si>
  <si>
    <t>Cariús</t>
  </si>
  <si>
    <t>Riacho Frio</t>
  </si>
  <si>
    <t>Serra Dourada</t>
  </si>
  <si>
    <t>Tabocas do Brejo Velho</t>
  </si>
  <si>
    <t>Nova Brasilândia d'Oeste</t>
  </si>
  <si>
    <t>Santo Antônio de Lisboa</t>
  </si>
  <si>
    <t>Monte Santo</t>
  </si>
  <si>
    <t>Machadinho d'Oeste</t>
  </si>
  <si>
    <t>São João da Canabrava</t>
  </si>
  <si>
    <t>São Luis do Piauí</t>
  </si>
  <si>
    <t>Corrente</t>
  </si>
  <si>
    <t>Lagoa Alegre</t>
  </si>
  <si>
    <t>Vera Mendes</t>
  </si>
  <si>
    <t>Santa Maria da Vitória</t>
  </si>
  <si>
    <t>São Félix do Coribe</t>
  </si>
  <si>
    <t>Campo Novo de Rondônia</t>
  </si>
  <si>
    <t>Vale do Paraíso</t>
  </si>
  <si>
    <t>São Fernando</t>
  </si>
  <si>
    <t>Nova Cruz</t>
  </si>
  <si>
    <t>Geminiano</t>
  </si>
  <si>
    <t>Itainópolis</t>
  </si>
  <si>
    <t>Alta Floresta</t>
  </si>
  <si>
    <t>Serra do Ramalho</t>
  </si>
  <si>
    <t>Iuiú</t>
  </si>
  <si>
    <t>Trombas</t>
  </si>
  <si>
    <t>São José do Piauí</t>
  </si>
  <si>
    <t>Itapirapuã</t>
  </si>
  <si>
    <t>Alvorada do Gurguéia</t>
  </si>
  <si>
    <t>Sussuapara</t>
  </si>
  <si>
    <t>Sítio do Mato</t>
  </si>
  <si>
    <t>Solidão</t>
  </si>
  <si>
    <t>Nossa Senhora de Nazaré</t>
  </si>
  <si>
    <t>Picos</t>
  </si>
  <si>
    <t>Santana do Piauí</t>
  </si>
  <si>
    <t>Manoel Emídio</t>
  </si>
  <si>
    <t>Campo Maior</t>
  </si>
  <si>
    <t>Guaribas</t>
  </si>
  <si>
    <t>Pão de Açúcar</t>
  </si>
  <si>
    <t>Verdelândia</t>
  </si>
  <si>
    <t>Aroeiras do Itaim</t>
  </si>
  <si>
    <t>Pimenteiras</t>
  </si>
  <si>
    <t>Lagoa do Sítio</t>
  </si>
  <si>
    <t>Vale do Anari</t>
  </si>
  <si>
    <t>Caicó</t>
  </si>
  <si>
    <t>Porto Murtinho</t>
  </si>
  <si>
    <t>Pontes e Lacerda</t>
  </si>
  <si>
    <t>Bertolínia</t>
  </si>
  <si>
    <t>São Bernardo</t>
  </si>
  <si>
    <t>Canavieira</t>
  </si>
  <si>
    <t>Novo Brasil</t>
  </si>
  <si>
    <t>Valença do Piauí</t>
  </si>
  <si>
    <t>Jaíba</t>
  </si>
  <si>
    <t>Theobroma</t>
  </si>
  <si>
    <t>Xique-Xique</t>
  </si>
  <si>
    <t>Mansidão</t>
  </si>
  <si>
    <t>Figueirópolis d'Oeste</t>
  </si>
  <si>
    <t>Fartura do Piauí</t>
  </si>
  <si>
    <t>Córrego do Ouro</t>
  </si>
  <si>
    <t>Murici dos Portelas</t>
  </si>
  <si>
    <t>Paranaíba</t>
  </si>
  <si>
    <t>Bom Jesus da Lapa</t>
  </si>
  <si>
    <t>Malhada</t>
  </si>
  <si>
    <t>Carinhanha</t>
  </si>
  <si>
    <t>Fazenda Nova</t>
  </si>
  <si>
    <t>Inhuma</t>
  </si>
  <si>
    <t>Dom Expedito Lopes</t>
  </si>
  <si>
    <t>Indiavaí</t>
  </si>
  <si>
    <t>Floresta do Piauí</t>
  </si>
  <si>
    <t>Goianésia</t>
  </si>
  <si>
    <t>Brejo</t>
  </si>
  <si>
    <t>Morpará</t>
  </si>
  <si>
    <t>Miguel Alves</t>
  </si>
  <si>
    <t>Aroazes</t>
  </si>
  <si>
    <t>Duque Bacelar</t>
  </si>
  <si>
    <t>Reserva do Cabaçal</t>
  </si>
  <si>
    <t>Santa Luz</t>
  </si>
  <si>
    <t>Ibotirama</t>
  </si>
  <si>
    <t>Coelho Neto</t>
  </si>
  <si>
    <t>Alto Longá</t>
  </si>
  <si>
    <t>Campo Alegre de Lourdes</t>
  </si>
  <si>
    <t>Santa Quitéria do Maranhão</t>
  </si>
  <si>
    <t>Israelândia</t>
  </si>
  <si>
    <t>São Félix do Piauí</t>
  </si>
  <si>
    <t>Jaupaci</t>
  </si>
  <si>
    <t>Francisco Ayres</t>
  </si>
  <si>
    <t>São Miguel da Baixa Grande</t>
  </si>
  <si>
    <t>Ipiranga do Piauí</t>
  </si>
  <si>
    <t>Milagres do Maranhão</t>
  </si>
  <si>
    <t>Arinos</t>
  </si>
  <si>
    <t>Prata do Piauí</t>
  </si>
  <si>
    <t>Porto Esperidião</t>
  </si>
  <si>
    <t>Elesbão Veloso</t>
  </si>
  <si>
    <t>Angical</t>
  </si>
  <si>
    <t>Paquetá</t>
  </si>
  <si>
    <t>Madeiro</t>
  </si>
  <si>
    <t>Cocal de Telha</t>
  </si>
  <si>
    <t>Cuiabá</t>
  </si>
  <si>
    <t>Magalhães de Almeida</t>
  </si>
  <si>
    <t>Santo Inácio do Piauí</t>
  </si>
  <si>
    <t>Luzilândia</t>
  </si>
  <si>
    <t>Barra</t>
  </si>
  <si>
    <t>Novo Oriente do Piauí</t>
  </si>
  <si>
    <t>Araputanga</t>
  </si>
  <si>
    <t>Buritirama</t>
  </si>
  <si>
    <t>Porto</t>
  </si>
  <si>
    <t>Glória d'Oeste</t>
  </si>
  <si>
    <t>Joca Marques</t>
  </si>
  <si>
    <t>Nossa Senhora dos Remédios</t>
  </si>
  <si>
    <t>Santa Cruz do Piauí</t>
  </si>
  <si>
    <t>Francinópolis</t>
  </si>
  <si>
    <t>Ibimirim</t>
  </si>
  <si>
    <t>Santa Cruz dos Milagres</t>
  </si>
  <si>
    <t>Nobres</t>
  </si>
  <si>
    <t>Itacarambi</t>
  </si>
  <si>
    <t>Joaquim Pires</t>
  </si>
  <si>
    <t>Nazaré do Piauí</t>
  </si>
  <si>
    <t>Santa Fé de Goiás</t>
  </si>
  <si>
    <t>Sebastião Barros</t>
  </si>
  <si>
    <t>Campo Largo do Piauí</t>
  </si>
  <si>
    <t>São Francisco do Piauí</t>
  </si>
  <si>
    <t>Arraial</t>
  </si>
  <si>
    <t>Jatobá do Piauí</t>
  </si>
  <si>
    <t>Diorama</t>
  </si>
  <si>
    <t>Várzea Grande</t>
  </si>
  <si>
    <t>Lagoa de São Francisco</t>
  </si>
  <si>
    <t>Barão de Melgaço</t>
  </si>
  <si>
    <t>Milton Brandão</t>
  </si>
  <si>
    <t>São José dos Quatro Marcos</t>
  </si>
  <si>
    <t>Mirassol d'Oeste</t>
  </si>
  <si>
    <t>Montividiu do Norte</t>
  </si>
  <si>
    <t>Cáceres</t>
  </si>
  <si>
    <t>Matias Olímpio</t>
  </si>
  <si>
    <t>Alto Paraguai</t>
  </si>
  <si>
    <t>Salto do Céu</t>
  </si>
  <si>
    <t>Diamantino</t>
  </si>
  <si>
    <t>Wall Ferraz</t>
  </si>
  <si>
    <t>Barra d'Alcântara</t>
  </si>
  <si>
    <t>Rosário Oeste</t>
  </si>
  <si>
    <t>Acorizal</t>
  </si>
  <si>
    <t>Currais</t>
  </si>
  <si>
    <t>Montes Claros de Goiás</t>
  </si>
  <si>
    <t>Santo Afonso</t>
  </si>
  <si>
    <t>Riachão das Neves</t>
  </si>
  <si>
    <t>Nortelândia</t>
  </si>
  <si>
    <t>Aruanã</t>
  </si>
  <si>
    <t>Lambari d'Oeste</t>
  </si>
  <si>
    <t>Conquista d'Oeste</t>
  </si>
  <si>
    <t>São João da Serra</t>
  </si>
  <si>
    <t>Arenápolis</t>
  </si>
  <si>
    <t>Sigefredo Pacheco</t>
  </si>
  <si>
    <t>São João do Arraial</t>
  </si>
  <si>
    <t>Denise</t>
  </si>
  <si>
    <t>Morro do Chapéu do Piauí</t>
  </si>
  <si>
    <t>Novo Horizonte do Norte</t>
  </si>
  <si>
    <t>Curvelândia</t>
  </si>
  <si>
    <t>Britânia</t>
  </si>
  <si>
    <t>Piripiri</t>
  </si>
  <si>
    <t>Várzea Branca</t>
  </si>
  <si>
    <t>Poconé</t>
  </si>
  <si>
    <t>Jangada</t>
  </si>
  <si>
    <t>Tanque do Piauí</t>
  </si>
  <si>
    <t>Anísio de Abreu</t>
  </si>
  <si>
    <t>São João da Varjota</t>
  </si>
  <si>
    <t>São Braz do Piauí</t>
  </si>
  <si>
    <t>Itaíba</t>
  </si>
  <si>
    <t>Nova Lacerda</t>
  </si>
  <si>
    <t>Cajazeiras do Piauí</t>
  </si>
  <si>
    <t>Bonfim do Piauí</t>
  </si>
  <si>
    <t>Colônia do Piauí</t>
  </si>
  <si>
    <t>Palmeirópolis</t>
  </si>
  <si>
    <t>Nossa Senhora do Livramento</t>
  </si>
  <si>
    <t>Bom Jardim de Goiás</t>
  </si>
  <si>
    <t>Juazeiro do Piauí</t>
  </si>
  <si>
    <t>Guiratinga</t>
  </si>
  <si>
    <t>Nova Maringá</t>
  </si>
  <si>
    <t>Miranda</t>
  </si>
  <si>
    <t>Vera</t>
  </si>
  <si>
    <t>Costa Marques</t>
  </si>
  <si>
    <t>Nova Glória</t>
  </si>
  <si>
    <t>São José do Povo</t>
  </si>
  <si>
    <t>Araguaiana</t>
  </si>
  <si>
    <t>Santa Rosa do Piauí</t>
  </si>
  <si>
    <t>Aragarças</t>
  </si>
  <si>
    <t>Barra do Garças</t>
  </si>
  <si>
    <t>Santo Antônio do Leverger</t>
  </si>
  <si>
    <t>Vila Bela da Santíssima Trindade</t>
  </si>
  <si>
    <t>Baliza</t>
  </si>
  <si>
    <t>Torixoréu</t>
  </si>
  <si>
    <t>Santa Rita de Cássia</t>
  </si>
  <si>
    <t>Barra do Bugres</t>
  </si>
  <si>
    <t>Barreiras</t>
  </si>
  <si>
    <t>Rondonópolis</t>
  </si>
  <si>
    <t>Pontal do Araguaia</t>
  </si>
  <si>
    <t>Oeiras</t>
  </si>
  <si>
    <t>Formoso do Araguaia</t>
  </si>
  <si>
    <t>Castelo do Piauí</t>
  </si>
  <si>
    <t>Novo São Joaquim</t>
  </si>
  <si>
    <t>Pedro Gomes</t>
  </si>
  <si>
    <t>Nova Ubiratã</t>
  </si>
  <si>
    <t>São José do Rio Claro</t>
  </si>
  <si>
    <t>Poxoréo</t>
  </si>
  <si>
    <t>Porto Estrela</t>
  </si>
  <si>
    <t>Nova Xavantina</t>
  </si>
  <si>
    <t>Gurupi</t>
  </si>
  <si>
    <t>Cidade + Estado</t>
  </si>
  <si>
    <t>Latitude</t>
  </si>
  <si>
    <t>Altitude</t>
  </si>
  <si>
    <t>Médias mensais e anuais de Temperatura de Bulbo Seco - TBS (°C)</t>
  </si>
  <si>
    <t>Janeiro</t>
  </si>
  <si>
    <t>Fevereiro</t>
  </si>
  <si>
    <t>Março</t>
  </si>
  <si>
    <t>Abril</t>
  </si>
  <si>
    <t>Maio</t>
  </si>
  <si>
    <t>Junho</t>
  </si>
  <si>
    <t>Julho</t>
  </si>
  <si>
    <t>Agosto</t>
  </si>
  <si>
    <t>Setembro</t>
  </si>
  <si>
    <t>Outubro</t>
  </si>
  <si>
    <t>Novembro</t>
  </si>
  <si>
    <t>Dezembro</t>
  </si>
  <si>
    <t>Anual</t>
  </si>
  <si>
    <t>Região</t>
  </si>
  <si>
    <t>Temperatura de uso</t>
  </si>
  <si>
    <t>Alta Floresta DOeste</t>
  </si>
  <si>
    <t>Acarape</t>
  </si>
  <si>
    <t>Alvorada DOeste</t>
  </si>
  <si>
    <t>Armação dos Búzios</t>
  </si>
  <si>
    <t>Atilio Vivacqua</t>
  </si>
  <si>
    <t>Batayporã</t>
  </si>
  <si>
    <t>Barra DAlcântara</t>
  </si>
  <si>
    <t>Espigão DOeste</t>
  </si>
  <si>
    <t>Araças</t>
  </si>
  <si>
    <t>Machadinho DOeste</t>
  </si>
  <si>
    <t>Nova Brasilândia DOeste</t>
  </si>
  <si>
    <t>Aparecida dOeste</t>
  </si>
  <si>
    <t>Itaporanga dAjuda</t>
  </si>
  <si>
    <t>Balneário Rincão</t>
  </si>
  <si>
    <t>Bela Vista da Caroba</t>
  </si>
  <si>
    <t>Conquista DOeste</t>
  </si>
  <si>
    <t>Santa Luzia DOeste</t>
  </si>
  <si>
    <t>São Felipe DOeste</t>
  </si>
  <si>
    <t>Figueirópolis DOeste</t>
  </si>
  <si>
    <t>Marataízes</t>
  </si>
  <si>
    <t>Glória DOeste</t>
  </si>
  <si>
    <t>Itanhangá</t>
  </si>
  <si>
    <t>Paraíso das Águas</t>
  </si>
  <si>
    <t>Olho dÁgua das Flores</t>
  </si>
  <si>
    <t>Fernando de Noronha</t>
  </si>
  <si>
    <t>Olho dÁgua do Casado</t>
  </si>
  <si>
    <t>Lambari DOeste</t>
  </si>
  <si>
    <t>Olho dÁgua Grande</t>
  </si>
  <si>
    <t>Luciára</t>
  </si>
  <si>
    <t>Mirassol dOeste</t>
  </si>
  <si>
    <t>Lagoa dAnta</t>
  </si>
  <si>
    <t>Mojuí dos Campos</t>
  </si>
  <si>
    <t>Itapajé**</t>
  </si>
  <si>
    <t>Caraá</t>
  </si>
  <si>
    <t>Pau DArco</t>
  </si>
  <si>
    <t>Olho-dÁgua do Borges</t>
  </si>
  <si>
    <t>Joca Claudino</t>
  </si>
  <si>
    <t>Tanque dArca</t>
  </si>
  <si>
    <t>Diamante DOeste</t>
  </si>
  <si>
    <t>Guatambú</t>
  </si>
  <si>
    <t>Herval dOeste</t>
  </si>
  <si>
    <t>Mãe dÁgua</t>
  </si>
  <si>
    <t>Santa Izabel do Pará</t>
  </si>
  <si>
    <t>Dias dÁvila</t>
  </si>
  <si>
    <t>Olho dÁgua das Cunhãs</t>
  </si>
  <si>
    <t>Olho dÁgua</t>
  </si>
  <si>
    <t>Serra Caiada***</t>
  </si>
  <si>
    <t>Olho DÁgua do Piauí</t>
  </si>
  <si>
    <t>Pau DArco do Piauí</t>
  </si>
  <si>
    <t>Itapejara dOeste</t>
  </si>
  <si>
    <t>Embu das Artes</t>
  </si>
  <si>
    <t>Estrela dOeste</t>
  </si>
  <si>
    <t>Pescaria Brava</t>
  </si>
  <si>
    <t>Guarani dOeste</t>
  </si>
  <si>
    <t>Sossêgo</t>
  </si>
  <si>
    <t>Presidente Castello Branco</t>
  </si>
  <si>
    <t>Tacima</t>
  </si>
  <si>
    <t>São João dAliança</t>
  </si>
  <si>
    <t>Sítio dAbadia</t>
  </si>
  <si>
    <t>Luís Eduardo Magalhães</t>
  </si>
  <si>
    <t>Uirapuru</t>
  </si>
  <si>
    <t>Maçambara</t>
  </si>
  <si>
    <t>Ipaussu</t>
  </si>
  <si>
    <t>Dona Eusébia</t>
  </si>
  <si>
    <t>São Miguel do Oeste</t>
  </si>
  <si>
    <t>Pérola dOeste</t>
  </si>
  <si>
    <t>Pantano Grande</t>
  </si>
  <si>
    <t>Rancho Alegre DOeste</t>
  </si>
  <si>
    <t>Gouveia</t>
  </si>
  <si>
    <t>Pinto Bandeira</t>
  </si>
  <si>
    <t>Mogi das Cruzes</t>
  </si>
  <si>
    <t>Moji Mirim</t>
  </si>
  <si>
    <t>São Jorge dOeste</t>
  </si>
  <si>
    <t>Itabirinha</t>
  </si>
  <si>
    <t>Palmeira dOeste</t>
  </si>
  <si>
    <t>Santa Bárbara dOeste</t>
  </si>
  <si>
    <t>Santa Clara dOeste</t>
  </si>
  <si>
    <t>Olhos-dÁgua</t>
  </si>
  <si>
    <t>Santa Rita dOeste</t>
  </si>
  <si>
    <t>São João do Pau dAlho</t>
  </si>
  <si>
    <t>Passa-Vinte</t>
  </si>
  <si>
    <t>Pingo-dÁgua</t>
  </si>
  <si>
    <t>Tarabai</t>
  </si>
  <si>
    <t>Queluzito</t>
  </si>
  <si>
    <t>Santa Rita de Ibitipoca</t>
  </si>
  <si>
    <t>São Thomé das Letras</t>
  </si>
  <si>
    <t>Sem Parede Interna</t>
  </si>
  <si>
    <t>Sem Parede externa</t>
  </si>
  <si>
    <t>Integração com iluminação Natural</t>
  </si>
  <si>
    <t>Auditórios e Anfiteatros - Auditório</t>
  </si>
  <si>
    <t>Armazém, atacado - Material pequeno/leve</t>
  </si>
  <si>
    <t>Armazém, atacado - Material médio/volumoso</t>
  </si>
  <si>
    <t>Átrio - limite por metro de altura (W/m) - até 12,20 m de altura</t>
  </si>
  <si>
    <t>Átrio - limite por metro de altura (W/m) - acima de 12,20 m de altura (+ 4,30 W/m²)</t>
  </si>
  <si>
    <t>Auditórios e Anfiteatros - Centro de convenções</t>
  </si>
  <si>
    <t>Auditórios e Anfiteatros - Cinema</t>
  </si>
  <si>
    <t>Auditórios e Anfiteatros - Penitenciária</t>
  </si>
  <si>
    <t>Auditórios e Anfiteatros - Teatro</t>
  </si>
  <si>
    <t>Biblioteca - Área de arquivamento</t>
  </si>
  <si>
    <t>Biblioteca - Área de leitura</t>
  </si>
  <si>
    <t>Biblioteca - Área de estantes</t>
  </si>
  <si>
    <t>Ginásio/ Academia - Área de ginástica</t>
  </si>
  <si>
    <t>Ginásio/ Academia - Arquibancada</t>
  </si>
  <si>
    <t>Ginásio/ Academia - Esportes de ringue</t>
  </si>
  <si>
    <t>Hall de entrada  - vestíbulo - Elevador</t>
  </si>
  <si>
    <t>Hall de entrada  - vestíbulo - Cinemas</t>
  </si>
  <si>
    <t>Hall de entrada  - vestíbulo - Hotel</t>
  </si>
  <si>
    <t>Hall de entrada  - vestíbulo - Salas de espetáculos</t>
  </si>
  <si>
    <t>Hall de entrada  - vestíbulo - Outros</t>
  </si>
  <si>
    <t>EAS - Circulação</t>
  </si>
  <si>
    <t>EAS - Emergência</t>
  </si>
  <si>
    <t>EAS - Enfermaria</t>
  </si>
  <si>
    <t>EAS - Exames simples</t>
  </si>
  <si>
    <t>EAS - Exames/tratamento</t>
  </si>
  <si>
    <t>EAS - Farmácia</t>
  </si>
  <si>
    <t>EAS - Fisioterapia</t>
  </si>
  <si>
    <t>EAS - Sala de espera, estar</t>
  </si>
  <si>
    <t>EAS - Recuperação</t>
  </si>
  <si>
    <t>EAS - Sala de enfermeiros</t>
  </si>
  <si>
    <t>EAS - Sala de operação</t>
  </si>
  <si>
    <t>EAS - Quarto de pacientes</t>
  </si>
  <si>
    <t>EAS - Suprimentos médicos</t>
  </si>
  <si>
    <t>Igreja/ Templo - Assentos</t>
  </si>
  <si>
    <t>Igreja/ Templo - Altar, coro</t>
  </si>
  <si>
    <t>Igreja/ Templo - Sala de comunhão – nave</t>
  </si>
  <si>
    <t>Laboratórios - para salas de aula</t>
  </si>
  <si>
    <t>Laboratórios - médicos e pesquisa</t>
  </si>
  <si>
    <t>Museus - Restauração</t>
  </si>
  <si>
    <t>Museus - Sala de exibição</t>
  </si>
  <si>
    <t>Transportes - Área de bagagem</t>
  </si>
  <si>
    <t>Transportes - Aeroporto – Pátio</t>
  </si>
  <si>
    <t>Transportes - Assentos – Espera</t>
  </si>
  <si>
    <t>Transportes - Terminal – bilheteria</t>
  </si>
  <si>
    <t>Necessidades visuais especiais - Área de refeição</t>
  </si>
  <si>
    <t>Necessidades visuais especiais - Área de uso comum</t>
  </si>
  <si>
    <t>Necessidades visuais especiais - Corredor</t>
  </si>
  <si>
    <t>Necessidades visuais especiais - Hall de entrada</t>
  </si>
  <si>
    <t>Necessidades visuais especiais - Banheiro</t>
  </si>
  <si>
    <t>DPI Real [W/m²]</t>
  </si>
  <si>
    <t>DPI Real (W/m²)</t>
  </si>
  <si>
    <t>LISTAS ELEGIBILIDADE AC</t>
  </si>
  <si>
    <t>Referência (kWh/ano)</t>
  </si>
  <si>
    <t>Real (kWh/ano)</t>
  </si>
  <si>
    <t>CONSUMO TOTAL DA EDIFICAÇÃO</t>
  </si>
  <si>
    <t>ESCALA ENVOLTÓRIA</t>
  </si>
  <si>
    <t>ESCALA HVAC</t>
  </si>
  <si>
    <t>ESCALA GERAL</t>
  </si>
  <si>
    <t>Subsolo</t>
  </si>
  <si>
    <t>Classificação Geral da Edificação
(com Geração)</t>
  </si>
  <si>
    <t>Classificação Geral da Edificação
(sem Geração)</t>
  </si>
  <si>
    <t>Total (com geração)</t>
  </si>
  <si>
    <t>Total (sem geração)</t>
  </si>
  <si>
    <t>Real (Parte Elétrica)</t>
  </si>
  <si>
    <t>Real (Parte Térmica)</t>
  </si>
  <si>
    <t>Autossombreamento</t>
  </si>
  <si>
    <t>Sombreamento por Proteções Solares</t>
  </si>
  <si>
    <t>DPIL A (W/m²)</t>
  </si>
  <si>
    <t>DPIL D (W/m²)</t>
  </si>
  <si>
    <t>Escritório – planta livre</t>
  </si>
  <si>
    <t>Oficina mecânica</t>
  </si>
  <si>
    <t>Refeitório - Salão</t>
  </si>
  <si>
    <t>Refeitório - Lanchonete/café</t>
  </si>
  <si>
    <t>Refeitório - Bar/lazer</t>
  </si>
  <si>
    <t>Refeitório - Refeitório de penitenciária</t>
  </si>
  <si>
    <t>Casa de máquinas</t>
  </si>
  <si>
    <t>Centro de convenções - Espaço de exposições</t>
  </si>
  <si>
    <t>Circulação - Área de vendas</t>
  </si>
  <si>
    <t>Circulação - Provador</t>
  </si>
  <si>
    <t>Ginásio/ Academia - Quadra de esportes – classe 4</t>
  </si>
  <si>
    <t>Ginásio/ Academia - Quadra de esportes – classe 3</t>
  </si>
  <si>
    <t>Ginásio/ Academia - Quadra de esportes – classe 2</t>
  </si>
  <si>
    <t>Ginásio/ Academia - Quadra de esportes – classe 1</t>
  </si>
  <si>
    <t>Carga térmica de resfriamento REAL TOTAL (kWh/ano)</t>
  </si>
  <si>
    <t>Carga térmica de resfriamento REFERÊNCIA TOTAL (kWh/ano)</t>
  </si>
  <si>
    <t>Parte da Edificação</t>
  </si>
  <si>
    <t>Ambiente</t>
  </si>
  <si>
    <t>SISTEMA DE CONDICIONAMENTO DE AR</t>
  </si>
  <si>
    <t>SISTEMA DE ILUMINAÇÃO</t>
  </si>
  <si>
    <t>SISTEMA DE AQUECIMENTO DE ÁGUA</t>
  </si>
  <si>
    <t>CONFERÊNCIA DAS CONDIÇÕES DE ELEGIBILIDADE PARA CLASSIFICAÇÃO A</t>
  </si>
  <si>
    <t>Atende</t>
  </si>
  <si>
    <t>Faixa de temperatura de controle (7.1.2.2.3)</t>
  </si>
  <si>
    <t>Controle de temperatura por zona (7.1.2.2.2)</t>
  </si>
  <si>
    <t>Cálculo da altura manométrica das bombas (7.1.2.2.1)</t>
  </si>
  <si>
    <t>Aquecimento suplementar (7.1.2.2.4)</t>
  </si>
  <si>
    <t>Evitar aquecimento e refrigeração simultâneo (7.1.2.2.5)</t>
  </si>
  <si>
    <t>Sistema de desligamento automático (7.1.2.2.6)</t>
  </si>
  <si>
    <t>Agrupamento de zonas (7.1.2.2.7)</t>
  </si>
  <si>
    <t>Controles e dimensionamento do sistema de ventilação (7.1.2.2.8)</t>
  </si>
  <si>
    <t>Controles e dimensionamento dos sistemas hidrônicos (7.1.2.2.12)</t>
  </si>
  <si>
    <t>Equipamentos de rejeição de calor (7.1.2.2.13)</t>
  </si>
  <si>
    <t>Condição</t>
  </si>
  <si>
    <t>Verificação</t>
  </si>
  <si>
    <t>Sistemas Centrais:</t>
  </si>
  <si>
    <t>Condições específicas por equipamento (vem da aba "Componentes"):</t>
  </si>
  <si>
    <t>O Sistema de Condicionamento de Ar é elegível para classificação A?</t>
  </si>
  <si>
    <t>O Sistema de Aquecimento de Água é elegível para classificação A?</t>
  </si>
  <si>
    <t>O Sistema de Iluminação é elegível para classificação A?</t>
  </si>
  <si>
    <t>Isolamento térmico de tubulações com fluxo de fluidos (7.1.2.2.14)</t>
  </si>
  <si>
    <t>Parte da edificação</t>
  </si>
  <si>
    <t>Potência de Iluminação com controle automatizado [W]</t>
  </si>
  <si>
    <t>Condição de Elegibilidade Classificação "A"</t>
  </si>
  <si>
    <t>Contribuição da luz natural (7.2.1)</t>
  </si>
  <si>
    <t>Controle local (7.2.2)</t>
  </si>
  <si>
    <t>Desligamento automático do sistema de iluminação (7.2.3)</t>
  </si>
  <si>
    <t>Automação do sistema de recirculação (7.3.1)</t>
  </si>
  <si>
    <t>Isolamento térmico das tubulações de distribuição e circuito de recirculação (7.3.2)</t>
  </si>
  <si>
    <t>Reservatório de água quente (7.3.3)</t>
  </si>
  <si>
    <t>Sistemas unitários:</t>
  </si>
  <si>
    <t>Existe projeto de Condicionamento de ar ou é autodeclarado?</t>
  </si>
  <si>
    <t>Carga térmica REAL (kWh/ano)</t>
  </si>
  <si>
    <t>Carga térmica REFERÊNCIA (kWh/ano)</t>
  </si>
  <si>
    <t>Atende Elegibilidade para Classificação A?</t>
  </si>
  <si>
    <t>Capacidade igual ou inferior a 17,6 kW (60.000 BTU/h)</t>
  </si>
  <si>
    <t>Capacidade superior a 17,6 kW (60.000 BTU/h)</t>
  </si>
  <si>
    <t>LISTA DE ZONAS TÉRMICAS CONDICIONADAS</t>
  </si>
  <si>
    <t>Classificação final:</t>
  </si>
  <si>
    <t>População</t>
  </si>
  <si>
    <t xml:space="preserve">Valor de referência para dimensionamento da capacidade (20 m²/TR): </t>
  </si>
  <si>
    <t>Capacidade presumida (kW)</t>
  </si>
  <si>
    <t>Valor de referência para renovação de ar (8W/pessoa):</t>
  </si>
  <si>
    <t>kW</t>
  </si>
  <si>
    <t>W</t>
  </si>
  <si>
    <t>Isolamento térmico (mm):
[Informativo]</t>
  </si>
  <si>
    <t>CEER de Referência:</t>
  </si>
  <si>
    <t>Potência do equipamento de renovação de ar (Wvent, em W):</t>
  </si>
  <si>
    <t>População da edificação:</t>
  </si>
  <si>
    <t>pessoas</t>
  </si>
  <si>
    <t>Capacidade presumida total</t>
  </si>
  <si>
    <t>Consumo de refrigeração da edificação em sua condição de referência (CR,refD, kWh/ano):</t>
  </si>
  <si>
    <t>Capacidade de Resfriamento total por tipo de equipamento (kW)</t>
  </si>
  <si>
    <t>Coeficiente de performance vezes a capacidade</t>
  </si>
  <si>
    <t>Potência de Renovação de ar presumida (W)</t>
  </si>
  <si>
    <t>Horas de operação por dia:</t>
  </si>
  <si>
    <t>Dias de operação por ano:</t>
  </si>
  <si>
    <t>Sistema composto por equipamentos unitários</t>
  </si>
  <si>
    <t>Sistema composto por equipamentos centrais</t>
  </si>
  <si>
    <t>Capacidade COP (kW):</t>
  </si>
  <si>
    <t>Consumo de refrigeração por sistemas unitários da edificação real (kWh/ano):</t>
  </si>
  <si>
    <t>Sistema de referência</t>
  </si>
  <si>
    <t>Consumo de refrigeração por sistemas centrais da edificação real (kWh/ano):</t>
  </si>
  <si>
    <t>Esta zona térmica é condicionada pelos sistemas da edificação?</t>
  </si>
  <si>
    <t>Capacidade IDRS ou CSPF (kW):</t>
  </si>
  <si>
    <t>Índice ponderado de sistemas unitários:</t>
  </si>
  <si>
    <t>Capacidade presumida total (kW):</t>
  </si>
  <si>
    <t>Sistema unitário</t>
  </si>
  <si>
    <t>Carga térmica atendida por unitários (kWh/ano):</t>
  </si>
  <si>
    <t>Carga térmica atendida por centrais (kWh/ano):</t>
  </si>
  <si>
    <t>Premissas do sistema Presumido:</t>
  </si>
  <si>
    <t>CLASSIFICAÇÃO
(sem verificação de elegibilidade):</t>
  </si>
  <si>
    <t>O sistema presumido é adotado nos casos em que a zona térmica é uma APP, mas não há previsão de projeto de condicionamento de ar. Neste caso, o sistema presumido é ponderado no cálculo do consumo real de refrigeração por sistemas unitários como um COP, adotando-se como premissas o CEER de referência, a potência de renovação de ar de 8 W/pessoa, e capacidade de resfriamento presumida 20m²/TR, considerando a população e a área das zonas térmicas que ele deveria condicionar.</t>
  </si>
  <si>
    <t>Potência de renovação de ar presumida (Wvent, em W):</t>
  </si>
  <si>
    <t>Valores de Carga Térmica de Resfriamento</t>
  </si>
  <si>
    <t>Valores de Consumo de Energia, em Energia Primária</t>
  </si>
  <si>
    <t>Classificação dos Sistemas</t>
  </si>
  <si>
    <t>EDIFICAÇÃO</t>
  </si>
  <si>
    <t>Elegibilidade do sistema de Condicionamento de ar</t>
  </si>
  <si>
    <t>A edificação completa é elegível para classificação A?</t>
  </si>
  <si>
    <t>Repetição</t>
  </si>
  <si>
    <t>Não Atende</t>
  </si>
  <si>
    <t>Atividade
[Tabela B.III.2]</t>
  </si>
  <si>
    <t>Especificar Tipologia
[Anexo A]</t>
  </si>
  <si>
    <t>Controle com programação e desligamento automático</t>
  </si>
  <si>
    <t>Potência Instalada
[W]</t>
  </si>
  <si>
    <t>No método do edifício completo, você deve interpretar o edifício como um todo, separando-o em, no máximo, três atividades principais. Neste método, você pode realizar o levantamento das potências de iluminação agrupando as áreas, de acordo com as atividades principais. Para isso, é possível utilizar a planilha de apoio logo abaixo, na qual você pode listar os ambientes, identificando as áreas, potências de iluminação e verificando os requisitos de elegibilidade para classificação A, que deve ser feita por ambientes. Ao final, o cálculo da classificação é agrupado pelas partes da edificação (no máximo três).
É considerada uma atividade principal caso a área que abrange a atividade represente mais de 30% da área da edificação. Por exemplo, no caso de um edifício de escritórios de 20 andares sendo 2 andares de garagem, a única atividade principal seria escritório, e garagem não é contabilizada como atividade principal.</t>
  </si>
  <si>
    <t>No método das atividades do edifício, você deve interpretar o edifício ambiente por ambiente, especificando cada atividade desempenhada em cada ambiente. Neste método, você pode realizar o levantamento das potências de iluminação especificando as áreas, de acordo com os ambientes. Para isso, descreva na planilha abaixo a lista de ambientes, sem agrupar, e especificando detalhadamente as atividades e as potências de projeto.  Ao final, o cálculo da classificação é feito considerando as especificidades dos ambientes edificação. 
Este método é aplicável caso a edificação tenha mais de três atividades principais.</t>
  </si>
  <si>
    <t>Controle com sensor de ocupação de desligamento automático</t>
  </si>
  <si>
    <t>Potência de Iluminação Real
[W]</t>
  </si>
  <si>
    <t>Com projeto</t>
  </si>
  <si>
    <t>Previsão de projeto luminotécnico</t>
  </si>
  <si>
    <t>Opcional</t>
  </si>
  <si>
    <t>Atividade
[Tabela B.III.3]</t>
  </si>
  <si>
    <t>Método do edifício completo</t>
  </si>
  <si>
    <t>Planilha de apoio para o método do edifício completo:</t>
  </si>
  <si>
    <t>Aberturas e Sombreamento</t>
  </si>
  <si>
    <t>U do vidro (W/m²k)</t>
  </si>
  <si>
    <t>Fator solar do vidro</t>
  </si>
  <si>
    <t>Componente da Abertura e Sombreamento</t>
  </si>
  <si>
    <t>Potência do equipamento de renovação de ar na condição de Referência (Wvent, em W):</t>
  </si>
  <si>
    <t>Consumo presumido (kWh)</t>
  </si>
  <si>
    <t>CLASSIFICAÇÃO:</t>
  </si>
  <si>
    <t>Consumo de refrigeração atendido pelo sistema presumido (kWh/ano):</t>
  </si>
  <si>
    <t>Emissões (kgCO2eq)</t>
  </si>
  <si>
    <t>Cálculo da demanda por água quente</t>
  </si>
  <si>
    <t>Parâmetros do sistema</t>
  </si>
  <si>
    <t>Especificações do Sistema Solar Térmico (Simplificado):</t>
  </si>
  <si>
    <t>MinhaParede</t>
  </si>
  <si>
    <t>MinhaCobertura</t>
  </si>
  <si>
    <t>MeuPiso</t>
  </si>
  <si>
    <t>MinhaParedeInter</t>
  </si>
  <si>
    <t>Sem Aberturas</t>
  </si>
  <si>
    <t>MinhaAbertura</t>
  </si>
  <si>
    <t>Pav01_Biblioteca</t>
  </si>
  <si>
    <t>Pav01_Depósito</t>
  </si>
  <si>
    <t>Pav01_Restaurante</t>
  </si>
  <si>
    <t>Pav01_Recepção</t>
  </si>
  <si>
    <t>Pav01_Escada</t>
  </si>
  <si>
    <t>Pav01_Antecâmara</t>
  </si>
  <si>
    <t>Pav01_Hall elevadores</t>
  </si>
  <si>
    <t>Pav02_Salão de eventos</t>
  </si>
  <si>
    <t>Pav02_Academia</t>
  </si>
  <si>
    <t>Pav02_Escada</t>
  </si>
  <si>
    <t>Pav02_Antecâmara</t>
  </si>
  <si>
    <t>Pav02_Hall elevadores</t>
  </si>
  <si>
    <t>Pav03a06_Circulação horizontal</t>
  </si>
  <si>
    <t>Pav03a06_Quarto01</t>
  </si>
  <si>
    <t>Pav03a06_BWC01</t>
  </si>
  <si>
    <t>Pav03a06_Quarto02</t>
  </si>
  <si>
    <t>Pav03a06_BWC02</t>
  </si>
  <si>
    <t>Pav03a06_Quarto03</t>
  </si>
  <si>
    <t>Pav03a06_BWC03</t>
  </si>
  <si>
    <t>Pav03a06_Quarto04</t>
  </si>
  <si>
    <t>Pav03a06_BWC04</t>
  </si>
  <si>
    <t>Pav03a06_Quarto05</t>
  </si>
  <si>
    <t>Pav03a06_BWC05</t>
  </si>
  <si>
    <t>Pav03a06_Quarto06</t>
  </si>
  <si>
    <t>Pav03a06_BWC06</t>
  </si>
  <si>
    <t>Pav03a06_Quarto07</t>
  </si>
  <si>
    <t>Pav03a06_BWC07</t>
  </si>
  <si>
    <t>Pav03a06_Quarto08</t>
  </si>
  <si>
    <t>Pav03a06_BWC08</t>
  </si>
  <si>
    <t>Pav03a06_Quarto09</t>
  </si>
  <si>
    <t>Pav03a06_BWC09</t>
  </si>
  <si>
    <t>Pav03a06_Quarto10</t>
  </si>
  <si>
    <t>Pav03a06_BWC10</t>
  </si>
  <si>
    <t>Pav03a06_Quarto11</t>
  </si>
  <si>
    <t>Pav03a06_BWC11</t>
  </si>
  <si>
    <t>Pav03a06_Quarto12</t>
  </si>
  <si>
    <t>Pav03a06_BWC12</t>
  </si>
  <si>
    <t>Pav03a06_Quarto13</t>
  </si>
  <si>
    <t>Pav03a06_BWC13</t>
  </si>
  <si>
    <t>Pav03a06_Quarto14</t>
  </si>
  <si>
    <t>Pav03a06_BWC14</t>
  </si>
  <si>
    <t>Pav03a06_Escada</t>
  </si>
  <si>
    <t>Pav03a06_Antecâmara</t>
  </si>
  <si>
    <t>Pav03a06_Hall elevadores</t>
  </si>
  <si>
    <t>Abertura Zential</t>
  </si>
  <si>
    <t>Percentual de Abertura Zenital [%]</t>
  </si>
  <si>
    <t>Componente da Abertura Zenital</t>
  </si>
  <si>
    <t>Componente da Cobertura</t>
  </si>
  <si>
    <t>Componente do Piso</t>
  </si>
  <si>
    <t>Componente da Parede externa</t>
  </si>
  <si>
    <t>Componente da Parede interna</t>
  </si>
  <si>
    <t>Outros indicadores</t>
  </si>
  <si>
    <t>COMPONENTES</t>
  </si>
  <si>
    <t>Especificações das perdas do sistema de acumulação:</t>
  </si>
  <si>
    <t>Cidade (sem espaço)</t>
  </si>
  <si>
    <t>Cidade Correspondente</t>
  </si>
  <si>
    <t>Lat</t>
  </si>
  <si>
    <t>Lon</t>
  </si>
  <si>
    <t>Alt</t>
  </si>
  <si>
    <t>Representative file</t>
  </si>
  <si>
    <t>Lat_EPW</t>
  </si>
  <si>
    <t>Alt_EPW</t>
  </si>
  <si>
    <t>BRA_AC_Rio.Branco.829150_INMET.epw</t>
  </si>
  <si>
    <t>AssisBrasil</t>
  </si>
  <si>
    <t>BRA_AC_Parque.Chandless.819630_INMET.epw</t>
  </si>
  <si>
    <t>CruzeirodoSul</t>
  </si>
  <si>
    <t>BRA_AC_Porto.Walter.819210_INMET.epw</t>
  </si>
  <si>
    <t>BRA_AC_Feijo.AP.819240_INMET.epw</t>
  </si>
  <si>
    <t>MâncioLima</t>
  </si>
  <si>
    <t>ManoelUrbano</t>
  </si>
  <si>
    <t>MarechalThaumaturgo</t>
  </si>
  <si>
    <t>PlácidodeCastro</t>
  </si>
  <si>
    <t>PortoAcre</t>
  </si>
  <si>
    <t>PortoWalter</t>
  </si>
  <si>
    <t>RioBranco</t>
  </si>
  <si>
    <t>RodriguesAlves</t>
  </si>
  <si>
    <t>SantaRosadoPurus</t>
  </si>
  <si>
    <t>SenaMadureira</t>
  </si>
  <si>
    <t>SenadorGuiomard</t>
  </si>
  <si>
    <t>ÁguaBranca</t>
  </si>
  <si>
    <t>BRA_BA_Paulo.Afonso.829860_INMET.epw</t>
  </si>
  <si>
    <t>BRA_AL_Arapiraca.AP.819960_INMET.epw</t>
  </si>
  <si>
    <t>BRA_AL_Maceio.829940_INMET.epw</t>
  </si>
  <si>
    <t>BarradeSantoAntônio</t>
  </si>
  <si>
    <t>BRA_AL_Sao.Luis.do.Quitunde.819970_INMET.epw</t>
  </si>
  <si>
    <t>BarradeSãoMiguel</t>
  </si>
  <si>
    <t>BRA_AL_Pao.de.Acucar.819940_INMET.epw</t>
  </si>
  <si>
    <t>BRA_AL_Palmeira.dos.Indios.829920_INMET.epw</t>
  </si>
  <si>
    <t>BeloMonte</t>
  </si>
  <si>
    <t>BocadaMata</t>
  </si>
  <si>
    <t>BRA_PE_Palmares.819570_INMET.epw</t>
  </si>
  <si>
    <t>CampoAlegre</t>
  </si>
  <si>
    <t>CampoGrande</t>
  </si>
  <si>
    <t>BRA_PE_Ibimirim.819540_INMET.epw</t>
  </si>
  <si>
    <t>ChãPreta</t>
  </si>
  <si>
    <t>CoitédoNóia</t>
  </si>
  <si>
    <t>ColôniaLeopoldina</t>
  </si>
  <si>
    <t>CoqueiroSeco</t>
  </si>
  <si>
    <t>BRA_AL_Coruripe.866190_INMET.epw</t>
  </si>
  <si>
    <t>DelmiroGouveia</t>
  </si>
  <si>
    <t>DoisRiachos</t>
  </si>
  <si>
    <t>EstreladeAlagoas</t>
  </si>
  <si>
    <t>FeiraGrande</t>
  </si>
  <si>
    <t>FelizDeserto</t>
  </si>
  <si>
    <t>GiraudoPonciano</t>
  </si>
  <si>
    <t>IgrejaNova</t>
  </si>
  <si>
    <t>JacarédosHomens</t>
  </si>
  <si>
    <t>JequiádaPraia</t>
  </si>
  <si>
    <t>JoaquimGomes</t>
  </si>
  <si>
    <t>LagoadaCanoa</t>
  </si>
  <si>
    <t>LimoeirodeAnadia</t>
  </si>
  <si>
    <t>MajorIsidoro</t>
  </si>
  <si>
    <t>MarVermelho</t>
  </si>
  <si>
    <t>MarechalDeodoro</t>
  </si>
  <si>
    <t>MataGrande</t>
  </si>
  <si>
    <t>MatrizdeCamaragibe</t>
  </si>
  <si>
    <t>MinadordoNegrão</t>
  </si>
  <si>
    <t>NovoLino</t>
  </si>
  <si>
    <t>Olhod'ÁguadasFlores</t>
  </si>
  <si>
    <t>Olhod'ÁguadoCasado</t>
  </si>
  <si>
    <t>Olhod'ÁguaGrande</t>
  </si>
  <si>
    <t>OuroBranco</t>
  </si>
  <si>
    <t>PalmeiradosÍndios</t>
  </si>
  <si>
    <t>PãodeAçúcar</t>
  </si>
  <si>
    <t>PassodeCamaragibe</t>
  </si>
  <si>
    <t>PauloJacinto</t>
  </si>
  <si>
    <t>BRA_SE_Brejo.Grande.866180_INMET.epw</t>
  </si>
  <si>
    <t>PoçodasTrincheiras</t>
  </si>
  <si>
    <t>PortoCalvo</t>
  </si>
  <si>
    <t>PortodePedras</t>
  </si>
  <si>
    <t>PortoRealdoColégio</t>
  </si>
  <si>
    <t>RioLargo</t>
  </si>
  <si>
    <t>SantaLuziadoNorte</t>
  </si>
  <si>
    <t>SantanadoIpanema</t>
  </si>
  <si>
    <t>SantanadoMundaú</t>
  </si>
  <si>
    <t>BRA_PE_Garanhuns.819550_INMET.epw</t>
  </si>
  <si>
    <t>SãoBrás</t>
  </si>
  <si>
    <t>SãoJosédaLaje</t>
  </si>
  <si>
    <t>SãoJosédaTapera</t>
  </si>
  <si>
    <t>SãoLuísdoQuitunde</t>
  </si>
  <si>
    <t>SãoMigueldosCampos</t>
  </si>
  <si>
    <t>SãoMigueldosMilagres</t>
  </si>
  <si>
    <t>SãoSebastião</t>
  </si>
  <si>
    <t>SenadorRuiPalmeira</t>
  </si>
  <si>
    <t>Tanqued'Arca</t>
  </si>
  <si>
    <t>TeotônioVilela</t>
  </si>
  <si>
    <t>UniãodosPalmares</t>
  </si>
  <si>
    <t>BRA_AM_Coari.817700_INMET.epw</t>
  </si>
  <si>
    <t>BRA_AM_Manacapuru.817290_INMET.epw</t>
  </si>
  <si>
    <t>BRA_MT_Cotriguacu.829270_INMET.epw</t>
  </si>
  <si>
    <t>AtalaiadoNorte</t>
  </si>
  <si>
    <t>BRA_AM_Autazes.817320_INMET.epw</t>
  </si>
  <si>
    <t>BRA_AM_Barcelos.AP.816480_INMET.epw</t>
  </si>
  <si>
    <t>BRA_AM_Parintins.817030_INMET.epw</t>
  </si>
  <si>
    <t>BenjaminConstant</t>
  </si>
  <si>
    <t>BoaVistadoRamos</t>
  </si>
  <si>
    <t>BRA_AM_Maues.817340_INMET.epw</t>
  </si>
  <si>
    <t>BocadoAcre</t>
  </si>
  <si>
    <t>BRA_AM_Humaita.AP.818900_INMET.epw</t>
  </si>
  <si>
    <t>CareirodaVárzea</t>
  </si>
  <si>
    <t>BRA_AM_Manaus-Gomez.Intl.AP.817300_INMET.epw</t>
  </si>
  <si>
    <t>FonteBoa</t>
  </si>
  <si>
    <t>BRA_AM_Itacoatiara.AP.817330_INMET.epw</t>
  </si>
  <si>
    <t>BRA_AM_Urucara.AP.817020_INMET.epw</t>
  </si>
  <si>
    <t>BRA_RO_Porto.Velho.819320_INMET.epw</t>
  </si>
  <si>
    <t>NovaOlindadoNorte</t>
  </si>
  <si>
    <t>NovoAirão</t>
  </si>
  <si>
    <t>NovoAripuanã</t>
  </si>
  <si>
    <t>PresidenteFigueiredo</t>
  </si>
  <si>
    <t>BRA_AM_Presidente.Figueiredo.816990_INMET.epw</t>
  </si>
  <si>
    <t>RioPretodaEva</t>
  </si>
  <si>
    <t>SantaIsabeldoRioNegro</t>
  </si>
  <si>
    <t>SantoAntôniodoIçá</t>
  </si>
  <si>
    <t>SãoGabrieldaCachoeira</t>
  </si>
  <si>
    <t>SãoPaulodeOlivença</t>
  </si>
  <si>
    <t>SãoSebastiãodoUatumã</t>
  </si>
  <si>
    <t>BRA_AP_Tartarugalzinho.816280_INMET.epw</t>
  </si>
  <si>
    <t>FerreiraGomes</t>
  </si>
  <si>
    <t>BRA_AP_Porto.Grande.816370_INMET.epw</t>
  </si>
  <si>
    <t>BRA_AP_Macapa-Alcolumbre.Intl.AP.820980_INMET.epw</t>
  </si>
  <si>
    <t>LaranjaldoJari</t>
  </si>
  <si>
    <t>BRA_AP_Oiapoque.816090_INMET.epw</t>
  </si>
  <si>
    <t>PedraBrancadoAmapari</t>
  </si>
  <si>
    <t>PortoGrande</t>
  </si>
  <si>
    <t>SerradoNavio</t>
  </si>
  <si>
    <t>VitóriadoJari</t>
  </si>
  <si>
    <t>BRA_BA_Piata.866730_INMET.epw</t>
  </si>
  <si>
    <t>BRA_PE_Cabrobo.828860_INMET.epw</t>
  </si>
  <si>
    <t>BRA_BA_Conde.866390_INMET.epw</t>
  </si>
  <si>
    <t>BRA_SE_Poco.Verde.866140_INMET.epw</t>
  </si>
  <si>
    <t>ÁguaFria</t>
  </si>
  <si>
    <t>BRA_BA_Serrinha.866370_INMET.epw</t>
  </si>
  <si>
    <t>BRA_BA_Ipiau.866980_INMET.epw</t>
  </si>
  <si>
    <t>BRA_BA_Feira.de.Santana.866580_INMET.epw</t>
  </si>
  <si>
    <t>BRA_BA_Caravelas.834970_INMET.epw</t>
  </si>
  <si>
    <t>BRA_BA_Amargosa.AP.866750_INMET.epw</t>
  </si>
  <si>
    <t>AméliaRodrigues</t>
  </si>
  <si>
    <t>AméricaDourada</t>
  </si>
  <si>
    <t>BRA_BA_Irece.AP.866350_INMET.epw</t>
  </si>
  <si>
    <t>BRA_BA_Vitoria.da.Conquista-Figueiredo.AP.866970_INMET.epw</t>
  </si>
  <si>
    <t>BRA_BA_Lencois.866540_INMET.epw</t>
  </si>
  <si>
    <t>BRA_BA_Senhor.do.Bonfim.830880_INMET.epw</t>
  </si>
  <si>
    <t>BRA_BA_Barreiras.866520_INMET.epw</t>
  </si>
  <si>
    <t>AntônioCardoso</t>
  </si>
  <si>
    <t>AntônioGonçalves</t>
  </si>
  <si>
    <t>BRA_SE_Itabaianinha.866380_INMET.epw</t>
  </si>
  <si>
    <t>BRA_BA_Brumado.866960_INMET.epw</t>
  </si>
  <si>
    <t>BRA_BA_Una.867240_INMET.epw</t>
  </si>
  <si>
    <t>BRA_BA_Valenca.866760_INMET.epw</t>
  </si>
  <si>
    <t>AurelinoLeal</t>
  </si>
  <si>
    <t>BaixaGrande</t>
  </si>
  <si>
    <t>BRA_BA_Macajuba.866550_INMET.epw</t>
  </si>
  <si>
    <t>BRA_BA_Euclides.da.Cunha.866130_INMET.epw</t>
  </si>
  <si>
    <t>BRA_BA_Barra.AP.866340_INMET.epw</t>
  </si>
  <si>
    <t>BarradaEstiva</t>
  </si>
  <si>
    <t>BarradoChoça</t>
  </si>
  <si>
    <t>BarradoMendes</t>
  </si>
  <si>
    <t>BarradoRocha</t>
  </si>
  <si>
    <t>BarroAlto</t>
  </si>
  <si>
    <t>BarroPreto</t>
  </si>
  <si>
    <t>BRA_BA_Ilheus.866990_INMET.epw</t>
  </si>
  <si>
    <t>BRA_BA_Belmonte.867440_INMET.epw</t>
  </si>
  <si>
    <t>BeloCampo</t>
  </si>
  <si>
    <t>BoaNova</t>
  </si>
  <si>
    <t>BoaVistadoTupim</t>
  </si>
  <si>
    <t>BRA_BA_Itaberaba.832440_INMET.epw</t>
  </si>
  <si>
    <t>BomJesusdaLapa</t>
  </si>
  <si>
    <t>BRA_BA_Bom.Jesus.da.Lapa.AP.866720_INMET.epw</t>
  </si>
  <si>
    <t>BomJesusdaSerra</t>
  </si>
  <si>
    <t>BRA_BA_Ibotirama.866530_INMET.epw</t>
  </si>
  <si>
    <t>BrotasdeMacaúbas</t>
  </si>
  <si>
    <t>BRA_BA_Buritirama.AP.866090_INMET.epw</t>
  </si>
  <si>
    <t>BRA_BA_Itapetinga.867230_INMET.epw</t>
  </si>
  <si>
    <t>CabaceirasdoParaguaçu</t>
  </si>
  <si>
    <t>BRA_BA_Cruz.das.Almas.866570_INMET.epw</t>
  </si>
  <si>
    <t>BRA_BA_Guanambi.AP.866940_INMET.epw</t>
  </si>
  <si>
    <t>BRA_BA_Jacobina.866360_INMET.epw</t>
  </si>
  <si>
    <t>CaldeirãoGrande</t>
  </si>
  <si>
    <t>BRA_BA_Salvador.866780_INMET.epw</t>
  </si>
  <si>
    <t>BRA_BA_Marau.866770_INMET.epw</t>
  </si>
  <si>
    <t>CampoAlegredeLourdes</t>
  </si>
  <si>
    <t>BRA_PI_Caracol.819880_INMET.epw</t>
  </si>
  <si>
    <t>CampoFormoso</t>
  </si>
  <si>
    <t>BRA_BA_Correntina.866710_INMET.epw</t>
  </si>
  <si>
    <t>CândidoSales</t>
  </si>
  <si>
    <t>BRA_MG_Aguas.Vermelhas.867220_INMET.epw</t>
  </si>
  <si>
    <t>BRA_BA_Queimadas.866120_INMET.epw</t>
  </si>
  <si>
    <t>BRA_BA_Uaua.819920_INMET.epw</t>
  </si>
  <si>
    <t>CapeladoAltoAlegre</t>
  </si>
  <si>
    <t>CapimGrosso</t>
  </si>
  <si>
    <t>CardealdaSilva</t>
  </si>
  <si>
    <t>BRA_MG_Montalvania.866930_INMET.epw</t>
  </si>
  <si>
    <t>CasaNova</t>
  </si>
  <si>
    <t>BRA_PE_Petrolina.819910_INMET.epw</t>
  </si>
  <si>
    <t>CastroAlves</t>
  </si>
  <si>
    <t>CíceroDantas</t>
  </si>
  <si>
    <t>ConceiçãodaFeira</t>
  </si>
  <si>
    <t>ConceiçãodoAlmeida</t>
  </si>
  <si>
    <t>ConceiçãodoCoité</t>
  </si>
  <si>
    <t>ConceiçãodoJacuípe</t>
  </si>
  <si>
    <t>ContendasdoSincorá</t>
  </si>
  <si>
    <t>CoraçãodeMaria</t>
  </si>
  <si>
    <t>CoronelJoãoSá</t>
  </si>
  <si>
    <t>BRA_SE_Carira.866150_INMET.epw</t>
  </si>
  <si>
    <t>BRA_BA_Itirucu.866740_INMET.epw</t>
  </si>
  <si>
    <t>CruzdasAlmas</t>
  </si>
  <si>
    <t>DárioMeira</t>
  </si>
  <si>
    <t>Diasd'Ávila</t>
  </si>
  <si>
    <t>DomBasílio</t>
  </si>
  <si>
    <t>DomMacedoCosta</t>
  </si>
  <si>
    <t>ElísioMedrado</t>
  </si>
  <si>
    <t>EntreRios</t>
  </si>
  <si>
    <t>ÉricoCardoso</t>
  </si>
  <si>
    <t>EuclidesdaCunha</t>
  </si>
  <si>
    <t>BRA_BA_Porto.Seguro.867450_INMET.epw</t>
  </si>
  <si>
    <t>FeiradaMata</t>
  </si>
  <si>
    <t>FeiradeSantana</t>
  </si>
  <si>
    <t>FirminoAlves</t>
  </si>
  <si>
    <t>FlorestaAzul</t>
  </si>
  <si>
    <t>FormosadoRioPreto</t>
  </si>
  <si>
    <t>BRA_BA_Santa.Rita.de.Cassia.866330_INMET.epw</t>
  </si>
  <si>
    <t>GentiodoOuro</t>
  </si>
  <si>
    <t>GovernadorMangabeira</t>
  </si>
  <si>
    <t>BRA_MG_Serra.dos.Aimores.867630_INMET.epw</t>
  </si>
  <si>
    <t>ItaguaçudaBahia</t>
  </si>
  <si>
    <t>ItajudoColônia</t>
  </si>
  <si>
    <t>BRA_MG_Espinosa.866950_INMET.epw</t>
  </si>
  <si>
    <t>JoãoDourado</t>
  </si>
  <si>
    <t>BRA_MG_Almenara.867430_INMET.epw</t>
  </si>
  <si>
    <t>LafaieteCoutinho</t>
  </si>
  <si>
    <t>LagoaReal</t>
  </si>
  <si>
    <t>LajedodoTabocal</t>
  </si>
  <si>
    <t>LaurodeFreitas</t>
  </si>
  <si>
    <t>LicíniodeAlmeida</t>
  </si>
  <si>
    <t>LivramentodeNossaSenhora</t>
  </si>
  <si>
    <t>LuisEduardoMagalhães</t>
  </si>
  <si>
    <t>MadredeDeus</t>
  </si>
  <si>
    <t>MalhadadePedras</t>
  </si>
  <si>
    <t>ManoelVitorino</t>
  </si>
  <si>
    <t>MarcionílioSouza</t>
  </si>
  <si>
    <t>MatadeSãoJoão</t>
  </si>
  <si>
    <t>MedeirosNeto</t>
  </si>
  <si>
    <t>MiguelCalmon</t>
  </si>
  <si>
    <t>MonteSanto</t>
  </si>
  <si>
    <t>MorrodoChapéu</t>
  </si>
  <si>
    <t>MulungudoMorro</t>
  </si>
  <si>
    <t>MundoNovo</t>
  </si>
  <si>
    <t>MunizFerreira</t>
  </si>
  <si>
    <t>MuquémdeSãoFrancisco</t>
  </si>
  <si>
    <t>NiloPeçanha</t>
  </si>
  <si>
    <t>NovaCanaã</t>
  </si>
  <si>
    <t>NovaFátima</t>
  </si>
  <si>
    <t>NovaIbiá</t>
  </si>
  <si>
    <t>NovaItarana</t>
  </si>
  <si>
    <t>NovaRedenção</t>
  </si>
  <si>
    <t>NovaSoure</t>
  </si>
  <si>
    <t>NovaViçosa</t>
  </si>
  <si>
    <t>NovoHorizonte</t>
  </si>
  <si>
    <t>NovoTriunfo</t>
  </si>
  <si>
    <t>OliveiradosBrejinhos</t>
  </si>
  <si>
    <t>BRA_BA_Delfino.866100_INMET.epw</t>
  </si>
  <si>
    <t>PalmasdeMonteAlto</t>
  </si>
  <si>
    <t>PauBrasil</t>
  </si>
  <si>
    <t>PauloAfonso</t>
  </si>
  <si>
    <t>PédeSerra</t>
  </si>
  <si>
    <t>PedroAlexandre</t>
  </si>
  <si>
    <t>PilãoArcado</t>
  </si>
  <si>
    <t>BRA_BA_Remanso.829790_INMET.epw</t>
  </si>
  <si>
    <t>PiraídoNorte</t>
  </si>
  <si>
    <t>PontoNovo</t>
  </si>
  <si>
    <t>PortoSeguro</t>
  </si>
  <si>
    <t>PresidenteDutra</t>
  </si>
  <si>
    <t>PresidenteJânioQuadros</t>
  </si>
  <si>
    <t>PresidenteTancredoNeves</t>
  </si>
  <si>
    <t>RafaelJambeiro</t>
  </si>
  <si>
    <t>RiachãodasNeves</t>
  </si>
  <si>
    <t>RiachãodoJacuípe</t>
  </si>
  <si>
    <t>RiachodeSantana</t>
  </si>
  <si>
    <t>RibeiradoAmparo</t>
  </si>
  <si>
    <t>RibeiradoPombal</t>
  </si>
  <si>
    <t>RibeirãodoLargo</t>
  </si>
  <si>
    <t>RiodeContas</t>
  </si>
  <si>
    <t>RiodoAntônio</t>
  </si>
  <si>
    <t>RiodoPires</t>
  </si>
  <si>
    <t>RioReal</t>
  </si>
  <si>
    <t>BRA_PE_Floresta.819770_INMET.epw</t>
  </si>
  <si>
    <t>RuyBarbosa</t>
  </si>
  <si>
    <t>SalinasdaMargarida</t>
  </si>
  <si>
    <t>SantaBárbara</t>
  </si>
  <si>
    <t>SantaBrígida</t>
  </si>
  <si>
    <t>SantaCruzCabrália</t>
  </si>
  <si>
    <t>SantaCruzdaVitória</t>
  </si>
  <si>
    <t>SantaInês</t>
  </si>
  <si>
    <t>SantaLuzia</t>
  </si>
  <si>
    <t>SantaMariadaVitória</t>
  </si>
  <si>
    <t>SantaRitadeCássia</t>
  </si>
  <si>
    <t>SantaTeresinha</t>
  </si>
  <si>
    <t>SantoAmaro</t>
  </si>
  <si>
    <t>SantoAntôniodeJesus</t>
  </si>
  <si>
    <t>SantoEstêvão</t>
  </si>
  <si>
    <t>SãoDesidério</t>
  </si>
  <si>
    <t>SãoDomingos</t>
  </si>
  <si>
    <t>SãoFelipe</t>
  </si>
  <si>
    <t>SãoFélix</t>
  </si>
  <si>
    <t>SãoFélixdoCoribe</t>
  </si>
  <si>
    <t>SãoFranciscodoConde</t>
  </si>
  <si>
    <t>SãoGabriel</t>
  </si>
  <si>
    <t>SãoGonçalodosCampos</t>
  </si>
  <si>
    <t>SãoJosédaVitória</t>
  </si>
  <si>
    <t>SãoJosédoJacuípe</t>
  </si>
  <si>
    <t>SãoMigueldasMatas</t>
  </si>
  <si>
    <t>SãoSebastiãodoPassé</t>
  </si>
  <si>
    <t>SátiroDias</t>
  </si>
  <si>
    <t>SebastiãoLaranjeiras</t>
  </si>
  <si>
    <t>SenhordoBonfim</t>
  </si>
  <si>
    <t>SentoSé</t>
  </si>
  <si>
    <t>SerradoRamalho</t>
  </si>
  <si>
    <t>SerraDourada</t>
  </si>
  <si>
    <t>SerraPreta</t>
  </si>
  <si>
    <t>SimõesFilho</t>
  </si>
  <si>
    <t>SítiodoMato</t>
  </si>
  <si>
    <t>SítiodoQuinto</t>
  </si>
  <si>
    <t>SoutoSoares</t>
  </si>
  <si>
    <t>TabocasdoBrejoVelho</t>
  </si>
  <si>
    <t>TanqueNovo</t>
  </si>
  <si>
    <t>TeixeiradeFreitas</t>
  </si>
  <si>
    <t>TeodoroSampaio</t>
  </si>
  <si>
    <t>TerraNova</t>
  </si>
  <si>
    <t>VárzeadaRoça</t>
  </si>
  <si>
    <t>VárzeadoPoço</t>
  </si>
  <si>
    <t>VárzeaNova</t>
  </si>
  <si>
    <t>VeraCruz</t>
  </si>
  <si>
    <t>VitóriadaConquista</t>
  </si>
  <si>
    <t>WenceslauGuimarães</t>
  </si>
  <si>
    <t>BRA_CE_Barbalha.819110_INMET.epw</t>
  </si>
  <si>
    <t>BRA_CE_Guaramiranga.824870_INMET.epw</t>
  </si>
  <si>
    <t>BRA_CE_Acarau.817550_INMET.epw</t>
  </si>
  <si>
    <t>BRA_CE_Iguatu.818730_INMET.epw</t>
  </si>
  <si>
    <t>BRA_CE_Campos.Sales.827770_INMET.epw</t>
  </si>
  <si>
    <t>AltoSanto</t>
  </si>
  <si>
    <t>BRA_CE_Morada.Nova.825940_INMET.epw</t>
  </si>
  <si>
    <t>BRA_CE_Itapipoca.817560_INMET.epw</t>
  </si>
  <si>
    <t>AntoninadoNorte</t>
  </si>
  <si>
    <t>BRA_CE_Fortaleza-Pinto.Martins.Intl.AP.817580_INMET.epw</t>
  </si>
  <si>
    <t>BRA_CE_Jaguaruana.824930_INMET.epw</t>
  </si>
  <si>
    <t>BRA_CE_Crateus.818300_INMET.epw</t>
  </si>
  <si>
    <t>BRA_CE_Taua.818720_INMET.epw</t>
  </si>
  <si>
    <t>BRA_PB_Sao.Goncalo.817740_INMET.epw</t>
  </si>
  <si>
    <t>BRA_CE_Quixeramobim.825860_INMET.epw</t>
  </si>
  <si>
    <t>BRA_PI_Parnaiba.817520_INMET.epw</t>
  </si>
  <si>
    <t>BelaCruz</t>
  </si>
  <si>
    <t>BoaViagem</t>
  </si>
  <si>
    <t>BrejoSanto</t>
  </si>
  <si>
    <t>CamposSales</t>
  </si>
  <si>
    <t>BRA_PI_Piripiri.817940_INMET.epw</t>
  </si>
  <si>
    <t>DeputadoIrapuanPinheiro</t>
  </si>
  <si>
    <t>BRA_CE_Jaguaribe.818330_INMET.epw</t>
  </si>
  <si>
    <t>FariasBrito</t>
  </si>
  <si>
    <t>GeneralSampaio</t>
  </si>
  <si>
    <t>GuaraciabadoNorte</t>
  </si>
  <si>
    <t>JijocadeJericoacoara</t>
  </si>
  <si>
    <t>JuazeirodoNorte</t>
  </si>
  <si>
    <t>LavrasdaMangabeira</t>
  </si>
  <si>
    <t>LimoeirodoNorte</t>
  </si>
  <si>
    <t>MissãoVelha</t>
  </si>
  <si>
    <t>MonsenhorTabosa</t>
  </si>
  <si>
    <t>MoradaNova</t>
  </si>
  <si>
    <t>NovaOlinda</t>
  </si>
  <si>
    <t>NovaRussas</t>
  </si>
  <si>
    <t>NovoOriente</t>
  </si>
  <si>
    <t>PedraBranca</t>
  </si>
  <si>
    <t>PiquetCarneiro</t>
  </si>
  <si>
    <t>PiresFerreira</t>
  </si>
  <si>
    <t>SantaQuitéria</t>
  </si>
  <si>
    <t>SantanadoAcaraú</t>
  </si>
  <si>
    <t>SantanadoCariri</t>
  </si>
  <si>
    <t>SãoBenedito</t>
  </si>
  <si>
    <t>SãoGonçalodoAmarante</t>
  </si>
  <si>
    <t>SãoJoãodoJaguaribe</t>
  </si>
  <si>
    <t>SãoLuísdoCuru</t>
  </si>
  <si>
    <t>SenadorPompeu</t>
  </si>
  <si>
    <t>SenadorSá</t>
  </si>
  <si>
    <t>TabuleirodoNorte</t>
  </si>
  <si>
    <t>VárzeaAlegre</t>
  </si>
  <si>
    <t>ViçosadoCeará</t>
  </si>
  <si>
    <t>BRA_DF_Brasilia.867150_INMET.epw</t>
  </si>
  <si>
    <t>AfonsoCláudio</t>
  </si>
  <si>
    <t>BRA_ES_Santa.Teresa.868040_INMET.epw</t>
  </si>
  <si>
    <t>ÁguaDocedoNorte</t>
  </si>
  <si>
    <t>BRA_MG_Mantena.867840_INMET.epw</t>
  </si>
  <si>
    <t>ÁguiaBranca</t>
  </si>
  <si>
    <t>BRA_ES_Alegre.868280_INMET.epw</t>
  </si>
  <si>
    <t>AlfredoChaves</t>
  </si>
  <si>
    <t>BRA_ES_Alfredo.Chaves.868290_INMET.epw</t>
  </si>
  <si>
    <t>AltoRioNovo</t>
  </si>
  <si>
    <t>AtílioVivacqua</t>
  </si>
  <si>
    <t>BRA_ES_Presidente.Kennedy.868530_INMET.epw</t>
  </si>
  <si>
    <t>BaixoGuandu</t>
  </si>
  <si>
    <t>BRA_MG_Aimores.868030_INMET.epw</t>
  </si>
  <si>
    <t>BarradeSãoFrancisco</t>
  </si>
  <si>
    <t>BoaEsperança</t>
  </si>
  <si>
    <t>BRA_ES_Nova.Venecia.867850_INMET.epw</t>
  </si>
  <si>
    <t>BomJesusdoNorte</t>
  </si>
  <si>
    <t>CachoeirodeItapemirim</t>
  </si>
  <si>
    <t>BRA_ES_Vitoria.868300_INMET.epw</t>
  </si>
  <si>
    <t>ConceiçãodaBarra</t>
  </si>
  <si>
    <t>BRA_ES_Sao.Mateus.867860_INMET.epw</t>
  </si>
  <si>
    <t>ConceiçãodoCastelo</t>
  </si>
  <si>
    <t>DivinodeSãoLourenço</t>
  </si>
  <si>
    <t>DomingosMartins</t>
  </si>
  <si>
    <t>DoresdoRioPreto</t>
  </si>
  <si>
    <t>BRA_MG_Carangola.868230_INMET.epw</t>
  </si>
  <si>
    <t>GovernadorLindenberg</t>
  </si>
  <si>
    <t>BRA_ES_Linhares.868050_INMET.epw</t>
  </si>
  <si>
    <t>JerônimoMonteiro</t>
  </si>
  <si>
    <t>JoãoNeiva</t>
  </si>
  <si>
    <t>LaranjadaTerra</t>
  </si>
  <si>
    <t>MarechalFloriano</t>
  </si>
  <si>
    <t>MimosodoSul</t>
  </si>
  <si>
    <t>MunizFreire</t>
  </si>
  <si>
    <t>NovaVenécia</t>
  </si>
  <si>
    <t>PedroCanário</t>
  </si>
  <si>
    <t>PontoBelo</t>
  </si>
  <si>
    <t>PresidenteKennedy</t>
  </si>
  <si>
    <t>RioBananal</t>
  </si>
  <si>
    <t>RioNovodoSul</t>
  </si>
  <si>
    <t>SantaLeopoldina</t>
  </si>
  <si>
    <t>SantaMariadeJetibá</t>
  </si>
  <si>
    <t>SantaTeresa</t>
  </si>
  <si>
    <t>SãoDomingosdoNorte</t>
  </si>
  <si>
    <t>SãoGabrieldaPalha</t>
  </si>
  <si>
    <t>SãoJosédoCalçado</t>
  </si>
  <si>
    <t>SãoMateus</t>
  </si>
  <si>
    <t>SãoRoquedoCanaã</t>
  </si>
  <si>
    <t>VargemAlta</t>
  </si>
  <si>
    <t>VendaNovadoImigrante</t>
  </si>
  <si>
    <t>VilaPavão</t>
  </si>
  <si>
    <t>VilaValério</t>
  </si>
  <si>
    <t>VilaVelha</t>
  </si>
  <si>
    <t>AbadiadeGoiás</t>
  </si>
  <si>
    <t>BRA_GO_Parauna.867320_INMET.epw</t>
  </si>
  <si>
    <t>BRA_GO_Luziania.867360_INMET.epw</t>
  </si>
  <si>
    <t>BRA_GO_Goias.867120_INMET.epw</t>
  </si>
  <si>
    <t>ÁguaFriadeGoiás</t>
  </si>
  <si>
    <t>BRA_DF_Planaltina.867160_INMET.epw</t>
  </si>
  <si>
    <t>ÁguaLimpa</t>
  </si>
  <si>
    <t>BRA_GO_Morrinhos.867550_INMET.epw</t>
  </si>
  <si>
    <t>ÁguasLindasdeGoiás</t>
  </si>
  <si>
    <t>AltoHorizonte</t>
  </si>
  <si>
    <t>BRA_GO_Itapaci.866890_INMET.epw</t>
  </si>
  <si>
    <t>AltoParaísodeGoiás</t>
  </si>
  <si>
    <t>BRA_GO_Alto.Paraiso.de.Goias.866910_INMET.epw</t>
  </si>
  <si>
    <t>AlvoradadoNorte</t>
  </si>
  <si>
    <t>BRA_GO_Posse.866920_INMET.epw</t>
  </si>
  <si>
    <t>BRA_GO_Niquelandia.866900_INMET.epw</t>
  </si>
  <si>
    <t>AmericanodoBrasil</t>
  </si>
  <si>
    <t>BRA_GO_Catalao.867770_INMET.epw</t>
  </si>
  <si>
    <t>AparecidadeGoiânia</t>
  </si>
  <si>
    <t>AparecidadoRioDoce</t>
  </si>
  <si>
    <t>BRA_GO_Rio.Verde.867530_INMET.epw</t>
  </si>
  <si>
    <t>BRA_MS_Chapadao.do.Sul.867720_INMET.epw</t>
  </si>
  <si>
    <t>BRA_GO_Aragarcas.833740_INMET.epw</t>
  </si>
  <si>
    <t>BRA_GO_Caiaponia.867300_INMET.epw</t>
  </si>
  <si>
    <t>BRA_MT_Agua.Boa.866860_INMET.epw</t>
  </si>
  <si>
    <t>BRA_GO_Goianesia.867130_INMET.epw</t>
  </si>
  <si>
    <t>BelaVistadeGoiás</t>
  </si>
  <si>
    <t>BRA_GO_Pires.do.Rio.867560_INMET.epw</t>
  </si>
  <si>
    <t>BomJardimdeGoiás</t>
  </si>
  <si>
    <t>BomJesusdeGoiás</t>
  </si>
  <si>
    <t>BRA_GO_Itumbiara.867740_INMET.epw</t>
  </si>
  <si>
    <t>BuritiAlegre</t>
  </si>
  <si>
    <t>BuritideGoiás</t>
  </si>
  <si>
    <t>BRA_MG_Buritis.867180_INMET.epw</t>
  </si>
  <si>
    <t>CachoeiraAlta</t>
  </si>
  <si>
    <t>BRA_GO_Sao.Simao.867730_INMET.epw</t>
  </si>
  <si>
    <t>CachoeiradeGoiás</t>
  </si>
  <si>
    <t>CachoeiraDourada</t>
  </si>
  <si>
    <t>CaldasNovas</t>
  </si>
  <si>
    <t>CampestredeGoiás</t>
  </si>
  <si>
    <t>CampoAlegredeGoiás</t>
  </si>
  <si>
    <t>CampoLimpodeGoiás</t>
  </si>
  <si>
    <t>BRA_GO_Goiania.834230_INMET.epw</t>
  </si>
  <si>
    <t>CamposBelos</t>
  </si>
  <si>
    <t>BRA_GO_Monte.Alegre.de.Goias.866700_INMET.epw</t>
  </si>
  <si>
    <t>CamposVerdes</t>
  </si>
  <si>
    <t>CarmodoRioVerde</t>
  </si>
  <si>
    <t>ChapadãodoCéu</t>
  </si>
  <si>
    <t>CidadeOcidental</t>
  </si>
  <si>
    <t>CocalzinhodeGoiás</t>
  </si>
  <si>
    <t>ColinasdoSul</t>
  </si>
  <si>
    <t>CórregodoOuro</t>
  </si>
  <si>
    <t>CorumbádeGoiás</t>
  </si>
  <si>
    <t>BRA_GO_Cristalina.867370_INMET.epw</t>
  </si>
  <si>
    <t>DivinópolisdeGoiás</t>
  </si>
  <si>
    <t>EstreladoNorte</t>
  </si>
  <si>
    <t>FazendaNova</t>
  </si>
  <si>
    <t>FloresdeGoiás</t>
  </si>
  <si>
    <t>GameleiradeGoiás</t>
  </si>
  <si>
    <t>GuaranideGoiás</t>
  </si>
  <si>
    <t>BRA_MG_Ituiutaba.867750_INMET.epw</t>
  </si>
  <si>
    <t>IpirangadeGoiás</t>
  </si>
  <si>
    <t>BRA_GO_Jatai.867520_INMET.epw</t>
  </si>
  <si>
    <t>LagoaSanta</t>
  </si>
  <si>
    <t>LeopoldodeBulhões</t>
  </si>
  <si>
    <t>MaraRosa</t>
  </si>
  <si>
    <t>MimosodeGoiás</t>
  </si>
  <si>
    <t>BRA_GO_Mineiros.867510_INMET.epw</t>
  </si>
  <si>
    <t>MonteAlegredeGoiás</t>
  </si>
  <si>
    <t>MontesClarosdeGoiás</t>
  </si>
  <si>
    <t>MontividiudoNorte</t>
  </si>
  <si>
    <t>BRA_TO_Parana.866500_INMET.epw</t>
  </si>
  <si>
    <t>MorroAgudodeGoiás</t>
  </si>
  <si>
    <t>NovaAmérica</t>
  </si>
  <si>
    <t>NovaAurora</t>
  </si>
  <si>
    <t>NovaCrixás</t>
  </si>
  <si>
    <t>NovaGlória</t>
  </si>
  <si>
    <t>NovaIguaçudeGoiás</t>
  </si>
  <si>
    <t>NovaRoma</t>
  </si>
  <si>
    <t>NovaVeneza</t>
  </si>
  <si>
    <t>NovoBrasil</t>
  </si>
  <si>
    <t>NovoGama</t>
  </si>
  <si>
    <t>NovoPlanalto</t>
  </si>
  <si>
    <t>BRA_TO_Formoso.do.Araguaia.866290_INMET.epw</t>
  </si>
  <si>
    <t>OuroVerdedeGoiás</t>
  </si>
  <si>
    <t>PadreBernardo</t>
  </si>
  <si>
    <t>PalestinadeGoiás</t>
  </si>
  <si>
    <t>PalmeirasdeGoiás</t>
  </si>
  <si>
    <t>PetrolinadeGoiás</t>
  </si>
  <si>
    <t>PilardeGoiás</t>
  </si>
  <si>
    <t>PiresdoRio</t>
  </si>
  <si>
    <t>ProfessorJamil</t>
  </si>
  <si>
    <t>RioQuente</t>
  </si>
  <si>
    <t>RioVerde</t>
  </si>
  <si>
    <t>SantaBárbaradeGoiás</t>
  </si>
  <si>
    <t>SantaCruzdeGoiás</t>
  </si>
  <si>
    <t>SantaFédeGoiás</t>
  </si>
  <si>
    <t>SantaHelenadeGoiás</t>
  </si>
  <si>
    <t>SantaIsabel</t>
  </si>
  <si>
    <t>SantaRitadoAraguaia</t>
  </si>
  <si>
    <t>BRA_MT_Alto.Taquari.867500_INMET.epw</t>
  </si>
  <si>
    <t>SantaRitadoNovoDestino</t>
  </si>
  <si>
    <t>SantaRosadeGoiás</t>
  </si>
  <si>
    <t>SantaTerezadeGoiás</t>
  </si>
  <si>
    <t>SantaTerezinhadeGoiás</t>
  </si>
  <si>
    <t>SantoAntôniodaBarra</t>
  </si>
  <si>
    <t>SantoAntôniodeGoiás</t>
  </si>
  <si>
    <t>SantoAntôniodoDescoberto</t>
  </si>
  <si>
    <t>SãoFranciscodeGoiás</t>
  </si>
  <si>
    <t>SãoJoãodaParaúna</t>
  </si>
  <si>
    <t>SãoJoãod'Aliança</t>
  </si>
  <si>
    <t>SãoLuísdeMontesBelos</t>
  </si>
  <si>
    <t>SãoLuízdoNorte</t>
  </si>
  <si>
    <t>SãoMigueldoAraguaia</t>
  </si>
  <si>
    <t>SãoMigueldoPassaQuatro</t>
  </si>
  <si>
    <t>SãoPatrício</t>
  </si>
  <si>
    <t>SãoSimão</t>
  </si>
  <si>
    <t>SenadorCanedo</t>
  </si>
  <si>
    <t>Sítiod'Abadia</t>
  </si>
  <si>
    <t>TaquaraldeGoiás</t>
  </si>
  <si>
    <t>TeresinadeGoiás</t>
  </si>
  <si>
    <t>TerezópolisdeGoiás</t>
  </si>
  <si>
    <t>TrêsRanchos</t>
  </si>
  <si>
    <t>ValparaísodeGoiás</t>
  </si>
  <si>
    <t>VilaBoa</t>
  </si>
  <si>
    <t>VilaPropício</t>
  </si>
  <si>
    <t>BRA_PA_Rondon.do.Para.817860_INMET.epw</t>
  </si>
  <si>
    <t>AfonsoCunha</t>
  </si>
  <si>
    <t>BRA_MA_Chapadinha.817490_INMET.epw</t>
  </si>
  <si>
    <t>ÁguaDocedoMaranhão</t>
  </si>
  <si>
    <t>BRA_MA_Sao.Luis.817150_INMET.epw</t>
  </si>
  <si>
    <t>AldeiasAltas</t>
  </si>
  <si>
    <t>BRA_MA_Caxias.817920_INMET.epw</t>
  </si>
  <si>
    <t>AltamiradoMaranhão</t>
  </si>
  <si>
    <t>BRA_MA_Bacabal.817900_INMET.epw</t>
  </si>
  <si>
    <t>AltoAlegredoMaranhão</t>
  </si>
  <si>
    <t>AltoAlegredoPindaré</t>
  </si>
  <si>
    <t>BRA_MA_Buriticupu.817880_INMET.epw</t>
  </si>
  <si>
    <t>AltoParnaíba</t>
  </si>
  <si>
    <t>BRA_MA_Alto.Parnaiba.829700_INMET.epw</t>
  </si>
  <si>
    <t>AmapádoMaranhão</t>
  </si>
  <si>
    <t>BRA_MA_Turiacu.821980_INMET.epw</t>
  </si>
  <si>
    <t>AmarantedoMaranhão</t>
  </si>
  <si>
    <t>BRA_MA_Grajau.818230_INMET.epw</t>
  </si>
  <si>
    <t>BRA_MA_Balsas.819030_INMET.epw</t>
  </si>
  <si>
    <t>BarãodeGrajaú</t>
  </si>
  <si>
    <t>BRA_PI_Floriano.818680_INMET.epw</t>
  </si>
  <si>
    <t>BarradoCorda</t>
  </si>
  <si>
    <t>BRA_MA_Barra.do.Corda.818250_INMET.epw</t>
  </si>
  <si>
    <t>BRA_MA_Farol.Preguicas.817170_INMET.epw</t>
  </si>
  <si>
    <t>BelaVistadoMaranhão</t>
  </si>
  <si>
    <t>BeneditoLeite</t>
  </si>
  <si>
    <t>BRA_PI_Urucui.819050_INMET.epw</t>
  </si>
  <si>
    <t>BernardodoMearim</t>
  </si>
  <si>
    <t>BoaVistadoGurupi</t>
  </si>
  <si>
    <t>BRA_PA_Braganca.816850_INMET.epw</t>
  </si>
  <si>
    <t>BomJardim</t>
  </si>
  <si>
    <t>BomJesusdasSelvas</t>
  </si>
  <si>
    <t>BomLugar</t>
  </si>
  <si>
    <t>BRA_PI_Esperantina.817510_INMET.epw</t>
  </si>
  <si>
    <t>BrejodeAreia</t>
  </si>
  <si>
    <t>BuritiBravo</t>
  </si>
  <si>
    <t>BRA_MA_Colinas.818660_INMET.epw</t>
  </si>
  <si>
    <t>BRA_MA_Imperatriz.818220_INMET.epw</t>
  </si>
  <si>
    <t>CachoeiraGrande</t>
  </si>
  <si>
    <t>CampestredoMaranhão</t>
  </si>
  <si>
    <t>BRA_MA_Estreito.818630_INMET.epw</t>
  </si>
  <si>
    <t>CândidoMendes</t>
  </si>
  <si>
    <t>CapinzaldoNorte</t>
  </si>
  <si>
    <t>BRA_MA_Carolina.819010_INMET.epw</t>
  </si>
  <si>
    <t>CentraldoMaranhão</t>
  </si>
  <si>
    <t>CentrodoGuilherme</t>
  </si>
  <si>
    <t>CentroNovodoMaranhão</t>
  </si>
  <si>
    <t>CoelhoNeto</t>
  </si>
  <si>
    <t>ConceiçãodoLago-Açu</t>
  </si>
  <si>
    <t>DomPedro</t>
  </si>
  <si>
    <t>DuqueBacelar</t>
  </si>
  <si>
    <t>FeiraNovadoMaranhão</t>
  </si>
  <si>
    <t>FernandoFalcão</t>
  </si>
  <si>
    <t>FormosadaSerraNegra</t>
  </si>
  <si>
    <t>FortalezadosNogueiras</t>
  </si>
  <si>
    <t>GodofredoViana</t>
  </si>
  <si>
    <t>GonçalvesDias</t>
  </si>
  <si>
    <t>GovernadorArcher</t>
  </si>
  <si>
    <t>GovernadorEdisonLobão</t>
  </si>
  <si>
    <t>GovernadorEugênioBarros</t>
  </si>
  <si>
    <t>GovernadorLuizRocha</t>
  </si>
  <si>
    <t>GovernadorNewtonBello</t>
  </si>
  <si>
    <t>GovernadorNunesFreire</t>
  </si>
  <si>
    <t>GraçaAranha</t>
  </si>
  <si>
    <t>HumbertodeCampos</t>
  </si>
  <si>
    <t>BRA_MA_Farol.Santana.822770_INMET.epw</t>
  </si>
  <si>
    <t>IgarapédoMeio</t>
  </si>
  <si>
    <t>IgarapéGrande</t>
  </si>
  <si>
    <t>ItaipavadoGrajaú</t>
  </si>
  <si>
    <t>ItapecuruMirim</t>
  </si>
  <si>
    <t>ItingadoMaranhão</t>
  </si>
  <si>
    <t>JenipapodosVieiras</t>
  </si>
  <si>
    <t>JoãoLisboa</t>
  </si>
  <si>
    <t>JuncodoMaranhão</t>
  </si>
  <si>
    <t>LagodaPedra</t>
  </si>
  <si>
    <t>LagodoJunco</t>
  </si>
  <si>
    <t>LagodosRodrigues</t>
  </si>
  <si>
    <t>LagoVerde</t>
  </si>
  <si>
    <t>LagoadoMato</t>
  </si>
  <si>
    <t>LagoaGrandedoMaranhão</t>
  </si>
  <si>
    <t>LajeadoNovo</t>
  </si>
  <si>
    <t>LimaCampos</t>
  </si>
  <si>
    <t>LuísDomingues</t>
  </si>
  <si>
    <t>MagalhãesdeAlmeida</t>
  </si>
  <si>
    <t>MarajádoSena</t>
  </si>
  <si>
    <t>MataRoma</t>
  </si>
  <si>
    <t>BRA_PI_Teresina.818320_INMET.epw</t>
  </si>
  <si>
    <t>MatõesdoNorte</t>
  </si>
  <si>
    <t>MilagresdoMaranhão</t>
  </si>
  <si>
    <t>MirandadoNorte</t>
  </si>
  <si>
    <t>MontesAltos</t>
  </si>
  <si>
    <t>NinaRodrigues</t>
  </si>
  <si>
    <t>NovaColinas</t>
  </si>
  <si>
    <t>NovaIorque</t>
  </si>
  <si>
    <t>NovaOlindadoMaranhão</t>
  </si>
  <si>
    <t>Olhod'ÁguadasCunhãs</t>
  </si>
  <si>
    <t>OlindaNovadoMaranhão</t>
  </si>
  <si>
    <t>PaçodoLumiar</t>
  </si>
  <si>
    <t>BRA_PI_Sao.Pedro.do.Piaui.818280_INMET.epw</t>
  </si>
  <si>
    <t>PassagemFranca</t>
  </si>
  <si>
    <t>PastosBons</t>
  </si>
  <si>
    <t>PaulinoNeves</t>
  </si>
  <si>
    <t>PauloRamos</t>
  </si>
  <si>
    <t>PedrodoRosário</t>
  </si>
  <si>
    <t>PeriMirim</t>
  </si>
  <si>
    <t>PioXII</t>
  </si>
  <si>
    <t>PoçãodePedras</t>
  </si>
  <si>
    <t>PortoFranco</t>
  </si>
  <si>
    <t>PortoRicodoMaranhão</t>
  </si>
  <si>
    <t>PresidenteJuscelino</t>
  </si>
  <si>
    <t>PresidenteMédici</t>
  </si>
  <si>
    <t>PresidenteSarney</t>
  </si>
  <si>
    <t>PresidenteVargas</t>
  </si>
  <si>
    <t>PrimeiraCruz</t>
  </si>
  <si>
    <t>RibamarFiquene</t>
  </si>
  <si>
    <t>SantaFilomenadoMaranhão</t>
  </si>
  <si>
    <t>SantaHelena</t>
  </si>
  <si>
    <t>SantaLuziadoParuá</t>
  </si>
  <si>
    <t>SantaQuitériadoMaranhão</t>
  </si>
  <si>
    <t>SantaRita</t>
  </si>
  <si>
    <t>SantanadoMaranhão</t>
  </si>
  <si>
    <t>SantoAmarodoMaranhão</t>
  </si>
  <si>
    <t>SantoAntôniodosLopes</t>
  </si>
  <si>
    <t>SãoBeneditodoRioPreto</t>
  </si>
  <si>
    <t>SãoBento</t>
  </si>
  <si>
    <t>SãoBernardo</t>
  </si>
  <si>
    <t>SãoDomingosdoAzeitão</t>
  </si>
  <si>
    <t>SãoDomingosdoMaranhão</t>
  </si>
  <si>
    <t>SãoFélixdeBalsas</t>
  </si>
  <si>
    <t>SãoFranciscodoBrejão</t>
  </si>
  <si>
    <t>SãoFranciscodoMaranhão</t>
  </si>
  <si>
    <t>SãoJoãoBatista</t>
  </si>
  <si>
    <t>SãoJoãodoCarú</t>
  </si>
  <si>
    <t>SãoJoãodoParaíso</t>
  </si>
  <si>
    <t>SãoJoãodoSoter</t>
  </si>
  <si>
    <t>SãoJoãodosPatos</t>
  </si>
  <si>
    <t>SãoJosédeRibamar</t>
  </si>
  <si>
    <t>SãoJosédosBasílios</t>
  </si>
  <si>
    <t>SãoLuís</t>
  </si>
  <si>
    <t>SãoLuísGonzagadoMaranhão</t>
  </si>
  <si>
    <t>SãoMateusdoMaranhão</t>
  </si>
  <si>
    <t>SãoPedrodaÁguaBranca</t>
  </si>
  <si>
    <t>SãoPedrodosCrentes</t>
  </si>
  <si>
    <t>SãoRaimundodasMangabeiras</t>
  </si>
  <si>
    <t>SãoRaimundodoDocaBezerra</t>
  </si>
  <si>
    <t>SãoRoberto</t>
  </si>
  <si>
    <t>SãoVicenteFerrer</t>
  </si>
  <si>
    <t>SenadorAlexandreCosta</t>
  </si>
  <si>
    <t>SenadorLaRocque</t>
  </si>
  <si>
    <t>SerranodoMaranhão</t>
  </si>
  <si>
    <t>SítioNovo</t>
  </si>
  <si>
    <t>SucupiradoNorte</t>
  </si>
  <si>
    <t>SucupiradoRiachão</t>
  </si>
  <si>
    <t>TassoFragoso</t>
  </si>
  <si>
    <t>TrizideladoVale</t>
  </si>
  <si>
    <t>UrbanoSantos</t>
  </si>
  <si>
    <t>VargemGrande</t>
  </si>
  <si>
    <t>VilaNovadosMartírios</t>
  </si>
  <si>
    <t>VitóriadoMearim</t>
  </si>
  <si>
    <t>VitorinoFreire</t>
  </si>
  <si>
    <t>ZéDoca</t>
  </si>
  <si>
    <t>AbadiadosDourados</t>
  </si>
  <si>
    <t>BRA_MG_Patrocinio.867780_INMET.epw</t>
  </si>
  <si>
    <t>BRA_MG_Dores.do.Indaia.867970_INMET.epw</t>
  </si>
  <si>
    <t>AbreCampo</t>
  </si>
  <si>
    <t>BRA_MG_Vicosa.836420_INMET.epw</t>
  </si>
  <si>
    <t>BRA_MG_Timoteo.868010_INMET.epw</t>
  </si>
  <si>
    <t>ÁguaBoa</t>
  </si>
  <si>
    <t>BRA_MG_Capelinha.867610_INMET.epw</t>
  </si>
  <si>
    <t>ÁguaComprida</t>
  </si>
  <si>
    <t>BRA_MG_Conceicao.das.Alagoas.867940_INMET.epw</t>
  </si>
  <si>
    <t>BRA_MG_Formiga.868200_INMET.epw</t>
  </si>
  <si>
    <t>ÁguasFormosas</t>
  </si>
  <si>
    <t>BRA_MG_Itaobim.867420_INMET.epw</t>
  </si>
  <si>
    <t>ÁguasVermelhas</t>
  </si>
  <si>
    <t>BRA_RJ_Resende.837380_INMET.epw</t>
  </si>
  <si>
    <t>BRA_SP_Itapira.868690_INMET.epw</t>
  </si>
  <si>
    <t>AlémParaíba</t>
  </si>
  <si>
    <t>BRA_RJ_Teresopolis.868880_INMET.epw</t>
  </si>
  <si>
    <t>BRA_MG_Varginha.868480_INMET.epw</t>
  </si>
  <si>
    <t>AlfredoVasconcelos</t>
  </si>
  <si>
    <t>BRA_MG_Sao.Joao.del.Rei.836880_INMET.epw</t>
  </si>
  <si>
    <t>BRA_MG_Governador.Valadares.835430_INMET.epw</t>
  </si>
  <si>
    <t>BRA_MG_Passos.868190_INMET.epw</t>
  </si>
  <si>
    <t>AltoCaparaó</t>
  </si>
  <si>
    <t>AltoJequitibá</t>
  </si>
  <si>
    <t>AltoRioDoce</t>
  </si>
  <si>
    <t>BRA_MG_Caratinga.835920_INMET.epw</t>
  </si>
  <si>
    <t>AlvoradadeMinas</t>
  </si>
  <si>
    <t>BRA_MG_Diamantina.AP.867810_INMET.epw</t>
  </si>
  <si>
    <t>AmparodoSerra</t>
  </si>
  <si>
    <t>BRA_MG_Caldas.868460_INMET.epw</t>
  </si>
  <si>
    <t>AntônioCarlos</t>
  </si>
  <si>
    <t>AntônioDias</t>
  </si>
  <si>
    <t>AntônioPradodeMinas</t>
  </si>
  <si>
    <t>BRA_MG_Muriae.868520_INMET.epw</t>
  </si>
  <si>
    <t>BRA_MG_Curvelo.867800_INMET.epw</t>
  </si>
  <si>
    <t>BRA_MG_Juiz.de.Fora.836920_INMET.epw</t>
  </si>
  <si>
    <t>BRA_MG_Salinas.867410_INMET.epw</t>
  </si>
  <si>
    <t>BRA_MG_Uberlandia.867760_INMET.epw</t>
  </si>
  <si>
    <t>BRA_MG_Araxa.867960_INMET.epw</t>
  </si>
  <si>
    <t>BRA_SP_Casa.Branca.868440_INMET.epw</t>
  </si>
  <si>
    <t>AstolfoDutra</t>
  </si>
  <si>
    <t>BRA_MG_Teofilo.Otoni.867620_INMET.epw</t>
  </si>
  <si>
    <t>AugustodeLima</t>
  </si>
  <si>
    <t>BRA_MG_Passa.Quatro.837370_INMET.epw</t>
  </si>
  <si>
    <t>BRA_MG_Belo.Horizonte-Pampulha.AP.868000_INMET.epw</t>
  </si>
  <si>
    <t>BandeiradoSul</t>
  </si>
  <si>
    <t>BarãodeCocais</t>
  </si>
  <si>
    <t>BarãodeMonteAlto</t>
  </si>
  <si>
    <t>BarraLonga</t>
  </si>
  <si>
    <t>BelaVistadeMinas</t>
  </si>
  <si>
    <t>BelmiroBraga</t>
  </si>
  <si>
    <t>BeloHorizonte</t>
  </si>
  <si>
    <t>BeloOriente</t>
  </si>
  <si>
    <t>BeloVale</t>
  </si>
  <si>
    <t>BRA_MG_Ouro.Branco.868230_INMET.epw</t>
  </si>
  <si>
    <t>BRA_MG_Ibirite.868210_INMET.epw</t>
  </si>
  <si>
    <t>BiasFortes</t>
  </si>
  <si>
    <t>BRA_MG_Tres.Marias.867790_INMET.epw</t>
  </si>
  <si>
    <t>BocainadeMinas</t>
  </si>
  <si>
    <t>BRA_MG_Montes.Claros.867400_INMET.epw</t>
  </si>
  <si>
    <t>BomDespacho</t>
  </si>
  <si>
    <t>BomJardimdeMinas</t>
  </si>
  <si>
    <t>BRA_RJ_Valenca.868750_INMET.epw</t>
  </si>
  <si>
    <t>BomJesusdaPenha</t>
  </si>
  <si>
    <t>BomJesusdoAmparo</t>
  </si>
  <si>
    <t>BomJesusdoGalho</t>
  </si>
  <si>
    <t>BomRepouso</t>
  </si>
  <si>
    <t>BRA_MG_Monte.Verde.AP.868700_INMET.epw</t>
  </si>
  <si>
    <t>BomSucesso</t>
  </si>
  <si>
    <t>BonfinópolisdeMinas</t>
  </si>
  <si>
    <t>BRA_MG_Unai.AP.834280_INMET.epw</t>
  </si>
  <si>
    <t>BonitodeMinas</t>
  </si>
  <si>
    <t>BRA_MG_Chapada.Gaucha.867190_INMET.epw</t>
  </si>
  <si>
    <t>BordadaMata</t>
  </si>
  <si>
    <t>BrásPires</t>
  </si>
  <si>
    <t>BrasilândiadeMinas</t>
  </si>
  <si>
    <t>BRA_MG_Joao.Pinheiro.AP.867580_INMET.epw</t>
  </si>
  <si>
    <t>BrasíliadeMinas</t>
  </si>
  <si>
    <t>BRA_MG_Sao.Romao.867390_INMET.epw</t>
  </si>
  <si>
    <t>BRA_SP_Campos.do.Jordao.868720_INMET.epw</t>
  </si>
  <si>
    <t>BuenoBrandão</t>
  </si>
  <si>
    <t>BRA_MG_Pirapora.AP.867590_INMET.epw</t>
  </si>
  <si>
    <t>CabeceiraGrande</t>
  </si>
  <si>
    <t>CaboVerde</t>
  </si>
  <si>
    <t>CachoeiradaPrata</t>
  </si>
  <si>
    <t>BRA_MG_Florestal.867980_INMET.epw</t>
  </si>
  <si>
    <t>CachoeiradeMinas</t>
  </si>
  <si>
    <t>BRA_MG_Maria.da.Fe.830150_INMET.epw</t>
  </si>
  <si>
    <t>CachoeiradePajeú</t>
  </si>
  <si>
    <t>CampinaVerde</t>
  </si>
  <si>
    <t>CampoAzul</t>
  </si>
  <si>
    <t>CampoBelo</t>
  </si>
  <si>
    <t>CampodoMeio</t>
  </si>
  <si>
    <t>CampoFlorido</t>
  </si>
  <si>
    <t>CamposAltos</t>
  </si>
  <si>
    <t>CamposGerais</t>
  </si>
  <si>
    <t>CanaVerde</t>
  </si>
  <si>
    <t>CapelaNova</t>
  </si>
  <si>
    <t>BRA_SP_Franca.868180_INMET.epw</t>
  </si>
  <si>
    <t>CapimBranco</t>
  </si>
  <si>
    <t>CapitãoAndrade</t>
  </si>
  <si>
    <t>CapitãoEnéas</t>
  </si>
  <si>
    <t>CarlosChagas</t>
  </si>
  <si>
    <t>CarmodaCachoeira</t>
  </si>
  <si>
    <t>CarmodaMata</t>
  </si>
  <si>
    <t>CarmodeMinas</t>
  </si>
  <si>
    <t>CarmodoCajuru</t>
  </si>
  <si>
    <t>CarmodoParanaíba</t>
  </si>
  <si>
    <t>CarmodoRioClaro</t>
  </si>
  <si>
    <t>CarmópolisdeMinas</t>
  </si>
  <si>
    <t>BRA_SP_Jales.868140_INMET.epw</t>
  </si>
  <si>
    <t>CasaGrande</t>
  </si>
  <si>
    <t>CascalhoRico</t>
  </si>
  <si>
    <t>CatasAltas</t>
  </si>
  <si>
    <t>CatasAltasdaNoruega</t>
  </si>
  <si>
    <t>BRA_MG_Mocambinho.867200_INMET.epw</t>
  </si>
  <si>
    <t>CedrodoAbaeté</t>
  </si>
  <si>
    <t>CentraldeMinas</t>
  </si>
  <si>
    <t>ChapadadoNorte</t>
  </si>
  <si>
    <t>ChapadaGaúcha</t>
  </si>
  <si>
    <t>ClarodosPoções</t>
  </si>
  <si>
    <t>ComendadorGomes</t>
  </si>
  <si>
    <t>ConceiçãodaAparecida</t>
  </si>
  <si>
    <t>ConceiçãodaBarradeMinas</t>
  </si>
  <si>
    <t>ConceiçãodasAlagoas</t>
  </si>
  <si>
    <t>ConceiçãodasPedras</t>
  </si>
  <si>
    <t>ConceiçãodeIpanema</t>
  </si>
  <si>
    <t>ConceiçãodoMatoDentro</t>
  </si>
  <si>
    <t>ConceiçãodoPará</t>
  </si>
  <si>
    <t>ConceiçãodoRioVerde</t>
  </si>
  <si>
    <t>ConceiçãodosOuros</t>
  </si>
  <si>
    <t>CônegoMarinho</t>
  </si>
  <si>
    <t>CongonhasdoNorte</t>
  </si>
  <si>
    <t>BRA_MG_Sacramento.867950_INMET.epw</t>
  </si>
  <si>
    <t>ConselheiroLafaiete</t>
  </si>
  <si>
    <t>ConselheiroPena</t>
  </si>
  <si>
    <t>CoraçãodeJesus</t>
  </si>
  <si>
    <t>CoronelFabriciano</t>
  </si>
  <si>
    <t>CoronelMurta</t>
  </si>
  <si>
    <t>CoronelPacheco</t>
  </si>
  <si>
    <t>CoronelXavierChaves</t>
  </si>
  <si>
    <t>CórregoDanta</t>
  </si>
  <si>
    <t>CórregodoBomJesus</t>
  </si>
  <si>
    <t>CórregoFundo</t>
  </si>
  <si>
    <t>CórregoNovo</t>
  </si>
  <si>
    <t>CoutodeMagalhãesdeMinas</t>
  </si>
  <si>
    <t>CristianoOtoni</t>
  </si>
  <si>
    <t>CruzeirodaFortaleza</t>
  </si>
  <si>
    <t>CurraldeDentro</t>
  </si>
  <si>
    <t>DelfimMoreira</t>
  </si>
  <si>
    <t>DesterrodeEntreRios</t>
  </si>
  <si>
    <t>DesterrodoMelo</t>
  </si>
  <si>
    <t>DiogodeVasconcelos</t>
  </si>
  <si>
    <t>DivinodasLaranjeiras</t>
  </si>
  <si>
    <t>DivinolândiadeMinas</t>
  </si>
  <si>
    <t>DivisaAlegre</t>
  </si>
  <si>
    <t>DivisaNova</t>
  </si>
  <si>
    <t>DomBosco</t>
  </si>
  <si>
    <t>DomCavati</t>
  </si>
  <si>
    <t>DomJoaquim</t>
  </si>
  <si>
    <t>DomSilvério</t>
  </si>
  <si>
    <t>DomViçoso</t>
  </si>
  <si>
    <t>DonaEuzébia</t>
  </si>
  <si>
    <t>DoresdeCampos</t>
  </si>
  <si>
    <t>DoresdeGuanhães</t>
  </si>
  <si>
    <t>DoresdoIndaiá</t>
  </si>
  <si>
    <t>DoresdoTurvo</t>
  </si>
  <si>
    <t>ElóiMendes</t>
  </si>
  <si>
    <t>EngenheiroCaldas</t>
  </si>
  <si>
    <t>EngenheiroNavarro</t>
  </si>
  <si>
    <t>EntreFolhas</t>
  </si>
  <si>
    <t>EntreRiosdeMinas</t>
  </si>
  <si>
    <t>EsperaFeliz</t>
  </si>
  <si>
    <t>EspíritoSantodoDourado</t>
  </si>
  <si>
    <t>EstrelaDalva</t>
  </si>
  <si>
    <t>BRA_RJ_Cambuci.868540_INMET.epw</t>
  </si>
  <si>
    <t>EstreladoIndaiá</t>
  </si>
  <si>
    <t>EstreladoSul</t>
  </si>
  <si>
    <t>EwbankdaCâmara</t>
  </si>
  <si>
    <t>FariaLemos</t>
  </si>
  <si>
    <t>FelíciodosSantos</t>
  </si>
  <si>
    <t>FernandesTourinho</t>
  </si>
  <si>
    <t>FortalezadeMinas</t>
  </si>
  <si>
    <t>FortunadeMinas</t>
  </si>
  <si>
    <t>FranciscoBadaró</t>
  </si>
  <si>
    <t>FranciscoDumont</t>
  </si>
  <si>
    <t>FranciscoSá</t>
  </si>
  <si>
    <t>FreiGaspar</t>
  </si>
  <si>
    <t>FreiInocêncio</t>
  </si>
  <si>
    <t>FreiLagonegro</t>
  </si>
  <si>
    <t>BRA_SP_Votuporanga.868150_INMET.epw</t>
  </si>
  <si>
    <t>FronteiradosVales</t>
  </si>
  <si>
    <t>FrutadeLeite</t>
  </si>
  <si>
    <t>GovernadorValadares</t>
  </si>
  <si>
    <t>GrãoMogol</t>
  </si>
  <si>
    <t>BRA_MG_Guarda-Mor.867570_INMET.epw</t>
  </si>
  <si>
    <t>IbitiúradeMinas</t>
  </si>
  <si>
    <t>IcaraídeMinas</t>
  </si>
  <si>
    <t>ImbédeMinas</t>
  </si>
  <si>
    <t>BRA_MG_Rio.Pardo.de.Minas.867210_INMET.epw</t>
  </si>
  <si>
    <t>IraídeMinas</t>
  </si>
  <si>
    <t>ItabirinhadeMantena</t>
  </si>
  <si>
    <t>ItamaratideMinas</t>
  </si>
  <si>
    <t>ItambédoMatoDentro</t>
  </si>
  <si>
    <t>ItaúdeMinas</t>
  </si>
  <si>
    <t>JenipapodeMinas</t>
  </si>
  <si>
    <t>JoãoMonlevade</t>
  </si>
  <si>
    <t>JoãoPinheiro</t>
  </si>
  <si>
    <t>JoaquimFelício</t>
  </si>
  <si>
    <t>JoséGonçalvesdeMinas</t>
  </si>
  <si>
    <t>JoséRaydan</t>
  </si>
  <si>
    <t>JuizdeFora</t>
  </si>
  <si>
    <t>LagoadaPrata</t>
  </si>
  <si>
    <t>LagoadosPatos</t>
  </si>
  <si>
    <t>LagoaDourada</t>
  </si>
  <si>
    <t>LagoaFormosa</t>
  </si>
  <si>
    <t>LagoaGrande</t>
  </si>
  <si>
    <t>LeandroFerreira</t>
  </si>
  <si>
    <t>LemedoPrado</t>
  </si>
  <si>
    <t>LimaDuarte</t>
  </si>
  <si>
    <t>LimeiradoOeste</t>
  </si>
  <si>
    <t>MadredeDeusdeMinas</t>
  </si>
  <si>
    <t>MardeEspanha</t>
  </si>
  <si>
    <t>MariadaFé</t>
  </si>
  <si>
    <t>MárioCampos</t>
  </si>
  <si>
    <t>MaripádeMinas</t>
  </si>
  <si>
    <t>MartinhoCampos</t>
  </si>
  <si>
    <t>MartinsSoares</t>
  </si>
  <si>
    <t>MataVerde</t>
  </si>
  <si>
    <t>MateusLeme</t>
  </si>
  <si>
    <t>MathiasLobato</t>
  </si>
  <si>
    <t>MatiasBarbosa</t>
  </si>
  <si>
    <t>MatiasCardoso</t>
  </si>
  <si>
    <t>MatoVerde</t>
  </si>
  <si>
    <t>MendesPimentel</t>
  </si>
  <si>
    <t>MinasNovas</t>
  </si>
  <si>
    <t>MonsenhorPaulo</t>
  </si>
  <si>
    <t>MonteAlegredeMinas</t>
  </si>
  <si>
    <t>MonteAzul</t>
  </si>
  <si>
    <t>MonteBelo</t>
  </si>
  <si>
    <t>MonteCarmelo</t>
  </si>
  <si>
    <t>MonteFormoso</t>
  </si>
  <si>
    <t>MonteSantodeMinas</t>
  </si>
  <si>
    <t>MonteSião</t>
  </si>
  <si>
    <t>MontesClaros</t>
  </si>
  <si>
    <t>MoradaNovadeMinas</t>
  </si>
  <si>
    <t>MorrodaGarça</t>
  </si>
  <si>
    <t>MorrodoPilar</t>
  </si>
  <si>
    <t>NacipRaydan</t>
  </si>
  <si>
    <t>NovaBelém</t>
  </si>
  <si>
    <t>NovaEra</t>
  </si>
  <si>
    <t>NovaLima</t>
  </si>
  <si>
    <t>NovaMódica</t>
  </si>
  <si>
    <t>NovaPonte</t>
  </si>
  <si>
    <t>NovaPorteirinha</t>
  </si>
  <si>
    <t>NovaResende</t>
  </si>
  <si>
    <t>NovaSerrana</t>
  </si>
  <si>
    <t>NovaUnião</t>
  </si>
  <si>
    <t>NovoCruzeiro</t>
  </si>
  <si>
    <t>NovoOrientedeMinas</t>
  </si>
  <si>
    <t>OlímpioNoronha</t>
  </si>
  <si>
    <t>OliveiraFortes</t>
  </si>
  <si>
    <t>OnçadePitangui</t>
  </si>
  <si>
    <t>OuroFino</t>
  </si>
  <si>
    <t>OuroPreto</t>
  </si>
  <si>
    <t>OuroVerdedeMinas</t>
  </si>
  <si>
    <t>PadreCarvalho</t>
  </si>
  <si>
    <t>PadreParaíso</t>
  </si>
  <si>
    <t>PaiPedro</t>
  </si>
  <si>
    <t>ParádeMinas</t>
  </si>
  <si>
    <t>PassaQuatro</t>
  </si>
  <si>
    <t>PassaTempo</t>
  </si>
  <si>
    <t>PassaVinte</t>
  </si>
  <si>
    <t>PatosdeMinas</t>
  </si>
  <si>
    <t>PatrocíniodoMuriaé</t>
  </si>
  <si>
    <t>PaulaCândido</t>
  </si>
  <si>
    <t>PedraAzul</t>
  </si>
  <si>
    <t>PedraBonita</t>
  </si>
  <si>
    <t>PedradoAnta</t>
  </si>
  <si>
    <t>PedradoIndaiá</t>
  </si>
  <si>
    <t>PedraDourada</t>
  </si>
  <si>
    <t>PedrasdeMariadaCruz</t>
  </si>
  <si>
    <t>PedroLeopoldo</t>
  </si>
  <si>
    <t>PedroTeixeira</t>
  </si>
  <si>
    <t>PiedadedeCaratinga</t>
  </si>
  <si>
    <t>PiedadedePonteNova</t>
  </si>
  <si>
    <t>PiedadedoRioGrande</t>
  </si>
  <si>
    <t>PiedadedosGerais</t>
  </si>
  <si>
    <t>Pingod'Água</t>
  </si>
  <si>
    <t>Pingo-d'Água</t>
  </si>
  <si>
    <t>PoçoFundo</t>
  </si>
  <si>
    <t>PoçosdeCaldas</t>
  </si>
  <si>
    <t>PonteNova</t>
  </si>
  <si>
    <t>PontoChique</t>
  </si>
  <si>
    <t>PontodosVolantes</t>
  </si>
  <si>
    <t>PortoFirme</t>
  </si>
  <si>
    <t>PousoAlegre</t>
  </si>
  <si>
    <t>PousoAlto</t>
  </si>
  <si>
    <t>PresidenteBernardes</t>
  </si>
  <si>
    <t>PresidenteKubitschek</t>
  </si>
  <si>
    <t>PresidenteOlegário</t>
  </si>
  <si>
    <t>PrudentedeMorais</t>
  </si>
  <si>
    <t>QuartelGeral</t>
  </si>
  <si>
    <t>RaulSoares</t>
  </si>
  <si>
    <t>ResendeCosta</t>
  </si>
  <si>
    <t>RiachodosMachados</t>
  </si>
  <si>
    <t>RibeirãodasNeves</t>
  </si>
  <si>
    <t>RibeirãoVermelho</t>
  </si>
  <si>
    <t>RioAcima</t>
  </si>
  <si>
    <t>RioCasca</t>
  </si>
  <si>
    <t>RiodoPrado</t>
  </si>
  <si>
    <t>RioDoce</t>
  </si>
  <si>
    <t>RioEspera</t>
  </si>
  <si>
    <t>RioManso</t>
  </si>
  <si>
    <t>RioNovo</t>
  </si>
  <si>
    <t>RioParanaíba</t>
  </si>
  <si>
    <t>RioPardodeMinas</t>
  </si>
  <si>
    <t>RioPiracicaba</t>
  </si>
  <si>
    <t>RioPomba</t>
  </si>
  <si>
    <t>RioPreto</t>
  </si>
  <si>
    <t>RioVermelho</t>
  </si>
  <si>
    <t>RochedodeMinas</t>
  </si>
  <si>
    <t>RosáriodaLimeira</t>
  </si>
  <si>
    <t>SaltodaDivisa</t>
  </si>
  <si>
    <t>SantaBárbaradoLeste</t>
  </si>
  <si>
    <t>SantaBárbaradoMonteVerde</t>
  </si>
  <si>
    <t>SantaBárbaradoTugúrio</t>
  </si>
  <si>
    <t>SantaCruzdeMinas</t>
  </si>
  <si>
    <t>SantaCruzdeSalinas</t>
  </si>
  <si>
    <t>SantaCruzdoEscalvado</t>
  </si>
  <si>
    <t>SantaEfigêniadeMinas</t>
  </si>
  <si>
    <t>SantaFédeMinas</t>
  </si>
  <si>
    <t>SantaHelenadeMinas</t>
  </si>
  <si>
    <t>SantaJuliana</t>
  </si>
  <si>
    <t>SantaMargarida</t>
  </si>
  <si>
    <t>SantaMariadeItabira</t>
  </si>
  <si>
    <t>SantaMariadoSalto</t>
  </si>
  <si>
    <t>SantaMariadoSuaçuí</t>
  </si>
  <si>
    <t>SantaRitadeCaldas</t>
  </si>
  <si>
    <t>SantaRitadeJacutinga</t>
  </si>
  <si>
    <t>SantaRitadeMinas</t>
  </si>
  <si>
    <t>SantaRitadoIbitipoca</t>
  </si>
  <si>
    <t>SantaRitadoItueto</t>
  </si>
  <si>
    <t>SantaRitadoSapucaí</t>
  </si>
  <si>
    <t>SantaRosadaSerra</t>
  </si>
  <si>
    <t>SantaVitória</t>
  </si>
  <si>
    <t>SantanadaVargem</t>
  </si>
  <si>
    <t>SantanadeCataguases</t>
  </si>
  <si>
    <t>SantanadePirapama</t>
  </si>
  <si>
    <t>SantanadoDeserto</t>
  </si>
  <si>
    <t>SantanadoGarambéu</t>
  </si>
  <si>
    <t>SantanadoJacaré</t>
  </si>
  <si>
    <t>SantanadoManhuaçu</t>
  </si>
  <si>
    <t>SantanadoParaíso</t>
  </si>
  <si>
    <t>SantanadoRiacho</t>
  </si>
  <si>
    <t>SantanadosMontes</t>
  </si>
  <si>
    <t>SantoAntôniodoAmparo</t>
  </si>
  <si>
    <t>SantoAntôniodoAventureiro</t>
  </si>
  <si>
    <t>SantoAntôniodoGrama</t>
  </si>
  <si>
    <t>SantoAntôniodoItambé</t>
  </si>
  <si>
    <t>SantoAntôniodoJacinto</t>
  </si>
  <si>
    <t>SantoAntôniodoMonte</t>
  </si>
  <si>
    <t>SantoAntôniodoRetiro</t>
  </si>
  <si>
    <t>SantoAntôniodoRioAbaixo</t>
  </si>
  <si>
    <t>SantoHipólito</t>
  </si>
  <si>
    <t>SantosDumont</t>
  </si>
  <si>
    <t>SãoBentoAbade</t>
  </si>
  <si>
    <t>SãoBrásdoSuaçuí</t>
  </si>
  <si>
    <t>SãoDomingosdasDores</t>
  </si>
  <si>
    <t>SãoDomingosdoPrata</t>
  </si>
  <si>
    <t>SãoFélixdeMinas</t>
  </si>
  <si>
    <t>SãoFrancisco</t>
  </si>
  <si>
    <t>SãoFranciscodePaula</t>
  </si>
  <si>
    <t>SãoFranciscodeSales</t>
  </si>
  <si>
    <t>SãoFranciscodoGlória</t>
  </si>
  <si>
    <t>SãoGeraldo</t>
  </si>
  <si>
    <t>SãoGeraldodaPiedade</t>
  </si>
  <si>
    <t>SãoGeraldodoBaixio</t>
  </si>
  <si>
    <t>SãoGonçalodoAbaeté</t>
  </si>
  <si>
    <t>SãoGonçalodoPará</t>
  </si>
  <si>
    <t>SãoGonçalodoRioAbaixo</t>
  </si>
  <si>
    <t>SãoGonçalodoRioPreto</t>
  </si>
  <si>
    <t>SãoGonçalodoSapucaí</t>
  </si>
  <si>
    <t>SãoGotardo</t>
  </si>
  <si>
    <t>SãoJoãoBatistadoGlória</t>
  </si>
  <si>
    <t>SãoJoãodaLagoa</t>
  </si>
  <si>
    <t>SãoJoãodaMata</t>
  </si>
  <si>
    <t>SãoJoãodaPonte</t>
  </si>
  <si>
    <t>SãoJoãodasMissões</t>
  </si>
  <si>
    <t>SãoJoãodelRei</t>
  </si>
  <si>
    <t>SãoJoãodoManhuaçu</t>
  </si>
  <si>
    <t>SãoJoãodoManteninha</t>
  </si>
  <si>
    <t>SãoJoãodoOriente</t>
  </si>
  <si>
    <t>SãoJoãodoPacuí</t>
  </si>
  <si>
    <t>SãoJoãoEvangelista</t>
  </si>
  <si>
    <t>SãoJoãoNepomuceno</t>
  </si>
  <si>
    <t>SãoJoaquimdeBicas</t>
  </si>
  <si>
    <t>SãoJosédaBarra</t>
  </si>
  <si>
    <t>SãoJosédaLapa</t>
  </si>
  <si>
    <t>SãoJosédaSafira</t>
  </si>
  <si>
    <t>SãoJosédaVarginha</t>
  </si>
  <si>
    <t>SãoJosédoAlegre</t>
  </si>
  <si>
    <t>SãoJosédoDivino</t>
  </si>
  <si>
    <t>SãoJosédoGoiabal</t>
  </si>
  <si>
    <t>SãoJosédoJacuri</t>
  </si>
  <si>
    <t>SãoJosédoMantimento</t>
  </si>
  <si>
    <t>SãoLourenço</t>
  </si>
  <si>
    <t>SãoMigueldoAnta</t>
  </si>
  <si>
    <t>SãoPedrodaUnião</t>
  </si>
  <si>
    <t>SãoPedrodoSuaçuí</t>
  </si>
  <si>
    <t>SãoPedrodosFerros</t>
  </si>
  <si>
    <t>SãoRomão</t>
  </si>
  <si>
    <t>SãoRoquedeMinas</t>
  </si>
  <si>
    <t>SãoSebastiãodaBelaVista</t>
  </si>
  <si>
    <t>SãoSebastiãodaVargemAlegre</t>
  </si>
  <si>
    <t>SãoSebastiãodoAnta</t>
  </si>
  <si>
    <t>SãoSebastiãodoMaranhão</t>
  </si>
  <si>
    <t>SãoSebastiãodoOeste</t>
  </si>
  <si>
    <t>SãoSebastiãodoParaíso</t>
  </si>
  <si>
    <t>SãoSebastiãodoRioPreto</t>
  </si>
  <si>
    <t>SãoSebastiãodoRioVerde</t>
  </si>
  <si>
    <t>SãoTiago</t>
  </si>
  <si>
    <t>SãoTomásdeAquino</t>
  </si>
  <si>
    <t>SãoTomédasLetras</t>
  </si>
  <si>
    <t>SãoVicentedeMinas</t>
  </si>
  <si>
    <t>SenadorAmaral</t>
  </si>
  <si>
    <t>SenadorCortes</t>
  </si>
  <si>
    <t>SenadorFirmino</t>
  </si>
  <si>
    <t>SenadorJoséBento</t>
  </si>
  <si>
    <t>SenadorModestinoGonçalves</t>
  </si>
  <si>
    <t>SenhoradeOliveira</t>
  </si>
  <si>
    <t>SenhoradoPorto</t>
  </si>
  <si>
    <t>SenhoradosRemédios</t>
  </si>
  <si>
    <t>SerraAzuldeMinas</t>
  </si>
  <si>
    <t>SerradaSaudade</t>
  </si>
  <si>
    <t>SerradoSalitre</t>
  </si>
  <si>
    <t>SerradosAimorés</t>
  </si>
  <si>
    <t>SerranópolisdeMinas</t>
  </si>
  <si>
    <t>SeteLagoas</t>
  </si>
  <si>
    <t>SimãoPereira</t>
  </si>
  <si>
    <t>SoledadedeMinas</t>
  </si>
  <si>
    <t>TaquaraçudeMinas</t>
  </si>
  <si>
    <t>TeófiloOtoni</t>
  </si>
  <si>
    <t>TocosdoMoji</t>
  </si>
  <si>
    <t>TrêsCorações</t>
  </si>
  <si>
    <t>TrêsMarias</t>
  </si>
  <si>
    <t>TrêsPontas</t>
  </si>
  <si>
    <t>UniãodeMinas</t>
  </si>
  <si>
    <t>UruanadeMinas</t>
  </si>
  <si>
    <t>VargemAlegre</t>
  </si>
  <si>
    <t>VargemBonita</t>
  </si>
  <si>
    <t>VargemGrandedoRioPardo</t>
  </si>
  <si>
    <t>VarjãodeMinas</t>
  </si>
  <si>
    <t>VárzeadaPalma</t>
  </si>
  <si>
    <t>VermelhoNovo</t>
  </si>
  <si>
    <t>VirgemdaLapa</t>
  </si>
  <si>
    <t>ViscondedoRioBranco</t>
  </si>
  <si>
    <t>VoltaGrande</t>
  </si>
  <si>
    <t>WenceslauBraz</t>
  </si>
  <si>
    <t>ÁguaClara</t>
  </si>
  <si>
    <t>BRA_MS_Tres.Lagoas.AP.868130_INMET.epw</t>
  </si>
  <si>
    <t>BRA_MS_Amambai.868940_INMET.epw</t>
  </si>
  <si>
    <t>BRA_MS_Miranda.868070_INMET.epw</t>
  </si>
  <si>
    <t>BRA_PR_Diamante.do.Norte.868610_INMET.epw</t>
  </si>
  <si>
    <t>BRA_MS_Ivinhema.868600_INMET.epw</t>
  </si>
  <si>
    <t>AntônioJoão</t>
  </si>
  <si>
    <t>BRA_MS_Ponta.Pora.868570_INMET.epw</t>
  </si>
  <si>
    <t>AparecidadoTaboado</t>
  </si>
  <si>
    <t>AralMoreira</t>
  </si>
  <si>
    <t>BRA_MS_Campo.Grande.Intl.AP.868100_INMET.epw</t>
  </si>
  <si>
    <t>BRA_PR_Paranapoema.868620_INMET.epw</t>
  </si>
  <si>
    <t>BelaVista</t>
  </si>
  <si>
    <t>BRA_MS_Juti.868590_INMET.epw</t>
  </si>
  <si>
    <t>BRA_MS_Corumba.Intl.AP.835520_INMET.epw</t>
  </si>
  <si>
    <t>BRA_MS_Porto.Murtinho.AP.868330_INMET.epw</t>
  </si>
  <si>
    <t>ChapadãodoSul</t>
  </si>
  <si>
    <t>CoronelSapucaia</t>
  </si>
  <si>
    <t>BRA_MS_Nhumirim.867680_INMET.epw</t>
  </si>
  <si>
    <t>CostaRica</t>
  </si>
  <si>
    <t>BRA_MS_Coxim.867700_INMET.epw</t>
  </si>
  <si>
    <t>DoisIrmãosdoBuriti</t>
  </si>
  <si>
    <t>BRA_MS_Sidrolandia.868090_INMET.epw</t>
  </si>
  <si>
    <t>BRA_MS_Dourados.836590_INMET.epw</t>
  </si>
  <si>
    <t>BRA_MS_Sete.Quedas.868950_INMET.epw</t>
  </si>
  <si>
    <t>FátimadoSul</t>
  </si>
  <si>
    <t>GlóriadeDourados</t>
  </si>
  <si>
    <t>GuiaLopesdaLaguna</t>
  </si>
  <si>
    <t>BRA_PR_Icaraima.868970_INMET.epw</t>
  </si>
  <si>
    <t>LagunaCarapã</t>
  </si>
  <si>
    <t>BRA_MS_Rio.Brilhante.868360_INMET.epw</t>
  </si>
  <si>
    <t>BRA_PR_Marechal.Candido.Rondon.869160_INMET.epw</t>
  </si>
  <si>
    <t>NovaAlvoradadoSul</t>
  </si>
  <si>
    <t>NovaAndradina</t>
  </si>
  <si>
    <t>NovoHorizontedoSul</t>
  </si>
  <si>
    <t>PedroGomes</t>
  </si>
  <si>
    <t>PontaPorã</t>
  </si>
  <si>
    <t>PortoMurtinho</t>
  </si>
  <si>
    <t>RibasdoRioPardo</t>
  </si>
  <si>
    <t>RioBrilhante</t>
  </si>
  <si>
    <t>RioNegro</t>
  </si>
  <si>
    <t>RioVerdedeMatoGrosso</t>
  </si>
  <si>
    <t>SantaRitadoPardo</t>
  </si>
  <si>
    <t>SãoGabrieldoOeste</t>
  </si>
  <si>
    <t>SeteQuedas</t>
  </si>
  <si>
    <t>BRA_MT_Itiquira.867480_INMET.epw</t>
  </si>
  <si>
    <t>TrêsLagoas</t>
  </si>
  <si>
    <t>BRA_MT_Cuiaba.867050_INMET.epw</t>
  </si>
  <si>
    <t>AltaFloresta</t>
  </si>
  <si>
    <t>BRA_MT_Carlinda.819780_INMET.epw</t>
  </si>
  <si>
    <t>AltoAraguaia</t>
  </si>
  <si>
    <t>AltoBoaVista</t>
  </si>
  <si>
    <t>BRA_MT_Sao.Felix.do.Araguaia.866280_INMET.epw</t>
  </si>
  <si>
    <t>AltoGarças</t>
  </si>
  <si>
    <t>AltoParaguai</t>
  </si>
  <si>
    <t>BRA_MT_Tangara.da.Serra.866820_INMET.epw</t>
  </si>
  <si>
    <t>AltoTaquari</t>
  </si>
  <si>
    <t>BRA_MT_Apiacas.819760_INMET.epw</t>
  </si>
  <si>
    <t>BRA_MT_Salto.do.Ceu.867030_INMET.epw</t>
  </si>
  <si>
    <t>BarãodeMelgaço</t>
  </si>
  <si>
    <t>BarradoBugres</t>
  </si>
  <si>
    <t>BRA_MT_Porto.Estrela.867040_INMET.epw</t>
  </si>
  <si>
    <t>BarradoGarças</t>
  </si>
  <si>
    <t>BomJesusdoAraguaia</t>
  </si>
  <si>
    <t>BRA_MT_Querencia.866470_INMET.epw</t>
  </si>
  <si>
    <t>BRA_MT_Juara.866250_INMET.epw</t>
  </si>
  <si>
    <t>BRA_MT_Santo.Antonio.do.Leste.866850_INMET.epw</t>
  </si>
  <si>
    <t>CampoNovodoParecis</t>
  </si>
  <si>
    <t>BRA_MT_Campo.Novo.do.Parecis.866620_INMET.epw</t>
  </si>
  <si>
    <t>CampoVerde</t>
  </si>
  <si>
    <t>BRA_MT_Campo.Verde.867070_INMET.epw</t>
  </si>
  <si>
    <t>CamposdeJúlio</t>
  </si>
  <si>
    <t>BRA_MT_Comodoro.866610_INMET.epw</t>
  </si>
  <si>
    <t>CanabravadoNorte</t>
  </si>
  <si>
    <t>BRA_MT_Confresa.866060_INMET.epw</t>
  </si>
  <si>
    <t>BRA_MT_Juina.866240_INMET.epw</t>
  </si>
  <si>
    <t>ChapadadosGuimarães</t>
  </si>
  <si>
    <t>BRA_MT_Sinop.866260_INMET.epw</t>
  </si>
  <si>
    <t>Conquistad'Oeste</t>
  </si>
  <si>
    <t>BRA_MT_Vila.Bela.da.Santissima.Trindade.867010_INMET.epw</t>
  </si>
  <si>
    <t>BRA_MT_Sao.Jose.do.Rio.Claro.866640_INMET.epw</t>
  </si>
  <si>
    <t>DomAquino</t>
  </si>
  <si>
    <t>FelizNatal</t>
  </si>
  <si>
    <t>BRA_MT_Novo.Mundo.866430_INMET.epw</t>
  </si>
  <si>
    <t>Figueirópolisd'Oeste</t>
  </si>
  <si>
    <t>BRA_MT_Pontes.de.Lacerda.867020_INMET.epw</t>
  </si>
  <si>
    <t>GaúchadoNorte</t>
  </si>
  <si>
    <t>BRA_MT_Gaucha.do.Norte.866660_INMET.epw</t>
  </si>
  <si>
    <t>GeneralCarneiro</t>
  </si>
  <si>
    <t>Glóriad'Oeste</t>
  </si>
  <si>
    <t>GuarantãdoNorte</t>
  </si>
  <si>
    <t>BRA_MT_Guaranta.do.Norte.819790_INMET.epw</t>
  </si>
  <si>
    <t>BRA_MT_Guiratinga.867290_INMET.epw</t>
  </si>
  <si>
    <t>IpirangadoNorte</t>
  </si>
  <si>
    <t>BRA_MT_Sorriso.866450_INMET.epw</t>
  </si>
  <si>
    <t>BRA_MT_Nova.Maringa.866630_INMET.epw</t>
  </si>
  <si>
    <t>BRA_MT_Rondonopolis.867280_INMET.epw</t>
  </si>
  <si>
    <t>Lambarid'Oeste</t>
  </si>
  <si>
    <t>LucasdoRioVerde</t>
  </si>
  <si>
    <t>Mirassold'Oeste</t>
  </si>
  <si>
    <t>NossaSenhoradoLivramento</t>
  </si>
  <si>
    <t>NovaBandeirantes</t>
  </si>
  <si>
    <t>NovaBrasilândia</t>
  </si>
  <si>
    <t>NovaCanaãdoNorte</t>
  </si>
  <si>
    <t>NovaGuarita</t>
  </si>
  <si>
    <t>NovaLacerda</t>
  </si>
  <si>
    <t>NovaMarilândia</t>
  </si>
  <si>
    <t>NovaMaringá</t>
  </si>
  <si>
    <t>NovaMonteVerde</t>
  </si>
  <si>
    <t>NovaMutum</t>
  </si>
  <si>
    <t>NovaNazaré</t>
  </si>
  <si>
    <t>NovaOlímpia</t>
  </si>
  <si>
    <t>NovaSantaHelena</t>
  </si>
  <si>
    <t>NovaUbiratã</t>
  </si>
  <si>
    <t>NovaXavantina</t>
  </si>
  <si>
    <t>NovoHorizontedoNorte</t>
  </si>
  <si>
    <t>NovoMundo</t>
  </si>
  <si>
    <t>NovoSantoAntônio</t>
  </si>
  <si>
    <t>NovoSãoJoaquim</t>
  </si>
  <si>
    <t>BRA_MT_Paranatinga.866840_INMET.epw</t>
  </si>
  <si>
    <t>PedraPreta</t>
  </si>
  <si>
    <t>PeixotodeAzevedo</t>
  </si>
  <si>
    <t>PlanaltodaSerra</t>
  </si>
  <si>
    <t>PontaldoAraguaia</t>
  </si>
  <si>
    <t>PonteBranca</t>
  </si>
  <si>
    <t>PonteseLacerda</t>
  </si>
  <si>
    <t>PortoAlegredoNorte</t>
  </si>
  <si>
    <t>PortodosGaúchos</t>
  </si>
  <si>
    <t>PortoEsperidião</t>
  </si>
  <si>
    <t>PortoEstrela</t>
  </si>
  <si>
    <t>PrimaveradoLeste</t>
  </si>
  <si>
    <t>ReservadoCabaçal</t>
  </si>
  <si>
    <t>RibeirãoCascalheira</t>
  </si>
  <si>
    <t>BRA_RO_Cacoal.866220_INMET.epw</t>
  </si>
  <si>
    <t>RosárioOeste</t>
  </si>
  <si>
    <t>SaltodoCéu</t>
  </si>
  <si>
    <t>SantaCarmem</t>
  </si>
  <si>
    <t>SantaCruzdoXingu</t>
  </si>
  <si>
    <t>SantaRitadoTrivelato</t>
  </si>
  <si>
    <t>SantaTerezinha</t>
  </si>
  <si>
    <t>SantoAfonso</t>
  </si>
  <si>
    <t>SantoAntôniodoLeste</t>
  </si>
  <si>
    <t>SantoAntôniodoLeverger</t>
  </si>
  <si>
    <t>SãoFélixdoAraguaia</t>
  </si>
  <si>
    <t>SãoJosédoPovo</t>
  </si>
  <si>
    <t>SãoJosédoRioClaro</t>
  </si>
  <si>
    <t>SãoJosédoXingu</t>
  </si>
  <si>
    <t>SãoJosédosQuatroMarcos</t>
  </si>
  <si>
    <t>SãoPedrodaCipa</t>
  </si>
  <si>
    <t>SerraNovaDourada</t>
  </si>
  <si>
    <t>TangarádaSerra</t>
  </si>
  <si>
    <t>TerraNovadoNorte</t>
  </si>
  <si>
    <t>UniãodoSul</t>
  </si>
  <si>
    <t>ValedeSãoDomingos</t>
  </si>
  <si>
    <t>VárzeaGrande</t>
  </si>
  <si>
    <t>VilaBeladaSantíssimaTrindade</t>
  </si>
  <si>
    <t>VilaRica</t>
  </si>
  <si>
    <t>BRA_PA_Belem.816800_INMET.epw</t>
  </si>
  <si>
    <t>AbelFigueiredo</t>
  </si>
  <si>
    <t>ÁguaAzuldoNorte</t>
  </si>
  <si>
    <t>BRA_PA_Serra.dos.Carajas.818600_INMET.epw</t>
  </si>
  <si>
    <t>BRA_PA_Placas.817370_INMET.epw</t>
  </si>
  <si>
    <t>BRA_PA_Pacaja.817420_INMET.epw</t>
  </si>
  <si>
    <t>BRA_PA_Cameta.817100_INMET.epw</t>
  </si>
  <si>
    <t>AugustoCorrêa</t>
  </si>
  <si>
    <t>AuroradoPará</t>
  </si>
  <si>
    <t>BRA_PA_Tome.Acu.817110_INMET.epw</t>
  </si>
  <si>
    <t>BRA_PA_Itaituba.817780_INMET.epw</t>
  </si>
  <si>
    <t>BomJesusdoTocantins</t>
  </si>
  <si>
    <t>BRA_PA_Maraba.825620_INMET.epw</t>
  </si>
  <si>
    <t>BRA_PA_Castanhal.816820_INMET.epw</t>
  </si>
  <si>
    <t>BrasilNovo</t>
  </si>
  <si>
    <t>BrejoGrandedoAraguaia</t>
  </si>
  <si>
    <t>BRA_TO_Araguatins.818210_INMET.epw</t>
  </si>
  <si>
    <t>BreuBranco</t>
  </si>
  <si>
    <t>BRA_PA_Tucurui.817430_INMET.epw</t>
  </si>
  <si>
    <t>CachoeiradoArari</t>
  </si>
  <si>
    <t>BRA_PA_Soure.821410_INMET.epw</t>
  </si>
  <si>
    <t>CachoeiradoPiriá</t>
  </si>
  <si>
    <t>CanaãdosCarajás</t>
  </si>
  <si>
    <t>CapitãoPoço</t>
  </si>
  <si>
    <t>ConceiçãodoAraguaia</t>
  </si>
  <si>
    <t>BRA_TO_Pedro.Afonso.819410_INMET.epw</t>
  </si>
  <si>
    <t>ConcórdiadoPará</t>
  </si>
  <si>
    <t>CumarudoNorte</t>
  </si>
  <si>
    <t>BRA_PA_Santana.do.Araguaia.819820_INMET.epw</t>
  </si>
  <si>
    <t>BRA_PA_Conceicao.do.Araguaia.819400_INMET.epw</t>
  </si>
  <si>
    <t>BRA_PA_Salinopolis.816600_INMET.epw</t>
  </si>
  <si>
    <t>DomEliseu</t>
  </si>
  <si>
    <t>EldoradodosCarajás</t>
  </si>
  <si>
    <t>FlorestadoAraguaia</t>
  </si>
  <si>
    <t>GarrafãodoNorte</t>
  </si>
  <si>
    <t>GoianésiadoPará</t>
  </si>
  <si>
    <t>IpixunadoPará</t>
  </si>
  <si>
    <t>BRA_PA_Paragominas.817450_INMET.epw</t>
  </si>
  <si>
    <t>BRA_PA_Novo.Repartimento.817840_INMET.epw</t>
  </si>
  <si>
    <t>LimoeirodoAjuru</t>
  </si>
  <si>
    <t>MãedoRio</t>
  </si>
  <si>
    <t>MagalhãesBarata</t>
  </si>
  <si>
    <t>MonteAlegre</t>
  </si>
  <si>
    <t>NovaEsperançadoPiriá</t>
  </si>
  <si>
    <t>NovaIpixuna</t>
  </si>
  <si>
    <t>NovaTimboteua</t>
  </si>
  <si>
    <t>NovoProgresso</t>
  </si>
  <si>
    <t>NovoRepartimento</t>
  </si>
  <si>
    <t>OeirasdoPará</t>
  </si>
  <si>
    <t>OurilândiadoNorte</t>
  </si>
  <si>
    <t>PalestinadoPará</t>
  </si>
  <si>
    <t>Paud'Arco</t>
  </si>
  <si>
    <t>PontadePedras</t>
  </si>
  <si>
    <t>PortodeMoz</t>
  </si>
  <si>
    <t>RioMaria</t>
  </si>
  <si>
    <t>RondondoPará</t>
  </si>
  <si>
    <t>SantaBárbaradoPará</t>
  </si>
  <si>
    <t>SantaCruzdoArari</t>
  </si>
  <si>
    <t>SantaIsabeldoPará</t>
  </si>
  <si>
    <t>SantaLuziadoPará</t>
  </si>
  <si>
    <t>SantaMariadasBarreiras</t>
  </si>
  <si>
    <t>SantaMariadoPará</t>
  </si>
  <si>
    <t>SantanadoAraguaia</t>
  </si>
  <si>
    <t>SantarémNovo</t>
  </si>
  <si>
    <t>SantoAntôniodoTauá</t>
  </si>
  <si>
    <t>SãoCaetanodeOdivelas</t>
  </si>
  <si>
    <t>SãoDomingosdoAraguaia</t>
  </si>
  <si>
    <t>SãoDomingosdoCapim</t>
  </si>
  <si>
    <t>SãoFélixdoXingu</t>
  </si>
  <si>
    <t>SãoFranciscodoPará</t>
  </si>
  <si>
    <t>SãoGeraldodoAraguaia</t>
  </si>
  <si>
    <t>SãoJoãodaPonta</t>
  </si>
  <si>
    <t>SãoJoãodePirabas</t>
  </si>
  <si>
    <t>SãoJoãodoAraguaia</t>
  </si>
  <si>
    <t>SãoMigueldoGuamá</t>
  </si>
  <si>
    <t>SãoSebastiãodaBoaVista</t>
  </si>
  <si>
    <t>SenadorJoséPorfírio</t>
  </si>
  <si>
    <t>TerraAlta</t>
  </si>
  <si>
    <t>TerraSanta</t>
  </si>
  <si>
    <t>VitóriadoXingu</t>
  </si>
  <si>
    <t>BRA_PB_Patos.819130_INMET.epw</t>
  </si>
  <si>
    <t>AlagoaGrande</t>
  </si>
  <si>
    <t>BRA_PB_Areia.818770_INMET.epw</t>
  </si>
  <si>
    <t>AlagoaNova</t>
  </si>
  <si>
    <t>BRA_PE_Surubim.819170_INMET.epw</t>
  </si>
  <si>
    <t>AlgodãodeJandaíra</t>
  </si>
  <si>
    <t>BRA_PB_Joao.Pessoa.819180_INMET.epw</t>
  </si>
  <si>
    <t>BRA_PB_Monteiro.819140_INMET.epw</t>
  </si>
  <si>
    <t>AreiadeBaraúnas</t>
  </si>
  <si>
    <t>BRA_PB_Campina.Grande.819160_INMET.epw</t>
  </si>
  <si>
    <t>BaíadaTraição</t>
  </si>
  <si>
    <t>BRA_PB_Camaratuba.818780_INMET.epw</t>
  </si>
  <si>
    <t>BarradeSantaRosa</t>
  </si>
  <si>
    <t>BarradeSantana</t>
  </si>
  <si>
    <t>BRA_PB_Cabaceiras.819150_INMET.epw</t>
  </si>
  <si>
    <t>BelémdoBrejodoCruz</t>
  </si>
  <si>
    <t>BRA_RN_Caico.818750_INMET.epw</t>
  </si>
  <si>
    <t>BernardinoBatista</t>
  </si>
  <si>
    <t>BoaVentura</t>
  </si>
  <si>
    <t>BRA_PE_Serra.Talhada.819120_INMET.epw</t>
  </si>
  <si>
    <t>BoaVista</t>
  </si>
  <si>
    <t>BomJesus</t>
  </si>
  <si>
    <t>BonitodeSantaFé</t>
  </si>
  <si>
    <t>BrejodoCruz</t>
  </si>
  <si>
    <t>BrejodosSantos</t>
  </si>
  <si>
    <t>CachoeiradosÍndios</t>
  </si>
  <si>
    <t>CacimbadeAreia</t>
  </si>
  <si>
    <t>CacimbadeDentro</t>
  </si>
  <si>
    <t>CaldasBrandão</t>
  </si>
  <si>
    <t>CampinaGrande</t>
  </si>
  <si>
    <t>CampodeSantana</t>
  </si>
  <si>
    <t>CatolédoRocha</t>
  </si>
  <si>
    <t>CruzdoEspíritoSanto</t>
  </si>
  <si>
    <t>CuitédeMamanguape</t>
  </si>
  <si>
    <t>CurraldeCima</t>
  </si>
  <si>
    <t>CurralVelho</t>
  </si>
  <si>
    <t>DonaInês</t>
  </si>
  <si>
    <t>DuasEstradas</t>
  </si>
  <si>
    <t>FreiMartinho</t>
  </si>
  <si>
    <t>GadoBravo</t>
  </si>
  <si>
    <t>JoãoPessoa</t>
  </si>
  <si>
    <t>JuarezTávora</t>
  </si>
  <si>
    <t>JuncodoSeridó</t>
  </si>
  <si>
    <t>LagoadeDentro</t>
  </si>
  <si>
    <t>LagoaSeca</t>
  </si>
  <si>
    <t>Mãed'Água</t>
  </si>
  <si>
    <t>MatoGrosso</t>
  </si>
  <si>
    <t>MonteHorebe</t>
  </si>
  <si>
    <t>NovaFloresta</t>
  </si>
  <si>
    <t>NovaPalmeira</t>
  </si>
  <si>
    <t>Olhod'Água</t>
  </si>
  <si>
    <t>OuroVelho</t>
  </si>
  <si>
    <t>PedraLavrada</t>
  </si>
  <si>
    <t>PedrasdeFogo</t>
  </si>
  <si>
    <t>PedroRégis</t>
  </si>
  <si>
    <t>PoçoDantas</t>
  </si>
  <si>
    <t>PoçodeJosédeMoura</t>
  </si>
  <si>
    <t>PrincesaIsabel</t>
  </si>
  <si>
    <t>RiachãodoBacamarte</t>
  </si>
  <si>
    <t>RiachãodoPoço</t>
  </si>
  <si>
    <t>RiachodeSantoAntônio</t>
  </si>
  <si>
    <t>RiachodosCavalos</t>
  </si>
  <si>
    <t>RioTinto</t>
  </si>
  <si>
    <t>SalgadodeSãoFélix</t>
  </si>
  <si>
    <t>SantaCecília</t>
  </si>
  <si>
    <t>SantaCruz</t>
  </si>
  <si>
    <t>SantanadeMangueira</t>
  </si>
  <si>
    <t>SantanadosGarrotes</t>
  </si>
  <si>
    <t>SantoAndré</t>
  </si>
  <si>
    <t>SãoBentinho</t>
  </si>
  <si>
    <t>SãoDomingosdePombal</t>
  </si>
  <si>
    <t>SãoDomingosdoCariri</t>
  </si>
  <si>
    <t>SãoJoãodoCariri</t>
  </si>
  <si>
    <t>SãoJoãodoRiodoPeixe</t>
  </si>
  <si>
    <t>SãoJoãodoTigre</t>
  </si>
  <si>
    <t>SãoJosédaLagoaTapada</t>
  </si>
  <si>
    <t>SãoJosédeCaiana</t>
  </si>
  <si>
    <t>SãoJosédeEspinharas</t>
  </si>
  <si>
    <t>SãoJosédePiranhas</t>
  </si>
  <si>
    <t>SãoJosédePrincesa</t>
  </si>
  <si>
    <t>SãoJosédoBonfim</t>
  </si>
  <si>
    <t>SãoJosédoBrejodoCruz</t>
  </si>
  <si>
    <t>SãoJosédoSabugi</t>
  </si>
  <si>
    <t>SãoJosédosCordeiros</t>
  </si>
  <si>
    <t>SãoJosédosRamos</t>
  </si>
  <si>
    <t>SãoMamede</t>
  </si>
  <si>
    <t>SãoMigueldeTaipu</t>
  </si>
  <si>
    <t>SãoSebastiãodeLagoadeRoça</t>
  </si>
  <si>
    <t>SãoSebastiãodoUmbuzeiro</t>
  </si>
  <si>
    <t>BRA_PE_Arcoverde.819530_INMET.epw</t>
  </si>
  <si>
    <t>SerraBranca</t>
  </si>
  <si>
    <t>SerradaRaiz</t>
  </si>
  <si>
    <t>SerraGrande</t>
  </si>
  <si>
    <t>SerraRedonda</t>
  </si>
  <si>
    <t>VistaSerrana</t>
  </si>
  <si>
    <t>AbreueLima</t>
  </si>
  <si>
    <t>BRA_PE_Recife.819580_INMET.epw</t>
  </si>
  <si>
    <t>AfogadosdaIngazeira</t>
  </si>
  <si>
    <t>BRA_PI_Paulistana.828820_INMET.epw</t>
  </si>
  <si>
    <t>BRA_PE_Caruaru.828950_INMET.epw</t>
  </si>
  <si>
    <t>ÁguaPreta</t>
  </si>
  <si>
    <t>ÁguasBelas</t>
  </si>
  <si>
    <t>BarradeGuabiraba</t>
  </si>
  <si>
    <t>BelémdeMaria</t>
  </si>
  <si>
    <t>BelémdeSãoFrancisco</t>
  </si>
  <si>
    <t>BeloJardim</t>
  </si>
  <si>
    <t>BomConselho</t>
  </si>
  <si>
    <t>BrejodaMadredeDeus</t>
  </si>
  <si>
    <t>BuenosAires</t>
  </si>
  <si>
    <t>CabodeSantoAgostinho</t>
  </si>
  <si>
    <t>CamocimdeSãoFélix</t>
  </si>
  <si>
    <t>CarnaubeiradaPenha</t>
  </si>
  <si>
    <t>ChãdeAlegria</t>
  </si>
  <si>
    <t>ChãGrande</t>
  </si>
  <si>
    <t>FeiraNova</t>
  </si>
  <si>
    <t>FreiMiguelinho</t>
  </si>
  <si>
    <t>GlóriadoGoitá</t>
  </si>
  <si>
    <t>IlhadeItamaracá</t>
  </si>
  <si>
    <t>JaboatãodosGuararapes</t>
  </si>
  <si>
    <t>JoãoAlfredo</t>
  </si>
  <si>
    <t>JoaquimNabuco</t>
  </si>
  <si>
    <t>LagoadoCarro</t>
  </si>
  <si>
    <t>LagoadoItaenga</t>
  </si>
  <si>
    <t>LagoadoOuro</t>
  </si>
  <si>
    <t>LagoadosGatos</t>
  </si>
  <si>
    <t>NazarédaMata</t>
  </si>
  <si>
    <t>RiachodasAlmas</t>
  </si>
  <si>
    <t>RioFormoso</t>
  </si>
  <si>
    <t>SantaCruzdaBaixaVerde</t>
  </si>
  <si>
    <t>SantaCruzdoCapibaribe</t>
  </si>
  <si>
    <t>SantaFilomena</t>
  </si>
  <si>
    <t>SantaMariadaBoaVista</t>
  </si>
  <si>
    <t>SantaMariadoCambucá</t>
  </si>
  <si>
    <t>SãoBeneditodoSul</t>
  </si>
  <si>
    <t>SãoBentodoUna</t>
  </si>
  <si>
    <t>SãoCaitano</t>
  </si>
  <si>
    <t>SãoJoão</t>
  </si>
  <si>
    <t>SãoJoaquimdoMonte</t>
  </si>
  <si>
    <t>SãoJosédaCoroaGrande</t>
  </si>
  <si>
    <t>SãoJosédoBelmonte</t>
  </si>
  <si>
    <t>SãoJosédoEgito</t>
  </si>
  <si>
    <t>SãoLourençodaMata</t>
  </si>
  <si>
    <t>SerraTalhada</t>
  </si>
  <si>
    <t>TaquaritingadoNorte</t>
  </si>
  <si>
    <t>VertentedoLério</t>
  </si>
  <si>
    <t>VitóriadeSantoAntão</t>
  </si>
  <si>
    <t>AlagoinhadoPiauí</t>
  </si>
  <si>
    <t>BRA_PI_Picos.827910_INMET.epw</t>
  </si>
  <si>
    <t>AlegretedoPiauí</t>
  </si>
  <si>
    <t>AltoLongá</t>
  </si>
  <si>
    <t>AlvoradadoGurguéia</t>
  </si>
  <si>
    <t>BRA_PI_Alvorada.do.Gurgueia.818460_INMET.epw</t>
  </si>
  <si>
    <t>AngicaldoPiauí</t>
  </si>
  <si>
    <t>AnísiodeAbreu</t>
  </si>
  <si>
    <t>AntônioAlmeida</t>
  </si>
  <si>
    <t>BRA_PI_Valenca.do.Piaui.818700_INMET.epw</t>
  </si>
  <si>
    <t>AroeirasdoItaim</t>
  </si>
  <si>
    <t>AssunçãodoPiauí</t>
  </si>
  <si>
    <t>AvelinoLopes</t>
  </si>
  <si>
    <t>BaixaGrandedoRibeiro</t>
  </si>
  <si>
    <t>Barrad'Alcântara</t>
  </si>
  <si>
    <t>BarreirasdoPiauí</t>
  </si>
  <si>
    <t>BRA_PI_Gilbues.819860_INMET.epw</t>
  </si>
  <si>
    <t>BarroDuro</t>
  </si>
  <si>
    <t>BelaVistadoPiauí</t>
  </si>
  <si>
    <t>BRA_PI_Sao.Joao.do.Piaui.818480_INMET.epw</t>
  </si>
  <si>
    <t>BelémdoPiauí</t>
  </si>
  <si>
    <t>BetâniadoPiauí</t>
  </si>
  <si>
    <t>BoaHora</t>
  </si>
  <si>
    <t>BRA_PI_Bom.Jesus.do.Piaui.829750_INMET.epw</t>
  </si>
  <si>
    <t>BomPrincípiodoPiauí</t>
  </si>
  <si>
    <t>BonfimdoPiauí</t>
  </si>
  <si>
    <t>BRA_PI_Sao.Raimundo.Nonato.819890_INMET.epw</t>
  </si>
  <si>
    <t>BoqueirãodoPiauí</t>
  </si>
  <si>
    <t>BrejodoPiauí</t>
  </si>
  <si>
    <t>BuritidosLopes</t>
  </si>
  <si>
    <t>BuritidosMontes</t>
  </si>
  <si>
    <t>CabeceirasdoPiauí</t>
  </si>
  <si>
    <t>CajazeirasdoPiauí</t>
  </si>
  <si>
    <t>BRA_PI_Oeiras.818690_INMET.epw</t>
  </si>
  <si>
    <t>CajueirodaPraia</t>
  </si>
  <si>
    <t>CaldeirãoGrandedoPiauí</t>
  </si>
  <si>
    <t>CampinasdoPiauí</t>
  </si>
  <si>
    <t>CampoAlegredoFidalgo</t>
  </si>
  <si>
    <t>CampoGrandedoPiauí</t>
  </si>
  <si>
    <t>CampoLargodoPiauí</t>
  </si>
  <si>
    <t>CampoMaior</t>
  </si>
  <si>
    <t>CantodoBuriti</t>
  </si>
  <si>
    <t>CapitãodeCampos</t>
  </si>
  <si>
    <t>CapitãoGervásioOliveira</t>
  </si>
  <si>
    <t>CaraúbasdoPiauí</t>
  </si>
  <si>
    <t>CaridadedoPiauí</t>
  </si>
  <si>
    <t>CastelodoPiauí</t>
  </si>
  <si>
    <t>BRA_PI_Castelo.do.Piaui.818290_INMET.epw</t>
  </si>
  <si>
    <t>CocaldeTelha</t>
  </si>
  <si>
    <t>CocaldosAlves</t>
  </si>
  <si>
    <t>ColôniadoGurguéia</t>
  </si>
  <si>
    <t>ColôniadoPiauí</t>
  </si>
  <si>
    <t>ConceiçãodoCanindé</t>
  </si>
  <si>
    <t>CoronelJoséDias</t>
  </si>
  <si>
    <t>CristalândiadoPiauí</t>
  </si>
  <si>
    <t>CristinoCastro</t>
  </si>
  <si>
    <t>CurralNovodoPiauí</t>
  </si>
  <si>
    <t>DemervalLobão</t>
  </si>
  <si>
    <t>DirceuArcoverde</t>
  </si>
  <si>
    <t>DomExpeditoLopes</t>
  </si>
  <si>
    <t>DomInocêncio</t>
  </si>
  <si>
    <t>DomingosMourão</t>
  </si>
  <si>
    <t>ElesbãoVeloso</t>
  </si>
  <si>
    <t>EliseuMartins</t>
  </si>
  <si>
    <t>FarturadoPiauí</t>
  </si>
  <si>
    <t>FloresdoPiauí</t>
  </si>
  <si>
    <t>FlorestadoPiauí</t>
  </si>
  <si>
    <t>FranciscoAyres</t>
  </si>
  <si>
    <t>FranciscoMacedo</t>
  </si>
  <si>
    <t>FranciscoSantos</t>
  </si>
  <si>
    <t>HugoNapoleão</t>
  </si>
  <si>
    <t>IlhaGrande</t>
  </si>
  <si>
    <t>IpirangadoPiauí</t>
  </si>
  <si>
    <t>IsaíasCoelho</t>
  </si>
  <si>
    <t>JacobinadoPiauí</t>
  </si>
  <si>
    <t>JardimdoMulato</t>
  </si>
  <si>
    <t>JatobádoPiauí</t>
  </si>
  <si>
    <t>JoãoCosta</t>
  </si>
  <si>
    <t>JoaquimPires</t>
  </si>
  <si>
    <t>JocaMarques</t>
  </si>
  <si>
    <t>JosédeFreitas</t>
  </si>
  <si>
    <t>JuazeirodoPiauí</t>
  </si>
  <si>
    <t>JúlioBorges</t>
  </si>
  <si>
    <t>LagoaAlegre</t>
  </si>
  <si>
    <t>LagoadeSãoFrancisco</t>
  </si>
  <si>
    <t>LagoadoBarrodoPiauí</t>
  </si>
  <si>
    <t>LagoadoPiauí</t>
  </si>
  <si>
    <t>LagoadoSítio</t>
  </si>
  <si>
    <t>LagoinhadoPiauí</t>
  </si>
  <si>
    <t>LandriSales</t>
  </si>
  <si>
    <t>LuísCorreia</t>
  </si>
  <si>
    <t>ManoelEmídio</t>
  </si>
  <si>
    <t>MarcosParente</t>
  </si>
  <si>
    <t>MassapêdoPiauí</t>
  </si>
  <si>
    <t>MatiasOlímpio</t>
  </si>
  <si>
    <t>MiguelAlves</t>
  </si>
  <si>
    <t>MiguelLeão</t>
  </si>
  <si>
    <t>MiltonBrandão</t>
  </si>
  <si>
    <t>MonsenhorGil</t>
  </si>
  <si>
    <t>MonsenhorHipólito</t>
  </si>
  <si>
    <t>MonteAlegredoPiauí</t>
  </si>
  <si>
    <t>MorroCabeçanoTempo</t>
  </si>
  <si>
    <t>MorrodoChapéudoPiauí</t>
  </si>
  <si>
    <t>MuricidosPortelas</t>
  </si>
  <si>
    <t>NazarédoPiauí</t>
  </si>
  <si>
    <t>NossaSenhoradeNazaré</t>
  </si>
  <si>
    <t>NossaSenhoradosRemédios</t>
  </si>
  <si>
    <t>NovaSantaRita</t>
  </si>
  <si>
    <t>NovoOrientedoPiauí</t>
  </si>
  <si>
    <t>Olhod'ÁguadoPiauí</t>
  </si>
  <si>
    <t>PadreMarcos</t>
  </si>
  <si>
    <t>PaesLandim</t>
  </si>
  <si>
    <t>PajeúdoPiauí</t>
  </si>
  <si>
    <t>PalmeiradoPiauí</t>
  </si>
  <si>
    <t>PassagemFrancadoPiauí</t>
  </si>
  <si>
    <t>PatosdoPiauí</t>
  </si>
  <si>
    <t>Paud'ArcodoPiauí</t>
  </si>
  <si>
    <t>PedroII</t>
  </si>
  <si>
    <t>PedroLaurentino</t>
  </si>
  <si>
    <t>PioIX</t>
  </si>
  <si>
    <t>PortoAlegredoPiauí</t>
  </si>
  <si>
    <t>PratadoPiauí</t>
  </si>
  <si>
    <t>QueimadaNova</t>
  </si>
  <si>
    <t>RedençãodoGurguéia</t>
  </si>
  <si>
    <t>RiachoFrio</t>
  </si>
  <si>
    <t>RibeiradoPiauí</t>
  </si>
  <si>
    <t>RibeiroGonçalves</t>
  </si>
  <si>
    <t>RioGrandedoPiauí</t>
  </si>
  <si>
    <t>SantaCruzdoPiauí</t>
  </si>
  <si>
    <t>SantaCruzdosMilagres</t>
  </si>
  <si>
    <t>SantaLuz</t>
  </si>
  <si>
    <t>SantaRosadoPiauí</t>
  </si>
  <si>
    <t>SantanadoPiauí</t>
  </si>
  <si>
    <t>SantoAntôniodeLisboa</t>
  </si>
  <si>
    <t>SantoAntôniodosMilagres</t>
  </si>
  <si>
    <t>SantoInáciodoPiauí</t>
  </si>
  <si>
    <t>SãoBrazdoPiauí</t>
  </si>
  <si>
    <t>SãoFélixdoPiauí</t>
  </si>
  <si>
    <t>SãoFranciscodeAssisdoPiauí</t>
  </si>
  <si>
    <t>SãoFranciscodoPiauí</t>
  </si>
  <si>
    <t>SãoGonçalodoGurguéia</t>
  </si>
  <si>
    <t>SãoGonçalodoPiauí</t>
  </si>
  <si>
    <t>SãoJoãodaCanabrava</t>
  </si>
  <si>
    <t>SãoJoãodaFronteira</t>
  </si>
  <si>
    <t>SãoJoãodaSerra</t>
  </si>
  <si>
    <t>SãoJoãodaVarjota</t>
  </si>
  <si>
    <t>SãoJoãodoArraial</t>
  </si>
  <si>
    <t>SãoJoãodoPiauí</t>
  </si>
  <si>
    <t>SãoJosédoPeixe</t>
  </si>
  <si>
    <t>SãoJosédoPiauí</t>
  </si>
  <si>
    <t>SãoJulião</t>
  </si>
  <si>
    <t>SãoLourençodoPiauí</t>
  </si>
  <si>
    <t>SãoLuisdoPiauí</t>
  </si>
  <si>
    <t>SãoMigueldaBaixaGrande</t>
  </si>
  <si>
    <t>SãoMigueldoFidalgo</t>
  </si>
  <si>
    <t>SãoMigueldoTapuio</t>
  </si>
  <si>
    <t>SãoPedrodoPiauí</t>
  </si>
  <si>
    <t>SãoRaimundoNonato</t>
  </si>
  <si>
    <t>SebastiãoBarros</t>
  </si>
  <si>
    <t>SebastiãoLeal</t>
  </si>
  <si>
    <t>SigefredoPacheco</t>
  </si>
  <si>
    <t>SimplícioMendes</t>
  </si>
  <si>
    <t>SocorrodoPiauí</t>
  </si>
  <si>
    <t>TamborildoPiauí</t>
  </si>
  <si>
    <t>TanquedoPiauí</t>
  </si>
  <si>
    <t>ValençadoPiauí</t>
  </si>
  <si>
    <t>VárzeaBranca</t>
  </si>
  <si>
    <t>VeraMendes</t>
  </si>
  <si>
    <t>VilaNovadoPiauí</t>
  </si>
  <si>
    <t>WallFerraz</t>
  </si>
  <si>
    <t>BRA_PR_Nova.Fatima.869010_INMET.epw</t>
  </si>
  <si>
    <t>BRA_SP_Itapeva.837740_INMET.epw</t>
  </si>
  <si>
    <t>AgudosdoSul</t>
  </si>
  <si>
    <t>BRA_SC_Rio.Negrinho.869450_INMET.epw</t>
  </si>
  <si>
    <t>AlmiranteTamandaré</t>
  </si>
  <si>
    <t>BRA_PR_Curitiba.838420_INMET.epw</t>
  </si>
  <si>
    <t>AltamiradoParaná</t>
  </si>
  <si>
    <t>BRA_PR_Nova.Tebas.869190_INMET.epw</t>
  </si>
  <si>
    <t>AltoParaíso</t>
  </si>
  <si>
    <t>AltoParaná</t>
  </si>
  <si>
    <t>BRA_PR_Maringa.868990_INMET.epw</t>
  </si>
  <si>
    <t>AltoPiquiri</t>
  </si>
  <si>
    <t>AlvoradadoSul</t>
  </si>
  <si>
    <t>BRA_SP_Rancharia.868640_INMET.epw</t>
  </si>
  <si>
    <t>BRA_PR_Cidade.Gaucha.868980_INMET.epw</t>
  </si>
  <si>
    <t>BRA_PR_Planalto.869260_INMET.epw</t>
  </si>
  <si>
    <t>BRA_SP_Ourinhos.868660_INMET.epw</t>
  </si>
  <si>
    <t>BRA_PR_Ilha.do.Mel.869350_INMET.epw</t>
  </si>
  <si>
    <t>AntônioOlinto</t>
  </si>
  <si>
    <t>BRA_SC_Major.Vieira.869420_INMET.epw</t>
  </si>
  <si>
    <t>BRA_PR_Londrina.837680_INMET.epw</t>
  </si>
  <si>
    <t>BRA_PR_Ibaiti.869020_INMET.epw</t>
  </si>
  <si>
    <t>AriranhadoIvaí</t>
  </si>
  <si>
    <t>AssisChateaubriand</t>
  </si>
  <si>
    <t>BalsaNova</t>
  </si>
  <si>
    <t>BarbosaFerraz</t>
  </si>
  <si>
    <t>BarradoJacaré</t>
  </si>
  <si>
    <t>BRA_SC_Dionisio.Cerqueira.869360_INMET.epw</t>
  </si>
  <si>
    <t>BelaVistadoCaroba</t>
  </si>
  <si>
    <t>BelaVistadoParaíso</t>
  </si>
  <si>
    <t>BRA_PR_General.Carneiro.869410_INMET.epw</t>
  </si>
  <si>
    <t>BoaEsperançadoIguaçu</t>
  </si>
  <si>
    <t>BRA_PR_Dois.Vizinhos.869270_INMET.epw</t>
  </si>
  <si>
    <t>BoaVenturadeSãoRoque</t>
  </si>
  <si>
    <t>BoaVistadaAparecida</t>
  </si>
  <si>
    <t>BocaiúvadoSul</t>
  </si>
  <si>
    <t>BomJesusdoSul</t>
  </si>
  <si>
    <t>BomSucessodoSul</t>
  </si>
  <si>
    <t>BRA_SC_Novo.Horizonte.869380_INMET.epw</t>
  </si>
  <si>
    <t>BrasilândiadoSul</t>
  </si>
  <si>
    <t>CafezaldoSul</t>
  </si>
  <si>
    <t>CampinadaLagoa</t>
  </si>
  <si>
    <t>CampinadoSimão</t>
  </si>
  <si>
    <t>CampinaGrandedoSul</t>
  </si>
  <si>
    <t>CampoBonito</t>
  </si>
  <si>
    <t>CampodoTenente</t>
  </si>
  <si>
    <t>CampoLargo</t>
  </si>
  <si>
    <t>CampoMagro</t>
  </si>
  <si>
    <t>CampoMourão</t>
  </si>
  <si>
    <t>CândidodeAbreu</t>
  </si>
  <si>
    <t>BRA_PR_Clevelandia.869390_INMET.epw</t>
  </si>
  <si>
    <t>CapitãoLeônidasMarques</t>
  </si>
  <si>
    <t>BRA_PR_Castro.869210_INMET.epw</t>
  </si>
  <si>
    <t>BRA_PR_Joaquim.Tavora.869030_INMET.epw</t>
  </si>
  <si>
    <t>CentenáriodoSul</t>
  </si>
  <si>
    <t>CerroAzul</t>
  </si>
  <si>
    <t>CéuAzul</t>
  </si>
  <si>
    <t>CidadeGaúcha</t>
  </si>
  <si>
    <t>ConselheiroMairinck</t>
  </si>
  <si>
    <t>CornélioProcópio</t>
  </si>
  <si>
    <t>CoronelDomingosSoares</t>
  </si>
  <si>
    <t>CoronelVivida</t>
  </si>
  <si>
    <t>CorumbataídoSul</t>
  </si>
  <si>
    <t>CruzMachado</t>
  </si>
  <si>
    <t>CruzeirodoIguaçu</t>
  </si>
  <si>
    <t>CruzeirodoOeste</t>
  </si>
  <si>
    <t>DiamantedoNorte</t>
  </si>
  <si>
    <t>DiamantedoSul</t>
  </si>
  <si>
    <t>Diamanted'Oeste</t>
  </si>
  <si>
    <t>DoisVizinhos</t>
  </si>
  <si>
    <t>DoutorCamargo</t>
  </si>
  <si>
    <t>DoutorUlysses</t>
  </si>
  <si>
    <t>EnéasMarques</t>
  </si>
  <si>
    <t>EngenheiroBeltrão</t>
  </si>
  <si>
    <t>EntreRiosdoOeste</t>
  </si>
  <si>
    <t>EsperançaNova</t>
  </si>
  <si>
    <t>EspigãoAltodoIguaçu</t>
  </si>
  <si>
    <t>FazendaRioGrande</t>
  </si>
  <si>
    <t>FernandesPinheiro</t>
  </si>
  <si>
    <t>BRA_PR_Ivai.869300_INMET.epw</t>
  </si>
  <si>
    <t>FlordaSerradoSul</t>
  </si>
  <si>
    <t>FormosadoOeste</t>
  </si>
  <si>
    <t>FozdoIguaçu</t>
  </si>
  <si>
    <t>BRA_PR_Foz.do.Iguacu-Cataratas.Intl.AP.869250_INMET.epw</t>
  </si>
  <si>
    <t>FozdoJordão</t>
  </si>
  <si>
    <t>FranciscoAlves</t>
  </si>
  <si>
    <t>FranciscoBeltrão</t>
  </si>
  <si>
    <t>GodoyMoreira</t>
  </si>
  <si>
    <t>GrandesRios</t>
  </si>
  <si>
    <t>BRA_PR_Inacio.Martins.869290_INMET.epw</t>
  </si>
  <si>
    <t>BRA_SC_Itapoa.869470_INMET.epw</t>
  </si>
  <si>
    <t>HonórioSerpa</t>
  </si>
  <si>
    <t>InácioMartins</t>
  </si>
  <si>
    <t>IracemadoOeste</t>
  </si>
  <si>
    <t>Itapejarad'Oeste</t>
  </si>
  <si>
    <t>ItaúnadoSul</t>
  </si>
  <si>
    <t>JandaiadoSul</t>
  </si>
  <si>
    <t>JardimAlegre</t>
  </si>
  <si>
    <t>JardimOlinda</t>
  </si>
  <si>
    <t>JoaquimTávora</t>
  </si>
  <si>
    <t>JundiaídoSul</t>
  </si>
  <si>
    <t>LaranjeirasdoSul</t>
  </si>
  <si>
    <t>ManoelRibas</t>
  </si>
  <si>
    <t>MarechalCândidoRondon</t>
  </si>
  <si>
    <t>MariaHelena</t>
  </si>
  <si>
    <t>MarilândiadoSul</t>
  </si>
  <si>
    <t>MatoRico</t>
  </si>
  <si>
    <t>MauádaSerra</t>
  </si>
  <si>
    <t>MoreiraSales</t>
  </si>
  <si>
    <t>MunhozdeMelo</t>
  </si>
  <si>
    <t>NossaSenhoradasGraças</t>
  </si>
  <si>
    <t>NovaAliançadoIvaí</t>
  </si>
  <si>
    <t>NovaAméricadaColina</t>
  </si>
  <si>
    <t>NovaCantu</t>
  </si>
  <si>
    <t>NovaEsperança</t>
  </si>
  <si>
    <t>NovaEsperançadoSudoeste</t>
  </si>
  <si>
    <t>NovaLaranjeiras</t>
  </si>
  <si>
    <t>NovaLondrina</t>
  </si>
  <si>
    <t>NovaPratadoIguaçu</t>
  </si>
  <si>
    <t>NovaSantaBárbara</t>
  </si>
  <si>
    <t>NovaSantaRosa</t>
  </si>
  <si>
    <t>NovaTebas</t>
  </si>
  <si>
    <t>NovoItacolomi</t>
  </si>
  <si>
    <t>OuroVerdedoOeste</t>
  </si>
  <si>
    <t>ParaísodoNorte</t>
  </si>
  <si>
    <t>PatoBragado</t>
  </si>
  <si>
    <t>PatoBranco</t>
  </si>
  <si>
    <t>PaulaFreitas</t>
  </si>
  <si>
    <t>PauloFrontin</t>
  </si>
  <si>
    <t>Pérolad'Oeste</t>
  </si>
  <si>
    <t>PinhaldeSãoBento</t>
  </si>
  <si>
    <t>PiraídoSul</t>
  </si>
  <si>
    <t>PlanaltinadoParaná</t>
  </si>
  <si>
    <t>PontaGrossa</t>
  </si>
  <si>
    <t>PontaldoParaná</t>
  </si>
  <si>
    <t>PortoAmazonas</t>
  </si>
  <si>
    <t>PortoBarreiro</t>
  </si>
  <si>
    <t>PortoRico</t>
  </si>
  <si>
    <t>PortoVitória</t>
  </si>
  <si>
    <t>PradoFerreira</t>
  </si>
  <si>
    <t>PresidenteCasteloBranco</t>
  </si>
  <si>
    <t>PrimeirodeMaio</t>
  </si>
  <si>
    <t>QuartoCentenário</t>
  </si>
  <si>
    <t>QuatroBarras</t>
  </si>
  <si>
    <t>QuatroPontes</t>
  </si>
  <si>
    <t>QuedasdoIguaçu</t>
  </si>
  <si>
    <t>QuerênciadoNorte</t>
  </si>
  <si>
    <t>QuintadoSol</t>
  </si>
  <si>
    <t>RanchoAlegre</t>
  </si>
  <si>
    <t>RanchoAlegred'Oeste</t>
  </si>
  <si>
    <t>ReservadoIguaçu</t>
  </si>
  <si>
    <t>RibeirãoClaro</t>
  </si>
  <si>
    <t>RibeirãodoPinhal</t>
  </si>
  <si>
    <t>RioAzul</t>
  </si>
  <si>
    <t>RioBom</t>
  </si>
  <si>
    <t>RioBonitodoIguaçu</t>
  </si>
  <si>
    <t>RioBrancodoIvaí</t>
  </si>
  <si>
    <t>RioBrancodoSul</t>
  </si>
  <si>
    <t>RosáriodoIvaí</t>
  </si>
  <si>
    <t>SalgadoFilho</t>
  </si>
  <si>
    <t>SaltodoItararé</t>
  </si>
  <si>
    <t>SaltodoLontra</t>
  </si>
  <si>
    <t>SantaAmélia</t>
  </si>
  <si>
    <t>SantaCecíliadoPavão</t>
  </si>
  <si>
    <t>SantaCruzdeMonteCastelo</t>
  </si>
  <si>
    <t>SantaFé</t>
  </si>
  <si>
    <t>SantaIsabeldoIvaí</t>
  </si>
  <si>
    <t>SantaIzabeldoOeste</t>
  </si>
  <si>
    <t>SantaLúcia</t>
  </si>
  <si>
    <t>SantaMariadoOeste</t>
  </si>
  <si>
    <t>SantaMariana</t>
  </si>
  <si>
    <t>SantaMônica</t>
  </si>
  <si>
    <t>SantaTerezadoOeste</t>
  </si>
  <si>
    <t>SantaTerezinhadeItaipu</t>
  </si>
  <si>
    <t>SantanadoItararé</t>
  </si>
  <si>
    <t>SantoAntôniodaPlatina</t>
  </si>
  <si>
    <t>SantoAntôniodoCaiuá</t>
  </si>
  <si>
    <t>SantoAntôniodoParaíso</t>
  </si>
  <si>
    <t>SantoAntôniodoSudoeste</t>
  </si>
  <si>
    <t>SantoInácio</t>
  </si>
  <si>
    <t>SãoCarlosdoIvaí</t>
  </si>
  <si>
    <t>SãoJerônimodaSerra</t>
  </si>
  <si>
    <t>SãoJoãodoCaiuá</t>
  </si>
  <si>
    <t>SãoJoãodoIvaí</t>
  </si>
  <si>
    <t>SãoJoãodoTriunfo</t>
  </si>
  <si>
    <t>SãoJorgedoIvaí</t>
  </si>
  <si>
    <t>SãoJorgedoPatrocínio</t>
  </si>
  <si>
    <t>SãoJorged'Oeste</t>
  </si>
  <si>
    <t>SãoJosédaBoaVista</t>
  </si>
  <si>
    <t>SãoJosédasPalmeiras</t>
  </si>
  <si>
    <t>SãoJosédosPinhais</t>
  </si>
  <si>
    <t>SãoManoeldoParaná</t>
  </si>
  <si>
    <t>SãoMateusdoSul</t>
  </si>
  <si>
    <t>SãoMigueldoIguaçu</t>
  </si>
  <si>
    <t>SãoPedrodoIguaçu</t>
  </si>
  <si>
    <t>SãoPedrodoIvaí</t>
  </si>
  <si>
    <t>SãoPedrodoParaná</t>
  </si>
  <si>
    <t>SãoSebastiãodaAmoreira</t>
  </si>
  <si>
    <t>SãoTomé</t>
  </si>
  <si>
    <t>SaudadedoIguaçu</t>
  </si>
  <si>
    <t>SerranópolisdoIguaçu</t>
  </si>
  <si>
    <t>SiqueiraCampos</t>
  </si>
  <si>
    <t>TeixeiraSoares</t>
  </si>
  <si>
    <t>TelêmacoBorba</t>
  </si>
  <si>
    <t>TerraBoa</t>
  </si>
  <si>
    <t>TerraRica</t>
  </si>
  <si>
    <t>TerraRoxa</t>
  </si>
  <si>
    <t>TijucasdoSul</t>
  </si>
  <si>
    <t>TrêsBarrasdoParaná</t>
  </si>
  <si>
    <t>TunasdoParaná</t>
  </si>
  <si>
    <t>TuneirasdoOeste</t>
  </si>
  <si>
    <t>UniãodaVitória</t>
  </si>
  <si>
    <t>VeraCruzdoOeste</t>
  </si>
  <si>
    <t>AngradosReis</t>
  </si>
  <si>
    <t>BRA_RJ_Paraty.869130_INMET.epw</t>
  </si>
  <si>
    <t>BRA_RJ_Arraial.do.Cabo.868920_INMET.epw</t>
  </si>
  <si>
    <t>ArmaçãodeBúzios</t>
  </si>
  <si>
    <t>Armação de Búzios</t>
  </si>
  <si>
    <t>ArraialdoCabo</t>
  </si>
  <si>
    <t>BarradoPiraí</t>
  </si>
  <si>
    <t>BarraMansa</t>
  </si>
  <si>
    <t>BelfordRoxo</t>
  </si>
  <si>
    <t>BRA_RJ_Rio.de.Janeiro-Vila.Militar.868790_INMET.epw</t>
  </si>
  <si>
    <t>BomJesusdoItabapoana</t>
  </si>
  <si>
    <t>CaboFrio</t>
  </si>
  <si>
    <t>CachoeirasdeMacacu</t>
  </si>
  <si>
    <t>CamposdosGoytacazes</t>
  </si>
  <si>
    <t>BRA_RJ_Campos.dos.Goytacazes.868550_INMET.epw</t>
  </si>
  <si>
    <t>BRA_RJ_Macae.868910_INMET.epw</t>
  </si>
  <si>
    <t>CardosoMoreira</t>
  </si>
  <si>
    <t>CasimirodeAbreu</t>
  </si>
  <si>
    <t>ComendadorLevyGasparian</t>
  </si>
  <si>
    <t>ConceiçãodeMacabu</t>
  </si>
  <si>
    <t>DuasBarras</t>
  </si>
  <si>
    <t>DuquedeCaxias</t>
  </si>
  <si>
    <t>EngenheiroPaulodeFrontin</t>
  </si>
  <si>
    <t>IguabaGrande</t>
  </si>
  <si>
    <t>BRA_RJ_Niteroi.868810_INMET.epw</t>
  </si>
  <si>
    <t>BRA_RJ_Duque.de.Caxias-Xerem.868770_INMET.epw</t>
  </si>
  <si>
    <t>LajedoMuriaé</t>
  </si>
  <si>
    <t>BRA_RJ_Petropolis-Pico.do.Couto.868760_INMET.epw</t>
  </si>
  <si>
    <t>MiguelPereira</t>
  </si>
  <si>
    <t>NovaFriburgo</t>
  </si>
  <si>
    <t>NovaIguaçu</t>
  </si>
  <si>
    <t>ParaíbadoSul</t>
  </si>
  <si>
    <t>Paraty</t>
  </si>
  <si>
    <t>PatydoAlferes</t>
  </si>
  <si>
    <t>PortoReal</t>
  </si>
  <si>
    <t>BRA_RJ_Farol.de.Sao.Tome.868900_INMET.epw</t>
  </si>
  <si>
    <t>RioBonito</t>
  </si>
  <si>
    <t>RioClaro</t>
  </si>
  <si>
    <t>RiodasFlores</t>
  </si>
  <si>
    <t>RiodasOstras</t>
  </si>
  <si>
    <t>RiodeJaneiro</t>
  </si>
  <si>
    <t>SantaMariaMadalena</t>
  </si>
  <si>
    <t>SantoAntôniodePádua</t>
  </si>
  <si>
    <t>SãoFidélis</t>
  </si>
  <si>
    <t>SãoFranciscodeItabapoana</t>
  </si>
  <si>
    <t>SãoGonçalo</t>
  </si>
  <si>
    <t>SãoJoãodaBarra</t>
  </si>
  <si>
    <t>SãoJoãodeMeriti</t>
  </si>
  <si>
    <t>SãoJosédeUbá</t>
  </si>
  <si>
    <t>SãoJosédoValedoRioPreto</t>
  </si>
  <si>
    <t>SãoPedrodaAldeia</t>
  </si>
  <si>
    <t>SãoSebastiãodoAlto</t>
  </si>
  <si>
    <t>SilvaJardim</t>
  </si>
  <si>
    <t>TrajanodeMorais</t>
  </si>
  <si>
    <t>TrêsRios</t>
  </si>
  <si>
    <t>VoltaRedonda</t>
  </si>
  <si>
    <t>BRA_RN_Macau.818360_INMET.epw</t>
  </si>
  <si>
    <t>AfonsoBezerra</t>
  </si>
  <si>
    <t>ÁguaNova</t>
  </si>
  <si>
    <t>AlminoAfonso</t>
  </si>
  <si>
    <t>BRA_RN_Apodi.818350_INMET.epw</t>
  </si>
  <si>
    <t>AltodoRodrigues</t>
  </si>
  <si>
    <t>AntônioMartins</t>
  </si>
  <si>
    <t>AreiaBranca</t>
  </si>
  <si>
    <t>BRA_RN_Mossoro.818340_INMET.epw</t>
  </si>
  <si>
    <t>BRA_RN_Natal.818390_INMET.epw</t>
  </si>
  <si>
    <t>AugustoSevero</t>
  </si>
  <si>
    <t>BaíaFormosa</t>
  </si>
  <si>
    <t>BentoFernandes</t>
  </si>
  <si>
    <t>CaiçaradoNorte</t>
  </si>
  <si>
    <t>CaiçaradoRiodoVento</t>
  </si>
  <si>
    <t>CampoRedondo</t>
  </si>
  <si>
    <t>CarnaúbadosDantas</t>
  </si>
  <si>
    <t>CerroCorá</t>
  </si>
  <si>
    <t>CoronelEzequiel</t>
  </si>
  <si>
    <t>CoronelJoãoPessoa</t>
  </si>
  <si>
    <t>CurraisNovos</t>
  </si>
  <si>
    <t>DoutorSeveriano</t>
  </si>
  <si>
    <t>EspíritoSanto</t>
  </si>
  <si>
    <t>FelipeGuerra</t>
  </si>
  <si>
    <t>FernandoPedroza</t>
  </si>
  <si>
    <t>FranciscoDantas</t>
  </si>
  <si>
    <t>FrutuosoGomes</t>
  </si>
  <si>
    <t>GovernadorDix-SeptRosado</t>
  </si>
  <si>
    <t>IelmoMarinho</t>
  </si>
  <si>
    <t>JanuárioCicco</t>
  </si>
  <si>
    <t>JardimdeAngicos</t>
  </si>
  <si>
    <t>BRA_RN_Touros.818380_INMET.epw</t>
  </si>
  <si>
    <t>JardimdePiranhas</t>
  </si>
  <si>
    <t>JardimdoSeridó</t>
  </si>
  <si>
    <t>JoãoCâmara</t>
  </si>
  <si>
    <t>JoãoDias</t>
  </si>
  <si>
    <t>JosédaPenha</t>
  </si>
  <si>
    <t>Lagoad'Anta</t>
  </si>
  <si>
    <t>LagoadePedras</t>
  </si>
  <si>
    <t>LagoadeVelhos</t>
  </si>
  <si>
    <t>LagoaNova</t>
  </si>
  <si>
    <t>LagoaSalgada</t>
  </si>
  <si>
    <t>LajesPintadas</t>
  </si>
  <si>
    <t>LuísGomes</t>
  </si>
  <si>
    <t>MajorSales</t>
  </si>
  <si>
    <t>MarcelinoVieira</t>
  </si>
  <si>
    <t>MessiasTargino</t>
  </si>
  <si>
    <t>MontedasGameleiras</t>
  </si>
  <si>
    <t>NísiaFloresta</t>
  </si>
  <si>
    <t>NovaCruz</t>
  </si>
  <si>
    <t>Olho-d'ÁguadoBorges</t>
  </si>
  <si>
    <t>PassaeFica</t>
  </si>
  <si>
    <t>PaudosFerros</t>
  </si>
  <si>
    <t>PedraGrande</t>
  </si>
  <si>
    <t>PedroAvelino</t>
  </si>
  <si>
    <t>PedroVelho</t>
  </si>
  <si>
    <t>PoçoBranco</t>
  </si>
  <si>
    <t>PortodoMangue</t>
  </si>
  <si>
    <t>RafaelFernandes</t>
  </si>
  <si>
    <t>RafaelGodeiro</t>
  </si>
  <si>
    <t>RiachodaCruz</t>
  </si>
  <si>
    <t>RiodoFogo</t>
  </si>
  <si>
    <t>RodolfoFernandes</t>
  </si>
  <si>
    <t>SantaMaria</t>
  </si>
  <si>
    <t>SantanadoMatos</t>
  </si>
  <si>
    <t>SantanadoSeridó</t>
  </si>
  <si>
    <t>SantoAntônio</t>
  </si>
  <si>
    <t>SãoBentodoNorte</t>
  </si>
  <si>
    <t>SãoBentodoTrairí</t>
  </si>
  <si>
    <t>SãoFernando</t>
  </si>
  <si>
    <t>SãoFranciscodoOeste</t>
  </si>
  <si>
    <t>SãoJoãodoSabugi</t>
  </si>
  <si>
    <t>SãoJosédeMipibu</t>
  </si>
  <si>
    <t>SãoJosédoCampestre</t>
  </si>
  <si>
    <t>SãoJosédoSeridó</t>
  </si>
  <si>
    <t>SãoMiguel</t>
  </si>
  <si>
    <t>SãoMigueldoGostoso</t>
  </si>
  <si>
    <t>SãoPaulodoPotengi</t>
  </si>
  <si>
    <t>SãoPedro</t>
  </si>
  <si>
    <t>SãoRafael</t>
  </si>
  <si>
    <t>SãoVicente</t>
  </si>
  <si>
    <t>SenadorElóideSouza</t>
  </si>
  <si>
    <t>SenadorGeorginoAvelino</t>
  </si>
  <si>
    <t>SerradeSãoBento</t>
  </si>
  <si>
    <t>SerradoMel</t>
  </si>
  <si>
    <t>SerraNegradoNorte</t>
  </si>
  <si>
    <t>SerrinhadosPintos</t>
  </si>
  <si>
    <t>SeverianoMelo</t>
  </si>
  <si>
    <t>TaboleiroGrande</t>
  </si>
  <si>
    <t>TenenteAnanias</t>
  </si>
  <si>
    <t>TenenteLaurentinoCruz</t>
  </si>
  <si>
    <t>TibaudoSul</t>
  </si>
  <si>
    <t>TimbaúbadosBatistas</t>
  </si>
  <si>
    <t>TriunfoPotiguar</t>
  </si>
  <si>
    <t>VilaFlor</t>
  </si>
  <si>
    <t>AltaFlorestad'Oeste</t>
  </si>
  <si>
    <t>AltoAlegredosParecis</t>
  </si>
  <si>
    <t>BRA_RO_Ariquemes.819700_INMET.epw</t>
  </si>
  <si>
    <t>Alvoradad'Oeste</t>
  </si>
  <si>
    <t>CampoNovodeRondônia</t>
  </si>
  <si>
    <t>CandeiasdoJamari</t>
  </si>
  <si>
    <t>BRA_RO_Vilhena.866420_INMET.epw</t>
  </si>
  <si>
    <t>ColoradodoOeste</t>
  </si>
  <si>
    <t>CostaMarques</t>
  </si>
  <si>
    <t>Espigãod'Oeste</t>
  </si>
  <si>
    <t>GovernadorJorgeTeixeira</t>
  </si>
  <si>
    <t>ItapuãdoOeste</t>
  </si>
  <si>
    <t>Machadinhod'Oeste</t>
  </si>
  <si>
    <t>MinistroAndreazza</t>
  </si>
  <si>
    <t>MirantedaSerra</t>
  </si>
  <si>
    <t>MonteNegro</t>
  </si>
  <si>
    <t>NovaBrasilândiad'Oeste</t>
  </si>
  <si>
    <t>NovaMamoré</t>
  </si>
  <si>
    <t>NovoHorizontedoOeste</t>
  </si>
  <si>
    <t>OuroPretodoOeste</t>
  </si>
  <si>
    <t>PimentaBueno</t>
  </si>
  <si>
    <t>PimenteirasdoOeste</t>
  </si>
  <si>
    <t>PortoVelho</t>
  </si>
  <si>
    <t>PrimaveradeRondônia</t>
  </si>
  <si>
    <t>RioCrespo</t>
  </si>
  <si>
    <t>RolimdeMoura</t>
  </si>
  <si>
    <t>SantaLuziad'Oeste</t>
  </si>
  <si>
    <t>SãoFeliped'Oeste</t>
  </si>
  <si>
    <t>SãoFranciscodoGuaporé</t>
  </si>
  <si>
    <t>SãoMigueldoGuaporé</t>
  </si>
  <si>
    <t>ValedoAnari</t>
  </si>
  <si>
    <t>ValedoParaíso</t>
  </si>
  <si>
    <t>AltoAlegre</t>
  </si>
  <si>
    <t>BRA_RR_Boa.Vista.816150_INMET.epw</t>
  </si>
  <si>
    <t>SãoJoãodaBaliza</t>
  </si>
  <si>
    <t>SãoLuiz</t>
  </si>
  <si>
    <t>BRA_RS_Bage.839800_INMET.epw</t>
  </si>
  <si>
    <t>ÁguaSanta</t>
  </si>
  <si>
    <t>BRA_RS_Passo.Fundo.869630_INMET.epw</t>
  </si>
  <si>
    <t>BRA_RS_Santa.Maria.839360_INMET.epw</t>
  </si>
  <si>
    <t>BRA_RS_Santo.Augusto.869520_INMET.epw</t>
  </si>
  <si>
    <t>BRA_RS_Sao.Luiz.Gonzaga.869610_INMET.epw</t>
  </si>
  <si>
    <t>BRA_RS_Alegrete.869750_INMET.epw</t>
  </si>
  <si>
    <t>AlmiranteTamandarédoSul</t>
  </si>
  <si>
    <t>BRA_RS_Palmeira.das.Missoes.869530_INMET.epw</t>
  </si>
  <si>
    <t>BRA_RS_Frederico.Westphalen.869510_INMET.epw</t>
  </si>
  <si>
    <t>BRA_RS_Soledade.869640_INMET.epw</t>
  </si>
  <si>
    <t>AltoFeliz</t>
  </si>
  <si>
    <t>BRA_RS_Bento.Goncalves.869790_INMET.epw</t>
  </si>
  <si>
    <t>BRA_RS_Porto.Alegre.869880_INMET.epw</t>
  </si>
  <si>
    <t>AmaralFerrador</t>
  </si>
  <si>
    <t>BRA_RS_Camaqua.869890_INMET.epw</t>
  </si>
  <si>
    <t>AmetistadoSul</t>
  </si>
  <si>
    <t>AndrédaRocha</t>
  </si>
  <si>
    <t>BRA_RS_Lagoa.Vermelha.869650_INMET.epw</t>
  </si>
  <si>
    <t>AntaGorda</t>
  </si>
  <si>
    <t>AntônioPrado</t>
  </si>
  <si>
    <t>BRA_RS_Canela.AP.869800_INMET.epw</t>
  </si>
  <si>
    <t>BRA_RS_Erechim.869540_INMET.epw</t>
  </si>
  <si>
    <t>ArroiodoMeio</t>
  </si>
  <si>
    <t>ArroiodoPadre</t>
  </si>
  <si>
    <t>BRA_RS_Cangucu.869930_INMET.epw</t>
  </si>
  <si>
    <t>ArroiodoSal</t>
  </si>
  <si>
    <t>BRA_RS_Torres.869810_INMET.epw</t>
  </si>
  <si>
    <t>ArroiodoTigre</t>
  </si>
  <si>
    <t>ArroiodosRatos</t>
  </si>
  <si>
    <t>ArroioGrande</t>
  </si>
  <si>
    <t>BRA_RS_Jaguarao.869960_INMET.epw</t>
  </si>
  <si>
    <t>AugustoPestana</t>
  </si>
  <si>
    <t>BRA_RS_Cruz.Alta.839120_INMET.epw</t>
  </si>
  <si>
    <t>BalneárioPinhal</t>
  </si>
  <si>
    <t>BRA_RS_Tramandai.869900_INMET.epw</t>
  </si>
  <si>
    <t>BarãodeCotegipe</t>
  </si>
  <si>
    <t>BarãodoTriunfo</t>
  </si>
  <si>
    <t>BarradoGuarita</t>
  </si>
  <si>
    <t>BarradoQuaraí</t>
  </si>
  <si>
    <t>BRA_RS_Uruguaiana.869730_INMET.epw</t>
  </si>
  <si>
    <t>BarradoRibeiro</t>
  </si>
  <si>
    <t>BarradoRioAzul</t>
  </si>
  <si>
    <t>BarraFunda</t>
  </si>
  <si>
    <t>BRA_SC_Joacaba-Santa.Terezinha.Muni.AP.869550_INMET.epw</t>
  </si>
  <si>
    <t>BarrosCassal</t>
  </si>
  <si>
    <t>BenjaminConstantdoSul</t>
  </si>
  <si>
    <t>BentoGonçalves</t>
  </si>
  <si>
    <t>BoaVistadasMissões</t>
  </si>
  <si>
    <t>BoaVistadoBuricá</t>
  </si>
  <si>
    <t>BoaVistadoCadeado</t>
  </si>
  <si>
    <t>BoaVistadoIncra</t>
  </si>
  <si>
    <t>BoaVistadoSul</t>
  </si>
  <si>
    <t>BRA_RS_Sao.Jose.dos.Ausentes.869670_INMET.epw</t>
  </si>
  <si>
    <t>BomPrincípio</t>
  </si>
  <si>
    <t>BomProgresso</t>
  </si>
  <si>
    <t>BomRetirodoSul</t>
  </si>
  <si>
    <t>BRA_RS_Rio.Pardo.869780_INMET.epw</t>
  </si>
  <si>
    <t>BoqueirãodoLeão</t>
  </si>
  <si>
    <t>CaçapavadoSul</t>
  </si>
  <si>
    <t>BRA_RS_Cacapava.do.Sul.869860_INMET.epw</t>
  </si>
  <si>
    <t>BRA_RS_Sao.Gabriel.869840_INMET.epw</t>
  </si>
  <si>
    <t>CachoeiradoSul</t>
  </si>
  <si>
    <t>CaciqueDoble</t>
  </si>
  <si>
    <t>CambarádoSul</t>
  </si>
  <si>
    <t>CampestredaSerra</t>
  </si>
  <si>
    <t>BRA_RS_Vacaria.869660_INMET.epw</t>
  </si>
  <si>
    <t>CampinadasMissões</t>
  </si>
  <si>
    <t>CampinasdoSul</t>
  </si>
  <si>
    <t>CampoBom</t>
  </si>
  <si>
    <t>CampoNovo</t>
  </si>
  <si>
    <t>CamposBorges</t>
  </si>
  <si>
    <t>CândidoGodói</t>
  </si>
  <si>
    <t>CanudosdoVale</t>
  </si>
  <si>
    <t>CapãoBonitodoSul</t>
  </si>
  <si>
    <t>CapãodaCanoa</t>
  </si>
  <si>
    <t>CapãodoCipó</t>
  </si>
  <si>
    <t>BRA_RS_Santiago.869760_INMET.epw</t>
  </si>
  <si>
    <t>CapãodoLeão</t>
  </si>
  <si>
    <t>CapeladeSantana</t>
  </si>
  <si>
    <t>CapivaridoSul</t>
  </si>
  <si>
    <t>CarlosBarbosa</t>
  </si>
  <si>
    <t>CarlosGomes</t>
  </si>
  <si>
    <t>CaxiasdoSul</t>
  </si>
  <si>
    <t>CerroBranco</t>
  </si>
  <si>
    <t>CerroGrande</t>
  </si>
  <si>
    <t>CerroGrandedoSul</t>
  </si>
  <si>
    <t>CerroLargo</t>
  </si>
  <si>
    <t>BRA_RS_Chui.869980_INMET.epw</t>
  </si>
  <si>
    <t>CoqueiroBaixo</t>
  </si>
  <si>
    <t>CoqueirosdoSul</t>
  </si>
  <si>
    <t>CoronelBarros</t>
  </si>
  <si>
    <t>CoronelBicaco</t>
  </si>
  <si>
    <t>CoronelPilar</t>
  </si>
  <si>
    <t>CristaldoSul</t>
  </si>
  <si>
    <t>CruzAlta</t>
  </si>
  <si>
    <t>DavidCanabarro</t>
  </si>
  <si>
    <t>DezesseisdeNovembro</t>
  </si>
  <si>
    <t>DilermandodeAguiar</t>
  </si>
  <si>
    <t>DoisIrmãos</t>
  </si>
  <si>
    <t>DoisIrmãosdasMissões</t>
  </si>
  <si>
    <t>DoisLajeados</t>
  </si>
  <si>
    <t>DomFeliciano</t>
  </si>
  <si>
    <t>DomPedrito</t>
  </si>
  <si>
    <t>DomPedrodeAlcântara</t>
  </si>
  <si>
    <t>DonaFrancisca</t>
  </si>
  <si>
    <t>DoutorMaurícioCardoso</t>
  </si>
  <si>
    <t>DoutorRicardo</t>
  </si>
  <si>
    <t>EldoradodoSul</t>
  </si>
  <si>
    <t>EncruzilhadadoSul</t>
  </si>
  <si>
    <t>EngenhoVelho</t>
  </si>
  <si>
    <t>EntreRiosdoSul</t>
  </si>
  <si>
    <t>ErvalGrande</t>
  </si>
  <si>
    <t>ErvalSeco</t>
  </si>
  <si>
    <t>EsperançadoSul</t>
  </si>
  <si>
    <t>EstânciaVelha</t>
  </si>
  <si>
    <t>EstrelaVelha</t>
  </si>
  <si>
    <t>EugêniodeCastro</t>
  </si>
  <si>
    <t>FagundesVarela</t>
  </si>
  <si>
    <t>FaxinaldoSoturno</t>
  </si>
  <si>
    <t>FazendaVilanova</t>
  </si>
  <si>
    <t>FloresdaCunha</t>
  </si>
  <si>
    <t>FlorianoPeixoto</t>
  </si>
  <si>
    <t>FontouraXavier</t>
  </si>
  <si>
    <t>FortalezadosValos</t>
  </si>
  <si>
    <t>FredericoWestphalen</t>
  </si>
  <si>
    <t>BRA_RS_Sao.Borja.869600_INMET.epw</t>
  </si>
  <si>
    <t>GeneralCâmara</t>
  </si>
  <si>
    <t>GetúlioVargas</t>
  </si>
  <si>
    <t>GramadodosLoureiros</t>
  </si>
  <si>
    <t>GramadoXavier</t>
  </si>
  <si>
    <t>GuaranidasMissões</t>
  </si>
  <si>
    <t>HulhaNegra</t>
  </si>
  <si>
    <t>IpirangadoSul</t>
  </si>
  <si>
    <t>ItatibadoSul</t>
  </si>
  <si>
    <t>JúliodeCastilhos</t>
  </si>
  <si>
    <t>LagoaBonitadoSul</t>
  </si>
  <si>
    <t>LagoadosTrêsCantos</t>
  </si>
  <si>
    <t>LagoaVermelha</t>
  </si>
  <si>
    <t>LajeadodoBugre</t>
  </si>
  <si>
    <t>LavrasdoSul</t>
  </si>
  <si>
    <t>LiberatoSalzano</t>
  </si>
  <si>
    <t>LindolfoCollor</t>
  </si>
  <si>
    <t>LinhaNova</t>
  </si>
  <si>
    <t>ManoelViana</t>
  </si>
  <si>
    <t>MarcelinoRamos</t>
  </si>
  <si>
    <t>MarianaPimentel</t>
  </si>
  <si>
    <t>MarianoMoro</t>
  </si>
  <si>
    <t>MarquesdeSouza</t>
  </si>
  <si>
    <t>MatoCastelhano</t>
  </si>
  <si>
    <t>MatoLeitão</t>
  </si>
  <si>
    <t>MatoQueimado</t>
  </si>
  <si>
    <t>MaximilianodeAlmeida</t>
  </si>
  <si>
    <t>MinasdoLeão</t>
  </si>
  <si>
    <t>MonteAlegredosCampos</t>
  </si>
  <si>
    <t>MonteBelodoSul</t>
  </si>
  <si>
    <t>MorrinhosdoSul</t>
  </si>
  <si>
    <t>MorroRedondo</t>
  </si>
  <si>
    <t>MorroReuter</t>
  </si>
  <si>
    <t>BRA_RS_Mostardas.839700_INMET.epw</t>
  </si>
  <si>
    <t>MuitosCapões</t>
  </si>
  <si>
    <t>NicolauVergueiro</t>
  </si>
  <si>
    <t>NovaAlvorada</t>
  </si>
  <si>
    <t>NovaAraçá</t>
  </si>
  <si>
    <t>NovaBassano</t>
  </si>
  <si>
    <t>NovaBoaVista</t>
  </si>
  <si>
    <t>NovaBréscia</t>
  </si>
  <si>
    <t>NovaCandelária</t>
  </si>
  <si>
    <t>NovaEsperançadoSul</t>
  </si>
  <si>
    <t>NovaHartz</t>
  </si>
  <si>
    <t>NovaPádua</t>
  </si>
  <si>
    <t>NovaPalma</t>
  </si>
  <si>
    <t>NovaPetrópolis</t>
  </si>
  <si>
    <t>NovaPrata</t>
  </si>
  <si>
    <t>NovaRamada</t>
  </si>
  <si>
    <t>NovaRomadoSul</t>
  </si>
  <si>
    <t>NovoBarreiro</t>
  </si>
  <si>
    <t>NovoCabrais</t>
  </si>
  <si>
    <t>NovoHamburgo</t>
  </si>
  <si>
    <t>NovoMachado</t>
  </si>
  <si>
    <t>NovoTiradentes</t>
  </si>
  <si>
    <t>NovoXingu</t>
  </si>
  <si>
    <t>PaimFilho</t>
  </si>
  <si>
    <t>PalmaresdoSul</t>
  </si>
  <si>
    <t>PalmeiradasMissões</t>
  </si>
  <si>
    <t>PântanoGrande</t>
  </si>
  <si>
    <t>ParaísodoSul</t>
  </si>
  <si>
    <t>PareciNovo</t>
  </si>
  <si>
    <t>PassaSete</t>
  </si>
  <si>
    <t>PassodoSobrado</t>
  </si>
  <si>
    <t>PassoFundo</t>
  </si>
  <si>
    <t>PauloBento</t>
  </si>
  <si>
    <t>PedrasAltas</t>
  </si>
  <si>
    <t>PedroOsório</t>
  </si>
  <si>
    <t>PicadaCafé</t>
  </si>
  <si>
    <t>PinhaldaSerra</t>
  </si>
  <si>
    <t>PinhalGrande</t>
  </si>
  <si>
    <t>PinheirinhodoVale</t>
  </si>
  <si>
    <t>PinheiroMachado</t>
  </si>
  <si>
    <t>PoçodasAntas</t>
  </si>
  <si>
    <t>PontePreta</t>
  </si>
  <si>
    <t>PortoAlegre</t>
  </si>
  <si>
    <t>PortoLucena</t>
  </si>
  <si>
    <t>PortoMauá</t>
  </si>
  <si>
    <t>PortoVeraCruz</t>
  </si>
  <si>
    <t>PortoXavier</t>
  </si>
  <si>
    <t>PousoNovo</t>
  </si>
  <si>
    <t>PresidenteLucena</t>
  </si>
  <si>
    <t>ProtásioAlves</t>
  </si>
  <si>
    <t>BRA_RS_Quarai.869820_INMET.epw</t>
  </si>
  <si>
    <t>QuatroIrmãos</t>
  </si>
  <si>
    <t>QuinzedeNovembro</t>
  </si>
  <si>
    <t>RestingaSeca</t>
  </si>
  <si>
    <t>RiodosÍndios</t>
  </si>
  <si>
    <t>RioGrande</t>
  </si>
  <si>
    <t>RioPardo</t>
  </si>
  <si>
    <t>RocaSales</t>
  </si>
  <si>
    <t>RodeioBonito</t>
  </si>
  <si>
    <t>RondaAlta</t>
  </si>
  <si>
    <t>RoqueGonzales</t>
  </si>
  <si>
    <t>RosáriodoSul</t>
  </si>
  <si>
    <t>SagradaFamília</t>
  </si>
  <si>
    <t>SaldanhaMarinho</t>
  </si>
  <si>
    <t>SaltodoJacuí</t>
  </si>
  <si>
    <t>SalvadordasMissões</t>
  </si>
  <si>
    <t>SalvadordoSul</t>
  </si>
  <si>
    <t>SantaBárbaradoSul</t>
  </si>
  <si>
    <t>SantaCecíliadoSul</t>
  </si>
  <si>
    <t>SantaClaradoSul</t>
  </si>
  <si>
    <t>SantaCruzdoSul</t>
  </si>
  <si>
    <t>SantaMargaridadoSul</t>
  </si>
  <si>
    <t>SantaMariadoHerval</t>
  </si>
  <si>
    <t>SantaRosa</t>
  </si>
  <si>
    <t>SantaTereza</t>
  </si>
  <si>
    <t>SantaVitóriadoPalmar</t>
  </si>
  <si>
    <t>SantanadaBoaVista</t>
  </si>
  <si>
    <t>SantanadoLivramento</t>
  </si>
  <si>
    <t>Sant'Ana do Livramento</t>
  </si>
  <si>
    <t>BRA_RS_Santana.do.Livramento.839530_INMET.epw</t>
  </si>
  <si>
    <t>SantoÂngelo</t>
  </si>
  <si>
    <t>SantoAntôniodaPatrulha</t>
  </si>
  <si>
    <t>SantoAntôniodasMissões</t>
  </si>
  <si>
    <t>SantoAntôniodoPalma</t>
  </si>
  <si>
    <t>SantoAntôniodoPlanalto</t>
  </si>
  <si>
    <t>SantoAugusto</t>
  </si>
  <si>
    <t>SantoCristo</t>
  </si>
  <si>
    <t>SantoExpeditodoSul</t>
  </si>
  <si>
    <t>SãoBorja</t>
  </si>
  <si>
    <t>SãoDomingosdoSul</t>
  </si>
  <si>
    <t>SãoFranciscodeAssis</t>
  </si>
  <si>
    <t>SãoJerônimo</t>
  </si>
  <si>
    <t>SãoJoãodaUrtiga</t>
  </si>
  <si>
    <t>SãoJoãodoPolêsine</t>
  </si>
  <si>
    <t>SãoJorge</t>
  </si>
  <si>
    <t>SãoJosédasMissões</t>
  </si>
  <si>
    <t>SãoJosédoHerval</t>
  </si>
  <si>
    <t>SãoJosédoHortêncio</t>
  </si>
  <si>
    <t>SãoJosédoInhacorá</t>
  </si>
  <si>
    <t>SãoJosédoNorte</t>
  </si>
  <si>
    <t>SãoJosédoOuro</t>
  </si>
  <si>
    <t>SãoJosédoSul</t>
  </si>
  <si>
    <t>SãoJosédosAusentes</t>
  </si>
  <si>
    <t>SãoLeopoldo</t>
  </si>
  <si>
    <t>SãoLourençodoSul</t>
  </si>
  <si>
    <t>SãoLuizGonzaga</t>
  </si>
  <si>
    <t>SãoMarcos</t>
  </si>
  <si>
    <t>SãoMartinho</t>
  </si>
  <si>
    <t>SãoMartinhodaSerra</t>
  </si>
  <si>
    <t>SãoMigueldasMissões</t>
  </si>
  <si>
    <t>SãoNicolau</t>
  </si>
  <si>
    <t>SãoPaulodasMissões</t>
  </si>
  <si>
    <t>SãoPedrodaSerra</t>
  </si>
  <si>
    <t>SãoPedrodasMissões</t>
  </si>
  <si>
    <t>SãoPedrodoButiá</t>
  </si>
  <si>
    <t>SãoPedrodoSul</t>
  </si>
  <si>
    <t>SãoSebastiãodoCaí</t>
  </si>
  <si>
    <t>SãoSepé</t>
  </si>
  <si>
    <t>SãoValentim</t>
  </si>
  <si>
    <t>SãoValentimdoSul</t>
  </si>
  <si>
    <t>SãoValériodoSul</t>
  </si>
  <si>
    <t>SãoVendelino</t>
  </si>
  <si>
    <t>SãoVicentedoSul</t>
  </si>
  <si>
    <t>SapucaiadoSul</t>
  </si>
  <si>
    <t>SedeNova</t>
  </si>
  <si>
    <t>SenadorSalgadoFilho</t>
  </si>
  <si>
    <t>SentineladoSul</t>
  </si>
  <si>
    <t>SerafinaCorrêa</t>
  </si>
  <si>
    <t>SertãoSantana</t>
  </si>
  <si>
    <t>SetedeSetembro</t>
  </si>
  <si>
    <t>SeverianodeAlmeida</t>
  </si>
  <si>
    <t>SilveiraMartins</t>
  </si>
  <si>
    <t>TaquaruçudoSul</t>
  </si>
  <si>
    <t>TenentePortela</t>
  </si>
  <si>
    <t>TerradeAreia</t>
  </si>
  <si>
    <t>TioHugo</t>
  </si>
  <si>
    <t>TiradentesdoSul</t>
  </si>
  <si>
    <t>TrêsArroios</t>
  </si>
  <si>
    <t>TrêsCachoeiras</t>
  </si>
  <si>
    <t>TrêsCoroas</t>
  </si>
  <si>
    <t>TrêsdeMaio</t>
  </si>
  <si>
    <t>TrêsForquilhas</t>
  </si>
  <si>
    <t>TrêsPalmeiras</t>
  </si>
  <si>
    <t>TrêsPassos</t>
  </si>
  <si>
    <t>TrindadedoSul</t>
  </si>
  <si>
    <t>TupancidoSul</t>
  </si>
  <si>
    <t>UniãodaSerra</t>
  </si>
  <si>
    <t>ValedoSol</t>
  </si>
  <si>
    <t>ValeReal</t>
  </si>
  <si>
    <t>ValeVerde</t>
  </si>
  <si>
    <t>VenâncioAires</t>
  </si>
  <si>
    <t>VespasianoCorrea</t>
  </si>
  <si>
    <t>VicenteDutra</t>
  </si>
  <si>
    <t>VictorGraeff</t>
  </si>
  <si>
    <t>VilaFlores</t>
  </si>
  <si>
    <t>VilaLângaro</t>
  </si>
  <si>
    <t>VilaMaria</t>
  </si>
  <si>
    <t>VilaNovadoSul</t>
  </si>
  <si>
    <t>VistaAlegre</t>
  </si>
  <si>
    <t>VistaAlegredoPrata</t>
  </si>
  <si>
    <t>VistaGaúcha</t>
  </si>
  <si>
    <t>VitóriadasMissões</t>
  </si>
  <si>
    <t>AbdonBatista</t>
  </si>
  <si>
    <t>BRA_SC_Curitibanos.AP.869560_INMET.epw</t>
  </si>
  <si>
    <t>AbelardoLuz</t>
  </si>
  <si>
    <t>BRA_SC_Ituporanga.869570_INMET.epw</t>
  </si>
  <si>
    <t>ÁguaDoce</t>
  </si>
  <si>
    <t>ÁguasdeChapecó</t>
  </si>
  <si>
    <t>ÁguasFrias</t>
  </si>
  <si>
    <t>BRA_SC_Xanxere.869400_INMET.epw</t>
  </si>
  <si>
    <t>ÁguasMornas</t>
  </si>
  <si>
    <t>BRA_SC_Florianopolis.838970_INMET.epw</t>
  </si>
  <si>
    <t>AlfredoWagner</t>
  </si>
  <si>
    <t>AltoBelaVista</t>
  </si>
  <si>
    <t>BRA_SC_Sao.Miguel.do.Oeste.AP.869370_INMET.epw</t>
  </si>
  <si>
    <t>AnitaGaribaldi</t>
  </si>
  <si>
    <t>BRA_SC_Urubici.869680_INMET.epw</t>
  </si>
  <si>
    <t>BRA_SC_Indaial.838720_INMET.epw</t>
  </si>
  <si>
    <t>BRA_SC_Ararangua.869710_INMET.epw</t>
  </si>
  <si>
    <t>BRA_SC_Urussanga.869700_INMET.epw</t>
  </si>
  <si>
    <t>ArroioTrinta</t>
  </si>
  <si>
    <t>BalneárioArroiodoSilva</t>
  </si>
  <si>
    <t>BalneárioBarradoSul</t>
  </si>
  <si>
    <t>BalneárioCamboriú</t>
  </si>
  <si>
    <t>BalneárioGaivota</t>
  </si>
  <si>
    <t>BalneárioPiçarras</t>
  </si>
  <si>
    <t>BarraBonita</t>
  </si>
  <si>
    <t>BarraVelha</t>
  </si>
  <si>
    <t>BelaVistadoToldo</t>
  </si>
  <si>
    <t>BeneditoNovo</t>
  </si>
  <si>
    <t>BocainadoSul</t>
  </si>
  <si>
    <t>BomJardimdaSerra</t>
  </si>
  <si>
    <t>BomJesusdoOeste</t>
  </si>
  <si>
    <t>BomRetiro</t>
  </si>
  <si>
    <t>BraçodoNorte</t>
  </si>
  <si>
    <t>BraçodoTrombudo</t>
  </si>
  <si>
    <t>BRA_SC_Cacador.869430_INMET.epw</t>
  </si>
  <si>
    <t>CampoBelodoSul</t>
  </si>
  <si>
    <t>CampoErê</t>
  </si>
  <si>
    <t>CamposNovos</t>
  </si>
  <si>
    <t>CapãoAlto</t>
  </si>
  <si>
    <t>BRA_SC_Sao.Joaquim.869690_INMET.epw</t>
  </si>
  <si>
    <t>CapivarideBaixo</t>
  </si>
  <si>
    <t>BRA_SC_Santa.Marta.839250_INMET.epw</t>
  </si>
  <si>
    <t>CaxambudoSul</t>
  </si>
  <si>
    <t>CelsoRamos</t>
  </si>
  <si>
    <t>CerroNegro</t>
  </si>
  <si>
    <t>ChapadãodoLageado</t>
  </si>
  <si>
    <t>CocaldoSul</t>
  </si>
  <si>
    <t>CordilheiraAlta</t>
  </si>
  <si>
    <t>CoronelFreitas</t>
  </si>
  <si>
    <t>CoronelMartins</t>
  </si>
  <si>
    <t>CorreiaPinto</t>
  </si>
  <si>
    <t>CunhaPorã</t>
  </si>
  <si>
    <t>DionísioCerqueira</t>
  </si>
  <si>
    <t>DonaEmma</t>
  </si>
  <si>
    <t>DoutorPedrinho</t>
  </si>
  <si>
    <t>ErvalVelho</t>
  </si>
  <si>
    <t>FaxinaldosGuedes</t>
  </si>
  <si>
    <t>FlordoSertão</t>
  </si>
  <si>
    <t>FormosadoSul</t>
  </si>
  <si>
    <t>FreiRogério</t>
  </si>
  <si>
    <t>GovernadorCelsoRamos</t>
  </si>
  <si>
    <t>GrãoPará</t>
  </si>
  <si>
    <t>GuarujádoSul</t>
  </si>
  <si>
    <t>Hervald'Oeste</t>
  </si>
  <si>
    <t>IporãdoOeste</t>
  </si>
  <si>
    <t>JacintoMachado</t>
  </si>
  <si>
    <t>JaraguádoSul</t>
  </si>
  <si>
    <t>JoséBoiteux</t>
  </si>
  <si>
    <t>LajeadoGrande</t>
  </si>
  <si>
    <t>LauroMuller</t>
  </si>
  <si>
    <t>LebonRégis</t>
  </si>
  <si>
    <t>LeobertoLeal</t>
  </si>
  <si>
    <t>LindóiadoSul</t>
  </si>
  <si>
    <t>LuizAlves</t>
  </si>
  <si>
    <t>MajorGercino</t>
  </si>
  <si>
    <t>MajorVieira</t>
  </si>
  <si>
    <t>MatosCosta</t>
  </si>
  <si>
    <t>MirimDoce</t>
  </si>
  <si>
    <t>MonteCarlo</t>
  </si>
  <si>
    <t>MonteCastelo</t>
  </si>
  <si>
    <t>MorrodaFumaça</t>
  </si>
  <si>
    <t>MorroGrande</t>
  </si>
  <si>
    <t>NovaErechim</t>
  </si>
  <si>
    <t>NovaItaberaba</t>
  </si>
  <si>
    <t>NovaTrento</t>
  </si>
  <si>
    <t>OtacílioCosta</t>
  </si>
  <si>
    <t>OuroVerde</t>
  </si>
  <si>
    <t>PalmaSola</t>
  </si>
  <si>
    <t>PassodeTorres</t>
  </si>
  <si>
    <t>PassosMaia</t>
  </si>
  <si>
    <t>PauloLopes</t>
  </si>
  <si>
    <t>PedrasGrandes</t>
  </si>
  <si>
    <t>PinheiroPreto</t>
  </si>
  <si>
    <t>PlanaltoAlegre</t>
  </si>
  <si>
    <t>PonteAlta</t>
  </si>
  <si>
    <t>PonteAltadoNorte</t>
  </si>
  <si>
    <t>PonteSerrada</t>
  </si>
  <si>
    <t>PortoBelo</t>
  </si>
  <si>
    <t>PortoUnião</t>
  </si>
  <si>
    <t>PousoRedondo</t>
  </si>
  <si>
    <t>PraiaGrande</t>
  </si>
  <si>
    <t>PresidenteGetúlio</t>
  </si>
  <si>
    <t>PresidenteNereu</t>
  </si>
  <si>
    <t>RanchoQueimado</t>
  </si>
  <si>
    <t>RiodasAntas</t>
  </si>
  <si>
    <t>RiodoCampo</t>
  </si>
  <si>
    <t>RiodoOeste</t>
  </si>
  <si>
    <t>RiodoSul</t>
  </si>
  <si>
    <t>RiodosCedros</t>
  </si>
  <si>
    <t>RioFortuna</t>
  </si>
  <si>
    <t>RioNegrinho</t>
  </si>
  <si>
    <t>RioRufino</t>
  </si>
  <si>
    <t>SaltoVeloso</t>
  </si>
  <si>
    <t>SantaRosadeLima</t>
  </si>
  <si>
    <t>SantaRosadoSul</t>
  </si>
  <si>
    <t>SantaTerezinhadoProgresso</t>
  </si>
  <si>
    <t>SantiagodoSul</t>
  </si>
  <si>
    <t>SantoAmarodaImperatriz</t>
  </si>
  <si>
    <t>SãoBentodoSul</t>
  </si>
  <si>
    <t>SãoBernardino</t>
  </si>
  <si>
    <t>SãoBonifácio</t>
  </si>
  <si>
    <t>SãoCarlos</t>
  </si>
  <si>
    <t>SãoCristovãodoSul</t>
  </si>
  <si>
    <t>SãoFranciscodoSul</t>
  </si>
  <si>
    <t>SãoJoãodoItaperiú</t>
  </si>
  <si>
    <t>SãoJoãodoOeste</t>
  </si>
  <si>
    <t>SãoJoãodoSul</t>
  </si>
  <si>
    <t>SãoJoaquim</t>
  </si>
  <si>
    <t>SãoJosé</t>
  </si>
  <si>
    <t>SãoJosédoCedro</t>
  </si>
  <si>
    <t>SãoJosédoCerrito</t>
  </si>
  <si>
    <t>SãoLourençodoOeste</t>
  </si>
  <si>
    <t>SãoLudgero</t>
  </si>
  <si>
    <t>SãoMigueldaBoaVista</t>
  </si>
  <si>
    <t>SãoMigueld'Oeste</t>
  </si>
  <si>
    <t>SãoPedrodeAlcântara</t>
  </si>
  <si>
    <t>SerraAlta</t>
  </si>
  <si>
    <t>SulBrasil</t>
  </si>
  <si>
    <t>TimbédoSul</t>
  </si>
  <si>
    <t>TimbóGrande</t>
  </si>
  <si>
    <t>TrêsBarras</t>
  </si>
  <si>
    <t>TrezedeMaio</t>
  </si>
  <si>
    <t>TrezeTílias</t>
  </si>
  <si>
    <t>TrombudoCentral</t>
  </si>
  <si>
    <t>UniãodoOeste</t>
  </si>
  <si>
    <t>VidalRamos</t>
  </si>
  <si>
    <t>VitorMeireles</t>
  </si>
  <si>
    <t>AmparodeSãoFrancisco</t>
  </si>
  <si>
    <t>BRA_SE_Aracaju.866160_INMET.epw</t>
  </si>
  <si>
    <t>BarradosCoqueiros</t>
  </si>
  <si>
    <t>BrejoGrande</t>
  </si>
  <si>
    <t>CampodoBrito</t>
  </si>
  <si>
    <t>CanindédeSãoFrancisco</t>
  </si>
  <si>
    <t>CedrodeSãoJoão</t>
  </si>
  <si>
    <t>DivinaPastora</t>
  </si>
  <si>
    <t>FreiPaulo</t>
  </si>
  <si>
    <t>GeneralMaynard</t>
  </si>
  <si>
    <t>GrachoCardoso</t>
  </si>
  <si>
    <t>IlhadasFlores</t>
  </si>
  <si>
    <t>Itaporangad'Ajuda</t>
  </si>
  <si>
    <t>MalhadadosBois</t>
  </si>
  <si>
    <t>MoitaBonita</t>
  </si>
  <si>
    <t>MonteAlegredeSergipe</t>
  </si>
  <si>
    <t>NossaSenhoraAparecida</t>
  </si>
  <si>
    <t>NossaSenhoradaGlória</t>
  </si>
  <si>
    <t>NossaSenhoradasDores</t>
  </si>
  <si>
    <t>NossaSenhoradeLourdes</t>
  </si>
  <si>
    <t>NossaSenhoradoSocorro</t>
  </si>
  <si>
    <t>PedraMole</t>
  </si>
  <si>
    <t>PoçoRedondo</t>
  </si>
  <si>
    <t>PoçoVerde</t>
  </si>
  <si>
    <t>PortodaFolha</t>
  </si>
  <si>
    <t>RiachãodoDantas</t>
  </si>
  <si>
    <t>RosáriodoCatete</t>
  </si>
  <si>
    <t>SantaLuziadoItanhy</t>
  </si>
  <si>
    <t>SantanadoSãoFrancisco</t>
  </si>
  <si>
    <t>SantoAmarodasBrotas</t>
  </si>
  <si>
    <t>SãoCristóvão</t>
  </si>
  <si>
    <t>SãoMigueldoAleixo</t>
  </si>
  <si>
    <t>SimãoDias</t>
  </si>
  <si>
    <t>TobiasBarreto</t>
  </si>
  <si>
    <t>TomardoGeru</t>
  </si>
  <si>
    <t>BRA_SP_Valparaiso.868380_INMET.epw</t>
  </si>
  <si>
    <t>BRA_SP_Jose.Bonifacio.868390_INMET.epw</t>
  </si>
  <si>
    <t>ÁguasdaPrata</t>
  </si>
  <si>
    <t>ÁguasdeLindóia</t>
  </si>
  <si>
    <t>ÁguasdeSantaBárbara</t>
  </si>
  <si>
    <t>BRA_SP_Avare.869040_INMET.epw</t>
  </si>
  <si>
    <t>ÁguasdeSãoPedro</t>
  </si>
  <si>
    <t>BRA_SP_Piracicaba.868680_INMET.epw</t>
  </si>
  <si>
    <t>BRA_SP_Bauru.837220_INMET.epw</t>
  </si>
  <si>
    <t>BRA_SP_Sorocaba.838510_INMET.epw</t>
  </si>
  <si>
    <t>AlfredoMarcondes</t>
  </si>
  <si>
    <t>BRA_SP_Presidente.Prudente.837160_INMET.epw</t>
  </si>
  <si>
    <t>BRA_SP_Ariranha.868410_INMET.epw</t>
  </si>
  <si>
    <t>BRA_SP_Lins.868400_INMET.epw</t>
  </si>
  <si>
    <t>ÁlvaresFlorence</t>
  </si>
  <si>
    <t>ÁlvaresMachado</t>
  </si>
  <si>
    <t>ÁlvarodeCarvalho</t>
  </si>
  <si>
    <t>BRA_SP_Campinas.837210_INMET.epw</t>
  </si>
  <si>
    <t>AméricoBrasiliense</t>
  </si>
  <si>
    <t>BRA_SP_Sao.Carlos.868450_INMET.epw</t>
  </si>
  <si>
    <t>AméricodeCampos</t>
  </si>
  <si>
    <t>Aparecidad'Oeste</t>
  </si>
  <si>
    <t>AraçoiabadaSerra</t>
  </si>
  <si>
    <t>BRA_SP_Ituverava.868170_INMET.epw</t>
  </si>
  <si>
    <t>BRA_SP_Ibitinga.868430_INMET.epw</t>
  </si>
  <si>
    <t>ArturNogueira</t>
  </si>
  <si>
    <t>BRA_SP_Sao.Paulo.837810_INMET.epw</t>
  </si>
  <si>
    <t>BadyBassitt</t>
  </si>
  <si>
    <t>BarãodeAntonina</t>
  </si>
  <si>
    <t>BarradoChapéu</t>
  </si>
  <si>
    <t>BarradoTurvo</t>
  </si>
  <si>
    <t>BentodeAbreu</t>
  </si>
  <si>
    <t>BernardinodeCampos</t>
  </si>
  <si>
    <t>BoaEsperançadoSul</t>
  </si>
  <si>
    <t>BomJesusdosPerdões</t>
  </si>
  <si>
    <t>BomSucessodeItararé</t>
  </si>
  <si>
    <t>BragançaPaulista</t>
  </si>
  <si>
    <t>BrejoAlegre</t>
  </si>
  <si>
    <t>CabráliaPaulista</t>
  </si>
  <si>
    <t>BRA_SP_Taubate.869110_INMET.epw</t>
  </si>
  <si>
    <t>CachoeiraPaulista</t>
  </si>
  <si>
    <t>BRA_SP_Iguape.869230_INMET.epw</t>
  </si>
  <si>
    <t>CampinadoMonteAlegre</t>
  </si>
  <si>
    <t>CampoLimpoPaulista</t>
  </si>
  <si>
    <t>CamposdoJordão</t>
  </si>
  <si>
    <t>CamposNovosPaulista</t>
  </si>
  <si>
    <t>CândidoMota</t>
  </si>
  <si>
    <t>CândidoRodrigues</t>
  </si>
  <si>
    <t>CapãoBonito</t>
  </si>
  <si>
    <t>CapeladoAlto</t>
  </si>
  <si>
    <t>BRA_SP_Sao.Luis.do.Paraitinga.869120_INMET.epw</t>
  </si>
  <si>
    <t>CasaBranca</t>
  </si>
  <si>
    <t>CássiadosCoqueiros</t>
  </si>
  <si>
    <t>CerqueiraCésar</t>
  </si>
  <si>
    <t>CesárioLange</t>
  </si>
  <si>
    <t>CoronelMacedo</t>
  </si>
  <si>
    <t>CristaisPaulista</t>
  </si>
  <si>
    <t>DirceReis</t>
  </si>
  <si>
    <t>DoisCórregos</t>
  </si>
  <si>
    <t>EliasFausto</t>
  </si>
  <si>
    <t>EngenheiroCoelho</t>
  </si>
  <si>
    <t>EspíritoSantodoPinhal</t>
  </si>
  <si>
    <t>EspíritoSantodoTurvo</t>
  </si>
  <si>
    <t>EstivaGerbi</t>
  </si>
  <si>
    <t>Estrelad'Oeste</t>
  </si>
  <si>
    <t>EuclidesdaCunhaPaulista</t>
  </si>
  <si>
    <t>FernandoPrestes</t>
  </si>
  <si>
    <t>FerrazdeVasconcelos</t>
  </si>
  <si>
    <t>FloraRica</t>
  </si>
  <si>
    <t>FlóridaPaulista</t>
  </si>
  <si>
    <t>FranciscoMorato</t>
  </si>
  <si>
    <t>FrancodaRocha</t>
  </si>
  <si>
    <t>GabrielMonteiro</t>
  </si>
  <si>
    <t>GastãoVidigal</t>
  </si>
  <si>
    <t>GaviãoPeixoto</t>
  </si>
  <si>
    <t>GeneralSalgado</t>
  </si>
  <si>
    <t>Guaranid'Oeste</t>
  </si>
  <si>
    <t>IgaraçudoTietê</t>
  </si>
  <si>
    <t>IlhaComprida</t>
  </si>
  <si>
    <t>IlhaSolteira</t>
  </si>
  <si>
    <t>InúbiaPaulista</t>
  </si>
  <si>
    <t>ItapecericadaSerra</t>
  </si>
  <si>
    <t>ItapirapuãPaulista</t>
  </si>
  <si>
    <t>JoãoRamalho</t>
  </si>
  <si>
    <t>JoséBonifácio</t>
  </si>
  <si>
    <t>JúlioMesquita</t>
  </si>
  <si>
    <t>LaranjalPaulista</t>
  </si>
  <si>
    <t>LençóisPaulista</t>
  </si>
  <si>
    <t>LuísAntônio</t>
  </si>
  <si>
    <t>MarabáPaulista</t>
  </si>
  <si>
    <t>MineirosdoTietê</t>
  </si>
  <si>
    <t>MiraEstrela</t>
  </si>
  <si>
    <t>MirantedoParanapanema</t>
  </si>
  <si>
    <t>MogiGuaçu</t>
  </si>
  <si>
    <t>MogiMirim</t>
  </si>
  <si>
    <t>MojidasCruzes</t>
  </si>
  <si>
    <t>MonteAlegredoSul</t>
  </si>
  <si>
    <t>MonteAlto</t>
  </si>
  <si>
    <t>MonteAprazível</t>
  </si>
  <si>
    <t>MonteAzulPaulista</t>
  </si>
  <si>
    <t>MonteMor</t>
  </si>
  <si>
    <t>MonteiroLobato</t>
  </si>
  <si>
    <t>MorroAgudo</t>
  </si>
  <si>
    <t>MurutingadoSul</t>
  </si>
  <si>
    <t>NatividadedaSerra</t>
  </si>
  <si>
    <t>NazaréPaulista</t>
  </si>
  <si>
    <t>NevesPaulista</t>
  </si>
  <si>
    <t>NovaAliança</t>
  </si>
  <si>
    <t>NovaCampina</t>
  </si>
  <si>
    <t>NovaCanaãPaulista</t>
  </si>
  <si>
    <t>NovaCastilho</t>
  </si>
  <si>
    <t>NovaEuropa</t>
  </si>
  <si>
    <t>NovaGranada</t>
  </si>
  <si>
    <t>NovaGuataporanga</t>
  </si>
  <si>
    <t>NovaIndependência</t>
  </si>
  <si>
    <t>NovaLuzitânia</t>
  </si>
  <si>
    <t>NovaOdessa</t>
  </si>
  <si>
    <t>OndaVerde</t>
  </si>
  <si>
    <t>OscarBressane</t>
  </si>
  <si>
    <t>OsvaldoCruz</t>
  </si>
  <si>
    <t>PalmaresPaulista</t>
  </si>
  <si>
    <t>Palmeirad'Oeste</t>
  </si>
  <si>
    <t>ParaguaçuPaulista</t>
  </si>
  <si>
    <t>PatrocínioPaulista</t>
  </si>
  <si>
    <t>PaulodeFaria</t>
  </si>
  <si>
    <t>PedraBela</t>
  </si>
  <si>
    <t>PedrinhasPaulista</t>
  </si>
  <si>
    <t>PedrodeToledo</t>
  </si>
  <si>
    <t>PereiraBarreto</t>
  </si>
  <si>
    <t>PilardoSul</t>
  </si>
  <si>
    <t>PiraporadoBomJesus</t>
  </si>
  <si>
    <t>PontesGestal</t>
  </si>
  <si>
    <t>PortoFeliz</t>
  </si>
  <si>
    <t>PortoFerreira</t>
  </si>
  <si>
    <t>PresidenteAlves</t>
  </si>
  <si>
    <t>PresidenteEpitácio</t>
  </si>
  <si>
    <t>PresidentePrudente</t>
  </si>
  <si>
    <t>PresidenteVenceslau</t>
  </si>
  <si>
    <t>RedençãodaSerra</t>
  </si>
  <si>
    <t>RegenteFeijó</t>
  </si>
  <si>
    <t>RibeirãoBonito</t>
  </si>
  <si>
    <t>RibeirãoBranco</t>
  </si>
  <si>
    <t>RibeirãoCorrente</t>
  </si>
  <si>
    <t>RibeirãodoSul</t>
  </si>
  <si>
    <t>RibeirãodosÍndios</t>
  </si>
  <si>
    <t>RibeirãoGrande</t>
  </si>
  <si>
    <t>RibeirãoPires</t>
  </si>
  <si>
    <t>RibeirãoPreto</t>
  </si>
  <si>
    <t>RiodasPedras</t>
  </si>
  <si>
    <t>RioGrandedaSerra</t>
  </si>
  <si>
    <t>SalesOliveira</t>
  </si>
  <si>
    <t>SaltodePirapora</t>
  </si>
  <si>
    <t>SaltoGrande</t>
  </si>
  <si>
    <t>SantaAdélia</t>
  </si>
  <si>
    <t>SantaAlbertina</t>
  </si>
  <si>
    <t>SantaBárbarad'Oeste</t>
  </si>
  <si>
    <t>SantaBranca</t>
  </si>
  <si>
    <t>SantaClarad'Oeste</t>
  </si>
  <si>
    <t>SantaCruzdaConceição</t>
  </si>
  <si>
    <t>SantaCruzdaEsperança</t>
  </si>
  <si>
    <t>SantaCruzdasPalmeiras</t>
  </si>
  <si>
    <t>SantaCruzdoRioPardo</t>
  </si>
  <si>
    <t>SantaErnestina</t>
  </si>
  <si>
    <t>SantaFédoSul</t>
  </si>
  <si>
    <t>SantaGertrudes</t>
  </si>
  <si>
    <t>SantaMariadaSerra</t>
  </si>
  <si>
    <t>SantaMercedes</t>
  </si>
  <si>
    <t>SantaRitadoPassaQuatro</t>
  </si>
  <si>
    <t>SantaRitad'Oeste</t>
  </si>
  <si>
    <t>SantaRosadeViterbo</t>
  </si>
  <si>
    <t>SantaSalete</t>
  </si>
  <si>
    <t>SantanadaPontePensa</t>
  </si>
  <si>
    <t>SantanadeParnaíba</t>
  </si>
  <si>
    <t>SantoAnastácio</t>
  </si>
  <si>
    <t>SantoAntôniodaAlegria</t>
  </si>
  <si>
    <t>SantoAntôniodePosse</t>
  </si>
  <si>
    <t>SantoAntôniodoAracanguá</t>
  </si>
  <si>
    <t>SantoAntôniodoJardim</t>
  </si>
  <si>
    <t>SantoAntôniodoPinhal</t>
  </si>
  <si>
    <t>SantoExpedito</t>
  </si>
  <si>
    <t>SantópolisdoAguapeí</t>
  </si>
  <si>
    <t>SãoBentodoSapucaí</t>
  </si>
  <si>
    <t>SãoBernardodoCampo</t>
  </si>
  <si>
    <t>SãoCaetanodoSul</t>
  </si>
  <si>
    <t>SãoJoãodaBoaVista</t>
  </si>
  <si>
    <t>SãoJoãodasDuasPontes</t>
  </si>
  <si>
    <t>SãoJoãodeIracema</t>
  </si>
  <si>
    <t>SãoJoãodoPaud'Alho</t>
  </si>
  <si>
    <t>SãoJoaquimdaBarra</t>
  </si>
  <si>
    <t>SãoJosédaBelaVista</t>
  </si>
  <si>
    <t>SãoJosédoBarreiro</t>
  </si>
  <si>
    <t>SãoJosédoRioPardo</t>
  </si>
  <si>
    <t>SãoJosédoRioPreto</t>
  </si>
  <si>
    <t>SãoJosédosCampos</t>
  </si>
  <si>
    <t>SãoLourençodaSerra</t>
  </si>
  <si>
    <t>SãoLuísdoParaitinga</t>
  </si>
  <si>
    <t>SãoManuel</t>
  </si>
  <si>
    <t>SãoMiguelArcanjo</t>
  </si>
  <si>
    <t>SãoPaulo</t>
  </si>
  <si>
    <t>SãoPedrodoTurvo</t>
  </si>
  <si>
    <t>SãoRoque</t>
  </si>
  <si>
    <t>SãoSebastiãodaGrama</t>
  </si>
  <si>
    <t>SebastianópolisdoSul</t>
  </si>
  <si>
    <t>SerraAzul</t>
  </si>
  <si>
    <t>SerraNegra</t>
  </si>
  <si>
    <t>SeteBarras</t>
  </si>
  <si>
    <t>SudMennucci</t>
  </si>
  <si>
    <t>TaboãodaSerra</t>
  </si>
  <si>
    <t>TorredePedra</t>
  </si>
  <si>
    <t>TrêsFronteiras</t>
  </si>
  <si>
    <t>TupiPaulista</t>
  </si>
  <si>
    <t>UniãoPaulista</t>
  </si>
  <si>
    <t>ValentimGentil</t>
  </si>
  <si>
    <t>VargemGrandedoSul</t>
  </si>
  <si>
    <t>VargemGrandePaulista</t>
  </si>
  <si>
    <t>VárzeaPaulista</t>
  </si>
  <si>
    <t>VistaAlegredoAlto</t>
  </si>
  <si>
    <t>VitóriaBrasil</t>
  </si>
  <si>
    <t>BRA_TO_Palmas.866070_INMET.epw</t>
  </si>
  <si>
    <t>AliançadoTocantins</t>
  </si>
  <si>
    <t>BRA_TO_Gurupi.866300_INMET.epw</t>
  </si>
  <si>
    <t>BRA_TO_Dianopolis.866320_INMET.epw</t>
  </si>
  <si>
    <t>BRA_TO_Peixe.866490_INMET.epw</t>
  </si>
  <si>
    <t>AparecidadoRioNegro</t>
  </si>
  <si>
    <t>BRA_TO_Araguaina.819000_INMET.epw</t>
  </si>
  <si>
    <t>AuroradoTocantins</t>
  </si>
  <si>
    <t>AxixádoTocantins</t>
  </si>
  <si>
    <t>BandeirantesdoTocantins</t>
  </si>
  <si>
    <t>BarradoOuro</t>
  </si>
  <si>
    <t>BernardoSayão</t>
  </si>
  <si>
    <t>BrasilândiadoTocantins</t>
  </si>
  <si>
    <t>BrejinhodeNazaré</t>
  </si>
  <si>
    <t>BuritidoTocantins</t>
  </si>
  <si>
    <t>CamposLindos</t>
  </si>
  <si>
    <t>CariridoTocantins</t>
  </si>
  <si>
    <t>CarrascoBonito</t>
  </si>
  <si>
    <t>ChapadadaNatividade</t>
  </si>
  <si>
    <t>ChapadadeAreia</t>
  </si>
  <si>
    <t>ColinasdoTocantins</t>
  </si>
  <si>
    <t>ConceiçãodoTocantins</t>
  </si>
  <si>
    <t>CoutodeMagalhães</t>
  </si>
  <si>
    <t>Couto Magalhães</t>
  </si>
  <si>
    <t>CrixásdoTocantins</t>
  </si>
  <si>
    <t>DivinópolisdoTocantins</t>
  </si>
  <si>
    <t>DoisIrmãosdoTocantins</t>
  </si>
  <si>
    <t>FormosodoAraguaia</t>
  </si>
  <si>
    <t>FortalezadoTabocão</t>
  </si>
  <si>
    <t>ItaporãdoTocantins</t>
  </si>
  <si>
    <t>JaúdoTocantins</t>
  </si>
  <si>
    <t>LagoadaConfusão</t>
  </si>
  <si>
    <t>LagoadoTocantins</t>
  </si>
  <si>
    <t>MarianópolisdoTocantins</t>
  </si>
  <si>
    <t>MaurilândiadoTocantins</t>
  </si>
  <si>
    <t>MiracemadoTocantins</t>
  </si>
  <si>
    <t>MontedoCarmo</t>
  </si>
  <si>
    <t>MonteSantodoTocantins</t>
  </si>
  <si>
    <t>NovaRosalândia</t>
  </si>
  <si>
    <t>NovoAcordo</t>
  </si>
  <si>
    <t>NovoAlegre</t>
  </si>
  <si>
    <t>NovoJardim</t>
  </si>
  <si>
    <t>OliveiradeFátima</t>
  </si>
  <si>
    <t>PalmeirasdoTocantins</t>
  </si>
  <si>
    <t>ParaísodoTocantins</t>
  </si>
  <si>
    <t>PedroAfonso</t>
  </si>
  <si>
    <t>PindoramadoTocantins</t>
  </si>
  <si>
    <t>PonteAltadoBomJesus</t>
  </si>
  <si>
    <t>PonteAltadoTocantins</t>
  </si>
  <si>
    <t>PortoAlegredoTocantins</t>
  </si>
  <si>
    <t>PortoNacional</t>
  </si>
  <si>
    <t>PraiaNorte</t>
  </si>
  <si>
    <t>RiodaConceição</t>
  </si>
  <si>
    <t>RiodosBois</t>
  </si>
  <si>
    <t>RioSono</t>
  </si>
  <si>
    <t>SantaFédoAraguaia</t>
  </si>
  <si>
    <t>SantaMariadoTocantins</t>
  </si>
  <si>
    <t>SantaRitadoTocantins</t>
  </si>
  <si>
    <t>SantaRosadoTocantins</t>
  </si>
  <si>
    <t>SantaTerezadoTocantins</t>
  </si>
  <si>
    <t>SantaTerezinhadoTocantins</t>
  </si>
  <si>
    <t>SãoBentodoTocantins</t>
  </si>
  <si>
    <t>SãoFélixdoTocantins</t>
  </si>
  <si>
    <t>SãoMigueldoTocantins</t>
  </si>
  <si>
    <t>SãoSalvadordoTocantins</t>
  </si>
  <si>
    <t>SãoSebastiãodoTocantins</t>
  </si>
  <si>
    <t>SãoValériodaNatividade</t>
  </si>
  <si>
    <t>SítioNovodoTocantins</t>
  </si>
  <si>
    <t>TaipasdoTocantins</t>
  </si>
  <si>
    <t>DADOS CLIMÁTICOS</t>
  </si>
  <si>
    <t>Pav.</t>
  </si>
  <si>
    <t>ZT</t>
  </si>
  <si>
    <t>ceiling_height</t>
  </si>
  <si>
    <t>building_xlen</t>
  </si>
  <si>
    <t>wwr</t>
  </si>
  <si>
    <t>vert_shading</t>
  </si>
  <si>
    <t>floor_u</t>
  </si>
  <si>
    <t>floor_ct</t>
  </si>
  <si>
    <t>roof_u</t>
  </si>
  <si>
    <t>roof_ct</t>
  </si>
  <si>
    <t>roof_absorptance</t>
  </si>
  <si>
    <t>extwall_u</t>
  </si>
  <si>
    <t>extwall_ct</t>
  </si>
  <si>
    <t>extwall_absorptance</t>
  </si>
  <si>
    <t>intwall_u</t>
  </si>
  <si>
    <t>intwall_ct</t>
  </si>
  <si>
    <t>shgc_jan</t>
  </si>
  <si>
    <t>u_jan</t>
  </si>
  <si>
    <t>shgc_zen</t>
  </si>
  <si>
    <t>u_zen</t>
  </si>
  <si>
    <t>people</t>
  </si>
  <si>
    <t>lights</t>
  </si>
  <si>
    <t>equip</t>
  </si>
  <si>
    <t>paz</t>
  </si>
  <si>
    <t>lat</t>
  </si>
  <si>
    <t>alt</t>
  </si>
  <si>
    <t>dbt_mean</t>
  </si>
  <si>
    <t>dbt_25p</t>
  </si>
  <si>
    <t>dbt_75p</t>
  </si>
  <si>
    <t>ws_mean</t>
  </si>
  <si>
    <t>ws_25p</t>
  </si>
  <si>
    <t>ws_75p</t>
  </si>
  <si>
    <t>ghr_mean</t>
  </si>
  <si>
    <t>ghr_25p</t>
  </si>
  <si>
    <t>ghr_75p</t>
  </si>
  <si>
    <t>dpt_mean</t>
  </si>
  <si>
    <t>dpt_25p</t>
  </si>
  <si>
    <t>dpt_75p</t>
  </si>
  <si>
    <t>sur_angle</t>
  </si>
  <si>
    <t>shd_angle</t>
  </si>
  <si>
    <t>schedule_SCH_10H</t>
  </si>
  <si>
    <t>schedule_SCH_12H</t>
  </si>
  <si>
    <t>schedule_SCH_16H</t>
  </si>
  <si>
    <t>schedule_SCH_24H</t>
  </si>
  <si>
    <t>schedule_SCH_8H</t>
  </si>
  <si>
    <t>is_perimetral_0</t>
  </si>
  <si>
    <t>is_perimetral_1</t>
  </si>
  <si>
    <t>app_ori_-360</t>
  </si>
  <si>
    <t>app_ori_0</t>
  </si>
  <si>
    <t>app_ori_45</t>
  </si>
  <si>
    <t>app_ori_90</t>
  </si>
  <si>
    <t>app_ori_135</t>
  </si>
  <si>
    <t>app_ori_180</t>
  </si>
  <si>
    <t>app_ori_225</t>
  </si>
  <si>
    <t>app_ori_270</t>
  </si>
  <si>
    <t>app_ori_315</t>
  </si>
  <si>
    <t>PAFRef</t>
  </si>
  <si>
    <t>file</t>
  </si>
  <si>
    <t>Ano</t>
  </si>
  <si>
    <t>BRA_AC_Cruzeiro.do.Sul.Intl.AP.827040_TMYx.2004-2018.epw</t>
  </si>
  <si>
    <t>Cruzeiro.do.Sul.Intl.AP.827040</t>
  </si>
  <si>
    <t>TMYx</t>
  </si>
  <si>
    <t>2004-2018</t>
  </si>
  <si>
    <t>BRA_AC_Cruzeiro.do.Sul.Intl.AP.827040_TMYx.2007-2021.epw</t>
  </si>
  <si>
    <t>2007-2021</t>
  </si>
  <si>
    <t>BRA_AC_Epitaciolandia.866200_TMYx.2007-2021.epw</t>
  </si>
  <si>
    <t>Epitaciolandia.866200</t>
  </si>
  <si>
    <t>Feijo.AP.819240</t>
  </si>
  <si>
    <t>INMET</t>
  </si>
  <si>
    <t>epw</t>
  </si>
  <si>
    <t>BRA_AC_Feijo.AP.819240_TMYx.2007-2021.epw</t>
  </si>
  <si>
    <t>Parque.Chandless.819630</t>
  </si>
  <si>
    <t>BRA_AC_Parque.Estadual.Chandless.819630_TMYx.2007-2021.epw</t>
  </si>
  <si>
    <t>Parque.Estadual.Chandless.819630</t>
  </si>
  <si>
    <t>Porto.Walter.819210</t>
  </si>
  <si>
    <t>BRA_AC_Porto.Walter.819210_TMYx.2007-2021.epw</t>
  </si>
  <si>
    <t>BRA_AC_Rio.Branco-Medici.Intl.AP.829170_TMYx.2004-2018.epw</t>
  </si>
  <si>
    <t>Rio.Branco-Medici.Intl.AP.829170</t>
  </si>
  <si>
    <t>BRA_AC_Rio.Branco-Medici.Intl.AP.829170_TMYx.2007-2021.epw</t>
  </si>
  <si>
    <t>Rio.Branco.829150</t>
  </si>
  <si>
    <t>BRA_AC_Tarauaca.828070_TMYx.2004-2018.epw</t>
  </si>
  <si>
    <t>Tarauaca.828070</t>
  </si>
  <si>
    <t>BRA_AC_Tarauaca.AP.828080_TMYx.2004-2018.epw</t>
  </si>
  <si>
    <t>Tarauaca.AP.828080</t>
  </si>
  <si>
    <t>BRA_AC_Tarauaca.AP.828080_TMYx.2007-2021.epw</t>
  </si>
  <si>
    <t>Arapiraca.AP.819960</t>
  </si>
  <si>
    <t>BRA_AL_Arapiraca.AP.819960_TMYx.2007-2021.epw</t>
  </si>
  <si>
    <t>Coruripe.866190</t>
  </si>
  <si>
    <t>BRA_AL_Coruripe.866190_TMYx.2007-2021.epw</t>
  </si>
  <si>
    <t>BRA_AL_Maceio-Palmares.Intl.AP.829930_TMYx.2004-2018.epw</t>
  </si>
  <si>
    <t>Maceio-Palmares.Intl.AP.829930</t>
  </si>
  <si>
    <t>BRA_AL_Maceio-Palmares.Intl.AP.829930_TMYx.2007-2021.epw</t>
  </si>
  <si>
    <t>BRA_AL_Maceio.819980_TMYx.2007-2021.epw</t>
  </si>
  <si>
    <t>Maceio.819980</t>
  </si>
  <si>
    <t>Maceio.829940</t>
  </si>
  <si>
    <t>BRA_AL_Palmeira.dos.Indios.819950_TMYx.2007-2021.epw</t>
  </si>
  <si>
    <t>Palmeira.dos.Indios.819950</t>
  </si>
  <si>
    <t>Palmeira.dos.Indios.829920</t>
  </si>
  <si>
    <t>Pao.de.Acucar.819940</t>
  </si>
  <si>
    <t>BRA_AL_Pao.de.Acucar.819940_TMYx.2007-2021.epw</t>
  </si>
  <si>
    <t>Sao.Luis.do.Quitunde.819970</t>
  </si>
  <si>
    <t>BRA_AL_Sao.Luis.do.Quitunde.819970_TMYx.2007-2021.epw</t>
  </si>
  <si>
    <t>BRA_AM_Apui.818930_TMYx.2007-2021.epw</t>
  </si>
  <si>
    <t>Apui.818930</t>
  </si>
  <si>
    <t>Autazes.817320</t>
  </si>
  <si>
    <t>BRA_AM_Autazes.817320_TMYx.2007-2021.epw</t>
  </si>
  <si>
    <t>Barcelos.AP.816480</t>
  </si>
  <si>
    <t>BRA_AM_Barcelos.AP.816480_TMYx.2007-2021.epw</t>
  </si>
  <si>
    <t>BRA_AM_Benjamin.Constant.824100_TMYx.2007-2021.epw</t>
  </si>
  <si>
    <t>Benjamin.Constant.824100</t>
  </si>
  <si>
    <t>BRA_AM_Boca.do.Acre.819270_TMYx.2007-2021.epw</t>
  </si>
  <si>
    <t>Boca.do.Acre.819270</t>
  </si>
  <si>
    <t>Coari.817700</t>
  </si>
  <si>
    <t>BRA_AM_Coari.817700_TMYx.2007-2021.epw</t>
  </si>
  <si>
    <t>BRA_AM_Codajas.823260_TMYx.2007-2021.epw</t>
  </si>
  <si>
    <t>Codajas.823260</t>
  </si>
  <si>
    <t>BRA_AM_Eirunepe.826100_TMYx.2004-2018.epw</t>
  </si>
  <si>
    <t>Eirunepe.826100</t>
  </si>
  <si>
    <t>BRA_AM_Eirunepe.826100_TMYx.2007-2021.epw</t>
  </si>
  <si>
    <t>BRA_AM_Fonte.Boa.AP.822120_TMYx.2004-2018.epw</t>
  </si>
  <si>
    <t>Fonte.Boa.AP.822120</t>
  </si>
  <si>
    <t>BRA_AM_Fonte.Boa.AP.822120_TMYx.2007-2021.epw</t>
  </si>
  <si>
    <t>BRA_AM_Humaita.818900_TMYx.2007-2021.epw</t>
  </si>
  <si>
    <t>Humaita.818900</t>
  </si>
  <si>
    <t>Humaita.AP.818900</t>
  </si>
  <si>
    <t>BRA_AM_Iauarete.AP.820670_TMYx.2004-2018.epw</t>
  </si>
  <si>
    <t>Iauarete.AP.820670</t>
  </si>
  <si>
    <t>BRA_AM_Iauarete.AP.820670_TMYx.2007-2021.epw</t>
  </si>
  <si>
    <t>Itacoatiara.AP.817330</t>
  </si>
  <si>
    <t>BRA_AM_Itacoatiara.AP.817330_TMYx.2004-2018.epw</t>
  </si>
  <si>
    <t>BRA_AM_Itacoatiara.AP.817330_TMYx.2007-2021.epw</t>
  </si>
  <si>
    <t>BRA_AM_Labrea.818880_TMYx.2007-2021.epw</t>
  </si>
  <si>
    <t>Labrea.818880</t>
  </si>
  <si>
    <t>Manacapuru.817290</t>
  </si>
  <si>
    <t>BRA_AM_Manacapuru.817290_TMYx.2007-2021.epw</t>
  </si>
  <si>
    <t>BRA_AM_Manaus-Gomes.Intl.AP.821110_TMYx.2004-2018.epw</t>
  </si>
  <si>
    <t>Manaus-Gomes.Intl.AP.821110</t>
  </si>
  <si>
    <t>BRA_AM_Manaus-Gomes.Intl.AP.821110_TMYx.2007-2021.epw</t>
  </si>
  <si>
    <t>Manaus-Gomez.Intl.AP.817300</t>
  </si>
  <si>
    <t>BRA_AM_Manaus-Ponta.Pelada.AP.823320_TMYx.2004-2018.epw</t>
  </si>
  <si>
    <t>Manaus-Ponta.Pelada.AP.823320</t>
  </si>
  <si>
    <t>BRA_AM_Manaus-Ponta.Pelada.AP.823320_TMYx.2007-2021.epw</t>
  </si>
  <si>
    <t>BRA_AM_Manaus.817300_TMYx.2007-2021.epw</t>
  </si>
  <si>
    <t>Manaus.817300</t>
  </si>
  <si>
    <t>BRA_AM_Manicore.AP.825330_TMYx.2004-2018.epw</t>
  </si>
  <si>
    <t>Manicore.AP.825330</t>
  </si>
  <si>
    <t>BRA_AM_Manicore.AP.825330_TMYx.2007-2021.epw</t>
  </si>
  <si>
    <t>Maues.817340</t>
  </si>
  <si>
    <t>BRA_AM_Maues.817340_TMYx.2007-2021.epw</t>
  </si>
  <si>
    <t>Parintins.817030</t>
  </si>
  <si>
    <t>BRA_AM_Parintins.817030_TMYx.2004-2018.epw</t>
  </si>
  <si>
    <t>BRA_AM_Parintins.817030_TMYx.2007-2021.epw</t>
  </si>
  <si>
    <t>Presidente.Figueiredo.816990</t>
  </si>
  <si>
    <t>BRA_AM_Presidente.Figueiredo.816990_TMYx.2007-2021.epw</t>
  </si>
  <si>
    <t>BRA_AM_Rio.Urubu.817000_TMYx.2007-2021.epw</t>
  </si>
  <si>
    <t>Rio.Urubu.817000</t>
  </si>
  <si>
    <t>BRA_AM_Sao.Gabriel.da.Cachoeira.AP.821070_TMYx.2004-2018.epw</t>
  </si>
  <si>
    <t>Sao.Gabriel.da.Cachoeira.AP.821070</t>
  </si>
  <si>
    <t>BRA_AM_Sao.Gabriel.da.Cachoeira.AP.821070_TMYx.2007-2021.epw</t>
  </si>
  <si>
    <t>BRA_AM_Tabatinga.Intl.AP.824110_TMYx.2004-2018.epw</t>
  </si>
  <si>
    <t>Tabatinga.Intl.AP.824110</t>
  </si>
  <si>
    <t>BRA_AM_Tabatinga.Intl.AP.824110_TMYx.2007-2021.epw</t>
  </si>
  <si>
    <t>BRA_AM_Tefe.AP.823170_TMYx.2004-2018.epw</t>
  </si>
  <si>
    <t>Tefe.AP.823170</t>
  </si>
  <si>
    <t>BRA_AM_Tefe.AP.823170_TMYx.2007-2021.epw</t>
  </si>
  <si>
    <t>BRA_AM_Urucara.817020_TMYx.2007-2021.epw</t>
  </si>
  <si>
    <t>Urucara.817020</t>
  </si>
  <si>
    <t>Urucara.AP.817020</t>
  </si>
  <si>
    <t>BRA_AP_Amapa.AB.820300_TMYx.2007-2021.epw</t>
  </si>
  <si>
    <t>Amapa.AB.820300</t>
  </si>
  <si>
    <t>Macapa-Alcolumbre.Intl.AP.820980</t>
  </si>
  <si>
    <t>BRA_AP_Macapa-Alcolumbre.Intl.AP.820980_TMYx.2004-2018.epw</t>
  </si>
  <si>
    <t>BRA_AP_Macapa.820980_TMYx.2007-2021.epw</t>
  </si>
  <si>
    <t>Macapa.820980</t>
  </si>
  <si>
    <t>BRA_AP_Monte.Dourado.AP.820910_TMYx.2007-2021.epw</t>
  </si>
  <si>
    <t>Monte.Dourado.AP.820910</t>
  </si>
  <si>
    <t>Oiapoque.816090</t>
  </si>
  <si>
    <t>BRA_AP_Oiapoque.AP.820170_TMYx.2004-2018.epw</t>
  </si>
  <si>
    <t>Oiapoque.AP.820170</t>
  </si>
  <si>
    <t>BRA_AP_Oiapoque.AP.820170_TMYx.2007-2021.epw</t>
  </si>
  <si>
    <t>Porto.Grande.816370</t>
  </si>
  <si>
    <t>Tartarugalzinho.816280</t>
  </si>
  <si>
    <t>BRA_BA_Abrolhos.867650_TMYx.2007-2021.epw</t>
  </si>
  <si>
    <t>Abrolhos.867650</t>
  </si>
  <si>
    <t>BRA_BA_Amargosa.866750_TMYx.2007-2021.epw</t>
  </si>
  <si>
    <t>Amargosa.866750</t>
  </si>
  <si>
    <t>Amargosa.AP.866750</t>
  </si>
  <si>
    <t>BRA_BA_Barra.866340_TMYx.2007-2021.epw</t>
  </si>
  <si>
    <t>Barra.866340</t>
  </si>
  <si>
    <t>BRA_BA_Barra.AP.831790_TMYx.2004-2018.epw</t>
  </si>
  <si>
    <t>Barra.AP.831790</t>
  </si>
  <si>
    <t>BRA_BA_Barra.AP.831790_TMYx.2007-2021.epw</t>
  </si>
  <si>
    <t>Barra.AP.866340</t>
  </si>
  <si>
    <t>Barreiras.866520</t>
  </si>
  <si>
    <t>BRA_BA_Barreiras.866520_TMYx.2004-2018.epw</t>
  </si>
  <si>
    <t>BRA_BA_Barreiras.866520_TMYx.2007-2021.epw</t>
  </si>
  <si>
    <t>Belmonte.867440</t>
  </si>
  <si>
    <t>BRA_BA_Belmonte.867440_TMYx.2007-2021.epw</t>
  </si>
  <si>
    <t>Bom.Jesus.da.Lapa.AP.866720</t>
  </si>
  <si>
    <t>BRA_BA_Bom.Jesus.da.Lapa.AP.866720_TMYx.2004-2018.epw</t>
  </si>
  <si>
    <t>BRA_BA_Bom.Jesus.da.Lapa.AP.866720_TMYx.2007-2021.epw</t>
  </si>
  <si>
    <t>Brumado.866960</t>
  </si>
  <si>
    <t>BRA_BA_Brumado.866960_TMYx.2007-2021.epw</t>
  </si>
  <si>
    <t>BRA_BA_Buritirama.866090_TMYx.2007-2021.epw</t>
  </si>
  <si>
    <t>Buritirama.866090</t>
  </si>
  <si>
    <t>Buritirama.AP.866090</t>
  </si>
  <si>
    <t>BRA_BA_Caetite.833390_TMYx.2004-2018.epw</t>
  </si>
  <si>
    <t>Caetite.833390</t>
  </si>
  <si>
    <t>BRA_BA_Caetite.833390_TMYx.2007-2021.epw</t>
  </si>
  <si>
    <t>BRA_BA_Canavieiras.AP.833980_TMYx.2007-2021.epw</t>
  </si>
  <si>
    <t>Canavieiras.AP.833980</t>
  </si>
  <si>
    <t>Caravelas.834970</t>
  </si>
  <si>
    <t>BRA_BA_Caravelas.867640_TMYx.2004-2018.epw</t>
  </si>
  <si>
    <t>Caravelas.867640</t>
  </si>
  <si>
    <t>BRA_BA_Caravelas.867640_TMYx.2007-2021.epw</t>
  </si>
  <si>
    <t>BRA_BA_Cipo.831920_TMYx.2004-2018.epw</t>
  </si>
  <si>
    <t>Cipo.831920</t>
  </si>
  <si>
    <t>BRA_BA_Cipo.831920_TMYx.2007-2021.epw</t>
  </si>
  <si>
    <t>Conde.866390</t>
  </si>
  <si>
    <t>BRA_BA_Conde.866390_TMYx.2007-2021.epw</t>
  </si>
  <si>
    <t>Correntina.866710</t>
  </si>
  <si>
    <t>BRA_BA_Correntina.866710_TMYx.2007-2021.epw</t>
  </si>
  <si>
    <t>Cruz.das.Almas.866570</t>
  </si>
  <si>
    <t>BRA_BA_Cruz.das.Almas.866570_TMYx.2007-2021.epw</t>
  </si>
  <si>
    <t>Delfino.866100</t>
  </si>
  <si>
    <t>BRA_BA_Delfino.866100_TMYx.2007-2021.epw</t>
  </si>
  <si>
    <t>Euclides.da.Cunha.866130</t>
  </si>
  <si>
    <t>BRA_BA_Euclides.da.Cunha.866130_TMYx.2007-2021.epw</t>
  </si>
  <si>
    <t>Feira.de.Santana.866580</t>
  </si>
  <si>
    <t>BRA_BA_Feira.de.Santana.866580_TMYx.2007-2021.epw</t>
  </si>
  <si>
    <t>BRA_BA_Guanambi.866940_TMYx.2007-2021.epw</t>
  </si>
  <si>
    <t>Guanambi.866940</t>
  </si>
  <si>
    <t>Guanambi.AP.866940</t>
  </si>
  <si>
    <t>Ibotirama.866530</t>
  </si>
  <si>
    <t>BRA_BA_Ibotirama.866530_TMYx.2007-2021.epw</t>
  </si>
  <si>
    <t>BRA_BA_Ilheus-Amado.AP.833490_TMYx.2004-2018.epw</t>
  </si>
  <si>
    <t>Ilheus-Amado.AP.833490</t>
  </si>
  <si>
    <t>BRA_BA_Ilheus-Amado.AP.833490_TMYx.2007-2021.epw</t>
  </si>
  <si>
    <t>Ilheus.866990</t>
  </si>
  <si>
    <t>BRA_BA_Ilheus.866990_TMYx.2007-2021.epw</t>
  </si>
  <si>
    <t>Ipiau.866980</t>
  </si>
  <si>
    <t>BRA_BA_Ipiau.866980_TMYx.2007-2021.epw</t>
  </si>
  <si>
    <t>BRA_BA_Irece.866350_TMYx.2004-2018.epw</t>
  </si>
  <si>
    <t>Irece.866350</t>
  </si>
  <si>
    <t>BRA_BA_Irece.866350_TMYx.2007-2021.epw</t>
  </si>
  <si>
    <t>Irece.AP.866350</t>
  </si>
  <si>
    <t>Itaberaba.832440</t>
  </si>
  <si>
    <t>BRA_BA_Itaberaba.866560_TMYx.2007-2021.epw</t>
  </si>
  <si>
    <t>Itaberaba.866560</t>
  </si>
  <si>
    <t>Itapetinga.867230</t>
  </si>
  <si>
    <t>BRA_BA_Itapetinga.867230_TMYx.2007-2021.epw</t>
  </si>
  <si>
    <t>Itirucu.866740</t>
  </si>
  <si>
    <t>BRA_BA_Itirucu.866740_TMYx.2007-2021.epw</t>
  </si>
  <si>
    <t>Jacobina.866360</t>
  </si>
  <si>
    <t>BRA_BA_Jacobina.866360_TMYx.2004-2018.epw</t>
  </si>
  <si>
    <t>BRA_BA_Jacobina.866360_TMYx.2007-2021.epw</t>
  </si>
  <si>
    <t>Lencois.866540</t>
  </si>
  <si>
    <t>BRA_BA_Lencois.866540_TMYx.2004-2018.epw</t>
  </si>
  <si>
    <t>BRA_BA_Lencois.866540_TMYx.2007-2021.epw</t>
  </si>
  <si>
    <t>BRA_BA_Luis.Eduardo.Magalhaes.866510_TMYx.2007-2021.epw</t>
  </si>
  <si>
    <t>Luis.Eduardo.Magalhaes.866510</t>
  </si>
  <si>
    <t>Macajuba.866550</t>
  </si>
  <si>
    <t>BRA_BA_Macajuba.866550_TMYx.2007-2021.epw</t>
  </si>
  <si>
    <t>Marau.866770</t>
  </si>
  <si>
    <t>BRA_BA_Marau.866770_TMYx.2007-2021.epw</t>
  </si>
  <si>
    <t>Paulo.Afonso.829860</t>
  </si>
  <si>
    <t>BRA_BA_Paulo.Afonso.AP.829860_TMYx.2004-2018.epw</t>
  </si>
  <si>
    <t>Paulo.Afonso.AP.829860</t>
  </si>
  <si>
    <t>BRA_BA_Paulo.Afonso.AP.829860_TMYx.2007-2021.epw</t>
  </si>
  <si>
    <t>Piata.866730</t>
  </si>
  <si>
    <t>BRA_BA_Piata.866730_TMYx.2007-2021.epw</t>
  </si>
  <si>
    <t>BRA_BA_Porto.Seguro-Brazil.Ecological.Stn.867450_TMYx.2007-2021.epw</t>
  </si>
  <si>
    <t>Porto.Seguro-Brazil.Ecological.Stn.867450</t>
  </si>
  <si>
    <t>Porto.Seguro.867450</t>
  </si>
  <si>
    <t>BRA_BA_Porto.Seguro.Intl.AP.834600_TMYx.2004-2018.epw</t>
  </si>
  <si>
    <t>Porto.Seguro.Intl.AP.834600</t>
  </si>
  <si>
    <t>BRA_BA_Porto.Seguro.Intl.AP.834600_TMYx.2007-2021.epw</t>
  </si>
  <si>
    <t>Queimadas.866120</t>
  </si>
  <si>
    <t>BRA_BA_Queimadas.866120_TMYx.2007-2021.epw</t>
  </si>
  <si>
    <t>BRA_BA_Remanso.819900_TMYx.2004-2018.epw</t>
  </si>
  <si>
    <t>Remanso.819900</t>
  </si>
  <si>
    <t>BRA_BA_Remanso.819900_TMYx.2007-2021.epw</t>
  </si>
  <si>
    <t>Remanso.829790</t>
  </si>
  <si>
    <t>BRA_BA_Salvador-Magalhaes.Intl.AP.832480_TMYx.2004-2018.epw</t>
  </si>
  <si>
    <t>Salvador-Magalhaes.Intl.AP.832480</t>
  </si>
  <si>
    <t>BRA_BA_Salvador-Magalhaes.Intl.AP.832480_TMYx.2007-2021.epw</t>
  </si>
  <si>
    <t>Salvador.866780</t>
  </si>
  <si>
    <t>BRA_BA_Salvador.866780_TMYx.2007-2021.epw</t>
  </si>
  <si>
    <t>Santa.Rita.de.Cassia.866330</t>
  </si>
  <si>
    <t>BRA_BA_Santa.Rita.de.Cassia.866330_TMYx.2007-2021.epw</t>
  </si>
  <si>
    <t>Senhor.do.Bonfim.830880</t>
  </si>
  <si>
    <t>BRA_BA_Senhor.do.Bonfim.866110_TMYx.2007-2021.epw</t>
  </si>
  <si>
    <t>Senhor.do.Bonfim.866110</t>
  </si>
  <si>
    <t>Serrinha.866370</t>
  </si>
  <si>
    <t>BRA_BA_Serrinha.866370_TMYx.2007-2021.epw</t>
  </si>
  <si>
    <t>Uaua.819920</t>
  </si>
  <si>
    <t>BRA_BA_Uaua.819920_TMYx.2007-2021.epw</t>
  </si>
  <si>
    <t>Una.867240</t>
  </si>
  <si>
    <t>Valenca.866760</t>
  </si>
  <si>
    <t>BRA_BA_Vitoria.da.Conquista-Figueiredo.AP.833440_TMYx.2004-2018.epw</t>
  </si>
  <si>
    <t>Vitoria.da.Conquista-Figueiredo.AP.833440</t>
  </si>
  <si>
    <t>BRA_BA_Vitoria.da.Conquista-Figueiredo.AP.833440_TMYx.2007-2021.epw</t>
  </si>
  <si>
    <t>Vitoria.da.Conquista-Figueiredo.AP.866970</t>
  </si>
  <si>
    <t>BRA_BA_Vitoria.da.Conquista.866970_TMYx.2007-2021.epw</t>
  </si>
  <si>
    <t>Vitoria.da.Conquista.866970</t>
  </si>
  <si>
    <t>Acarau.817550</t>
  </si>
  <si>
    <t>BRA_CE_Acarau.817550_TMYx.2007-2021.epw</t>
  </si>
  <si>
    <t>Barbalha.819110</t>
  </si>
  <si>
    <t>BRA_CE_Barbalha.819110_TMYx.2004-2018.epw</t>
  </si>
  <si>
    <t>BRA_CE_Barbalha.819110_TMYx.2007-2021.epw</t>
  </si>
  <si>
    <t>BRA_CE_Campos.Sales.819090_TMYx.2007-2021.epw</t>
  </si>
  <si>
    <t>Campos.Sales.819090</t>
  </si>
  <si>
    <t>Campos.Sales.827770</t>
  </si>
  <si>
    <t>Crateus.818300</t>
  </si>
  <si>
    <t>BRA_CE_Crateus.818300_TMYx.2004-2018.epw</t>
  </si>
  <si>
    <t>BRA_CE_Crateus.818300_TMYx.2007-2021.epw</t>
  </si>
  <si>
    <t>Fortaleza-Pinto.Martins.Intl.AP.817580</t>
  </si>
  <si>
    <t>BRA_CE_Fortaleza-Pinto.Martins.Intl.AP.823980_TMYx.2004-2018.epw</t>
  </si>
  <si>
    <t>Fortaleza-Pinto.Martins.Intl.AP.823980</t>
  </si>
  <si>
    <t>BRA_CE_Fortaleza-Pinto.Martins.Intl.AP.823980_TMYx.2007-2021.epw</t>
  </si>
  <si>
    <t>BRA_CE_Fortaleza.817580_TMYx.2007-2021.epw</t>
  </si>
  <si>
    <t>Fortaleza.817580</t>
  </si>
  <si>
    <t>BRA_CE_Guaramiranga.817970_TMYx.2007-2021.epw</t>
  </si>
  <si>
    <t>Guaramiranga.817970</t>
  </si>
  <si>
    <t>Guaramiranga.824870</t>
  </si>
  <si>
    <t>Iguatu.818730</t>
  </si>
  <si>
    <t>BRA_CE_Iguatu.818730_TMYx.2007-2021.epw</t>
  </si>
  <si>
    <t>Itapipoca.817560</t>
  </si>
  <si>
    <t>Jaguaribe.818330</t>
  </si>
  <si>
    <t>BRA_CE_Jaguaribe.818330_TMYx.2007-2021.epw</t>
  </si>
  <si>
    <t>Jaguaruana.824930</t>
  </si>
  <si>
    <t>BRA_CE_Juaguaruana.817980_TMYx.2007-2021.epw</t>
  </si>
  <si>
    <t>Juaguaruana.817980</t>
  </si>
  <si>
    <t>Morada.Nova.825940</t>
  </si>
  <si>
    <t>BRA_CE_Quixeramobim.818310_TMYx.2004-2018.epw</t>
  </si>
  <si>
    <t>Quixeramobim.818310</t>
  </si>
  <si>
    <t>BRA_CE_Quixeramobim.818310_TMYx.2007-2021.epw</t>
  </si>
  <si>
    <t>Quixeramobim.825860</t>
  </si>
  <si>
    <t>BRA_CE_Sobral.817540_TMYx.2004-2018.epw</t>
  </si>
  <si>
    <t>Sobral.817540</t>
  </si>
  <si>
    <t>BRA_CE_Sobral.817540_TMYx.2007-2021.epw</t>
  </si>
  <si>
    <t>Taua.818720</t>
  </si>
  <si>
    <t>BRA_CE_Taua.818720_TMYx.2004-2018.epw</t>
  </si>
  <si>
    <t>BRA_CE_Taua.818720_TMYx.2007-2021.epw</t>
  </si>
  <si>
    <t>BRA_DF_Aguas.Emendadas.867160_TMYx.2007-2021.epw</t>
  </si>
  <si>
    <t>Aguas.Emendadas.867160</t>
  </si>
  <si>
    <t>BRA_DF_Brasilia-Kubitschek.Intl.AP.833780_TMYx.2004-2018.epw</t>
  </si>
  <si>
    <t>Brasilia-Kubitschek.Intl.AP.833780</t>
  </si>
  <si>
    <t>BRA_DF_Brasilia-Kubitschek.Intl.AP.833780_TMYx.2007-2021.epw</t>
  </si>
  <si>
    <t>Brasilia.867150</t>
  </si>
  <si>
    <t>BRA_DF_Brasilia.867150_TMYx.2007-2021.epw</t>
  </si>
  <si>
    <t>Planaltina.867160</t>
  </si>
  <si>
    <t>Alegre.868280</t>
  </si>
  <si>
    <t>BRA_ES_Alegre.868280_TMYx.2007-2021.epw</t>
  </si>
  <si>
    <t>Alfredo.Chaves.868290</t>
  </si>
  <si>
    <t>BRA_ES_Alfredo.Chaves.868290_TMYx.2007-2021.epw</t>
  </si>
  <si>
    <t>Linhares.868050</t>
  </si>
  <si>
    <t>BRA_ES_Linhares.AP.868050_TMYx.2004-2018.epw</t>
  </si>
  <si>
    <t>Linhares.AP.868050</t>
  </si>
  <si>
    <t>BRA_ES_Linhares.AP.868050_TMYx.2007-2021.epw</t>
  </si>
  <si>
    <t>Nova.Venecia.867850</t>
  </si>
  <si>
    <t>BRA_ES_Nova.Venecia.867850_TMYx.2007-2021.epw</t>
  </si>
  <si>
    <t>Presidente.Kennedy.868530</t>
  </si>
  <si>
    <t>BRA_ES_Presidente.Kennedy.868530_TMYx.2007-2021.epw</t>
  </si>
  <si>
    <t>Santa.Teresa.868040</t>
  </si>
  <si>
    <t>BRA_ES_Santa.Tereza.868040_TMYx.2007-2021.epw</t>
  </si>
  <si>
    <t>Santa.Tereza.868040</t>
  </si>
  <si>
    <t>Sao.Mateus.867860</t>
  </si>
  <si>
    <t>BRA_ES_Sao.Mateus.867860_TMYx.2007-2021.epw</t>
  </si>
  <si>
    <t>BRA_ES_Trinidade.and.Martin.Vaz-Trindade.island.836500_TMYx.2007-2021.epw</t>
  </si>
  <si>
    <t>Trinidade.and.Martin.Vaz-Trindade.island.836500</t>
  </si>
  <si>
    <t>BRA_ES_Vitoria-Aguiar.Salles.AP.836490_TMYx.2004-2018.epw</t>
  </si>
  <si>
    <t>Vitoria-Aguiar.Salles.AP.836490</t>
  </si>
  <si>
    <t>BRA_ES_Vitoria-Aguiar.Salles.AP.836490_TMYx.2007-2021.epw</t>
  </si>
  <si>
    <t>Vitoria.868300</t>
  </si>
  <si>
    <t>BRA_ES_Vitoria.868300_TMYx.2007-2021.epw</t>
  </si>
  <si>
    <t>Alto.Paraiso.de.Goias.866910</t>
  </si>
  <si>
    <t>BRA_GO_Alto.Paraiso.de.Goias.866910_TMYx.2007-2021.epw</t>
  </si>
  <si>
    <t>BRA_GO_Anapolis.AB.834190_TMYx.2004-2018.epw</t>
  </si>
  <si>
    <t>Anapolis.AB.834190</t>
  </si>
  <si>
    <t>BRA_GO_Anapolis.AB.834190_TMYx.2007-2021.epw</t>
  </si>
  <si>
    <t>Aragarcas.833740</t>
  </si>
  <si>
    <t>BRA_GO_Aragarcas.AP.867090_TMYx.2004-2018.epw</t>
  </si>
  <si>
    <t>Aragarcas.AP.867090</t>
  </si>
  <si>
    <t>BRA_GO_Aragarcas.AP.867090_TMYx.2007-2021.epw</t>
  </si>
  <si>
    <t>Caiaponia.867300</t>
  </si>
  <si>
    <t>BRA_GO_Caiponia.867300_TMYx.2007-2021.epw</t>
  </si>
  <si>
    <t>Caiponia.867300</t>
  </si>
  <si>
    <t>Catalao.867770</t>
  </si>
  <si>
    <t>BRA_GO_Catalao.867770_TMYx.2004-2018.epw</t>
  </si>
  <si>
    <t>BRA_GO_Catalao.867770_TMYx.2007-2021.epw</t>
  </si>
  <si>
    <t>Cristalina.867370</t>
  </si>
  <si>
    <t>BRA_GO_Cristalina.867370_TMYx.2007-2021.epw</t>
  </si>
  <si>
    <t>Goianesia.867130</t>
  </si>
  <si>
    <t>BRA_GO_Goianesia.867130_TMYx.2007-2021.epw</t>
  </si>
  <si>
    <t>BRA_GO_Goiania-Santa.Genoveva.AP.834240_TMYx.2004-2018.epw</t>
  </si>
  <si>
    <t>Goiania-Santa.Genoveva.AP.834240</t>
  </si>
  <si>
    <t>BRA_GO_Goiania-Santa.Genoveva.AP.834240_TMYx.2007-2021.epw</t>
  </si>
  <si>
    <t>Goiania.834230</t>
  </si>
  <si>
    <t>BRA_GO_Goiania.867340_TMYx.2004-2018.epw</t>
  </si>
  <si>
    <t>Goiania.867340</t>
  </si>
  <si>
    <t>BRA_GO_Goiania.867340_TMYx.2007-2021.epw</t>
  </si>
  <si>
    <t>Goias.867120</t>
  </si>
  <si>
    <t>BRA_GO_Goias.Velho.867120_TMYx.2004-2018.epw</t>
  </si>
  <si>
    <t>Goias.Velho.867120</t>
  </si>
  <si>
    <t>BRA_GO_Goias.Velho.867120_TMYx.2007-2021.epw</t>
  </si>
  <si>
    <t>Itapaci.866890</t>
  </si>
  <si>
    <t>BRA_GO_Itapaci.866890_TMYx.2007-2021.epw</t>
  </si>
  <si>
    <t>Itumbiara.867740</t>
  </si>
  <si>
    <t>BRA_GO_Itumbiara.867740_TMYx.2007-2021.epw</t>
  </si>
  <si>
    <t>Jatai.867520</t>
  </si>
  <si>
    <t>BRA_GO_Jatai.867520_TMYx.2007-2021.epw</t>
  </si>
  <si>
    <t>Luziania.867360</t>
  </si>
  <si>
    <t>BRA_GO_Luziania.867360_TMYx.2007-2021.epw</t>
  </si>
  <si>
    <t>Mineiros.867510</t>
  </si>
  <si>
    <t>BRA_GO_Mineiros.867510_TMYx.2007-2021.epw</t>
  </si>
  <si>
    <t>Monte.Alegre.de.Goias.866700</t>
  </si>
  <si>
    <t>BRA_GO_Monte.Alegre.de.Goias.866700_TMYx.2007-2021.epw</t>
  </si>
  <si>
    <t>Morrinhos.867550</t>
  </si>
  <si>
    <t>BRA_GO_Morrinhos.867550_TMYx.2007-2021.epw</t>
  </si>
  <si>
    <t>Niquelandia.866900</t>
  </si>
  <si>
    <t>Parauna.867320</t>
  </si>
  <si>
    <t>BRA_GO_Parauna.867320_TMYx.2007-2021.epw</t>
  </si>
  <si>
    <t>Pires.do.Rio.867560</t>
  </si>
  <si>
    <t>BRA_GO_Pires.do.Rio.867560_TMYx.2007-2021.epw</t>
  </si>
  <si>
    <t>Posse.866920</t>
  </si>
  <si>
    <t>BRA_GO_Posse.866920_TMYx.2004-2018.epw</t>
  </si>
  <si>
    <t>BRA_GO_Posse.866920_TMYx.2007-2021.epw</t>
  </si>
  <si>
    <t>Rio.Verde.867530</t>
  </si>
  <si>
    <t>BRA_GO_Rio.Verde.867530_TMYx.2004-2018.epw</t>
  </si>
  <si>
    <t>BRA_GO_Rio.Verde.867530_TMYx.2007-2021.epw</t>
  </si>
  <si>
    <t>Sao.Simao.867730</t>
  </si>
  <si>
    <t>BRA_GO_Sao.Simao.867730_TMYx.2007-2021.epw</t>
  </si>
  <si>
    <t>BRA_GO_Silvania.867350_TMYx.2007-2021.epw</t>
  </si>
  <si>
    <t>Silvania.867350</t>
  </si>
  <si>
    <t>BRA_MA_Alto.Parnaiba.819850_TMYx.2007-2021.epw</t>
  </si>
  <si>
    <t>Alto.Parnaiba.819850</t>
  </si>
  <si>
    <t>Alto.Parnaiba.829700</t>
  </si>
  <si>
    <t>Bacabal.817900</t>
  </si>
  <si>
    <t>BRA_MA_Bacabal.817900_TMYx.2004-2018.epw</t>
  </si>
  <si>
    <t>BRA_MA_Bacabal.817900_TMYx.2007-2021.epw</t>
  </si>
  <si>
    <t>Balsas.819030</t>
  </si>
  <si>
    <t>BRA_MA_Balsas.819030_TMYx.2007-2021.epw</t>
  </si>
  <si>
    <t>Barra.do.Corda.818250</t>
  </si>
  <si>
    <t>BRA_MA_Barra.do.Corda.818250_TMYx.2004-2018.epw</t>
  </si>
  <si>
    <t>BRA_MA_Barra.do.Corda.818250_TMYx.2007-2021.epw</t>
  </si>
  <si>
    <t>Buriticupu.817880</t>
  </si>
  <si>
    <t>BRA_MA_Buriticupu.817880_TMYx.2007-2021.epw</t>
  </si>
  <si>
    <t>Carolina.819010</t>
  </si>
  <si>
    <t>BRA_MA_Carolina.819010_TMYx.2004-2018.epw</t>
  </si>
  <si>
    <t>BRA_MA_Carolina.819010_TMYx.2007-2021.epw</t>
  </si>
  <si>
    <t>BRA_MA_Carolina.AP.827640_TMYx.2004-2018.epw</t>
  </si>
  <si>
    <t>Carolina.AP.827640</t>
  </si>
  <si>
    <t>BRA_MA_Carolina.AP.827640_TMYx.2007-2021.epw</t>
  </si>
  <si>
    <t>Caxias.817920</t>
  </si>
  <si>
    <t>BRA_MA_Caxias.817920_TMYx.2004-2018.epw</t>
  </si>
  <si>
    <t>BRA_MA_Caxias.817920_TMYx.2007-2021.epw</t>
  </si>
  <si>
    <t>Chapadinha.817490</t>
  </si>
  <si>
    <t>BRA_MA_Chapadinha.817490_TMYx.2007-2021.epw</t>
  </si>
  <si>
    <t>Colinas.818660</t>
  </si>
  <si>
    <t>BRA_MA_Colinas.818660_TMYx.2007-2021.epw</t>
  </si>
  <si>
    <t>Estreito.818630</t>
  </si>
  <si>
    <t>BRA_MA_Estreito.818630_TMYx.2007-2021.epw</t>
  </si>
  <si>
    <t>Farol.Preguicas.817170</t>
  </si>
  <si>
    <t>Farol.Santana.822770</t>
  </si>
  <si>
    <t>Grajau.818230</t>
  </si>
  <si>
    <t>BRA_MA_Grajau.818230_TMYx.2007-2021.epw</t>
  </si>
  <si>
    <t>BRA_MA_Imperatriz-Moreira.AP.825640_TMYx.2004-2018.epw</t>
  </si>
  <si>
    <t>Imperatriz-Moreira.AP.825640</t>
  </si>
  <si>
    <t>BRA_MA_Imperatriz-Moreira.AP.825640_TMYx.2007-2021.epw</t>
  </si>
  <si>
    <t>Imperatriz.818220</t>
  </si>
  <si>
    <t>BRA_MA_Imperatriz.818220_TMYx.2007-2021.epw</t>
  </si>
  <si>
    <t>BRA_MA_Preguicas.817170_TMYx.2007-2021.epw</t>
  </si>
  <si>
    <t>Preguicas.817170</t>
  </si>
  <si>
    <t>BRA_MA_Sao.Luis-Machado.Intl.AP.822810_TMYx.2004-2018.epw</t>
  </si>
  <si>
    <t>Sao.Luis-Machado.Intl.AP.822810</t>
  </si>
  <si>
    <t>BRA_MA_Sao.Luis-Machado.Intl.AP.822810_TMYx.2007-2021.epw</t>
  </si>
  <si>
    <t>Sao.Luis.817150</t>
  </si>
  <si>
    <t>BRA_MA_Sao.Luis.817150_TMYx.2007-2021.epw</t>
  </si>
  <si>
    <t>BRA_MA_Turiacu.816870_TMYx.2004-2018.epw</t>
  </si>
  <si>
    <t>Turiacu.816870</t>
  </si>
  <si>
    <t>BRA_MA_Turiacu.816870_TMYx.2007-2021.epw</t>
  </si>
  <si>
    <t>Turiacu.821980</t>
  </si>
  <si>
    <t>Aguas.Vermelhas.867220</t>
  </si>
  <si>
    <t>BRA_MG_Aguas.Vermelhas.867220_TMYx.2007-2021.epw</t>
  </si>
  <si>
    <t>Aimores.868030</t>
  </si>
  <si>
    <t>BRA_MG_Aimores.868030_TMYx.2004-2018.epw</t>
  </si>
  <si>
    <t>BRA_MG_Aimores.868030_TMYx.2007-2021.epw</t>
  </si>
  <si>
    <t>Almenara.867430</t>
  </si>
  <si>
    <t>BRA_MG_Almenara.867430_TMYx.2007-2021.epw</t>
  </si>
  <si>
    <t>BRA_MG_Alta.Floresta.819770_TMYx.2007-2021.epw</t>
  </si>
  <si>
    <t>Alta.Floresta.819770</t>
  </si>
  <si>
    <t>BRA_MG_Aracuai.834420_TMYx.2004-2018.epw</t>
  </si>
  <si>
    <t>Aracuai.834420</t>
  </si>
  <si>
    <t>BRA_MG_Aracuai.834420_TMYx.2007-2021.epw</t>
  </si>
  <si>
    <t>Araxa.867960</t>
  </si>
  <si>
    <t>BRA_MG_Araxa.867960_TMYx.2004-2018.epw</t>
  </si>
  <si>
    <t>BRA_MG_Araxa.867960_TMYx.2007-2021.epw</t>
  </si>
  <si>
    <t>BRA_MG_Arinos.833840_TMYx.2004-2018.epw</t>
  </si>
  <si>
    <t>Arinos.833840</t>
  </si>
  <si>
    <t>BRA_MG_Arinos.833840_TMYx.2007-2021.epw</t>
  </si>
  <si>
    <t>BRA_MG_Bambui.835820_TMYx.2004-2018.epw</t>
  </si>
  <si>
    <t>Bambui.835820</t>
  </si>
  <si>
    <t>BRA_MG_Bambui.835820_TMYx.2007-2021.epw</t>
  </si>
  <si>
    <t>BRA_MG_Barbacena-Borges.AP.836890_TMYx.2004-2018.epw</t>
  </si>
  <si>
    <t>Barbacena-Borges.AP.836890</t>
  </si>
  <si>
    <t>BRA_MG_Barbacena-Borges.AP.836890_TMYx.2007-2021.epw</t>
  </si>
  <si>
    <t>BRA_MG_Barbacena.868500_TMYx.2007-2021.epw</t>
  </si>
  <si>
    <t>Barbacena.868500</t>
  </si>
  <si>
    <t>BRA_MG_Belo.Horizonte-Confins.AP.835660_TMYx.2004-2018.epw</t>
  </si>
  <si>
    <t>Belo.Horizonte-Confins.AP.835660</t>
  </si>
  <si>
    <t>BRA_MG_Belo.Horizonte-Confins.AP.835660_TMYx.2007-2021.epw</t>
  </si>
  <si>
    <t>BRA_MG_Belo.Horizonte-Neves-Confins.Intl.AP.835870_TMYx.2004-2018.epw</t>
  </si>
  <si>
    <t>Belo.Horizonte-Neves-Confins.Intl.AP.835870</t>
  </si>
  <si>
    <t>BRA_MG_Belo.Horizonte-Neves-Confins.Intl.AP.835870_TMYx.2007-2021.epw</t>
  </si>
  <si>
    <t>BRA_MG_Belo.Horizonte-Pampulha-Andrade.AP.835830_TMYx.2004-2018.epw</t>
  </si>
  <si>
    <t>Belo.Horizonte-Pampulha-Andrade.AP.835830</t>
  </si>
  <si>
    <t>BRA_MG_Belo.Horizonte-Pampulha-Andrade.AP.835830_TMYx.2007-2021.epw</t>
  </si>
  <si>
    <t>BRA_MG_Belo.Horizonte-Pampulha.868000_TMYx.2007-2021.epw</t>
  </si>
  <si>
    <t>Belo.Horizonte-Pampulha.868000</t>
  </si>
  <si>
    <t>Belo.Horizonte-Pampulha.AP.868000</t>
  </si>
  <si>
    <t>BRA_MG_Belo.Horizonte-Prates.AP.836724_TMYx.2004-2018.epw</t>
  </si>
  <si>
    <t>Belo.Horizonte-Prates.AP.836724</t>
  </si>
  <si>
    <t>BRA_MG_Belo.Horizonte-Prates.AP.836724_TMYx.2007-2021.epw</t>
  </si>
  <si>
    <t>Buritis.867180</t>
  </si>
  <si>
    <t>BRA_MG_Buritis.867180_TMYx.2007-2021.epw</t>
  </si>
  <si>
    <t>Caldas.868460</t>
  </si>
  <si>
    <t>BRA_MG_Caldas.868460_TMYx.2004-2018.epw</t>
  </si>
  <si>
    <t>BRA_MG_Caldas.868460_TMYx.2007-2021.epw</t>
  </si>
  <si>
    <t>Capelinha.867610</t>
  </si>
  <si>
    <t>BRA_MG_Capelinha.867610_TMYx.2007-2021.epw</t>
  </si>
  <si>
    <t>BRA_MG_Capina.Verde.867930_TMYx.2007-2021.epw</t>
  </si>
  <si>
    <t>Capina.Verde.867930</t>
  </si>
  <si>
    <t>Carangola.868230</t>
  </si>
  <si>
    <t>Caratinga.835920</t>
  </si>
  <si>
    <t>BRA_MG_Caratinga.868020_TMYx.2004-2018.epw</t>
  </si>
  <si>
    <t>Caratinga.868020</t>
  </si>
  <si>
    <t>BRA_MG_Caratinga.868020_TMYx.2007-2021.epw</t>
  </si>
  <si>
    <t>Chapada.Gaucha.867190</t>
  </si>
  <si>
    <t>BRA_MG_Chapada.Gaucha.867190_TMYx.2007-2021.epw</t>
  </si>
  <si>
    <t>Conceicao.das.Alagoas.867940</t>
  </si>
  <si>
    <t>BRA_MG_Conceicao.das.Alagoas.867940_TMYx.2007-2021.epw</t>
  </si>
  <si>
    <t>Curvelo.867800</t>
  </si>
  <si>
    <t>BRA_MG_Curvelo.AP.867800_TMYx.2007-2021.epw</t>
  </si>
  <si>
    <t>Curvelo.AP.867800</t>
  </si>
  <si>
    <t>Diamantina.AP.867810</t>
  </si>
  <si>
    <t>BRA_MG_Diamantina.AP.867810_TMYx.2004-2018.epw</t>
  </si>
  <si>
    <t>BRA_MG_Diamantina.AP.867810_TMYx.2007-2021.epw</t>
  </si>
  <si>
    <t>Dores.do.Indaia.867970</t>
  </si>
  <si>
    <t>Espinosa.866950</t>
  </si>
  <si>
    <t>BRA_MG_Espinosa.866950_TMYx.2007-2021.epw</t>
  </si>
  <si>
    <t>Florestal.867980</t>
  </si>
  <si>
    <t>BRA_MG_Florestal.867980_TMYx.2007-2021.epw</t>
  </si>
  <si>
    <t>Formiga.868200</t>
  </si>
  <si>
    <t>BRA_MG_Formiga.868200_TMYx.2007-2021.epw</t>
  </si>
  <si>
    <t>BRA_MG_Frutal.835740_TMYx.2004-2018.epw</t>
  </si>
  <si>
    <t>Frutal.835740</t>
  </si>
  <si>
    <t>BRA_MG_Frutal.835740_TMYx.2007-2021.epw</t>
  </si>
  <si>
    <t>Governador.Valadares.835430</t>
  </si>
  <si>
    <t>BRA_MG_Governador.Valadares.867830_TMYx.2007-2021.epw</t>
  </si>
  <si>
    <t>Governador.Valadares.867830</t>
  </si>
  <si>
    <t>BRA_MG_Guanhaes.867820_TMYx.2007-2021.epw</t>
  </si>
  <si>
    <t>Guanhaes.867820</t>
  </si>
  <si>
    <t>Guarda-Mor.867570</t>
  </si>
  <si>
    <t>BRA_MG_Guarda.Mor.867570_TMYx.2007-2021.epw</t>
  </si>
  <si>
    <t>Guarda.Mor.867570</t>
  </si>
  <si>
    <t>BRA_MG_Ibirite-Rola.Moca.868210_TMYx.2007-2021.epw</t>
  </si>
  <si>
    <t>Ibirite-Rola.Moca.868210</t>
  </si>
  <si>
    <t>Ibirite.868210</t>
  </si>
  <si>
    <t>Itaobim.867420</t>
  </si>
  <si>
    <t>BRA_MG_Itaobim.867420_TMYx.2007-2021.epw</t>
  </si>
  <si>
    <t>Ituiutaba.867750</t>
  </si>
  <si>
    <t>BRA_MG_Ituiutaba.867750_TMYx.2007-2021.epw</t>
  </si>
  <si>
    <t>BRA_MG_Januaria.833860_TMYx.2004-2018.epw</t>
  </si>
  <si>
    <t>Januaria.833860</t>
  </si>
  <si>
    <t>BRA_MG_Januaria.833860_TMYx.2007-2021.epw</t>
  </si>
  <si>
    <t>Joao.Pinheiro.AP.867580</t>
  </si>
  <si>
    <t>BRA_MG_Joao.Pinheiro.AP.867580_TMYx.2007-2021.epw</t>
  </si>
  <si>
    <t>BRA_MG_Juiz.de.Fora-Francisco.de.Assis.AP.836920_TMYx.2004-2018.epw</t>
  </si>
  <si>
    <t>Juiz.de.Fora-Francisco.de.Assis.AP.836920</t>
  </si>
  <si>
    <t>BRA_MG_Juiz.de.Fora-Francisco.de.Assis.AP.836920_TMYx.2007-2021.epw</t>
  </si>
  <si>
    <t>Juiz.de.Fora.836920</t>
  </si>
  <si>
    <t>BRA_MG_Juiz.de.Fora.868510_TMYx.2007-2021.epw</t>
  </si>
  <si>
    <t>Juiz.de.Fora.868510</t>
  </si>
  <si>
    <t>BRA_MG_Lagoa.Santa.AP.835880_TMYx.2004-2018.epw</t>
  </si>
  <si>
    <t>Lagoa.Santa.AP.835880</t>
  </si>
  <si>
    <t>BRA_MG_Lagoa.Santa.AP.835880_TMYx.2007-2021.epw</t>
  </si>
  <si>
    <t>BRA_MG_Lavras.836870_TMYx.2004-2018.epw</t>
  </si>
  <si>
    <t>Lavras.836870</t>
  </si>
  <si>
    <t>BRA_MG_Lavras.836870_TMYx.2007-2021.epw</t>
  </si>
  <si>
    <t>BRA_MG_Manhuacu.868250_TMYx.2007-2021.epw</t>
  </si>
  <si>
    <t>Manhuacu.868250</t>
  </si>
  <si>
    <t>Mantena.867840</t>
  </si>
  <si>
    <t>BRA_MG_Mantena.867840_TMYx.2007-2021.epw</t>
  </si>
  <si>
    <t>Maria.da.Fe.830150</t>
  </si>
  <si>
    <t>BRA_MG_Maria.da.Fe.868710_TMYx.2007-2021.epw</t>
  </si>
  <si>
    <t>Maria.da.Fe.868710</t>
  </si>
  <si>
    <t>Mocambinho.867200</t>
  </si>
  <si>
    <t>BRA_MG_Mocambinho.867200_TMYx.2007-2021.epw</t>
  </si>
  <si>
    <t>Montalvania.866930</t>
  </si>
  <si>
    <t>BRA_MG_Montalvania.866930_TMYx.2007-2021.epw</t>
  </si>
  <si>
    <t>BRA_MG_Monte.Azul.833880_TMYx.2004-2018.epw</t>
  </si>
  <si>
    <t>Monte.Azul.833880</t>
  </si>
  <si>
    <t>BRA_MG_Monte.Azul.833880_TMYx.2007-2021.epw</t>
  </si>
  <si>
    <t>BRA_MG_Monte.Verde.868700_TMYx.2007-2021.epw</t>
  </si>
  <si>
    <t>Monte.Verde.868700</t>
  </si>
  <si>
    <t>Monte.Verde.AP.868700</t>
  </si>
  <si>
    <t>BRA_MG_Montes.Claros-Ribeiro.AP.867400_TMYx.2004-2018.epw</t>
  </si>
  <si>
    <t>Montes.Claros-Ribeiro.AP.867400</t>
  </si>
  <si>
    <t>BRA_MG_Montes.Claros-Ribeiro.AP.867400_TMYx.2007-2021.epw</t>
  </si>
  <si>
    <t>Montes.Claros.867400</t>
  </si>
  <si>
    <t>Muriae.868520</t>
  </si>
  <si>
    <t>BRA_MG_Muriae.868520_TMYx.2007-2021.epw</t>
  </si>
  <si>
    <t>Ouro.Branco.868230</t>
  </si>
  <si>
    <t>BRA_MG_Ouro.Branco.868230_TMYx.2007-2021.epw</t>
  </si>
  <si>
    <t>BRA_MG_Paracatu.834790_TMYx.2004-2018.epw</t>
  </si>
  <si>
    <t>Paracatu.834790</t>
  </si>
  <si>
    <t>BRA_MG_Paracatu.834790_TMYx.2007-2021.epw</t>
  </si>
  <si>
    <t>Passa.Quatro.837370</t>
  </si>
  <si>
    <t>BRA_MG_Passa.Quatro.868730_TMYx.2007-2021.epw</t>
  </si>
  <si>
    <t>Passa.Quatro.868730</t>
  </si>
  <si>
    <t>Passos.868190</t>
  </si>
  <si>
    <t>BRA_MG_Passos.868190_TMYx.2007-2021.epw</t>
  </si>
  <si>
    <t>BRA_MG_Patos.de.Minas.835310_TMYx.2004-2018.epw</t>
  </si>
  <si>
    <t>Patos.de.Minas.835310</t>
  </si>
  <si>
    <t>BRA_MG_Patos.de.Minas.835310_TMYx.2007-2021.epw</t>
  </si>
  <si>
    <t>Patrocinio.867780</t>
  </si>
  <si>
    <t>BRA_MG_Patrocinio.867780_TMYx.2007-2021.epw</t>
  </si>
  <si>
    <t>BRA_MG_Pedra.Azul.833930_TMYx.2004-2018.epw</t>
  </si>
  <si>
    <t>Pedra.Azul.833930</t>
  </si>
  <si>
    <t>BRA_MG_Pedra.Azul.833930_TMYx.2007-2021.epw</t>
  </si>
  <si>
    <t>BRA_MG_Pirapora.867590_TMYx.2007-2021.epw</t>
  </si>
  <si>
    <t>Pirapora.867590</t>
  </si>
  <si>
    <t>BRA_MG_Pirapora.AP.834830_TMYx.2004-2018.epw</t>
  </si>
  <si>
    <t>Pirapora.AP.834830</t>
  </si>
  <si>
    <t>BRA_MG_Pirapora.AP.834830_TMYx.2007-2021.epw</t>
  </si>
  <si>
    <t>Pirapora.AP.867590</t>
  </si>
  <si>
    <t>BRA_MG_Pocos.de.Caldas.AP.836440_TMYx.2004-2018.epw</t>
  </si>
  <si>
    <t>Pocos.de.Caldas.AP.836440</t>
  </si>
  <si>
    <t>BRA_MG_Pocos.de.Caldas.AP.836440_TMYx.2007-2021.epw</t>
  </si>
  <si>
    <t>Rio.Pardo.de.Minas.867210</t>
  </si>
  <si>
    <t>BRA_MG_Rio.Pardo.de.Minas.867210_TMYx.2007-2021.epw</t>
  </si>
  <si>
    <t>Sacramento.867950</t>
  </si>
  <si>
    <t>BRA_MG_Sacramento.867950_TMYx.2007-2021.epw</t>
  </si>
  <si>
    <t>Salinas.867410</t>
  </si>
  <si>
    <t>BRA_MG_Salinas.867410_TMYx.2007-2021.epw</t>
  </si>
  <si>
    <t>Sao.Joao.del.Rei.836880</t>
  </si>
  <si>
    <t>BRA_MG_Sao.Joao.del.Rei.868490_TMYx.2007-2021.epw</t>
  </si>
  <si>
    <t>Sao.Joao.del.Rei.868490</t>
  </si>
  <si>
    <t>Sao.Romao.867390</t>
  </si>
  <si>
    <t>BRA_MG_Sao.Romao.867390_TMYx.2007-2021.epw</t>
  </si>
  <si>
    <t>Serra.dos.Aimores.867630</t>
  </si>
  <si>
    <t>BRA_MG_Serra.dos.Aimores.867630_TMYx.2007-2021.epw</t>
  </si>
  <si>
    <t>Teofilo.Otoni.867620</t>
  </si>
  <si>
    <t>BRA_MG_Teofilo.Otoni.AP.867620_TMYx.2007-2021.epw</t>
  </si>
  <si>
    <t>Teofilo.Otoni.AP.867620</t>
  </si>
  <si>
    <t>Timoteo.868010</t>
  </si>
  <si>
    <t>BRA_MG_Timoteo.868010_TMYx.2007-2021.epw</t>
  </si>
  <si>
    <t>Tres.Marias.867790</t>
  </si>
  <si>
    <t>BRA_MG_Tres.Marias.867790_TMYx.2007-2021.epw</t>
  </si>
  <si>
    <t>BRA_MG_Uberaba-Almeida.Franco.AP.835760_TMYx.2004-2018.epw</t>
  </si>
  <si>
    <t>Uberaba-Almeida.Franco.AP.835760</t>
  </si>
  <si>
    <t>BRA_MG_Uberaba-Almeida.Franco.AP.835760_TMYx.2007-2021.epw</t>
  </si>
  <si>
    <t>BRA_MG_Uberlandia-Bombonato.AP.835250_TMYx.2004-2018.epw</t>
  </si>
  <si>
    <t>Uberlandia-Bombonato.AP.835250</t>
  </si>
  <si>
    <t>BRA_MG_Uberlandia-Bombonato.AP.835250_TMYx.2007-2021.epw</t>
  </si>
  <si>
    <t>Uberlandia.867760</t>
  </si>
  <si>
    <t>BRA_MG_Uberlandia.867760_TMYx.2007-2021.epw</t>
  </si>
  <si>
    <t>BRA_MG_Unai.867380_TMYx.2007-2021.epw</t>
  </si>
  <si>
    <t>Unai.867380</t>
  </si>
  <si>
    <t>Unai.AP.834280</t>
  </si>
  <si>
    <t>Varginha.868480</t>
  </si>
  <si>
    <t>BRA_MG_Varginha.868480_TMYx.2007-2021.epw</t>
  </si>
  <si>
    <t>Vicosa.836420</t>
  </si>
  <si>
    <t>BRA_MG_Vicosa.868240_TMYx.2007-2021.epw</t>
  </si>
  <si>
    <t>Vicosa.868240</t>
  </si>
  <si>
    <t>BRA_MS_Agua.Clara.868120_TMYx.2007-2021.epw</t>
  </si>
  <si>
    <t>Agua.Clara.868120</t>
  </si>
  <si>
    <t>Amambai.868940</t>
  </si>
  <si>
    <t>BRA_MS_Amambai.868940_TMYx.2007-2021.epw</t>
  </si>
  <si>
    <t>BRA_MS_Aquidauana.868080_TMYx.2007-2021.epw</t>
  </si>
  <si>
    <t>Aquidauana.868080</t>
  </si>
  <si>
    <t>BRA_MS_Campo.Grande.868100_TMYx.2007-2021.epw</t>
  </si>
  <si>
    <t>Campo.Grande.868100</t>
  </si>
  <si>
    <t>BRA_MS_Campo.Grande.Intl.AP.836120_TMYx.2004-2018.epw</t>
  </si>
  <si>
    <t>Campo.Grande.Intl.AP.836120</t>
  </si>
  <si>
    <t>BRA_MS_Campo.Grande.Intl.AP.836120_TMYx.2007-2021.epw</t>
  </si>
  <si>
    <t>Campo.Grande.Intl.AP.868100</t>
  </si>
  <si>
    <t>BRA_MS_Cassilandia.867910_TMYx.2007-2021.epw</t>
  </si>
  <si>
    <t>Cassilandia.867910</t>
  </si>
  <si>
    <t>Chapadao.do.Sul.867720</t>
  </si>
  <si>
    <t>BRA_MS_Chapadao.do.Sul.867720_TMYx.2007-2021.epw</t>
  </si>
  <si>
    <t>BRA_MS_Corumba.867670_TMYx.2007-2021.epw</t>
  </si>
  <si>
    <t>Corumba.867670</t>
  </si>
  <si>
    <t>Corumba.Intl.AP.835520</t>
  </si>
  <si>
    <t>BRA_MS_Corumba.Intl.AP.835520_TMYx.2004-2018.epw</t>
  </si>
  <si>
    <t>BRA_MS_Corumba.Intl.AP.835520_TMYx.2007-2021.epw</t>
  </si>
  <si>
    <t>Coxim.867700</t>
  </si>
  <si>
    <t>Dourados.836590</t>
  </si>
  <si>
    <t>BRA_MS_Dourados.AP.868580_TMYx.2007-2021.epw</t>
  </si>
  <si>
    <t>Dourados.AP.868580</t>
  </si>
  <si>
    <t>BRA_MS_Itaquirai.868960_TMYx.2007-2021.epw</t>
  </si>
  <si>
    <t>Itaquirai.868960</t>
  </si>
  <si>
    <t>Ivinhema.868600</t>
  </si>
  <si>
    <t>BRA_MS_Ivinhema.868600_TMYx.2004-2018.epw</t>
  </si>
  <si>
    <t>BRA_MS_Ivinhema.868600_TMYx.2007-2021.epw</t>
  </si>
  <si>
    <t>Juti.868590</t>
  </si>
  <si>
    <t>BRA_MS_Juti.868590_TMYx.2007-2021.epw</t>
  </si>
  <si>
    <t>Miranda.868070</t>
  </si>
  <si>
    <t>BRA_MS_Miranda.868070_TMYx.2007-2021.epw</t>
  </si>
  <si>
    <t>Nhumirim.867680</t>
  </si>
  <si>
    <t>BRA_MS_Nhumirim.867680_TMYx.2007-2021.epw</t>
  </si>
  <si>
    <t>BRA_MS_Paranaiba.867920_TMYx.2007-2021.epw</t>
  </si>
  <si>
    <t>Paranaiba.867920</t>
  </si>
  <si>
    <t>Ponta.Pora.868570</t>
  </si>
  <si>
    <t>BRA_MS_Ponta.Pora.868570_TMYx.2007-2021.epw</t>
  </si>
  <si>
    <t>BRA_MS_Ponta.Pora.Intl.AP.837030_TMYx.2004-2018.epw</t>
  </si>
  <si>
    <t>Ponta.Pora.Intl.AP.837030</t>
  </si>
  <si>
    <t>BRA_MS_Ponta.Pora.Intl.AP.837030_TMYx.2007-2021.epw</t>
  </si>
  <si>
    <t>Porto.Murtinho.AP.868330</t>
  </si>
  <si>
    <t>BRA_MS_Porto.Murtinho.AP.868330_TMYx.2007-2021.epw</t>
  </si>
  <si>
    <t>Rio.Brilhante.868360</t>
  </si>
  <si>
    <t>BRA_MS_Rio.Brilhante.868360_TMYx.2007-2021.epw</t>
  </si>
  <si>
    <t>BRA_MS_Sao.Gabriel.do.Oeste.867890_TMYx.2007-2021.epw</t>
  </si>
  <si>
    <t>Sao.Gabriel.do.Oeste.867890</t>
  </si>
  <si>
    <t>Sete.Quedas.868950</t>
  </si>
  <si>
    <t>BRA_MS_Sete.Quedas.868950_TMYx.2007-2021.epw</t>
  </si>
  <si>
    <t>Sidrolandia.868090</t>
  </si>
  <si>
    <t>BRA_MS_Sidrolandia.868090_TMYx.2007-2021.epw</t>
  </si>
  <si>
    <t>BRA_MS_Tres.Lagoas.868130_TMYx.2007-2021.epw</t>
  </si>
  <si>
    <t>Tres.Lagoas.868130</t>
  </si>
  <si>
    <t>Tres.Lagoas.AP.868130</t>
  </si>
  <si>
    <t>Agua.Boa.866860</t>
  </si>
  <si>
    <t>BRA_MT_Agua.Boa.866860_TMYx.2007-2021.epw</t>
  </si>
  <si>
    <t>BRA_MT_Alta.Floresta.AP.829650_TMYx.2004-2018.epw</t>
  </si>
  <si>
    <t>Alta.Floresta.AP.829650</t>
  </si>
  <si>
    <t>BRA_MT_Alta.Floresta.AP.829650_TMYx.2007-2021.epw</t>
  </si>
  <si>
    <t>Alto.Taquari.867500</t>
  </si>
  <si>
    <t>BRA_MT_Alto.Taquari.867500_TMYx.2007-2021.epw</t>
  </si>
  <si>
    <t>Apiacas.819760</t>
  </si>
  <si>
    <t>BRA_MT_Apiacas.819760_TMYx.2007-2021.epw</t>
  </si>
  <si>
    <t>BRA_MT_Barra.do.Garcas.AP.833590_TMYx.2004-2018.epw</t>
  </si>
  <si>
    <t>Barra.do.Garcas.AP.833590</t>
  </si>
  <si>
    <t>BRA_MT_Barra.do.Garcas.AP.833590_TMYx.2007-2021.epw</t>
  </si>
  <si>
    <t>BRA_MT_Caceres.834050_TMYx.2004-2018.epw</t>
  </si>
  <si>
    <t>Caceres.834050</t>
  </si>
  <si>
    <t>BRA_MT_Caceres.834050_TMYx.2007-2021.epw</t>
  </si>
  <si>
    <t>Campo.Novo.do.Parecis.866620</t>
  </si>
  <si>
    <t>BRA_MT_Campo.Novo.dos.Parecis.866620_TMYx.2007-2021.epw</t>
  </si>
  <si>
    <t>Campo.Novo.dos.Parecis.866620</t>
  </si>
  <si>
    <t>Campo.Verde.867070</t>
  </si>
  <si>
    <t>BRA_MT_Campo.Verde.867070_TMYx.2007-2021.epw</t>
  </si>
  <si>
    <t>BRA_MT_Canarana.832700_TMYx.2004-2018.epw</t>
  </si>
  <si>
    <t>Canarana.832700</t>
  </si>
  <si>
    <t>BRA_MT_Canarana.832700_TMYx.2007-2021.epw</t>
  </si>
  <si>
    <t>Carlinda.819780</t>
  </si>
  <si>
    <t>BRA_MT_Carlinda.819780_TMYx.2007-2021.epw</t>
  </si>
  <si>
    <t>Comodoro.866610</t>
  </si>
  <si>
    <t>BRA_MT_Comodoro.866610_TMYx.2007-2021.epw</t>
  </si>
  <si>
    <t>Confresa.866060</t>
  </si>
  <si>
    <t>BRA_MT_Cotriguacu.819750_TMYx.2007-2021.epw</t>
  </si>
  <si>
    <t>Cotriguacu.819750</t>
  </si>
  <si>
    <t>Cotriguacu.829270</t>
  </si>
  <si>
    <t>BRA_MT_Cuiaba-Rondon.Intl.AP.833620_TMYx.2004-2018.epw</t>
  </si>
  <si>
    <t>Cuiaba-Rondon.Intl.AP.833620</t>
  </si>
  <si>
    <t>BRA_MT_Cuiaba-Rondon.Intl.AP.833620_TMYx.2007-2021.epw</t>
  </si>
  <si>
    <t>Cuiaba.867050</t>
  </si>
  <si>
    <t>BRA_MT_Cuiaba.867050_TMYx.2007-2021.epw</t>
  </si>
  <si>
    <t>BRA_MT_Diamantino.AP.833090_TMYx.2004-2018.epw</t>
  </si>
  <si>
    <t>Diamantino.AP.833090</t>
  </si>
  <si>
    <t>BRA_MT_Diamantino.AP.833090_TMYx.2007-2021.epw</t>
  </si>
  <si>
    <t>Gaucha.do.Norte.866660</t>
  </si>
  <si>
    <t>BRA_MT_Gaucha.do.Norte.866660_TMYx.2007-2021.epw</t>
  </si>
  <si>
    <t>BRA_MT_Gleba.Celeste.832640_TMYx.2007-2021.epw</t>
  </si>
  <si>
    <t>Gleba.Celeste.832640</t>
  </si>
  <si>
    <t>Guaranta.do.Norte.819790</t>
  </si>
  <si>
    <t>Guiratinga.867290</t>
  </si>
  <si>
    <t>BRA_MT_Guiratinga.867290_TMYx.2007-2021.epw</t>
  </si>
  <si>
    <t>Itiquira.867480</t>
  </si>
  <si>
    <t>Juara.866250</t>
  </si>
  <si>
    <t>BRA_MT_Juara.866250_TMYx.2007-2021.epw</t>
  </si>
  <si>
    <t>Juina.866240</t>
  </si>
  <si>
    <t>BRA_MT_Juina.866240_TMYx.2007-2021.epw</t>
  </si>
  <si>
    <t>BRA_MT_Matupa.832140_TMYx.2004-2018.epw</t>
  </si>
  <si>
    <t>Matupa.832140</t>
  </si>
  <si>
    <t>Nova.Maringa.866630</t>
  </si>
  <si>
    <t>BRA_MT_Nova.Maringa.866630_TMYx.2007-2021.epw</t>
  </si>
  <si>
    <t>BRA_MT_Nova.Xavantina.AP.833190_TMYx.2004-2018.epw</t>
  </si>
  <si>
    <t>Nova.Xavantina.AP.833190</t>
  </si>
  <si>
    <t>BRA_MT_Nova.Xavantina.AP.833190_TMYx.2007-2021.epw</t>
  </si>
  <si>
    <t>Novo.Mundo.866430</t>
  </si>
  <si>
    <t>BRA_MT_Novo.Mundo.866430_TMYx.2007-2021.epw</t>
  </si>
  <si>
    <t>Paranatinga.866840</t>
  </si>
  <si>
    <t>BRA_MT_Paranatinga.866840_TMYx.2007-2021.epw</t>
  </si>
  <si>
    <t>Pontes.de.Lacerda.867020</t>
  </si>
  <si>
    <t>Porto.Estrela.867040</t>
  </si>
  <si>
    <t>BRA_MT_Porto.Estrela.867040_TMYx.2007-2021.epw</t>
  </si>
  <si>
    <t>BRA_MT_Poxoreo.833580_TMYx.2004-2018.epw</t>
  </si>
  <si>
    <t>Poxoreo.833580</t>
  </si>
  <si>
    <t>BRA_MT_Poxoreo.833580_TMYx.2007-2021.epw</t>
  </si>
  <si>
    <t>Querencia.866470</t>
  </si>
  <si>
    <t>BRA_MT_Querencia.866470_TMYx.2007-2021.epw</t>
  </si>
  <si>
    <t>Rondonopolis.867280</t>
  </si>
  <si>
    <t>BRA_MT_Rondonopolis.867280_TMYx.2007-2021.epw</t>
  </si>
  <si>
    <t>Salto.do.Ceu.867030</t>
  </si>
  <si>
    <t>BRA_MT_Salto.do.Ceu.867030_TMYx.2007-2021.epw</t>
  </si>
  <si>
    <t>Santo.Antonio.do.Leste.866850</t>
  </si>
  <si>
    <t>Sao.Felix.do.Araguaia.866280</t>
  </si>
  <si>
    <t>BRA_MT_Sao.Felix.do.Araguaia.866280_TMYx.2007-2021.epw</t>
  </si>
  <si>
    <t>Sao.Jose.do.Rio.Claro.866640</t>
  </si>
  <si>
    <t>BRA_MT_Sao.Jose.do.Rio.Claro.866640_TMYx.2007-2021.epw</t>
  </si>
  <si>
    <t>Sinop.866260</t>
  </si>
  <si>
    <t>BRA_MT_Sinop.866260_TMYx.2007-2021.epw</t>
  </si>
  <si>
    <t>Sorriso.866450</t>
  </si>
  <si>
    <t>BRA_MT_Sorriso.866450_TMYx.2007-2021.epw</t>
  </si>
  <si>
    <t>Tangara.da.Serra.866820</t>
  </si>
  <si>
    <t>BRA_MT_Tangara.da.Serra.866820_TMYx.2007-2021.epw</t>
  </si>
  <si>
    <t>Vila.Bela.da.Santissima.Trindade.867010</t>
  </si>
  <si>
    <t>BRA_PA_Altamira.AP.823530_TMYx.2004-2018.epw</t>
  </si>
  <si>
    <t>Altamira.AP.823530</t>
  </si>
  <si>
    <t>BRA_PA_Altamira.AP.823530_TMYx.2007-2021.epw</t>
  </si>
  <si>
    <t>BRA_PA_Belem-Val.de.Cans.Intl.AP.821930_TMYx.2004-2018.epw</t>
  </si>
  <si>
    <t>Belem-Val.de.Cans.Intl.AP.821930</t>
  </si>
  <si>
    <t>BRA_PA_Belem-Val.de.Cans.Intl.AP.821930_TMYx.2007-2021.epw</t>
  </si>
  <si>
    <t>Belem.816800</t>
  </si>
  <si>
    <t>BRA_PA_Belem.816800_TMYx.2007-2021.epw</t>
  </si>
  <si>
    <t>BRA_PA_Belterra.822460_TMYx.2004-2018.epw</t>
  </si>
  <si>
    <t>Belterra.822460</t>
  </si>
  <si>
    <t>BRA_PA_Belterra.822460_TMYx.2007-2021.epw</t>
  </si>
  <si>
    <t>Braganca.816850</t>
  </si>
  <si>
    <t>BRA_PA_Braganca.816850_TMYx.2007-2021.epw</t>
  </si>
  <si>
    <t>BRA_PA_Cachimbo.AP.829300_TMYx.2004-2018.epw</t>
  </si>
  <si>
    <t>Cachimbo.AP.829300</t>
  </si>
  <si>
    <t>BRA_PA_Cachimbo.AP.829300_TMYx.2007-2021.epw</t>
  </si>
  <si>
    <t>Cameta.817100</t>
  </si>
  <si>
    <t>BRA_PA_Cameta.817100_TMYx.2007-2021.epw</t>
  </si>
  <si>
    <t>Castanhal.816820</t>
  </si>
  <si>
    <t>BRA_PA_Castanhal.816820_TMYx.2007-2021.epw</t>
  </si>
  <si>
    <t>Conceicao.do.Araguaia.819400</t>
  </si>
  <si>
    <t>BRA_PA_Conceicao.do.Araguaia.819400_TMYx.2007-2021.epw</t>
  </si>
  <si>
    <t>BRA_PA_Conceicao.do.Araguaia.AP.828610_TMYx.2004-2018.epw</t>
  </si>
  <si>
    <t>Conceicao.do.Araguaia.AP.828610</t>
  </si>
  <si>
    <t>BRA_PA_Conceicao.do.Araguaia.AP.828610_TMYx.2007-2021.epw</t>
  </si>
  <si>
    <t>Itaituba.817780</t>
  </si>
  <si>
    <t>BRA_PA_Itaituba.817780_TMYx.2007-2021.epw</t>
  </si>
  <si>
    <t>BRA_PA_Itaituba.AP.824440_TMYx.2004-2018.epw</t>
  </si>
  <si>
    <t>Itaituba.AP.824440</t>
  </si>
  <si>
    <t>BRA_PA_Itaituba.AP.824440_TMYx.2007-2021.epw</t>
  </si>
  <si>
    <t>BRA_PA_Jacareacanga.AP.826400_TMYx.2004-2018.epw</t>
  </si>
  <si>
    <t>Jacareacanga.AP.826400</t>
  </si>
  <si>
    <t>BRA_PA_Jacareacanga.AP.826400_TMYx.2007-2021.epw</t>
  </si>
  <si>
    <t>BRA_PA_Maraba-Correa.da.Rocha.AP.825620_TMYx.2004-2018.epw</t>
  </si>
  <si>
    <t>Maraba-Correa.da.Rocha.AP.825620</t>
  </si>
  <si>
    <t>BRA_PA_Maraba-Correa.da.Rocha.AP.825620_TMYx.2007-2021.epw</t>
  </si>
  <si>
    <t>BRA_PA_Maraba.818200_TMYx.2007-2021.epw</t>
  </si>
  <si>
    <t>Maraba.818200</t>
  </si>
  <si>
    <t>Maraba.825620</t>
  </si>
  <si>
    <t>BRA_PA_Medicilandia.817390_TMYx.2007-2021.epw</t>
  </si>
  <si>
    <t>Medicilandia.817390</t>
  </si>
  <si>
    <t>BRA_PA_Monte.Alegre.AP.821810_TMYx.2004-2018.epw</t>
  </si>
  <si>
    <t>Monte.Alegre.AP.821810</t>
  </si>
  <si>
    <t>BRA_PA_Monte.Alegre.AP.821810_TMYx.2007-2021.epw</t>
  </si>
  <si>
    <t>Novo.Repartimento.817840</t>
  </si>
  <si>
    <t>BRA_PA_Novo.Repartimento.817840_TMYx.2007-2021.epw</t>
  </si>
  <si>
    <t>Pacaja.817420</t>
  </si>
  <si>
    <t>Paragominas.817450</t>
  </si>
  <si>
    <t>BRA_PA_Paragominas.817450_TMYx.2007-2021.epw</t>
  </si>
  <si>
    <t>BRA_PA_Parauapebas-Carajas.AP.825670_TMYx.2004-2018.epw</t>
  </si>
  <si>
    <t>Parauapebas-Carajas.AP.825670</t>
  </si>
  <si>
    <t>BRA_PA_Parauapebas-Carajas.AP.825670_TMYx.2007-2021.epw</t>
  </si>
  <si>
    <t>Placas.817370</t>
  </si>
  <si>
    <t>BRA_PA_Placas.817370_TMYx.2007-2021.epw</t>
  </si>
  <si>
    <t>BRA_PA_Porto.de.Moz.AP.821840_TMYx.2004-2018.epw</t>
  </si>
  <si>
    <t>Porto.de.Moz.AP.821840</t>
  </si>
  <si>
    <t>BRA_PA_Porto.de.Moz.AP.821840_TMYx.2007-2021.epw</t>
  </si>
  <si>
    <t>Rondon.do.Para.817860</t>
  </si>
  <si>
    <t>BRA_PA_Rondon.do.Para.817860_TMYx.2007-2021.epw</t>
  </si>
  <si>
    <t>Salinopolis.816600</t>
  </si>
  <si>
    <t>BRA_PA_Salinopolis.816600_TMYx.2004-2018.epw</t>
  </si>
  <si>
    <t>BRA_PA_Salinopolis.816600_TMYx.2007-2021.epw</t>
  </si>
  <si>
    <t>Santana.do.Araguaia.819820</t>
  </si>
  <si>
    <t>BRA_PA_Santana.do.Araguaia.819820_TMYx.2007-2021.epw</t>
  </si>
  <si>
    <t>BRA_PA_Santerem-Fonseca.Intl.AP.822440_TMYx.2004-2018.epw</t>
  </si>
  <si>
    <t>Santerem-Fonseca.Intl.AP.822440</t>
  </si>
  <si>
    <t>BRA_PA_Santerem-Fonseca.Intl.AP.822440_TMYx.2007-2021.epw</t>
  </si>
  <si>
    <t>BRA_PA_Serra.de.Carajas.818600_TMYx.2007-2021.epw</t>
  </si>
  <si>
    <t>Serra.de.Carajas.818600</t>
  </si>
  <si>
    <t>Serra.dos.Carajas.818600</t>
  </si>
  <si>
    <t>BRA_PA_Soure.816580_TMYx.2007-2021.epw</t>
  </si>
  <si>
    <t>Soure.816580</t>
  </si>
  <si>
    <t>Soure.821410</t>
  </si>
  <si>
    <t>BRA_PA_Soure.AP.821410_TMYx.2004-2018.epw</t>
  </si>
  <si>
    <t>Soure.AP.821410</t>
  </si>
  <si>
    <t>BRA_PA_Soure.AP.821410_TMYx.2007-2021.epw</t>
  </si>
  <si>
    <t>Tome.Acu.817110</t>
  </si>
  <si>
    <t>BRA_PA_Tome.Acu.817110_TMYx.2007-2021.epw</t>
  </si>
  <si>
    <t>BRA_PA_Tracuateua.Braganca.821450_TMYx.2004-2018.epw</t>
  </si>
  <si>
    <t>Tracuateua.Braganca.821450</t>
  </si>
  <si>
    <t>BRA_PA_Tracuateua.Braganca.821450_TMYx.2007-2021.epw</t>
  </si>
  <si>
    <t>Tucurui.817430</t>
  </si>
  <si>
    <t>BRA_PA_Tucurui.817430_TMYx.2007-2021.epw</t>
  </si>
  <si>
    <t>BRA_PA_Tucurui.AP.823610_TMYx.2004-2018.epw</t>
  </si>
  <si>
    <t>Tucurui.AP.823610</t>
  </si>
  <si>
    <t>BRA_PA_Tucurui.AP.823610_TMYx.2007-2021.epw</t>
  </si>
  <si>
    <t>Areia.818770</t>
  </si>
  <si>
    <t>BRA_PB_Areia.818770_TMYx.2007-2021.epw</t>
  </si>
  <si>
    <t>Cabaceiras.819150</t>
  </si>
  <si>
    <t>BRA_PB_Cabaceiras.819150_TMYx.2007-2021.epw</t>
  </si>
  <si>
    <t>Camaratuba.818780</t>
  </si>
  <si>
    <t>BRA_PB_Camaratuba.818780_TMYx.2007-2021.epw</t>
  </si>
  <si>
    <t>BRA_PB_Campina.Grande-Suassuna.AP.827950_TMYx.2004-2018.epw</t>
  </si>
  <si>
    <t>Campina.Grande-Suassuna.AP.827950</t>
  </si>
  <si>
    <t>BRA_PB_Campina.Grande-Suassuna.AP.827950_TMYx.2007-2021.epw</t>
  </si>
  <si>
    <t>Campina.Grande.819160</t>
  </si>
  <si>
    <t>BRA_PB_Campna.Grande.819160_TMYx.2007-2021.epw</t>
  </si>
  <si>
    <t>Campna.Grande.819160</t>
  </si>
  <si>
    <t>Joao.Pessoa.819180</t>
  </si>
  <si>
    <t>BRA_PB_Joao.Pessoa.827980_TMYx.2004-2018.epw</t>
  </si>
  <si>
    <t>Joao.Pessoa.827980</t>
  </si>
  <si>
    <t>BRA_PB_Joao.Pessoa.827980_TMYx.2007-2021.epw</t>
  </si>
  <si>
    <t>Monteiro.819140</t>
  </si>
  <si>
    <t>BRA_PB_Monteiro.819140_TMYx.2007-2021.epw</t>
  </si>
  <si>
    <t>Patos.819130</t>
  </si>
  <si>
    <t>BRA_PB_Patos.819130_TMYx.2007-2021.epw</t>
  </si>
  <si>
    <t>BRA_PB_Petrolina-Coelho.AP.829840_TMYx.2004-2018.epw</t>
  </si>
  <si>
    <t>Petrolina-Coelho.AP.829840</t>
  </si>
  <si>
    <t>BRA_PB_Petrolina-Coelho.AP.829840_TMYx.2007-2021.epw</t>
  </si>
  <si>
    <t>Sao.Goncalo.817740</t>
  </si>
  <si>
    <t>BRA_PB_Sao.Goncalo.817740_TMYx.2007-2021.epw</t>
  </si>
  <si>
    <t>BRA_PE_Arco.Verde.819530_TMYx.2007-2021.epw</t>
  </si>
  <si>
    <t>Arco.Verde.819530</t>
  </si>
  <si>
    <t>Arcoverde.819530</t>
  </si>
  <si>
    <t>BRA_PE_Cabrobo.819510_TMYx.2007-2021.epw</t>
  </si>
  <si>
    <t>Cabrobo.819510</t>
  </si>
  <si>
    <t>Cabrobo.828860</t>
  </si>
  <si>
    <t>BRA_PE_Caruaru.819560_TMYx.2007-2021.epw</t>
  </si>
  <si>
    <t>Caruaru.819560</t>
  </si>
  <si>
    <t>Caruaru.828950</t>
  </si>
  <si>
    <t>Floresta.819770</t>
  </si>
  <si>
    <t>Garanhuns.819550</t>
  </si>
  <si>
    <t>BRA_PE_Garanhuns.819550_TMYx.2007-2021.epw</t>
  </si>
  <si>
    <t>Ibimirim.819540</t>
  </si>
  <si>
    <t>BRA_PE_Ibimirim.819540_TMYx.2007-2021.epw</t>
  </si>
  <si>
    <t>BRA_PE_Ilha.Fernando.de.Noronha-Wilson.AP.824000_TMYx.2004-2018.epw</t>
  </si>
  <si>
    <t>Ilha.Fernando.de.Noronha-Wilson.AP.824000</t>
  </si>
  <si>
    <t>BRA_PE_Ilha.Fernando.de.Noronha-Wilson.AP.824000_TMYx.2007-2021.epw</t>
  </si>
  <si>
    <t>BRA_PE_Ouricuri.819100_TMYx.2007-2021.epw</t>
  </si>
  <si>
    <t>Ouricuri.819100</t>
  </si>
  <si>
    <t>Palmares.819570</t>
  </si>
  <si>
    <t>BRA_PE_Palmares.819570_TMYx.2007-2021.epw</t>
  </si>
  <si>
    <t>Petrolina.819910</t>
  </si>
  <si>
    <t>BRA_PE_Petrolina.819910_TMYx.2004-2018.epw</t>
  </si>
  <si>
    <t>BRA_PE_Petrolina.819910_TMYx.2007-2021.epw</t>
  </si>
  <si>
    <t>BRA_PE_Recife-Guararapes-Freyre.Intl.AP.828990_TMYx.2004-2018.epw</t>
  </si>
  <si>
    <t>Recife-Guararapes-Freyre.Intl.AP.828990</t>
  </si>
  <si>
    <t>BRA_PE_Recife-Guararapes-Freyre.Intl.AP.828990_TMYx.2007-2021.epw</t>
  </si>
  <si>
    <t>Recife.819580</t>
  </si>
  <si>
    <t>BRA_PE_Recife.819580_TMYx.2007-2021.epw</t>
  </si>
  <si>
    <t>Serra.Talhada.819120</t>
  </si>
  <si>
    <t>BRA_PE_Serra.Talhada.819120_TMYx.2007-2021.epw</t>
  </si>
  <si>
    <t>Surubim.819170</t>
  </si>
  <si>
    <t>BRA_PE_Surubim.819170_TMYx.2007-2021.epw</t>
  </si>
  <si>
    <t>BRA_PE_Triunfo.827890_TMYx.2004-2018.epw</t>
  </si>
  <si>
    <t>Triunfo.827890</t>
  </si>
  <si>
    <t>BRA_PE_Triunfo.827890_TMYx.2007-2021.epw</t>
  </si>
  <si>
    <t>Alvorada.do.Gurgueia.818460</t>
  </si>
  <si>
    <t>BRA_PI_Alvorada.do.Gurgueia.818460_TMYx.2007-2021.epw</t>
  </si>
  <si>
    <t>BRA_PI_Bom.Jesus.819870_TMYx.2007-2021.epw</t>
  </si>
  <si>
    <t>Bom.Jesus.819870</t>
  </si>
  <si>
    <t>Bom.Jesus.do.Piaui.829750</t>
  </si>
  <si>
    <t>BRA_PI_Canto.do.Buriti.818470_TMYx.2007-2021.epw</t>
  </si>
  <si>
    <t>Canto.do.Buriti.818470</t>
  </si>
  <si>
    <t>Caracol.819880</t>
  </si>
  <si>
    <t>BRA_PI_Caracol.819880_TMYx.2007-2021.epw</t>
  </si>
  <si>
    <t>Castelo.do.Piaui.818290</t>
  </si>
  <si>
    <t>Esperantina.817510</t>
  </si>
  <si>
    <t>Floriano.818680</t>
  </si>
  <si>
    <t>BRA_PI_Floriano.818680_TMYx.2004-2018.epw</t>
  </si>
  <si>
    <t>BRA_PI_Floriano.818680_TMYx.2007-2021.epw</t>
  </si>
  <si>
    <t>Gilbues.819860</t>
  </si>
  <si>
    <t>BRA_PI_Gilbues.819860_TMYx.2007-2021.epw</t>
  </si>
  <si>
    <t>BRA_PI_Morada.Nova.818320_TMYx.2007-2021.epw</t>
  </si>
  <si>
    <t>Morada.Nova.818320</t>
  </si>
  <si>
    <t>Oeiras.818690</t>
  </si>
  <si>
    <t>BRA_PI_Oeiras.818690_TMYx.2007-2021.epw</t>
  </si>
  <si>
    <t>BRA_PI_Parnaiba-Silva.Filho.Intl.AP.822880_TMYx.2004-2018.epw</t>
  </si>
  <si>
    <t>Parnaiba-Silva.Filho.Intl.AP.822880</t>
  </si>
  <si>
    <t>BRA_PI_Parnaiba-Silva.Filho.Intl.AP.822880_TMYx.2007-2021.epw</t>
  </si>
  <si>
    <t>Parnaiba.817520</t>
  </si>
  <si>
    <t>BRA_PI_Parnaiba.817520_TMYx.2007-2021.epw</t>
  </si>
  <si>
    <t>BRA_PI_Paulistana.819500_TMYx.2007-2021.epw</t>
  </si>
  <si>
    <t>Paulistana.819500</t>
  </si>
  <si>
    <t>Paulistana.828820</t>
  </si>
  <si>
    <t>BRA_PI_Picos.819080_TMYx.2004-2018.epw</t>
  </si>
  <si>
    <t>Picos.819080</t>
  </si>
  <si>
    <t>BRA_PI_Picos.819080_TMYx.2007-2021.epw</t>
  </si>
  <si>
    <t>Picos.827910</t>
  </si>
  <si>
    <t>Piripiri.817940</t>
  </si>
  <si>
    <t>BRA_PI_Piripiri.817940_TMYx.2007-2021.epw</t>
  </si>
  <si>
    <t>Sao.Joao.do.Piaui.818480</t>
  </si>
  <si>
    <t>BRA_PI_Sao.Joao.do.Piaui.818480_TMYx.2004-2018.epw</t>
  </si>
  <si>
    <t>BRA_PI_Sao.Joao.do.Piaui.818480_TMYx.2007-2021.epw</t>
  </si>
  <si>
    <t>Sao.Pedro.do.Piaui.818280</t>
  </si>
  <si>
    <t>Sao.Raimundo.Nonato.819890</t>
  </si>
  <si>
    <t>BRA_PI_Sao.Raimundo.Nonato.819890_TMYx.2007-2021.epw</t>
  </si>
  <si>
    <t>BRA_PI_Teresina-Portella.AP.825790_TMYx.2004-2018.epw</t>
  </si>
  <si>
    <t>Teresina-Portella.AP.825790</t>
  </si>
  <si>
    <t>BRA_PI_Teresina-Portella.AP.825790_TMYx.2007-2021.epw</t>
  </si>
  <si>
    <t>BRA_PI_Teresina.818270_TMYx.2007-2021.epw</t>
  </si>
  <si>
    <t>Teresina.818270</t>
  </si>
  <si>
    <t>Teresina.818320</t>
  </si>
  <si>
    <t>Urucui.819050</t>
  </si>
  <si>
    <t>BRA_PI_Urucui.819050_TMYx.2007-2021.epw</t>
  </si>
  <si>
    <t>Valenca.do.Piaui.818700</t>
  </si>
  <si>
    <t>BRA_PI_Valenca.do.Piaui.818700_TMYx.2007-2021.epw</t>
  </si>
  <si>
    <t>BRA_PR_Campo.Mourao.837830_TMYx.2004-2018.epw</t>
  </si>
  <si>
    <t>Campo.Mourao.837830</t>
  </si>
  <si>
    <t>BRA_PR_Cascavel.AP.836726_TMYx.2004-2018.epw</t>
  </si>
  <si>
    <t>Cascavel.AP.836726</t>
  </si>
  <si>
    <t>BRA_PR_Cascavel.AP.836726_TMYx.2007-2021.epw</t>
  </si>
  <si>
    <t>Castro.869210</t>
  </si>
  <si>
    <t>BRA_PR_Castro.869210_TMYx.2007-2021.epw</t>
  </si>
  <si>
    <t>Cidade.Gaucha.868980</t>
  </si>
  <si>
    <t>BRA_PR_Cidade.Gaucha.868980_TMYx.2007-2021.epw</t>
  </si>
  <si>
    <t>Clevelandia.869390</t>
  </si>
  <si>
    <t>BRA_PR_Clevelandia.869390_TMYx.2007-2021.epw</t>
  </si>
  <si>
    <t>BRA_PR_Curitiba-Bacacheri.AP.838420_TMYx.2004-2018.epw</t>
  </si>
  <si>
    <t>Curitiba-Bacacheri.AP.838420</t>
  </si>
  <si>
    <t>BRA_PR_Curitiba-Bacacheri.AP.838420_TMYx.2007-2021.epw</t>
  </si>
  <si>
    <t>BRA_PR_Curitiba-Pena.Intl.AP.838400_TMYx.2004-2018.epw</t>
  </si>
  <si>
    <t>Curitiba-Pena.Intl.AP.838400</t>
  </si>
  <si>
    <t>BRA_PR_Curitiba-Pena.Intl.AP.838400_TMYx.2007-2021.epw</t>
  </si>
  <si>
    <t>Curitiba.838420</t>
  </si>
  <si>
    <t>BRA_PR_Curitiba.869330_TMYx.2007-2021.epw</t>
  </si>
  <si>
    <t>Curitiba.869330</t>
  </si>
  <si>
    <t>Diamante.do.Norte.868610</t>
  </si>
  <si>
    <t>BRA_PR_Diamante.do.Norte.868610_TMYx.2007-2021.epw</t>
  </si>
  <si>
    <t>Dois.Vizinhos.869270</t>
  </si>
  <si>
    <t>BRA_PR_Dois.Vizinhos.869270_TMYx.2007-2021.epw</t>
  </si>
  <si>
    <t>BRA_PR_Foz.do.Iguacu-Cataratas.Intl.AP.838270_TMYx.2004-2018.epw</t>
  </si>
  <si>
    <t>Foz.do.Iguacu-Cataratas.Intl.AP.838270</t>
  </si>
  <si>
    <t>BRA_PR_Foz.do.Iguacu-Cataratas.Intl.AP.838270_TMYx.2007-2021.epw</t>
  </si>
  <si>
    <t>Foz.do.Iguacu-Cataratas.Intl.AP.869250</t>
  </si>
  <si>
    <t>General.Carneiro.869410</t>
  </si>
  <si>
    <t>BRA_PR_General.Carneiro.869410_TMYx.2007-2021.epw</t>
  </si>
  <si>
    <t>Ibaiti.869020</t>
  </si>
  <si>
    <t>BRA_PR_Ibaiti.869020_TMYx.2007-2021.epw</t>
  </si>
  <si>
    <t>Icaraima.868970</t>
  </si>
  <si>
    <t>BRA_PR_Icaraima.868970_TMYx.2007-2021.epw</t>
  </si>
  <si>
    <t>Ilha.do.Mel.869350</t>
  </si>
  <si>
    <t>Inacio.Martins.869290</t>
  </si>
  <si>
    <t>BRA_PR_Inacio.Martins.869290_TMYx.2007-2021.epw</t>
  </si>
  <si>
    <t>BRA_PR_Irati.838360_TMYx.2004-2018.epw</t>
  </si>
  <si>
    <t>Irati.838360</t>
  </si>
  <si>
    <t>BRA_PR_Irati.838360_TMYx.2007-2021.epw</t>
  </si>
  <si>
    <t>Ivai.869300</t>
  </si>
  <si>
    <t>BRA_PR_Ivai.869300_TMYx.2004-2018.epw</t>
  </si>
  <si>
    <t>BRA_PR_Ivai.869300_TMYx.2007-2021.epw</t>
  </si>
  <si>
    <t>Joaquim.Tavora.869030</t>
  </si>
  <si>
    <t>BRA_PR_Joaquim.Tavora.869030_TMYx.2007-2021.epw</t>
  </si>
  <si>
    <t>BRA_PR_Londrina-Richa.AP.837680_TMYx.2004-2018.epw</t>
  </si>
  <si>
    <t>Londrina-Richa.AP.837680</t>
  </si>
  <si>
    <t>BRA_PR_Londrina-Richa.AP.837680_TMYx.2007-2021.epw</t>
  </si>
  <si>
    <t>BRA_PR_Londrina.837660_TMYx.2004-2018.epw</t>
  </si>
  <si>
    <t>Londrina.837660</t>
  </si>
  <si>
    <t>BRA_PR_Londrina.837660_TMYx.2007-2021.epw</t>
  </si>
  <si>
    <t>Londrina.837680</t>
  </si>
  <si>
    <t>Marechal.Candido.Rondon.869160</t>
  </si>
  <si>
    <t>BRA_PR_Marechal.Candido.Rondon.869160_TMYx.2007-2021.epw</t>
  </si>
  <si>
    <t>BRA_PR_Maringa-Name.Junior.AP.837670_TMYx.2004-2018.epw</t>
  </si>
  <si>
    <t>Maringa-Name.Junior.AP.837670</t>
  </si>
  <si>
    <t>BRA_PR_Maringa-Name.Junior.AP.837670_TMYx.2007-2021.epw</t>
  </si>
  <si>
    <t>Maringa.868990</t>
  </si>
  <si>
    <t>BRA_PR_Maringa.868990_TMYx.2007-2021.epw</t>
  </si>
  <si>
    <t>BRA_PR_Morretes.869340_TMYx.2007-2021.epw</t>
  </si>
  <si>
    <t>Morretes.869340</t>
  </si>
  <si>
    <t>Nova.Fatima.869010</t>
  </si>
  <si>
    <t>BRA_PR_Nova.Fatima.869010_TMYx.2007-2021.epw</t>
  </si>
  <si>
    <t>Nova.Tebas.869190</t>
  </si>
  <si>
    <t>BRA_PR_Nova.Tebas.869190_TMYx.2007-2021.epw</t>
  </si>
  <si>
    <t>BRA_PR_Paranagua.838440_TMYx.2004-2018.epw</t>
  </si>
  <si>
    <t>Paranagua.838440</t>
  </si>
  <si>
    <t>BRA_PR_Paranagua.838440_TMYx.2007-2021.epw</t>
  </si>
  <si>
    <t>Paranapoema.868620</t>
  </si>
  <si>
    <t>BRA_PR_Paranapoema.868620_TMYx.2007-2021.epw</t>
  </si>
  <si>
    <t>Planalto.869260</t>
  </si>
  <si>
    <t>BRA_PR_Planalto.869260_TMYx.2007-2021.epw</t>
  </si>
  <si>
    <t>BRA_PR_Tancredo.Thomas.de.Faria.836729_TMYx.2007-2021.epw</t>
  </si>
  <si>
    <t>Tancredo.Thomas.de.Faria.836729</t>
  </si>
  <si>
    <t>Arraial.do.Cabo.868920</t>
  </si>
  <si>
    <t>BRA_RJ_Cabo.Frio.868920_TMYx.2007-2021.epw</t>
  </si>
  <si>
    <t>Cabo.Frio.868920</t>
  </si>
  <si>
    <t>Cambuci.868540</t>
  </si>
  <si>
    <t>BRA_RJ_Cambuci.868540_TMYx.2007-2021.epw</t>
  </si>
  <si>
    <t>BRA_RJ_Campo.de.Mattos-Afonos.AB.837480_TMYx.2004-2018.epw</t>
  </si>
  <si>
    <t>Campo.de.Mattos-Afonos.AB.837480</t>
  </si>
  <si>
    <t>BRA_RJ_Campo.de.Mattos-Afonos.AB.837480_TMYx.2007-2021.epw</t>
  </si>
  <si>
    <t>BRA_RJ_Campos-Lysandro.AP.836980_TMYx.2004-2018.epw</t>
  </si>
  <si>
    <t>Campos-Lysandro.AP.836980</t>
  </si>
  <si>
    <t>BRA_RJ_Campos-Lysandro.AP.836980_TMYx.2007-2021.epw</t>
  </si>
  <si>
    <t>BRA_RJ_Campos.868550_TMYx.2007-2021.epw</t>
  </si>
  <si>
    <t>Campos.868550</t>
  </si>
  <si>
    <t>Campos.dos.Goytacazes.868550</t>
  </si>
  <si>
    <t>BRA_RJ_Cordeiro.837180_TMYx.2004-2018.epw</t>
  </si>
  <si>
    <t>Cordeiro.837180</t>
  </si>
  <si>
    <t>BRA_RJ_Cordeiro.837180_TMYx.2007-2021.epw</t>
  </si>
  <si>
    <t>Duque.de.Caxias-Xerem.868770</t>
  </si>
  <si>
    <t>Farol.de.Sao.Tome.868900</t>
  </si>
  <si>
    <t>BRA_RJ_Ilha.Rasa.831170_TMYx.2007-2021.epw</t>
  </si>
  <si>
    <t>Ilha.Rasa.831170</t>
  </si>
  <si>
    <t>BRA_RJ_Itaperuna.836950_TMYx.2004-2018.epw</t>
  </si>
  <si>
    <t>Itaperuna.836950</t>
  </si>
  <si>
    <t>BRA_RJ_Itaperuna.836950_TMYx.2007-2021.epw</t>
  </si>
  <si>
    <t>BRA_RJ_Jacarepagua-Marinho.AP.831110_TMYx.2004-2018.epw</t>
  </si>
  <si>
    <t>Jacarepagua-Marinho.AP.831110</t>
  </si>
  <si>
    <t>BRA_RJ_Jacarepagua-Marinho.AP.831110_TMYx.2007-2021.epw</t>
  </si>
  <si>
    <t>BRA_RJ_Macae-Lacerda.AP.868910_TMYx.2004-2018.epw</t>
  </si>
  <si>
    <t>Macae-Lacerda.AP.868910</t>
  </si>
  <si>
    <t>BRA_RJ_Macae-Lacerda.AP.868910_TMYx.2007-2021.epw</t>
  </si>
  <si>
    <t>Macae.868910</t>
  </si>
  <si>
    <t>Niteroi.868810</t>
  </si>
  <si>
    <t>BRA_RJ_Nova.Friburgo.868890_TMYx.2007-2021.epw</t>
  </si>
  <si>
    <t>Nova.Friburgo.868890</t>
  </si>
  <si>
    <t>BRA_RJ_Parati.869130_TMYx.2007-2021.epw</t>
  </si>
  <si>
    <t>Parati.869130</t>
  </si>
  <si>
    <t>Paraty.869130</t>
  </si>
  <si>
    <t>Petropolis-Pico.do.Couto.868760</t>
  </si>
  <si>
    <t>Resende.837380</t>
  </si>
  <si>
    <t>BRA_RJ_Resende.868740_TMYx.2007-2021.epw</t>
  </si>
  <si>
    <t>Resende.868740</t>
  </si>
  <si>
    <t>BRA_RJ_Resende.AP.837380_TMYx.2007-2021.epw</t>
  </si>
  <si>
    <t>Resende.AP.837380</t>
  </si>
  <si>
    <t>BRA_RJ_Rio.de.Janeiro-Galeao-Jobim.Intl.AP.837460_TMYx.2004-2018.epw</t>
  </si>
  <si>
    <t>Rio.de.Janeiro-Galeao-Jobim.Intl.AP.837460</t>
  </si>
  <si>
    <t>BRA_RJ_Rio.de.Janeiro-Galeao-Jobim.Intl.AP.837460_TMYx.2007-2021.epw</t>
  </si>
  <si>
    <t>BRA_RJ_Rio.de.Janeiro-Santos.Dumont.AP.837550_TMYx.2004-2018.epw</t>
  </si>
  <si>
    <t>Rio.de.Janeiro-Santos.Dumont.AP.837550</t>
  </si>
  <si>
    <t>BRA_RJ_Rio.de.Janeiro-Santos.Dumont.AP.837550_TMYx.2007-2021.epw</t>
  </si>
  <si>
    <t>Rio.de.Janeiro-Vila.Militar.868790</t>
  </si>
  <si>
    <t>BRA_RJ_Rio.de.Janeiro.Forte.de.Copacabana.868870_TMYx.2007-2021.epw</t>
  </si>
  <si>
    <t>Rio.de.Janeiro.Forte.de.Copacabana.868870</t>
  </si>
  <si>
    <t>BRA_RJ_Rio.de.Janeiro.Marambaia.869140_TMYx.2007-2021.epw</t>
  </si>
  <si>
    <t>Rio.de.Janeiro.Marambaia.869140</t>
  </si>
  <si>
    <t>BRA_RJ_Santa.Cruz.AP.837410_TMYx.2004-2018.epw</t>
  </si>
  <si>
    <t>Santa.Cruz.AP.837410</t>
  </si>
  <si>
    <t>BRA_RJ_Santa.Cruz.AP.837410_TMYx.2007-2021.epw</t>
  </si>
  <si>
    <t>BRA_RJ_Sao.Pedro.da.Aldeia.AP.837590_TMYx.2004-2018.epw</t>
  </si>
  <si>
    <t>Sao.Pedro.da.Aldeia.AP.837590</t>
  </si>
  <si>
    <t>BRA_RJ_Sao.Pedro.da.Aldeia.AP.837590_TMYx.2007-2021.epw</t>
  </si>
  <si>
    <t>BRA_RJ_Sao.Tome.868900_TMYx.2007-2021.epw</t>
  </si>
  <si>
    <t>Sao.Tome.868900</t>
  </si>
  <si>
    <t>BRA_RJ_Seropedica.Ecologia.Agricola.868780_TMYx.2007-2021.epw</t>
  </si>
  <si>
    <t>Seropedica.Ecologia.Agricola.868780</t>
  </si>
  <si>
    <t>Teresopolis.868880</t>
  </si>
  <si>
    <t>BRA_RJ_Teresopolis.868880_TMYx.2007-2021.epw</t>
  </si>
  <si>
    <t>Valenca.868750</t>
  </si>
  <si>
    <t>BRA_RJ_Xerem.868770_TMYx.2007-2021.epw</t>
  </si>
  <si>
    <t>Xerem.868770</t>
  </si>
  <si>
    <t>Apodi.818350</t>
  </si>
  <si>
    <t>BRA_RN_Apodi.818350_TMYx.2007-2021.epw</t>
  </si>
  <si>
    <t>Caico.818750</t>
  </si>
  <si>
    <t>BRA_RN_Caico.818750_TMYx.2007-2021.epw</t>
  </si>
  <si>
    <t>Macau.818360</t>
  </si>
  <si>
    <t>BRA_RN_Macau.818360_TMYx.2007-2021.epw</t>
  </si>
  <si>
    <t>BRA_RN_Mosoro-Dix.Sept.Rosado.AP.825910_TMYx.2004-2018.epw</t>
  </si>
  <si>
    <t>Mosoro-Dix.Sept.Rosado.AP.825910</t>
  </si>
  <si>
    <t>BRA_RN_Mosoro-Dix.Sept.Rosado.AP.825910_TMYx.2007-2021.epw</t>
  </si>
  <si>
    <t>Mossoro.818340</t>
  </si>
  <si>
    <t>BRA_RN_Mossoro.818340_TMYx.2007-2021.epw</t>
  </si>
  <si>
    <t>Natal.818390</t>
  </si>
  <si>
    <t>BRA_RN_Natal.818390_TMYx.2007-2021.epw</t>
  </si>
  <si>
    <t>BRA_RN_Natal.Intl.AP.825990_TMYx.2004-2018.epw</t>
  </si>
  <si>
    <t>Natal.Intl.AP.825990</t>
  </si>
  <si>
    <t>BRA_RN_Natal.Intl.AP.825990_TMYx.2007-2021.epw</t>
  </si>
  <si>
    <t>Touros.818380</t>
  </si>
  <si>
    <t>Ariquemes.819700</t>
  </si>
  <si>
    <t>BRA_RO_Ariquemes.819700_TMYx.2007-2021.epw</t>
  </si>
  <si>
    <t>BRA_RO_Boa.Vista.Intl.AP.820220_TMYx.2004-2018.epw</t>
  </si>
  <si>
    <t>Boa.Vista.Intl.AP.820220</t>
  </si>
  <si>
    <t>Cacoal.866220</t>
  </si>
  <si>
    <t>BRA_RO_Cacoal.866220_TMYx.2007-2021.epw</t>
  </si>
  <si>
    <t>BRA_RO_Caracarai.AP.820420_TMYx.2004-2018.epw</t>
  </si>
  <si>
    <t>Caracarai.AP.820420</t>
  </si>
  <si>
    <t>BRA_RO_Guajara.Mirim.AP.836728_TMYx.2004-2018.epw</t>
  </si>
  <si>
    <t>Guajara.Mirim.AP.836728</t>
  </si>
  <si>
    <t>BRA_RO_Guajara.Mirim.AP.836728_TMYx.2007-2021.epw</t>
  </si>
  <si>
    <t>BRA_RO_Porto.Velho-Oliveira.Intl.AP.828240_TMYx.2004-2018.epw</t>
  </si>
  <si>
    <t>Porto.Velho-Oliveira.Intl.AP.828240</t>
  </si>
  <si>
    <t>BRA_RO_Porto.Velho-Oliveira.Intl.AP.828240_TMYx.2007-2021.epw</t>
  </si>
  <si>
    <t>Porto.Velho.819320</t>
  </si>
  <si>
    <t>BRA_RO_Porto.Velho.819320_TMYx.2007-2021.epw</t>
  </si>
  <si>
    <t>Vilhena.866420</t>
  </si>
  <si>
    <t>BRA_RO_Vilhena.866420_TMYx.2007-2021.epw</t>
  </si>
  <si>
    <t>BRA_RO_Vilhena.AP.832080_TMYx.2004-2018.epw</t>
  </si>
  <si>
    <t>Vilhena.AP.832080</t>
  </si>
  <si>
    <t>BRA_RO_Vilhena.AP.832080_TMYx.2007-2021.epw</t>
  </si>
  <si>
    <t>Boa.Vista.816150</t>
  </si>
  <si>
    <t>BRA_RR_Boa.Vista.816150_TMYx.2007-2021.epw</t>
  </si>
  <si>
    <t>BRA_RR_Boa.Vista.Intl.AP.820220_TMYx.2007-2021.epw</t>
  </si>
  <si>
    <t>BRA_RR_Caracarai.AP.820420_TMYx.2007-2021.epw</t>
  </si>
  <si>
    <t>Alegrete.869750</t>
  </si>
  <si>
    <t>BRA_RS_Alegrete.869750_TMYx.2007-2021.epw</t>
  </si>
  <si>
    <t>BRA_RS_Bage-Kraemer.Intl.AP.839810_TMYx.2004-2018.epw</t>
  </si>
  <si>
    <t>Bage-Kraemer.Intl.AP.839810</t>
  </si>
  <si>
    <t>BRA_RS_Bage-Kraemer.Intl.AP.839810_TMYx.2007-2021.epw</t>
  </si>
  <si>
    <t>Bage.839800</t>
  </si>
  <si>
    <t>BRA_RS_Bage.869920_TMYx.2007-2021.epw</t>
  </si>
  <si>
    <t>Bage.869920</t>
  </si>
  <si>
    <t>Bento.Goncalves.869790</t>
  </si>
  <si>
    <t>BRA_RS_Bento.Goncalves.869790_TMYx.2007-2021.epw</t>
  </si>
  <si>
    <t>BRA_RS_Bom.Jesus.839190_TMYx.2004-2018.epw</t>
  </si>
  <si>
    <t>Bom.Jesus.839190</t>
  </si>
  <si>
    <t>BRA_RS_Bom.Jesus.839190_TMYx.2007-2021.epw</t>
  </si>
  <si>
    <t>Cacapava.do.Sul.869860</t>
  </si>
  <si>
    <t>BRA_RS_Cacapava.do.Sul.869860_TMYx.2007-2021.epw</t>
  </si>
  <si>
    <t>Camaqua.869890</t>
  </si>
  <si>
    <t>BRA_RS_Camaqua.869890_TMYx.2007-2021.epw</t>
  </si>
  <si>
    <t>BRA_RS_Canela.869800_TMYx.2007-2021.epw</t>
  </si>
  <si>
    <t>Canela.869800</t>
  </si>
  <si>
    <t>Canela.AP.869800</t>
  </si>
  <si>
    <t>Cangucu.869930</t>
  </si>
  <si>
    <t>BRA_RS_Cangucu.869930_TMYx.2007-2021.epw</t>
  </si>
  <si>
    <t>BRA_RS_Caxias.do.Sul.839420_TMYx.2007-2021.epw</t>
  </si>
  <si>
    <t>Caxias.do.Sul.839420</t>
  </si>
  <si>
    <t>Chui.869980</t>
  </si>
  <si>
    <t>BRA_RS_Chui.869980_TMYx.2007-2021.epw</t>
  </si>
  <si>
    <t>Cruz.Alta.839120</t>
  </si>
  <si>
    <t>BRA_RS_Cruz.Alta.869620_TMYx.2007-2021.epw</t>
  </si>
  <si>
    <t>Cruz.Alta.869620</t>
  </si>
  <si>
    <t>BRA_RS_Dom.Pedrito.869850_TMYx.2007-2021.epw</t>
  </si>
  <si>
    <t>Dom.Pedrito.869850</t>
  </si>
  <si>
    <t>BRA_RS_Encruzilhada.do.Sul.839640_TMYx.2004-2018.epw</t>
  </si>
  <si>
    <t>Encruzilhada.do.Sul.839640</t>
  </si>
  <si>
    <t>BRA_RS_Encruzilhada.do.Sul.839640_TMYx.2007-2021.epw</t>
  </si>
  <si>
    <t>Erechim.869540</t>
  </si>
  <si>
    <t>BRA_RS_Erechim.869540_TMYx.2007-2021.epw</t>
  </si>
  <si>
    <t>Frederico.Westphalen.869510</t>
  </si>
  <si>
    <t>BRA_RS_Frederico.Westphalen.869510_TMYx.2007-2021.epw</t>
  </si>
  <si>
    <t>BRA_RS_Irai-Dutra.AP.838810_TMYx.2007-2021.epw</t>
  </si>
  <si>
    <t>Irai-Dutra.AP.838810</t>
  </si>
  <si>
    <t>Jaguarao.869960</t>
  </si>
  <si>
    <t>BRA_RS_Jaguarao.869960_TMYx.2007-2021.epw</t>
  </si>
  <si>
    <t>Lagoa.Vermelha.869650</t>
  </si>
  <si>
    <t>BRA_RS_Lagoa.Vermelha.869650_TMYx.2007-2021.epw</t>
  </si>
  <si>
    <t>Mostardas.839700</t>
  </si>
  <si>
    <t>BRA_RS_Mostardas.869940_TMYx.2004-2018.epw</t>
  </si>
  <si>
    <t>Mostardas.869940</t>
  </si>
  <si>
    <t>BRA_RS_Mostardas.869940_TMYx.2007-2021.epw</t>
  </si>
  <si>
    <t>Palmeira.das.Missoes.869530</t>
  </si>
  <si>
    <t>BRA_RS_Palmeira.das.Missoes.869530_TMYx.2007-2021.epw</t>
  </si>
  <si>
    <t>Passo.Fundo.869630</t>
  </si>
  <si>
    <t>BRA_RS_Passo.Fundo.869630_TMYx.2007-2021.epw</t>
  </si>
  <si>
    <t>BRA_RS_Passo.Fundo.AP.839140_TMYx.2004-2018.epw</t>
  </si>
  <si>
    <t>Passo.Fundo.AP.839140</t>
  </si>
  <si>
    <t>BRA_RS_Passo.Fundo.AP.839140_TMYx.2007-2021.epw</t>
  </si>
  <si>
    <t>BRA_RS_Pelotas-Lopes.Neto.Intl.AP.839850_TMYx.2004-2018.epw</t>
  </si>
  <si>
    <t>Pelotas-Lopes.Neto.Intl.AP.839850</t>
  </si>
  <si>
    <t>BRA_RS_Pelotas-Lopes.Neto.Intl.AP.839850_TMYx.2007-2021.epw</t>
  </si>
  <si>
    <t>BRA_RS_Porto.Alegre-Canoas.AB.839670_TMYx.2004-2018.epw</t>
  </si>
  <si>
    <t>Porto.Alegre-Canoas.AB.839670</t>
  </si>
  <si>
    <t>BRA_RS_Porto.Alegre-Canoas.AB.839670_TMYx.2007-2021.epw</t>
  </si>
  <si>
    <t>BRA_RS_Porto.Alegre-Salgado.Filho.Intl.AP.839710_TMYx.2004-2018.epw</t>
  </si>
  <si>
    <t>Porto.Alegre-Salgado.Filho.Intl.AP.839710</t>
  </si>
  <si>
    <t>BRA_RS_Porto.Alegre-Salgado.Filho.Intl.AP.839710_TMYx.2007-2021.epw</t>
  </si>
  <si>
    <t>Porto.Alegre.869880</t>
  </si>
  <si>
    <t>BRA_RS_Porto.Alegre.869880_TMYx.2007-2021.epw</t>
  </si>
  <si>
    <t>Quarai.869820</t>
  </si>
  <si>
    <t>BRA_RS_Quarai.869820_TMYx.2007-2021.epw</t>
  </si>
  <si>
    <t>BRA_RS_Rio.Grande.869950_TMYx.2004-2018.epw</t>
  </si>
  <si>
    <t>Rio.Grande.869950</t>
  </si>
  <si>
    <t>BRA_RS_Rio.Grande.869950_TMYx.2007-2021.epw</t>
  </si>
  <si>
    <t>Rio.Pardo.869780</t>
  </si>
  <si>
    <t>BRA_RS_Rio.Pardo.869780_TMYx.2007-2021.epw</t>
  </si>
  <si>
    <t>Santa.Maria.839360</t>
  </si>
  <si>
    <t>BRA_RS_Santa.Maria.839360_TMYx.2004-2018.epw</t>
  </si>
  <si>
    <t>BRA_RS_Santa.Maria.839360_TMYx.2007-2021.epw</t>
  </si>
  <si>
    <t>BRA_RS_Santa.Maria.AB.869770_TMYx.2004-2018.epw</t>
  </si>
  <si>
    <t>Santa.Maria.AB.869770</t>
  </si>
  <si>
    <t>BRA_RS_Santa.Maria.AB.869770_TMYx.2007-2021.epw</t>
  </si>
  <si>
    <t>BRA_RS_Santa.Rosa.869500_TMYx.2007-2021.epw</t>
  </si>
  <si>
    <t>Santa.Rosa.869500</t>
  </si>
  <si>
    <t>Santana.do.Livramento.839530</t>
  </si>
  <si>
    <t>BRA_RS_Santana.do.Livramento.869830_TMYx.2007-2021.epw</t>
  </si>
  <si>
    <t>Santana.do.Livramento.869830</t>
  </si>
  <si>
    <t>Santiago.869760</t>
  </si>
  <si>
    <t>BRA_RS_Santiago.869760_TMYx.2007-2021.epw</t>
  </si>
  <si>
    <t>BRA_RS_Santo.Angelo.820306_TMYx.2007-2021.epw</t>
  </si>
  <si>
    <t>Santo.Angelo.820306</t>
  </si>
  <si>
    <t>Santo.Augusto.869520</t>
  </si>
  <si>
    <t>BRA_RS_Santo.Augusto.869520_TMYx.2007-2021.epw</t>
  </si>
  <si>
    <t>Sao.Borja.869600</t>
  </si>
  <si>
    <t>BRA_RS_Sao.Borja.869600_TMYx.2007-2021.epw</t>
  </si>
  <si>
    <t>Sao.Gabriel.869840</t>
  </si>
  <si>
    <t>BRA_RS_Sao.Gabriel.869840_TMYx.2007-2021.epw</t>
  </si>
  <si>
    <t>Sao.Jose.dos.Ausentes.869670</t>
  </si>
  <si>
    <t>BRA_RS_Sao.Jose.dos.Ausentes.869670_TMYx.2007-2021.epw</t>
  </si>
  <si>
    <t>Sao.Luiz.Gonzaga.869610</t>
  </si>
  <si>
    <t>BRA_RS_Sao.Luiz.Gonzaga.869610_TMYx.2007-2021.epw</t>
  </si>
  <si>
    <t>BRA_RS_Sao.Luiz.Gonzaga.AP.839070_TMYx.2004-2018.epw</t>
  </si>
  <si>
    <t>Sao.Luiz.Gonzaga.AP.839070</t>
  </si>
  <si>
    <t>BRA_RS_Sao.Luiz.Gonzaga.AP.839070_TMYx.2007-2021.epw</t>
  </si>
  <si>
    <t>Soledade.869640</t>
  </si>
  <si>
    <t>BRA_RS_Soledade.869640_TMYx.2007-2021.epw</t>
  </si>
  <si>
    <t>BRA_RS_St.Vitoria.do.Palmar.839970_TMYx.2004-2018.epw</t>
  </si>
  <si>
    <t>St.Vitoria.do.Palmar.839970</t>
  </si>
  <si>
    <t>BRA_RS_St.Vitoria.do.Palmar.839970_TMYx.2007-2021.epw</t>
  </si>
  <si>
    <t>Torres.869810</t>
  </si>
  <si>
    <t>BRA_RS_Torres.869810_TMYx.2004-2018.epw</t>
  </si>
  <si>
    <t>BRA_RS_Torres.869810_TMYx.2007-2021.epw</t>
  </si>
  <si>
    <t>Tramandai.869900</t>
  </si>
  <si>
    <t>BRA_RS_Tramandai.869900_TMYx.2007-2021.epw</t>
  </si>
  <si>
    <t>BRA_RS_Uruguaiana-Berta.AP.839280_TMYx.2004-2018.epw</t>
  </si>
  <si>
    <t>Uruguaiana-Berta.AP.839280</t>
  </si>
  <si>
    <t>BRA_RS_Uruguaiana-Berta.AP.839280_TMYx.2007-2021.epw</t>
  </si>
  <si>
    <t>Uruguaiana.869730</t>
  </si>
  <si>
    <t>BRA_RS_Uruguaiana.869730_TMYx.2004-2018.epw</t>
  </si>
  <si>
    <t>BRA_RS_Uruguaiana.869730_TMYx.2007-2021.epw</t>
  </si>
  <si>
    <t>Vacaria.869660</t>
  </si>
  <si>
    <t>BRA_RS_Vacaria.869660_TMYx.2007-2021.epw</t>
  </si>
  <si>
    <t>Ararangua.869710</t>
  </si>
  <si>
    <t>BRA_SC_Ararangua.869710_TMYx.2007-2021.epw</t>
  </si>
  <si>
    <t>Cacador.869430</t>
  </si>
  <si>
    <t>BRA_SC_Cacador.869430_TMYx.2007-2021.epw</t>
  </si>
  <si>
    <t>BRA_SC_Campos.Novos.838870_TMYx.2004-2018.epw</t>
  </si>
  <si>
    <t>Campos.Novos.838870</t>
  </si>
  <si>
    <t>BRA_SC_Campos.Novos.838870_TMYx.2007-2021.epw</t>
  </si>
  <si>
    <t>BRA_SC_Chapeco.838830_TMYx.2004-2018.epw</t>
  </si>
  <si>
    <t>Chapeco.838830</t>
  </si>
  <si>
    <t>BRA_SC_Chapeco.838830_TMYx.2007-2021.epw</t>
  </si>
  <si>
    <t>BRA_SC_Cricium-Forquilhinha-Freitas.AP.836727_TMYx.2004-2018.epw</t>
  </si>
  <si>
    <t>Cricium-Forquilhinha-Freitas.AP.836727</t>
  </si>
  <si>
    <t>BRA_SC_Cricium-Forquilhinha-Freitas.AP.836727_TMYx.2007-2021.epw</t>
  </si>
  <si>
    <t>BRA_SC_Curitibanos.869560_TMYx.2007-2021.epw</t>
  </si>
  <si>
    <t>Curitibanos.869560</t>
  </si>
  <si>
    <t>Curitibanos.AP.869560</t>
  </si>
  <si>
    <t>Dionisio.Cerqueira.869360</t>
  </si>
  <si>
    <t>BRA_SC_Dionisio.Cerqueira.869360_TMYx.2007-2021.epw</t>
  </si>
  <si>
    <t>BRA_SC_Florianopolis-Luz.Intl.AP.838990_TMYx.2004-2018.epw</t>
  </si>
  <si>
    <t>Florianopolis-Luz.Intl.AP.838990</t>
  </si>
  <si>
    <t>BRA_SC_Florianopolis-Luz.Intl.AP.838990_TMYx.2007-2021.epw</t>
  </si>
  <si>
    <t>Florianopolis.838970</t>
  </si>
  <si>
    <t>BRA_SC_Florianopolis.Sao.Jose.869580_TMYx.2007-2021.epw</t>
  </si>
  <si>
    <t>Florianopolis.Sao.Jose.869580</t>
  </si>
  <si>
    <t>Indaial.838720</t>
  </si>
  <si>
    <t>BRA_SC_Indaial.869460_TMYx.2007-2021.epw</t>
  </si>
  <si>
    <t>Indaial.869460</t>
  </si>
  <si>
    <t>BRA_SC_Itajai.869480_TMYx.2007-2021.epw</t>
  </si>
  <si>
    <t>Itajai.869480</t>
  </si>
  <si>
    <t>Itapoa.869470</t>
  </si>
  <si>
    <t>BRA_SC_Itapoa.869470_TMYx.2007-2021.epw</t>
  </si>
  <si>
    <t>Ituporanga.869570</t>
  </si>
  <si>
    <t>BRA_SC_Ituporanga.869570_TMYx.2007-2021.epw</t>
  </si>
  <si>
    <t>Joacaba-Santa.Terezinha.Muni.AP.869550</t>
  </si>
  <si>
    <t>BRA_SC_Joacaba.869550_TMYx.2007-2021.epw</t>
  </si>
  <si>
    <t>Joacaba.869550</t>
  </si>
  <si>
    <t>BRA_SC_Joinville-Carneiro.de.Loyola.AP.827981_TMYx.2004-2018.epw</t>
  </si>
  <si>
    <t>Joinville-Carneiro.de.Loyola.AP.827981</t>
  </si>
  <si>
    <t>BRA_SC_Joinville-Carneiro.de.Loyola.AP.827981_TMYx.2007-2021.epw</t>
  </si>
  <si>
    <t>Major.Vieira.869420</t>
  </si>
  <si>
    <t>BRA_SC_Major.Vieira.869420_TMYx.2007-2021.epw</t>
  </si>
  <si>
    <t>BRA_SC_Navegantes.Intl.AP.839260_TMYx.2004-2018.epw</t>
  </si>
  <si>
    <t>Navegantes.Intl.AP.839260</t>
  </si>
  <si>
    <t>BRA_SC_Navegantes.Intl.AP.839260_TMYx.2007-2021.epw</t>
  </si>
  <si>
    <t>Novo.Horizonte.869380</t>
  </si>
  <si>
    <t>BRA_SC_Novo.Horizonte.869380_TMYx.2007-2021.epw</t>
  </si>
  <si>
    <t>Rio.Negrinho.869450</t>
  </si>
  <si>
    <t>BRA_SC_Rio.Negrinho.869450_TMYx.2007-2021.epw</t>
  </si>
  <si>
    <t>BRA_SC_Rio.do.Campo.869440_TMYx.2007-2021.epw</t>
  </si>
  <si>
    <t>Rio.do.Campo.869440</t>
  </si>
  <si>
    <t>Santa.Marta.839250</t>
  </si>
  <si>
    <t>BRA_SC_Santa.Marta.869720_TMYx.2004-2018.epw</t>
  </si>
  <si>
    <t>Santa.Marta.869720</t>
  </si>
  <si>
    <t>BRA_SC_Santa.Marta.869720_TMYx.2007-2021.epw</t>
  </si>
  <si>
    <t>Sao.Joaquim.869690</t>
  </si>
  <si>
    <t>BRA_SC_Sao.Joaquim.869690_TMYx.2007-2021.epw</t>
  </si>
  <si>
    <t>BRA_SC_Sao.Miguel.do.Oeste.869370_TMYx.2007-2021.epw</t>
  </si>
  <si>
    <t>Sao.Miguel.do.Oeste.869370</t>
  </si>
  <si>
    <t>Sao.Miguel.do.Oeste.AP.869370</t>
  </si>
  <si>
    <t>Urubici.869680</t>
  </si>
  <si>
    <t>BRA_SC_Urubici.869680_TMYx.2007-2021.epw</t>
  </si>
  <si>
    <t>Urussanga.869700</t>
  </si>
  <si>
    <t>BRA_SC_Urussanga.869700_TMYx.2007-2021.epw</t>
  </si>
  <si>
    <t>Xanxere.869400</t>
  </si>
  <si>
    <t>BRA_SC_Xanxere.869400_TMYx.2007-2021.epw</t>
  </si>
  <si>
    <t>BRA_SE_Aracaju-Santa.Maria.AP.830950_TMYx.2004-2018.epw</t>
  </si>
  <si>
    <t>Aracaju-Santa.Maria.AP.830950</t>
  </si>
  <si>
    <t>BRA_SE_Aracaju-Santa.Maria.Intl.AP.830950_TMYx.2007-2021.epw</t>
  </si>
  <si>
    <t>Aracaju-Santa.Maria.Intl.AP.830950</t>
  </si>
  <si>
    <t>Aracaju.866160</t>
  </si>
  <si>
    <t>BRA_SE_Aracaju.866160_TMYx.2007-2021.epw</t>
  </si>
  <si>
    <t>Brejo.Grande.866180</t>
  </si>
  <si>
    <t>BRA_SE_Brejo.Grande.866180_TMYx.2007-2021.epw</t>
  </si>
  <si>
    <t>Carira.866150</t>
  </si>
  <si>
    <t>BRA_SE_Carira.866150_TMYx.2007-2021.epw</t>
  </si>
  <si>
    <t>Itabaianinha.866380</t>
  </si>
  <si>
    <t>BRA_SE_Itabaianinha.866380_TMYx.2007-2021.epw</t>
  </si>
  <si>
    <t>Poco.Verde.866140</t>
  </si>
  <si>
    <t>BRA_SE_Poco.Verde.866140_TMYx.2007-2021.epw</t>
  </si>
  <si>
    <t>BRA_SP_Aracatuba.836720_TMYx.2007-2021.epw</t>
  </si>
  <si>
    <t>Aracatuba.836720</t>
  </si>
  <si>
    <t>BRA_SP_Araraquara.836725_TMYx.2007-2021.epw</t>
  </si>
  <si>
    <t>Araraquara.836725</t>
  </si>
  <si>
    <t>Ariranha.868410</t>
  </si>
  <si>
    <t>BRA_SP_Ariranha.868410_TMYx.2007-2021.epw</t>
  </si>
  <si>
    <t>Avare.869040</t>
  </si>
  <si>
    <t>BRA_SP_Avare.869040_TMYx.2007-2021.epw</t>
  </si>
  <si>
    <t>BRA_SP_Barra.Bonita.868670_TMYx.2007-2021.epw</t>
  </si>
  <si>
    <t>Barra.Bonita.868670</t>
  </si>
  <si>
    <t>BRA_SP_Barretos.868160_TMYx.2007-2021.epw</t>
  </si>
  <si>
    <t>Barretos.868160</t>
  </si>
  <si>
    <t>Bauru.837220</t>
  </si>
  <si>
    <t>BRA_SP_Bauru.868650_TMYx.2007-2021.epw</t>
  </si>
  <si>
    <t>Bauru.868650</t>
  </si>
  <si>
    <t>BRA_SP_Bauru.AP.837220_TMYx.2004-2018.epw</t>
  </si>
  <si>
    <t>Bauru.AP.837220</t>
  </si>
  <si>
    <t>BRA_SP_Bauru.AP.837220_TMYx.2007-2021.epw</t>
  </si>
  <si>
    <t>BRA_SP_Cabo.Frio.AP.837780_TMYx.2004-2018.epw</t>
  </si>
  <si>
    <t>Cabo.Frio.AP.837780</t>
  </si>
  <si>
    <t>BRA_SP_Cabo.Frio.AP.837780_TMYx.2007-2021.epw</t>
  </si>
  <si>
    <t>BRA_SP_Campinas-Viracopos.Intl.AP.837210_TMYx.2004-2018.epw</t>
  </si>
  <si>
    <t>Campinas-Viracopos.Intl.AP.837210</t>
  </si>
  <si>
    <t>BRA_SP_Campinas-Viracopos.Intl.AP.837210_TMYx.2007-2021.epw</t>
  </si>
  <si>
    <t>Campinas.837210</t>
  </si>
  <si>
    <t>BRA_SP_Campo.Fontenelle.AP.836710_TMYx.2004-2018.epw</t>
  </si>
  <si>
    <t>Campo.Fontenelle.AP.836710</t>
  </si>
  <si>
    <t>BRA_SP_Campo.Fontenelle.AP.836710_TMYx.2007-2021.epw</t>
  </si>
  <si>
    <t>Campos.do.Jordao.868720</t>
  </si>
  <si>
    <t>BRA_SP_Campos.do.Jordao.868720_TMYx.2007-2021.epw</t>
  </si>
  <si>
    <t>Casa.Branca.868440</t>
  </si>
  <si>
    <t>BRA_SP_Casa.Branca.868440_TMYx.2007-2021.epw</t>
  </si>
  <si>
    <t>BRA_SP_Catanduva.836760_TMYx.2007-2021.epw</t>
  </si>
  <si>
    <t>Catanduva.836760</t>
  </si>
  <si>
    <t>Franca.868180</t>
  </si>
  <si>
    <t>BRA_SP_Franca.AP.868180_TMYx.2004-2018.epw</t>
  </si>
  <si>
    <t>Franca.AP.868180</t>
  </si>
  <si>
    <t>BRA_SP_Franca.AP.868180_TMYx.2007-2021.epw</t>
  </si>
  <si>
    <t>BRA_SP_Guaratingueta.AP.837080_TMYx.2004-2018.epw</t>
  </si>
  <si>
    <t>Guaratingueta.AP.837080</t>
  </si>
  <si>
    <t>BRA_SP_Guaratingueta.AP.837080_TMYx.2007-2021.epw</t>
  </si>
  <si>
    <t>Ibitinga.868430</t>
  </si>
  <si>
    <t>BRA_SP_Ibitinga.868430_TMYx.2007-2021.epw</t>
  </si>
  <si>
    <t>Iguape.869230</t>
  </si>
  <si>
    <t>BRA_SP_Iguape.869230_TMYx.2004-2018.epw</t>
  </si>
  <si>
    <t>BRA_SP_Iguape.869230_TMYx.2007-2021.epw</t>
  </si>
  <si>
    <t>Itapeva.837740</t>
  </si>
  <si>
    <t>BRA_SP_Itapeva.869050_TMYx.2007-2021.epw</t>
  </si>
  <si>
    <t>Itapeva.869050</t>
  </si>
  <si>
    <t>Itapira.868690</t>
  </si>
  <si>
    <t>BRA_SP_Itapira.868690_TMYx.2007-2021.epw</t>
  </si>
  <si>
    <t>Ituverava.868170</t>
  </si>
  <si>
    <t>BRA_SP_Ituverava.868170_TMYx.2007-2021.epw</t>
  </si>
  <si>
    <t>Jales.868140</t>
  </si>
  <si>
    <t>BRA_SP_Jales.868140_TMYx.2007-2021.epw</t>
  </si>
  <si>
    <t>Jose.Bonifacio.868390</t>
  </si>
  <si>
    <t>BRA_SP_Jose.Bonifacio.868390_TMYx.2007-2021.epw</t>
  </si>
  <si>
    <t>Lins.868400</t>
  </si>
  <si>
    <t>BRA_SP_Lins.868400_TMYx.2007-2021.epw</t>
  </si>
  <si>
    <t>BRA_SP_Marilia.820305_TMYx.2007-2021.epw</t>
  </si>
  <si>
    <t>Marilia.820305</t>
  </si>
  <si>
    <t>BRA_SP_Moela.835990_TMYx.2007-2021.epw</t>
  </si>
  <si>
    <t>Moela.835990</t>
  </si>
  <si>
    <t>Ourinhos.868660</t>
  </si>
  <si>
    <t>BRA_SP_Ourinhos.868660_TMYx.2007-2021.epw</t>
  </si>
  <si>
    <t>Piracicaba.868680</t>
  </si>
  <si>
    <t>BRA_SP_Piracicaba.868680_TMYx.2007-2021.epw</t>
  </si>
  <si>
    <t>BRA_SP_Pradopolis.868420_TMYx.2007-2021.epw</t>
  </si>
  <si>
    <t>Pradopolis.868420</t>
  </si>
  <si>
    <t>Presidente.Prudente.837160</t>
  </si>
  <si>
    <t>BRA_SP_Presidente.Prudente.868630_TMYx.2007-2021.epw</t>
  </si>
  <si>
    <t>Presidente.Prudente.868630</t>
  </si>
  <si>
    <t>BRA_SP_Presidente.Prudente.AP.837160_TMYx.2004-2018.epw</t>
  </si>
  <si>
    <t>Presidente.Prudente.AP.837160</t>
  </si>
  <si>
    <t>BRA_SP_Presidente.Prudente.AP.837160_TMYx.2007-2021.epw</t>
  </si>
  <si>
    <t>Rancharia.868640</t>
  </si>
  <si>
    <t>BRA_SP_Rancharia.868640_TMYx.2007-2021.epw</t>
  </si>
  <si>
    <t>BRA_SP_Ribeirao.Preto-Leite.Lopes.AP.836520_TMYx.2004-2018.epw</t>
  </si>
  <si>
    <t>Ribeirao.Preto-Leite.Lopes.AP.836520</t>
  </si>
  <si>
    <t>BRA_SP_Ribeirao.Preto-Leite.Lopes.AP.836520_TMYx.2007-2021.epw</t>
  </si>
  <si>
    <t>BRA_SP_Santos.AB.838180_TMYx.2004-2018.epw</t>
  </si>
  <si>
    <t>Santos.AB.838180</t>
  </si>
  <si>
    <t>BRA_SP_Santos.AB.838180_TMYx.2007-2021.epw</t>
  </si>
  <si>
    <t>Sao.Carlos.868450</t>
  </si>
  <si>
    <t>BRA_SP_Sao.Carlos.868450_TMYx.2004-2018.epw</t>
  </si>
  <si>
    <t>BRA_SP_Sao.Carlos.868450_TMYx.2007-2021.epw</t>
  </si>
  <si>
    <t>BRA_SP_Sao.Jose.dos.Campos-Stumpf.Intl.AP.838290_TMYx.2004-2018.epw</t>
  </si>
  <si>
    <t>Sao.Jose.dos.Campos-Stumpf.Intl.AP.838290</t>
  </si>
  <si>
    <t>BRA_SP_Sao.Jose.dos.Campos-Stumpf.Intl.AP.838290_TMYx.2007-2021.epw</t>
  </si>
  <si>
    <t>Sao.Luis.do.Paraitinga.869120</t>
  </si>
  <si>
    <t>BRA_SP_Sao.Miguel.Arcanjo.869060_TMYx.2007-2021.epw</t>
  </si>
  <si>
    <t>Sao.Miguel.Arcanjo.869060</t>
  </si>
  <si>
    <t>BRA_SP_Sao.Paulo-Campo.de.Marte.AP.837790_TMYx.2007-2021.epw</t>
  </si>
  <si>
    <t>Sao.Paulo-Campo.de.Marte.AP.837790</t>
  </si>
  <si>
    <t>BRA_SP_Sao.Paulo-Congonhas.AP.837800_TMYx.2004-2018.epw</t>
  </si>
  <si>
    <t>Sao.Paulo-Congonhas.AP.837800</t>
  </si>
  <si>
    <t>BRA_SP_Sao.Paulo-Congonhas.AP.837800_TMYx.2007-2021.epw</t>
  </si>
  <si>
    <t>BRA_SP_Sao.Paulo-Guarulhos.Intl.AP.830750_TMYx.2004-2018.epw</t>
  </si>
  <si>
    <t>Sao.Paulo-Guarulhos.Intl.AP.830750</t>
  </si>
  <si>
    <t>BRA_SP_Sao.Paulo-Guarulhos.Intl.AP.830750_TMYx.2007-2021.epw</t>
  </si>
  <si>
    <t>Sao.Paulo.837810</t>
  </si>
  <si>
    <t>BRA_SP_Sao.Paulo.869100_TMYx.2007-2021.epw</t>
  </si>
  <si>
    <t>Sao.Paulo.869100</t>
  </si>
  <si>
    <t>Sorocaba.838510</t>
  </si>
  <si>
    <t>BRA_SP_Sorocaba.869070_TMYx.2007-2021.epw</t>
  </si>
  <si>
    <t>Sorocaba.869070</t>
  </si>
  <si>
    <t>Taubate.869110</t>
  </si>
  <si>
    <t>BRA_SP_Taubate.AP.869110_TMYx.2004-2018.epw</t>
  </si>
  <si>
    <t>Taubate.AP.869110</t>
  </si>
  <si>
    <t>BRA_SP_Taubate.AP.869110_TMYx.2007-2021.epw</t>
  </si>
  <si>
    <t>BRA_SP_Una-Comandatuba.AP-Hotel.Transamerica.821080_TMYx.2004-2018.epw</t>
  </si>
  <si>
    <t>Una-Comandatuba.AP-Hotel.Transamerica.821080</t>
  </si>
  <si>
    <t>BRA_SP_Una-Comandatuba.AP-Hotel.Transamerica.821080_TMYx.2007-2021.epw</t>
  </si>
  <si>
    <t>Valparaiso.868380</t>
  </si>
  <si>
    <t>BRA_SP_Valparaiso.868380_TMYx.2007-2021.epw</t>
  </si>
  <si>
    <t>Votuporanga.868150</t>
  </si>
  <si>
    <t>BRA_SP_Votuporanga.868150_TMYx.2004-2018.epw</t>
  </si>
  <si>
    <t>BRA_SP_Votuporanga.868150_TMYx.2007-2021.epw</t>
  </si>
  <si>
    <t>Araguaina.819000</t>
  </si>
  <si>
    <t>BRA_TO_Araguaina.819000_TMYx.2007-2021.epw</t>
  </si>
  <si>
    <t>Araguatins.818210</t>
  </si>
  <si>
    <t>BRA_TO_Araguatins.818210_TMYx.2007-2021.epw</t>
  </si>
  <si>
    <t>BRA_TO_Chapada.Diamantina.AP.832315_TMYx.2007-2021.epw</t>
  </si>
  <si>
    <t>Chapada.Diamantina.AP.832315</t>
  </si>
  <si>
    <t>Dianopolis.866320</t>
  </si>
  <si>
    <t>BRA_TO_Dianopolis.866320_TMYx.2007-2021.epw</t>
  </si>
  <si>
    <t>Formoso.do.Araguaia.866290</t>
  </si>
  <si>
    <t>BRA_TO_Formoso.do.Araguaia.866290_TMYx.2007-2021.epw</t>
  </si>
  <si>
    <t>Gurupi.866300</t>
  </si>
  <si>
    <t>BRA_TO_Gurupi.866300_TMYx.2007-2021.epw</t>
  </si>
  <si>
    <t>BRA_TO_Palmas-Rodrigues.AP.830650_TMYx.2004-2018.epw</t>
  </si>
  <si>
    <t>Palmas-Rodrigues.AP.830650</t>
  </si>
  <si>
    <t>BRA_TO_Palmas-Rodrigues.AP.830650_TMYx.2007-2021.epw</t>
  </si>
  <si>
    <t>Palmas.866070</t>
  </si>
  <si>
    <t>BRA_TO_Palmas.866070_TMYx.2007-2021.epw</t>
  </si>
  <si>
    <t>Parana.866500</t>
  </si>
  <si>
    <t>BRA_TO_Parana.866500_TMYx.2007-2021.epw</t>
  </si>
  <si>
    <t>Pedro.Afonso.819410</t>
  </si>
  <si>
    <t>BRA_TO_Pedro.Afonso.819410_TMYx.2004-2018.epw</t>
  </si>
  <si>
    <t>BRA_TO_Pedro.Afonso.819410_TMYx.2007-2021.epw</t>
  </si>
  <si>
    <t>Peixe.866490</t>
  </si>
  <si>
    <t>BRA_TO_Peixe.866490_TMYx.2004-2018.epw</t>
  </si>
  <si>
    <t>BRA_TO_Peixe.866490_TMYx.2007-2021.epw</t>
  </si>
  <si>
    <t>BRA_TO_Porto.Nacional.830640_TMYx.2004-2018.epw</t>
  </si>
  <si>
    <t>Porto.Nacional.830640</t>
  </si>
  <si>
    <t>BRA_TO_Porto.Nacional.830640_TMYx.2007-2021.epw</t>
  </si>
  <si>
    <t>BRA_TO_Porto.Nacional.AP.830630_TMYx.2004-2018.epw</t>
  </si>
  <si>
    <t>Porto.Nacional.AP.830630</t>
  </si>
  <si>
    <t>BRA_TO_Porto.Nacional.AP.830630_TMYx.2007-2021.epw</t>
  </si>
  <si>
    <t>BRA_TO_Taguatinga.832350_TMYx.2004-2018.epw</t>
  </si>
  <si>
    <t>Taguatinga.832350</t>
  </si>
  <si>
    <t>BRA_TO_Taguatinga.832350_TMYx.2007-2021.epw</t>
  </si>
  <si>
    <t>Arquivo climático:</t>
  </si>
  <si>
    <t>Estado, Cidade</t>
  </si>
  <si>
    <t>nan</t>
  </si>
  <si>
    <t>coeficiente de eficiência energética ponderado dos sistemas centrais (CEER,Sist.Centrais):</t>
  </si>
  <si>
    <t>Coeficiente de eficiência energética ponderado dos sistemas unitários (CEE,R,Sist.Unit)</t>
  </si>
  <si>
    <t>Tipo de Iee</t>
  </si>
  <si>
    <t>Valor do Iee (CEE/SAZ/SPLV/K)</t>
  </si>
  <si>
    <t>Possui um sistema central? Utilize a planilha do SPLV para determinar o IeeSPLV.</t>
  </si>
  <si>
    <t>Escalas da Classificação Geral</t>
  </si>
  <si>
    <t>Análise gráfica</t>
  </si>
  <si>
    <r>
      <t>Emissão de CO</t>
    </r>
    <r>
      <rPr>
        <b/>
        <vertAlign val="subscript"/>
        <sz val="16"/>
        <color theme="1"/>
        <rFont val="Calibri"/>
        <family val="2"/>
        <scheme val="minor"/>
      </rPr>
      <t>2</t>
    </r>
    <r>
      <rPr>
        <b/>
        <sz val="16"/>
        <color theme="1"/>
        <rFont val="Calibri"/>
        <family val="2"/>
        <scheme val="minor"/>
      </rPr>
      <t xml:space="preserve"> equivalente</t>
    </r>
  </si>
  <si>
    <t>Área total (m²)</t>
  </si>
  <si>
    <t>Indicador</t>
  </si>
  <si>
    <t>Carga térmica por área (kWh/ano/m²)</t>
  </si>
  <si>
    <t>Consumo de energia por área (kWh/m²/ano)</t>
  </si>
  <si>
    <t>Potencial de integração com iluminação natural (%)</t>
  </si>
  <si>
    <t>Percetual de horas atendidas por Ventilação natural (%)</t>
  </si>
  <si>
    <t>Valor</t>
  </si>
  <si>
    <t>Consumo de energia com resfriamento por área (kWh/m²/ano)</t>
  </si>
  <si>
    <t>Consumo de energia com resfriamento (kWh/ano)</t>
  </si>
  <si>
    <t>Consumo de energia com aquecimento (kWh/ano)</t>
  </si>
  <si>
    <t>Consumo de energia com aquecimento por área (kWh/m²/ano)</t>
  </si>
  <si>
    <t>Energia térmica resfriamento (kWh/m³/ano)</t>
  </si>
  <si>
    <t>Energia térmica resfriamento por área (kWh/m³/m²/ano)</t>
  </si>
  <si>
    <t>Energia térmica aquecimento por área (kWh/m³/m²/ano)</t>
  </si>
  <si>
    <t>Consumo de energia total por área (kWh/m²/ano)</t>
  </si>
  <si>
    <t>Consumo de energia elétrica por área (kWh/m²/ano)</t>
  </si>
  <si>
    <t>Consumo de energia elétrica (kWh/ano)</t>
  </si>
  <si>
    <t>Geração</t>
  </si>
  <si>
    <t>Geração por área (kWh/m²)</t>
  </si>
  <si>
    <t>Edificação completa</t>
  </si>
  <si>
    <t>Consumo de energia por mês (kWh/mês)</t>
  </si>
  <si>
    <t>Consumo de energia elétrica por mês (kWh/mês)</t>
  </si>
  <si>
    <t>Consumo de energia térmica por mês (m³/mês)</t>
  </si>
  <si>
    <t>Consumo de energia térmica (m³/ano)</t>
  </si>
  <si>
    <t>Consumo de energia térmica por área (m³/m²/ano)</t>
  </si>
  <si>
    <t>INÍCIO</t>
  </si>
  <si>
    <t>SISTEMAS AVALIADOS E MÉTODOS</t>
  </si>
  <si>
    <t>Quais sistemas estão sendo avaliados e como?</t>
  </si>
  <si>
    <t>PARÂMETROS DOS SISTEMAS</t>
  </si>
  <si>
    <r>
      <t xml:space="preserve">Instruções para esta aba:
</t>
    </r>
    <r>
      <rPr>
        <i/>
        <sz val="11"/>
        <rFont val="Calibri"/>
        <family val="2"/>
        <scheme val="minor"/>
      </rPr>
      <t xml:space="preserve">
- Preencher o tipo de sistema a ser implementado (Célula C9) e listar os sistemas indivualmente, a partir da lista abaixo.</t>
    </r>
  </si>
  <si>
    <r>
      <t xml:space="preserve">Instruções para esta aba:
</t>
    </r>
    <r>
      <rPr>
        <i/>
        <sz val="12"/>
        <rFont val="Calibri"/>
        <family val="2"/>
        <scheme val="minor"/>
      </rPr>
      <t xml:space="preserve">
- Inicie o preenchimento pela aba "Componentes", descrevendo os componentes construtivos da sua edificação. 
- Na sequência, preencha a tabela da envoltória, em que cada linha corresponde a uma zona térmica. (ZT)
- As linhas devem ser preenchidas por completo, mesmo que a ZT não possua algum parâmetro (por ex., se a ZT não possuir abertura zenital, indicar "0" na coluna Q, e "Sem Aber. Zenital" na coluna R).
- O cálculo da DPI é feito automático depois de preencher a aba de Iluminação, por isso não é preenchido (vem como fórmula).</t>
    </r>
    <r>
      <rPr>
        <b/>
        <i/>
        <sz val="12"/>
        <rFont val="Calibri"/>
        <family val="2"/>
        <scheme val="minor"/>
      </rPr>
      <t xml:space="preserve">
- Após preenchida esta planilha, usar a interface online para determinar as cargas térmicas nas condições real e de referência, e colar os resultados nesta aba (colunas W e X).</t>
    </r>
  </si>
  <si>
    <t>Sistema SEM acumulação
(aquecimento de passagem)</t>
  </si>
  <si>
    <t>Sistema COM acumulação</t>
  </si>
  <si>
    <t>Possui Sistema de Aquecimento Solar Térmico?</t>
  </si>
  <si>
    <r>
      <rPr>
        <b/>
        <i/>
        <sz val="11"/>
        <color theme="1"/>
        <rFont val="Calibri"/>
        <family val="2"/>
        <scheme val="minor"/>
      </rPr>
      <t xml:space="preserve">Próximas etapas:
</t>
    </r>
    <r>
      <rPr>
        <i/>
        <sz val="11"/>
        <color theme="1"/>
        <rFont val="Calibri"/>
        <family val="2"/>
        <scheme val="minor"/>
      </rPr>
      <t xml:space="preserve">
- Caso o sistema de Iluminação esteja sendo avaliado, preencha primeiro a aba "Iluminação", pois a DPI real é necessária para avaliar a Envoltória.
- Depois de preencher a aba Iluminação, preencha a aba "Envoltória".
- Depois de preencher a aba "Envoltória", utilize o metamodelo para determinar as cargas térmicas e cole os resultados no lugar determinado na mesma aba.
- Depois, caso pertinente, preencha a aba "CondicionamentoDeAr".
- Depois, caso pertinente, preencha a aba "AquecimentoÁgua".
- Confira o atendimento à elegibilidade dos sistemas na aba "ElegibilidadeClassificaçãoA".
- Por fim, consulte os resultados da análise da aba "Resultados".</t>
    </r>
  </si>
  <si>
    <t>Parcela avaliada:</t>
  </si>
  <si>
    <t>Caso seja uma parcela, descrição da parcela avaliada:</t>
  </si>
  <si>
    <t>Elegibilidade do sistema de Iluminação</t>
  </si>
  <si>
    <t>Elegibilidade do sistema de Aquecimento de água</t>
  </si>
  <si>
    <t>RedCAA:</t>
  </si>
  <si>
    <t>CAA,real</t>
  </si>
  <si>
    <t>CAA,refD</t>
  </si>
  <si>
    <t>CAAE,refD</t>
  </si>
  <si>
    <t>CAAT,real</t>
  </si>
  <si>
    <t>CAAE,real</t>
  </si>
  <si>
    <t>Consumo total em Energia Primária (CAA)
(kWh/ano)</t>
  </si>
  <si>
    <t>Energia proveniente do aquecimento solar, EAA,rec,sol (kWh/dia)</t>
  </si>
  <si>
    <t>Sem Acumulação</t>
  </si>
  <si>
    <t>Com Acumulação</t>
  </si>
  <si>
    <t>Tipo de Sistema predominante:</t>
  </si>
  <si>
    <t>Dados climáticos:</t>
  </si>
  <si>
    <t>Especificações do sistema de acumulação:</t>
  </si>
  <si>
    <t>Resultados:</t>
  </si>
  <si>
    <t>Massa específica da água (kg/L):</t>
  </si>
  <si>
    <t>Temperatura de armazenamento (°C)</t>
  </si>
  <si>
    <t>Volume diário de água quente, Vdia,t (m³/dia):</t>
  </si>
  <si>
    <t>EA,res,sby Fabricante (kWh/mês/L):</t>
  </si>
  <si>
    <t>EA,res,sby Estimada pela equação 7.2 (kWh/mês/L):</t>
  </si>
  <si>
    <t>Chuveiro elétrico</t>
  </si>
  <si>
    <t>Ver eficiências tabelas B.IV.2 e BIV.3 para consultar eficiências por tipos de equipamentos.</t>
  </si>
  <si>
    <t>Se Térmico, fonte:</t>
  </si>
  <si>
    <t>Emissões de CO2 Referencia (kWh/ano):</t>
  </si>
  <si>
    <t>Emissões de CO2 Real (kWh/ano):</t>
  </si>
  <si>
    <t>Número de unidades (f):</t>
  </si>
  <si>
    <t>Consumo per capita diário (L/unidade/dia)</t>
  </si>
  <si>
    <t>Área iluminada [m²]</t>
  </si>
  <si>
    <t>Aquecimento de água</t>
  </si>
  <si>
    <t>Geração de energia</t>
  </si>
  <si>
    <t>Consumo limite Classe D (kWh/ano):</t>
  </si>
  <si>
    <t>Consumo limite Classe A (kWh/ano):</t>
  </si>
  <si>
    <t>Consumo limite para escala (kWh/ano)</t>
  </si>
  <si>
    <t>Classe D</t>
  </si>
  <si>
    <t>Classe A</t>
  </si>
  <si>
    <t>Consumo na condição real (kWh/ano):</t>
  </si>
  <si>
    <t>Área iluminada (m²):</t>
  </si>
  <si>
    <t>Sistemas centrais</t>
  </si>
  <si>
    <t>Sistema presumido [Não previsto]</t>
  </si>
  <si>
    <t>Consumo na condição de referência (kWh/ano):</t>
  </si>
  <si>
    <t>Tipo de tubulação</t>
  </si>
  <si>
    <t>Trecho</t>
  </si>
  <si>
    <t>Distribuição</t>
  </si>
  <si>
    <t>Isolada</t>
  </si>
  <si>
    <t>Não isolada</t>
  </si>
  <si>
    <t>A-B</t>
  </si>
  <si>
    <t>C-D</t>
  </si>
  <si>
    <t>Especificações do reservatório de água quente:</t>
  </si>
  <si>
    <t>Temperatura de setpoint de recirculação (°C):</t>
  </si>
  <si>
    <t>Total de perdas (kWh/dia):</t>
  </si>
  <si>
    <t>Espaço livre para memória de cálculo para conjugação de sistemas, caso necessário:</t>
  </si>
  <si>
    <t>Recirculação</t>
  </si>
  <si>
    <t>Parâmetros do reservatório de água quente</t>
  </si>
  <si>
    <t>Sim</t>
  </si>
  <si>
    <t>EAA,rec,sol (kWh/dia):</t>
  </si>
  <si>
    <r>
      <rPr>
        <b/>
        <i/>
        <sz val="11"/>
        <color theme="1"/>
        <rFont val="Calibri"/>
        <family val="2"/>
        <scheme val="minor"/>
      </rPr>
      <t>Instruções para esta aba:</t>
    </r>
    <r>
      <rPr>
        <i/>
        <sz val="11"/>
        <color theme="1"/>
        <rFont val="Calibri"/>
        <family val="2"/>
        <scheme val="minor"/>
      </rPr>
      <t xml:space="preserve">
- O sistema de aquecimento de água pode ser "Sem acumulação", "Com acumulação", ou ambos.
- Inicie pela conferência da Cidade e temperatura média anual. Caso o cálculo automático não tenha retornado um valor, escolha a cidade na lista suspesa.
- Especifique o número de unidades (população atendida) por cada sistema. Caso só existe um tipo de sistema na edificação, deixo o outro como 0 unidades atendidas (exemplo, caso o sistema da edificação seja Chuveiro elétrico, informe o Número de pessoas atendidas na coluna "Sem acumulação", e zero na coluna "Com acumulação".
- Após, informe o consumo per capita, que é estimado por projeto ou pela Tabela B.IV.1 da INI-C.
- Com isso, são obtidas as energias requeridas para aquecimento para cada tipo de sistema. Siga para as seções abaixo para especificar cada sistema.</t>
    </r>
  </si>
  <si>
    <t>Caso a edificação possua sistema sem acumulação, informe o tipo de sistema, sua fonte e a eficiência do sistema. Para simplificação, neste tipo de sistema não são consideradas perdas. Caso haja mais de um tipo de sistema sem acumulação diferente, é possível conjugar eficiências do sistema pela média ponderada da potência. Utilizar o espaço para memória de cálculo de conjugação para demonstrar os cálculos.</t>
  </si>
  <si>
    <t>Caso a edificação possua sistema com acumulação, informe se existe especificação do sistema solar térmico ou não. Este sistema pode ser especificado de forma simplificada ou detalhada. 
Independente de haver o sistema solar térmico, sempre é necessário um sistema de aquecimento de acumulação. Informe o tipo de sistema de aquecimento de acumulação, sua fonte e a eficiência. Após, informe os parâmetros do reservatório e as perdas do sistema de circulação e recirculação.
Caso haja mais de um tipo de sistema sem acumulação diferente, é possível conjugar eficiências do sistema pela média ponderada da potência. Utilizar o espaço para memória de cálculo de conjugação para demonstrar os cálculos.</t>
  </si>
  <si>
    <t>Somente por simulação</t>
  </si>
  <si>
    <t>No método de simulação, preencha as células abaixo indicando os resultados anuais de consumo de energia obtidos pela simulação.
Neste método, a verifiação de elegibilidade para classificação A deve ser feita ambiente por ambiente, por uma avaliação paralela pelo analista.</t>
  </si>
  <si>
    <t>Indicar resultados por Simulação:</t>
  </si>
  <si>
    <t>Consumo com resfriamento REAL TOTAL (kWh/ano)</t>
  </si>
  <si>
    <t>Consumo com resfriamento REFERÊNCIA TOTAL (kWh/ano)</t>
  </si>
  <si>
    <t>Consumo com aquecimento REAL TOTAL (kWh/ano)</t>
  </si>
  <si>
    <t>Consumo com aquecimento REFERÊNCIA TOTAL (kWh/ano)</t>
  </si>
  <si>
    <t>Instruções para esta aba: Esta aba é totalmente preenchida automaticamente.</t>
  </si>
  <si>
    <t>Ventilação Natural</t>
  </si>
  <si>
    <t>Integração com Ventilação Natural?</t>
  </si>
  <si>
    <t>Não (totalmente condicionada)</t>
  </si>
  <si>
    <t>Se sim, Indique o Percentual de horas ocupadas em conforto térmico (PHOCT) [%]:</t>
  </si>
  <si>
    <t>DPE do método de simulação (W/m²):</t>
  </si>
  <si>
    <t>Varejo e Serviços</t>
  </si>
  <si>
    <t>Supermercados e Mercados</t>
  </si>
  <si>
    <t>Serviços de Alimentação</t>
  </si>
  <si>
    <r>
      <t xml:space="preserve">Instruções para esta aba:
</t>
    </r>
    <r>
      <rPr>
        <i/>
        <sz val="12"/>
        <rFont val="Calibri"/>
        <family val="2"/>
        <scheme val="minor"/>
      </rPr>
      <t>- Após preencher a aba Envoltória e obter as cargas térmicas pela interface, inicie preenchendo as células C16, C17 e C18.
- Preencha na aba Componentes a lista de equipamentos de condicionamento de ar previstos para a edificação.
- Depois, preencha a lista de ZT condicionadas por tipo de sistema (coluna C24 em diante desta aba). Neste momento, serão associados sistemas de condicionamento às zonas térmicas.
- Uma ZT pode ser condicionada por sistema composto por equipamentos unitários, centrais ou não ter sistema previsto. 
- As áreas atendidas por ventilação natural se encaixam como "Não previsto" na lista de ZT.
- Não se esqueça de verificar a condição de elegibilidade do sistema para classificação "A" na aba pertinente.</t>
    </r>
  </si>
  <si>
    <t>AVS (°)</t>
  </si>
  <si>
    <t>AHS (°)</t>
  </si>
  <si>
    <t>AOV (°)</t>
  </si>
  <si>
    <t>Quantidade de Reservatórios</t>
  </si>
  <si>
    <t>Volume do reservatório (L):</t>
  </si>
  <si>
    <t>Perda devido aos Reservatórios (kWh/dia):</t>
  </si>
  <si>
    <t>Perda unitária do Reservatório (kWh/dia):</t>
  </si>
  <si>
    <t>Não descrita anteriormente</t>
  </si>
  <si>
    <t>Se a tipologia é "Não descrita anteriormente", é possível especificar a DPE de acordo com levantamento de projeto.</t>
  </si>
  <si>
    <t>É a Fachada Principal? [Somente para tipologia de Varejo e Serviços]</t>
  </si>
  <si>
    <t>A elaboração e revisão desta planilha faz parte do Convênio ECTI nº ECV-001/2024, firmado entre a ENBPar - Empresa Brasileira de Participações em Energia Nuclear e Binacional S.A, no âmbito do PROCEL - Programa Nacional de Conservação de Energia Elétrica, a UFSC - Universidade Federal de Santa Catarina e a FEESC - Fundação de Ensino e Engenharia de Santa Catarina, e foi produzido pelo CB3E – Centro Brasileiro de Eficiência Energética em Edificações. Esta versão da planilha está de acordo com todas as correções e modificações feitas na Portaria nº 309/22 por meio das Notas Técnicas 01 e 02 publicadas na página do PBE Edifica.
O objetivo desta planilha eletrônica é auxiliar profissionais a aplicarem o método de etiquetagem energética de edificações.</t>
  </si>
  <si>
    <r>
      <t xml:space="preserve">Instruções para esta aba:
</t>
    </r>
    <r>
      <rPr>
        <i/>
        <sz val="11"/>
        <rFont val="Calibri"/>
        <family val="2"/>
        <scheme val="minor"/>
      </rPr>
      <t xml:space="preserve">
- O atendimento à elegibilidade do sistema de condicionamento de ar deve ser verificado na aba "Componentes", para os sistemas unitários, e também na célcula C13. Os sistemas centrais devem ser verificados nas células C15 a C32.
- O atendimento à elegibilidade do sistema de iluminação é verificado automaticamente na aba "Iluminação".
- O atendimento à elegibilidade do sistema de aquecimento de água deve ser verificado nas células I11 a I13.
- O atendimento à elegibilidade geral da edificação é feito automaticamente, caso todos os sistemas aplicáveis sejam elegíveis para classificação A.</t>
    </r>
  </si>
  <si>
    <r>
      <t xml:space="preserve">Instruções iniciais:
</t>
    </r>
    <r>
      <rPr>
        <i/>
        <sz val="11"/>
        <color theme="1"/>
        <rFont val="Calibri"/>
        <family val="2"/>
        <scheme val="minor"/>
      </rPr>
      <t xml:space="preserve">
- Inicie o preenchimento da planilha nesta aba.
- Informe os dados gerais da edificação nesta aba.
- Siga para o preenchimento dos sistemas avaliados.</t>
    </r>
    <r>
      <rPr>
        <b/>
        <i/>
        <sz val="11"/>
        <color theme="1"/>
        <rFont val="Calibri"/>
        <family val="2"/>
        <scheme val="minor"/>
      </rPr>
      <t xml:space="preserve">
- Note que esta planilha template vem com um exemplo preenchido, para ajudar a reduzir dúvidas no preenchimento. Certifique-se de que todas as informações estão corretas para a  SUA edificação.</t>
    </r>
  </si>
  <si>
    <r>
      <rPr>
        <b/>
        <i/>
        <sz val="11"/>
        <color theme="1"/>
        <rFont val="Calibri"/>
        <family val="2"/>
        <scheme val="minor"/>
      </rPr>
      <t>Instruções para esta aba:</t>
    </r>
    <r>
      <rPr>
        <i/>
        <sz val="11"/>
        <color theme="1"/>
        <rFont val="Calibri"/>
        <family val="2"/>
        <scheme val="minor"/>
      </rPr>
      <t xml:space="preserve">
- A partir da escolha do método de avaliação do Sistema de Iluminação na aba "Geral" ("Método do Edifício Completo" ou "Método das Atividades do Edifício"), escolha uma seção desta aba para continuar o preenchimento. Não é necessário preencher os dois métodos!
- Seguir as instruções conforme especificado em cada tipo de método.
- Para ambos os métodos, caso haja integração com iluminação natural, deve ser prencchido o percentual de integração na célcula C17.
- Ao final do preenchimento da planilha de iluminação, a DPI Real média da edificação é calculada automaticamente, e é usada na avaliação da Envoltória.
- Neste exemplo da planilha template, preenchemos os dois métodos para mostrar como pode ser feito, mas para avaliar, certifique-se de usar apenas o método pertinente.</t>
    </r>
  </si>
  <si>
    <t>Solicitante da ENCE:</t>
  </si>
  <si>
    <t>DPE Levantada (caso a tipologia seja "Não descrita anteriormente"), em W/m²:</t>
  </si>
  <si>
    <t>Fabricante</t>
  </si>
  <si>
    <t>Perda térmica especficada pelo fabricante/etiqueta ou estimada?</t>
  </si>
  <si>
    <t>Espessura do isolamento térmico atende ao item 7.1.2.1?</t>
  </si>
  <si>
    <r>
      <rPr>
        <b/>
        <sz val="11"/>
        <color theme="1"/>
        <rFont val="Calibri"/>
        <family val="2"/>
        <scheme val="minor"/>
      </rPr>
      <t xml:space="preserve">DPI, Real (W/m²) </t>
    </r>
    <r>
      <rPr>
        <b/>
        <sz val="9"/>
        <color theme="1"/>
        <rFont val="Calibri"/>
        <family val="2"/>
        <scheme val="minor"/>
      </rPr>
      <t xml:space="preserve">
</t>
    </r>
    <r>
      <rPr>
        <sz val="9"/>
        <color theme="1"/>
        <rFont val="Calibri"/>
        <family val="2"/>
        <scheme val="minor"/>
      </rPr>
      <t>(mesmo não avaliando o sistema de iluminação, você pode inserir uma DPI real para avaliar a Envoltória. Caso não seja inserida uma DPI real, deixe zerado e a planilha vai considerar a DPI de referência):</t>
    </r>
  </si>
  <si>
    <t>Condição da Zona Térmica no pavimento</t>
  </si>
  <si>
    <t>Área 
[m²]</t>
  </si>
  <si>
    <t>Relação com Zonas Térmicas adjacentes</t>
  </si>
  <si>
    <t>Percentual de Abertura da Fachada [%]</t>
  </si>
  <si>
    <t>Esta Zona Térmica deste pavimento se repete quantas vezes na edificação?</t>
  </si>
  <si>
    <t>Carga térmica de resfriamento REAL, por ZT (kWh/ano)</t>
  </si>
  <si>
    <t>Carga térmica de resfriamento REFERÊNCIA, por ZT (kWh/ano)</t>
  </si>
  <si>
    <t>Output do metamodelo na condição Real [kWh/m²ano]</t>
  </si>
  <si>
    <t>Output do metamodelo na condição de Referência [kWh/m²ano]</t>
  </si>
  <si>
    <t>CEE</t>
  </si>
  <si>
    <t>Detalhado</t>
  </si>
  <si>
    <t>Aquecedor de acumulação a gás</t>
  </si>
  <si>
    <r>
      <t xml:space="preserve">COLAR OS RESULTADOS DO METAMODELO AQUI!
</t>
    </r>
    <r>
      <rPr>
        <b/>
        <sz val="11"/>
        <rFont val="Calibri"/>
        <family val="2"/>
        <scheme val="minor"/>
      </rPr>
      <t>(os valores dependem da sua região, mas devem ser na ordem de 100 a 600 kWh/m²ano)</t>
    </r>
  </si>
  <si>
    <t>Sede da Subseção da Justiça Federal em Patos</t>
  </si>
  <si>
    <t>Rua Ronnyeri Batista, Salgadinho, Loteamento Sunny City</t>
  </si>
  <si>
    <t>Luciane Cleonice Durante, Dra
Emeli Lalesca Aparecida da Guarda, Dra</t>
  </si>
  <si>
    <t>Térreo</t>
  </si>
  <si>
    <t>1 Pavimento</t>
  </si>
  <si>
    <t>Sala de acautelamento</t>
  </si>
  <si>
    <t>Sala de audiência vara 01</t>
  </si>
  <si>
    <t>Sala de audiência vara 02</t>
  </si>
  <si>
    <t>Circulação das varas</t>
  </si>
  <si>
    <t>Espera audiências</t>
  </si>
  <si>
    <t>Sala técnica áudio/vídeo</t>
  </si>
  <si>
    <t>Auditório</t>
  </si>
  <si>
    <t>Lavabo</t>
  </si>
  <si>
    <t>Sala VIP</t>
  </si>
  <si>
    <t>Hall escada/elevador</t>
  </si>
  <si>
    <t>Foyer</t>
  </si>
  <si>
    <t>Sala técnica</t>
  </si>
  <si>
    <t>Sala OAB</t>
  </si>
  <si>
    <t>Área de Convivência Servidores</t>
  </si>
  <si>
    <t>Refeitório Servidores/Copa</t>
  </si>
  <si>
    <t>Lavabo Masculino</t>
  </si>
  <si>
    <t>Lavabo Feminino</t>
  </si>
  <si>
    <t>Sala do MPF</t>
  </si>
  <si>
    <t>WC PCD</t>
  </si>
  <si>
    <t>Espera Perícias e Brinquedoteca</t>
  </si>
  <si>
    <t>Sala perícia 02</t>
  </si>
  <si>
    <t>Sala perícia 01</t>
  </si>
  <si>
    <t>Polícia Judicial/Central de monitoramento</t>
  </si>
  <si>
    <t>Garagem Privativa</t>
  </si>
  <si>
    <t>DML</t>
  </si>
  <si>
    <t>Depósito</t>
  </si>
  <si>
    <t>Banheiro</t>
  </si>
  <si>
    <t>WC Público Feminino Térreo</t>
  </si>
  <si>
    <t>WC Público Masculino Térreo</t>
  </si>
  <si>
    <t>Escada/Jardim</t>
  </si>
  <si>
    <t>Recepção</t>
  </si>
  <si>
    <t>Acesso principal</t>
  </si>
  <si>
    <t>Assessoria vara 02</t>
  </si>
  <si>
    <t>Gabinete juiz titular vara 02</t>
  </si>
  <si>
    <t>WC juiz vara 02</t>
  </si>
  <si>
    <t>Gabinete juiz substituto vara 02</t>
  </si>
  <si>
    <t>WC juiz substituto vara 02</t>
  </si>
  <si>
    <t>Secretaria vara 02</t>
  </si>
  <si>
    <t>Direção vara 02</t>
  </si>
  <si>
    <t>Sala de reunião vara 02</t>
  </si>
  <si>
    <t>Núcleo de atendimento ao Público vara 02</t>
  </si>
  <si>
    <t>Copa vara 02</t>
  </si>
  <si>
    <t>WC masculino vara 02</t>
  </si>
  <si>
    <t>WC feminino vara 02</t>
  </si>
  <si>
    <t>WC público feminino Superior</t>
  </si>
  <si>
    <t>Escada/circulação privativa</t>
  </si>
  <si>
    <t>Gabinete juiz titular vara 01</t>
  </si>
  <si>
    <t>WC juiz vara 01</t>
  </si>
  <si>
    <t>Assessoria vara 01</t>
  </si>
  <si>
    <t>Gabinete juiz substituto vara 01</t>
  </si>
  <si>
    <t>WC juiz substituto vara 01</t>
  </si>
  <si>
    <t>Secretaria vara 01</t>
  </si>
  <si>
    <t>Direção vara 01</t>
  </si>
  <si>
    <t>Sala reunião vara 01</t>
  </si>
  <si>
    <t>Núcleo de atendimento vara 01</t>
  </si>
  <si>
    <t>Copa vara 01</t>
  </si>
  <si>
    <t>WC masculino vara 01</t>
  </si>
  <si>
    <t>WC feminino vara 01</t>
  </si>
  <si>
    <t>WC público masculino Superior</t>
  </si>
  <si>
    <t>Circulação geral 1º Pav.</t>
  </si>
  <si>
    <t>Apoio administrativo</t>
  </si>
  <si>
    <t>Frente/Refletores platibanda fachada</t>
  </si>
  <si>
    <t>WC 2</t>
  </si>
  <si>
    <t>WC 1</t>
  </si>
  <si>
    <t>Área de convivência terceirizados</t>
  </si>
  <si>
    <t>Escada serviço</t>
  </si>
  <si>
    <t>Terraço fundo</t>
  </si>
  <si>
    <t>JF_Cobertura</t>
  </si>
  <si>
    <t>JF_EntrePisos</t>
  </si>
  <si>
    <t>JF_JanelaComum</t>
  </si>
  <si>
    <t>Sistema 01</t>
  </si>
  <si>
    <t>Sistema 02</t>
  </si>
  <si>
    <t>Sistema 03</t>
  </si>
  <si>
    <t>Sistema 04</t>
  </si>
  <si>
    <t>Sistema Central</t>
  </si>
  <si>
    <t>ZP1</t>
  </si>
  <si>
    <t>ZP2</t>
  </si>
  <si>
    <t>ZP3</t>
  </si>
  <si>
    <t>ZP4</t>
  </si>
  <si>
    <t>ZP5</t>
  </si>
  <si>
    <t>ZP6</t>
  </si>
  <si>
    <t>ZP7</t>
  </si>
  <si>
    <t>ZP8</t>
  </si>
  <si>
    <t>ZP9</t>
  </si>
  <si>
    <t>ZP10</t>
  </si>
  <si>
    <t>ZP11-duplo</t>
  </si>
  <si>
    <t>ZP12-duplo</t>
  </si>
  <si>
    <t>ZP13-duplo</t>
  </si>
  <si>
    <t>ZP14-duplo</t>
  </si>
  <si>
    <t>ZP15-duplo</t>
  </si>
  <si>
    <t>ZP16</t>
  </si>
  <si>
    <t>ZP17</t>
  </si>
  <si>
    <t>ZP18</t>
  </si>
  <si>
    <t>ZP19</t>
  </si>
  <si>
    <t>ZP20</t>
  </si>
  <si>
    <t>ZP21</t>
  </si>
  <si>
    <t>ZP22</t>
  </si>
  <si>
    <t>ZP23</t>
  </si>
  <si>
    <t>Zi1-duplo</t>
  </si>
  <si>
    <t>Zi2-duplo</t>
  </si>
  <si>
    <t>Zi3-duplo</t>
  </si>
  <si>
    <t>Zi4</t>
  </si>
  <si>
    <t>ZP24</t>
  </si>
  <si>
    <t>ZP25</t>
  </si>
  <si>
    <t>ZP26</t>
  </si>
  <si>
    <t>ZP27</t>
  </si>
  <si>
    <t>ZP28</t>
  </si>
  <si>
    <t>ZP29</t>
  </si>
  <si>
    <t>ZP30</t>
  </si>
  <si>
    <t>ZP31</t>
  </si>
  <si>
    <t>ZP32</t>
  </si>
  <si>
    <t>ZP33</t>
  </si>
  <si>
    <t>ZP34</t>
  </si>
  <si>
    <t>ZP35</t>
  </si>
  <si>
    <t>ZP36</t>
  </si>
  <si>
    <t>Zi5</t>
  </si>
  <si>
    <t>Sistema Fotovoltaico</t>
  </si>
  <si>
    <t>Inversor Sungrow</t>
  </si>
  <si>
    <t>Sistema FV on-grid com strings de módulos</t>
  </si>
  <si>
    <t>JF_JanelaZP10</t>
  </si>
  <si>
    <t>JF_JanelaZP11</t>
  </si>
  <si>
    <t>JF_JanelaZP12</t>
  </si>
  <si>
    <t>JF_JanelaZP13</t>
  </si>
  <si>
    <t>JF_JanelaZP14</t>
  </si>
  <si>
    <t>JF_JanelaZP15</t>
  </si>
  <si>
    <t>JF_JanelaZP16</t>
  </si>
  <si>
    <t>JF_JanelaZP23</t>
  </si>
  <si>
    <t>JF_ParedeExterna_Branca</t>
  </si>
  <si>
    <t>JF_ParedeExterna_Pastilha</t>
  </si>
  <si>
    <t>JF_ACM_Cinza</t>
  </si>
  <si>
    <t>VS01</t>
  </si>
  <si>
    <t>MC01</t>
  </si>
  <si>
    <t>CH01</t>
  </si>
  <si>
    <t>TR01</t>
  </si>
  <si>
    <t>TR05</t>
  </si>
  <si>
    <t>TR04</t>
  </si>
  <si>
    <t>TR02</t>
  </si>
  <si>
    <t>VS02</t>
  </si>
  <si>
    <t>Não aplicável a esta tipologia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</si>
</sst>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0.0%"/>
    <numFmt numFmtId="165" formatCode="0.0"/>
    <numFmt numFmtId="166" formatCode="0.000"/>
    <numFmt numFmtId="167" formatCode="_-* #,##0_-;\-* #,##0_-;_-* &quot;-&quot;??_-;_-@_-"/>
    <numFmt numFmtId="168" formatCode="0.0000"/>
    <numFmt numFmtId="169" formatCode="#,##0.00_ ;\-#,##0.00\ "/>
    <numFmt numFmtId="170" formatCode="#,##0.0"/>
    <numFmt numFmtId="171" formatCode="#,##0.000"/>
  </numFmts>
  <fonts count="88" x14ac:knownFonts="1">
    <font>
      <sz val="11"/>
      <color theme="1"/>
      <name val="Calibri"/>
      <family val="2"/>
      <scheme val="minor"/>
    </font>
    <font>
      <b/>
      <sz val="11"/>
      <color theme="1"/>
      <name val="Calibri"/>
      <family val="2"/>
      <scheme val="minor"/>
    </font>
    <font>
      <sz val="10"/>
      <color theme="1"/>
      <name val="Calibri"/>
      <family val="2"/>
      <scheme val="minor"/>
    </font>
    <font>
      <b/>
      <sz val="12"/>
      <color theme="1"/>
      <name val="Calibri"/>
      <family val="2"/>
      <scheme val="minor"/>
    </font>
    <font>
      <b/>
      <vertAlign val="subscript"/>
      <sz val="11"/>
      <color theme="1"/>
      <name val="Calibri"/>
      <family val="2"/>
      <scheme val="minor"/>
    </font>
    <font>
      <sz val="9"/>
      <color indexed="81"/>
      <name val="Segoe UI"/>
      <family val="2"/>
    </font>
    <font>
      <b/>
      <sz val="9"/>
      <color indexed="81"/>
      <name val="Segoe UI"/>
      <family val="2"/>
    </font>
    <font>
      <sz val="11"/>
      <color theme="1"/>
      <name val="Calibri"/>
      <family val="2"/>
      <scheme val="minor"/>
    </font>
    <font>
      <b/>
      <sz val="10"/>
      <color theme="1"/>
      <name val="Calibri"/>
      <family val="2"/>
      <scheme val="minor"/>
    </font>
    <font>
      <sz val="11"/>
      <color rgb="FFFF0000"/>
      <name val="Calibri"/>
      <family val="2"/>
      <scheme val="minor"/>
    </font>
    <font>
      <sz val="10"/>
      <name val="Calibri"/>
      <family val="2"/>
      <scheme val="minor"/>
    </font>
    <font>
      <sz val="11"/>
      <name val="Calibri"/>
      <family val="2"/>
      <scheme val="minor"/>
    </font>
    <font>
      <b/>
      <sz val="10"/>
      <name val="Calibri"/>
      <family val="2"/>
      <scheme val="minor"/>
    </font>
    <font>
      <b/>
      <sz val="11"/>
      <name val="Calibri"/>
      <family val="2"/>
      <scheme val="minor"/>
    </font>
    <font>
      <sz val="14"/>
      <color theme="1"/>
      <name val="Calibri"/>
      <family val="2"/>
      <scheme val="minor"/>
    </font>
    <font>
      <b/>
      <sz val="14"/>
      <color theme="1"/>
      <name val="Calibri"/>
      <family val="2"/>
      <scheme val="minor"/>
    </font>
    <font>
      <sz val="11"/>
      <color theme="0" tint="-0.14999847407452621"/>
      <name val="Calibri"/>
      <family val="2"/>
      <scheme val="minor"/>
    </font>
    <font>
      <sz val="9"/>
      <color theme="1"/>
      <name val="Calibri"/>
      <family val="2"/>
      <scheme val="minor"/>
    </font>
    <font>
      <b/>
      <sz val="11"/>
      <color theme="1"/>
      <name val="Calibri"/>
      <family val="2"/>
    </font>
    <font>
      <sz val="11"/>
      <color theme="1"/>
      <name val="Calibri"/>
      <family val="2"/>
    </font>
    <font>
      <b/>
      <sz val="48"/>
      <color theme="1"/>
      <name val="Calibri"/>
      <family val="2"/>
      <scheme val="minor"/>
    </font>
    <font>
      <sz val="8"/>
      <name val="Calibri"/>
      <family val="2"/>
      <scheme val="minor"/>
    </font>
    <font>
      <b/>
      <sz val="36"/>
      <color rgb="FFFF0000"/>
      <name val="Calibri"/>
      <family val="2"/>
      <scheme val="minor"/>
    </font>
    <font>
      <sz val="11"/>
      <color theme="0" tint="-0.249977111117893"/>
      <name val="Calibri"/>
      <family val="2"/>
      <scheme val="minor"/>
    </font>
    <font>
      <sz val="14"/>
      <color theme="0" tint="-0.249977111117893"/>
      <name val="Calibri"/>
      <family val="2"/>
      <scheme val="minor"/>
    </font>
    <font>
      <sz val="10"/>
      <color theme="0" tint="-0.249977111117893"/>
      <name val="Calibri"/>
      <family val="2"/>
      <scheme val="minor"/>
    </font>
    <font>
      <sz val="12"/>
      <color theme="1"/>
      <name val="Times New Roman"/>
      <family val="1"/>
    </font>
    <font>
      <sz val="11"/>
      <color rgb="FF000000"/>
      <name val="Calibri"/>
      <family val="2"/>
    </font>
    <font>
      <b/>
      <sz val="8"/>
      <color rgb="FF212529"/>
      <name val="Calibri"/>
      <family val="2"/>
    </font>
    <font>
      <b/>
      <sz val="11"/>
      <color rgb="FF212529"/>
      <name val="Calibri"/>
      <family val="2"/>
    </font>
    <font>
      <sz val="8"/>
      <color rgb="FF212529"/>
      <name val="Calibri"/>
      <family val="2"/>
    </font>
    <font>
      <sz val="11"/>
      <color rgb="FF212529"/>
      <name val="Calibri"/>
      <family val="2"/>
    </font>
    <font>
      <b/>
      <sz val="11"/>
      <color theme="0" tint="-0.249977111117893"/>
      <name val="Calibri"/>
      <family val="2"/>
    </font>
    <font>
      <sz val="12"/>
      <color theme="1"/>
      <name val="Calibri"/>
      <family val="2"/>
      <scheme val="minor"/>
    </font>
    <font>
      <sz val="11"/>
      <color theme="0"/>
      <name val="Calibri"/>
      <family val="2"/>
      <scheme val="minor"/>
    </font>
    <font>
      <b/>
      <sz val="8"/>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rgb="FF9C6500"/>
      <name val="Calibri"/>
      <family val="2"/>
      <scheme val="minor"/>
    </font>
    <font>
      <b/>
      <sz val="10"/>
      <color rgb="FFFF0000"/>
      <name val="Calibri"/>
      <family val="2"/>
      <scheme val="minor"/>
    </font>
    <font>
      <sz val="9"/>
      <color indexed="81"/>
      <name val="Tahoma"/>
      <family val="2"/>
    </font>
    <font>
      <b/>
      <sz val="9"/>
      <color indexed="81"/>
      <name val="Tahoma"/>
      <family val="2"/>
    </font>
    <font>
      <sz val="9"/>
      <color theme="1"/>
      <name val="Segoe UI"/>
      <family val="2"/>
    </font>
    <font>
      <b/>
      <sz val="9"/>
      <color theme="1"/>
      <name val="Segoe UI"/>
      <family val="2"/>
    </font>
    <font>
      <sz val="11"/>
      <color theme="0" tint="-0.34998626667073579"/>
      <name val="Calibri"/>
      <family val="2"/>
      <scheme val="minor"/>
    </font>
    <font>
      <sz val="10"/>
      <color theme="0" tint="-0.34998626667073579"/>
      <name val="Calibri"/>
      <family val="2"/>
      <scheme val="minor"/>
    </font>
    <font>
      <sz val="11"/>
      <color theme="0" tint="-0.499984740745262"/>
      <name val="Calibri"/>
      <family val="2"/>
    </font>
    <font>
      <b/>
      <sz val="16"/>
      <color theme="1"/>
      <name val="Calibri"/>
      <family val="2"/>
      <scheme val="minor"/>
    </font>
    <font>
      <b/>
      <sz val="28"/>
      <color theme="1"/>
      <name val="Calibri"/>
      <family val="2"/>
      <scheme val="minor"/>
    </font>
    <font>
      <u/>
      <sz val="11"/>
      <color theme="10"/>
      <name val="Calibri"/>
      <family val="2"/>
      <scheme val="minor"/>
    </font>
    <font>
      <b/>
      <sz val="12"/>
      <color rgb="FFFF0000"/>
      <name val="Calibri"/>
      <family val="2"/>
      <scheme val="minor"/>
    </font>
    <font>
      <b/>
      <sz val="48"/>
      <name val="Calibri"/>
      <family val="2"/>
      <scheme val="minor"/>
    </font>
    <font>
      <sz val="14"/>
      <name val="Calibri"/>
      <family val="2"/>
      <scheme val="minor"/>
    </font>
    <font>
      <sz val="14"/>
      <color rgb="FFFF0000"/>
      <name val="Calibri"/>
      <family val="2"/>
      <scheme val="minor"/>
    </font>
    <font>
      <b/>
      <sz val="36"/>
      <name val="Calibri"/>
      <family val="2"/>
      <scheme val="minor"/>
    </font>
    <font>
      <b/>
      <sz val="12"/>
      <name val="Calibri"/>
      <family val="2"/>
      <scheme val="minor"/>
    </font>
    <font>
      <sz val="9"/>
      <name val="Calibri"/>
      <family val="2"/>
      <scheme val="minor"/>
    </font>
    <font>
      <sz val="12"/>
      <color theme="0"/>
      <name val="Calibri"/>
      <family val="2"/>
      <scheme val="minor"/>
    </font>
    <font>
      <b/>
      <sz val="11"/>
      <color theme="0" tint="-0.34998626667073579"/>
      <name val="Calibri"/>
      <family val="2"/>
      <scheme val="minor"/>
    </font>
    <font>
      <b/>
      <sz val="14"/>
      <name val="Calibri"/>
      <family val="2"/>
      <scheme val="minor"/>
    </font>
    <font>
      <i/>
      <sz val="10"/>
      <color theme="1"/>
      <name val="Calibri"/>
      <family val="2"/>
      <scheme val="minor"/>
    </font>
    <font>
      <b/>
      <sz val="24"/>
      <name val="Calibri"/>
      <family val="2"/>
      <scheme val="minor"/>
    </font>
    <font>
      <b/>
      <i/>
      <sz val="12"/>
      <name val="Calibri"/>
      <family val="2"/>
      <scheme val="minor"/>
    </font>
    <font>
      <i/>
      <sz val="12"/>
      <name val="Calibri"/>
      <family val="2"/>
      <scheme val="minor"/>
    </font>
    <font>
      <b/>
      <sz val="9"/>
      <color theme="1"/>
      <name val="Calibri"/>
      <family val="2"/>
      <scheme val="minor"/>
    </font>
    <font>
      <i/>
      <sz val="11"/>
      <color theme="1"/>
      <name val="Calibri"/>
      <family val="2"/>
      <scheme val="minor"/>
    </font>
    <font>
      <sz val="8"/>
      <color theme="1"/>
      <name val="Calibri"/>
      <family val="2"/>
      <scheme val="minor"/>
    </font>
    <font>
      <sz val="12"/>
      <name val="Calibri"/>
      <family val="2"/>
      <scheme val="minor"/>
    </font>
    <font>
      <b/>
      <sz val="11"/>
      <color rgb="FF000000"/>
      <name val="Calibri"/>
      <family val="2"/>
    </font>
    <font>
      <sz val="11"/>
      <color rgb="FF9C5700"/>
      <name val="Calibri"/>
      <family val="2"/>
      <scheme val="minor"/>
    </font>
    <font>
      <b/>
      <i/>
      <sz val="11"/>
      <color theme="1"/>
      <name val="Calibri"/>
      <family val="2"/>
      <scheme val="minor"/>
    </font>
    <font>
      <sz val="16"/>
      <color theme="1"/>
      <name val="Calibri"/>
      <family val="2"/>
      <scheme val="minor"/>
    </font>
    <font>
      <b/>
      <vertAlign val="subscript"/>
      <sz val="16"/>
      <color theme="1"/>
      <name val="Calibri"/>
      <family val="2"/>
      <scheme val="minor"/>
    </font>
    <font>
      <b/>
      <i/>
      <sz val="11"/>
      <name val="Calibri"/>
      <family val="2"/>
      <scheme val="minor"/>
    </font>
    <font>
      <i/>
      <sz val="11"/>
      <name val="Calibri"/>
      <family val="2"/>
      <scheme val="minor"/>
    </font>
    <font>
      <b/>
      <sz val="11"/>
      <color rgb="FFFF0000"/>
      <name val="Calibri"/>
      <family val="2"/>
      <scheme val="minor"/>
    </font>
    <font>
      <sz val="14"/>
      <color theme="0"/>
      <name val="Calibri"/>
      <family val="2"/>
      <scheme val="minor"/>
    </font>
    <font>
      <b/>
      <sz val="24"/>
      <color theme="1"/>
      <name val="Calibri"/>
      <family val="2"/>
      <scheme val="minor"/>
    </font>
  </fonts>
  <fills count="51">
    <fill>
      <patternFill patternType="none"/>
    </fill>
    <fill>
      <patternFill patternType="gray125"/>
    </fill>
    <fill>
      <patternFill patternType="solid">
        <fgColor theme="9" tint="0.59999389629810485"/>
        <bgColor indexed="64"/>
      </patternFill>
    </fill>
    <fill>
      <patternFill patternType="solid">
        <fgColor theme="8" tint="0.59999389629810485"/>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tint="-0.249977111117893"/>
        <bgColor indexed="64"/>
      </patternFill>
    </fill>
    <fill>
      <patternFill patternType="solid">
        <fgColor theme="1" tint="0.34998626667073579"/>
        <bgColor indexed="64"/>
      </patternFill>
    </fill>
    <fill>
      <patternFill patternType="solid">
        <fgColor theme="0"/>
        <bgColor indexed="64"/>
      </patternFill>
    </fill>
    <fill>
      <patternFill patternType="solid">
        <fgColor rgb="FF00B050"/>
        <bgColor indexed="64"/>
      </patternFill>
    </fill>
    <fill>
      <patternFill patternType="solid">
        <fgColor rgb="FF92D050"/>
        <bgColor indexed="64"/>
      </patternFill>
    </fill>
    <fill>
      <patternFill patternType="solid">
        <fgColor rgb="FFFFC000"/>
        <bgColor indexed="64"/>
      </patternFill>
    </fill>
    <fill>
      <patternFill patternType="solid">
        <fgColor rgb="FFFF0000"/>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solid">
        <fgColor theme="9"/>
        <bgColor indexed="64"/>
      </patternFill>
    </fill>
    <fill>
      <patternFill patternType="solid">
        <fgColor theme="8" tint="0.79998168889431442"/>
        <bgColor indexed="64"/>
      </patternFill>
    </fill>
    <fill>
      <patternFill patternType="solid">
        <fgColor theme="6" tint="0.59999389629810485"/>
        <bgColor indexed="64"/>
      </patternFill>
    </fill>
  </fills>
  <borders count="10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34998626667073579"/>
      </bottom>
      <diagonal/>
    </border>
    <border>
      <left style="thin">
        <color theme="0" tint="-0.34998626667073579"/>
      </left>
      <right style="thin">
        <color theme="1"/>
      </right>
      <top style="thin">
        <color theme="0" tint="-0.34998626667073579"/>
      </top>
      <bottom/>
      <diagonal/>
    </border>
    <border>
      <left style="thin">
        <color theme="1"/>
      </left>
      <right style="thin">
        <color theme="1"/>
      </right>
      <top style="thin">
        <color theme="0" tint="-0.34998626667073579"/>
      </top>
      <bottom/>
      <diagonal/>
    </border>
    <border>
      <left style="thin">
        <color theme="1"/>
      </left>
      <right style="thin">
        <color theme="0" tint="-0.34998626667073579"/>
      </right>
      <top style="thin">
        <color theme="0" tint="-0.34998626667073579"/>
      </top>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right style="thin">
        <color theme="0" tint="-0.34998626667073579"/>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style="thin">
        <color theme="0" tint="-0.24994659260841701"/>
      </bottom>
      <diagonal/>
    </border>
    <border>
      <left style="thin">
        <color theme="0" tint="-0.34998626667073579"/>
      </left>
      <right/>
      <top style="thin">
        <color theme="0" tint="-0.34998626667073579"/>
      </top>
      <bottom style="thin">
        <color theme="0" tint="-0.24994659260841701"/>
      </bottom>
      <diagonal/>
    </border>
    <border>
      <left/>
      <right style="thin">
        <color theme="0" tint="-0.34998626667073579"/>
      </right>
      <top style="thin">
        <color theme="0" tint="-0.34998626667073579"/>
      </top>
      <bottom style="thin">
        <color theme="0" tint="-0.24994659260841701"/>
      </bottom>
      <diagonal/>
    </border>
    <border>
      <left style="thin">
        <color theme="0" tint="-0.34998626667073579"/>
      </left>
      <right style="thin">
        <color theme="0" tint="-0.34998626667073579"/>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34998626667073579"/>
      </top>
      <bottom style="thin">
        <color theme="0" tint="-0.34998626667073579"/>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4659260841701"/>
      </bottom>
      <diagonal/>
    </border>
    <border>
      <left/>
      <right style="thin">
        <color theme="0" tint="-0.249977111117893"/>
      </right>
      <top style="thin">
        <color theme="0" tint="-0.249977111117893"/>
      </top>
      <bottom style="thin">
        <color theme="0" tint="-0.24994659260841701"/>
      </bottom>
      <diagonal/>
    </border>
    <border>
      <left style="thin">
        <color theme="0" tint="-0.249977111117893"/>
      </left>
      <right/>
      <top style="thin">
        <color theme="0" tint="-0.24994659260841701"/>
      </top>
      <bottom style="thin">
        <color theme="0" tint="-0.24994659260841701"/>
      </bottom>
      <diagonal/>
    </border>
    <border>
      <left/>
      <right style="thin">
        <color theme="0" tint="-0.249977111117893"/>
      </right>
      <top style="thin">
        <color theme="0" tint="-0.24994659260841701"/>
      </top>
      <bottom style="thin">
        <color theme="0" tint="-0.24994659260841701"/>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style="thin">
        <color theme="0" tint="-0.249977111117893"/>
      </top>
      <bottom style="thin">
        <color theme="0" tint="-0.249977111117893"/>
      </bottom>
      <diagonal/>
    </border>
    <border>
      <left/>
      <right/>
      <top style="thin">
        <color theme="0" tint="-0.249977111117893"/>
      </top>
      <bottom style="thin">
        <color theme="0" tint="-0.24994659260841701"/>
      </bottom>
      <diagonal/>
    </border>
    <border>
      <left style="thin">
        <color theme="0" tint="-0.249977111117893"/>
      </left>
      <right/>
      <top style="thin">
        <color theme="0" tint="-0.24994659260841701"/>
      </top>
      <bottom style="thin">
        <color theme="0" tint="-0.249977111117893"/>
      </bottom>
      <diagonal/>
    </border>
    <border>
      <left style="thin">
        <color theme="0" tint="-0.34998626667073579"/>
      </left>
      <right style="thin">
        <color theme="0" tint="-0.34998626667073579"/>
      </right>
      <top style="thin">
        <color theme="0" tint="-0.34998626667073579"/>
      </top>
      <bottom/>
      <diagonal/>
    </border>
    <border>
      <left style="thin">
        <color theme="0" tint="-0.499984740745262"/>
      </left>
      <right/>
      <top style="thin">
        <color theme="0" tint="-0.499984740745262"/>
      </top>
      <bottom style="thin">
        <color theme="0" tint="-0.34998626667073579"/>
      </bottom>
      <diagonal/>
    </border>
    <border>
      <left style="thin">
        <color theme="0" tint="-0.34998626667073579"/>
      </left>
      <right style="thin">
        <color theme="0" tint="-0.34998626667073579"/>
      </right>
      <top style="thin">
        <color theme="0" tint="-0.499984740745262"/>
      </top>
      <bottom style="thin">
        <color theme="0" tint="-0.34998626667073579"/>
      </bottom>
      <diagonal/>
    </border>
    <border>
      <left/>
      <right style="thin">
        <color theme="0" tint="-0.34998626667073579"/>
      </right>
      <top style="thin">
        <color theme="0" tint="-0.499984740745262"/>
      </top>
      <bottom style="thin">
        <color theme="0" tint="-0.34998626667073579"/>
      </bottom>
      <diagonal/>
    </border>
    <border>
      <left/>
      <right style="thin">
        <color theme="0" tint="-0.499984740745262"/>
      </right>
      <top style="thin">
        <color theme="0" tint="-0.499984740745262"/>
      </top>
      <bottom style="thin">
        <color theme="0" tint="-0.34998626667073579"/>
      </bottom>
      <diagonal/>
    </border>
    <border>
      <left style="thin">
        <color theme="0" tint="-0.499984740745262"/>
      </left>
      <right/>
      <top style="thin">
        <color theme="0" tint="-0.34998626667073579"/>
      </top>
      <bottom style="thin">
        <color theme="0" tint="-0.34998626667073579"/>
      </bottom>
      <diagonal/>
    </border>
    <border>
      <left/>
      <right style="thin">
        <color theme="0" tint="-0.499984740745262"/>
      </right>
      <top style="thin">
        <color theme="0" tint="-0.34998626667073579"/>
      </top>
      <bottom style="thin">
        <color theme="0" tint="-0.34998626667073579"/>
      </bottom>
      <diagonal/>
    </border>
    <border>
      <left style="thin">
        <color theme="0" tint="-0.499984740745262"/>
      </left>
      <right/>
      <top style="thin">
        <color theme="0" tint="-0.34998626667073579"/>
      </top>
      <bottom style="thin">
        <color theme="0" tint="-0.499984740745262"/>
      </bottom>
      <diagonal/>
    </border>
    <border>
      <left style="thin">
        <color theme="0" tint="-0.34998626667073579"/>
      </left>
      <right style="thin">
        <color theme="0" tint="-0.34998626667073579"/>
      </right>
      <top style="thin">
        <color theme="0" tint="-0.34998626667073579"/>
      </top>
      <bottom style="thin">
        <color theme="0" tint="-0.499984740745262"/>
      </bottom>
      <diagonal/>
    </border>
    <border>
      <left/>
      <right style="thin">
        <color theme="0" tint="-0.499984740745262"/>
      </right>
      <top style="thin">
        <color theme="0" tint="-0.34998626667073579"/>
      </top>
      <bottom style="thin">
        <color theme="0" tint="-0.499984740745262"/>
      </bottom>
      <diagonal/>
    </border>
    <border>
      <left style="thin">
        <color theme="0" tint="-0.34998626667073579"/>
      </left>
      <right style="thin">
        <color theme="0" tint="-0.34998626667073579"/>
      </right>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34998626667073579"/>
      </left>
      <right/>
      <top/>
      <bottom/>
      <diagonal/>
    </border>
    <border>
      <left style="medium">
        <color theme="1"/>
      </left>
      <right/>
      <top style="medium">
        <color theme="1"/>
      </top>
      <bottom style="medium">
        <color theme="1"/>
      </bottom>
      <diagonal/>
    </border>
    <border>
      <left style="medium">
        <color theme="0" tint="-0.34998626667073579"/>
      </left>
      <right/>
      <top/>
      <bottom style="medium">
        <color theme="0" tint="-0.34998626667073579"/>
      </bottom>
      <diagonal/>
    </border>
    <border>
      <left style="thin">
        <color theme="0" tint="-0.499984740745262"/>
      </left>
      <right/>
      <top style="thin">
        <color theme="0" tint="-0.34998626667073579"/>
      </top>
      <bottom/>
      <diagonal/>
    </border>
    <border>
      <left style="thin">
        <color theme="0" tint="-0.34998626667073579"/>
      </left>
      <right style="thin">
        <color theme="0" tint="-0.34998626667073579"/>
      </right>
      <top/>
      <bottom style="thin">
        <color theme="0" tint="-0.499984740745262"/>
      </bottom>
      <diagonal/>
    </border>
    <border>
      <left/>
      <right style="thin">
        <color theme="0" tint="-0.34998626667073579"/>
      </right>
      <top/>
      <bottom style="thin">
        <color theme="0" tint="-0.499984740745262"/>
      </bottom>
      <diagonal/>
    </border>
    <border>
      <left style="thin">
        <color theme="0" tint="-0.34998626667073579"/>
      </left>
      <right style="thin">
        <color theme="0" tint="-0.34998626667073579"/>
      </right>
      <top style="medium">
        <color theme="1"/>
      </top>
      <bottom style="medium">
        <color theme="1"/>
      </bottom>
      <diagonal/>
    </border>
    <border>
      <left/>
      <right style="thin">
        <color theme="0" tint="-0.34998626667073579"/>
      </right>
      <top style="medium">
        <color theme="1"/>
      </top>
      <bottom style="medium">
        <color theme="1"/>
      </bottom>
      <diagonal/>
    </border>
    <border>
      <left style="thin">
        <color theme="0" tint="-0.34998626667073579"/>
      </left>
      <right style="medium">
        <color theme="1"/>
      </right>
      <top style="medium">
        <color theme="1"/>
      </top>
      <bottom style="medium">
        <color theme="1"/>
      </bottom>
      <diagonal/>
    </border>
    <border>
      <left style="thin">
        <color theme="0" tint="-0.34998626667073579"/>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24994659260841701"/>
      </top>
      <bottom style="thin">
        <color theme="0" tint="-0.2499465926084170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249977111117893"/>
      </left>
      <right style="thin">
        <color theme="0" tint="-0.249977111117893"/>
      </right>
      <top/>
      <bottom/>
      <diagonal/>
    </border>
    <border>
      <left style="thin">
        <color theme="0" tint="-0.249977111117893"/>
      </left>
      <right/>
      <top/>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top style="thin">
        <color theme="0" tint="-0.24994659260841701"/>
      </top>
      <bottom/>
      <diagonal/>
    </border>
    <border>
      <left style="thin">
        <color theme="0" tint="-0.34998626667073579"/>
      </left>
      <right style="thin">
        <color theme="0" tint="-0.24994659260841701"/>
      </right>
      <top style="thin">
        <color theme="0" tint="-0.24994659260841701"/>
      </top>
      <bottom style="thin">
        <color theme="0" tint="-0.34998626667073579"/>
      </bottom>
      <diagonal/>
    </border>
    <border>
      <left style="thin">
        <color theme="0" tint="-0.34998626667073579"/>
      </left>
      <right style="thin">
        <color theme="0" tint="-0.24994659260841701"/>
      </right>
      <top style="thin">
        <color theme="0" tint="-0.34998626667073579"/>
      </top>
      <bottom style="thin">
        <color theme="0" tint="-0.34998626667073579"/>
      </bottom>
      <diagonal/>
    </border>
    <border>
      <left style="thin">
        <color theme="0" tint="-0.24994659260841701"/>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34998626667073579"/>
      </bottom>
      <diagonal/>
    </border>
    <border>
      <left/>
      <right style="thin">
        <color theme="0" tint="-0.24994659260841701"/>
      </right>
      <top style="thin">
        <color theme="0" tint="-0.24994659260841701"/>
      </top>
      <bottom style="thin">
        <color theme="0" tint="-0.34998626667073579"/>
      </bottom>
      <diagonal/>
    </border>
    <border>
      <left style="thin">
        <color theme="0" tint="-0.34998626667073579"/>
      </left>
      <right style="thin">
        <color indexed="64"/>
      </right>
      <top style="thin">
        <color theme="0" tint="-0.34998626667073579"/>
      </top>
      <bottom style="thin">
        <color indexed="64"/>
      </bottom>
      <diagonal/>
    </border>
    <border>
      <left/>
      <right/>
      <top style="thin">
        <color theme="0" tint="-0.24994659260841701"/>
      </top>
      <bottom style="thin">
        <color indexed="64"/>
      </bottom>
      <diagonal/>
    </border>
    <border>
      <left style="thin">
        <color indexed="64"/>
      </left>
      <right style="thin">
        <color theme="0" tint="-0.34998626667073579"/>
      </right>
      <top style="thin">
        <color indexed="64"/>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style="thin">
        <color indexed="64"/>
      </right>
      <top style="thin">
        <color indexed="64"/>
      </top>
      <bottom style="thin">
        <color theme="0" tint="-0.34998626667073579"/>
      </bottom>
      <diagonal/>
    </border>
    <border>
      <left style="thin">
        <color indexed="64"/>
      </left>
      <right style="thin">
        <color theme="0" tint="-0.34998626667073579"/>
      </right>
      <top/>
      <bottom style="thin">
        <color indexed="64"/>
      </bottom>
      <diagonal/>
    </border>
    <border>
      <left style="thin">
        <color theme="0" tint="-0.34998626667073579"/>
      </left>
      <right style="thin">
        <color theme="0" tint="-0.34998626667073579"/>
      </right>
      <top style="thin">
        <color theme="0" tint="-0.34998626667073579"/>
      </top>
      <bottom style="thin">
        <color indexed="64"/>
      </bottom>
      <diagonal/>
    </border>
  </borders>
  <cellStyleXfs count="52">
    <xf numFmtId="0" fontId="0" fillId="0" borderId="0"/>
    <xf numFmtId="9" fontId="7" fillId="0" borderId="0" applyFont="0" applyFill="0" applyBorder="0" applyAlignment="0" applyProtection="0"/>
    <xf numFmtId="43" fontId="7" fillId="0" borderId="0" applyFont="0" applyFill="0" applyBorder="0" applyAlignment="0" applyProtection="0"/>
    <xf numFmtId="0" fontId="36" fillId="0" borderId="0" applyNumberFormat="0" applyFill="0" applyBorder="0" applyAlignment="0" applyProtection="0"/>
    <xf numFmtId="0" fontId="37" fillId="0" borderId="32" applyNumberFormat="0" applyFill="0" applyAlignment="0" applyProtection="0"/>
    <xf numFmtId="0" fontId="38" fillId="0" borderId="33" applyNumberFormat="0" applyFill="0" applyAlignment="0" applyProtection="0"/>
    <xf numFmtId="0" fontId="39" fillId="0" borderId="34" applyNumberFormat="0" applyFill="0" applyAlignment="0" applyProtection="0"/>
    <xf numFmtId="0" fontId="39" fillId="0" borderId="0" applyNumberFormat="0" applyFill="0" applyBorder="0" applyAlignment="0" applyProtection="0"/>
    <xf numFmtId="0" fontId="40" fillId="16" borderId="0" applyNumberFormat="0" applyBorder="0" applyAlignment="0" applyProtection="0"/>
    <xf numFmtId="0" fontId="41" fillId="17" borderId="0" applyNumberFormat="0" applyBorder="0" applyAlignment="0" applyProtection="0"/>
    <xf numFmtId="0" fontId="42" fillId="19" borderId="35" applyNumberFormat="0" applyAlignment="0" applyProtection="0"/>
    <xf numFmtId="0" fontId="43" fillId="20" borderId="36" applyNumberFormat="0" applyAlignment="0" applyProtection="0"/>
    <xf numFmtId="0" fontId="44" fillId="20" borderId="35" applyNumberFormat="0" applyAlignment="0" applyProtection="0"/>
    <xf numFmtId="0" fontId="45" fillId="0" borderId="37" applyNumberFormat="0" applyFill="0" applyAlignment="0" applyProtection="0"/>
    <xf numFmtId="0" fontId="46" fillId="21" borderId="38" applyNumberFormat="0" applyAlignment="0" applyProtection="0"/>
    <xf numFmtId="0" fontId="9" fillId="0" borderId="0" applyNumberFormat="0" applyFill="0" applyBorder="0" applyAlignment="0" applyProtection="0"/>
    <xf numFmtId="0" fontId="7" fillId="22" borderId="39" applyNumberFormat="0" applyFont="0" applyAlignment="0" applyProtection="0"/>
    <xf numFmtId="0" fontId="47" fillId="0" borderId="0" applyNumberFormat="0" applyFill="0" applyBorder="0" applyAlignment="0" applyProtection="0"/>
    <xf numFmtId="0" fontId="1" fillId="0" borderId="40" applyNumberFormat="0" applyFill="0" applyAlignment="0" applyProtection="0"/>
    <xf numFmtId="0" fontId="34" fillId="23"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34"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34"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34"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34" fillId="39"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34" fillId="43"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48" fillId="18"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8" borderId="0" applyNumberFormat="0" applyBorder="0" applyAlignment="0" applyProtection="0"/>
    <xf numFmtId="0" fontId="34" fillId="42" borderId="0" applyNumberFormat="0" applyBorder="0" applyAlignment="0" applyProtection="0"/>
    <xf numFmtId="0" fontId="34" fillId="46" borderId="0" applyNumberFormat="0" applyBorder="0" applyAlignment="0" applyProtection="0"/>
    <xf numFmtId="0" fontId="59" fillId="0" borderId="0" applyNumberFormat="0" applyFill="0" applyBorder="0" applyAlignment="0" applyProtection="0"/>
    <xf numFmtId="0" fontId="79" fillId="18"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4" borderId="0" applyNumberFormat="0" applyBorder="0" applyAlignment="0" applyProtection="0"/>
    <xf numFmtId="0" fontId="7" fillId="38" borderId="0" applyNumberFormat="0" applyBorder="0" applyAlignment="0" applyProtection="0"/>
    <xf numFmtId="0" fontId="7" fillId="42" borderId="0" applyNumberFormat="0" applyBorder="0" applyAlignment="0" applyProtection="0"/>
    <xf numFmtId="0" fontId="7" fillId="46" borderId="0" applyNumberFormat="0" applyBorder="0" applyAlignment="0" applyProtection="0"/>
  </cellStyleXfs>
  <cellXfs count="674">
    <xf numFmtId="0" fontId="0" fillId="0" borderId="0" xfId="0"/>
    <xf numFmtId="0" fontId="0" fillId="0" borderId="0" xfId="0" applyAlignment="1">
      <alignment horizontal="center"/>
    </xf>
    <xf numFmtId="0" fontId="0" fillId="0" borderId="0" xfId="0" applyAlignment="1">
      <alignment horizontal="center" vertical="center"/>
    </xf>
    <xf numFmtId="0" fontId="2" fillId="0" borderId="0" xfId="0" applyFont="1" applyAlignment="1">
      <alignment horizontal="center" vertical="center" wrapText="1"/>
    </xf>
    <xf numFmtId="0" fontId="1" fillId="0" borderId="0" xfId="0" applyFont="1"/>
    <xf numFmtId="0" fontId="0" fillId="0" borderId="0" xfId="0" applyAlignment="1">
      <alignment horizontal="left" vertical="center"/>
    </xf>
    <xf numFmtId="0" fontId="0" fillId="0" borderId="2" xfId="0" applyBorder="1" applyAlignment="1">
      <alignment horizontal="center"/>
    </xf>
    <xf numFmtId="0" fontId="2" fillId="0" borderId="0" xfId="0" applyFont="1" applyAlignment="1">
      <alignment horizontal="center" vertical="center"/>
    </xf>
    <xf numFmtId="0" fontId="2" fillId="0" borderId="0" xfId="0" applyFont="1" applyAlignment="1">
      <alignment vertical="center"/>
    </xf>
    <xf numFmtId="0" fontId="11" fillId="0" borderId="0" xfId="0" applyFont="1"/>
    <xf numFmtId="0" fontId="0" fillId="0" borderId="2" xfId="0" applyBorder="1"/>
    <xf numFmtId="0" fontId="0" fillId="8" borderId="0" xfId="0" applyFill="1"/>
    <xf numFmtId="0" fontId="0" fillId="8" borderId="2" xfId="0" applyFill="1" applyBorder="1"/>
    <xf numFmtId="0" fontId="0" fillId="8" borderId="0" xfId="0" applyFill="1" applyAlignment="1">
      <alignment horizontal="center" vertical="center"/>
    </xf>
    <xf numFmtId="0" fontId="2" fillId="8" borderId="0" xfId="0" applyFont="1" applyFill="1" applyAlignment="1">
      <alignment horizontal="center" vertical="center" wrapText="1"/>
    </xf>
    <xf numFmtId="0" fontId="0" fillId="8" borderId="0" xfId="0" applyFill="1" applyAlignment="1">
      <alignment horizontal="center"/>
    </xf>
    <xf numFmtId="0" fontId="2" fillId="8" borderId="0" xfId="0" applyFont="1" applyFill="1" applyAlignment="1">
      <alignment horizontal="center" vertical="center"/>
    </xf>
    <xf numFmtId="0" fontId="2" fillId="8" borderId="0" xfId="0" applyFont="1" applyFill="1" applyAlignment="1">
      <alignment vertical="center"/>
    </xf>
    <xf numFmtId="9" fontId="0" fillId="0" borderId="0" xfId="0" applyNumberFormat="1" applyAlignment="1">
      <alignment horizontal="center" vertical="center"/>
    </xf>
    <xf numFmtId="0" fontId="9" fillId="0" borderId="0" xfId="0" applyFont="1" applyAlignment="1">
      <alignment horizontal="center" vertical="center"/>
    </xf>
    <xf numFmtId="164" fontId="0" fillId="0" borderId="0" xfId="1" applyNumberFormat="1" applyFont="1" applyBorder="1" applyAlignment="1">
      <alignment horizontal="center" vertical="center"/>
    </xf>
    <xf numFmtId="0" fontId="8" fillId="0" borderId="0" xfId="0" applyFont="1" applyAlignment="1">
      <alignment horizontal="center" vertical="center" wrapText="1"/>
    </xf>
    <xf numFmtId="0" fontId="14" fillId="5" borderId="0" xfId="0" applyFont="1" applyFill="1"/>
    <xf numFmtId="0" fontId="15" fillId="5" borderId="0" xfId="0" applyFont="1" applyFill="1"/>
    <xf numFmtId="0" fontId="14" fillId="8" borderId="0" xfId="0" applyFont="1" applyFill="1"/>
    <xf numFmtId="0" fontId="16" fillId="0" borderId="0" xfId="0" applyFont="1" applyAlignment="1">
      <alignment horizontal="center" vertical="center"/>
    </xf>
    <xf numFmtId="0" fontId="16" fillId="0" borderId="2" xfId="0" applyFont="1" applyBorder="1" applyAlignment="1">
      <alignment horizontal="center" vertical="center"/>
    </xf>
    <xf numFmtId="0" fontId="2" fillId="0" borderId="0" xfId="0" applyFont="1" applyAlignment="1">
      <alignment wrapText="1"/>
    </xf>
    <xf numFmtId="0" fontId="2" fillId="8" borderId="0" xfId="0" applyFont="1" applyFill="1" applyAlignment="1">
      <alignment wrapText="1"/>
    </xf>
    <xf numFmtId="0" fontId="8" fillId="0" borderId="0" xfId="0" applyFont="1" applyAlignment="1">
      <alignment horizontal="center"/>
    </xf>
    <xf numFmtId="0" fontId="2" fillId="0" borderId="0" xfId="0" applyFont="1" applyAlignment="1">
      <alignment horizontal="center"/>
    </xf>
    <xf numFmtId="0" fontId="0" fillId="8" borderId="0" xfId="0" applyFill="1" applyAlignment="1">
      <alignment horizontal="left" vertical="center"/>
    </xf>
    <xf numFmtId="0" fontId="0" fillId="9" borderId="0" xfId="0" applyFill="1"/>
    <xf numFmtId="0" fontId="0" fillId="9" borderId="2" xfId="0" applyFill="1" applyBorder="1"/>
    <xf numFmtId="0" fontId="1" fillId="9" borderId="0" xfId="0" applyFont="1" applyFill="1"/>
    <xf numFmtId="0" fontId="0" fillId="9" borderId="0" xfId="0" applyFill="1" applyAlignment="1">
      <alignment horizontal="left" vertical="center"/>
    </xf>
    <xf numFmtId="0" fontId="0" fillId="5" borderId="0" xfId="0" applyFill="1" applyAlignment="1">
      <alignment horizontal="left" vertical="center"/>
    </xf>
    <xf numFmtId="0" fontId="0" fillId="0" borderId="2" xfId="0" applyBorder="1" applyAlignment="1">
      <alignment horizontal="center" vertical="center"/>
    </xf>
    <xf numFmtId="0" fontId="14" fillId="5" borderId="0" xfId="0" applyFont="1" applyFill="1" applyAlignment="1">
      <alignment horizontal="center" vertical="center"/>
    </xf>
    <xf numFmtId="0" fontId="0" fillId="5" borderId="0" xfId="0" applyFill="1" applyAlignment="1">
      <alignment horizontal="center" vertical="center"/>
    </xf>
    <xf numFmtId="0" fontId="0" fillId="9" borderId="0" xfId="0" applyFill="1" applyAlignment="1">
      <alignment horizontal="center" vertical="center"/>
    </xf>
    <xf numFmtId="0" fontId="0" fillId="0" borderId="0" xfId="0" applyAlignment="1">
      <alignment vertical="center"/>
    </xf>
    <xf numFmtId="0" fontId="0" fillId="5" borderId="0" xfId="0" applyFill="1" applyAlignment="1">
      <alignment vertical="center"/>
    </xf>
    <xf numFmtId="0" fontId="0" fillId="8" borderId="0" xfId="0" applyFill="1" applyAlignment="1">
      <alignment vertical="center"/>
    </xf>
    <xf numFmtId="43" fontId="0" fillId="0" borderId="0" xfId="2" applyFont="1" applyFill="1" applyBorder="1" applyAlignment="1">
      <alignment horizontal="center" vertical="center"/>
    </xf>
    <xf numFmtId="0" fontId="3" fillId="0" borderId="0" xfId="0" applyFont="1"/>
    <xf numFmtId="0" fontId="3" fillId="5" borderId="0" xfId="0" applyFont="1" applyFill="1" applyAlignment="1">
      <alignment vertical="center"/>
    </xf>
    <xf numFmtId="0" fontId="1" fillId="4" borderId="3" xfId="0" applyFont="1" applyFill="1" applyBorder="1" applyAlignment="1">
      <alignment horizontal="left" vertical="center" wrapText="1"/>
    </xf>
    <xf numFmtId="0" fontId="0" fillId="5" borderId="3" xfId="0" applyFill="1" applyBorder="1" applyAlignment="1">
      <alignment horizontal="left" vertical="center"/>
    </xf>
    <xf numFmtId="0" fontId="0" fillId="3" borderId="3" xfId="0" applyFill="1" applyBorder="1" applyAlignment="1">
      <alignment horizontal="left" vertical="center" wrapText="1"/>
    </xf>
    <xf numFmtId="9" fontId="7" fillId="5" borderId="3" xfId="1" applyFont="1" applyFill="1" applyBorder="1" applyAlignment="1">
      <alignment horizontal="left" vertical="center"/>
    </xf>
    <xf numFmtId="0" fontId="0" fillId="3" borderId="3" xfId="0" applyFill="1" applyBorder="1" applyAlignment="1">
      <alignment horizontal="center" vertical="center" wrapText="1"/>
    </xf>
    <xf numFmtId="0" fontId="8" fillId="4" borderId="3" xfId="0" applyFont="1" applyFill="1" applyBorder="1" applyAlignment="1">
      <alignment horizontal="center" vertical="center" wrapText="1"/>
    </xf>
    <xf numFmtId="164" fontId="0" fillId="5" borderId="3" xfId="1" applyNumberFormat="1" applyFont="1" applyFill="1" applyBorder="1" applyAlignment="1">
      <alignment horizontal="center" vertical="center"/>
    </xf>
    <xf numFmtId="0" fontId="0" fillId="5" borderId="3" xfId="0" applyFill="1" applyBorder="1" applyAlignment="1">
      <alignment horizontal="center" vertical="center"/>
    </xf>
    <xf numFmtId="43" fontId="0" fillId="0" borderId="0" xfId="2" applyFont="1"/>
    <xf numFmtId="0" fontId="0" fillId="0" borderId="0" xfId="0" applyAlignment="1">
      <alignment horizontal="center" vertical="center" wrapText="1"/>
    </xf>
    <xf numFmtId="0" fontId="0" fillId="8" borderId="0" xfId="0" applyFill="1" applyAlignment="1">
      <alignment horizontal="center" vertical="center" wrapText="1"/>
    </xf>
    <xf numFmtId="0" fontId="8" fillId="4" borderId="8" xfId="0" applyFont="1" applyFill="1" applyBorder="1" applyAlignment="1">
      <alignment horizontal="center" vertical="center" wrapText="1"/>
    </xf>
    <xf numFmtId="0" fontId="8" fillId="4" borderId="9" xfId="0" applyFont="1" applyFill="1" applyBorder="1" applyAlignment="1">
      <alignment horizontal="center" vertical="center" wrapText="1"/>
    </xf>
    <xf numFmtId="0" fontId="8" fillId="4" borderId="10" xfId="0" applyFont="1" applyFill="1" applyBorder="1" applyAlignment="1">
      <alignment horizontal="center" vertical="center" wrapText="1"/>
    </xf>
    <xf numFmtId="0" fontId="0" fillId="0" borderId="8" xfId="0"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0" fontId="0" fillId="0" borderId="3" xfId="0" applyBorder="1" applyAlignment="1">
      <alignment horizontal="center"/>
    </xf>
    <xf numFmtId="0" fontId="8" fillId="4" borderId="15" xfId="0" applyFont="1" applyFill="1" applyBorder="1" applyAlignment="1">
      <alignment horizontal="center" vertical="center" wrapText="1"/>
    </xf>
    <xf numFmtId="0" fontId="8" fillId="4" borderId="16" xfId="0" applyFont="1" applyFill="1" applyBorder="1" applyAlignment="1">
      <alignment horizontal="center" vertical="center" wrapText="1"/>
    </xf>
    <xf numFmtId="0" fontId="8" fillId="4" borderId="17" xfId="0" applyFont="1" applyFill="1" applyBorder="1" applyAlignment="1">
      <alignment horizontal="center" vertical="center" wrapText="1"/>
    </xf>
    <xf numFmtId="2" fontId="0" fillId="5" borderId="18" xfId="0" applyNumberFormat="1" applyFill="1" applyBorder="1" applyAlignment="1">
      <alignment horizontal="center" vertical="center"/>
    </xf>
    <xf numFmtId="2" fontId="0" fillId="0" borderId="18" xfId="0" applyNumberFormat="1" applyBorder="1" applyAlignment="1">
      <alignment horizontal="center" vertical="center"/>
    </xf>
    <xf numFmtId="2" fontId="0" fillId="0" borderId="9" xfId="0" applyNumberFormat="1" applyBorder="1" applyAlignment="1">
      <alignment horizontal="center" vertical="center"/>
    </xf>
    <xf numFmtId="0" fontId="0" fillId="10" borderId="3" xfId="0" applyFill="1" applyBorder="1" applyAlignment="1">
      <alignment horizontal="center" vertical="center"/>
    </xf>
    <xf numFmtId="0" fontId="0" fillId="11" borderId="3" xfId="0" applyFill="1" applyBorder="1" applyAlignment="1">
      <alignment horizontal="center" vertical="center"/>
    </xf>
    <xf numFmtId="0" fontId="0" fillId="6" borderId="3" xfId="0" applyFill="1" applyBorder="1" applyAlignment="1">
      <alignment horizontal="center" vertical="center"/>
    </xf>
    <xf numFmtId="0" fontId="0" fillId="12" borderId="3" xfId="0" applyFill="1" applyBorder="1" applyAlignment="1">
      <alignment horizontal="center" vertical="center"/>
    </xf>
    <xf numFmtId="0" fontId="0" fillId="13" borderId="3" xfId="0" applyFill="1" applyBorder="1" applyAlignment="1">
      <alignment horizontal="center" vertical="center"/>
    </xf>
    <xf numFmtId="0" fontId="17" fillId="0" borderId="3" xfId="0" applyFont="1" applyBorder="1" applyAlignment="1">
      <alignment horizontal="center" vertical="center" wrapText="1"/>
    </xf>
    <xf numFmtId="0" fontId="17" fillId="3" borderId="3" xfId="0" applyFont="1" applyFill="1" applyBorder="1" applyAlignment="1">
      <alignment horizontal="center" vertical="center" wrapText="1"/>
    </xf>
    <xf numFmtId="0" fontId="17" fillId="7" borderId="3" xfId="0" applyFont="1" applyFill="1" applyBorder="1" applyAlignment="1">
      <alignment horizontal="center" vertical="center" wrapText="1"/>
    </xf>
    <xf numFmtId="0" fontId="17" fillId="2" borderId="3" xfId="0" applyFont="1" applyFill="1" applyBorder="1" applyAlignment="1">
      <alignment horizontal="center" vertical="center" wrapText="1"/>
    </xf>
    <xf numFmtId="0" fontId="0" fillId="0" borderId="3" xfId="0" applyBorder="1"/>
    <xf numFmtId="0" fontId="0" fillId="0" borderId="3" xfId="0" applyBorder="1" applyAlignment="1">
      <alignment horizontal="center" vertical="center"/>
    </xf>
    <xf numFmtId="0" fontId="1" fillId="4" borderId="3" xfId="0" applyFont="1" applyFill="1" applyBorder="1" applyAlignment="1">
      <alignment horizontal="left" vertical="center"/>
    </xf>
    <xf numFmtId="0" fontId="1" fillId="4" borderId="3" xfId="0" applyFont="1" applyFill="1" applyBorder="1" applyAlignment="1">
      <alignment horizontal="center" vertical="center" wrapText="1"/>
    </xf>
    <xf numFmtId="2" fontId="0" fillId="0" borderId="3" xfId="2" applyNumberFormat="1" applyFont="1" applyBorder="1" applyAlignment="1">
      <alignment horizontal="center" vertical="center"/>
    </xf>
    <xf numFmtId="0" fontId="1" fillId="4" borderId="15" xfId="0" applyFont="1" applyFill="1" applyBorder="1" applyAlignment="1">
      <alignment horizontal="left" vertical="center"/>
    </xf>
    <xf numFmtId="0" fontId="22" fillId="0" borderId="0" xfId="0" applyFont="1" applyAlignment="1">
      <alignment vertical="center" wrapText="1"/>
    </xf>
    <xf numFmtId="0" fontId="23" fillId="0" borderId="0" xfId="0" applyFont="1" applyAlignment="1">
      <alignment horizontal="center"/>
    </xf>
    <xf numFmtId="0" fontId="23" fillId="0" borderId="0" xfId="0" applyFont="1"/>
    <xf numFmtId="0" fontId="23" fillId="0" borderId="2" xfId="0" applyFont="1" applyBorder="1"/>
    <xf numFmtId="0" fontId="24" fillId="5" borderId="0" xfId="0" applyFont="1" applyFill="1"/>
    <xf numFmtId="0" fontId="25" fillId="0" borderId="0" xfId="0" applyFont="1" applyAlignment="1">
      <alignment wrapText="1"/>
    </xf>
    <xf numFmtId="0" fontId="23" fillId="0" borderId="0" xfId="0" applyFont="1" applyAlignment="1">
      <alignment horizontal="center" vertical="center" wrapText="1"/>
    </xf>
    <xf numFmtId="0" fontId="23" fillId="0" borderId="0" xfId="0" applyFont="1" applyAlignment="1">
      <alignment horizontal="center" vertical="center"/>
    </xf>
    <xf numFmtId="0" fontId="23" fillId="9" borderId="0" xfId="0" applyFont="1" applyFill="1" applyAlignment="1">
      <alignment horizontal="center" vertical="center"/>
    </xf>
    <xf numFmtId="0" fontId="23" fillId="9" borderId="2" xfId="0" applyFont="1" applyFill="1" applyBorder="1" applyAlignment="1">
      <alignment horizontal="center" vertical="center"/>
    </xf>
    <xf numFmtId="0" fontId="23" fillId="5" borderId="0" xfId="0" applyFont="1" applyFill="1" applyAlignment="1">
      <alignment horizontal="center" vertical="center"/>
    </xf>
    <xf numFmtId="0" fontId="13" fillId="0" borderId="0" xfId="0" applyFont="1"/>
    <xf numFmtId="0" fontId="12" fillId="4" borderId="3" xfId="0" applyFont="1" applyFill="1" applyBorder="1" applyAlignment="1">
      <alignment horizontal="center" vertical="center" wrapText="1"/>
    </xf>
    <xf numFmtId="10" fontId="0" fillId="0" borderId="3" xfId="0" applyNumberFormat="1" applyBorder="1" applyAlignment="1">
      <alignment horizontal="center" vertical="center"/>
    </xf>
    <xf numFmtId="0" fontId="23" fillId="0" borderId="2" xfId="0" applyFont="1" applyBorder="1" applyAlignment="1">
      <alignment horizontal="center" vertical="center"/>
    </xf>
    <xf numFmtId="0" fontId="24" fillId="5" borderId="0" xfId="0" applyFont="1" applyFill="1" applyAlignment="1">
      <alignment horizontal="center" vertical="center"/>
    </xf>
    <xf numFmtId="0" fontId="25" fillId="0" borderId="0" xfId="0" applyFont="1" applyAlignment="1">
      <alignment horizontal="center" vertical="center"/>
    </xf>
    <xf numFmtId="0" fontId="8" fillId="4" borderId="3" xfId="0" applyFont="1" applyFill="1" applyBorder="1" applyAlignment="1">
      <alignment horizontal="center"/>
    </xf>
    <xf numFmtId="0" fontId="11" fillId="0" borderId="3" xfId="0" applyFont="1" applyBorder="1" applyAlignment="1">
      <alignment horizontal="center" vertical="center"/>
    </xf>
    <xf numFmtId="4" fontId="0" fillId="0" borderId="3" xfId="0" applyNumberFormat="1" applyBorder="1" applyAlignment="1">
      <alignment horizontal="center"/>
    </xf>
    <xf numFmtId="164" fontId="11" fillId="5" borderId="3" xfId="1" applyNumberFormat="1" applyFont="1" applyFill="1" applyBorder="1" applyAlignment="1">
      <alignment horizontal="center" vertical="center"/>
    </xf>
    <xf numFmtId="9" fontId="11" fillId="5" borderId="3" xfId="1" applyFont="1" applyFill="1" applyBorder="1" applyAlignment="1">
      <alignment horizontal="center" vertical="center"/>
    </xf>
    <xf numFmtId="9" fontId="7" fillId="5" borderId="3" xfId="1" applyFont="1" applyFill="1" applyBorder="1" applyAlignment="1">
      <alignment horizontal="center" vertical="center"/>
    </xf>
    <xf numFmtId="0" fontId="17" fillId="7" borderId="15" xfId="0" applyFont="1" applyFill="1" applyBorder="1" applyAlignment="1">
      <alignment horizontal="center" vertical="center" wrapText="1"/>
    </xf>
    <xf numFmtId="0" fontId="17" fillId="14" borderId="3" xfId="0" applyFont="1" applyFill="1" applyBorder="1" applyAlignment="1">
      <alignment horizontal="center" vertical="center" wrapText="1"/>
    </xf>
    <xf numFmtId="164" fontId="7" fillId="5" borderId="3" xfId="1" applyNumberFormat="1" applyFont="1" applyFill="1" applyBorder="1" applyAlignment="1">
      <alignment horizontal="center" vertical="center"/>
    </xf>
    <xf numFmtId="0" fontId="8" fillId="4" borderId="28" xfId="0" applyFont="1" applyFill="1" applyBorder="1" applyAlignment="1">
      <alignment horizontal="center" vertical="center" wrapText="1"/>
    </xf>
    <xf numFmtId="0" fontId="8" fillId="4" borderId="29" xfId="0" applyFont="1" applyFill="1" applyBorder="1" applyAlignment="1">
      <alignment horizontal="center" vertical="center" wrapText="1"/>
    </xf>
    <xf numFmtId="0" fontId="26" fillId="0" borderId="0" xfId="0" applyFont="1" applyAlignment="1">
      <alignment vertical="center" wrapText="1"/>
    </xf>
    <xf numFmtId="0" fontId="27" fillId="0" borderId="22" xfId="0" applyFont="1" applyBorder="1" applyAlignment="1">
      <alignment horizontal="center" vertical="center" wrapText="1"/>
    </xf>
    <xf numFmtId="10" fontId="11" fillId="5" borderId="3" xfId="1" applyNumberFormat="1" applyFont="1" applyFill="1" applyBorder="1" applyAlignment="1">
      <alignment horizontal="center" vertical="center"/>
    </xf>
    <xf numFmtId="0" fontId="18" fillId="0" borderId="22" xfId="0" applyFont="1" applyBorder="1" applyAlignment="1">
      <alignment vertical="center" wrapText="1"/>
    </xf>
    <xf numFmtId="0" fontId="18" fillId="0" borderId="22" xfId="0" applyFont="1" applyBorder="1" applyAlignment="1">
      <alignment horizontal="center" vertical="center" wrapText="1"/>
    </xf>
    <xf numFmtId="0" fontId="19" fillId="0" borderId="22" xfId="0" applyFont="1" applyBorder="1" applyAlignment="1">
      <alignment vertical="center" wrapText="1"/>
    </xf>
    <xf numFmtId="0" fontId="19" fillId="0" borderId="22" xfId="0" applyFont="1" applyBorder="1" applyAlignment="1">
      <alignment horizontal="center" vertical="center" wrapText="1"/>
    </xf>
    <xf numFmtId="0" fontId="18" fillId="0" borderId="0" xfId="0" applyFont="1" applyAlignment="1">
      <alignment horizontal="center" vertical="center" wrapText="1"/>
    </xf>
    <xf numFmtId="0" fontId="19" fillId="0" borderId="22" xfId="0" applyFont="1" applyBorder="1"/>
    <xf numFmtId="0" fontId="19" fillId="0" borderId="0" xfId="0" applyFont="1"/>
    <xf numFmtId="0" fontId="18" fillId="0" borderId="22" xfId="0" applyFont="1" applyBorder="1" applyAlignment="1">
      <alignment horizontal="center" vertical="center"/>
    </xf>
    <xf numFmtId="0" fontId="19" fillId="0" borderId="22" xfId="0" applyFont="1" applyBorder="1" applyAlignment="1">
      <alignment horizontal="left"/>
    </xf>
    <xf numFmtId="0" fontId="19" fillId="0" borderId="3" xfId="0" applyFont="1" applyBorder="1"/>
    <xf numFmtId="0" fontId="19" fillId="0" borderId="22" xfId="0" applyFont="1" applyBorder="1" applyAlignment="1">
      <alignment horizontal="center"/>
    </xf>
    <xf numFmtId="0" fontId="19" fillId="0" borderId="0" xfId="0" applyFont="1" applyAlignment="1">
      <alignment horizontal="center"/>
    </xf>
    <xf numFmtId="0" fontId="32" fillId="0" borderId="22" xfId="0" applyFont="1" applyBorder="1" applyAlignment="1">
      <alignment horizontal="center" vertical="center" wrapText="1"/>
    </xf>
    <xf numFmtId="0" fontId="18" fillId="0" borderId="22" xfId="0" applyFont="1" applyBorder="1"/>
    <xf numFmtId="0" fontId="18" fillId="0" borderId="0" xfId="0" applyFont="1"/>
    <xf numFmtId="0" fontId="0" fillId="3" borderId="3" xfId="0" applyFill="1" applyBorder="1" applyAlignment="1">
      <alignment horizontal="left" vertical="center"/>
    </xf>
    <xf numFmtId="4" fontId="0" fillId="5" borderId="3" xfId="2" applyNumberFormat="1" applyFont="1" applyFill="1" applyBorder="1" applyAlignment="1">
      <alignment horizontal="center" vertical="center"/>
    </xf>
    <xf numFmtId="164" fontId="0" fillId="5" borderId="17" xfId="1" applyNumberFormat="1" applyFont="1" applyFill="1" applyBorder="1" applyAlignment="1">
      <alignment horizontal="center" vertical="center"/>
    </xf>
    <xf numFmtId="4" fontId="0" fillId="5" borderId="3" xfId="0" applyNumberFormat="1" applyFill="1" applyBorder="1" applyAlignment="1">
      <alignment horizontal="center" vertical="center"/>
    </xf>
    <xf numFmtId="164" fontId="0" fillId="5" borderId="21" xfId="1" applyNumberFormat="1" applyFont="1" applyFill="1" applyBorder="1" applyAlignment="1">
      <alignment horizontal="center" vertical="center"/>
    </xf>
    <xf numFmtId="0" fontId="0" fillId="3" borderId="3" xfId="0" applyFill="1" applyBorder="1" applyAlignment="1">
      <alignment horizontal="center" vertical="center"/>
    </xf>
    <xf numFmtId="0" fontId="1" fillId="0" borderId="0" xfId="0" applyFont="1" applyAlignment="1">
      <alignment horizontal="left" vertical="center"/>
    </xf>
    <xf numFmtId="0" fontId="0" fillId="0" borderId="3" xfId="0" applyBorder="1" applyAlignment="1">
      <alignment horizontal="left" vertical="center" wrapText="1"/>
    </xf>
    <xf numFmtId="0" fontId="0" fillId="7" borderId="3" xfId="0" applyFill="1" applyBorder="1" applyAlignment="1">
      <alignment horizontal="left" vertical="center" wrapText="1"/>
    </xf>
    <xf numFmtId="0" fontId="0" fillId="2" borderId="3" xfId="0" applyFill="1" applyBorder="1" applyAlignment="1">
      <alignment horizontal="left" vertical="center" wrapText="1"/>
    </xf>
    <xf numFmtId="0" fontId="0" fillId="14" borderId="3" xfId="0" applyFill="1" applyBorder="1" applyAlignment="1">
      <alignment horizontal="left" vertical="center" wrapText="1"/>
    </xf>
    <xf numFmtId="0" fontId="0" fillId="14" borderId="22" xfId="0" applyFill="1" applyBorder="1" applyAlignment="1">
      <alignment horizontal="left" vertical="center"/>
    </xf>
    <xf numFmtId="0" fontId="0" fillId="15" borderId="22" xfId="0" applyFill="1" applyBorder="1" applyAlignment="1">
      <alignment horizontal="left" vertical="center"/>
    </xf>
    <xf numFmtId="0" fontId="0" fillId="4" borderId="22" xfId="0" applyFill="1" applyBorder="1" applyAlignment="1">
      <alignment horizontal="left" vertical="center"/>
    </xf>
    <xf numFmtId="0" fontId="0" fillId="0" borderId="0" xfId="0" applyAlignment="1">
      <alignment vertical="center" wrapText="1"/>
    </xf>
    <xf numFmtId="0" fontId="0" fillId="10" borderId="22" xfId="0" applyFill="1" applyBorder="1" applyAlignment="1">
      <alignment horizontal="left" vertical="center"/>
    </xf>
    <xf numFmtId="0" fontId="13" fillId="0" borderId="0" xfId="0" applyFont="1" applyAlignment="1">
      <alignment horizontal="center"/>
    </xf>
    <xf numFmtId="0" fontId="0" fillId="0" borderId="22" xfId="0" applyBorder="1" applyAlignment="1">
      <alignment horizontal="center" vertical="center"/>
    </xf>
    <xf numFmtId="0" fontId="1" fillId="5" borderId="3" xfId="0" applyFont="1" applyFill="1" applyBorder="1" applyAlignment="1">
      <alignment horizontal="center" vertical="center" wrapText="1"/>
    </xf>
    <xf numFmtId="0" fontId="15" fillId="0" borderId="0" xfId="0" applyFont="1"/>
    <xf numFmtId="0" fontId="0" fillId="0" borderId="41" xfId="0" applyBorder="1" applyAlignment="1">
      <alignment horizontal="center" vertical="center"/>
    </xf>
    <xf numFmtId="0" fontId="0" fillId="5" borderId="41" xfId="0" applyFill="1" applyBorder="1" applyAlignment="1">
      <alignment horizontal="center" vertical="center"/>
    </xf>
    <xf numFmtId="2" fontId="0" fillId="5" borderId="41" xfId="0" applyNumberFormat="1" applyFill="1" applyBorder="1" applyAlignment="1">
      <alignment horizontal="center" vertical="center"/>
    </xf>
    <xf numFmtId="0" fontId="0" fillId="4" borderId="41" xfId="0" applyFill="1" applyBorder="1" applyAlignment="1">
      <alignment horizontal="left" vertical="center" wrapText="1"/>
    </xf>
    <xf numFmtId="2" fontId="0" fillId="5" borderId="41" xfId="0" applyNumberFormat="1" applyFill="1" applyBorder="1" applyAlignment="1">
      <alignment horizontal="center" vertical="center" wrapText="1"/>
    </xf>
    <xf numFmtId="0" fontId="1" fillId="4" borderId="41" xfId="0" applyFont="1" applyFill="1" applyBorder="1" applyAlignment="1">
      <alignment horizontal="left" vertical="center" wrapText="1"/>
    </xf>
    <xf numFmtId="2" fontId="1" fillId="5" borderId="41" xfId="0" applyNumberFormat="1" applyFont="1" applyFill="1" applyBorder="1" applyAlignment="1">
      <alignment horizontal="center" vertical="center"/>
    </xf>
    <xf numFmtId="0" fontId="0" fillId="0" borderId="22" xfId="0" applyBorder="1"/>
    <xf numFmtId="0" fontId="1" fillId="0" borderId="22" xfId="0" applyFont="1" applyBorder="1" applyAlignment="1">
      <alignment horizontal="center" vertical="center"/>
    </xf>
    <xf numFmtId="0" fontId="1" fillId="0" borderId="22" xfId="0" applyFont="1" applyBorder="1" applyAlignment="1">
      <alignment horizontal="center" vertical="center" wrapText="1"/>
    </xf>
    <xf numFmtId="0" fontId="0" fillId="0" borderId="22" xfId="0" applyBorder="1" applyAlignment="1">
      <alignment horizontal="left" vertical="center"/>
    </xf>
    <xf numFmtId="2" fontId="0" fillId="0" borderId="22" xfId="0" applyNumberFormat="1" applyBorder="1" applyAlignment="1">
      <alignment horizontal="center" vertical="center"/>
    </xf>
    <xf numFmtId="165" fontId="0" fillId="0" borderId="22" xfId="0" applyNumberFormat="1" applyBorder="1" applyAlignment="1">
      <alignment horizontal="center" vertical="center"/>
    </xf>
    <xf numFmtId="9" fontId="0" fillId="8" borderId="0" xfId="0" applyNumberFormat="1" applyFill="1" applyAlignment="1">
      <alignment horizontal="center" vertical="center"/>
    </xf>
    <xf numFmtId="0" fontId="9" fillId="8" borderId="0" xfId="0" applyFont="1" applyFill="1" applyAlignment="1">
      <alignment horizontal="center" vertical="center"/>
    </xf>
    <xf numFmtId="2" fontId="0" fillId="5" borderId="3" xfId="2" applyNumberFormat="1" applyFont="1" applyFill="1" applyBorder="1" applyAlignment="1">
      <alignment horizontal="center" vertical="center"/>
    </xf>
    <xf numFmtId="0" fontId="9" fillId="0" borderId="0" xfId="0" applyFont="1"/>
    <xf numFmtId="0" fontId="0" fillId="5" borderId="0" xfId="0" applyFill="1"/>
    <xf numFmtId="0" fontId="2" fillId="3" borderId="3" xfId="0" applyFont="1" applyFill="1" applyBorder="1" applyAlignment="1">
      <alignment horizontal="center" vertical="center" wrapText="1"/>
    </xf>
    <xf numFmtId="2" fontId="1" fillId="5" borderId="3" xfId="0" applyNumberFormat="1" applyFont="1" applyFill="1" applyBorder="1" applyAlignment="1">
      <alignment horizontal="center" vertical="center" wrapText="1"/>
    </xf>
    <xf numFmtId="0" fontId="0" fillId="0" borderId="29" xfId="0" applyBorder="1" applyAlignment="1">
      <alignment horizontal="center" vertical="center"/>
    </xf>
    <xf numFmtId="0" fontId="1" fillId="4" borderId="46" xfId="0" applyFont="1" applyFill="1" applyBorder="1" applyAlignment="1">
      <alignment horizontal="center" vertical="center" wrapText="1"/>
    </xf>
    <xf numFmtId="0" fontId="1" fillId="4" borderId="47" xfId="0" applyFont="1" applyFill="1" applyBorder="1" applyAlignment="1">
      <alignment horizontal="center" vertical="center" wrapText="1"/>
    </xf>
    <xf numFmtId="0" fontId="1" fillId="4" borderId="48" xfId="0" applyFont="1" applyFill="1" applyBorder="1" applyAlignment="1">
      <alignment horizontal="center" vertical="center" wrapText="1"/>
    </xf>
    <xf numFmtId="0" fontId="1" fillId="4" borderId="49" xfId="0" applyFont="1" applyFill="1" applyBorder="1" applyAlignment="1">
      <alignment horizontal="center" vertical="center" wrapText="1"/>
    </xf>
    <xf numFmtId="0" fontId="1" fillId="4" borderId="50" xfId="0" applyFont="1" applyFill="1" applyBorder="1" applyAlignment="1">
      <alignment horizontal="left" vertical="center"/>
    </xf>
    <xf numFmtId="164" fontId="0" fillId="5" borderId="51" xfId="1" applyNumberFormat="1" applyFont="1" applyFill="1" applyBorder="1" applyAlignment="1">
      <alignment horizontal="center" vertical="center"/>
    </xf>
    <xf numFmtId="164" fontId="15" fillId="5" borderId="54" xfId="1" applyNumberFormat="1" applyFont="1" applyFill="1" applyBorder="1" applyAlignment="1">
      <alignment horizontal="center" vertical="center"/>
    </xf>
    <xf numFmtId="0" fontId="15" fillId="4" borderId="52" xfId="0" applyFont="1" applyFill="1" applyBorder="1" applyAlignment="1">
      <alignment horizontal="center" vertical="center"/>
    </xf>
    <xf numFmtId="0" fontId="18" fillId="0" borderId="1" xfId="0" applyFont="1" applyBorder="1" applyAlignment="1">
      <alignment horizontal="center" vertical="center" wrapText="1"/>
    </xf>
    <xf numFmtId="0" fontId="19" fillId="0" borderId="1" xfId="0" applyFont="1" applyBorder="1"/>
    <xf numFmtId="4" fontId="0" fillId="0" borderId="0" xfId="0" applyNumberFormat="1"/>
    <xf numFmtId="0" fontId="0" fillId="0" borderId="8" xfId="0" applyBorder="1" applyAlignment="1">
      <alignment horizontal="center" vertical="center" wrapText="1"/>
    </xf>
    <xf numFmtId="0" fontId="0" fillId="0" borderId="28" xfId="0" applyBorder="1" applyAlignment="1">
      <alignment horizontal="center" vertical="center"/>
    </xf>
    <xf numFmtId="0" fontId="0" fillId="0" borderId="44" xfId="0" applyBorder="1" applyAlignment="1">
      <alignment horizontal="center" vertical="center"/>
    </xf>
    <xf numFmtId="0" fontId="0" fillId="0" borderId="22" xfId="0" applyBorder="1" applyAlignment="1">
      <alignment horizontal="center"/>
    </xf>
    <xf numFmtId="0" fontId="19" fillId="0" borderId="58" xfId="0" applyFont="1" applyBorder="1"/>
    <xf numFmtId="0" fontId="19" fillId="0" borderId="60" xfId="0" applyFont="1" applyBorder="1"/>
    <xf numFmtId="0" fontId="19" fillId="0" borderId="62" xfId="0" applyFont="1" applyBorder="1"/>
    <xf numFmtId="0" fontId="19" fillId="0" borderId="60" xfId="0" applyFont="1" applyBorder="1" applyAlignment="1">
      <alignment horizontal="center" vertical="center"/>
    </xf>
    <xf numFmtId="0" fontId="19" fillId="0" borderId="0" xfId="0" applyFont="1" applyAlignment="1">
      <alignment horizontal="center" vertical="center"/>
    </xf>
    <xf numFmtId="0" fontId="19" fillId="0" borderId="2" xfId="0" applyFont="1" applyBorder="1"/>
    <xf numFmtId="0" fontId="19" fillId="0" borderId="56" xfId="0" applyFont="1" applyBorder="1"/>
    <xf numFmtId="0" fontId="2" fillId="3" borderId="9" xfId="0" applyFont="1" applyFill="1" applyBorder="1" applyAlignment="1" applyProtection="1">
      <alignment horizontal="left" vertical="center" wrapText="1"/>
      <protection locked="0"/>
    </xf>
    <xf numFmtId="0" fontId="2" fillId="0" borderId="0" xfId="0" applyFont="1" applyProtection="1">
      <protection locked="0"/>
    </xf>
    <xf numFmtId="0" fontId="0" fillId="0" borderId="8" xfId="0" applyBorder="1" applyAlignment="1" applyProtection="1">
      <alignment horizontal="center" vertical="center"/>
      <protection locked="0"/>
    </xf>
    <xf numFmtId="0" fontId="0" fillId="3" borderId="23" xfId="0" applyFill="1" applyBorder="1" applyAlignment="1" applyProtection="1">
      <alignment horizontal="center" vertical="center"/>
      <protection locked="0"/>
    </xf>
    <xf numFmtId="2" fontId="0" fillId="0" borderId="9" xfId="0" applyNumberFormat="1" applyBorder="1" applyAlignment="1" applyProtection="1">
      <alignment horizontal="center" vertical="center"/>
      <protection locked="0"/>
    </xf>
    <xf numFmtId="0" fontId="0" fillId="0" borderId="9" xfId="0" applyBorder="1" applyAlignment="1" applyProtection="1">
      <alignment horizontal="center" vertical="center"/>
      <protection locked="0"/>
    </xf>
    <xf numFmtId="0" fontId="54" fillId="0" borderId="8" xfId="0" applyFont="1" applyBorder="1" applyAlignment="1">
      <alignment horizontal="center" vertical="center" wrapText="1"/>
    </xf>
    <xf numFmtId="0" fontId="54" fillId="0" borderId="9" xfId="0" applyFont="1" applyBorder="1" applyAlignment="1">
      <alignment horizontal="center" vertical="center"/>
    </xf>
    <xf numFmtId="0" fontId="54" fillId="0" borderId="29" xfId="0" applyFont="1" applyBorder="1" applyAlignment="1">
      <alignment horizontal="center" vertical="center"/>
    </xf>
    <xf numFmtId="0" fontId="54" fillId="0" borderId="0" xfId="0" applyFont="1" applyAlignment="1">
      <alignment horizontal="center" vertical="center"/>
    </xf>
    <xf numFmtId="0" fontId="54" fillId="3" borderId="23" xfId="0" applyFont="1" applyFill="1" applyBorder="1" applyAlignment="1" applyProtection="1">
      <alignment horizontal="center" vertical="center"/>
      <protection locked="0"/>
    </xf>
    <xf numFmtId="0" fontId="54" fillId="0" borderId="9" xfId="0" applyFont="1" applyBorder="1" applyAlignment="1" applyProtection="1">
      <alignment horizontal="center" vertical="center"/>
      <protection locked="0"/>
    </xf>
    <xf numFmtId="2" fontId="54" fillId="0" borderId="9" xfId="0" applyNumberFormat="1" applyFont="1" applyBorder="1" applyAlignment="1" applyProtection="1">
      <alignment horizontal="center" vertical="center"/>
      <protection locked="0"/>
    </xf>
    <xf numFmtId="0" fontId="55" fillId="3" borderId="9" xfId="0" applyFont="1" applyFill="1" applyBorder="1" applyAlignment="1" applyProtection="1">
      <alignment horizontal="left" vertical="center" wrapText="1"/>
      <protection locked="0"/>
    </xf>
    <xf numFmtId="0" fontId="54" fillId="8" borderId="0" xfId="0" applyFont="1" applyFill="1" applyAlignment="1">
      <alignment horizontal="center" vertical="center"/>
    </xf>
    <xf numFmtId="0" fontId="54" fillId="8" borderId="0" xfId="0" applyFont="1" applyFill="1"/>
    <xf numFmtId="0" fontId="54" fillId="0" borderId="10" xfId="0" applyFont="1" applyBorder="1" applyAlignment="1">
      <alignment horizontal="center" vertical="center"/>
    </xf>
    <xf numFmtId="0" fontId="0" fillId="0" borderId="0" xfId="0" applyAlignment="1">
      <alignment horizontal="right"/>
    </xf>
    <xf numFmtId="168" fontId="0" fillId="0" borderId="3" xfId="0" applyNumberFormat="1" applyBorder="1" applyAlignment="1">
      <alignment horizontal="center" vertical="center"/>
    </xf>
    <xf numFmtId="4" fontId="0" fillId="0" borderId="18" xfId="0" applyNumberFormat="1" applyBorder="1" applyAlignment="1" applyProtection="1">
      <alignment horizontal="center" vertical="center"/>
      <protection locked="0"/>
    </xf>
    <xf numFmtId="0" fontId="17" fillId="3" borderId="16" xfId="0" applyFont="1" applyFill="1" applyBorder="1" applyAlignment="1">
      <alignment horizontal="center" vertical="center" wrapText="1"/>
    </xf>
    <xf numFmtId="4" fontId="0" fillId="0" borderId="9" xfId="0" applyNumberFormat="1" applyBorder="1" applyAlignment="1" applyProtection="1">
      <alignment horizontal="center" vertical="center"/>
      <protection locked="0"/>
    </xf>
    <xf numFmtId="0" fontId="11" fillId="3" borderId="16" xfId="0" applyFont="1" applyFill="1" applyBorder="1" applyAlignment="1">
      <alignment horizontal="center" vertical="center" wrapText="1"/>
    </xf>
    <xf numFmtId="2" fontId="11" fillId="5" borderId="3" xfId="1" applyNumberFormat="1" applyFont="1" applyFill="1" applyBorder="1" applyAlignment="1">
      <alignment horizontal="center" vertical="center"/>
    </xf>
    <xf numFmtId="0" fontId="18" fillId="0" borderId="56" xfId="0" applyFont="1" applyBorder="1" applyAlignment="1">
      <alignment vertical="center"/>
    </xf>
    <xf numFmtId="0" fontId="19" fillId="0" borderId="57" xfId="0" applyFont="1" applyBorder="1" applyAlignment="1">
      <alignment vertical="center"/>
    </xf>
    <xf numFmtId="0" fontId="19" fillId="0" borderId="57" xfId="0" applyFont="1" applyBorder="1"/>
    <xf numFmtId="0" fontId="19" fillId="0" borderId="58" xfId="0" applyFont="1" applyBorder="1" applyAlignment="1">
      <alignment vertical="center"/>
    </xf>
    <xf numFmtId="0" fontId="19" fillId="0" borderId="0" xfId="0" applyFont="1" applyAlignment="1">
      <alignment vertical="center"/>
    </xf>
    <xf numFmtId="0" fontId="18" fillId="0" borderId="57" xfId="0" applyFont="1" applyBorder="1" applyAlignment="1">
      <alignment vertical="center"/>
    </xf>
    <xf numFmtId="0" fontId="56" fillId="0" borderId="57" xfId="0" applyFont="1" applyBorder="1" applyAlignment="1">
      <alignment horizontal="center"/>
    </xf>
    <xf numFmtId="0" fontId="19" fillId="0" borderId="59" xfId="0" applyFont="1" applyBorder="1"/>
    <xf numFmtId="0" fontId="56" fillId="0" borderId="0" xfId="0" applyFont="1" applyAlignment="1">
      <alignment horizontal="center"/>
    </xf>
    <xf numFmtId="0" fontId="19" fillId="0" borderId="61" xfId="0" applyFont="1" applyBorder="1"/>
    <xf numFmtId="0" fontId="56" fillId="0" borderId="2" xfId="0" applyFont="1" applyBorder="1" applyAlignment="1">
      <alignment horizontal="center"/>
    </xf>
    <xf numFmtId="0" fontId="19" fillId="0" borderId="0" xfId="0" applyFont="1" applyAlignment="1">
      <alignment horizontal="right"/>
    </xf>
    <xf numFmtId="0" fontId="56" fillId="0" borderId="59" xfId="0" applyFont="1" applyBorder="1" applyAlignment="1">
      <alignment horizontal="right" vertical="center"/>
    </xf>
    <xf numFmtId="0" fontId="56" fillId="0" borderId="61" xfId="0" applyFont="1" applyBorder="1" applyAlignment="1">
      <alignment horizontal="right" vertical="center"/>
    </xf>
    <xf numFmtId="0" fontId="19" fillId="0" borderId="2" xfId="0" applyFont="1" applyBorder="1" applyAlignment="1">
      <alignment horizontal="right"/>
    </xf>
    <xf numFmtId="0" fontId="56" fillId="0" borderId="0" xfId="0" applyFont="1" applyAlignment="1">
      <alignment horizontal="right" vertical="center"/>
    </xf>
    <xf numFmtId="0" fontId="1" fillId="4" borderId="22" xfId="0" applyFont="1" applyFill="1" applyBorder="1" applyAlignment="1">
      <alignment horizontal="center" vertical="center" wrapText="1"/>
    </xf>
    <xf numFmtId="4" fontId="15" fillId="5" borderId="22" xfId="0" applyNumberFormat="1" applyFont="1" applyFill="1" applyBorder="1" applyAlignment="1">
      <alignment horizontal="center" vertical="center"/>
    </xf>
    <xf numFmtId="0" fontId="15" fillId="47" borderId="22" xfId="0" applyFont="1" applyFill="1" applyBorder="1" applyAlignment="1">
      <alignment horizontal="center" vertical="center"/>
    </xf>
    <xf numFmtId="165" fontId="11" fillId="0" borderId="3" xfId="0" applyNumberFormat="1" applyFont="1" applyBorder="1" applyAlignment="1">
      <alignment horizontal="center" vertical="center"/>
    </xf>
    <xf numFmtId="0" fontId="1" fillId="4" borderId="66" xfId="0" applyFont="1" applyFill="1" applyBorder="1" applyAlignment="1">
      <alignment horizontal="left" vertical="center"/>
    </xf>
    <xf numFmtId="164" fontId="15" fillId="5" borderId="68" xfId="1" applyNumberFormat="1" applyFont="1" applyFill="1" applyBorder="1" applyAlignment="1">
      <alignment horizontal="center" vertical="center"/>
    </xf>
    <xf numFmtId="2" fontId="58" fillId="0" borderId="71" xfId="0" applyNumberFormat="1" applyFont="1" applyBorder="1" applyAlignment="1">
      <alignment horizontal="center" vertical="center"/>
    </xf>
    <xf numFmtId="164" fontId="57" fillId="5" borderId="70" xfId="1" applyNumberFormat="1" applyFont="1" applyFill="1" applyBorder="1" applyAlignment="1">
      <alignment horizontal="center" vertical="center"/>
    </xf>
    <xf numFmtId="2" fontId="58" fillId="0" borderId="55" xfId="0" applyNumberFormat="1" applyFont="1" applyBorder="1" applyAlignment="1">
      <alignment horizontal="center" vertical="center"/>
    </xf>
    <xf numFmtId="0" fontId="0" fillId="5" borderId="0" xfId="0" applyFill="1" applyAlignment="1">
      <alignment horizontal="right"/>
    </xf>
    <xf numFmtId="0" fontId="59" fillId="5" borderId="0" xfId="44" applyFill="1" applyAlignment="1"/>
    <xf numFmtId="0" fontId="15" fillId="5" borderId="0" xfId="0" applyFont="1" applyFill="1" applyAlignment="1">
      <alignment vertical="center"/>
    </xf>
    <xf numFmtId="2" fontId="11" fillId="0" borderId="0" xfId="0" applyNumberFormat="1" applyFont="1" applyAlignment="1">
      <alignment horizontal="center" vertical="center"/>
    </xf>
    <xf numFmtId="0" fontId="54" fillId="0" borderId="28" xfId="0" applyFont="1" applyBorder="1" applyAlignment="1">
      <alignment horizontal="center" vertical="center" wrapText="1"/>
    </xf>
    <xf numFmtId="0" fontId="0" fillId="0" borderId="28" xfId="0" applyBorder="1" applyAlignment="1">
      <alignment horizontal="center" vertical="center" wrapText="1"/>
    </xf>
    <xf numFmtId="0" fontId="35" fillId="4" borderId="42" xfId="0" applyFont="1" applyFill="1" applyBorder="1" applyAlignment="1">
      <alignment horizontal="center" vertical="center" wrapText="1"/>
    </xf>
    <xf numFmtId="0" fontId="35" fillId="4" borderId="25" xfId="0" applyFont="1" applyFill="1" applyBorder="1" applyAlignment="1">
      <alignment horizontal="center" vertical="center" wrapText="1"/>
    </xf>
    <xf numFmtId="0" fontId="54" fillId="0" borderId="24" xfId="0" applyFont="1" applyBorder="1" applyAlignment="1">
      <alignment horizontal="center" vertical="center" wrapText="1"/>
    </xf>
    <xf numFmtId="0" fontId="54" fillId="0" borderId="42" xfId="0" applyFont="1" applyBorder="1" applyAlignment="1">
      <alignment horizontal="center" vertical="center"/>
    </xf>
    <xf numFmtId="0" fontId="54" fillId="0" borderId="25" xfId="0" applyFont="1" applyBorder="1" applyAlignment="1">
      <alignment horizontal="center" vertical="center"/>
    </xf>
    <xf numFmtId="0" fontId="54" fillId="0" borderId="24" xfId="0" applyFont="1" applyBorder="1" applyAlignment="1">
      <alignment horizontal="center" vertical="center"/>
    </xf>
    <xf numFmtId="0" fontId="0" fillId="0" borderId="24" xfId="0" applyBorder="1" applyAlignment="1">
      <alignment horizontal="center" vertical="center"/>
    </xf>
    <xf numFmtId="0" fontId="35" fillId="4" borderId="24" xfId="0" applyFont="1" applyFill="1" applyBorder="1" applyAlignment="1">
      <alignment horizontal="center" vertical="center" wrapText="1"/>
    </xf>
    <xf numFmtId="0" fontId="9" fillId="0" borderId="0" xfId="0" applyFont="1" applyAlignment="1">
      <alignment vertical="center"/>
    </xf>
    <xf numFmtId="0" fontId="9" fillId="9" borderId="0" xfId="0" applyFont="1" applyFill="1" applyAlignment="1">
      <alignment horizontal="left" vertical="center"/>
    </xf>
    <xf numFmtId="0" fontId="9" fillId="0" borderId="2" xfId="0" applyFont="1" applyBorder="1"/>
    <xf numFmtId="0" fontId="11" fillId="8" borderId="0" xfId="0" applyFont="1" applyFill="1"/>
    <xf numFmtId="43" fontId="11" fillId="0" borderId="0" xfId="2" applyFont="1"/>
    <xf numFmtId="0" fontId="11" fillId="9" borderId="0" xfId="0" applyFont="1" applyFill="1"/>
    <xf numFmtId="0" fontId="11" fillId="9" borderId="0" xfId="0" applyFont="1" applyFill="1" applyAlignment="1">
      <alignment horizontal="center" vertical="center"/>
    </xf>
    <xf numFmtId="0" fontId="61" fillId="9" borderId="0" xfId="0" applyFont="1" applyFill="1" applyAlignment="1">
      <alignment horizontal="center" vertical="center"/>
    </xf>
    <xf numFmtId="0" fontId="11" fillId="0" borderId="2" xfId="0" applyFont="1" applyBorder="1"/>
    <xf numFmtId="0" fontId="11" fillId="8" borderId="2" xfId="0" applyFont="1" applyFill="1" applyBorder="1"/>
    <xf numFmtId="0" fontId="62" fillId="5" borderId="0" xfId="0" applyFont="1" applyFill="1"/>
    <xf numFmtId="0" fontId="2" fillId="0" borderId="41" xfId="0" applyFont="1" applyBorder="1" applyAlignment="1">
      <alignment horizontal="left" vertical="center" wrapText="1"/>
    </xf>
    <xf numFmtId="0" fontId="8" fillId="0" borderId="41" xfId="0" applyFont="1" applyBorder="1" applyAlignment="1">
      <alignment horizontal="center" vertical="center" wrapText="1"/>
    </xf>
    <xf numFmtId="0" fontId="2" fillId="7" borderId="41" xfId="0" applyFont="1" applyFill="1" applyBorder="1" applyAlignment="1">
      <alignment horizontal="center" vertical="center"/>
    </xf>
    <xf numFmtId="0" fontId="2" fillId="5" borderId="41" xfId="0" applyFont="1" applyFill="1" applyBorder="1" applyAlignment="1">
      <alignment horizontal="left" vertical="center" wrapText="1"/>
    </xf>
    <xf numFmtId="0" fontId="1" fillId="7" borderId="41" xfId="0" applyFont="1" applyFill="1" applyBorder="1" applyAlignment="1">
      <alignment horizontal="left" vertical="center" wrapText="1"/>
    </xf>
    <xf numFmtId="0" fontId="33" fillId="0" borderId="0" xfId="0" applyFont="1"/>
    <xf numFmtId="0" fontId="33" fillId="8" borderId="0" xfId="0" applyFont="1" applyFill="1"/>
    <xf numFmtId="0" fontId="9" fillId="0" borderId="0" xfId="0" applyFont="1" applyAlignment="1">
      <alignment horizontal="center"/>
    </xf>
    <xf numFmtId="0" fontId="63" fillId="5" borderId="0" xfId="0" applyFont="1" applyFill="1"/>
    <xf numFmtId="0" fontId="9" fillId="5" borderId="0" xfId="0" applyFont="1" applyFill="1"/>
    <xf numFmtId="0" fontId="65" fillId="5" borderId="0" xfId="0" applyFont="1" applyFill="1" applyAlignment="1">
      <alignment vertical="center"/>
    </xf>
    <xf numFmtId="0" fontId="11" fillId="5" borderId="0" xfId="0" applyFont="1" applyFill="1"/>
    <xf numFmtId="167" fontId="1" fillId="5" borderId="3" xfId="2" applyNumberFormat="1" applyFont="1" applyFill="1" applyBorder="1" applyAlignment="1">
      <alignment horizontal="center" vertical="center" wrapText="1"/>
    </xf>
    <xf numFmtId="0" fontId="2" fillId="3" borderId="41" xfId="0" applyFont="1" applyFill="1" applyBorder="1" applyAlignment="1">
      <alignment horizontal="center" vertical="center"/>
    </xf>
    <xf numFmtId="0" fontId="13" fillId="4" borderId="3" xfId="0" applyFont="1" applyFill="1" applyBorder="1" applyAlignment="1">
      <alignment horizontal="center" vertical="center" wrapText="1"/>
    </xf>
    <xf numFmtId="0" fontId="13" fillId="10" borderId="3" xfId="0" applyFont="1" applyFill="1" applyBorder="1" applyAlignment="1">
      <alignment horizontal="center" vertical="center"/>
    </xf>
    <xf numFmtId="0" fontId="13" fillId="11" borderId="3" xfId="0" applyFont="1" applyFill="1" applyBorder="1" applyAlignment="1">
      <alignment horizontal="center" vertical="center"/>
    </xf>
    <xf numFmtId="0" fontId="13" fillId="6" borderId="3" xfId="0" applyFont="1" applyFill="1" applyBorder="1" applyAlignment="1">
      <alignment horizontal="center" vertical="center"/>
    </xf>
    <xf numFmtId="0" fontId="13" fillId="12" borderId="3" xfId="0" applyFont="1" applyFill="1" applyBorder="1" applyAlignment="1">
      <alignment horizontal="center" vertical="center"/>
    </xf>
    <xf numFmtId="0" fontId="15" fillId="7" borderId="41" xfId="0" applyFont="1" applyFill="1" applyBorder="1" applyAlignment="1">
      <alignment horizontal="center" vertical="center"/>
    </xf>
    <xf numFmtId="0" fontId="34" fillId="0" borderId="0" xfId="0" applyFont="1"/>
    <xf numFmtId="0" fontId="67" fillId="0" borderId="0" xfId="0" applyFont="1"/>
    <xf numFmtId="0" fontId="66" fillId="0" borderId="0" xfId="0" applyFont="1"/>
    <xf numFmtId="0" fontId="68" fillId="8" borderId="0" xfId="0" applyFont="1" applyFill="1"/>
    <xf numFmtId="2" fontId="54" fillId="7" borderId="9" xfId="0" applyNumberFormat="1" applyFont="1"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68" fillId="8" borderId="0" xfId="0" applyFont="1" applyFill="1" applyAlignment="1">
      <alignment wrapText="1"/>
    </xf>
    <xf numFmtId="0" fontId="13" fillId="13" borderId="15" xfId="0" applyFont="1" applyFill="1" applyBorder="1" applyAlignment="1">
      <alignment horizontal="center" vertical="center"/>
    </xf>
    <xf numFmtId="9" fontId="11" fillId="5" borderId="15" xfId="1" applyFont="1" applyFill="1" applyBorder="1" applyAlignment="1">
      <alignment horizontal="center" vertical="center"/>
    </xf>
    <xf numFmtId="43" fontId="54" fillId="0" borderId="9" xfId="0" applyNumberFormat="1" applyFont="1" applyBorder="1" applyAlignment="1" applyProtection="1">
      <alignment horizontal="center" vertical="center"/>
      <protection locked="0"/>
    </xf>
    <xf numFmtId="167" fontId="0" fillId="0" borderId="9" xfId="2" applyNumberFormat="1" applyFont="1" applyBorder="1" applyAlignment="1" applyProtection="1">
      <alignment horizontal="center" vertical="center"/>
      <protection locked="0"/>
    </xf>
    <xf numFmtId="43" fontId="54" fillId="8" borderId="0" xfId="2" applyFont="1" applyFill="1" applyAlignment="1">
      <alignment horizontal="center" vertical="center"/>
    </xf>
    <xf numFmtId="43" fontId="34" fillId="0" borderId="0" xfId="2" applyFont="1"/>
    <xf numFmtId="0" fontId="54" fillId="3" borderId="23" xfId="0" applyFont="1" applyFill="1" applyBorder="1" applyAlignment="1" applyProtection="1">
      <alignment horizontal="left" vertical="center" wrapText="1"/>
      <protection locked="0"/>
    </xf>
    <xf numFmtId="0" fontId="9" fillId="0" borderId="0" xfId="0" applyFont="1" applyAlignment="1">
      <alignment horizontal="left"/>
    </xf>
    <xf numFmtId="0" fontId="64" fillId="0" borderId="63" xfId="0" applyFont="1" applyBorder="1" applyAlignment="1">
      <alignment vertical="center" wrapText="1"/>
    </xf>
    <xf numFmtId="0" fontId="64" fillId="0" borderId="0" xfId="0" applyFont="1" applyAlignment="1">
      <alignment vertical="center" wrapText="1"/>
    </xf>
    <xf numFmtId="0" fontId="63" fillId="0" borderId="0" xfId="0" applyFont="1" applyAlignment="1">
      <alignment horizontal="center" vertical="center" wrapText="1"/>
    </xf>
    <xf numFmtId="0" fontId="63" fillId="0" borderId="0" xfId="0" applyFont="1" applyAlignment="1">
      <alignment horizontal="center"/>
    </xf>
    <xf numFmtId="0" fontId="0" fillId="7" borderId="3" xfId="0" applyFill="1" applyBorder="1" applyAlignment="1">
      <alignment horizontal="center" vertical="center"/>
    </xf>
    <xf numFmtId="0" fontId="12" fillId="0" borderId="0" xfId="0" applyFont="1" applyAlignment="1">
      <alignment horizontal="center" vertical="center" wrapText="1"/>
    </xf>
    <xf numFmtId="0" fontId="0" fillId="0" borderId="8" xfId="0" applyBorder="1" applyAlignment="1" applyProtection="1">
      <alignment horizontal="left" vertical="center"/>
      <protection locked="0"/>
    </xf>
    <xf numFmtId="0" fontId="74" fillId="0" borderId="0" xfId="0" applyFont="1"/>
    <xf numFmtId="0" fontId="74" fillId="9" borderId="0" xfId="0" applyFont="1" applyFill="1"/>
    <xf numFmtId="0" fontId="74" fillId="8" borderId="0" xfId="0" applyFont="1" applyFill="1"/>
    <xf numFmtId="0" fontId="57" fillId="4" borderId="64" xfId="0" applyFont="1" applyFill="1" applyBorder="1" applyAlignment="1">
      <alignment horizontal="left" vertical="center" wrapText="1"/>
    </xf>
    <xf numFmtId="0" fontId="14" fillId="4" borderId="65" xfId="0" applyFont="1" applyFill="1" applyBorder="1" applyAlignment="1">
      <alignment horizontal="left" vertical="center" wrapText="1"/>
    </xf>
    <xf numFmtId="0" fontId="0" fillId="13" borderId="15" xfId="0" applyFill="1" applyBorder="1" applyAlignment="1">
      <alignment horizontal="center" vertical="center"/>
    </xf>
    <xf numFmtId="164" fontId="11" fillId="5" borderId="15" xfId="1" applyNumberFormat="1" applyFont="1" applyFill="1" applyBorder="1" applyAlignment="1">
      <alignment horizontal="center" vertical="center"/>
    </xf>
    <xf numFmtId="4" fontId="0" fillId="0" borderId="3" xfId="0" applyNumberFormat="1" applyBorder="1" applyAlignment="1">
      <alignment horizontal="center" vertical="center"/>
    </xf>
    <xf numFmtId="4" fontId="0" fillId="0" borderId="3" xfId="0" applyNumberFormat="1" applyBorder="1"/>
    <xf numFmtId="0" fontId="0" fillId="0" borderId="0" xfId="0" applyAlignment="1">
      <alignment horizontal="center" vertical="top"/>
    </xf>
    <xf numFmtId="0" fontId="0" fillId="0" borderId="0" xfId="0" applyAlignment="1">
      <alignment vertical="top"/>
    </xf>
    <xf numFmtId="0" fontId="0" fillId="8" borderId="0" xfId="0" applyFill="1" applyAlignment="1">
      <alignment vertical="top"/>
    </xf>
    <xf numFmtId="0" fontId="23" fillId="0" borderId="0" xfId="0" applyFont="1" applyAlignment="1">
      <alignment horizontal="center" vertical="top"/>
    </xf>
    <xf numFmtId="0" fontId="19" fillId="0" borderId="22" xfId="0" applyFont="1" applyBorder="1" applyAlignment="1">
      <alignment horizontal="left" vertical="center" wrapText="1"/>
    </xf>
    <xf numFmtId="4" fontId="11" fillId="5" borderId="16" xfId="0" applyNumberFormat="1" applyFont="1" applyFill="1" applyBorder="1" applyAlignment="1">
      <alignment horizontal="center" vertical="center"/>
    </xf>
    <xf numFmtId="4" fontId="3" fillId="5" borderId="16" xfId="0" applyNumberFormat="1" applyFont="1" applyFill="1" applyBorder="1" applyAlignment="1">
      <alignment horizontal="center" vertical="center"/>
    </xf>
    <xf numFmtId="4" fontId="0" fillId="2" borderId="16" xfId="0" applyNumberFormat="1" applyFill="1" applyBorder="1" applyAlignment="1">
      <alignment horizontal="center" vertical="center"/>
    </xf>
    <xf numFmtId="0" fontId="0" fillId="0" borderId="15" xfId="0" applyBorder="1" applyAlignment="1">
      <alignment horizontal="left" vertical="center"/>
    </xf>
    <xf numFmtId="0" fontId="0" fillId="9" borderId="0" xfId="0" applyFill="1" applyAlignment="1">
      <alignment horizontal="center"/>
    </xf>
    <xf numFmtId="4" fontId="0" fillId="5" borderId="15" xfId="2" applyNumberFormat="1" applyFont="1" applyFill="1" applyBorder="1" applyAlignment="1">
      <alignment horizontal="center" vertical="center"/>
    </xf>
    <xf numFmtId="4" fontId="0" fillId="5" borderId="17" xfId="2" applyNumberFormat="1" applyFont="1" applyFill="1" applyBorder="1" applyAlignment="1">
      <alignment horizontal="center" vertical="center"/>
    </xf>
    <xf numFmtId="4" fontId="0" fillId="5" borderId="16" xfId="2" applyNumberFormat="1" applyFont="1" applyFill="1" applyBorder="1" applyAlignment="1">
      <alignment horizontal="center" vertical="center"/>
    </xf>
    <xf numFmtId="169" fontId="0" fillId="5" borderId="19" xfId="2" applyNumberFormat="1" applyFont="1" applyFill="1" applyBorder="1" applyAlignment="1">
      <alignment horizontal="center" vertical="center"/>
    </xf>
    <xf numFmtId="169" fontId="0" fillId="5" borderId="20" xfId="2" applyNumberFormat="1" applyFont="1" applyFill="1" applyBorder="1" applyAlignment="1">
      <alignment horizontal="center" vertical="center"/>
    </xf>
    <xf numFmtId="3" fontId="0" fillId="5" borderId="3" xfId="0" applyNumberFormat="1" applyFill="1" applyBorder="1" applyAlignment="1">
      <alignment horizontal="center" vertical="center"/>
    </xf>
    <xf numFmtId="0" fontId="0" fillId="3" borderId="16" xfId="0" applyFill="1" applyBorder="1" applyAlignment="1">
      <alignment horizontal="center" vertical="center" wrapText="1"/>
    </xf>
    <xf numFmtId="4" fontId="13" fillId="5" borderId="17" xfId="0" applyNumberFormat="1" applyFont="1" applyFill="1" applyBorder="1" applyAlignment="1">
      <alignment horizontal="center" vertical="center"/>
    </xf>
    <xf numFmtId="0" fontId="25" fillId="9" borderId="0" xfId="0" applyFont="1" applyFill="1" applyAlignment="1">
      <alignment horizontal="center" vertical="center"/>
    </xf>
    <xf numFmtId="0" fontId="25" fillId="9" borderId="0" xfId="0" applyFont="1" applyFill="1" applyAlignment="1">
      <alignment horizontal="center" vertical="top"/>
    </xf>
    <xf numFmtId="0" fontId="0" fillId="9" borderId="0" xfId="0" applyFill="1" applyAlignment="1">
      <alignment vertical="top"/>
    </xf>
    <xf numFmtId="0" fontId="2" fillId="9" borderId="0" xfId="0" applyFont="1" applyFill="1" applyAlignment="1">
      <alignment horizontal="center" vertical="center"/>
    </xf>
    <xf numFmtId="9" fontId="3" fillId="0" borderId="11" xfId="1"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2" fillId="0" borderId="10" xfId="0" applyFont="1" applyBorder="1" applyAlignment="1">
      <alignment horizontal="center" vertical="center"/>
    </xf>
    <xf numFmtId="0" fontId="2" fillId="0" borderId="15" xfId="0" applyFont="1" applyBorder="1" applyAlignment="1">
      <alignment horizontal="center" vertical="center"/>
    </xf>
    <xf numFmtId="0" fontId="2" fillId="0" borderId="16" xfId="0" applyFont="1" applyBorder="1" applyAlignment="1">
      <alignment horizontal="center" vertical="center"/>
    </xf>
    <xf numFmtId="0" fontId="2" fillId="0" borderId="17" xfId="0" applyFont="1" applyBorder="1" applyAlignment="1">
      <alignment horizontal="center" vertical="center"/>
    </xf>
    <xf numFmtId="0" fontId="0" fillId="2" borderId="15" xfId="0" applyFill="1" applyBorder="1" applyAlignment="1">
      <alignment horizontal="center" vertical="center"/>
    </xf>
    <xf numFmtId="0" fontId="0" fillId="3" borderId="16" xfId="0" applyFill="1" applyBorder="1" applyAlignment="1">
      <alignment horizontal="left" vertical="center" wrapText="1"/>
    </xf>
    <xf numFmtId="0" fontId="0" fillId="2" borderId="16" xfId="0" applyFill="1" applyBorder="1" applyAlignment="1">
      <alignment horizontal="center" vertical="center"/>
    </xf>
    <xf numFmtId="4" fontId="0" fillId="0" borderId="16" xfId="0" applyNumberFormat="1" applyBorder="1" applyAlignment="1" applyProtection="1">
      <alignment horizontal="center" vertical="center"/>
      <protection locked="0"/>
    </xf>
    <xf numFmtId="2" fontId="0" fillId="0" borderId="16" xfId="0" applyNumberFormat="1" applyBorder="1" applyAlignment="1">
      <alignment horizontal="center" vertical="center"/>
    </xf>
    <xf numFmtId="169" fontId="0" fillId="5" borderId="15" xfId="2" applyNumberFormat="1" applyFont="1" applyFill="1" applyBorder="1" applyAlignment="1">
      <alignment horizontal="center" vertical="center"/>
    </xf>
    <xf numFmtId="169" fontId="0" fillId="5" borderId="17" xfId="2" applyNumberFormat="1" applyFont="1" applyFill="1" applyBorder="1" applyAlignment="1">
      <alignment horizontal="center" vertical="center"/>
    </xf>
    <xf numFmtId="170" fontId="0" fillId="5" borderId="3" xfId="0" applyNumberFormat="1" applyFill="1" applyBorder="1" applyAlignment="1">
      <alignment horizontal="center" vertical="center"/>
    </xf>
    <xf numFmtId="0" fontId="11" fillId="3" borderId="23" xfId="0" applyFont="1" applyFill="1" applyBorder="1" applyAlignment="1" applyProtection="1">
      <alignment horizontal="left" vertical="center" wrapText="1"/>
      <protection locked="0"/>
    </xf>
    <xf numFmtId="0" fontId="17" fillId="9" borderId="41" xfId="0" applyFont="1" applyFill="1" applyBorder="1" applyAlignment="1">
      <alignment horizontal="center" vertical="center" wrapText="1"/>
    </xf>
    <xf numFmtId="9" fontId="3" fillId="0" borderId="3" xfId="1" applyFont="1" applyBorder="1" applyAlignment="1">
      <alignment horizontal="center" vertical="center"/>
    </xf>
    <xf numFmtId="0" fontId="11" fillId="0" borderId="0" xfId="0" applyFont="1" applyAlignment="1">
      <alignment horizontal="center" vertical="center"/>
    </xf>
    <xf numFmtId="0" fontId="11" fillId="4" borderId="41" xfId="0" applyFont="1" applyFill="1" applyBorder="1" applyAlignment="1">
      <alignment horizontal="left" vertical="center"/>
    </xf>
    <xf numFmtId="0" fontId="11" fillId="3" borderId="3" xfId="0" applyFont="1" applyFill="1" applyBorder="1" applyAlignment="1">
      <alignment horizontal="center" vertical="center" wrapText="1"/>
    </xf>
    <xf numFmtId="0" fontId="11" fillId="0" borderId="41" xfId="0" applyFont="1" applyBorder="1" applyAlignment="1">
      <alignment horizontal="center" vertical="center"/>
    </xf>
    <xf numFmtId="0" fontId="11" fillId="4" borderId="41" xfId="0" applyFont="1" applyFill="1" applyBorder="1" applyAlignment="1">
      <alignment horizontal="left" vertical="center" wrapText="1"/>
    </xf>
    <xf numFmtId="4" fontId="11" fillId="0" borderId="42" xfId="0" applyNumberFormat="1" applyFont="1" applyBorder="1" applyAlignment="1">
      <alignment horizontal="center" vertical="center"/>
    </xf>
    <xf numFmtId="4" fontId="11" fillId="0" borderId="29" xfId="0" applyNumberFormat="1" applyFont="1" applyBorder="1" applyAlignment="1">
      <alignment horizontal="center" vertical="center"/>
    </xf>
    <xf numFmtId="165" fontId="0" fillId="0" borderId="0" xfId="0" applyNumberFormat="1"/>
    <xf numFmtId="165" fontId="2" fillId="0" borderId="3" xfId="1" applyNumberFormat="1" applyFont="1" applyBorder="1" applyAlignment="1">
      <alignment horizontal="center" vertical="center" wrapText="1"/>
    </xf>
    <xf numFmtId="165" fontId="2" fillId="0" borderId="3" xfId="0" applyNumberFormat="1" applyFont="1" applyBorder="1" applyAlignment="1">
      <alignment horizontal="center" vertical="center" wrapText="1"/>
    </xf>
    <xf numFmtId="165" fontId="2" fillId="0" borderId="0" xfId="0" applyNumberFormat="1" applyFont="1"/>
    <xf numFmtId="0" fontId="2" fillId="0" borderId="3" xfId="0" applyFont="1" applyBorder="1" applyAlignment="1">
      <alignment horizontal="center" vertical="center" wrapText="1"/>
    </xf>
    <xf numFmtId="0" fontId="10" fillId="0" borderId="3" xfId="0" applyFont="1" applyBorder="1" applyAlignment="1">
      <alignment horizontal="center" vertical="center" wrapText="1"/>
    </xf>
    <xf numFmtId="2" fontId="2" fillId="5" borderId="3" xfId="0" applyNumberFormat="1" applyFont="1" applyFill="1" applyBorder="1" applyAlignment="1">
      <alignment horizontal="center" vertical="center" wrapText="1"/>
    </xf>
    <xf numFmtId="0" fontId="2" fillId="5" borderId="3" xfId="0" applyFont="1" applyFill="1" applyBorder="1" applyAlignment="1">
      <alignment horizontal="center" vertical="center" wrapText="1"/>
    </xf>
    <xf numFmtId="0" fontId="12" fillId="4" borderId="3" xfId="0" applyFont="1" applyFill="1" applyBorder="1" applyAlignment="1">
      <alignment horizontal="left" vertical="center" wrapText="1"/>
    </xf>
    <xf numFmtId="0" fontId="11" fillId="8" borderId="0" xfId="0" applyFont="1" applyFill="1" applyAlignment="1">
      <alignment horizontal="center" vertical="center"/>
    </xf>
    <xf numFmtId="0" fontId="11" fillId="4" borderId="3" xfId="0" applyFont="1" applyFill="1" applyBorder="1" applyAlignment="1">
      <alignment horizontal="left" vertical="center"/>
    </xf>
    <xf numFmtId="0" fontId="11" fillId="4" borderId="3" xfId="0" applyFont="1" applyFill="1" applyBorder="1" applyAlignment="1">
      <alignment horizontal="left" vertical="center" wrapText="1"/>
    </xf>
    <xf numFmtId="4" fontId="11" fillId="5" borderId="3" xfId="2" applyNumberFormat="1" applyFont="1" applyFill="1" applyBorder="1" applyAlignment="1">
      <alignment horizontal="center" vertical="center"/>
    </xf>
    <xf numFmtId="4" fontId="13" fillId="5" borderId="3" xfId="2" applyNumberFormat="1" applyFont="1" applyFill="1" applyBorder="1" applyAlignment="1">
      <alignment horizontal="center" vertical="center"/>
    </xf>
    <xf numFmtId="4" fontId="1" fillId="5" borderId="3" xfId="0" applyNumberFormat="1" applyFont="1" applyFill="1" applyBorder="1" applyAlignment="1">
      <alignment horizontal="center" vertical="center" wrapText="1"/>
    </xf>
    <xf numFmtId="0" fontId="54" fillId="0" borderId="8" xfId="0" applyFont="1" applyBorder="1" applyAlignment="1" applyProtection="1">
      <alignment horizontal="center" vertical="center"/>
      <protection locked="0"/>
    </xf>
    <xf numFmtId="0" fontId="0" fillId="0" borderId="19" xfId="0" applyBorder="1" applyAlignment="1" applyProtection="1">
      <alignment horizontal="left" vertical="center"/>
      <protection locked="0"/>
    </xf>
    <xf numFmtId="0" fontId="0" fillId="0" borderId="74" xfId="0" applyBorder="1" applyAlignment="1" applyProtection="1">
      <alignment horizontal="left" vertical="center"/>
      <protection locked="0"/>
    </xf>
    <xf numFmtId="0" fontId="0" fillId="0" borderId="15" xfId="0" applyBorder="1" applyAlignment="1" applyProtection="1">
      <alignment horizontal="left" vertical="center"/>
      <protection locked="0"/>
    </xf>
    <xf numFmtId="0" fontId="34" fillId="0" borderId="0" xfId="0" applyFont="1" applyAlignment="1">
      <alignment vertical="center"/>
    </xf>
    <xf numFmtId="0" fontId="0" fillId="0" borderId="3" xfId="0" applyBorder="1" applyAlignment="1">
      <alignment horizontal="center" vertical="center" wrapText="1"/>
    </xf>
    <xf numFmtId="0" fontId="77" fillId="0" borderId="0" xfId="0" applyFont="1"/>
    <xf numFmtId="0" fontId="77" fillId="0" borderId="0" xfId="0" applyFont="1" applyAlignment="1">
      <alignment horizontal="center" vertical="center"/>
    </xf>
    <xf numFmtId="0" fontId="77" fillId="8" borderId="0" xfId="0" applyFont="1" applyFill="1" applyAlignment="1">
      <alignment horizontal="center" vertical="center"/>
    </xf>
    <xf numFmtId="0" fontId="77" fillId="8" borderId="0" xfId="0" applyFont="1" applyFill="1"/>
    <xf numFmtId="0" fontId="65" fillId="0" borderId="2" xfId="0" applyFont="1" applyBorder="1"/>
    <xf numFmtId="0" fontId="77" fillId="0" borderId="2" xfId="0" applyFont="1" applyBorder="1"/>
    <xf numFmtId="0" fontId="77" fillId="0" borderId="2" xfId="0" applyFont="1" applyBorder="1" applyAlignment="1">
      <alignment horizontal="center" vertical="center"/>
    </xf>
    <xf numFmtId="0" fontId="2" fillId="4" borderId="3" xfId="0" applyFont="1" applyFill="1" applyBorder="1" applyAlignment="1">
      <alignment vertical="center" wrapText="1"/>
    </xf>
    <xf numFmtId="0" fontId="2" fillId="0" borderId="3" xfId="0" applyFont="1" applyBorder="1" applyAlignment="1">
      <alignment horizontal="center" vertical="center"/>
    </xf>
    <xf numFmtId="2" fontId="2" fillId="5" borderId="3" xfId="0" applyNumberFormat="1" applyFont="1" applyFill="1" applyBorder="1" applyAlignment="1">
      <alignment horizontal="center" vertical="center"/>
    </xf>
    <xf numFmtId="0" fontId="8" fillId="4" borderId="3" xfId="0" applyFont="1" applyFill="1" applyBorder="1" applyAlignment="1">
      <alignment horizontal="left" vertical="center" wrapText="1"/>
    </xf>
    <xf numFmtId="2" fontId="8" fillId="5" borderId="3" xfId="0" applyNumberFormat="1" applyFont="1" applyFill="1" applyBorder="1" applyAlignment="1">
      <alignment horizontal="center" vertical="center"/>
    </xf>
    <xf numFmtId="2" fontId="2" fillId="0" borderId="3" xfId="0" applyNumberFormat="1" applyFont="1" applyBorder="1" applyAlignment="1">
      <alignment horizontal="center" vertical="center"/>
    </xf>
    <xf numFmtId="0" fontId="18" fillId="0" borderId="30" xfId="0" applyFont="1" applyBorder="1" applyAlignment="1">
      <alignment horizontal="center" vertical="center"/>
    </xf>
    <xf numFmtId="0" fontId="78" fillId="0" borderId="3" xfId="0" applyFont="1" applyBorder="1" applyAlignment="1">
      <alignment horizontal="center" vertical="center" wrapText="1"/>
    </xf>
    <xf numFmtId="0" fontId="1" fillId="0" borderId="3" xfId="0" applyFont="1" applyBorder="1" applyAlignment="1">
      <alignment horizontal="center" vertical="center" wrapText="1"/>
    </xf>
    <xf numFmtId="0" fontId="19" fillId="0" borderId="24" xfId="0" applyFont="1" applyBorder="1"/>
    <xf numFmtId="0" fontId="27" fillId="0" borderId="3" xfId="0" applyFont="1" applyBorder="1" applyAlignment="1">
      <alignment horizontal="center"/>
    </xf>
    <xf numFmtId="0" fontId="27" fillId="0" borderId="3" xfId="0" applyFont="1" applyBorder="1"/>
    <xf numFmtId="0" fontId="1" fillId="4" borderId="22" xfId="0" applyFont="1" applyFill="1" applyBorder="1" applyAlignment="1">
      <alignment horizontal="center" vertical="center"/>
    </xf>
    <xf numFmtId="0" fontId="1" fillId="3" borderId="22" xfId="0" applyFont="1" applyFill="1" applyBorder="1" applyAlignment="1">
      <alignment horizontal="center" vertical="center" wrapText="1"/>
    </xf>
    <xf numFmtId="0" fontId="76" fillId="7" borderId="22" xfId="0" applyFont="1" applyFill="1" applyBorder="1"/>
    <xf numFmtId="0" fontId="76" fillId="7" borderId="22" xfId="0" applyFont="1" applyFill="1" applyBorder="1" applyAlignment="1">
      <alignment horizontal="center" vertical="center"/>
    </xf>
    <xf numFmtId="0" fontId="76" fillId="7" borderId="22" xfId="0" applyFont="1" applyFill="1" applyBorder="1" applyAlignment="1">
      <alignment horizontal="center"/>
    </xf>
    <xf numFmtId="0" fontId="76" fillId="9" borderId="22" xfId="0" applyFont="1" applyFill="1" applyBorder="1"/>
    <xf numFmtId="0" fontId="76" fillId="9" borderId="22" xfId="0" applyFont="1" applyFill="1" applyBorder="1" applyAlignment="1">
      <alignment horizontal="center"/>
    </xf>
    <xf numFmtId="0" fontId="76" fillId="49" borderId="22" xfId="0" applyFont="1" applyFill="1" applyBorder="1"/>
    <xf numFmtId="2" fontId="76" fillId="9" borderId="22" xfId="0" applyNumberFormat="1" applyFont="1" applyFill="1" applyBorder="1" applyAlignment="1">
      <alignment horizontal="center"/>
    </xf>
    <xf numFmtId="0" fontId="76" fillId="49" borderId="22" xfId="0" applyFont="1" applyFill="1" applyBorder="1" applyAlignment="1">
      <alignment horizontal="center" vertical="center"/>
    </xf>
    <xf numFmtId="0" fontId="76" fillId="2" borderId="22" xfId="0" applyFont="1" applyFill="1" applyBorder="1"/>
    <xf numFmtId="165" fontId="0" fillId="0" borderId="0" xfId="0" applyNumberFormat="1" applyAlignment="1">
      <alignment horizontal="center"/>
    </xf>
    <xf numFmtId="0" fontId="0" fillId="0" borderId="1" xfId="0" applyBorder="1" applyAlignment="1">
      <alignment horizontal="center" vertical="center"/>
    </xf>
    <xf numFmtId="0" fontId="1" fillId="0" borderId="1" xfId="0" applyFont="1" applyBorder="1" applyAlignment="1">
      <alignment horizontal="left" vertical="center"/>
    </xf>
    <xf numFmtId="0" fontId="0" fillId="0" borderId="1" xfId="0" applyBorder="1" applyAlignment="1">
      <alignment horizontal="left" vertical="center"/>
    </xf>
    <xf numFmtId="0" fontId="1" fillId="48" borderId="31" xfId="0" applyFont="1" applyFill="1" applyBorder="1" applyAlignment="1">
      <alignment horizontal="center" vertical="center" wrapText="1"/>
    </xf>
    <xf numFmtId="0" fontId="1" fillId="6" borderId="22" xfId="0" applyFont="1" applyFill="1" applyBorder="1" applyAlignment="1">
      <alignment horizontal="center" vertical="center" wrapText="1"/>
    </xf>
    <xf numFmtId="0" fontId="1" fillId="6" borderId="22" xfId="0" applyFont="1" applyFill="1" applyBorder="1" applyAlignment="1">
      <alignment horizontal="center" vertical="center"/>
    </xf>
    <xf numFmtId="0" fontId="19" fillId="0" borderId="78" xfId="0" applyFont="1" applyBorder="1"/>
    <xf numFmtId="0" fontId="19" fillId="0" borderId="79" xfId="0" applyFont="1" applyBorder="1"/>
    <xf numFmtId="0" fontId="13" fillId="9" borderId="0" xfId="0" applyFont="1" applyFill="1" applyAlignment="1">
      <alignment horizontal="center" vertical="center"/>
    </xf>
    <xf numFmtId="0" fontId="21" fillId="9" borderId="41" xfId="0" applyFont="1" applyFill="1" applyBorder="1" applyAlignment="1">
      <alignment horizontal="center" vertical="center" wrapText="1"/>
    </xf>
    <xf numFmtId="2" fontId="76" fillId="9" borderId="22" xfId="0" applyNumberFormat="1" applyFont="1" applyFill="1" applyBorder="1"/>
    <xf numFmtId="0" fontId="76" fillId="9" borderId="22" xfId="0" applyFont="1" applyFill="1" applyBorder="1" applyAlignment="1">
      <alignment horizontal="center" vertical="center"/>
    </xf>
    <xf numFmtId="2" fontId="76" fillId="9" borderId="22" xfId="0" applyNumberFormat="1" applyFont="1" applyFill="1" applyBorder="1" applyAlignment="1">
      <alignment horizontal="center" vertical="center"/>
    </xf>
    <xf numFmtId="165" fontId="0" fillId="0" borderId="0" xfId="0" applyNumberFormat="1" applyAlignment="1">
      <alignment horizontal="center" vertical="center"/>
    </xf>
    <xf numFmtId="166" fontId="76" fillId="9" borderId="22" xfId="0" applyNumberFormat="1" applyFont="1" applyFill="1" applyBorder="1" applyAlignment="1">
      <alignment horizontal="center" vertical="center"/>
    </xf>
    <xf numFmtId="0" fontId="76" fillId="2" borderId="22" xfId="0" applyFont="1" applyFill="1" applyBorder="1" applyAlignment="1">
      <alignment horizontal="center" vertical="center"/>
    </xf>
    <xf numFmtId="0" fontId="1" fillId="0" borderId="1" xfId="0" applyFont="1" applyBorder="1" applyAlignment="1">
      <alignment horizontal="center" vertical="center"/>
    </xf>
    <xf numFmtId="164" fontId="0" fillId="0" borderId="0" xfId="1" applyNumberFormat="1" applyFont="1"/>
    <xf numFmtId="43" fontId="0" fillId="8" borderId="0" xfId="0" applyNumberFormat="1" applyFill="1" applyAlignment="1">
      <alignment horizontal="center" vertical="center" wrapText="1"/>
    </xf>
    <xf numFmtId="0" fontId="64" fillId="0" borderId="0" xfId="0" applyFont="1" applyAlignment="1">
      <alignment horizontal="center" vertical="center" wrapText="1"/>
    </xf>
    <xf numFmtId="0" fontId="49" fillId="0" borderId="0" xfId="0" applyFont="1" applyAlignment="1">
      <alignment horizontal="center" wrapText="1"/>
    </xf>
    <xf numFmtId="2" fontId="11" fillId="5" borderId="3" xfId="2" applyNumberFormat="1" applyFont="1" applyFill="1" applyBorder="1" applyAlignment="1">
      <alignment horizontal="center" vertical="center"/>
    </xf>
    <xf numFmtId="0" fontId="1" fillId="3" borderId="3" xfId="0" applyFont="1" applyFill="1" applyBorder="1" applyAlignment="1">
      <alignment horizontal="left" vertical="center"/>
    </xf>
    <xf numFmtId="0" fontId="1" fillId="0" borderId="0" xfId="0" applyFont="1" applyAlignment="1">
      <alignment horizontal="left"/>
    </xf>
    <xf numFmtId="0" fontId="0" fillId="0" borderId="3" xfId="0" applyBorder="1" applyAlignment="1">
      <alignment horizontal="left" vertical="center"/>
    </xf>
    <xf numFmtId="166" fontId="0" fillId="0" borderId="3" xfId="0" applyNumberFormat="1" applyBorder="1" applyAlignment="1">
      <alignment horizontal="left" vertical="center"/>
    </xf>
    <xf numFmtId="0" fontId="71" fillId="0" borderId="0" xfId="0" applyFont="1" applyAlignment="1">
      <alignment vertical="center" wrapText="1"/>
    </xf>
    <xf numFmtId="4" fontId="0" fillId="0" borderId="2" xfId="0" applyNumberFormat="1" applyBorder="1"/>
    <xf numFmtId="0" fontId="14" fillId="9" borderId="0" xfId="0" applyFont="1" applyFill="1"/>
    <xf numFmtId="0" fontId="57" fillId="0" borderId="2" xfId="0" applyFont="1" applyBorder="1"/>
    <xf numFmtId="0" fontId="81" fillId="0" borderId="2" xfId="0" applyFont="1" applyBorder="1"/>
    <xf numFmtId="4" fontId="81" fillId="0" borderId="2" xfId="0" applyNumberFormat="1" applyFont="1" applyBorder="1"/>
    <xf numFmtId="0" fontId="1" fillId="4" borderId="82" xfId="0" applyFont="1" applyFill="1" applyBorder="1" applyAlignment="1">
      <alignment horizontal="center" vertical="center" wrapText="1"/>
    </xf>
    <xf numFmtId="0" fontId="1" fillId="4" borderId="85" xfId="0" applyFont="1" applyFill="1" applyBorder="1" applyAlignment="1">
      <alignment horizontal="left" vertical="center"/>
    </xf>
    <xf numFmtId="0" fontId="11" fillId="0" borderId="2" xfId="0" applyFont="1" applyBorder="1" applyAlignment="1">
      <alignment horizontal="center" vertical="center"/>
    </xf>
    <xf numFmtId="11" fontId="11" fillId="0" borderId="3" xfId="0" applyNumberFormat="1" applyFont="1" applyBorder="1" applyAlignment="1">
      <alignment horizontal="center" vertical="center"/>
    </xf>
    <xf numFmtId="11" fontId="10" fillId="0" borderId="3" xfId="0" applyNumberFormat="1" applyFont="1" applyBorder="1" applyAlignment="1">
      <alignment horizontal="center" vertical="center" wrapText="1"/>
    </xf>
    <xf numFmtId="167" fontId="0" fillId="0" borderId="3" xfId="2" applyNumberFormat="1" applyFont="1" applyBorder="1" applyAlignment="1">
      <alignment vertical="center" wrapText="1"/>
    </xf>
    <xf numFmtId="43" fontId="0" fillId="0" borderId="0" xfId="2" applyFont="1" applyAlignment="1"/>
    <xf numFmtId="11" fontId="2" fillId="8" borderId="0" xfId="0" applyNumberFormat="1" applyFont="1" applyFill="1" applyAlignment="1">
      <alignment wrapText="1"/>
    </xf>
    <xf numFmtId="11" fontId="0" fillId="8" borderId="0" xfId="0" applyNumberFormat="1" applyFill="1"/>
    <xf numFmtId="11" fontId="0" fillId="8" borderId="0" xfId="0" applyNumberFormat="1" applyFill="1" applyAlignment="1">
      <alignment horizontal="center" vertical="center"/>
    </xf>
    <xf numFmtId="3" fontId="0" fillId="5" borderId="3" xfId="2" applyNumberFormat="1" applyFont="1" applyFill="1" applyBorder="1" applyAlignment="1">
      <alignment horizontal="center" vertical="center"/>
    </xf>
    <xf numFmtId="3" fontId="0" fillId="5" borderId="21" xfId="0" applyNumberFormat="1" applyFill="1" applyBorder="1" applyAlignment="1">
      <alignment horizontal="center" vertical="center"/>
    </xf>
    <xf numFmtId="3" fontId="0" fillId="5" borderId="45" xfId="0" applyNumberFormat="1" applyFill="1" applyBorder="1" applyAlignment="1">
      <alignment horizontal="center" vertical="center"/>
    </xf>
    <xf numFmtId="3" fontId="57" fillId="5" borderId="69" xfId="0" applyNumberFormat="1" applyFont="1" applyFill="1" applyBorder="1" applyAlignment="1">
      <alignment horizontal="center" vertical="center"/>
    </xf>
    <xf numFmtId="3" fontId="15" fillId="5" borderId="67" xfId="0" applyNumberFormat="1" applyFont="1" applyFill="1" applyBorder="1" applyAlignment="1">
      <alignment horizontal="center" vertical="center"/>
    </xf>
    <xf numFmtId="3" fontId="15" fillId="5" borderId="53" xfId="0" applyNumberFormat="1" applyFont="1" applyFill="1" applyBorder="1" applyAlignment="1">
      <alignment horizontal="center" vertical="center"/>
    </xf>
    <xf numFmtId="167" fontId="0" fillId="5" borderId="3" xfId="2" applyNumberFormat="1" applyFont="1" applyFill="1" applyBorder="1" applyAlignment="1">
      <alignment horizontal="center" vertical="center" wrapText="1"/>
    </xf>
    <xf numFmtId="0" fontId="1" fillId="4" borderId="41" xfId="0" applyFont="1" applyFill="1" applyBorder="1" applyAlignment="1">
      <alignment horizontal="center" vertical="center" wrapText="1"/>
    </xf>
    <xf numFmtId="0" fontId="11" fillId="3" borderId="90" xfId="0" applyFont="1" applyFill="1" applyBorder="1" applyAlignment="1">
      <alignment horizontal="center" vertical="center" wrapText="1"/>
    </xf>
    <xf numFmtId="0" fontId="11" fillId="3" borderId="91" xfId="0" applyFont="1" applyFill="1" applyBorder="1" applyAlignment="1">
      <alignment horizontal="center" vertical="center" wrapText="1"/>
    </xf>
    <xf numFmtId="9" fontId="0" fillId="9" borderId="0" xfId="0" applyNumberFormat="1" applyFill="1" applyAlignment="1">
      <alignment horizontal="center" vertical="center"/>
    </xf>
    <xf numFmtId="0" fontId="9" fillId="9" borderId="0" xfId="0" applyFont="1" applyFill="1" applyAlignment="1">
      <alignment horizontal="center" vertical="center"/>
    </xf>
    <xf numFmtId="1" fontId="2" fillId="0" borderId="3" xfId="0" applyNumberFormat="1" applyFont="1" applyBorder="1" applyAlignment="1">
      <alignment horizontal="center" vertical="center"/>
    </xf>
    <xf numFmtId="0" fontId="11" fillId="3" borderId="3" xfId="0" applyFont="1" applyFill="1" applyBorder="1" applyAlignment="1">
      <alignment horizontal="left" vertical="center" wrapText="1"/>
    </xf>
    <xf numFmtId="9" fontId="11" fillId="0" borderId="3" xfId="1" applyFont="1" applyBorder="1" applyAlignment="1">
      <alignment horizontal="center" vertical="center"/>
    </xf>
    <xf numFmtId="9" fontId="11" fillId="0" borderId="41" xfId="1" applyFont="1" applyBorder="1" applyAlignment="1">
      <alignment horizontal="center" vertical="center"/>
    </xf>
    <xf numFmtId="9" fontId="11" fillId="5" borderId="41" xfId="1" applyFont="1" applyFill="1" applyBorder="1" applyAlignment="1">
      <alignment horizontal="center" vertical="center"/>
    </xf>
    <xf numFmtId="0" fontId="20" fillId="0" borderId="3" xfId="0" applyFont="1" applyBorder="1" applyAlignment="1">
      <alignment vertical="center"/>
    </xf>
    <xf numFmtId="43" fontId="0" fillId="5" borderId="82" xfId="2" applyFont="1" applyFill="1" applyBorder="1" applyAlignment="1">
      <alignment horizontal="center" vertical="center"/>
    </xf>
    <xf numFmtId="0" fontId="1" fillId="0" borderId="41" xfId="0" applyFont="1" applyBorder="1" applyAlignment="1">
      <alignment horizontal="center" vertical="center"/>
    </xf>
    <xf numFmtId="0" fontId="34" fillId="0" borderId="0" xfId="0" applyFont="1" applyAlignment="1">
      <alignment horizontal="right"/>
    </xf>
    <xf numFmtId="0" fontId="34" fillId="0" borderId="2" xfId="0" applyFont="1" applyBorder="1" applyAlignment="1">
      <alignment horizontal="right"/>
    </xf>
    <xf numFmtId="0" fontId="86" fillId="5" borderId="0" xfId="0" applyFont="1" applyFill="1" applyAlignment="1">
      <alignment horizontal="right"/>
    </xf>
    <xf numFmtId="0" fontId="34" fillId="0" borderId="0" xfId="0" applyFont="1" applyAlignment="1">
      <alignment horizontal="right" vertical="center"/>
    </xf>
    <xf numFmtId="0" fontId="34" fillId="5" borderId="0" xfId="0" applyFont="1" applyFill="1" applyAlignment="1">
      <alignment horizontal="right" vertical="center"/>
    </xf>
    <xf numFmtId="0" fontId="67" fillId="0" borderId="0" xfId="0" applyFont="1" applyAlignment="1">
      <alignment horizontal="right" vertical="center"/>
    </xf>
    <xf numFmtId="0" fontId="34" fillId="9" borderId="0" xfId="0" applyFont="1" applyFill="1" applyAlignment="1">
      <alignment horizontal="right"/>
    </xf>
    <xf numFmtId="0" fontId="34" fillId="8" borderId="0" xfId="0" applyFont="1" applyFill="1" applyAlignment="1">
      <alignment horizontal="right"/>
    </xf>
    <xf numFmtId="0" fontId="0" fillId="4" borderId="45" xfId="0" applyFill="1" applyBorder="1" applyAlignment="1">
      <alignment horizontal="center" vertical="center" wrapText="1"/>
    </xf>
    <xf numFmtId="0" fontId="1" fillId="4" borderId="45" xfId="0" applyFont="1" applyFill="1" applyBorder="1" applyAlignment="1">
      <alignment horizontal="center" vertical="center" wrapText="1"/>
    </xf>
    <xf numFmtId="0" fontId="0" fillId="0" borderId="1" xfId="0" applyBorder="1" applyAlignment="1">
      <alignment vertical="center"/>
    </xf>
    <xf numFmtId="0" fontId="1" fillId="4" borderId="75" xfId="0" applyFont="1" applyFill="1" applyBorder="1" applyAlignment="1">
      <alignment vertical="center" wrapText="1"/>
    </xf>
    <xf numFmtId="0" fontId="13" fillId="0" borderId="56" xfId="0" applyFont="1" applyBorder="1" applyAlignment="1">
      <alignment horizontal="left" vertical="top"/>
    </xf>
    <xf numFmtId="4" fontId="11" fillId="5" borderId="45" xfId="2" applyNumberFormat="1" applyFont="1" applyFill="1" applyBorder="1" applyAlignment="1">
      <alignment horizontal="center" vertical="center"/>
    </xf>
    <xf numFmtId="4" fontId="13" fillId="5" borderId="45" xfId="2" applyNumberFormat="1" applyFont="1" applyFill="1" applyBorder="1" applyAlignment="1">
      <alignment horizontal="center" vertical="center"/>
    </xf>
    <xf numFmtId="0" fontId="0" fillId="4" borderId="101" xfId="0" applyFill="1" applyBorder="1" applyAlignment="1">
      <alignment horizontal="left" vertical="center" wrapText="1"/>
    </xf>
    <xf numFmtId="4" fontId="13" fillId="5" borderId="101" xfId="2" applyNumberFormat="1" applyFont="1" applyFill="1" applyBorder="1" applyAlignment="1">
      <alignment horizontal="center" vertical="center"/>
    </xf>
    <xf numFmtId="4" fontId="13" fillId="5" borderId="102" xfId="2" applyNumberFormat="1" applyFont="1" applyFill="1" applyBorder="1" applyAlignment="1">
      <alignment horizontal="center" vertical="center"/>
    </xf>
    <xf numFmtId="0" fontId="0" fillId="4" borderId="104" xfId="0" applyFill="1" applyBorder="1" applyAlignment="1">
      <alignment horizontal="left" vertical="center" wrapText="1"/>
    </xf>
    <xf numFmtId="4" fontId="13" fillId="5" borderId="104" xfId="2" applyNumberFormat="1" applyFont="1" applyFill="1" applyBorder="1" applyAlignment="1">
      <alignment horizontal="center" vertical="center"/>
    </xf>
    <xf numFmtId="4" fontId="13" fillId="5" borderId="98" xfId="2" applyNumberFormat="1" applyFont="1" applyFill="1" applyBorder="1" applyAlignment="1">
      <alignment horizontal="center" vertical="center"/>
    </xf>
    <xf numFmtId="0" fontId="0" fillId="0" borderId="59" xfId="0" applyBorder="1" applyAlignment="1">
      <alignment horizontal="center" vertical="center"/>
    </xf>
    <xf numFmtId="0" fontId="0" fillId="0" borderId="61" xfId="0" applyBorder="1" applyAlignment="1">
      <alignment horizontal="center" vertical="center"/>
    </xf>
    <xf numFmtId="0" fontId="0" fillId="0" borderId="57" xfId="0" applyBorder="1" applyAlignment="1">
      <alignment horizontal="center" vertical="center"/>
    </xf>
    <xf numFmtId="0" fontId="11" fillId="0" borderId="57" xfId="0" applyFont="1" applyBorder="1" applyAlignment="1">
      <alignment horizontal="center" vertical="center"/>
    </xf>
    <xf numFmtId="2" fontId="11" fillId="0" borderId="57" xfId="0" applyNumberFormat="1" applyFont="1" applyBorder="1" applyAlignment="1">
      <alignment horizontal="center" vertical="center"/>
    </xf>
    <xf numFmtId="0" fontId="0" fillId="0" borderId="58" xfId="0" applyBorder="1" applyAlignment="1">
      <alignment horizontal="center" vertical="center"/>
    </xf>
    <xf numFmtId="0" fontId="0" fillId="0" borderId="60" xfId="0" applyBorder="1" applyAlignment="1">
      <alignment horizontal="center" vertical="center"/>
    </xf>
    <xf numFmtId="0" fontId="0" fillId="0" borderId="62" xfId="0" applyBorder="1" applyAlignment="1">
      <alignment horizontal="center" vertical="center"/>
    </xf>
    <xf numFmtId="0" fontId="17" fillId="0" borderId="41" xfId="0" applyFont="1" applyBorder="1" applyAlignment="1">
      <alignment horizontal="center" vertical="center" wrapText="1"/>
    </xf>
    <xf numFmtId="0" fontId="17" fillId="2" borderId="41" xfId="0" applyFont="1" applyFill="1" applyBorder="1" applyAlignment="1">
      <alignment horizontal="center" vertical="center" wrapText="1"/>
    </xf>
    <xf numFmtId="0" fontId="17" fillId="14" borderId="41" xfId="0" applyFont="1" applyFill="1" applyBorder="1" applyAlignment="1">
      <alignment horizontal="center" vertical="center" wrapText="1"/>
    </xf>
    <xf numFmtId="43" fontId="75" fillId="7" borderId="82" xfId="2" applyFont="1" applyFill="1" applyBorder="1" applyAlignment="1">
      <alignment horizontal="center" vertical="center" wrapText="1"/>
    </xf>
    <xf numFmtId="2" fontId="11" fillId="0" borderId="3" xfId="1" applyNumberFormat="1" applyFont="1" applyFill="1" applyBorder="1" applyAlignment="1">
      <alignment horizontal="center" vertical="center"/>
    </xf>
    <xf numFmtId="3" fontId="0" fillId="0" borderId="3" xfId="0" applyNumberFormat="1" applyBorder="1" applyAlignment="1">
      <alignment horizontal="center" vertical="center"/>
    </xf>
    <xf numFmtId="0" fontId="12" fillId="0" borderId="3" xfId="0" applyFont="1" applyBorder="1" applyAlignment="1">
      <alignment horizontal="center" vertical="center" wrapText="1"/>
    </xf>
    <xf numFmtId="9" fontId="0" fillId="5" borderId="82" xfId="2" applyNumberFormat="1" applyFont="1" applyFill="1" applyBorder="1" applyAlignment="1">
      <alignment horizontal="center" vertical="center"/>
    </xf>
    <xf numFmtId="11" fontId="12" fillId="50" borderId="3" xfId="0" applyNumberFormat="1" applyFont="1" applyFill="1" applyBorder="1" applyAlignment="1">
      <alignment horizontal="center" vertical="center" wrapText="1"/>
    </xf>
    <xf numFmtId="0" fontId="1" fillId="4" borderId="3" xfId="0" applyFont="1" applyFill="1" applyBorder="1" applyAlignment="1">
      <alignment horizontal="right" vertical="center"/>
    </xf>
    <xf numFmtId="0" fontId="1" fillId="4" borderId="3" xfId="0" applyFont="1" applyFill="1" applyBorder="1" applyAlignment="1">
      <alignment horizontal="right" vertical="center" wrapText="1"/>
    </xf>
    <xf numFmtId="2" fontId="11" fillId="0" borderId="3" xfId="0" applyNumberFormat="1" applyFont="1" applyBorder="1" applyAlignment="1">
      <alignment horizontal="left" vertical="center"/>
    </xf>
    <xf numFmtId="0" fontId="17" fillId="0" borderId="0" xfId="0" applyFont="1" applyAlignment="1">
      <alignment wrapText="1"/>
    </xf>
    <xf numFmtId="2" fontId="17" fillId="2" borderId="0" xfId="0" applyNumberFormat="1" applyFont="1" applyFill="1" applyAlignment="1">
      <alignment horizontal="center" vertical="center" wrapText="1"/>
    </xf>
    <xf numFmtId="0" fontId="11" fillId="0" borderId="42" xfId="0" applyFont="1" applyBorder="1" applyAlignment="1">
      <alignment horizontal="center" vertical="center"/>
    </xf>
    <xf numFmtId="0" fontId="11" fillId="0" borderId="29" xfId="0" applyFont="1" applyBorder="1" applyAlignment="1">
      <alignment horizontal="center" vertical="center"/>
    </xf>
    <xf numFmtId="171" fontId="11" fillId="5" borderId="3" xfId="2" applyNumberFormat="1" applyFont="1" applyFill="1" applyBorder="1" applyAlignment="1">
      <alignment horizontal="center" vertical="center"/>
    </xf>
    <xf numFmtId="171" fontId="11" fillId="5" borderId="45" xfId="2" applyNumberFormat="1" applyFont="1" applyFill="1" applyBorder="1" applyAlignment="1">
      <alignment horizontal="center" vertical="center"/>
    </xf>
    <xf numFmtId="0" fontId="0" fillId="0" borderId="22" xfId="0" applyBorder="1" applyAlignment="1">
      <alignment horizontal="left" vertical="center" wrapText="1"/>
    </xf>
    <xf numFmtId="0" fontId="0" fillId="0" borderId="22" xfId="0" quotePrefix="1" applyBorder="1" applyAlignment="1">
      <alignment horizontal="left" vertical="center" wrapText="1"/>
    </xf>
    <xf numFmtId="0" fontId="0" fillId="0" borderId="22" xfId="0" applyBorder="1" applyAlignment="1">
      <alignment horizontal="left" vertical="center"/>
    </xf>
    <xf numFmtId="14" fontId="33" fillId="0" borderId="22" xfId="0" applyNumberFormat="1" applyFont="1" applyBorder="1" applyAlignment="1">
      <alignment horizontal="left" vertical="center"/>
    </xf>
    <xf numFmtId="0" fontId="33" fillId="0" borderId="22" xfId="0" applyFont="1" applyBorder="1" applyAlignment="1">
      <alignment horizontal="left" vertical="center"/>
    </xf>
    <xf numFmtId="0" fontId="60" fillId="0" borderId="63" xfId="0" applyFont="1" applyBorder="1" applyAlignment="1">
      <alignment horizontal="left" vertical="center" wrapText="1"/>
    </xf>
    <xf numFmtId="0" fontId="60" fillId="0" borderId="0" xfId="0" applyFont="1" applyAlignment="1">
      <alignment horizontal="left" vertical="center" wrapText="1"/>
    </xf>
    <xf numFmtId="0" fontId="75" fillId="4" borderId="75" xfId="0" applyFont="1" applyFill="1" applyBorder="1" applyAlignment="1">
      <alignment horizontal="left" vertical="top" wrapText="1"/>
    </xf>
    <xf numFmtId="0" fontId="75" fillId="4" borderId="77" xfId="0" applyFont="1" applyFill="1" applyBorder="1" applyAlignment="1">
      <alignment horizontal="left" vertical="top"/>
    </xf>
    <xf numFmtId="0" fontId="80" fillId="4" borderId="75" xfId="0" applyFont="1" applyFill="1" applyBorder="1" applyAlignment="1">
      <alignment horizontal="left" vertical="top" wrapText="1"/>
    </xf>
    <xf numFmtId="0" fontId="17" fillId="0" borderId="0" xfId="0" applyFont="1" applyAlignment="1">
      <alignment horizontal="right" wrapText="1"/>
    </xf>
    <xf numFmtId="0" fontId="75" fillId="4" borderId="76" xfId="0" applyFont="1" applyFill="1" applyBorder="1" applyAlignment="1">
      <alignment horizontal="left" vertical="top"/>
    </xf>
    <xf numFmtId="0" fontId="17" fillId="3" borderId="16" xfId="0" applyFont="1" applyFill="1" applyBorder="1" applyAlignment="1">
      <alignment horizontal="center" vertical="center" wrapText="1"/>
    </xf>
    <xf numFmtId="0" fontId="75" fillId="9" borderId="0" xfId="0" applyFont="1" applyFill="1" applyAlignment="1">
      <alignment horizontal="left" vertical="top" wrapText="1"/>
    </xf>
    <xf numFmtId="0" fontId="8" fillId="4" borderId="17" xfId="0" applyFont="1" applyFill="1" applyBorder="1" applyAlignment="1">
      <alignment horizontal="center" vertical="center" wrapText="1"/>
    </xf>
    <xf numFmtId="0" fontId="8" fillId="4" borderId="16" xfId="0" applyFont="1" applyFill="1" applyBorder="1" applyAlignment="1">
      <alignment horizontal="center" vertical="center" wrapText="1"/>
    </xf>
    <xf numFmtId="0" fontId="8" fillId="4" borderId="13" xfId="0" applyFont="1" applyFill="1" applyBorder="1" applyAlignment="1">
      <alignment horizontal="center" vertical="center" wrapText="1"/>
    </xf>
    <xf numFmtId="0" fontId="8" fillId="4" borderId="14" xfId="0" applyFont="1" applyFill="1" applyBorder="1" applyAlignment="1">
      <alignment horizontal="center" vertical="center" wrapText="1"/>
    </xf>
    <xf numFmtId="0" fontId="8" fillId="4" borderId="11" xfId="0" applyFont="1" applyFill="1" applyBorder="1" applyAlignment="1">
      <alignment horizontal="center" vertical="center" wrapText="1"/>
    </xf>
    <xf numFmtId="0" fontId="8" fillId="4" borderId="72" xfId="0" applyFont="1" applyFill="1" applyBorder="1" applyAlignment="1">
      <alignment horizontal="center" vertical="center" wrapText="1"/>
    </xf>
    <xf numFmtId="0" fontId="8" fillId="4" borderId="15" xfId="0" applyFont="1" applyFill="1" applyBorder="1" applyAlignment="1">
      <alignment horizontal="center" vertical="center" wrapText="1"/>
    </xf>
    <xf numFmtId="0" fontId="8" fillId="4" borderId="12" xfId="0" applyFont="1" applyFill="1" applyBorder="1" applyAlignment="1">
      <alignment horizontal="center" vertical="center" wrapText="1"/>
    </xf>
    <xf numFmtId="0" fontId="8" fillId="4" borderId="4" xfId="0" applyFont="1" applyFill="1" applyBorder="1" applyAlignment="1">
      <alignment horizontal="center" vertical="center" wrapText="1"/>
    </xf>
    <xf numFmtId="0" fontId="76" fillId="9" borderId="15" xfId="0" applyFont="1" applyFill="1" applyBorder="1" applyAlignment="1">
      <alignment horizontal="center" vertical="center" wrapText="1"/>
    </xf>
    <xf numFmtId="0" fontId="76" fillId="9" borderId="17" xfId="0" applyFont="1" applyFill="1" applyBorder="1" applyAlignment="1">
      <alignment horizontal="center" vertical="center" wrapText="1"/>
    </xf>
    <xf numFmtId="0" fontId="20" fillId="9" borderId="15" xfId="0" applyFont="1" applyFill="1" applyBorder="1" applyAlignment="1">
      <alignment horizontal="center" vertical="center"/>
    </xf>
    <xf numFmtId="0" fontId="20" fillId="9" borderId="17" xfId="0" applyFont="1" applyFill="1" applyBorder="1" applyAlignment="1">
      <alignment horizontal="center" vertical="center"/>
    </xf>
    <xf numFmtId="0" fontId="1" fillId="4" borderId="11" xfId="0" applyFont="1" applyFill="1" applyBorder="1" applyAlignment="1">
      <alignment horizontal="center" vertical="center" wrapText="1"/>
    </xf>
    <xf numFmtId="0" fontId="1" fillId="4" borderId="13" xfId="0" applyFont="1" applyFill="1" applyBorder="1" applyAlignment="1">
      <alignment horizontal="center" vertical="center" wrapText="1"/>
    </xf>
    <xf numFmtId="0" fontId="8" fillId="4" borderId="3" xfId="0" applyFont="1" applyFill="1" applyBorder="1" applyAlignment="1">
      <alignment horizontal="center" vertical="center" wrapText="1"/>
    </xf>
    <xf numFmtId="0" fontId="1" fillId="4" borderId="12" xfId="0" applyFont="1" applyFill="1" applyBorder="1" applyAlignment="1">
      <alignment horizontal="center" vertical="center" wrapText="1"/>
    </xf>
    <xf numFmtId="0" fontId="75" fillId="0" borderId="0" xfId="0" applyFont="1" applyAlignment="1">
      <alignment horizontal="left" vertical="top" wrapText="1"/>
    </xf>
    <xf numFmtId="0" fontId="22" fillId="0" borderId="63" xfId="0" applyFont="1" applyBorder="1" applyAlignment="1">
      <alignment horizontal="center" vertical="center" wrapText="1"/>
    </xf>
    <xf numFmtId="0" fontId="22" fillId="0" borderId="0" xfId="0" applyFont="1" applyAlignment="1">
      <alignment horizontal="center" vertical="center" wrapText="1"/>
    </xf>
    <xf numFmtId="0" fontId="72" fillId="4" borderId="56" xfId="0" applyFont="1" applyFill="1" applyBorder="1" applyAlignment="1">
      <alignment horizontal="left" vertical="center" wrapText="1"/>
    </xf>
    <xf numFmtId="0" fontId="72" fillId="4" borderId="57" xfId="0" applyFont="1" applyFill="1" applyBorder="1" applyAlignment="1">
      <alignment horizontal="left" vertical="center" wrapText="1"/>
    </xf>
    <xf numFmtId="0" fontId="72" fillId="4" borderId="58" xfId="0" applyFont="1" applyFill="1" applyBorder="1" applyAlignment="1">
      <alignment horizontal="left" vertical="center" wrapText="1"/>
    </xf>
    <xf numFmtId="0" fontId="72" fillId="4" borderId="59" xfId="0" applyFont="1" applyFill="1" applyBorder="1" applyAlignment="1">
      <alignment horizontal="left" vertical="center" wrapText="1"/>
    </xf>
    <xf numFmtId="0" fontId="72" fillId="4" borderId="0" xfId="0" applyFont="1" applyFill="1" applyAlignment="1">
      <alignment horizontal="left" vertical="center" wrapText="1"/>
    </xf>
    <xf numFmtId="0" fontId="72" fillId="4" borderId="60" xfId="0" applyFont="1" applyFill="1" applyBorder="1" applyAlignment="1">
      <alignment horizontal="left" vertical="center" wrapText="1"/>
    </xf>
    <xf numFmtId="0" fontId="72" fillId="4" borderId="61" xfId="0" applyFont="1" applyFill="1" applyBorder="1" applyAlignment="1">
      <alignment horizontal="left" vertical="center" wrapText="1"/>
    </xf>
    <xf numFmtId="0" fontId="72" fillId="4" borderId="2" xfId="0" applyFont="1" applyFill="1" applyBorder="1" applyAlignment="1">
      <alignment horizontal="left" vertical="center" wrapText="1"/>
    </xf>
    <xf numFmtId="0" fontId="72" fillId="4" borderId="62" xfId="0" applyFont="1" applyFill="1" applyBorder="1" applyAlignment="1">
      <alignment horizontal="left" vertical="center" wrapText="1"/>
    </xf>
    <xf numFmtId="0" fontId="1" fillId="0" borderId="4" xfId="0" applyFont="1" applyBorder="1" applyAlignment="1">
      <alignment horizontal="center"/>
    </xf>
    <xf numFmtId="0" fontId="11" fillId="0" borderId="4" xfId="0" applyFont="1" applyBorder="1" applyAlignment="1">
      <alignment horizontal="center" wrapText="1"/>
    </xf>
    <xf numFmtId="0" fontId="69" fillId="0" borderId="0" xfId="0" applyFont="1" applyAlignment="1">
      <alignment horizontal="center" wrapText="1"/>
    </xf>
    <xf numFmtId="0" fontId="69" fillId="0" borderId="4" xfId="0" applyFont="1" applyBorder="1" applyAlignment="1">
      <alignment horizontal="center" wrapText="1"/>
    </xf>
    <xf numFmtId="0" fontId="69" fillId="5" borderId="0" xfId="0" applyFont="1" applyFill="1" applyAlignment="1">
      <alignment horizontal="center"/>
    </xf>
    <xf numFmtId="0" fontId="61" fillId="9" borderId="80" xfId="0" applyFont="1" applyFill="1" applyBorder="1" applyAlignment="1">
      <alignment horizontal="center" vertical="center"/>
    </xf>
    <xf numFmtId="0" fontId="61" fillId="9" borderId="81"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7" xfId="0" applyFont="1" applyFill="1" applyBorder="1" applyAlignment="1">
      <alignment horizontal="center" vertical="center"/>
    </xf>
    <xf numFmtId="0" fontId="0" fillId="3" borderId="41" xfId="0" applyFill="1" applyBorder="1" applyAlignment="1">
      <alignment horizontal="center" vertical="center" wrapText="1"/>
    </xf>
    <xf numFmtId="0" fontId="1" fillId="4" borderId="41" xfId="0" applyFont="1" applyFill="1" applyBorder="1" applyAlignment="1">
      <alignment horizontal="center" vertical="center" wrapText="1"/>
    </xf>
    <xf numFmtId="9" fontId="0" fillId="0" borderId="41" xfId="1" applyFont="1" applyBorder="1" applyAlignment="1">
      <alignment horizontal="center" vertical="center"/>
    </xf>
    <xf numFmtId="43" fontId="15" fillId="0" borderId="0" xfId="2" applyFont="1" applyBorder="1" applyAlignment="1">
      <alignment horizontal="center"/>
    </xf>
    <xf numFmtId="0" fontId="0" fillId="0" borderId="75" xfId="0" applyBorder="1" applyAlignment="1">
      <alignment horizontal="center"/>
    </xf>
    <xf numFmtId="0" fontId="0" fillId="0" borderId="76" xfId="0" applyBorder="1" applyAlignment="1">
      <alignment horizontal="center"/>
    </xf>
    <xf numFmtId="0" fontId="0" fillId="0" borderId="77" xfId="0" applyBorder="1" applyAlignment="1">
      <alignment horizontal="center"/>
    </xf>
    <xf numFmtId="0" fontId="18" fillId="0" borderId="0" xfId="0" applyFont="1" applyAlignment="1">
      <alignment horizontal="center" vertical="center"/>
    </xf>
    <xf numFmtId="0" fontId="11" fillId="4" borderId="15" xfId="0" applyFont="1" applyFill="1" applyBorder="1" applyAlignment="1">
      <alignment horizontal="left" vertical="center" wrapText="1"/>
    </xf>
    <xf numFmtId="4" fontId="11" fillId="5" borderId="17" xfId="2" applyNumberFormat="1" applyFont="1" applyFill="1" applyBorder="1" applyAlignment="1">
      <alignment horizontal="center" vertical="center"/>
    </xf>
    <xf numFmtId="0" fontId="70" fillId="4" borderId="11" xfId="0" applyFont="1" applyFill="1" applyBorder="1" applyAlignment="1">
      <alignment horizontal="left" vertical="center" wrapText="1"/>
    </xf>
    <xf numFmtId="0" fontId="70" fillId="4" borderId="13" xfId="0" applyFont="1" applyFill="1" applyBorder="1" applyAlignment="1">
      <alignment horizontal="left" vertical="center" wrapText="1"/>
    </xf>
    <xf numFmtId="0" fontId="70" fillId="4" borderId="63" xfId="0" applyFont="1" applyFill="1" applyBorder="1" applyAlignment="1">
      <alignment horizontal="left" vertical="center" wrapText="1"/>
    </xf>
    <xf numFmtId="0" fontId="70" fillId="4" borderId="73" xfId="0" applyFont="1" applyFill="1" applyBorder="1" applyAlignment="1">
      <alignment horizontal="left" vertical="center" wrapText="1"/>
    </xf>
    <xf numFmtId="0" fontId="70" fillId="4" borderId="72" xfId="0" applyFont="1" applyFill="1" applyBorder="1" applyAlignment="1">
      <alignment horizontal="left" vertical="center" wrapText="1"/>
    </xf>
    <xf numFmtId="0" fontId="70" fillId="4" borderId="14" xfId="0" applyFont="1" applyFill="1" applyBorder="1" applyAlignment="1">
      <alignment horizontal="left" vertical="center" wrapText="1"/>
    </xf>
    <xf numFmtId="0" fontId="69" fillId="4" borderId="15" xfId="0" applyFont="1" applyFill="1" applyBorder="1" applyAlignment="1">
      <alignment horizontal="center" vertical="center" wrapText="1"/>
    </xf>
    <xf numFmtId="0" fontId="69" fillId="4" borderId="17" xfId="0" applyFont="1" applyFill="1" applyBorder="1" applyAlignment="1">
      <alignment horizontal="center" vertical="center" wrapText="1"/>
    </xf>
    <xf numFmtId="4" fontId="65" fillId="5" borderId="17" xfId="2" applyNumberFormat="1" applyFont="1" applyFill="1" applyBorder="1" applyAlignment="1">
      <alignment horizontal="center" vertical="center"/>
    </xf>
    <xf numFmtId="0" fontId="66" fillId="0" borderId="0" xfId="0" applyFont="1" applyAlignment="1">
      <alignment horizontal="center" vertical="center"/>
    </xf>
    <xf numFmtId="0" fontId="13" fillId="4" borderId="15" xfId="0" applyFont="1" applyFill="1" applyBorder="1" applyAlignment="1">
      <alignment horizontal="left" vertical="center" wrapText="1"/>
    </xf>
    <xf numFmtId="0" fontId="61" fillId="9" borderId="41" xfId="0" applyFont="1" applyFill="1" applyBorder="1" applyAlignment="1">
      <alignment horizontal="center" vertical="center"/>
    </xf>
    <xf numFmtId="4" fontId="11" fillId="5" borderId="17" xfId="0" applyNumberFormat="1" applyFont="1" applyFill="1" applyBorder="1" applyAlignment="1">
      <alignment horizontal="center" vertical="center"/>
    </xf>
    <xf numFmtId="0" fontId="66" fillId="0" borderId="0" xfId="0" applyFont="1" applyAlignment="1">
      <alignment horizontal="left" vertical="center" wrapText="1"/>
    </xf>
    <xf numFmtId="0" fontId="66" fillId="0" borderId="0" xfId="0" applyFont="1" applyAlignment="1">
      <alignment horizontal="left" wrapText="1"/>
    </xf>
    <xf numFmtId="0" fontId="17" fillId="3" borderId="41" xfId="0" applyFont="1" applyFill="1" applyBorder="1" applyAlignment="1">
      <alignment horizontal="center" vertical="center" wrapText="1"/>
    </xf>
    <xf numFmtId="0" fontId="17" fillId="7" borderId="41" xfId="0" applyFont="1" applyFill="1" applyBorder="1" applyAlignment="1">
      <alignment horizontal="center" vertical="center" wrapText="1"/>
    </xf>
    <xf numFmtId="0" fontId="0" fillId="4" borderId="100" xfId="0" applyFill="1" applyBorder="1" applyAlignment="1">
      <alignment horizontal="right" vertical="center" wrapText="1"/>
    </xf>
    <xf numFmtId="0" fontId="0" fillId="4" borderId="103" xfId="0" applyFill="1" applyBorder="1" applyAlignment="1">
      <alignment horizontal="right" vertical="center" wrapText="1"/>
    </xf>
    <xf numFmtId="0" fontId="1" fillId="4" borderId="3" xfId="0" applyFont="1" applyFill="1" applyBorder="1" applyAlignment="1">
      <alignment horizontal="center" vertical="center" wrapText="1"/>
    </xf>
    <xf numFmtId="0" fontId="13" fillId="5" borderId="3" xfId="0" applyFont="1" applyFill="1" applyBorder="1" applyAlignment="1">
      <alignment horizontal="left" vertical="center" wrapText="1"/>
    </xf>
    <xf numFmtId="2" fontId="1" fillId="5" borderId="93" xfId="0" applyNumberFormat="1" applyFont="1" applyFill="1" applyBorder="1" applyAlignment="1">
      <alignment horizontal="center" vertical="center"/>
    </xf>
    <xf numFmtId="2" fontId="1" fillId="5" borderId="95" xfId="0" applyNumberFormat="1" applyFont="1" applyFill="1" applyBorder="1" applyAlignment="1">
      <alignment horizontal="center" vertical="center"/>
    </xf>
    <xf numFmtId="0" fontId="1" fillId="4" borderId="92" xfId="0" applyFont="1" applyFill="1" applyBorder="1" applyAlignment="1">
      <alignment horizontal="center" vertical="center" wrapText="1"/>
    </xf>
    <xf numFmtId="0" fontId="1" fillId="4" borderId="94" xfId="0" applyFont="1" applyFill="1" applyBorder="1" applyAlignment="1">
      <alignment horizontal="center" vertical="center" wrapText="1"/>
    </xf>
    <xf numFmtId="0" fontId="85" fillId="0" borderId="99" xfId="0" applyFont="1" applyBorder="1" applyAlignment="1">
      <alignment horizontal="center" vertical="center" wrapText="1"/>
    </xf>
    <xf numFmtId="0" fontId="13" fillId="5" borderId="15" xfId="0" applyFont="1" applyFill="1" applyBorder="1" applyAlignment="1">
      <alignment horizontal="left" vertical="center" wrapText="1"/>
    </xf>
    <xf numFmtId="0" fontId="13" fillId="5" borderId="17" xfId="0" applyFont="1" applyFill="1" applyBorder="1" applyAlignment="1">
      <alignment horizontal="left" vertical="center" wrapText="1"/>
    </xf>
    <xf numFmtId="0" fontId="0" fillId="0" borderId="0" xfId="0" applyAlignment="1">
      <alignment horizontal="center" vertical="center" wrapText="1"/>
    </xf>
    <xf numFmtId="0" fontId="15" fillId="5" borderId="0" xfId="0" applyFont="1" applyFill="1" applyAlignment="1">
      <alignment horizontal="left" vertical="center" wrapText="1"/>
    </xf>
    <xf numFmtId="0" fontId="1" fillId="5" borderId="15" xfId="0" applyFont="1" applyFill="1" applyBorder="1" applyAlignment="1">
      <alignment horizontal="center" vertical="center"/>
    </xf>
    <xf numFmtId="0" fontId="1" fillId="5" borderId="17" xfId="0" applyFont="1" applyFill="1" applyBorder="1" applyAlignment="1">
      <alignment horizontal="center" vertical="center"/>
    </xf>
    <xf numFmtId="0" fontId="2" fillId="4" borderId="8" xfId="0" applyFont="1" applyFill="1" applyBorder="1" applyAlignment="1">
      <alignment horizontal="right" vertical="center" wrapText="1"/>
    </xf>
    <xf numFmtId="0" fontId="2" fillId="4" borderId="10" xfId="0" applyFont="1" applyFill="1" applyBorder="1" applyAlignment="1">
      <alignment horizontal="right" vertical="center" wrapText="1"/>
    </xf>
    <xf numFmtId="0" fontId="11" fillId="0" borderId="0" xfId="0" applyFont="1" applyAlignment="1">
      <alignment horizontal="left" vertical="center" wrapText="1"/>
    </xf>
    <xf numFmtId="0" fontId="10" fillId="0" borderId="89" xfId="0" applyFont="1" applyBorder="1" applyAlignment="1">
      <alignment horizontal="left" wrapText="1"/>
    </xf>
    <xf numFmtId="2" fontId="0" fillId="5" borderId="8" xfId="0" applyNumberFormat="1" applyFill="1" applyBorder="1" applyAlignment="1">
      <alignment horizontal="center" vertical="center"/>
    </xf>
    <xf numFmtId="2" fontId="0" fillId="5" borderId="10" xfId="0" applyNumberFormat="1" applyFill="1" applyBorder="1" applyAlignment="1">
      <alignment horizontal="center" vertical="center"/>
    </xf>
    <xf numFmtId="2" fontId="0" fillId="5" borderId="96" xfId="0" applyNumberFormat="1" applyFill="1" applyBorder="1" applyAlignment="1">
      <alignment horizontal="center" vertical="center"/>
    </xf>
    <xf numFmtId="2" fontId="0" fillId="5" borderId="97" xfId="0" applyNumberFormat="1" applyFill="1" applyBorder="1" applyAlignment="1">
      <alignment horizontal="center" vertical="center"/>
    </xf>
    <xf numFmtId="0" fontId="75" fillId="4" borderId="76" xfId="0" applyFont="1" applyFill="1" applyBorder="1" applyAlignment="1">
      <alignment horizontal="left" vertical="top" wrapText="1"/>
    </xf>
    <xf numFmtId="0" fontId="75" fillId="4" borderId="77" xfId="0" applyFont="1" applyFill="1" applyBorder="1" applyAlignment="1">
      <alignment horizontal="left" vertical="top" wrapText="1"/>
    </xf>
    <xf numFmtId="0" fontId="1" fillId="4" borderId="8" xfId="0" applyFont="1" applyFill="1" applyBorder="1" applyAlignment="1">
      <alignment horizontal="center" vertical="center"/>
    </xf>
    <xf numFmtId="0" fontId="1" fillId="4" borderId="9" xfId="0" applyFont="1" applyFill="1" applyBorder="1" applyAlignment="1">
      <alignment horizontal="center" vertical="center"/>
    </xf>
    <xf numFmtId="0" fontId="1" fillId="4" borderId="10" xfId="0" applyFont="1" applyFill="1" applyBorder="1" applyAlignment="1">
      <alignment horizontal="center" vertical="center"/>
    </xf>
    <xf numFmtId="0" fontId="17" fillId="2" borderId="24" xfId="0" applyFont="1" applyFill="1" applyBorder="1" applyAlignment="1">
      <alignment horizontal="center" vertical="center" wrapText="1"/>
    </xf>
    <xf numFmtId="0" fontId="17" fillId="2" borderId="25" xfId="0" applyFont="1" applyFill="1" applyBorder="1" applyAlignment="1">
      <alignment horizontal="center" vertical="center" wrapText="1"/>
    </xf>
    <xf numFmtId="0" fontId="1" fillId="4" borderId="26" xfId="0" applyFont="1" applyFill="1" applyBorder="1" applyAlignment="1">
      <alignment horizontal="center" vertical="center"/>
    </xf>
    <xf numFmtId="0" fontId="1" fillId="4" borderId="43" xfId="0" applyFont="1" applyFill="1" applyBorder="1" applyAlignment="1">
      <alignment horizontal="center" vertical="center"/>
    </xf>
    <xf numFmtId="0" fontId="1" fillId="4" borderId="27" xfId="0" applyFont="1" applyFill="1" applyBorder="1" applyAlignment="1">
      <alignment horizontal="center" vertical="center"/>
    </xf>
    <xf numFmtId="0" fontId="1" fillId="4" borderId="24" xfId="0" applyFont="1" applyFill="1" applyBorder="1" applyAlignment="1">
      <alignment horizontal="center" vertical="center"/>
    </xf>
    <xf numFmtId="0" fontId="1" fillId="4" borderId="42" xfId="0" applyFont="1" applyFill="1" applyBorder="1" applyAlignment="1">
      <alignment horizontal="center" vertical="center"/>
    </xf>
    <xf numFmtId="0" fontId="1" fillId="4" borderId="25" xfId="0" applyFont="1" applyFill="1" applyBorder="1" applyAlignment="1">
      <alignment horizontal="center" vertical="center"/>
    </xf>
    <xf numFmtId="0" fontId="8" fillId="4" borderId="24" xfId="0" applyFont="1" applyFill="1" applyBorder="1" applyAlignment="1">
      <alignment horizontal="center" vertical="center" wrapText="1"/>
    </xf>
    <xf numFmtId="0" fontId="8" fillId="4" borderId="42" xfId="0" applyFont="1" applyFill="1" applyBorder="1" applyAlignment="1">
      <alignment horizontal="center" vertical="center" wrapText="1"/>
    </xf>
    <xf numFmtId="0" fontId="83" fillId="4" borderId="75" xfId="0" applyFont="1" applyFill="1" applyBorder="1" applyAlignment="1">
      <alignment horizontal="left" vertical="center" wrapText="1"/>
    </xf>
    <xf numFmtId="0" fontId="83" fillId="4" borderId="76" xfId="0" applyFont="1" applyFill="1" applyBorder="1" applyAlignment="1">
      <alignment horizontal="left" vertical="center" wrapText="1"/>
    </xf>
    <xf numFmtId="0" fontId="83" fillId="4" borderId="77" xfId="0" applyFont="1" applyFill="1" applyBorder="1" applyAlignment="1">
      <alignment horizontal="left" vertical="center" wrapText="1"/>
    </xf>
    <xf numFmtId="0" fontId="3" fillId="4" borderId="8"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8" fillId="4" borderId="41" xfId="0" applyFont="1" applyFill="1" applyBorder="1" applyAlignment="1">
      <alignment horizontal="left" vertical="center"/>
    </xf>
    <xf numFmtId="0" fontId="12" fillId="4" borderId="3" xfId="0" applyFont="1" applyFill="1" applyBorder="1" applyAlignment="1">
      <alignment horizontal="center" vertical="center"/>
    </xf>
    <xf numFmtId="0" fontId="1" fillId="7" borderId="3" xfId="0" applyFont="1" applyFill="1" applyBorder="1" applyAlignment="1">
      <alignment horizontal="center"/>
    </xf>
    <xf numFmtId="0" fontId="1" fillId="5" borderId="3" xfId="0" applyFont="1" applyFill="1" applyBorder="1" applyAlignment="1">
      <alignment horizontal="center" vertical="center"/>
    </xf>
    <xf numFmtId="0" fontId="1" fillId="5" borderId="3" xfId="0" applyFont="1" applyFill="1" applyBorder="1" applyAlignment="1">
      <alignment horizontal="center" vertical="center" wrapText="1"/>
    </xf>
    <xf numFmtId="0" fontId="1" fillId="5" borderId="3" xfId="0" applyFont="1" applyFill="1" applyBorder="1" applyAlignment="1">
      <alignment horizontal="center"/>
    </xf>
    <xf numFmtId="0" fontId="1" fillId="4" borderId="0" xfId="0" applyFont="1" applyFill="1" applyAlignment="1">
      <alignment horizontal="left" vertical="center"/>
    </xf>
    <xf numFmtId="0" fontId="1" fillId="4" borderId="86" xfId="0" applyFont="1" applyFill="1" applyBorder="1" applyAlignment="1">
      <alignment horizontal="left" vertical="center" wrapText="1"/>
    </xf>
    <xf numFmtId="0" fontId="1" fillId="4" borderId="87" xfId="0" applyFont="1" applyFill="1" applyBorder="1" applyAlignment="1">
      <alignment horizontal="left" vertical="center" wrapText="1"/>
    </xf>
    <xf numFmtId="0" fontId="1" fillId="4" borderId="88" xfId="0" applyFont="1" applyFill="1" applyBorder="1" applyAlignment="1">
      <alignment horizontal="left" vertical="center" wrapText="1"/>
    </xf>
    <xf numFmtId="0" fontId="1" fillId="4" borderId="82" xfId="0" applyFont="1" applyFill="1" applyBorder="1" applyAlignment="1">
      <alignment horizontal="left" vertical="center" wrapText="1"/>
    </xf>
    <xf numFmtId="0" fontId="8" fillId="0" borderId="50" xfId="0" applyFont="1" applyBorder="1" applyAlignment="1">
      <alignment horizontal="left" vertical="center" wrapText="1"/>
    </xf>
    <xf numFmtId="0" fontId="8" fillId="0" borderId="16" xfId="0" applyFont="1" applyBorder="1" applyAlignment="1">
      <alignment horizontal="left" vertical="center" wrapText="1"/>
    </xf>
    <xf numFmtId="0" fontId="8" fillId="0" borderId="17" xfId="0" applyFont="1" applyBorder="1" applyAlignment="1">
      <alignment horizontal="left" vertical="center" wrapText="1"/>
    </xf>
    <xf numFmtId="0" fontId="87" fillId="9" borderId="0" xfId="0" applyFont="1" applyFill="1" applyAlignment="1">
      <alignment horizontal="left" vertical="center" wrapText="1"/>
    </xf>
    <xf numFmtId="0" fontId="1" fillId="4" borderId="83" xfId="0" applyFont="1" applyFill="1" applyBorder="1" applyAlignment="1">
      <alignment horizontal="left" vertical="center"/>
    </xf>
    <xf numFmtId="0" fontId="1" fillId="4" borderId="84" xfId="0" applyFont="1" applyFill="1" applyBorder="1" applyAlignment="1">
      <alignment horizontal="left" vertical="center"/>
    </xf>
    <xf numFmtId="0" fontId="1" fillId="4" borderId="85" xfId="0" applyFont="1" applyFill="1" applyBorder="1" applyAlignment="1">
      <alignment horizontal="left" vertical="center"/>
    </xf>
    <xf numFmtId="0" fontId="1" fillId="4" borderId="82" xfId="0" applyFont="1" applyFill="1" applyBorder="1" applyAlignment="1">
      <alignment horizontal="center" vertical="center" wrapText="1"/>
    </xf>
    <xf numFmtId="0" fontId="1" fillId="4" borderId="82" xfId="0" applyFont="1" applyFill="1" applyBorder="1" applyAlignment="1">
      <alignment horizontal="left" vertical="center"/>
    </xf>
    <xf numFmtId="0" fontId="1" fillId="0" borderId="22" xfId="0" applyFont="1" applyBorder="1" applyAlignment="1">
      <alignment horizontal="center" vertical="center"/>
    </xf>
    <xf numFmtId="0" fontId="1" fillId="0" borderId="30" xfId="0" applyFont="1" applyBorder="1" applyAlignment="1">
      <alignment horizontal="center" vertical="center"/>
    </xf>
    <xf numFmtId="0" fontId="1" fillId="0" borderId="31" xfId="0" applyFont="1" applyBorder="1" applyAlignment="1">
      <alignment horizontal="center" vertical="center"/>
    </xf>
  </cellXfs>
  <cellStyles count="52">
    <cellStyle name="20% - Ênfase1" xfId="20" builtinId="30" customBuiltin="1"/>
    <cellStyle name="20% - Ênfase2" xfId="23" builtinId="34" customBuiltin="1"/>
    <cellStyle name="20% - Ênfase3" xfId="26" builtinId="38" customBuiltin="1"/>
    <cellStyle name="20% - Ênfase4" xfId="29" builtinId="42" customBuiltin="1"/>
    <cellStyle name="20% - Ênfase5" xfId="32" builtinId="46" customBuiltin="1"/>
    <cellStyle name="20% - Ênfase6" xfId="35" builtinId="50" customBuiltin="1"/>
    <cellStyle name="40% - Ênfase1" xfId="21" builtinId="31" customBuiltin="1"/>
    <cellStyle name="40% - Ênfase2" xfId="24" builtinId="35" customBuiltin="1"/>
    <cellStyle name="40% - Ênfase3" xfId="27" builtinId="39" customBuiltin="1"/>
    <cellStyle name="40% - Ênfase4" xfId="30" builtinId="43" customBuiltin="1"/>
    <cellStyle name="40% - Ênfase5" xfId="33" builtinId="47" customBuiltin="1"/>
    <cellStyle name="40% - Ênfase6" xfId="36" builtinId="51" customBuiltin="1"/>
    <cellStyle name="60% - Ênfase1" xfId="46" builtinId="32" customBuiltin="1"/>
    <cellStyle name="60% - Ênfase1 2" xfId="38" xr:uid="{00000000-0005-0000-0000-00000C000000}"/>
    <cellStyle name="60% - Ênfase2" xfId="47" builtinId="36" customBuiltin="1"/>
    <cellStyle name="60% - Ênfase2 2" xfId="39" xr:uid="{00000000-0005-0000-0000-00000D000000}"/>
    <cellStyle name="60% - Ênfase3" xfId="48" builtinId="40" customBuiltin="1"/>
    <cellStyle name="60% - Ênfase3 2" xfId="40" xr:uid="{00000000-0005-0000-0000-00000E000000}"/>
    <cellStyle name="60% - Ênfase4" xfId="49" builtinId="44" customBuiltin="1"/>
    <cellStyle name="60% - Ênfase4 2" xfId="41" xr:uid="{00000000-0005-0000-0000-00000F000000}"/>
    <cellStyle name="60% - Ênfase5" xfId="50" builtinId="48" customBuiltin="1"/>
    <cellStyle name="60% - Ênfase5 2" xfId="42" xr:uid="{00000000-0005-0000-0000-000010000000}"/>
    <cellStyle name="60% - Ênfase6" xfId="51" builtinId="52" customBuiltin="1"/>
    <cellStyle name="60% - Ênfase6 2" xfId="43" xr:uid="{00000000-0005-0000-0000-000011000000}"/>
    <cellStyle name="Bom" xfId="8" builtinId="26" customBuiltin="1"/>
    <cellStyle name="Cálculo" xfId="12" builtinId="22" customBuiltin="1"/>
    <cellStyle name="Célula de Verificação" xfId="14" builtinId="23" customBuiltin="1"/>
    <cellStyle name="Célula Vinculada" xfId="13" builtinId="24" customBuiltin="1"/>
    <cellStyle name="Ênfase1" xfId="19" builtinId="29" customBuiltin="1"/>
    <cellStyle name="Ênfase2" xfId="22" builtinId="33" customBuiltin="1"/>
    <cellStyle name="Ênfase3" xfId="25" builtinId="37" customBuiltin="1"/>
    <cellStyle name="Ênfase4" xfId="28" builtinId="41" customBuiltin="1"/>
    <cellStyle name="Ênfase5" xfId="31" builtinId="45" customBuiltin="1"/>
    <cellStyle name="Ênfase6" xfId="34" builtinId="49" customBuiltin="1"/>
    <cellStyle name="Entrada" xfId="10" builtinId="20" customBuiltin="1"/>
    <cellStyle name="Hiperlink" xfId="44" builtinId="8"/>
    <cellStyle name="Neutro" xfId="45" builtinId="28" customBuiltin="1"/>
    <cellStyle name="Neutro 2" xfId="37" xr:uid="{00000000-0005-0000-0000-000024000000}"/>
    <cellStyle name="Normal" xfId="0" builtinId="0"/>
    <cellStyle name="Nota" xfId="16" builtinId="10" customBuiltin="1"/>
    <cellStyle name="Porcentagem" xfId="1" builtinId="5"/>
    <cellStyle name="Ruim" xfId="9" builtinId="27" customBuiltin="1"/>
    <cellStyle name="Saída" xfId="11" builtinId="21" customBuiltin="1"/>
    <cellStyle name="Texto de Aviso" xfId="15" builtinId="11" customBuiltin="1"/>
    <cellStyle name="Texto Explicativo" xfId="17" builtinId="53" customBuiltin="1"/>
    <cellStyle name="Título" xfId="3" builtinId="15" customBuiltin="1"/>
    <cellStyle name="Título 1" xfId="4" builtinId="16" customBuiltin="1"/>
    <cellStyle name="Título 2" xfId="5" builtinId="17" customBuiltin="1"/>
    <cellStyle name="Título 3" xfId="6" builtinId="18" customBuiltin="1"/>
    <cellStyle name="Título 4" xfId="7" builtinId="19" customBuiltin="1"/>
    <cellStyle name="Total" xfId="18" builtinId="25" customBuiltin="1"/>
    <cellStyle name="Vírgula" xfId="2" builtinId="3"/>
  </cellStyles>
  <dxfs count="84">
    <dxf>
      <font>
        <color auto="1"/>
      </font>
      <fill>
        <patternFill>
          <fgColor rgb="FF92D050"/>
          <bgColor theme="6" tint="0.39994506668294322"/>
        </patternFill>
      </fill>
    </dxf>
    <dxf>
      <font>
        <b/>
        <i val="0"/>
        <color theme="0"/>
      </font>
      <fill>
        <patternFill>
          <bgColor rgb="FF00B050"/>
        </patternFill>
      </fill>
    </dxf>
    <dxf>
      <font>
        <color auto="1"/>
      </font>
      <fill>
        <patternFill>
          <bgColor rgb="FFFFEB9C"/>
        </patternFill>
      </fill>
    </dxf>
    <dxf>
      <font>
        <color auto="1"/>
      </font>
      <fill>
        <patternFill>
          <bgColor rgb="FFFFC000"/>
        </patternFill>
      </fill>
    </dxf>
    <dxf>
      <font>
        <color theme="0"/>
      </font>
      <fill>
        <patternFill>
          <bgColor rgb="FFFF000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theme="1" tint="0.34998626667073579"/>
      </font>
      <fill>
        <patternFill>
          <bgColor theme="0"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1" tint="0.34998626667073579"/>
      </font>
      <fill>
        <patternFill>
          <bgColor theme="0" tint="-0.24994659260841701"/>
        </patternFill>
      </fill>
    </dxf>
    <dxf>
      <font>
        <color rgb="FF006100"/>
      </font>
      <fill>
        <patternFill>
          <bgColor rgb="FFC6EFCE"/>
        </patternFill>
      </fill>
    </dxf>
    <dxf>
      <font>
        <color rgb="FF9C0006"/>
      </font>
      <fill>
        <patternFill>
          <bgColor rgb="FFFFC7CE"/>
        </patternFill>
      </fill>
    </dxf>
    <dxf>
      <font>
        <color theme="1" tint="0.34998626667073579"/>
      </font>
      <fill>
        <patternFill>
          <bgColor theme="0" tint="-0.24994659260841701"/>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theme="1" tint="0.34998626667073579"/>
      </font>
      <fill>
        <patternFill>
          <bgColor theme="0" tint="-0.24994659260841701"/>
        </patternFill>
      </fill>
    </dxf>
    <dxf>
      <font>
        <color rgb="FF9C0006"/>
      </font>
      <fill>
        <patternFill>
          <bgColor rgb="FFFFC7CE"/>
        </patternFill>
      </fill>
    </dxf>
    <dxf>
      <font>
        <color rgb="FF006100"/>
      </font>
      <fill>
        <patternFill>
          <bgColor rgb="FFC6EFCE"/>
        </patternFill>
      </fill>
    </dxf>
    <dxf>
      <font>
        <color theme="1" tint="0.34998626667073579"/>
      </font>
      <fill>
        <patternFill>
          <bgColor theme="0" tint="-0.24994659260841701"/>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theme="1" tint="0.34998626667073579"/>
      </font>
      <fill>
        <patternFill>
          <bgColor theme="0" tint="-0.24994659260841701"/>
        </patternFill>
      </fill>
    </dxf>
    <dxf>
      <font>
        <color rgb="FF006100"/>
      </font>
      <fill>
        <patternFill>
          <bgColor rgb="FFC6EFCE"/>
        </patternFill>
      </fill>
    </dxf>
    <dxf>
      <font>
        <color rgb="FF9C0006"/>
      </font>
      <fill>
        <patternFill>
          <bgColor rgb="FFFFC7CE"/>
        </patternFill>
      </fill>
    </dxf>
    <dxf>
      <font>
        <color theme="1" tint="0.34998626667073579"/>
      </font>
      <fill>
        <patternFill>
          <bgColor theme="0" tint="-0.24994659260841701"/>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theme="1" tint="0.34998626667073579"/>
      </font>
      <fill>
        <patternFill>
          <bgColor theme="0" tint="-0.24994659260841701"/>
        </patternFill>
      </fill>
    </dxf>
    <dxf>
      <font>
        <color rgb="FF006100"/>
      </font>
      <fill>
        <patternFill>
          <bgColor rgb="FFC6EFCE"/>
        </patternFill>
      </fill>
    </dxf>
    <dxf>
      <font>
        <color rgb="FF9C0006"/>
      </font>
      <fill>
        <patternFill>
          <bgColor rgb="FFFFC7CE"/>
        </patternFill>
      </fill>
    </dxf>
    <dxf>
      <font>
        <color theme="1" tint="0.34998626667073579"/>
      </font>
      <fill>
        <patternFill>
          <bgColor theme="0" tint="-0.24994659260841701"/>
        </patternFill>
      </fill>
    </dxf>
    <dxf>
      <font>
        <color rgb="FF9C0006"/>
      </font>
      <fill>
        <patternFill>
          <bgColor rgb="FFFFC7CE"/>
        </patternFill>
      </fill>
    </dxf>
    <dxf>
      <font>
        <color theme="1" tint="0.34998626667073579"/>
      </font>
      <fill>
        <patternFill>
          <bgColor theme="0" tint="-0.24994659260841701"/>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theme="1" tint="0.34998626667073579"/>
      </font>
      <fill>
        <patternFill>
          <bgColor theme="0" tint="-0.24994659260841701"/>
        </patternFill>
      </fill>
    </dxf>
    <dxf>
      <fill>
        <patternFill>
          <bgColor theme="5" tint="0.39994506668294322"/>
        </patternFill>
      </fill>
    </dxf>
    <dxf>
      <fill>
        <patternFill>
          <bgColor theme="5" tint="0.39994506668294322"/>
        </patternFill>
      </fill>
    </dxf>
    <dxf>
      <fill>
        <patternFill>
          <bgColor theme="5" tint="0.39994506668294322"/>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fill>
        <patternFill>
          <bgColor theme="0"/>
        </patternFill>
      </fill>
      <border>
        <left/>
        <right/>
        <top/>
        <bottom/>
      </border>
    </dxf>
    <dxf>
      <fill>
        <patternFill patternType="solid">
          <fgColor theme="0"/>
          <bgColor theme="8" tint="0.59996337778862885"/>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ont>
        <color theme="0" tint="-0.24994659260841701"/>
      </font>
      <fill>
        <patternFill>
          <bgColor theme="0" tint="-0.24994659260841701"/>
        </patternFill>
      </fill>
    </dxf>
    <dxf>
      <font>
        <color theme="1" tint="0.34998626667073579"/>
      </font>
      <fill>
        <patternFill>
          <bgColor theme="0" tint="-0.14996795556505021"/>
        </patternFill>
      </fill>
    </dxf>
    <dxf>
      <font>
        <color theme="0"/>
      </font>
      <fill>
        <patternFill>
          <bgColor theme="0"/>
        </patternFill>
      </fill>
      <border>
        <left/>
        <right/>
        <top/>
        <bottom/>
        <vertical/>
        <horizontal/>
      </border>
    </dxf>
    <dxf>
      <font>
        <color theme="0" tint="-0.24994659260841701"/>
      </font>
      <fill>
        <patternFill>
          <bgColor theme="0" tint="-0.24994659260841701"/>
        </patternFill>
      </fill>
    </dxf>
    <dxf>
      <font>
        <color theme="0" tint="-0.499984740745262"/>
      </font>
      <fill>
        <patternFill>
          <bgColor theme="0" tint="-0.499984740745262"/>
        </patternFill>
      </fill>
    </dxf>
    <dxf>
      <font>
        <color rgb="FFFF0000"/>
      </font>
      <fill>
        <patternFill>
          <bgColor theme="5" tint="0.39994506668294322"/>
        </patternFill>
      </fill>
    </dxf>
    <dxf>
      <fill>
        <patternFill>
          <bgColor rgb="FF00B050"/>
        </patternFill>
      </fill>
    </dxf>
    <dxf>
      <font>
        <color theme="0"/>
      </font>
      <fill>
        <patternFill>
          <bgColor theme="0"/>
        </patternFill>
      </fill>
      <border>
        <left/>
        <right/>
        <top/>
        <bottom/>
        <vertical/>
        <horizontal/>
      </border>
    </dxf>
    <dxf>
      <fill>
        <patternFill>
          <bgColor rgb="FF00B050"/>
        </patternFill>
      </fill>
    </dxf>
    <dxf>
      <font>
        <color theme="0"/>
      </font>
      <fill>
        <patternFill>
          <bgColor theme="0"/>
        </patternFill>
      </fill>
      <border>
        <left/>
        <right/>
        <top/>
        <bottom/>
        <vertical/>
        <horizontal/>
      </border>
    </dxf>
    <dxf>
      <font>
        <color rgb="FF006100"/>
      </font>
      <fill>
        <patternFill>
          <bgColor rgb="FFC6EFCE"/>
        </patternFill>
      </fill>
    </dxf>
    <dxf>
      <font>
        <color rgb="FF9C0006"/>
      </font>
      <fill>
        <patternFill>
          <bgColor rgb="FFFFC7CE"/>
        </patternFill>
      </fill>
    </dxf>
    <dxf>
      <font>
        <color theme="1" tint="0.34998626667073579"/>
      </font>
      <fill>
        <patternFill>
          <bgColor theme="0" tint="-0.24994659260841701"/>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theme="0" tint="-0.499984740745262"/>
        </patternFill>
      </fill>
    </dxf>
    <dxf>
      <font>
        <color theme="0"/>
      </font>
      <fill>
        <patternFill>
          <bgColor theme="0"/>
        </patternFill>
      </fill>
      <border>
        <vertical/>
        <horizontal/>
      </border>
    </dxf>
    <dxf>
      <fill>
        <patternFill>
          <bgColor theme="0" tint="-0.34998626667073579"/>
        </patternFill>
      </fill>
    </dxf>
    <dxf>
      <font>
        <color theme="1" tint="0.34998626667073579"/>
      </font>
      <fill>
        <patternFill>
          <bgColor theme="0" tint="-0.14996795556505021"/>
        </patternFill>
      </fill>
    </dxf>
    <dxf>
      <font>
        <color theme="1" tint="0.34998626667073579"/>
      </font>
      <fill>
        <patternFill>
          <bgColor theme="0" tint="-0.24994659260841701"/>
        </patternFill>
      </fill>
    </dxf>
    <dxf>
      <font>
        <color theme="1" tint="0.34998626667073579"/>
      </font>
      <fill>
        <patternFill>
          <bgColor theme="0" tint="-0.14996795556505021"/>
        </patternFill>
      </fill>
    </dxf>
    <dxf>
      <font>
        <color theme="1" tint="0.34998626667073579"/>
      </font>
      <fill>
        <patternFill>
          <bgColor theme="0" tint="-0.14996795556505021"/>
        </patternFill>
      </fill>
    </dxf>
    <dxf>
      <font>
        <color theme="1" tint="0.34998626667073579"/>
      </font>
      <fill>
        <patternFill>
          <bgColor theme="0" tint="-0.14996795556505021"/>
        </patternFill>
      </fill>
    </dxf>
    <dxf>
      <fill>
        <patternFill>
          <bgColor theme="0" tint="-0.24994659260841701"/>
        </patternFill>
      </fill>
    </dxf>
  </dxfs>
  <tableStyles count="0" defaultTableStyle="TableStyleMedium2" defaultPivotStyle="PivotStyleLight16"/>
  <colors>
    <mruColors>
      <color rgb="FFFF0000"/>
      <color rgb="FFFFFF00"/>
      <color rgb="FFFFFFFF"/>
      <color rgb="FF000000"/>
      <color rgb="FFFF6600"/>
      <color rgb="FFFF9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lumMod val="65000"/>
                    <a:lumOff val="35000"/>
                  </a:schemeClr>
                </a:solidFill>
                <a:latin typeface="+mn-lt"/>
                <a:ea typeface="+mn-ea"/>
                <a:cs typeface="+mn-cs"/>
              </a:defRPr>
            </a:pPr>
            <a:r>
              <a:rPr lang="pt-BR" b="1"/>
              <a:t>Consumo dos sistemas</a:t>
            </a:r>
          </a:p>
        </c:rich>
      </c:tx>
      <c:overlay val="0"/>
      <c:spPr>
        <a:noFill/>
        <a:ln>
          <a:noFill/>
        </a:ln>
        <a:effectLst/>
      </c:spPr>
      <c:txPr>
        <a:bodyPr rot="0" spcFirstLastPara="1" vertOverflow="ellipsis" vert="horz" wrap="square" anchor="ctr" anchorCtr="1"/>
        <a:lstStyle/>
        <a:p>
          <a:pPr>
            <a:defRPr sz="144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Resultados!$C$19</c:f>
              <c:strCache>
                <c:ptCount val="1"/>
                <c:pt idx="0">
                  <c:v>Condição de Referência (kWh/ano)</c:v>
                </c:pt>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Resultados!$B$23:$B$27</c:f>
              <c:strCache>
                <c:ptCount val="5"/>
                <c:pt idx="0">
                  <c:v>Condicionamento de ar</c:v>
                </c:pt>
                <c:pt idx="1">
                  <c:v>Iluminação</c:v>
                </c:pt>
                <c:pt idx="2">
                  <c:v>Aquecimento de água</c:v>
                </c:pt>
                <c:pt idx="3">
                  <c:v>Equipamentos</c:v>
                </c:pt>
                <c:pt idx="4">
                  <c:v>Geração de energia</c:v>
                </c:pt>
              </c:strCache>
            </c:strRef>
          </c:cat>
          <c:val>
            <c:numRef>
              <c:f>Resultados!$C$23:$C$27</c:f>
              <c:numCache>
                <c:formatCode>#,##0</c:formatCode>
                <c:ptCount val="5"/>
                <c:pt idx="0">
                  <c:v>189620.13925925925</c:v>
                </c:pt>
                <c:pt idx="1">
                  <c:v>109994.82623999999</c:v>
                </c:pt>
                <c:pt idx="2">
                  <c:v>0</c:v>
                </c:pt>
                <c:pt idx="3">
                  <c:v>95397.119999999995</c:v>
                </c:pt>
                <c:pt idx="4">
                  <c:v>0</c:v>
                </c:pt>
              </c:numCache>
            </c:numRef>
          </c:val>
          <c:extLst>
            <c:ext xmlns:c16="http://schemas.microsoft.com/office/drawing/2014/chart" uri="{C3380CC4-5D6E-409C-BE32-E72D297353CC}">
              <c16:uniqueId val="{00000000-11E7-4454-A871-41400206908C}"/>
            </c:ext>
          </c:extLst>
        </c:ser>
        <c:ser>
          <c:idx val="1"/>
          <c:order val="1"/>
          <c:tx>
            <c:strRef>
              <c:f>Resultados!$D$19</c:f>
              <c:strCache>
                <c:ptCount val="1"/>
                <c:pt idx="0">
                  <c:v>Condição Real (kWh/ano)</c:v>
                </c:pt>
              </c:strCache>
            </c:strRef>
          </c:tx>
          <c:spPr>
            <a:solidFill>
              <a:schemeClr val="accent1">
                <a:lumMod val="40000"/>
                <a:lumOff val="60000"/>
              </a:schemeClr>
            </a:solidFill>
            <a:ln>
              <a:noFill/>
            </a:ln>
            <a:effectLst/>
          </c:spPr>
          <c:invertIfNegative val="0"/>
          <c:cat>
            <c:strRef>
              <c:f>Resultados!$B$23:$B$27</c:f>
              <c:strCache>
                <c:ptCount val="5"/>
                <c:pt idx="0">
                  <c:v>Condicionamento de ar</c:v>
                </c:pt>
                <c:pt idx="1">
                  <c:v>Iluminação</c:v>
                </c:pt>
                <c:pt idx="2">
                  <c:v>Aquecimento de água</c:v>
                </c:pt>
                <c:pt idx="3">
                  <c:v>Equipamentos</c:v>
                </c:pt>
                <c:pt idx="4">
                  <c:v>Geração de energia</c:v>
                </c:pt>
              </c:strCache>
            </c:strRef>
          </c:cat>
          <c:val>
            <c:numRef>
              <c:f>Resultados!$D$23:$D$27</c:f>
              <c:numCache>
                <c:formatCode>#,##0</c:formatCode>
                <c:ptCount val="5"/>
                <c:pt idx="0">
                  <c:v>89491.283610841885</c:v>
                </c:pt>
                <c:pt idx="1">
                  <c:v>103617.6128</c:v>
                </c:pt>
                <c:pt idx="2">
                  <c:v>0</c:v>
                </c:pt>
                <c:pt idx="3">
                  <c:v>95397.119999999995</c:v>
                </c:pt>
                <c:pt idx="4">
                  <c:v>-274176</c:v>
                </c:pt>
              </c:numCache>
            </c:numRef>
          </c:val>
          <c:extLst>
            <c:ext xmlns:c16="http://schemas.microsoft.com/office/drawing/2014/chart" uri="{C3380CC4-5D6E-409C-BE32-E72D297353CC}">
              <c16:uniqueId val="{00000001-11E7-4454-A871-41400206908C}"/>
            </c:ext>
          </c:extLst>
        </c:ser>
        <c:dLbls>
          <c:showLegendKey val="0"/>
          <c:showVal val="0"/>
          <c:showCatName val="0"/>
          <c:showSerName val="0"/>
          <c:showPercent val="0"/>
          <c:showBubbleSize val="0"/>
        </c:dLbls>
        <c:gapWidth val="219"/>
        <c:overlap val="-27"/>
        <c:axId val="469668080"/>
        <c:axId val="469665584"/>
      </c:barChart>
      <c:catAx>
        <c:axId val="469668080"/>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pt-BR"/>
          </a:p>
        </c:txPr>
        <c:crossAx val="469665584"/>
        <c:crosses val="autoZero"/>
        <c:auto val="1"/>
        <c:lblAlgn val="ctr"/>
        <c:lblOffset val="100"/>
        <c:noMultiLvlLbl val="0"/>
      </c:catAx>
      <c:valAx>
        <c:axId val="4696655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pt-BR"/>
                  <a:t>Consumo de Energia primária (kWh/ano)</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pt-B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pt-BR"/>
          </a:p>
        </c:txPr>
        <c:crossAx val="469668080"/>
        <c:crosses val="autoZero"/>
        <c:crossBetween val="between"/>
        <c:dispUnits>
          <c:builtInUnit val="thousands"/>
          <c:dispUnitsLbl>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pt-BR"/>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pPr>
      <a:endParaRPr lang="pt-BR"/>
    </a:p>
  </c:txPr>
  <c:printSettings>
    <c:headerFooter/>
    <c:pageMargins b="0.78740157499999996" l="0.511811024" r="0.511811024" t="0.78740157499999996" header="0.31496062000000002" footer="0.314960620000000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4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Resultados!$B$28</c:f>
              <c:strCache>
                <c:ptCount val="1"/>
                <c:pt idx="0">
                  <c:v>Classificação Geral da Edificação
(com Geração)</c:v>
                </c:pt>
              </c:strCache>
            </c:strRef>
          </c:tx>
          <c:spPr>
            <a:solidFill>
              <a:srgbClr val="000000"/>
            </a:solidFill>
            <a:ln>
              <a:noFill/>
            </a:ln>
            <a:effectLst/>
          </c:spPr>
          <c:invertIfNegative val="0"/>
          <c:dPt>
            <c:idx val="0"/>
            <c:invertIfNegative val="0"/>
            <c:bubble3D val="0"/>
            <c:spPr>
              <a:solidFill>
                <a:schemeClr val="bg1">
                  <a:lumMod val="65000"/>
                </a:schemeClr>
              </a:solidFill>
              <a:ln>
                <a:noFill/>
              </a:ln>
              <a:effectLst/>
            </c:spPr>
            <c:extLst>
              <c:ext xmlns:c16="http://schemas.microsoft.com/office/drawing/2014/chart" uri="{C3380CC4-5D6E-409C-BE32-E72D297353CC}">
                <c16:uniqueId val="{00000001-3DAD-4A4F-A736-670235BD35BB}"/>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3-3DAD-4A4F-A736-670235BD35BB}"/>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Resultados!$C$19:$D$19</c:f>
              <c:strCache>
                <c:ptCount val="2"/>
                <c:pt idx="0">
                  <c:v>Condição de Referência (kWh/ano)</c:v>
                </c:pt>
                <c:pt idx="1">
                  <c:v>Condição Real (kWh/ano)</c:v>
                </c:pt>
              </c:strCache>
            </c:strRef>
          </c:cat>
          <c:val>
            <c:numRef>
              <c:f>Resultados!$C$28:$D$28</c:f>
              <c:numCache>
                <c:formatCode>#,##0</c:formatCode>
                <c:ptCount val="2"/>
                <c:pt idx="0">
                  <c:v>299614.96549925924</c:v>
                </c:pt>
                <c:pt idx="1">
                  <c:v>-81067.103589158098</c:v>
                </c:pt>
              </c:numCache>
            </c:numRef>
          </c:val>
          <c:extLst>
            <c:ext xmlns:c16="http://schemas.microsoft.com/office/drawing/2014/chart" uri="{C3380CC4-5D6E-409C-BE32-E72D297353CC}">
              <c16:uniqueId val="{00000004-3DAD-4A4F-A736-670235BD35BB}"/>
            </c:ext>
          </c:extLst>
        </c:ser>
        <c:dLbls>
          <c:showLegendKey val="0"/>
          <c:showVal val="0"/>
          <c:showCatName val="0"/>
          <c:showSerName val="0"/>
          <c:showPercent val="0"/>
          <c:showBubbleSize val="0"/>
        </c:dLbls>
        <c:gapWidth val="50"/>
        <c:overlap val="-27"/>
        <c:axId val="631117088"/>
        <c:axId val="631117920"/>
      </c:barChart>
      <c:catAx>
        <c:axId val="631117088"/>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pt-BR"/>
          </a:p>
        </c:txPr>
        <c:crossAx val="631117920"/>
        <c:crosses val="autoZero"/>
        <c:auto val="1"/>
        <c:lblAlgn val="ctr"/>
        <c:lblOffset val="100"/>
        <c:noMultiLvlLbl val="0"/>
      </c:catAx>
      <c:valAx>
        <c:axId val="63111792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pt-BR"/>
                  <a:t>Consumo de Energia Primária (kWh/ano)</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pt-B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pt-BR"/>
          </a:p>
        </c:txPr>
        <c:crossAx val="631117088"/>
        <c:crosses val="autoZero"/>
        <c:crossBetween val="between"/>
        <c:dispUnits>
          <c:builtInUnit val="thousands"/>
          <c:dispUnitsLbl>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pt-BR"/>
              </a:p>
            </c:txPr>
          </c:dispUnitsLbl>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pPr>
      <a:endParaRPr lang="pt-BR"/>
    </a:p>
  </c:txPr>
  <c:printSettings>
    <c:headerFooter/>
    <c:pageMargins b="0.78740157499999996" l="0.511811024" r="0.511811024" t="0.78740157499999996" header="0.31496062000000002" footer="0.3149606200000000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lumMod val="65000"/>
                    <a:lumOff val="35000"/>
                  </a:schemeClr>
                </a:solidFill>
                <a:latin typeface="+mn-lt"/>
                <a:ea typeface="+mn-ea"/>
                <a:cs typeface="+mn-cs"/>
              </a:defRPr>
            </a:pPr>
            <a:r>
              <a:rPr lang="en-US"/>
              <a:t>Envoltória</a:t>
            </a:r>
          </a:p>
        </c:rich>
      </c:tx>
      <c:overlay val="0"/>
      <c:spPr>
        <a:noFill/>
        <a:ln>
          <a:noFill/>
        </a:ln>
        <a:effectLst/>
      </c:spPr>
      <c:txPr>
        <a:bodyPr rot="0" spcFirstLastPara="1" vertOverflow="ellipsis" vert="horz" wrap="square" anchor="ctr" anchorCtr="1"/>
        <a:lstStyle/>
        <a:p>
          <a:pPr>
            <a:defRPr sz="144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Resultados!$B$21</c:f>
              <c:strCache>
                <c:ptCount val="1"/>
                <c:pt idx="0">
                  <c:v>Envoltória</c:v>
                </c:pt>
              </c:strCache>
            </c:strRef>
          </c:tx>
          <c:spPr>
            <a:solidFill>
              <a:schemeClr val="accent1"/>
            </a:solidFill>
            <a:ln>
              <a:noFill/>
            </a:ln>
            <a:effectLst/>
          </c:spPr>
          <c:invertIfNegative val="0"/>
          <c:dPt>
            <c:idx val="0"/>
            <c:invertIfNegative val="0"/>
            <c:bubble3D val="0"/>
            <c:spPr>
              <a:solidFill>
                <a:schemeClr val="bg1">
                  <a:lumMod val="85000"/>
                </a:schemeClr>
              </a:solidFill>
              <a:ln>
                <a:noFill/>
              </a:ln>
              <a:effectLst/>
            </c:spPr>
            <c:extLst>
              <c:ext xmlns:c16="http://schemas.microsoft.com/office/drawing/2014/chart" uri="{C3380CC4-5D6E-409C-BE32-E72D297353CC}">
                <c16:uniqueId val="{00000001-31D9-4F23-9ED6-C577F54B2408}"/>
              </c:ext>
            </c:extLst>
          </c:dPt>
          <c:dPt>
            <c:idx val="1"/>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2-3828-4D24-AA60-26136EB96831}"/>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Resultados!$C$19:$D$19</c:f>
              <c:strCache>
                <c:ptCount val="2"/>
                <c:pt idx="0">
                  <c:v>Condição de Referência (kWh/ano)</c:v>
                </c:pt>
                <c:pt idx="1">
                  <c:v>Condição Real (kWh/ano)</c:v>
                </c:pt>
              </c:strCache>
            </c:strRef>
          </c:cat>
          <c:val>
            <c:numRef>
              <c:f>Resultados!$C$21:$D$21</c:f>
              <c:numCache>
                <c:formatCode>#,##0</c:formatCode>
                <c:ptCount val="2"/>
                <c:pt idx="0">
                  <c:v>361505.55</c:v>
                </c:pt>
                <c:pt idx="1">
                  <c:v>260499.66459999993</c:v>
                </c:pt>
              </c:numCache>
            </c:numRef>
          </c:val>
          <c:extLst>
            <c:ext xmlns:c16="http://schemas.microsoft.com/office/drawing/2014/chart" uri="{C3380CC4-5D6E-409C-BE32-E72D297353CC}">
              <c16:uniqueId val="{00000004-31D9-4F23-9ED6-C577F54B2408}"/>
            </c:ext>
          </c:extLst>
        </c:ser>
        <c:dLbls>
          <c:dLblPos val="outEnd"/>
          <c:showLegendKey val="0"/>
          <c:showVal val="1"/>
          <c:showCatName val="0"/>
          <c:showSerName val="0"/>
          <c:showPercent val="0"/>
          <c:showBubbleSize val="0"/>
        </c:dLbls>
        <c:gapWidth val="50"/>
        <c:overlap val="-27"/>
        <c:axId val="631117088"/>
        <c:axId val="631117920"/>
      </c:barChart>
      <c:catAx>
        <c:axId val="631117088"/>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pt-BR"/>
          </a:p>
        </c:txPr>
        <c:crossAx val="631117920"/>
        <c:crosses val="autoZero"/>
        <c:auto val="1"/>
        <c:lblAlgn val="ctr"/>
        <c:lblOffset val="100"/>
        <c:noMultiLvlLbl val="0"/>
      </c:catAx>
      <c:valAx>
        <c:axId val="63111792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pt-BR"/>
                  <a:t>Carga</a:t>
                </a:r>
                <a:r>
                  <a:rPr lang="pt-BR" baseline="0"/>
                  <a:t> térmica</a:t>
                </a:r>
                <a:r>
                  <a:rPr lang="pt-BR"/>
                  <a:t> (kWh/ano)</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pt-B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pt-BR"/>
          </a:p>
        </c:txPr>
        <c:crossAx val="631117088"/>
        <c:crosses val="autoZero"/>
        <c:crossBetween val="between"/>
        <c:dispUnits>
          <c:builtInUnit val="thousands"/>
          <c:dispUnitsLbl>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pt-BR"/>
              </a:p>
            </c:txPr>
          </c:dispUnitsLbl>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2297206</xdr:colOff>
      <xdr:row>2</xdr:row>
      <xdr:rowOff>217334</xdr:rowOff>
    </xdr:to>
    <xdr:grpSp>
      <xdr:nvGrpSpPr>
        <xdr:cNvPr id="5" name="Agrupar 4">
          <a:extLst>
            <a:ext uri="{FF2B5EF4-FFF2-40B4-BE49-F238E27FC236}">
              <a16:creationId xmlns:a16="http://schemas.microsoft.com/office/drawing/2014/main" id="{00000000-0008-0000-0000-000005000000}"/>
            </a:ext>
          </a:extLst>
        </xdr:cNvPr>
        <xdr:cNvGrpSpPr/>
      </xdr:nvGrpSpPr>
      <xdr:grpSpPr>
        <a:xfrm>
          <a:off x="0" y="0"/>
          <a:ext cx="6107206" cy="710393"/>
          <a:chOff x="504826" y="0"/>
          <a:chExt cx="6113020" cy="709846"/>
        </a:xfrm>
      </xdr:grpSpPr>
      <xdr:pic>
        <xdr:nvPicPr>
          <xdr:cNvPr id="6" name="Imagem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 r="51354"/>
          <a:stretch/>
        </xdr:blipFill>
        <xdr:spPr>
          <a:xfrm>
            <a:off x="504826" y="0"/>
            <a:ext cx="1095989" cy="709846"/>
          </a:xfrm>
          <a:prstGeom prst="rect">
            <a:avLst/>
          </a:prstGeom>
        </xdr:spPr>
      </xdr:pic>
      <xdr:sp macro="" textlink="">
        <xdr:nvSpPr>
          <xdr:cNvPr id="7" name="CaixaDeTexto 6">
            <a:extLst>
              <a:ext uri="{FF2B5EF4-FFF2-40B4-BE49-F238E27FC236}">
                <a16:creationId xmlns:a16="http://schemas.microsoft.com/office/drawing/2014/main" id="{00000000-0008-0000-0000-000007000000}"/>
              </a:ext>
            </a:extLst>
          </xdr:cNvPr>
          <xdr:cNvSpPr txBox="1"/>
        </xdr:nvSpPr>
        <xdr:spPr>
          <a:xfrm>
            <a:off x="1631563" y="80847"/>
            <a:ext cx="4986283" cy="530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pt-BR" sz="1400" b="1" i="0">
                <a:solidFill>
                  <a:schemeClr val="tx1"/>
                </a:solidFill>
                <a:effectLst/>
                <a:latin typeface="+mn-lt"/>
                <a:ea typeface="+mn-ea"/>
                <a:cs typeface="+mn-cs"/>
              </a:rPr>
              <a:t>Programa Brasileiro de Etiquetagem de Edificações</a:t>
            </a:r>
          </a:p>
          <a:p>
            <a:r>
              <a:rPr lang="pt-BR" sz="1400" b="1" i="0">
                <a:solidFill>
                  <a:schemeClr val="tx1"/>
                </a:solidFill>
                <a:effectLst/>
                <a:latin typeface="+mn-lt"/>
                <a:ea typeface="+mn-ea"/>
                <a:cs typeface="+mn-cs"/>
              </a:rPr>
              <a:t>Edificações Comerciais, de Serviços e Públicas</a:t>
            </a:r>
            <a:endParaRPr lang="pt-BR" sz="1400" b="1"/>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1580030</xdr:colOff>
      <xdr:row>2</xdr:row>
      <xdr:rowOff>217334</xdr:rowOff>
    </xdr:to>
    <xdr:grpSp>
      <xdr:nvGrpSpPr>
        <xdr:cNvPr id="5" name="Agrupar 4">
          <a:extLst>
            <a:ext uri="{FF2B5EF4-FFF2-40B4-BE49-F238E27FC236}">
              <a16:creationId xmlns:a16="http://schemas.microsoft.com/office/drawing/2014/main" id="{00000000-0008-0000-0A00-000005000000}"/>
            </a:ext>
          </a:extLst>
        </xdr:cNvPr>
        <xdr:cNvGrpSpPr/>
      </xdr:nvGrpSpPr>
      <xdr:grpSpPr>
        <a:xfrm>
          <a:off x="0" y="0"/>
          <a:ext cx="6104405" cy="712634"/>
          <a:chOff x="504826" y="0"/>
          <a:chExt cx="6113020" cy="709846"/>
        </a:xfrm>
      </xdr:grpSpPr>
      <xdr:pic>
        <xdr:nvPicPr>
          <xdr:cNvPr id="6" name="Imagem 5">
            <a:extLst>
              <a:ext uri="{FF2B5EF4-FFF2-40B4-BE49-F238E27FC236}">
                <a16:creationId xmlns:a16="http://schemas.microsoft.com/office/drawing/2014/main" id="{00000000-0008-0000-0A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 r="51354"/>
          <a:stretch/>
        </xdr:blipFill>
        <xdr:spPr>
          <a:xfrm>
            <a:off x="504826" y="0"/>
            <a:ext cx="1095989" cy="709846"/>
          </a:xfrm>
          <a:prstGeom prst="rect">
            <a:avLst/>
          </a:prstGeom>
        </xdr:spPr>
      </xdr:pic>
      <xdr:sp macro="" textlink="">
        <xdr:nvSpPr>
          <xdr:cNvPr id="7" name="CaixaDeTexto 6">
            <a:extLst>
              <a:ext uri="{FF2B5EF4-FFF2-40B4-BE49-F238E27FC236}">
                <a16:creationId xmlns:a16="http://schemas.microsoft.com/office/drawing/2014/main" id="{00000000-0008-0000-0A00-000007000000}"/>
              </a:ext>
            </a:extLst>
          </xdr:cNvPr>
          <xdr:cNvSpPr txBox="1"/>
        </xdr:nvSpPr>
        <xdr:spPr>
          <a:xfrm>
            <a:off x="1631563" y="80847"/>
            <a:ext cx="4986283" cy="530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pt-BR" sz="1400" b="1" i="0">
                <a:solidFill>
                  <a:schemeClr val="tx1"/>
                </a:solidFill>
                <a:effectLst/>
                <a:latin typeface="+mn-lt"/>
                <a:ea typeface="+mn-ea"/>
                <a:cs typeface="+mn-cs"/>
              </a:rPr>
              <a:t>Programa Brasileiro de Etiquetagem de Edificações</a:t>
            </a:r>
          </a:p>
          <a:p>
            <a:r>
              <a:rPr lang="pt-BR" sz="1400" b="1" i="0">
                <a:solidFill>
                  <a:schemeClr val="tx1"/>
                </a:solidFill>
                <a:effectLst/>
                <a:latin typeface="+mn-lt"/>
                <a:ea typeface="+mn-ea"/>
                <a:cs typeface="+mn-cs"/>
              </a:rPr>
              <a:t>Edificações Comerciais, de Serviços e Públicas</a:t>
            </a:r>
            <a:endParaRPr lang="pt-BR" sz="1400" b="1"/>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190500</xdr:colOff>
      <xdr:row>2</xdr:row>
      <xdr:rowOff>217334</xdr:rowOff>
    </xdr:to>
    <xdr:grpSp>
      <xdr:nvGrpSpPr>
        <xdr:cNvPr id="3" name="Agrupar 2">
          <a:extLst>
            <a:ext uri="{FF2B5EF4-FFF2-40B4-BE49-F238E27FC236}">
              <a16:creationId xmlns:a16="http://schemas.microsoft.com/office/drawing/2014/main" id="{00000000-0008-0000-0900-000003000000}"/>
            </a:ext>
          </a:extLst>
        </xdr:cNvPr>
        <xdr:cNvGrpSpPr/>
      </xdr:nvGrpSpPr>
      <xdr:grpSpPr>
        <a:xfrm>
          <a:off x="0" y="0"/>
          <a:ext cx="6096000" cy="712634"/>
          <a:chOff x="504826" y="0"/>
          <a:chExt cx="6113020" cy="709846"/>
        </a:xfrm>
      </xdr:grpSpPr>
      <xdr:pic>
        <xdr:nvPicPr>
          <xdr:cNvPr id="4" name="Imagem 3">
            <a:extLst>
              <a:ext uri="{FF2B5EF4-FFF2-40B4-BE49-F238E27FC236}">
                <a16:creationId xmlns:a16="http://schemas.microsoft.com/office/drawing/2014/main" id="{00000000-0008-0000-09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 r="51354"/>
          <a:stretch/>
        </xdr:blipFill>
        <xdr:spPr>
          <a:xfrm>
            <a:off x="504826" y="0"/>
            <a:ext cx="1095989" cy="709846"/>
          </a:xfrm>
          <a:prstGeom prst="rect">
            <a:avLst/>
          </a:prstGeom>
        </xdr:spPr>
      </xdr:pic>
      <xdr:sp macro="" textlink="">
        <xdr:nvSpPr>
          <xdr:cNvPr id="7" name="CaixaDeTexto 6">
            <a:extLst>
              <a:ext uri="{FF2B5EF4-FFF2-40B4-BE49-F238E27FC236}">
                <a16:creationId xmlns:a16="http://schemas.microsoft.com/office/drawing/2014/main" id="{00000000-0008-0000-0900-000007000000}"/>
              </a:ext>
            </a:extLst>
          </xdr:cNvPr>
          <xdr:cNvSpPr txBox="1"/>
        </xdr:nvSpPr>
        <xdr:spPr>
          <a:xfrm>
            <a:off x="1631563" y="80847"/>
            <a:ext cx="4986283" cy="530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pt-BR" sz="1400" b="1" i="0">
                <a:solidFill>
                  <a:schemeClr val="tx1"/>
                </a:solidFill>
                <a:effectLst/>
                <a:latin typeface="+mn-lt"/>
                <a:ea typeface="+mn-ea"/>
                <a:cs typeface="+mn-cs"/>
              </a:rPr>
              <a:t>Programa Brasileiro de Etiquetagem de Edificações</a:t>
            </a:r>
          </a:p>
          <a:p>
            <a:r>
              <a:rPr lang="pt-BR" sz="1400" b="1" i="0">
                <a:solidFill>
                  <a:schemeClr val="tx1"/>
                </a:solidFill>
                <a:effectLst/>
                <a:latin typeface="+mn-lt"/>
                <a:ea typeface="+mn-ea"/>
                <a:cs typeface="+mn-cs"/>
              </a:rPr>
              <a:t>Edificações Comerciais, de Serviços e Públicas</a:t>
            </a:r>
            <a:endParaRPr lang="pt-BR" sz="1400" b="1"/>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661147</xdr:colOff>
      <xdr:row>2</xdr:row>
      <xdr:rowOff>217334</xdr:rowOff>
    </xdr:to>
    <xdr:grpSp>
      <xdr:nvGrpSpPr>
        <xdr:cNvPr id="4" name="Agrupar 3">
          <a:extLst>
            <a:ext uri="{FF2B5EF4-FFF2-40B4-BE49-F238E27FC236}">
              <a16:creationId xmlns:a16="http://schemas.microsoft.com/office/drawing/2014/main" id="{00000000-0008-0000-0C00-000004000000}"/>
            </a:ext>
          </a:extLst>
        </xdr:cNvPr>
        <xdr:cNvGrpSpPr/>
      </xdr:nvGrpSpPr>
      <xdr:grpSpPr>
        <a:xfrm>
          <a:off x="0" y="0"/>
          <a:ext cx="6106272" cy="709459"/>
          <a:chOff x="504826" y="0"/>
          <a:chExt cx="6113020" cy="709846"/>
        </a:xfrm>
      </xdr:grpSpPr>
      <xdr:pic>
        <xdr:nvPicPr>
          <xdr:cNvPr id="5" name="Imagem 4">
            <a:extLst>
              <a:ext uri="{FF2B5EF4-FFF2-40B4-BE49-F238E27FC236}">
                <a16:creationId xmlns:a16="http://schemas.microsoft.com/office/drawing/2014/main" id="{00000000-0008-0000-0C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 r="51354"/>
          <a:stretch/>
        </xdr:blipFill>
        <xdr:spPr>
          <a:xfrm>
            <a:off x="504826" y="0"/>
            <a:ext cx="1095989" cy="709846"/>
          </a:xfrm>
          <a:prstGeom prst="rect">
            <a:avLst/>
          </a:prstGeom>
        </xdr:spPr>
      </xdr:pic>
      <xdr:sp macro="" textlink="">
        <xdr:nvSpPr>
          <xdr:cNvPr id="7" name="CaixaDeTexto 6">
            <a:extLst>
              <a:ext uri="{FF2B5EF4-FFF2-40B4-BE49-F238E27FC236}">
                <a16:creationId xmlns:a16="http://schemas.microsoft.com/office/drawing/2014/main" id="{00000000-0008-0000-0C00-000007000000}"/>
              </a:ext>
            </a:extLst>
          </xdr:cNvPr>
          <xdr:cNvSpPr txBox="1"/>
        </xdr:nvSpPr>
        <xdr:spPr>
          <a:xfrm>
            <a:off x="1631563" y="80847"/>
            <a:ext cx="4986283" cy="530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pt-BR" sz="1400" b="1" i="0">
                <a:solidFill>
                  <a:schemeClr val="tx1"/>
                </a:solidFill>
                <a:effectLst/>
                <a:latin typeface="+mn-lt"/>
                <a:ea typeface="+mn-ea"/>
                <a:cs typeface="+mn-cs"/>
              </a:rPr>
              <a:t>Programa Brasileiro de Etiquetagem de Edificações</a:t>
            </a:r>
          </a:p>
          <a:p>
            <a:r>
              <a:rPr lang="pt-BR" sz="1400" b="1" i="0">
                <a:solidFill>
                  <a:schemeClr val="tx1"/>
                </a:solidFill>
                <a:effectLst/>
                <a:latin typeface="+mn-lt"/>
                <a:ea typeface="+mn-ea"/>
                <a:cs typeface="+mn-cs"/>
              </a:rPr>
              <a:t>Edificações Comerciais, de Serviços e Públicas</a:t>
            </a:r>
            <a:endParaRPr lang="pt-BR" sz="1400" b="1"/>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44824</xdr:colOff>
      <xdr:row>34</xdr:row>
      <xdr:rowOff>146796</xdr:rowOff>
    </xdr:from>
    <xdr:to>
      <xdr:col>13</xdr:col>
      <xdr:colOff>0</xdr:colOff>
      <xdr:row>62</xdr:row>
      <xdr:rowOff>78441</xdr:rowOff>
    </xdr:to>
    <xdr:graphicFrame macro="">
      <xdr:nvGraphicFramePr>
        <xdr:cNvPr id="2" name="Gráfico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16807</xdr:colOff>
      <xdr:row>34</xdr:row>
      <xdr:rowOff>146797</xdr:rowOff>
    </xdr:from>
    <xdr:to>
      <xdr:col>2</xdr:col>
      <xdr:colOff>941295</xdr:colOff>
      <xdr:row>62</xdr:row>
      <xdr:rowOff>67235</xdr:rowOff>
    </xdr:to>
    <xdr:graphicFrame macro="">
      <xdr:nvGraphicFramePr>
        <xdr:cNvPr id="3" name="Gráfico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11205</xdr:colOff>
      <xdr:row>34</xdr:row>
      <xdr:rowOff>156882</xdr:rowOff>
    </xdr:from>
    <xdr:to>
      <xdr:col>5</xdr:col>
      <xdr:colOff>907677</xdr:colOff>
      <xdr:row>62</xdr:row>
      <xdr:rowOff>77320</xdr:rowOff>
    </xdr:to>
    <xdr:graphicFrame macro="">
      <xdr:nvGraphicFramePr>
        <xdr:cNvPr id="7" name="Gráfico 6">
          <a:extLst>
            <a:ext uri="{FF2B5EF4-FFF2-40B4-BE49-F238E27FC236}">
              <a16:creationId xmlns:a16="http://schemas.microsoft.com/office/drawing/2014/main" id="{00000000-0008-0000-0E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4</xdr:col>
      <xdr:colOff>526677</xdr:colOff>
      <xdr:row>2</xdr:row>
      <xdr:rowOff>217334</xdr:rowOff>
    </xdr:to>
    <xdr:grpSp>
      <xdr:nvGrpSpPr>
        <xdr:cNvPr id="8" name="Agrupar 7">
          <a:extLst>
            <a:ext uri="{FF2B5EF4-FFF2-40B4-BE49-F238E27FC236}">
              <a16:creationId xmlns:a16="http://schemas.microsoft.com/office/drawing/2014/main" id="{7CAE592F-DCD3-4C8A-8D9E-0C208235937C}"/>
            </a:ext>
          </a:extLst>
        </xdr:cNvPr>
        <xdr:cNvGrpSpPr/>
      </xdr:nvGrpSpPr>
      <xdr:grpSpPr>
        <a:xfrm>
          <a:off x="0" y="0"/>
          <a:ext cx="6032127" cy="712634"/>
          <a:chOff x="504826" y="0"/>
          <a:chExt cx="6113020" cy="709846"/>
        </a:xfrm>
      </xdr:grpSpPr>
      <xdr:pic>
        <xdr:nvPicPr>
          <xdr:cNvPr id="9" name="Imagem 8">
            <a:extLst>
              <a:ext uri="{FF2B5EF4-FFF2-40B4-BE49-F238E27FC236}">
                <a16:creationId xmlns:a16="http://schemas.microsoft.com/office/drawing/2014/main" id="{03972D96-89A7-7367-D8E1-0C8267AB5CE3}"/>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 r="51354"/>
          <a:stretch/>
        </xdr:blipFill>
        <xdr:spPr>
          <a:xfrm>
            <a:off x="504826" y="0"/>
            <a:ext cx="1095989" cy="709846"/>
          </a:xfrm>
          <a:prstGeom prst="rect">
            <a:avLst/>
          </a:prstGeom>
        </xdr:spPr>
      </xdr:pic>
      <xdr:sp macro="" textlink="">
        <xdr:nvSpPr>
          <xdr:cNvPr id="10" name="CaixaDeTexto 9">
            <a:extLst>
              <a:ext uri="{FF2B5EF4-FFF2-40B4-BE49-F238E27FC236}">
                <a16:creationId xmlns:a16="http://schemas.microsoft.com/office/drawing/2014/main" id="{84402C2D-8623-F8F2-853F-B8141A712A44}"/>
              </a:ext>
            </a:extLst>
          </xdr:cNvPr>
          <xdr:cNvSpPr txBox="1"/>
        </xdr:nvSpPr>
        <xdr:spPr>
          <a:xfrm>
            <a:off x="1631563" y="80847"/>
            <a:ext cx="4986283" cy="530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pt-BR" sz="1400" b="1" i="0">
                <a:solidFill>
                  <a:schemeClr val="tx1"/>
                </a:solidFill>
                <a:effectLst/>
                <a:latin typeface="+mn-lt"/>
                <a:ea typeface="+mn-ea"/>
                <a:cs typeface="+mn-cs"/>
              </a:rPr>
              <a:t>Programa Brasileiro de Etiquetagem de Edificações</a:t>
            </a:r>
          </a:p>
          <a:p>
            <a:r>
              <a:rPr lang="pt-BR" sz="1400" b="1" i="0">
                <a:solidFill>
                  <a:schemeClr val="tx1"/>
                </a:solidFill>
                <a:effectLst/>
                <a:latin typeface="+mn-lt"/>
                <a:ea typeface="+mn-ea"/>
                <a:cs typeface="+mn-cs"/>
              </a:rPr>
              <a:t>Edificações Comerciais, de Serviços e Públicas</a:t>
            </a:r>
            <a:endParaRPr lang="pt-BR" sz="1400" b="1"/>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3126441</xdr:colOff>
      <xdr:row>2</xdr:row>
      <xdr:rowOff>221603</xdr:rowOff>
    </xdr:to>
    <xdr:grpSp>
      <xdr:nvGrpSpPr>
        <xdr:cNvPr id="2" name="Agrupar 1">
          <a:extLst>
            <a:ext uri="{FF2B5EF4-FFF2-40B4-BE49-F238E27FC236}">
              <a16:creationId xmlns:a16="http://schemas.microsoft.com/office/drawing/2014/main" id="{B2961913-5FD4-45F4-B48D-3ECCFEB3FDC3}"/>
            </a:ext>
          </a:extLst>
        </xdr:cNvPr>
        <xdr:cNvGrpSpPr/>
      </xdr:nvGrpSpPr>
      <xdr:grpSpPr>
        <a:xfrm>
          <a:off x="0" y="0"/>
          <a:ext cx="6155391" cy="716903"/>
          <a:chOff x="504826" y="0"/>
          <a:chExt cx="6113020" cy="709846"/>
        </a:xfrm>
      </xdr:grpSpPr>
      <xdr:pic>
        <xdr:nvPicPr>
          <xdr:cNvPr id="3" name="Imagem 2">
            <a:extLst>
              <a:ext uri="{FF2B5EF4-FFF2-40B4-BE49-F238E27FC236}">
                <a16:creationId xmlns:a16="http://schemas.microsoft.com/office/drawing/2014/main" id="{493019AB-2C57-7FFD-D419-8452BD38036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 r="51354"/>
          <a:stretch/>
        </xdr:blipFill>
        <xdr:spPr>
          <a:xfrm>
            <a:off x="504826" y="0"/>
            <a:ext cx="1095989" cy="709846"/>
          </a:xfrm>
          <a:prstGeom prst="rect">
            <a:avLst/>
          </a:prstGeom>
        </xdr:spPr>
      </xdr:pic>
      <xdr:sp macro="" textlink="">
        <xdr:nvSpPr>
          <xdr:cNvPr id="4" name="CaixaDeTexto 3">
            <a:extLst>
              <a:ext uri="{FF2B5EF4-FFF2-40B4-BE49-F238E27FC236}">
                <a16:creationId xmlns:a16="http://schemas.microsoft.com/office/drawing/2014/main" id="{56EE0BDE-9FFE-925D-262B-98AAC42E23F5}"/>
              </a:ext>
            </a:extLst>
          </xdr:cNvPr>
          <xdr:cNvSpPr txBox="1"/>
        </xdr:nvSpPr>
        <xdr:spPr>
          <a:xfrm>
            <a:off x="1631563" y="80847"/>
            <a:ext cx="4986283" cy="530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pt-BR" sz="1400" b="1" i="0">
                <a:solidFill>
                  <a:schemeClr val="tx1"/>
                </a:solidFill>
                <a:effectLst/>
                <a:latin typeface="+mn-lt"/>
                <a:ea typeface="+mn-ea"/>
                <a:cs typeface="+mn-cs"/>
              </a:rPr>
              <a:t>Programa Brasileiro de Etiquetagem de Edificações</a:t>
            </a:r>
          </a:p>
          <a:p>
            <a:r>
              <a:rPr lang="pt-BR" sz="1400" b="1" i="0">
                <a:solidFill>
                  <a:schemeClr val="tx1"/>
                </a:solidFill>
                <a:effectLst/>
                <a:latin typeface="+mn-lt"/>
                <a:ea typeface="+mn-ea"/>
                <a:cs typeface="+mn-cs"/>
              </a:rPr>
              <a:t>Edificações Comerciais, de Serviços e Públicas</a:t>
            </a:r>
            <a:endParaRPr lang="pt-BR" sz="1400" b="1"/>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994123</xdr:colOff>
      <xdr:row>2</xdr:row>
      <xdr:rowOff>217334</xdr:rowOff>
    </xdr:to>
    <xdr:grpSp>
      <xdr:nvGrpSpPr>
        <xdr:cNvPr id="2" name="Agrupar 1">
          <a:extLst>
            <a:ext uri="{FF2B5EF4-FFF2-40B4-BE49-F238E27FC236}">
              <a16:creationId xmlns:a16="http://schemas.microsoft.com/office/drawing/2014/main" id="{A5D2FA24-BCD2-433D-A6BC-A0C8424E57C9}"/>
            </a:ext>
          </a:extLst>
        </xdr:cNvPr>
        <xdr:cNvGrpSpPr/>
      </xdr:nvGrpSpPr>
      <xdr:grpSpPr>
        <a:xfrm>
          <a:off x="0" y="0"/>
          <a:ext cx="7158159" cy="707191"/>
          <a:chOff x="504826" y="0"/>
          <a:chExt cx="6113020" cy="709846"/>
        </a:xfrm>
      </xdr:grpSpPr>
      <xdr:pic>
        <xdr:nvPicPr>
          <xdr:cNvPr id="3" name="Imagem 2">
            <a:extLst>
              <a:ext uri="{FF2B5EF4-FFF2-40B4-BE49-F238E27FC236}">
                <a16:creationId xmlns:a16="http://schemas.microsoft.com/office/drawing/2014/main" id="{7896A302-7694-2EFB-4532-FC4CF31E7BB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 r="51354"/>
          <a:stretch/>
        </xdr:blipFill>
        <xdr:spPr>
          <a:xfrm>
            <a:off x="504826" y="0"/>
            <a:ext cx="1095989" cy="709846"/>
          </a:xfrm>
          <a:prstGeom prst="rect">
            <a:avLst/>
          </a:prstGeom>
        </xdr:spPr>
      </xdr:pic>
      <xdr:sp macro="" textlink="">
        <xdr:nvSpPr>
          <xdr:cNvPr id="7" name="CaixaDeTexto 6">
            <a:extLst>
              <a:ext uri="{FF2B5EF4-FFF2-40B4-BE49-F238E27FC236}">
                <a16:creationId xmlns:a16="http://schemas.microsoft.com/office/drawing/2014/main" id="{4F342A61-6DB1-A6D3-E804-C79AB7A38A9F}"/>
              </a:ext>
            </a:extLst>
          </xdr:cNvPr>
          <xdr:cNvSpPr txBox="1"/>
        </xdr:nvSpPr>
        <xdr:spPr>
          <a:xfrm>
            <a:off x="1631563" y="80847"/>
            <a:ext cx="4986283" cy="530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pt-BR" sz="1400" b="1" i="0">
                <a:solidFill>
                  <a:schemeClr val="tx1"/>
                </a:solidFill>
                <a:effectLst/>
                <a:latin typeface="+mn-lt"/>
                <a:ea typeface="+mn-ea"/>
                <a:cs typeface="+mn-cs"/>
              </a:rPr>
              <a:t>Programa Brasileiro de Etiquetagem de Edificações</a:t>
            </a:r>
          </a:p>
          <a:p>
            <a:r>
              <a:rPr lang="pt-BR" sz="1400" b="1" i="0">
                <a:solidFill>
                  <a:schemeClr val="tx1"/>
                </a:solidFill>
                <a:effectLst/>
                <a:latin typeface="+mn-lt"/>
                <a:ea typeface="+mn-ea"/>
                <a:cs typeface="+mn-cs"/>
              </a:rPr>
              <a:t>Edificações Comerciais, de Serviços e Públicas</a:t>
            </a:r>
            <a:endParaRPr lang="pt-BR" sz="1400" b="1"/>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526677</xdr:colOff>
      <xdr:row>2</xdr:row>
      <xdr:rowOff>217334</xdr:rowOff>
    </xdr:to>
    <xdr:grpSp>
      <xdr:nvGrpSpPr>
        <xdr:cNvPr id="2" name="Agrupar 1">
          <a:extLst>
            <a:ext uri="{FF2B5EF4-FFF2-40B4-BE49-F238E27FC236}">
              <a16:creationId xmlns:a16="http://schemas.microsoft.com/office/drawing/2014/main" id="{00000000-0008-0000-0300-000002000000}"/>
            </a:ext>
          </a:extLst>
        </xdr:cNvPr>
        <xdr:cNvGrpSpPr/>
      </xdr:nvGrpSpPr>
      <xdr:grpSpPr>
        <a:xfrm>
          <a:off x="0" y="0"/>
          <a:ext cx="6110708" cy="717397"/>
          <a:chOff x="504826" y="0"/>
          <a:chExt cx="6113020" cy="709846"/>
        </a:xfrm>
      </xdr:grpSpPr>
      <xdr:pic>
        <xdr:nvPicPr>
          <xdr:cNvPr id="3" name="Imagem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 r="51354"/>
          <a:stretch/>
        </xdr:blipFill>
        <xdr:spPr>
          <a:xfrm>
            <a:off x="504826" y="0"/>
            <a:ext cx="1095989" cy="709846"/>
          </a:xfrm>
          <a:prstGeom prst="rect">
            <a:avLst/>
          </a:prstGeom>
        </xdr:spPr>
      </xdr:pic>
      <xdr:sp macro="" textlink="">
        <xdr:nvSpPr>
          <xdr:cNvPr id="4" name="CaixaDeTexto 3">
            <a:extLst>
              <a:ext uri="{FF2B5EF4-FFF2-40B4-BE49-F238E27FC236}">
                <a16:creationId xmlns:a16="http://schemas.microsoft.com/office/drawing/2014/main" id="{00000000-0008-0000-0300-000004000000}"/>
              </a:ext>
            </a:extLst>
          </xdr:cNvPr>
          <xdr:cNvSpPr txBox="1"/>
        </xdr:nvSpPr>
        <xdr:spPr>
          <a:xfrm>
            <a:off x="1631563" y="80847"/>
            <a:ext cx="4986283" cy="530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pt-BR" sz="1400" b="1" i="0">
                <a:solidFill>
                  <a:schemeClr val="tx1"/>
                </a:solidFill>
                <a:effectLst/>
                <a:latin typeface="+mn-lt"/>
                <a:ea typeface="+mn-ea"/>
                <a:cs typeface="+mn-cs"/>
              </a:rPr>
              <a:t>Programa Brasileiro de Etiquetagem de Edificações</a:t>
            </a:r>
          </a:p>
          <a:p>
            <a:r>
              <a:rPr lang="pt-BR" sz="1400" b="1" i="0">
                <a:solidFill>
                  <a:schemeClr val="tx1"/>
                </a:solidFill>
                <a:effectLst/>
                <a:latin typeface="+mn-lt"/>
                <a:ea typeface="+mn-ea"/>
                <a:cs typeface="+mn-cs"/>
              </a:rPr>
              <a:t>Edificações Comerciais, de Serviços e Públicas</a:t>
            </a:r>
            <a:endParaRPr lang="pt-BR" sz="1400" b="1"/>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560294</xdr:colOff>
      <xdr:row>2</xdr:row>
      <xdr:rowOff>161305</xdr:rowOff>
    </xdr:to>
    <xdr:grpSp>
      <xdr:nvGrpSpPr>
        <xdr:cNvPr id="2" name="Agrupar 1">
          <a:extLst>
            <a:ext uri="{FF2B5EF4-FFF2-40B4-BE49-F238E27FC236}">
              <a16:creationId xmlns:a16="http://schemas.microsoft.com/office/drawing/2014/main" id="{00000000-0008-0000-0400-000002000000}"/>
            </a:ext>
          </a:extLst>
        </xdr:cNvPr>
        <xdr:cNvGrpSpPr/>
      </xdr:nvGrpSpPr>
      <xdr:grpSpPr>
        <a:xfrm>
          <a:off x="0" y="0"/>
          <a:ext cx="6118412" cy="710393"/>
          <a:chOff x="504826" y="0"/>
          <a:chExt cx="6113020" cy="709846"/>
        </a:xfrm>
      </xdr:grpSpPr>
      <xdr:pic>
        <xdr:nvPicPr>
          <xdr:cNvPr id="3" name="Imagem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 r="51354"/>
          <a:stretch/>
        </xdr:blipFill>
        <xdr:spPr>
          <a:xfrm>
            <a:off x="504826" y="0"/>
            <a:ext cx="1095989" cy="709846"/>
          </a:xfrm>
          <a:prstGeom prst="rect">
            <a:avLst/>
          </a:prstGeom>
        </xdr:spPr>
      </xdr:pic>
      <xdr:sp macro="" textlink="">
        <xdr:nvSpPr>
          <xdr:cNvPr id="4" name="CaixaDeTexto 3">
            <a:extLst>
              <a:ext uri="{FF2B5EF4-FFF2-40B4-BE49-F238E27FC236}">
                <a16:creationId xmlns:a16="http://schemas.microsoft.com/office/drawing/2014/main" id="{00000000-0008-0000-0400-000004000000}"/>
              </a:ext>
            </a:extLst>
          </xdr:cNvPr>
          <xdr:cNvSpPr txBox="1"/>
        </xdr:nvSpPr>
        <xdr:spPr>
          <a:xfrm>
            <a:off x="1631563" y="80847"/>
            <a:ext cx="4986283" cy="530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pt-BR" sz="1400" b="1" i="0">
                <a:solidFill>
                  <a:schemeClr val="tx1"/>
                </a:solidFill>
                <a:effectLst/>
                <a:latin typeface="+mn-lt"/>
                <a:ea typeface="+mn-ea"/>
                <a:cs typeface="+mn-cs"/>
              </a:rPr>
              <a:t>Programa Brasileiro de Etiquetagem de Edificações</a:t>
            </a:r>
          </a:p>
          <a:p>
            <a:r>
              <a:rPr lang="pt-BR" sz="1400" b="1" i="0">
                <a:solidFill>
                  <a:schemeClr val="tx1"/>
                </a:solidFill>
                <a:effectLst/>
                <a:latin typeface="+mn-lt"/>
                <a:ea typeface="+mn-ea"/>
                <a:cs typeface="+mn-cs"/>
              </a:rPr>
              <a:t>Edificações Comerciais, de Serviços e Públicas</a:t>
            </a:r>
            <a:endParaRPr lang="pt-BR" sz="1400" b="1"/>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560294</xdr:colOff>
      <xdr:row>2</xdr:row>
      <xdr:rowOff>161305</xdr:rowOff>
    </xdr:to>
    <xdr:grpSp>
      <xdr:nvGrpSpPr>
        <xdr:cNvPr id="2" name="Agrupar 1">
          <a:extLst>
            <a:ext uri="{FF2B5EF4-FFF2-40B4-BE49-F238E27FC236}">
              <a16:creationId xmlns:a16="http://schemas.microsoft.com/office/drawing/2014/main" id="{00000000-0008-0000-0500-000002000000}"/>
            </a:ext>
          </a:extLst>
        </xdr:cNvPr>
        <xdr:cNvGrpSpPr/>
      </xdr:nvGrpSpPr>
      <xdr:grpSpPr>
        <a:xfrm>
          <a:off x="0" y="0"/>
          <a:ext cx="6129618" cy="710393"/>
          <a:chOff x="504826" y="0"/>
          <a:chExt cx="6113020" cy="709846"/>
        </a:xfrm>
      </xdr:grpSpPr>
      <xdr:pic>
        <xdr:nvPicPr>
          <xdr:cNvPr id="3" name="Imagem 2">
            <a:extLst>
              <a:ext uri="{FF2B5EF4-FFF2-40B4-BE49-F238E27FC236}">
                <a16:creationId xmlns:a16="http://schemas.microsoft.com/office/drawing/2014/main" id="{00000000-0008-0000-05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 r="51354"/>
          <a:stretch/>
        </xdr:blipFill>
        <xdr:spPr>
          <a:xfrm>
            <a:off x="504826" y="0"/>
            <a:ext cx="1095989" cy="709846"/>
          </a:xfrm>
          <a:prstGeom prst="rect">
            <a:avLst/>
          </a:prstGeom>
        </xdr:spPr>
      </xdr:pic>
      <xdr:sp macro="" textlink="">
        <xdr:nvSpPr>
          <xdr:cNvPr id="4" name="CaixaDeTexto 3">
            <a:extLst>
              <a:ext uri="{FF2B5EF4-FFF2-40B4-BE49-F238E27FC236}">
                <a16:creationId xmlns:a16="http://schemas.microsoft.com/office/drawing/2014/main" id="{00000000-0008-0000-0500-000004000000}"/>
              </a:ext>
            </a:extLst>
          </xdr:cNvPr>
          <xdr:cNvSpPr txBox="1"/>
        </xdr:nvSpPr>
        <xdr:spPr>
          <a:xfrm>
            <a:off x="1631563" y="80847"/>
            <a:ext cx="4986283" cy="530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pt-BR" sz="1400" b="1" i="0">
                <a:solidFill>
                  <a:schemeClr val="tx1"/>
                </a:solidFill>
                <a:effectLst/>
                <a:latin typeface="+mn-lt"/>
                <a:ea typeface="+mn-ea"/>
                <a:cs typeface="+mn-cs"/>
              </a:rPr>
              <a:t>Programa Brasileiro de Etiquetagem de Edificações</a:t>
            </a:r>
          </a:p>
          <a:p>
            <a:r>
              <a:rPr lang="pt-BR" sz="1400" b="1" i="0">
                <a:solidFill>
                  <a:schemeClr val="tx1"/>
                </a:solidFill>
                <a:effectLst/>
                <a:latin typeface="+mn-lt"/>
                <a:ea typeface="+mn-ea"/>
                <a:cs typeface="+mn-cs"/>
              </a:rPr>
              <a:t>Edificações Comerciais, de Serviços e Públicas</a:t>
            </a:r>
            <a:endParaRPr lang="pt-BR" sz="1400" b="1"/>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1916206</xdr:colOff>
      <xdr:row>2</xdr:row>
      <xdr:rowOff>217334</xdr:rowOff>
    </xdr:to>
    <xdr:grpSp>
      <xdr:nvGrpSpPr>
        <xdr:cNvPr id="2" name="Agrupar 1">
          <a:extLst>
            <a:ext uri="{FF2B5EF4-FFF2-40B4-BE49-F238E27FC236}">
              <a16:creationId xmlns:a16="http://schemas.microsoft.com/office/drawing/2014/main" id="{00000000-0008-0000-0600-000002000000}"/>
            </a:ext>
          </a:extLst>
        </xdr:cNvPr>
        <xdr:cNvGrpSpPr/>
      </xdr:nvGrpSpPr>
      <xdr:grpSpPr>
        <a:xfrm>
          <a:off x="0" y="0"/>
          <a:ext cx="6107206" cy="712634"/>
          <a:chOff x="504826" y="0"/>
          <a:chExt cx="6113020" cy="709846"/>
        </a:xfrm>
      </xdr:grpSpPr>
      <xdr:pic>
        <xdr:nvPicPr>
          <xdr:cNvPr id="3" name="Imagem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 r="51354"/>
          <a:stretch/>
        </xdr:blipFill>
        <xdr:spPr>
          <a:xfrm>
            <a:off x="504826" y="0"/>
            <a:ext cx="1095989" cy="709846"/>
          </a:xfrm>
          <a:prstGeom prst="rect">
            <a:avLst/>
          </a:prstGeom>
        </xdr:spPr>
      </xdr:pic>
      <xdr:sp macro="" textlink="">
        <xdr:nvSpPr>
          <xdr:cNvPr id="4" name="CaixaDeTexto 3">
            <a:extLst>
              <a:ext uri="{FF2B5EF4-FFF2-40B4-BE49-F238E27FC236}">
                <a16:creationId xmlns:a16="http://schemas.microsoft.com/office/drawing/2014/main" id="{00000000-0008-0000-0600-000004000000}"/>
              </a:ext>
            </a:extLst>
          </xdr:cNvPr>
          <xdr:cNvSpPr txBox="1"/>
        </xdr:nvSpPr>
        <xdr:spPr>
          <a:xfrm>
            <a:off x="1631563" y="80847"/>
            <a:ext cx="4986283" cy="530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pt-BR" sz="1400" b="1" i="0">
                <a:solidFill>
                  <a:schemeClr val="tx1"/>
                </a:solidFill>
                <a:effectLst/>
                <a:latin typeface="+mn-lt"/>
                <a:ea typeface="+mn-ea"/>
                <a:cs typeface="+mn-cs"/>
              </a:rPr>
              <a:t>Programa Brasileiro de Etiquetagem de Edificações</a:t>
            </a:r>
          </a:p>
          <a:p>
            <a:r>
              <a:rPr lang="pt-BR" sz="1400" b="1" i="0">
                <a:solidFill>
                  <a:schemeClr val="tx1"/>
                </a:solidFill>
                <a:effectLst/>
                <a:latin typeface="+mn-lt"/>
                <a:ea typeface="+mn-ea"/>
                <a:cs typeface="+mn-cs"/>
              </a:rPr>
              <a:t>Edificações Comerciais, de Serviços e Públicas</a:t>
            </a:r>
            <a:endParaRPr lang="pt-BR" sz="1400" b="1"/>
          </a:p>
        </xdr:txBody>
      </xdr:sp>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38422</xdr:colOff>
      <xdr:row>24</xdr:row>
      <xdr:rowOff>115259</xdr:rowOff>
    </xdr:from>
    <xdr:to>
      <xdr:col>9</xdr:col>
      <xdr:colOff>2144510</xdr:colOff>
      <xdr:row>34</xdr:row>
      <xdr:rowOff>141876</xdr:rowOff>
    </xdr:to>
    <xdr:pic>
      <xdr:nvPicPr>
        <xdr:cNvPr id="5" name="Imagem 4">
          <a:extLst>
            <a:ext uri="{FF2B5EF4-FFF2-40B4-BE49-F238E27FC236}">
              <a16:creationId xmlns:a16="http://schemas.microsoft.com/office/drawing/2014/main" id="{353B6689-A0C1-4C7C-B5A1-4A8DD03D8456}"/>
            </a:ext>
          </a:extLst>
        </xdr:cNvPr>
        <xdr:cNvPicPr>
          <a:picLocks noChangeAspect="1"/>
        </xdr:cNvPicPr>
      </xdr:nvPicPr>
      <xdr:blipFill>
        <a:blip xmlns:r="http://schemas.openxmlformats.org/officeDocument/2006/relationships" r:embed="rId1"/>
        <a:stretch>
          <a:fillRect/>
        </a:stretch>
      </xdr:blipFill>
      <xdr:spPr>
        <a:xfrm>
          <a:off x="11865430" y="8510066"/>
          <a:ext cx="6544588" cy="4258269"/>
        </a:xfrm>
        <a:prstGeom prst="rect">
          <a:avLst/>
        </a:prstGeom>
      </xdr:spPr>
    </xdr:pic>
    <xdr:clientData/>
  </xdr:twoCellAnchor>
  <xdr:twoCellAnchor editAs="oneCell">
    <xdr:from>
      <xdr:col>11</xdr:col>
      <xdr:colOff>301392</xdr:colOff>
      <xdr:row>50</xdr:row>
      <xdr:rowOff>254799</xdr:rowOff>
    </xdr:from>
    <xdr:to>
      <xdr:col>14</xdr:col>
      <xdr:colOff>103552</xdr:colOff>
      <xdr:row>56</xdr:row>
      <xdr:rowOff>69088</xdr:rowOff>
    </xdr:to>
    <xdr:pic>
      <xdr:nvPicPr>
        <xdr:cNvPr id="7" name="Imagem 6">
          <a:extLst>
            <a:ext uri="{FF2B5EF4-FFF2-40B4-BE49-F238E27FC236}">
              <a16:creationId xmlns:a16="http://schemas.microsoft.com/office/drawing/2014/main" id="{E2A1C209-3A63-890A-01F4-E17C9242B84E}"/>
            </a:ext>
          </a:extLst>
        </xdr:cNvPr>
        <xdr:cNvPicPr>
          <a:picLocks noChangeAspect="1"/>
        </xdr:cNvPicPr>
      </xdr:nvPicPr>
      <xdr:blipFill>
        <a:blip xmlns:r="http://schemas.openxmlformats.org/officeDocument/2006/relationships" r:embed="rId2"/>
        <a:stretch>
          <a:fillRect/>
        </a:stretch>
      </xdr:blipFill>
      <xdr:spPr>
        <a:xfrm>
          <a:off x="15118059" y="17537382"/>
          <a:ext cx="4839818" cy="1909781"/>
        </a:xfrm>
        <a:prstGeom prst="rect">
          <a:avLst/>
        </a:prstGeom>
      </xdr:spPr>
    </xdr:pic>
    <xdr:clientData/>
  </xdr:twoCellAnchor>
  <xdr:twoCellAnchor>
    <xdr:from>
      <xdr:col>0</xdr:col>
      <xdr:colOff>0</xdr:colOff>
      <xdr:row>0</xdr:row>
      <xdr:rowOff>0</xdr:rowOff>
    </xdr:from>
    <xdr:to>
      <xdr:col>6</xdr:col>
      <xdr:colOff>398610</xdr:colOff>
      <xdr:row>2</xdr:row>
      <xdr:rowOff>217334</xdr:rowOff>
    </xdr:to>
    <xdr:grpSp>
      <xdr:nvGrpSpPr>
        <xdr:cNvPr id="8" name="Agrupar 7">
          <a:extLst>
            <a:ext uri="{FF2B5EF4-FFF2-40B4-BE49-F238E27FC236}">
              <a16:creationId xmlns:a16="http://schemas.microsoft.com/office/drawing/2014/main" id="{CCCC3BCB-237D-4DD4-A217-62EA41073F68}"/>
            </a:ext>
          </a:extLst>
        </xdr:cNvPr>
        <xdr:cNvGrpSpPr/>
      </xdr:nvGrpSpPr>
      <xdr:grpSpPr>
        <a:xfrm>
          <a:off x="0" y="0"/>
          <a:ext cx="6022501" cy="714291"/>
          <a:chOff x="504826" y="0"/>
          <a:chExt cx="6113020" cy="709846"/>
        </a:xfrm>
      </xdr:grpSpPr>
      <xdr:pic>
        <xdr:nvPicPr>
          <xdr:cNvPr id="9" name="Imagem 8">
            <a:extLst>
              <a:ext uri="{FF2B5EF4-FFF2-40B4-BE49-F238E27FC236}">
                <a16:creationId xmlns:a16="http://schemas.microsoft.com/office/drawing/2014/main" id="{FF526C92-4638-65CE-81AD-13B55D40B994}"/>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 r="51354"/>
          <a:stretch/>
        </xdr:blipFill>
        <xdr:spPr>
          <a:xfrm>
            <a:off x="504826" y="0"/>
            <a:ext cx="1095989" cy="709846"/>
          </a:xfrm>
          <a:prstGeom prst="rect">
            <a:avLst/>
          </a:prstGeom>
        </xdr:spPr>
      </xdr:pic>
      <xdr:sp macro="" textlink="">
        <xdr:nvSpPr>
          <xdr:cNvPr id="10" name="CaixaDeTexto 9">
            <a:extLst>
              <a:ext uri="{FF2B5EF4-FFF2-40B4-BE49-F238E27FC236}">
                <a16:creationId xmlns:a16="http://schemas.microsoft.com/office/drawing/2014/main" id="{DF2C7961-FDEC-1D5B-EC9C-4FA752D49631}"/>
              </a:ext>
            </a:extLst>
          </xdr:cNvPr>
          <xdr:cNvSpPr txBox="1"/>
        </xdr:nvSpPr>
        <xdr:spPr>
          <a:xfrm>
            <a:off x="1631563" y="80847"/>
            <a:ext cx="4986283" cy="530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pt-BR" sz="1400" b="1" i="0">
                <a:solidFill>
                  <a:schemeClr val="tx1"/>
                </a:solidFill>
                <a:effectLst/>
                <a:latin typeface="+mn-lt"/>
                <a:ea typeface="+mn-ea"/>
                <a:cs typeface="+mn-cs"/>
              </a:rPr>
              <a:t>Programa Brasileiro de Etiquetagem de Edificações</a:t>
            </a:r>
          </a:p>
          <a:p>
            <a:r>
              <a:rPr lang="pt-BR" sz="1400" b="1" i="0">
                <a:solidFill>
                  <a:schemeClr val="tx1"/>
                </a:solidFill>
                <a:effectLst/>
                <a:latin typeface="+mn-lt"/>
                <a:ea typeface="+mn-ea"/>
                <a:cs typeface="+mn-cs"/>
              </a:rPr>
              <a:t>Edificações Comerciais, de Serviços e Públicas</a:t>
            </a:r>
            <a:endParaRPr lang="pt-BR" sz="1400" b="1"/>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33618</xdr:colOff>
      <xdr:row>2</xdr:row>
      <xdr:rowOff>217334</xdr:rowOff>
    </xdr:to>
    <xdr:grpSp>
      <xdr:nvGrpSpPr>
        <xdr:cNvPr id="2" name="Agrupar 1">
          <a:extLst>
            <a:ext uri="{FF2B5EF4-FFF2-40B4-BE49-F238E27FC236}">
              <a16:creationId xmlns:a16="http://schemas.microsoft.com/office/drawing/2014/main" id="{00000000-0008-0000-0200-000002000000}"/>
            </a:ext>
          </a:extLst>
        </xdr:cNvPr>
        <xdr:cNvGrpSpPr/>
      </xdr:nvGrpSpPr>
      <xdr:grpSpPr>
        <a:xfrm>
          <a:off x="0" y="0"/>
          <a:ext cx="6140201" cy="704167"/>
          <a:chOff x="504826" y="0"/>
          <a:chExt cx="6113020" cy="709846"/>
        </a:xfrm>
      </xdr:grpSpPr>
      <xdr:pic>
        <xdr:nvPicPr>
          <xdr:cNvPr id="3" name="Imagem 2">
            <a:extLst>
              <a:ext uri="{FF2B5EF4-FFF2-40B4-BE49-F238E27FC236}">
                <a16:creationId xmlns:a16="http://schemas.microsoft.com/office/drawing/2014/main" id="{00000000-0008-0000-02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 r="51354"/>
          <a:stretch/>
        </xdr:blipFill>
        <xdr:spPr>
          <a:xfrm>
            <a:off x="504826" y="0"/>
            <a:ext cx="1095989" cy="709846"/>
          </a:xfrm>
          <a:prstGeom prst="rect">
            <a:avLst/>
          </a:prstGeom>
        </xdr:spPr>
      </xdr:pic>
      <xdr:sp macro="" textlink="">
        <xdr:nvSpPr>
          <xdr:cNvPr id="4" name="CaixaDeTexto 3">
            <a:extLst>
              <a:ext uri="{FF2B5EF4-FFF2-40B4-BE49-F238E27FC236}">
                <a16:creationId xmlns:a16="http://schemas.microsoft.com/office/drawing/2014/main" id="{00000000-0008-0000-0200-000004000000}"/>
              </a:ext>
            </a:extLst>
          </xdr:cNvPr>
          <xdr:cNvSpPr txBox="1"/>
        </xdr:nvSpPr>
        <xdr:spPr>
          <a:xfrm>
            <a:off x="1631563" y="80847"/>
            <a:ext cx="4986283" cy="530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pt-BR" sz="1400" b="1" i="0">
                <a:solidFill>
                  <a:schemeClr val="tx1"/>
                </a:solidFill>
                <a:effectLst/>
                <a:latin typeface="+mn-lt"/>
                <a:ea typeface="+mn-ea"/>
                <a:cs typeface="+mn-cs"/>
              </a:rPr>
              <a:t>Programa Brasileiro de Etiquetagem de Edificações</a:t>
            </a:r>
          </a:p>
          <a:p>
            <a:r>
              <a:rPr lang="pt-BR" sz="1400" b="1" i="0">
                <a:solidFill>
                  <a:schemeClr val="tx1"/>
                </a:solidFill>
                <a:effectLst/>
                <a:latin typeface="+mn-lt"/>
                <a:ea typeface="+mn-ea"/>
                <a:cs typeface="+mn-cs"/>
              </a:rPr>
              <a:t>Edificações Comerciais, de Serviços e Públicas</a:t>
            </a:r>
            <a:endParaRPr lang="pt-BR" sz="1400" b="1"/>
          </a:p>
        </xdr:txBody>
      </xdr:sp>
    </xdr:grp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Geraldi\Documents\Documents\PBE\02%20metamodelo%20excel\planilha_para_metamodelo_exe.xlsx" TargetMode="External"/><Relationship Id="rId1" Type="http://schemas.openxmlformats.org/officeDocument/2006/relationships/externalLinkPath" Target="file:///C:\Users\Geraldi\Documents\Documents\PBE\02%20metamodelo%20excel\planilha_para_metamodelo_ex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obre"/>
      <sheetName val="Geral"/>
      <sheetName val="Envoltória"/>
      <sheetName val="Componentes"/>
      <sheetName val="Aux_Lista"/>
      <sheetName val="Aux_TBS"/>
      <sheetName val="CB3E_Envoltória"/>
      <sheetName val="DadosClimaticos"/>
      <sheetName val="Lista_cidad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A1" t="str">
            <v>AC</v>
          </cell>
          <cell r="B1" t="str">
            <v>AL</v>
          </cell>
          <cell r="C1" t="str">
            <v>AM</v>
          </cell>
          <cell r="D1" t="str">
            <v>AP</v>
          </cell>
          <cell r="E1" t="str">
            <v>BA</v>
          </cell>
          <cell r="F1" t="str">
            <v>CE</v>
          </cell>
          <cell r="G1" t="str">
            <v>DF</v>
          </cell>
          <cell r="H1" t="str">
            <v>ES</v>
          </cell>
          <cell r="I1" t="str">
            <v>GO</v>
          </cell>
          <cell r="J1" t="str">
            <v>MA</v>
          </cell>
          <cell r="K1" t="str">
            <v>MG</v>
          </cell>
          <cell r="L1" t="str">
            <v>MS</v>
          </cell>
          <cell r="M1" t="str">
            <v>MT</v>
          </cell>
          <cell r="N1" t="str">
            <v>PA</v>
          </cell>
          <cell r="O1" t="str">
            <v>PB</v>
          </cell>
          <cell r="P1" t="str">
            <v>PE</v>
          </cell>
          <cell r="Q1" t="str">
            <v>PI</v>
          </cell>
          <cell r="R1" t="str">
            <v>PR</v>
          </cell>
          <cell r="S1" t="str">
            <v>RJ</v>
          </cell>
          <cell r="T1" t="str">
            <v>RN</v>
          </cell>
          <cell r="U1" t="str">
            <v>RO</v>
          </cell>
          <cell r="V1" t="str">
            <v>RR</v>
          </cell>
          <cell r="W1" t="str">
            <v>RS</v>
          </cell>
          <cell r="X1" t="str">
            <v>SC</v>
          </cell>
          <cell r="Y1" t="str">
            <v>SE</v>
          </cell>
          <cell r="Z1" t="str">
            <v>SP</v>
          </cell>
          <cell r="AA1" t="str">
            <v>TO</v>
          </cell>
        </row>
      </sheetData>
    </sheetDataSet>
  </externalBook>
</externalLink>
</file>

<file path=xl/theme/theme1.xml><?xml version="1.0" encoding="utf-8"?>
<a:theme xmlns:a="http://schemas.openxmlformats.org/drawingml/2006/main" name="Tema do 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3.xml"/><Relationship Id="rId1" Type="http://schemas.openxmlformats.org/officeDocument/2006/relationships/printerSettings" Target="../printerSettings/printerSettings11.bin"/><Relationship Id="rId4"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
  <dimension ref="A1:E38"/>
  <sheetViews>
    <sheetView showGridLines="0" zoomScale="85" zoomScaleNormal="85" workbookViewId="0">
      <selection activeCell="B28" sqref="B28"/>
    </sheetView>
  </sheetViews>
  <sheetFormatPr defaultColWidth="9.140625" defaultRowHeight="15" x14ac:dyDescent="0.25"/>
  <cols>
    <col min="1" max="1" width="5.7109375" style="11" customWidth="1"/>
    <col min="2" max="2" width="45.7109375" style="11" customWidth="1"/>
    <col min="3" max="3" width="5.7109375" style="11" customWidth="1"/>
    <col min="4" max="4" width="63.5703125" style="11" customWidth="1"/>
    <col min="5" max="5" width="5.7109375" style="11" customWidth="1"/>
    <col min="6" max="16384" width="9.140625" style="11"/>
  </cols>
  <sheetData>
    <row r="1" spans="1:5" ht="20.100000000000001" customHeight="1" x14ac:dyDescent="0.25">
      <c r="A1"/>
      <c r="B1"/>
      <c r="C1"/>
      <c r="D1"/>
      <c r="E1" s="29"/>
    </row>
    <row r="2" spans="1:5" ht="20.100000000000001" customHeight="1" x14ac:dyDescent="0.25">
      <c r="A2"/>
      <c r="B2"/>
      <c r="C2"/>
      <c r="D2"/>
      <c r="E2" s="29"/>
    </row>
    <row r="3" spans="1:5" s="12" customFormat="1" ht="20.100000000000001" customHeight="1" x14ac:dyDescent="0.25">
      <c r="A3" s="10"/>
      <c r="B3" s="10"/>
      <c r="C3" s="10"/>
      <c r="D3" s="10"/>
      <c r="E3" s="10"/>
    </row>
    <row r="4" spans="1:5" x14ac:dyDescent="0.25">
      <c r="A4"/>
      <c r="B4"/>
      <c r="C4"/>
      <c r="D4"/>
      <c r="E4"/>
    </row>
    <row r="5" spans="1:5" ht="18.75" x14ac:dyDescent="0.3">
      <c r="A5" s="22"/>
      <c r="B5" s="23" t="s">
        <v>0</v>
      </c>
      <c r="C5" s="22"/>
      <c r="D5" s="22"/>
      <c r="E5" s="22"/>
    </row>
    <row r="6" spans="1:5" ht="15" customHeight="1" x14ac:dyDescent="0.25">
      <c r="A6"/>
      <c r="B6"/>
      <c r="C6"/>
      <c r="D6"/>
      <c r="E6"/>
    </row>
    <row r="7" spans="1:5" ht="15" customHeight="1" x14ac:dyDescent="0.25">
      <c r="A7"/>
      <c r="B7" s="46" t="s">
        <v>1</v>
      </c>
      <c r="C7"/>
      <c r="D7"/>
      <c r="E7"/>
    </row>
    <row r="8" spans="1:5" ht="112.7" customHeight="1" x14ac:dyDescent="0.25">
      <c r="A8"/>
      <c r="B8" s="528" t="s">
        <v>10681</v>
      </c>
      <c r="C8" s="528"/>
      <c r="D8" s="528"/>
      <c r="E8"/>
    </row>
    <row r="9" spans="1:5" x14ac:dyDescent="0.25">
      <c r="A9"/>
      <c r="B9" s="146"/>
      <c r="C9" s="146"/>
      <c r="D9" s="146"/>
      <c r="E9"/>
    </row>
    <row r="10" spans="1:5" ht="15" customHeight="1" x14ac:dyDescent="0.25">
      <c r="A10"/>
      <c r="B10" s="46" t="s">
        <v>2</v>
      </c>
      <c r="C10" s="146"/>
      <c r="D10" s="146"/>
      <c r="E10"/>
    </row>
    <row r="11" spans="1:5" ht="123" customHeight="1" x14ac:dyDescent="0.25">
      <c r="A11"/>
      <c r="B11" s="528" t="s">
        <v>3</v>
      </c>
      <c r="C11" s="528"/>
      <c r="D11" s="528"/>
      <c r="E11"/>
    </row>
    <row r="12" spans="1:5" ht="15" customHeight="1" x14ac:dyDescent="0.25">
      <c r="A12"/>
      <c r="B12" s="5"/>
      <c r="C12" s="5"/>
      <c r="D12"/>
      <c r="E12"/>
    </row>
    <row r="13" spans="1:5" ht="15" customHeight="1" x14ac:dyDescent="0.25">
      <c r="A13"/>
      <c r="B13" s="46" t="s">
        <v>4</v>
      </c>
      <c r="C13" s="5"/>
      <c r="D13"/>
      <c r="E13"/>
    </row>
    <row r="14" spans="1:5" ht="115.5" customHeight="1" x14ac:dyDescent="0.25">
      <c r="A14"/>
      <c r="B14" s="529" t="s">
        <v>5</v>
      </c>
      <c r="C14" s="530"/>
      <c r="D14" s="530"/>
      <c r="E14"/>
    </row>
    <row r="15" spans="1:5" x14ac:dyDescent="0.25">
      <c r="A15"/>
      <c r="B15" s="5"/>
      <c r="C15" s="5"/>
      <c r="D15"/>
      <c r="E15"/>
    </row>
    <row r="16" spans="1:5" ht="24.95" customHeight="1" x14ac:dyDescent="0.25">
      <c r="A16"/>
      <c r="B16" s="138" t="s">
        <v>6</v>
      </c>
      <c r="C16" s="5"/>
      <c r="D16" s="138" t="s">
        <v>7</v>
      </c>
      <c r="E16"/>
    </row>
    <row r="17" spans="1:5" ht="24.95" customHeight="1" x14ac:dyDescent="0.25">
      <c r="A17"/>
      <c r="B17" s="139" t="s">
        <v>8</v>
      </c>
      <c r="C17" s="5"/>
      <c r="D17" s="147" t="s">
        <v>9</v>
      </c>
      <c r="E17"/>
    </row>
    <row r="18" spans="1:5" ht="24.95" customHeight="1" x14ac:dyDescent="0.25">
      <c r="A18"/>
      <c r="B18" s="49" t="s">
        <v>10</v>
      </c>
      <c r="C18" s="5"/>
      <c r="D18" s="143" t="s">
        <v>11</v>
      </c>
      <c r="E18"/>
    </row>
    <row r="19" spans="1:5" ht="24.95" customHeight="1" x14ac:dyDescent="0.25">
      <c r="A19"/>
      <c r="B19" s="140" t="s">
        <v>12</v>
      </c>
      <c r="C19" s="5"/>
      <c r="D19" s="144" t="s">
        <v>13</v>
      </c>
      <c r="E19"/>
    </row>
    <row r="20" spans="1:5" ht="24.95" customHeight="1" x14ac:dyDescent="0.25">
      <c r="A20"/>
      <c r="B20" s="141" t="s">
        <v>5985</v>
      </c>
      <c r="C20" s="5"/>
      <c r="D20" s="145" t="s">
        <v>15</v>
      </c>
      <c r="E20"/>
    </row>
    <row r="21" spans="1:5" ht="24.95" customHeight="1" x14ac:dyDescent="0.25">
      <c r="A21"/>
      <c r="B21" s="142" t="s">
        <v>16</v>
      </c>
      <c r="C21" s="5"/>
      <c r="D21"/>
      <c r="E21"/>
    </row>
    <row r="22" spans="1:5" ht="24.95" customHeight="1" x14ac:dyDescent="0.25">
      <c r="A22"/>
      <c r="B22"/>
      <c r="C22"/>
      <c r="D22"/>
      <c r="E22"/>
    </row>
    <row r="23" spans="1:5" ht="24.95" customHeight="1" x14ac:dyDescent="0.25">
      <c r="A23"/>
      <c r="B23" s="46" t="s">
        <v>17</v>
      </c>
      <c r="C23" s="5"/>
      <c r="D23" s="212"/>
      <c r="E23"/>
    </row>
    <row r="24" spans="1:5" ht="24.95" customHeight="1" x14ac:dyDescent="0.25">
      <c r="A24"/>
      <c r="B24" s="531" t="s">
        <v>18</v>
      </c>
      <c r="C24" s="532"/>
      <c r="D24" s="532"/>
      <c r="E24"/>
    </row>
    <row r="25" spans="1:5" x14ac:dyDescent="0.25">
      <c r="A25"/>
      <c r="B25"/>
      <c r="C25"/>
      <c r="D25"/>
      <c r="E25"/>
    </row>
    <row r="26" spans="1:5" ht="15" customHeight="1" x14ac:dyDescent="0.25">
      <c r="A26"/>
      <c r="B26" s="46" t="s">
        <v>19</v>
      </c>
      <c r="C26" s="5"/>
      <c r="D26" s="212"/>
      <c r="E26"/>
    </row>
    <row r="27" spans="1:5" ht="24.95" customHeight="1" x14ac:dyDescent="0.25">
      <c r="A27"/>
      <c r="B27" s="531">
        <v>45757</v>
      </c>
      <c r="C27" s="532"/>
      <c r="D27" s="532"/>
      <c r="E27"/>
    </row>
    <row r="28" spans="1:5" ht="24.95" customHeight="1" x14ac:dyDescent="0.25">
      <c r="A28"/>
      <c r="B28"/>
      <c r="C28"/>
      <c r="D28"/>
      <c r="E28"/>
    </row>
    <row r="29" spans="1:5" ht="24.95" customHeight="1" x14ac:dyDescent="0.25"/>
    <row r="30" spans="1:5" ht="24.95" customHeight="1" x14ac:dyDescent="0.25"/>
    <row r="32" spans="1:5" ht="24.95" customHeight="1" x14ac:dyDescent="0.25"/>
    <row r="33" ht="24.95" customHeight="1" x14ac:dyDescent="0.25"/>
    <row r="34" ht="24.95" customHeight="1" x14ac:dyDescent="0.25"/>
    <row r="35" ht="24.95" customHeight="1" x14ac:dyDescent="0.25"/>
    <row r="36" ht="24.95" customHeight="1" x14ac:dyDescent="0.25"/>
    <row r="37" ht="50.1" customHeight="1" x14ac:dyDescent="0.25"/>
    <row r="38" ht="24.95" customHeight="1" x14ac:dyDescent="0.25"/>
  </sheetData>
  <sheetProtection algorithmName="SHA-512" hashValue="yWAFj8NNheG7wPTf9aKTRmJTkRX+zPDJnz14nk6tWnk6OHTN08RB4FZahg8CZUwsDy1mEm8ewgHoFuuZpDxg0w==" saltValue="2o8iyBUAtLA7Q/P8JOyWXg==" spinCount="100000" sheet="1" selectLockedCells="1" selectUnlockedCells="1"/>
  <protectedRanges>
    <protectedRange sqref="C8:C21" name="Resumo"/>
  </protectedRanges>
  <mergeCells count="5">
    <mergeCell ref="B11:D11"/>
    <mergeCell ref="B8:D8"/>
    <mergeCell ref="B14:D14"/>
    <mergeCell ref="B27:D27"/>
    <mergeCell ref="B24:D24"/>
  </mergeCells>
  <pageMargins left="0.511811024" right="0.511811024" top="0.78740157499999996" bottom="0.78740157499999996" header="0.31496062000000002" footer="0.31496062000000002"/>
  <pageSetup paperSize="9"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3"/>
  <dimension ref="A1:BA398"/>
  <sheetViews>
    <sheetView showGridLines="0" topLeftCell="E3" zoomScale="90" zoomScaleNormal="90" workbookViewId="0">
      <selection activeCell="N14" sqref="N14"/>
    </sheetView>
  </sheetViews>
  <sheetFormatPr defaultColWidth="9.140625" defaultRowHeight="15" x14ac:dyDescent="0.25"/>
  <cols>
    <col min="1" max="1" width="5.7109375" customWidth="1"/>
    <col min="2" max="5" width="20.7109375" customWidth="1"/>
    <col min="6" max="6" width="2.7109375" customWidth="1"/>
    <col min="7" max="9" width="20.7109375" customWidth="1"/>
    <col min="10" max="10" width="2.7109375" customWidth="1"/>
    <col min="11" max="14" width="20.7109375" customWidth="1"/>
    <col min="15" max="15" width="2.7109375" customWidth="1"/>
    <col min="16" max="18" width="20.7109375" customWidth="1"/>
    <col min="19" max="19" width="2.7109375" customWidth="1"/>
    <col min="20" max="20" width="24.7109375" customWidth="1"/>
    <col min="21" max="28" width="12.7109375" customWidth="1"/>
    <col min="29" max="29" width="2.7109375" customWidth="1"/>
    <col min="30" max="30" width="25.5703125" customWidth="1"/>
    <col min="31" max="32" width="20.7109375" customWidth="1"/>
    <col min="33" max="33" width="2.7109375" customWidth="1"/>
    <col min="34" max="34" width="38" customWidth="1"/>
    <col min="35" max="35" width="10.42578125" bestFit="1" customWidth="1"/>
    <col min="36" max="36" width="24.140625" customWidth="1"/>
    <col min="37" max="38" width="20.7109375" customWidth="1"/>
    <col min="39" max="39" width="13.140625" customWidth="1"/>
    <col min="40" max="40" width="14.5703125" customWidth="1"/>
    <col min="41" max="41" width="25.140625" customWidth="1"/>
    <col min="42" max="42" width="34.5703125" style="196" customWidth="1"/>
    <col min="43" max="43" width="14.85546875" customWidth="1"/>
    <col min="44" max="44" width="2.7109375" customWidth="1"/>
    <col min="45" max="45" width="22.140625" style="11" customWidth="1"/>
    <col min="46" max="47" width="9.140625" style="11" customWidth="1"/>
    <col min="48" max="48" width="17.42578125" style="11" customWidth="1"/>
    <col min="49" max="49" width="12.7109375" style="11" customWidth="1"/>
    <col min="50" max="50" width="14.28515625" style="11" customWidth="1"/>
    <col min="51" max="51" width="12.28515625" style="11" customWidth="1"/>
    <col min="52" max="16384" width="9.140625" style="11"/>
  </cols>
  <sheetData>
    <row r="1" spans="1:53" ht="20.100000000000001" customHeight="1" x14ac:dyDescent="0.25">
      <c r="K1" s="29"/>
      <c r="L1" s="30"/>
      <c r="M1" s="30"/>
      <c r="N1" s="30"/>
      <c r="P1" s="30"/>
      <c r="Q1" s="30"/>
      <c r="R1" s="30"/>
      <c r="AP1"/>
    </row>
    <row r="2" spans="1:53" ht="20.100000000000001" customHeight="1" x14ac:dyDescent="0.25">
      <c r="K2" s="29" t="s">
        <v>20</v>
      </c>
      <c r="L2" s="76" t="s">
        <v>8</v>
      </c>
      <c r="M2" s="77" t="s">
        <v>10</v>
      </c>
      <c r="N2" s="109" t="s">
        <v>12</v>
      </c>
      <c r="O2" s="636" t="s">
        <v>14</v>
      </c>
      <c r="P2" s="637"/>
      <c r="AP2"/>
    </row>
    <row r="3" spans="1:53" s="12" customFormat="1" ht="20.100000000000001" customHeight="1" x14ac:dyDescent="0.25">
      <c r="A3" s="10"/>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row>
    <row r="4" spans="1:53" x14ac:dyDescent="0.25">
      <c r="K4" s="1"/>
      <c r="L4" s="1"/>
      <c r="M4" s="1"/>
      <c r="N4" s="1"/>
      <c r="P4" s="1"/>
      <c r="Q4" s="1"/>
      <c r="R4" s="1"/>
      <c r="S4" s="1"/>
      <c r="T4" s="1"/>
      <c r="AC4" s="1"/>
      <c r="AD4" s="1"/>
      <c r="AH4" s="1"/>
      <c r="AI4" s="1"/>
      <c r="AJ4" s="1"/>
      <c r="AP4"/>
    </row>
    <row r="5" spans="1:53" ht="18.75" x14ac:dyDescent="0.3">
      <c r="A5" s="22"/>
      <c r="B5" s="23" t="s">
        <v>6059</v>
      </c>
      <c r="C5" s="22"/>
      <c r="D5" s="22"/>
      <c r="E5" s="22"/>
      <c r="F5" s="22"/>
      <c r="G5" s="23"/>
      <c r="H5" s="22"/>
      <c r="I5" s="22"/>
      <c r="J5" s="22"/>
      <c r="K5" s="22"/>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4"/>
      <c r="AT5" s="24"/>
      <c r="AU5" s="24"/>
      <c r="AV5" s="24"/>
      <c r="AW5" s="24"/>
      <c r="AX5" s="24"/>
      <c r="AY5" s="24"/>
      <c r="AZ5" s="24"/>
      <c r="BA5" s="24"/>
    </row>
    <row r="6" spans="1:53" ht="15" customHeight="1" x14ac:dyDescent="0.25">
      <c r="K6" s="1"/>
      <c r="L6" s="1"/>
      <c r="M6" s="1"/>
      <c r="N6" s="1"/>
      <c r="P6" s="1"/>
      <c r="Q6" s="1"/>
      <c r="R6" s="1"/>
      <c r="S6" s="1"/>
      <c r="T6" s="1"/>
      <c r="AC6" s="1"/>
      <c r="AD6" s="1"/>
      <c r="AH6" s="1"/>
      <c r="AI6" s="1"/>
      <c r="AJ6" s="1"/>
      <c r="AP6"/>
    </row>
    <row r="7" spans="1:53" x14ac:dyDescent="0.25">
      <c r="T7" s="641" t="s">
        <v>5989</v>
      </c>
      <c r="U7" s="642"/>
      <c r="V7" s="642"/>
      <c r="W7" s="642"/>
      <c r="X7" s="642"/>
      <c r="Y7" s="642"/>
      <c r="Z7" s="642"/>
      <c r="AA7" s="642"/>
      <c r="AB7" s="643"/>
      <c r="AH7" t="s">
        <v>10554</v>
      </c>
      <c r="AP7"/>
    </row>
    <row r="8" spans="1:53" ht="20.100000000000001" customHeight="1" x14ac:dyDescent="0.25">
      <c r="B8" s="633" t="s">
        <v>180</v>
      </c>
      <c r="C8" s="634"/>
      <c r="D8" s="634"/>
      <c r="E8" s="635"/>
      <c r="G8" s="638" t="s">
        <v>181</v>
      </c>
      <c r="H8" s="639"/>
      <c r="I8" s="640"/>
      <c r="K8" s="633" t="s">
        <v>182</v>
      </c>
      <c r="L8" s="634"/>
      <c r="M8" s="634"/>
      <c r="N8" s="635"/>
      <c r="P8" s="638" t="s">
        <v>183</v>
      </c>
      <c r="Q8" s="639"/>
      <c r="R8" s="640"/>
      <c r="T8" s="644" t="s">
        <v>185</v>
      </c>
      <c r="U8" s="645" t="s">
        <v>5990</v>
      </c>
      <c r="V8" s="645" t="s">
        <v>5991</v>
      </c>
      <c r="W8" s="641" t="s">
        <v>5870</v>
      </c>
      <c r="X8" s="642"/>
      <c r="Y8" s="643"/>
      <c r="Z8" s="641" t="s">
        <v>5869</v>
      </c>
      <c r="AA8" s="642"/>
      <c r="AB8" s="643"/>
      <c r="AD8" s="633" t="s">
        <v>6051</v>
      </c>
      <c r="AE8" s="634"/>
      <c r="AF8" s="635"/>
      <c r="AH8" s="633" t="s">
        <v>184</v>
      </c>
      <c r="AI8" s="634"/>
      <c r="AJ8" s="634"/>
      <c r="AK8" s="634"/>
      <c r="AL8" s="634"/>
      <c r="AM8" s="634"/>
      <c r="AN8" s="634"/>
      <c r="AO8" s="634"/>
      <c r="AP8" s="634"/>
      <c r="AQ8" s="635"/>
    </row>
    <row r="9" spans="1:53" ht="49.5" customHeight="1" x14ac:dyDescent="0.25">
      <c r="B9" s="58" t="s">
        <v>185</v>
      </c>
      <c r="C9" s="59" t="s">
        <v>186</v>
      </c>
      <c r="D9" s="59" t="s">
        <v>187</v>
      </c>
      <c r="E9" s="60" t="s">
        <v>188</v>
      </c>
      <c r="G9" s="112" t="s">
        <v>185</v>
      </c>
      <c r="H9" s="59" t="s">
        <v>186</v>
      </c>
      <c r="I9" s="113" t="s">
        <v>187</v>
      </c>
      <c r="K9" s="58" t="s">
        <v>185</v>
      </c>
      <c r="L9" s="59" t="s">
        <v>186</v>
      </c>
      <c r="M9" s="59" t="s">
        <v>187</v>
      </c>
      <c r="N9" s="60" t="s">
        <v>188</v>
      </c>
      <c r="P9" s="112" t="s">
        <v>185</v>
      </c>
      <c r="Q9" s="59" t="s">
        <v>186</v>
      </c>
      <c r="R9" s="113" t="s">
        <v>187</v>
      </c>
      <c r="T9" s="644"/>
      <c r="U9" s="645"/>
      <c r="V9" s="645"/>
      <c r="W9" s="250" t="s">
        <v>10672</v>
      </c>
      <c r="X9" s="257" t="s">
        <v>10671</v>
      </c>
      <c r="Y9" s="251" t="s">
        <v>10673</v>
      </c>
      <c r="Z9" s="250" t="s">
        <v>10672</v>
      </c>
      <c r="AA9" s="257" t="s">
        <v>10671</v>
      </c>
      <c r="AB9" s="251" t="s">
        <v>10673</v>
      </c>
      <c r="AD9" s="58" t="s">
        <v>185</v>
      </c>
      <c r="AE9" s="59" t="s">
        <v>186</v>
      </c>
      <c r="AF9" s="60" t="s">
        <v>189</v>
      </c>
      <c r="AH9" s="58" t="s">
        <v>190</v>
      </c>
      <c r="AI9" s="59" t="s">
        <v>146</v>
      </c>
      <c r="AJ9" s="59" t="s">
        <v>83</v>
      </c>
      <c r="AK9" s="59" t="s">
        <v>191</v>
      </c>
      <c r="AL9" s="59" t="s">
        <v>5945</v>
      </c>
      <c r="AM9" s="59" t="s">
        <v>10552</v>
      </c>
      <c r="AN9" s="59" t="s">
        <v>10553</v>
      </c>
      <c r="AO9" s="59" t="s">
        <v>192</v>
      </c>
      <c r="AP9" s="59" t="s">
        <v>193</v>
      </c>
      <c r="AQ9" s="60" t="s">
        <v>5927</v>
      </c>
      <c r="AS9" s="295" t="s">
        <v>5946</v>
      </c>
      <c r="AT9" s="210">
        <f>SUM(AT10:AT398)</f>
        <v>0</v>
      </c>
      <c r="AU9" s="210"/>
      <c r="AW9" s="295" t="s">
        <v>9002</v>
      </c>
      <c r="AX9" s="295" t="s">
        <v>9036</v>
      </c>
      <c r="AY9" s="295" t="s">
        <v>9035</v>
      </c>
      <c r="BA9" s="13"/>
    </row>
    <row r="10" spans="1:53" s="209" customFormat="1" ht="30" customHeight="1" x14ac:dyDescent="0.25">
      <c r="A10" s="204"/>
      <c r="B10" s="201" t="s">
        <v>5802</v>
      </c>
      <c r="C10" s="202">
        <v>-6</v>
      </c>
      <c r="D10" s="202">
        <v>-400</v>
      </c>
      <c r="E10" s="203">
        <v>0.34</v>
      </c>
      <c r="F10" s="204"/>
      <c r="G10" s="248" t="s">
        <v>5801</v>
      </c>
      <c r="H10" s="202">
        <v>2.39</v>
      </c>
      <c r="I10" s="203">
        <v>150</v>
      </c>
      <c r="J10" s="204"/>
      <c r="K10" s="201" t="s">
        <v>194</v>
      </c>
      <c r="L10" s="202">
        <v>0</v>
      </c>
      <c r="M10" s="202">
        <v>0</v>
      </c>
      <c r="N10" s="203">
        <v>0</v>
      </c>
      <c r="O10" s="204"/>
      <c r="P10" s="248" t="s">
        <v>111</v>
      </c>
      <c r="Q10" s="202">
        <v>2.06</v>
      </c>
      <c r="R10" s="203">
        <v>233</v>
      </c>
      <c r="S10" s="204"/>
      <c r="T10" s="252" t="s">
        <v>6005</v>
      </c>
      <c r="U10" s="253">
        <v>0</v>
      </c>
      <c r="V10" s="253">
        <v>0</v>
      </c>
      <c r="W10" s="253">
        <v>0</v>
      </c>
      <c r="X10" s="253">
        <v>0</v>
      </c>
      <c r="Y10" s="253">
        <v>0</v>
      </c>
      <c r="Z10" s="253">
        <v>0</v>
      </c>
      <c r="AA10" s="253">
        <v>0</v>
      </c>
      <c r="AB10" s="254">
        <v>0</v>
      </c>
      <c r="AC10" s="204"/>
      <c r="AD10" s="201" t="s">
        <v>71</v>
      </c>
      <c r="AE10" s="202">
        <v>0</v>
      </c>
      <c r="AF10" s="203">
        <v>0</v>
      </c>
      <c r="AG10" s="204"/>
      <c r="AH10" s="382" t="s">
        <v>111</v>
      </c>
      <c r="AI10" s="206">
        <v>1</v>
      </c>
      <c r="AJ10" s="302" t="s">
        <v>5960</v>
      </c>
      <c r="AK10" s="207">
        <f>CondicionamentoDeAr!N34</f>
        <v>0</v>
      </c>
      <c r="AL10" s="293">
        <f>AK10*AI10</f>
        <v>0</v>
      </c>
      <c r="AM10" s="205" t="s">
        <v>10700</v>
      </c>
      <c r="AN10" s="206">
        <v>3.24</v>
      </c>
      <c r="AO10" s="298">
        <f>CondicionamentoDeAr!R26</f>
        <v>2668</v>
      </c>
      <c r="AP10" s="208" t="s">
        <v>272</v>
      </c>
      <c r="AQ10" s="282" t="s">
        <v>90</v>
      </c>
      <c r="AR10" s="204"/>
      <c r="AS10" s="300">
        <f>IFERROR(IF(AM10="CEE",AL10/(1.062*AN10),AL10/AN10),"")</f>
        <v>0</v>
      </c>
      <c r="AT10" s="210">
        <f>IF(AQ10="Não atende",1,0)</f>
        <v>0</v>
      </c>
      <c r="AU10" s="210"/>
      <c r="AV10" s="292" t="str">
        <f>T10</f>
        <v>Sem Aberturas</v>
      </c>
      <c r="AW10" s="210">
        <f>IF(Z10&gt;W10,Z10,W10)</f>
        <v>0</v>
      </c>
      <c r="AX10" s="210">
        <f>IF(AA10&gt;X10,AA10,X10)</f>
        <v>0</v>
      </c>
      <c r="AY10" s="210">
        <f>IF(AB10&gt;Y10,AB10,Y10)</f>
        <v>0</v>
      </c>
    </row>
    <row r="11" spans="1:53" s="13" customFormat="1" ht="30" customHeight="1" x14ac:dyDescent="0.25">
      <c r="A11" s="2"/>
      <c r="B11" s="201" t="s">
        <v>111</v>
      </c>
      <c r="C11" s="202">
        <v>2.39</v>
      </c>
      <c r="D11" s="202">
        <v>150</v>
      </c>
      <c r="E11" s="211">
        <v>0.5</v>
      </c>
      <c r="F11" s="204"/>
      <c r="G11" s="248" t="s">
        <v>111</v>
      </c>
      <c r="H11" s="202">
        <v>2.39</v>
      </c>
      <c r="I11" s="203">
        <v>150</v>
      </c>
      <c r="J11" s="204"/>
      <c r="K11" s="248" t="s">
        <v>111</v>
      </c>
      <c r="L11" s="202">
        <v>2.06</v>
      </c>
      <c r="M11" s="202">
        <v>233</v>
      </c>
      <c r="N11" s="211">
        <v>0.8</v>
      </c>
      <c r="O11" s="2"/>
      <c r="P11" s="185" t="s">
        <v>6003</v>
      </c>
      <c r="Q11" s="62">
        <v>1.75</v>
      </c>
      <c r="R11" s="172">
        <v>132</v>
      </c>
      <c r="S11" s="2"/>
      <c r="T11" s="255" t="s">
        <v>111</v>
      </c>
      <c r="U11" s="253">
        <v>5.7</v>
      </c>
      <c r="V11" s="253">
        <v>0.82</v>
      </c>
      <c r="W11" s="253">
        <v>0</v>
      </c>
      <c r="X11" s="253">
        <v>0</v>
      </c>
      <c r="Y11" s="253">
        <v>0</v>
      </c>
      <c r="Z11" s="253">
        <v>0</v>
      </c>
      <c r="AA11" s="253">
        <v>0</v>
      </c>
      <c r="AB11" s="254">
        <v>0</v>
      </c>
      <c r="AC11" s="204"/>
      <c r="AD11" s="201" t="s">
        <v>111</v>
      </c>
      <c r="AE11" s="202">
        <v>5.7</v>
      </c>
      <c r="AF11" s="211">
        <v>0.82</v>
      </c>
      <c r="AG11" s="2"/>
      <c r="AH11" s="197" t="s">
        <v>10779</v>
      </c>
      <c r="AI11" s="200">
        <v>1</v>
      </c>
      <c r="AJ11" s="357" t="s">
        <v>10783</v>
      </c>
      <c r="AK11" s="199">
        <v>135</v>
      </c>
      <c r="AL11" s="294">
        <f t="shared" ref="AL11:AL13" si="0">AK11*AI11</f>
        <v>135</v>
      </c>
      <c r="AM11" s="198" t="s">
        <v>10700</v>
      </c>
      <c r="AN11" s="200">
        <v>4.3</v>
      </c>
      <c r="AO11" s="299">
        <v>667</v>
      </c>
      <c r="AP11" s="195" t="s">
        <v>326</v>
      </c>
      <c r="AQ11" s="282" t="s">
        <v>5895</v>
      </c>
      <c r="AR11" s="2"/>
      <c r="AS11" s="300">
        <f t="shared" ref="AS11:AS74" si="1">IFERROR(IF(AM11="CEE",AL11/(1.062*AN11),AL11/AN11),"")</f>
        <v>29.562475364603863</v>
      </c>
      <c r="AT11" s="210">
        <f t="shared" ref="AT11:AT74" si="2">IF(AQ11="Não atende",1,0)</f>
        <v>0</v>
      </c>
      <c r="AU11" s="210"/>
      <c r="AV11" s="292" t="str">
        <f t="shared" ref="AV11:AV12" si="3">T11</f>
        <v>Referência</v>
      </c>
      <c r="AW11" s="210">
        <f t="shared" ref="AW11:AW12" si="4">IF(Z11&gt;W11,Z11,W11)</f>
        <v>0</v>
      </c>
      <c r="AX11" s="210">
        <f t="shared" ref="AX11:AX12" si="5">IF(AA11&gt;X11,AA11,X11)</f>
        <v>0</v>
      </c>
      <c r="AY11" s="210">
        <f t="shared" ref="AY11:AY12" si="6">IF(AB11&gt;Y11,AB11,Y11)</f>
        <v>0</v>
      </c>
    </row>
    <row r="12" spans="1:53" s="13" customFormat="1" ht="30" customHeight="1" x14ac:dyDescent="0.25">
      <c r="A12" s="2"/>
      <c r="B12" s="184" t="s">
        <v>6001</v>
      </c>
      <c r="C12" s="62">
        <v>2.27</v>
      </c>
      <c r="D12" s="62">
        <v>150</v>
      </c>
      <c r="E12" s="63">
        <v>0.36699999999999999</v>
      </c>
      <c r="F12" s="2"/>
      <c r="G12" s="249" t="s">
        <v>6004</v>
      </c>
      <c r="H12" s="62">
        <v>0.51</v>
      </c>
      <c r="I12" s="172">
        <v>25.2</v>
      </c>
      <c r="J12" s="2"/>
      <c r="K12" s="61" t="s">
        <v>6002</v>
      </c>
      <c r="L12" s="62">
        <v>1.0900000000000001</v>
      </c>
      <c r="M12" s="62">
        <v>150</v>
      </c>
      <c r="N12" s="63">
        <v>0.62</v>
      </c>
      <c r="O12" s="2"/>
      <c r="P12" s="185"/>
      <c r="Q12" s="62"/>
      <c r="R12" s="172"/>
      <c r="S12" s="2"/>
      <c r="T12" s="256" t="s">
        <v>6006</v>
      </c>
      <c r="U12" s="365">
        <v>5.67</v>
      </c>
      <c r="V12" s="365">
        <v>0.28999999999999998</v>
      </c>
      <c r="W12" s="365">
        <v>0</v>
      </c>
      <c r="X12" s="365">
        <v>0</v>
      </c>
      <c r="Y12" s="365">
        <v>0</v>
      </c>
      <c r="Z12" s="365">
        <v>0</v>
      </c>
      <c r="AA12" s="365">
        <v>0</v>
      </c>
      <c r="AB12" s="366">
        <v>0</v>
      </c>
      <c r="AC12" s="2"/>
      <c r="AD12" s="61"/>
      <c r="AE12" s="62"/>
      <c r="AF12" s="63"/>
      <c r="AG12" s="2"/>
      <c r="AH12" s="197" t="s">
        <v>10780</v>
      </c>
      <c r="AI12" s="200">
        <v>1</v>
      </c>
      <c r="AJ12" s="357" t="s">
        <v>10783</v>
      </c>
      <c r="AK12" s="199">
        <v>106.5</v>
      </c>
      <c r="AL12" s="294">
        <f t="shared" si="0"/>
        <v>106.5</v>
      </c>
      <c r="AM12" s="198" t="s">
        <v>10700</v>
      </c>
      <c r="AN12" s="200">
        <v>4.55</v>
      </c>
      <c r="AO12" s="299">
        <v>667</v>
      </c>
      <c r="AP12" s="195" t="s">
        <v>326</v>
      </c>
      <c r="AQ12" s="282" t="s">
        <v>5895</v>
      </c>
      <c r="AR12" s="2"/>
      <c r="AS12" s="300">
        <f t="shared" si="1"/>
        <v>22.040106785869494</v>
      </c>
      <c r="AT12" s="210">
        <f t="shared" si="2"/>
        <v>0</v>
      </c>
      <c r="AU12" s="210"/>
      <c r="AV12" s="292" t="str">
        <f t="shared" si="3"/>
        <v>MinhaAbertura</v>
      </c>
      <c r="AW12" s="210">
        <f t="shared" si="4"/>
        <v>0</v>
      </c>
      <c r="AX12" s="210">
        <f t="shared" si="5"/>
        <v>0</v>
      </c>
      <c r="AY12" s="210">
        <f t="shared" si="6"/>
        <v>0</v>
      </c>
    </row>
    <row r="13" spans="1:53" s="13" customFormat="1" ht="30" customHeight="1" x14ac:dyDescent="0.25">
      <c r="A13" s="2"/>
      <c r="B13" s="184" t="s">
        <v>10836</v>
      </c>
      <c r="C13" s="62">
        <v>1.7307999999999999</v>
      </c>
      <c r="D13" s="62">
        <v>150</v>
      </c>
      <c r="E13" s="63">
        <v>0.2</v>
      </c>
      <c r="F13" s="2"/>
      <c r="G13" s="185"/>
      <c r="H13" s="62"/>
      <c r="I13" s="172"/>
      <c r="J13" s="2"/>
      <c r="K13" s="61" t="s">
        <v>10776</v>
      </c>
      <c r="L13" s="62">
        <v>0.55139700000000003</v>
      </c>
      <c r="M13" s="62">
        <v>145</v>
      </c>
      <c r="N13" s="63">
        <v>0.25</v>
      </c>
      <c r="O13" s="2"/>
      <c r="P13" s="185"/>
      <c r="Q13" s="62"/>
      <c r="R13" s="172"/>
      <c r="S13" s="2"/>
      <c r="T13" s="256" t="s">
        <v>10778</v>
      </c>
      <c r="U13" s="524">
        <v>5.7</v>
      </c>
      <c r="V13" s="524">
        <v>0.82</v>
      </c>
      <c r="W13" s="524">
        <v>0</v>
      </c>
      <c r="X13" s="524">
        <v>0</v>
      </c>
      <c r="Y13" s="524">
        <v>0</v>
      </c>
      <c r="Z13" s="524">
        <v>0</v>
      </c>
      <c r="AA13" s="524">
        <v>0</v>
      </c>
      <c r="AB13" s="525">
        <v>0</v>
      </c>
      <c r="AC13" s="2"/>
      <c r="AD13" s="61"/>
      <c r="AE13" s="62"/>
      <c r="AF13" s="63"/>
      <c r="AG13" s="2"/>
      <c r="AH13" s="197" t="s">
        <v>10781</v>
      </c>
      <c r="AI13" s="200">
        <v>1</v>
      </c>
      <c r="AJ13" s="357" t="s">
        <v>10783</v>
      </c>
      <c r="AK13" s="199">
        <v>123.5</v>
      </c>
      <c r="AL13" s="294">
        <f t="shared" si="0"/>
        <v>123.5</v>
      </c>
      <c r="AM13" s="198" t="s">
        <v>10700</v>
      </c>
      <c r="AN13" s="200">
        <v>4.38</v>
      </c>
      <c r="AO13" s="299">
        <v>667</v>
      </c>
      <c r="AP13" s="195" t="s">
        <v>326</v>
      </c>
      <c r="AQ13" s="282" t="s">
        <v>5895</v>
      </c>
      <c r="AR13" s="2"/>
      <c r="AS13" s="300">
        <f t="shared" si="1"/>
        <v>26.550232610135094</v>
      </c>
      <c r="AT13" s="210">
        <f t="shared" si="2"/>
        <v>0</v>
      </c>
      <c r="AU13" s="210"/>
      <c r="AV13" s="292" t="str">
        <f t="shared" ref="AV13:AV76" si="7">T13</f>
        <v>JF_JanelaComum</v>
      </c>
      <c r="AW13" s="210">
        <f t="shared" ref="AW13:AW76" si="8">IF(Z13&gt;W13,Z13,W13)</f>
        <v>0</v>
      </c>
      <c r="AX13" s="210">
        <f t="shared" ref="AX13:AX76" si="9">IF(AA13&gt;X13,AA13,X13)</f>
        <v>0</v>
      </c>
      <c r="AY13" s="210">
        <f t="shared" ref="AY13:AY76" si="10">IF(AB13&gt;Y13,AB13,Y13)</f>
        <v>0</v>
      </c>
    </row>
    <row r="14" spans="1:53" s="13" customFormat="1" ht="30" customHeight="1" x14ac:dyDescent="0.25">
      <c r="A14" s="2"/>
      <c r="B14" s="61" t="s">
        <v>10837</v>
      </c>
      <c r="C14" s="62">
        <v>1.7307999999999999</v>
      </c>
      <c r="D14" s="62">
        <v>150</v>
      </c>
      <c r="E14" s="63">
        <v>0.39600000000000002</v>
      </c>
      <c r="F14" s="2"/>
      <c r="G14" s="185"/>
      <c r="H14" s="62"/>
      <c r="I14" s="172"/>
      <c r="J14" s="2"/>
      <c r="K14" s="61" t="s">
        <v>10777</v>
      </c>
      <c r="L14" s="62">
        <v>1.44</v>
      </c>
      <c r="M14" s="62">
        <v>132</v>
      </c>
      <c r="N14" s="63">
        <v>0.3</v>
      </c>
      <c r="O14" s="2"/>
      <c r="P14" s="185"/>
      <c r="Q14" s="62"/>
      <c r="R14" s="172"/>
      <c r="S14" s="2"/>
      <c r="T14" s="256" t="s">
        <v>10828</v>
      </c>
      <c r="U14" s="524">
        <v>5.7</v>
      </c>
      <c r="V14" s="524">
        <v>0.82</v>
      </c>
      <c r="W14" s="524">
        <v>32</v>
      </c>
      <c r="X14" s="524">
        <v>26</v>
      </c>
      <c r="Y14" s="524">
        <v>0</v>
      </c>
      <c r="Z14" s="524">
        <v>0</v>
      </c>
      <c r="AA14" s="524">
        <v>0</v>
      </c>
      <c r="AB14" s="525">
        <v>0</v>
      </c>
      <c r="AC14" s="2"/>
      <c r="AD14" s="61"/>
      <c r="AE14" s="62"/>
      <c r="AF14" s="63"/>
      <c r="AG14" s="2"/>
      <c r="AH14" s="310" t="s">
        <v>10782</v>
      </c>
      <c r="AI14" s="200">
        <v>1</v>
      </c>
      <c r="AJ14" s="357" t="s">
        <v>10783</v>
      </c>
      <c r="AK14" s="199">
        <v>123.5</v>
      </c>
      <c r="AL14" s="294">
        <f>AK14*AI14</f>
        <v>123.5</v>
      </c>
      <c r="AM14" s="198" t="s">
        <v>10700</v>
      </c>
      <c r="AN14" s="200">
        <v>4.3499999999999996</v>
      </c>
      <c r="AO14" s="299">
        <v>667</v>
      </c>
      <c r="AP14" s="195" t="s">
        <v>326</v>
      </c>
      <c r="AQ14" s="282" t="s">
        <v>5895</v>
      </c>
      <c r="AR14" s="2"/>
      <c r="AS14" s="300">
        <f t="shared" si="1"/>
        <v>26.733337662618784</v>
      </c>
      <c r="AT14" s="210">
        <f t="shared" si="2"/>
        <v>0</v>
      </c>
      <c r="AU14" s="210"/>
      <c r="AV14" s="292" t="str">
        <f t="shared" si="7"/>
        <v>JF_JanelaZP10</v>
      </c>
      <c r="AW14" s="210">
        <f t="shared" si="8"/>
        <v>32</v>
      </c>
      <c r="AX14" s="210">
        <f t="shared" si="9"/>
        <v>26</v>
      </c>
      <c r="AY14" s="210">
        <f t="shared" si="10"/>
        <v>0</v>
      </c>
    </row>
    <row r="15" spans="1:53" s="13" customFormat="1" ht="30" customHeight="1" x14ac:dyDescent="0.25">
      <c r="A15" s="2"/>
      <c r="B15" s="61" t="s">
        <v>10838</v>
      </c>
      <c r="C15" s="62">
        <v>2.4700000000000002</v>
      </c>
      <c r="D15" s="62">
        <v>95.9</v>
      </c>
      <c r="E15" s="63">
        <v>0.8</v>
      </c>
      <c r="F15" s="2"/>
      <c r="G15" s="185"/>
      <c r="H15" s="62"/>
      <c r="I15" s="172"/>
      <c r="J15" s="2"/>
      <c r="K15" s="61"/>
      <c r="L15" s="62"/>
      <c r="M15" s="62"/>
      <c r="N15" s="63"/>
      <c r="O15" s="2"/>
      <c r="P15" s="185"/>
      <c r="Q15" s="62"/>
      <c r="R15" s="172"/>
      <c r="S15" s="2"/>
      <c r="T15" s="256" t="s">
        <v>10829</v>
      </c>
      <c r="U15" s="524">
        <v>5.7</v>
      </c>
      <c r="V15" s="524">
        <v>0.82</v>
      </c>
      <c r="W15" s="524">
        <v>24</v>
      </c>
      <c r="X15" s="524">
        <v>25</v>
      </c>
      <c r="Y15" s="524">
        <v>0</v>
      </c>
      <c r="Z15" s="524">
        <v>0</v>
      </c>
      <c r="AA15" s="524">
        <v>0</v>
      </c>
      <c r="AB15" s="525">
        <v>0</v>
      </c>
      <c r="AC15" s="2"/>
      <c r="AD15" s="61"/>
      <c r="AE15" s="62"/>
      <c r="AF15" s="63"/>
      <c r="AG15" s="2"/>
      <c r="AH15" s="197"/>
      <c r="AI15" s="200"/>
      <c r="AJ15" s="302"/>
      <c r="AK15" s="200"/>
      <c r="AL15" s="294">
        <f t="shared" ref="AL15:AL74" si="11">AK15*AI15</f>
        <v>0</v>
      </c>
      <c r="AM15" s="198"/>
      <c r="AN15" s="200"/>
      <c r="AO15" s="299"/>
      <c r="AP15" s="195"/>
      <c r="AQ15" s="282"/>
      <c r="AR15" s="2"/>
      <c r="AS15" s="300" t="str">
        <f t="shared" si="1"/>
        <v/>
      </c>
      <c r="AT15" s="210">
        <f t="shared" si="2"/>
        <v>0</v>
      </c>
      <c r="AU15" s="210"/>
      <c r="AV15" s="292" t="str">
        <f t="shared" si="7"/>
        <v>JF_JanelaZP11</v>
      </c>
      <c r="AW15" s="210">
        <f t="shared" si="8"/>
        <v>24</v>
      </c>
      <c r="AX15" s="210">
        <f t="shared" si="9"/>
        <v>25</v>
      </c>
      <c r="AY15" s="210">
        <f t="shared" si="10"/>
        <v>0</v>
      </c>
    </row>
    <row r="16" spans="1:53" s="13" customFormat="1" ht="30" customHeight="1" x14ac:dyDescent="0.25">
      <c r="A16" s="2"/>
      <c r="B16" s="61"/>
      <c r="C16" s="62"/>
      <c r="D16" s="62"/>
      <c r="E16" s="63"/>
      <c r="F16" s="2"/>
      <c r="G16" s="185"/>
      <c r="H16" s="62"/>
      <c r="I16" s="172"/>
      <c r="J16" s="2"/>
      <c r="K16" s="61"/>
      <c r="L16" s="62"/>
      <c r="M16" s="62"/>
      <c r="N16" s="63"/>
      <c r="O16" s="2"/>
      <c r="P16" s="185"/>
      <c r="Q16" s="62"/>
      <c r="R16" s="172"/>
      <c r="S16" s="2"/>
      <c r="T16" s="256" t="s">
        <v>10830</v>
      </c>
      <c r="U16" s="524">
        <v>5.7</v>
      </c>
      <c r="V16" s="524">
        <v>0.82</v>
      </c>
      <c r="W16" s="524">
        <v>44</v>
      </c>
      <c r="X16" s="524">
        <v>33</v>
      </c>
      <c r="Y16" s="524">
        <v>0</v>
      </c>
      <c r="Z16" s="524">
        <v>0</v>
      </c>
      <c r="AA16" s="524">
        <v>0</v>
      </c>
      <c r="AB16" s="525">
        <v>0</v>
      </c>
      <c r="AC16" s="2"/>
      <c r="AD16" s="61"/>
      <c r="AE16" s="62"/>
      <c r="AF16" s="63"/>
      <c r="AG16" s="2"/>
      <c r="AH16" s="197"/>
      <c r="AI16" s="200"/>
      <c r="AJ16" s="302"/>
      <c r="AK16" s="200"/>
      <c r="AL16" s="294">
        <f t="shared" si="11"/>
        <v>0</v>
      </c>
      <c r="AM16" s="198"/>
      <c r="AN16" s="200"/>
      <c r="AO16" s="200"/>
      <c r="AP16" s="195"/>
      <c r="AQ16" s="282"/>
      <c r="AR16" s="2"/>
      <c r="AS16" s="300" t="str">
        <f t="shared" si="1"/>
        <v/>
      </c>
      <c r="AT16" s="210">
        <f t="shared" si="2"/>
        <v>0</v>
      </c>
      <c r="AU16" s="210"/>
      <c r="AV16" s="292" t="str">
        <f t="shared" si="7"/>
        <v>JF_JanelaZP12</v>
      </c>
      <c r="AW16" s="210">
        <f t="shared" si="8"/>
        <v>44</v>
      </c>
      <c r="AX16" s="210">
        <f t="shared" si="9"/>
        <v>33</v>
      </c>
      <c r="AY16" s="210">
        <f t="shared" si="10"/>
        <v>0</v>
      </c>
    </row>
    <row r="17" spans="1:51" s="13" customFormat="1" ht="30" customHeight="1" x14ac:dyDescent="0.25">
      <c r="A17" s="2"/>
      <c r="B17" s="61"/>
      <c r="C17" s="62"/>
      <c r="D17" s="62"/>
      <c r="E17" s="63"/>
      <c r="F17" s="2"/>
      <c r="G17" s="185"/>
      <c r="H17" s="62"/>
      <c r="I17" s="172"/>
      <c r="J17" s="2"/>
      <c r="K17" s="61"/>
      <c r="L17" s="62"/>
      <c r="M17" s="62"/>
      <c r="N17" s="63"/>
      <c r="O17" s="2"/>
      <c r="P17" s="185"/>
      <c r="Q17" s="62"/>
      <c r="R17" s="172"/>
      <c r="S17" s="2"/>
      <c r="T17" s="256" t="s">
        <v>10831</v>
      </c>
      <c r="U17" s="524">
        <v>5.7</v>
      </c>
      <c r="V17" s="524">
        <v>0.82</v>
      </c>
      <c r="W17" s="524">
        <v>33.5</v>
      </c>
      <c r="X17" s="524">
        <v>17</v>
      </c>
      <c r="Y17" s="524">
        <v>0</v>
      </c>
      <c r="Z17" s="524">
        <v>0</v>
      </c>
      <c r="AA17" s="524">
        <v>0</v>
      </c>
      <c r="AB17" s="525">
        <v>0</v>
      </c>
      <c r="AC17" s="2"/>
      <c r="AD17" s="61"/>
      <c r="AE17" s="62"/>
      <c r="AF17" s="63"/>
      <c r="AG17" s="2"/>
      <c r="AH17" s="197"/>
      <c r="AI17" s="200"/>
      <c r="AJ17" s="302"/>
      <c r="AK17" s="200"/>
      <c r="AL17" s="294">
        <f t="shared" si="11"/>
        <v>0</v>
      </c>
      <c r="AM17" s="198"/>
      <c r="AN17" s="200"/>
      <c r="AO17" s="200"/>
      <c r="AP17" s="195"/>
      <c r="AQ17" s="282"/>
      <c r="AR17" s="2"/>
      <c r="AS17" s="300" t="str">
        <f t="shared" si="1"/>
        <v/>
      </c>
      <c r="AT17" s="210">
        <f t="shared" si="2"/>
        <v>0</v>
      </c>
      <c r="AU17" s="210"/>
      <c r="AV17" s="292" t="str">
        <f t="shared" si="7"/>
        <v>JF_JanelaZP13</v>
      </c>
      <c r="AW17" s="210">
        <f t="shared" si="8"/>
        <v>33.5</v>
      </c>
      <c r="AX17" s="210">
        <f t="shared" si="9"/>
        <v>17</v>
      </c>
      <c r="AY17" s="210">
        <f t="shared" si="10"/>
        <v>0</v>
      </c>
    </row>
    <row r="18" spans="1:51" s="13" customFormat="1" ht="30" customHeight="1" x14ac:dyDescent="0.25">
      <c r="A18" s="2"/>
      <c r="B18" s="61"/>
      <c r="C18" s="62"/>
      <c r="D18" s="62"/>
      <c r="E18" s="63"/>
      <c r="F18" s="2"/>
      <c r="G18" s="185"/>
      <c r="H18" s="62"/>
      <c r="I18" s="172"/>
      <c r="J18" s="2"/>
      <c r="K18" s="61"/>
      <c r="L18" s="62"/>
      <c r="M18" s="62"/>
      <c r="N18" s="63"/>
      <c r="O18" s="2"/>
      <c r="P18" s="185"/>
      <c r="Q18" s="62"/>
      <c r="R18" s="172"/>
      <c r="S18" s="2"/>
      <c r="T18" s="256" t="s">
        <v>10832</v>
      </c>
      <c r="U18" s="524">
        <v>5.7</v>
      </c>
      <c r="V18" s="524">
        <v>0.82</v>
      </c>
      <c r="W18" s="524">
        <v>69.5</v>
      </c>
      <c r="X18" s="524">
        <v>33</v>
      </c>
      <c r="Y18" s="524">
        <v>0</v>
      </c>
      <c r="Z18" s="524">
        <v>0</v>
      </c>
      <c r="AA18" s="524">
        <v>0</v>
      </c>
      <c r="AB18" s="525">
        <v>0</v>
      </c>
      <c r="AC18" s="2"/>
      <c r="AD18" s="61"/>
      <c r="AE18" s="62"/>
      <c r="AF18" s="63"/>
      <c r="AG18" s="2"/>
      <c r="AH18" s="197"/>
      <c r="AI18" s="200"/>
      <c r="AJ18" s="302"/>
      <c r="AK18" s="200"/>
      <c r="AL18" s="294">
        <f t="shared" si="11"/>
        <v>0</v>
      </c>
      <c r="AM18" s="198"/>
      <c r="AN18" s="200"/>
      <c r="AO18" s="200"/>
      <c r="AP18" s="195"/>
      <c r="AQ18" s="282"/>
      <c r="AR18" s="2"/>
      <c r="AS18" s="300" t="str">
        <f t="shared" si="1"/>
        <v/>
      </c>
      <c r="AT18" s="210">
        <f t="shared" si="2"/>
        <v>0</v>
      </c>
      <c r="AU18" s="210"/>
      <c r="AV18" s="292" t="str">
        <f t="shared" si="7"/>
        <v>JF_JanelaZP14</v>
      </c>
      <c r="AW18" s="210">
        <f t="shared" si="8"/>
        <v>69.5</v>
      </c>
      <c r="AX18" s="210">
        <f t="shared" si="9"/>
        <v>33</v>
      </c>
      <c r="AY18" s="210">
        <f t="shared" si="10"/>
        <v>0</v>
      </c>
    </row>
    <row r="19" spans="1:51" s="13" customFormat="1" ht="30" customHeight="1" x14ac:dyDescent="0.25">
      <c r="A19" s="2"/>
      <c r="B19" s="61"/>
      <c r="C19" s="62"/>
      <c r="D19" s="62"/>
      <c r="E19" s="63"/>
      <c r="F19" s="2"/>
      <c r="G19" s="185"/>
      <c r="H19" s="62"/>
      <c r="I19" s="172"/>
      <c r="J19" s="2"/>
      <c r="K19" s="61"/>
      <c r="L19" s="62"/>
      <c r="M19" s="62"/>
      <c r="N19" s="63"/>
      <c r="O19" s="2"/>
      <c r="P19" s="185"/>
      <c r="Q19" s="62"/>
      <c r="R19" s="172"/>
      <c r="S19" s="2"/>
      <c r="T19" s="256" t="s">
        <v>10833</v>
      </c>
      <c r="U19" s="524">
        <v>5.7</v>
      </c>
      <c r="V19" s="524">
        <v>0.82</v>
      </c>
      <c r="W19" s="524">
        <v>23.5</v>
      </c>
      <c r="X19" s="524">
        <v>25</v>
      </c>
      <c r="Y19" s="524">
        <v>0</v>
      </c>
      <c r="Z19" s="524">
        <v>0</v>
      </c>
      <c r="AA19" s="524">
        <v>0</v>
      </c>
      <c r="AB19" s="525">
        <v>0</v>
      </c>
      <c r="AC19" s="2"/>
      <c r="AD19" s="61"/>
      <c r="AE19" s="62"/>
      <c r="AF19" s="63"/>
      <c r="AG19" s="2"/>
      <c r="AH19" s="197"/>
      <c r="AI19" s="200"/>
      <c r="AJ19" s="302"/>
      <c r="AK19" s="200"/>
      <c r="AL19" s="294">
        <f t="shared" si="11"/>
        <v>0</v>
      </c>
      <c r="AM19" s="198"/>
      <c r="AN19" s="200"/>
      <c r="AO19" s="200"/>
      <c r="AP19" s="195"/>
      <c r="AQ19" s="282"/>
      <c r="AR19" s="2"/>
      <c r="AS19" s="300" t="str">
        <f t="shared" si="1"/>
        <v/>
      </c>
      <c r="AT19" s="210">
        <f t="shared" si="2"/>
        <v>0</v>
      </c>
      <c r="AU19" s="210"/>
      <c r="AV19" s="292" t="str">
        <f t="shared" si="7"/>
        <v>JF_JanelaZP15</v>
      </c>
      <c r="AW19" s="210">
        <f t="shared" si="8"/>
        <v>23.5</v>
      </c>
      <c r="AX19" s="210">
        <f t="shared" si="9"/>
        <v>25</v>
      </c>
      <c r="AY19" s="210">
        <f t="shared" si="10"/>
        <v>0</v>
      </c>
    </row>
    <row r="20" spans="1:51" s="13" customFormat="1" ht="30" customHeight="1" x14ac:dyDescent="0.25">
      <c r="A20" s="2"/>
      <c r="B20" s="61"/>
      <c r="C20" s="62"/>
      <c r="D20" s="62"/>
      <c r="E20" s="63"/>
      <c r="F20" s="2"/>
      <c r="G20" s="185"/>
      <c r="H20" s="62"/>
      <c r="I20" s="172"/>
      <c r="J20" s="2"/>
      <c r="K20" s="61"/>
      <c r="L20" s="62"/>
      <c r="M20" s="62"/>
      <c r="N20" s="63"/>
      <c r="O20" s="2"/>
      <c r="P20" s="185"/>
      <c r="Q20" s="62"/>
      <c r="R20" s="172"/>
      <c r="S20" s="2"/>
      <c r="T20" s="256" t="s">
        <v>10834</v>
      </c>
      <c r="U20" s="524">
        <v>5.7</v>
      </c>
      <c r="V20" s="524">
        <v>0.82</v>
      </c>
      <c r="W20" s="524">
        <v>33.5</v>
      </c>
      <c r="X20" s="524">
        <v>26</v>
      </c>
      <c r="Y20" s="524">
        <v>0</v>
      </c>
      <c r="Z20" s="524">
        <v>0</v>
      </c>
      <c r="AA20" s="524">
        <v>0</v>
      </c>
      <c r="AB20" s="525">
        <v>0</v>
      </c>
      <c r="AC20" s="2"/>
      <c r="AD20" s="61"/>
      <c r="AE20" s="62"/>
      <c r="AF20" s="63"/>
      <c r="AG20" s="2"/>
      <c r="AH20" s="197"/>
      <c r="AI20" s="200"/>
      <c r="AJ20" s="302"/>
      <c r="AK20" s="200"/>
      <c r="AL20" s="294">
        <f t="shared" si="11"/>
        <v>0</v>
      </c>
      <c r="AM20" s="198"/>
      <c r="AN20" s="200"/>
      <c r="AO20" s="200"/>
      <c r="AP20" s="195"/>
      <c r="AQ20" s="282"/>
      <c r="AR20" s="2"/>
      <c r="AS20" s="300" t="str">
        <f t="shared" si="1"/>
        <v/>
      </c>
      <c r="AT20" s="210">
        <f t="shared" si="2"/>
        <v>0</v>
      </c>
      <c r="AU20" s="210"/>
      <c r="AV20" s="292" t="str">
        <f t="shared" si="7"/>
        <v>JF_JanelaZP16</v>
      </c>
      <c r="AW20" s="210">
        <f t="shared" si="8"/>
        <v>33.5</v>
      </c>
      <c r="AX20" s="210">
        <f t="shared" si="9"/>
        <v>26</v>
      </c>
      <c r="AY20" s="210">
        <f t="shared" si="10"/>
        <v>0</v>
      </c>
    </row>
    <row r="21" spans="1:51" s="13" customFormat="1" ht="30" customHeight="1" x14ac:dyDescent="0.25">
      <c r="A21" s="2"/>
      <c r="B21" s="61"/>
      <c r="C21" s="62"/>
      <c r="D21" s="62"/>
      <c r="E21" s="63"/>
      <c r="F21" s="2"/>
      <c r="G21" s="185"/>
      <c r="H21" s="62"/>
      <c r="I21" s="172"/>
      <c r="J21" s="2"/>
      <c r="K21" s="61"/>
      <c r="L21" s="62"/>
      <c r="M21" s="62"/>
      <c r="N21" s="63"/>
      <c r="O21" s="2"/>
      <c r="P21" s="185"/>
      <c r="Q21" s="62"/>
      <c r="R21" s="172"/>
      <c r="S21" s="2"/>
      <c r="T21" s="256" t="s">
        <v>10835</v>
      </c>
      <c r="U21" s="524">
        <v>5.7</v>
      </c>
      <c r="V21" s="524">
        <v>0.82</v>
      </c>
      <c r="W21" s="524">
        <v>35.4</v>
      </c>
      <c r="X21" s="524">
        <v>65.56</v>
      </c>
      <c r="Y21" s="524">
        <v>0</v>
      </c>
      <c r="Z21" s="524">
        <v>0</v>
      </c>
      <c r="AA21" s="524">
        <v>0</v>
      </c>
      <c r="AB21" s="525">
        <v>0</v>
      </c>
      <c r="AC21" s="2"/>
      <c r="AD21" s="61"/>
      <c r="AE21" s="62"/>
      <c r="AF21" s="63"/>
      <c r="AG21" s="2"/>
      <c r="AH21" s="197"/>
      <c r="AI21" s="200"/>
      <c r="AJ21" s="302"/>
      <c r="AK21" s="200"/>
      <c r="AL21" s="294">
        <f t="shared" si="11"/>
        <v>0</v>
      </c>
      <c r="AM21" s="198"/>
      <c r="AN21" s="200"/>
      <c r="AO21" s="200"/>
      <c r="AP21" s="195"/>
      <c r="AQ21" s="282"/>
      <c r="AR21" s="2"/>
      <c r="AS21" s="300" t="str">
        <f t="shared" si="1"/>
        <v/>
      </c>
      <c r="AT21" s="210">
        <f t="shared" si="2"/>
        <v>0</v>
      </c>
      <c r="AU21" s="210"/>
      <c r="AV21" s="292" t="str">
        <f t="shared" si="7"/>
        <v>JF_JanelaZP23</v>
      </c>
      <c r="AW21" s="210">
        <f t="shared" si="8"/>
        <v>35.4</v>
      </c>
      <c r="AX21" s="210">
        <f t="shared" si="9"/>
        <v>65.56</v>
      </c>
      <c r="AY21" s="210">
        <f t="shared" si="10"/>
        <v>0</v>
      </c>
    </row>
    <row r="22" spans="1:51" s="13" customFormat="1" ht="30" customHeight="1" x14ac:dyDescent="0.25">
      <c r="A22" s="2"/>
      <c r="B22" s="61"/>
      <c r="C22" s="62"/>
      <c r="D22" s="62"/>
      <c r="E22" s="63"/>
      <c r="F22" s="2"/>
      <c r="G22" s="185"/>
      <c r="H22" s="62"/>
      <c r="I22" s="172"/>
      <c r="J22" s="2"/>
      <c r="K22" s="61"/>
      <c r="L22" s="62"/>
      <c r="M22" s="62"/>
      <c r="N22" s="63"/>
      <c r="O22" s="2"/>
      <c r="P22" s="185"/>
      <c r="Q22" s="62"/>
      <c r="R22" s="172"/>
      <c r="S22" s="2"/>
      <c r="T22" s="256"/>
      <c r="U22" s="524"/>
      <c r="V22" s="524"/>
      <c r="W22" s="524"/>
      <c r="X22" s="524"/>
      <c r="Y22" s="524"/>
      <c r="Z22" s="524"/>
      <c r="AA22" s="524"/>
      <c r="AB22" s="525"/>
      <c r="AC22" s="2"/>
      <c r="AD22" s="61"/>
      <c r="AE22" s="62"/>
      <c r="AF22" s="63"/>
      <c r="AG22" s="2"/>
      <c r="AH22" s="197"/>
      <c r="AI22" s="200"/>
      <c r="AJ22" s="302"/>
      <c r="AK22" s="200"/>
      <c r="AL22" s="294">
        <f t="shared" si="11"/>
        <v>0</v>
      </c>
      <c r="AM22" s="198"/>
      <c r="AN22" s="200"/>
      <c r="AO22" s="200"/>
      <c r="AP22" s="195"/>
      <c r="AQ22" s="282"/>
      <c r="AR22" s="2"/>
      <c r="AS22" s="300" t="str">
        <f t="shared" si="1"/>
        <v/>
      </c>
      <c r="AT22" s="210">
        <f t="shared" si="2"/>
        <v>0</v>
      </c>
      <c r="AU22" s="210"/>
      <c r="AV22" s="292">
        <f t="shared" si="7"/>
        <v>0</v>
      </c>
      <c r="AW22" s="210">
        <f t="shared" si="8"/>
        <v>0</v>
      </c>
      <c r="AX22" s="210">
        <f t="shared" si="9"/>
        <v>0</v>
      </c>
      <c r="AY22" s="210">
        <f t="shared" si="10"/>
        <v>0</v>
      </c>
    </row>
    <row r="23" spans="1:51" s="13" customFormat="1" ht="30" customHeight="1" x14ac:dyDescent="0.25">
      <c r="A23" s="2"/>
      <c r="B23" s="61"/>
      <c r="C23" s="62"/>
      <c r="D23" s="62"/>
      <c r="E23" s="63"/>
      <c r="F23" s="2"/>
      <c r="G23" s="185"/>
      <c r="H23" s="62"/>
      <c r="I23" s="172"/>
      <c r="J23" s="2"/>
      <c r="K23" s="61"/>
      <c r="L23" s="62"/>
      <c r="M23" s="62"/>
      <c r="N23" s="63"/>
      <c r="O23" s="2"/>
      <c r="P23" s="185"/>
      <c r="Q23" s="62"/>
      <c r="R23" s="172"/>
      <c r="S23" s="2"/>
      <c r="T23" s="256"/>
      <c r="U23" s="524"/>
      <c r="V23" s="524"/>
      <c r="W23" s="524"/>
      <c r="X23" s="524"/>
      <c r="Y23" s="524"/>
      <c r="Z23" s="524"/>
      <c r="AA23" s="524"/>
      <c r="AB23" s="525"/>
      <c r="AC23" s="2"/>
      <c r="AD23" s="61"/>
      <c r="AE23" s="62"/>
      <c r="AF23" s="63"/>
      <c r="AG23" s="2"/>
      <c r="AH23" s="197"/>
      <c r="AI23" s="200"/>
      <c r="AJ23" s="302"/>
      <c r="AK23" s="200"/>
      <c r="AL23" s="294">
        <f t="shared" si="11"/>
        <v>0</v>
      </c>
      <c r="AM23" s="198"/>
      <c r="AN23" s="200"/>
      <c r="AO23" s="200"/>
      <c r="AP23" s="195"/>
      <c r="AQ23" s="282"/>
      <c r="AR23" s="2"/>
      <c r="AS23" s="300" t="str">
        <f t="shared" si="1"/>
        <v/>
      </c>
      <c r="AT23" s="210">
        <f t="shared" si="2"/>
        <v>0</v>
      </c>
      <c r="AU23" s="210"/>
      <c r="AV23" s="292">
        <f t="shared" si="7"/>
        <v>0</v>
      </c>
      <c r="AW23" s="210">
        <f t="shared" si="8"/>
        <v>0</v>
      </c>
      <c r="AX23" s="210">
        <f t="shared" si="9"/>
        <v>0</v>
      </c>
      <c r="AY23" s="210">
        <f t="shared" si="10"/>
        <v>0</v>
      </c>
    </row>
    <row r="24" spans="1:51" s="13" customFormat="1" ht="30" customHeight="1" x14ac:dyDescent="0.25">
      <c r="A24" s="2"/>
      <c r="B24" s="61"/>
      <c r="C24" s="62"/>
      <c r="D24" s="62"/>
      <c r="E24" s="63"/>
      <c r="F24" s="2"/>
      <c r="G24" s="185"/>
      <c r="H24" s="62"/>
      <c r="I24" s="172"/>
      <c r="J24" s="2"/>
      <c r="K24" s="61"/>
      <c r="L24" s="62"/>
      <c r="M24" s="62"/>
      <c r="N24" s="63"/>
      <c r="O24" s="2"/>
      <c r="P24" s="185"/>
      <c r="Q24" s="62"/>
      <c r="R24" s="172"/>
      <c r="S24" s="2"/>
      <c r="T24" s="256"/>
      <c r="U24" s="524"/>
      <c r="V24" s="524"/>
      <c r="W24" s="524"/>
      <c r="X24" s="524"/>
      <c r="Y24" s="524"/>
      <c r="Z24" s="524"/>
      <c r="AA24" s="524"/>
      <c r="AB24" s="525"/>
      <c r="AC24" s="2"/>
      <c r="AD24" s="61"/>
      <c r="AE24" s="62"/>
      <c r="AF24" s="63"/>
      <c r="AG24" s="2"/>
      <c r="AH24" s="197"/>
      <c r="AI24" s="200"/>
      <c r="AJ24" s="302"/>
      <c r="AK24" s="200"/>
      <c r="AL24" s="294">
        <f t="shared" si="11"/>
        <v>0</v>
      </c>
      <c r="AM24" s="198"/>
      <c r="AN24" s="200"/>
      <c r="AO24" s="200"/>
      <c r="AP24" s="195"/>
      <c r="AQ24" s="282"/>
      <c r="AR24" s="2"/>
      <c r="AS24" s="300" t="str">
        <f t="shared" si="1"/>
        <v/>
      </c>
      <c r="AT24" s="210">
        <f t="shared" si="2"/>
        <v>0</v>
      </c>
      <c r="AU24" s="210"/>
      <c r="AV24" s="292">
        <f t="shared" si="7"/>
        <v>0</v>
      </c>
      <c r="AW24" s="210">
        <f t="shared" si="8"/>
        <v>0</v>
      </c>
      <c r="AX24" s="210">
        <f t="shared" si="9"/>
        <v>0</v>
      </c>
      <c r="AY24" s="210">
        <f t="shared" si="10"/>
        <v>0</v>
      </c>
    </row>
    <row r="25" spans="1:51" s="13" customFormat="1" ht="30" customHeight="1" x14ac:dyDescent="0.25">
      <c r="A25" s="2"/>
      <c r="B25" s="61"/>
      <c r="C25" s="62"/>
      <c r="D25" s="62"/>
      <c r="E25" s="63"/>
      <c r="F25" s="2"/>
      <c r="G25" s="185"/>
      <c r="H25" s="62"/>
      <c r="I25" s="172"/>
      <c r="J25" s="2"/>
      <c r="K25" s="61"/>
      <c r="L25" s="62"/>
      <c r="M25" s="62"/>
      <c r="N25" s="63"/>
      <c r="O25" s="2"/>
      <c r="P25" s="185"/>
      <c r="Q25" s="62"/>
      <c r="R25" s="172"/>
      <c r="S25" s="2"/>
      <c r="T25" s="256"/>
      <c r="U25" s="524"/>
      <c r="V25" s="524"/>
      <c r="W25" s="524"/>
      <c r="X25" s="524"/>
      <c r="Y25" s="524"/>
      <c r="Z25" s="524"/>
      <c r="AA25" s="524"/>
      <c r="AB25" s="525"/>
      <c r="AC25" s="2"/>
      <c r="AD25" s="61"/>
      <c r="AE25" s="62"/>
      <c r="AF25" s="63"/>
      <c r="AG25" s="2"/>
      <c r="AH25" s="197"/>
      <c r="AI25" s="200"/>
      <c r="AJ25" s="302"/>
      <c r="AK25" s="200"/>
      <c r="AL25" s="294">
        <f t="shared" si="11"/>
        <v>0</v>
      </c>
      <c r="AM25" s="198"/>
      <c r="AN25" s="200"/>
      <c r="AO25" s="200"/>
      <c r="AP25" s="195"/>
      <c r="AQ25" s="282"/>
      <c r="AR25" s="2"/>
      <c r="AS25" s="300" t="str">
        <f t="shared" si="1"/>
        <v/>
      </c>
      <c r="AT25" s="210">
        <f t="shared" si="2"/>
        <v>0</v>
      </c>
      <c r="AU25" s="210"/>
      <c r="AV25" s="292">
        <f t="shared" si="7"/>
        <v>0</v>
      </c>
      <c r="AW25" s="210">
        <f t="shared" si="8"/>
        <v>0</v>
      </c>
      <c r="AX25" s="210">
        <f t="shared" si="9"/>
        <v>0</v>
      </c>
      <c r="AY25" s="210">
        <f t="shared" si="10"/>
        <v>0</v>
      </c>
    </row>
    <row r="26" spans="1:51" s="13" customFormat="1" ht="30" customHeight="1" x14ac:dyDescent="0.25">
      <c r="A26" s="2"/>
      <c r="B26" s="61"/>
      <c r="C26" s="62"/>
      <c r="D26" s="62"/>
      <c r="E26" s="63"/>
      <c r="F26" s="2"/>
      <c r="G26" s="185"/>
      <c r="H26" s="62"/>
      <c r="I26" s="172"/>
      <c r="J26" s="2"/>
      <c r="K26" s="61"/>
      <c r="L26" s="62"/>
      <c r="M26" s="62"/>
      <c r="N26" s="63"/>
      <c r="O26" s="2"/>
      <c r="P26" s="185"/>
      <c r="Q26" s="62"/>
      <c r="R26" s="172"/>
      <c r="S26" s="2"/>
      <c r="T26" s="256"/>
      <c r="U26" s="524"/>
      <c r="V26" s="524"/>
      <c r="W26" s="524"/>
      <c r="X26" s="524"/>
      <c r="Y26" s="524"/>
      <c r="Z26" s="524"/>
      <c r="AA26" s="524"/>
      <c r="AB26" s="525"/>
      <c r="AC26" s="2"/>
      <c r="AD26" s="61"/>
      <c r="AE26" s="62"/>
      <c r="AF26" s="63"/>
      <c r="AG26" s="2"/>
      <c r="AH26" s="197"/>
      <c r="AI26" s="200"/>
      <c r="AJ26" s="302"/>
      <c r="AK26" s="200"/>
      <c r="AL26" s="294">
        <f t="shared" si="11"/>
        <v>0</v>
      </c>
      <c r="AM26" s="198"/>
      <c r="AN26" s="200"/>
      <c r="AO26" s="200"/>
      <c r="AP26" s="195"/>
      <c r="AQ26" s="282"/>
      <c r="AR26" s="2"/>
      <c r="AS26" s="300" t="str">
        <f t="shared" si="1"/>
        <v/>
      </c>
      <c r="AT26" s="210">
        <f t="shared" si="2"/>
        <v>0</v>
      </c>
      <c r="AU26" s="210"/>
      <c r="AV26" s="292">
        <f t="shared" si="7"/>
        <v>0</v>
      </c>
      <c r="AW26" s="210">
        <f t="shared" si="8"/>
        <v>0</v>
      </c>
      <c r="AX26" s="210">
        <f t="shared" si="9"/>
        <v>0</v>
      </c>
      <c r="AY26" s="210">
        <f t="shared" si="10"/>
        <v>0</v>
      </c>
    </row>
    <row r="27" spans="1:51" s="43" customFormat="1" ht="30" customHeight="1" x14ac:dyDescent="0.25">
      <c r="A27" s="2"/>
      <c r="B27" s="61"/>
      <c r="C27" s="62"/>
      <c r="D27" s="62"/>
      <c r="E27" s="63"/>
      <c r="F27" s="2"/>
      <c r="G27" s="185"/>
      <c r="H27" s="62"/>
      <c r="I27" s="172"/>
      <c r="J27" s="2"/>
      <c r="K27" s="61"/>
      <c r="L27" s="62"/>
      <c r="M27" s="62"/>
      <c r="N27" s="63"/>
      <c r="O27" s="2"/>
      <c r="P27" s="185"/>
      <c r="Q27" s="62"/>
      <c r="R27" s="172"/>
      <c r="S27" s="2"/>
      <c r="T27" s="256"/>
      <c r="U27" s="524"/>
      <c r="V27" s="524"/>
      <c r="W27" s="524"/>
      <c r="X27" s="524"/>
      <c r="Y27" s="524"/>
      <c r="Z27" s="524"/>
      <c r="AA27" s="524"/>
      <c r="AB27" s="525"/>
      <c r="AC27" s="2"/>
      <c r="AD27" s="61"/>
      <c r="AE27" s="62"/>
      <c r="AF27" s="63"/>
      <c r="AG27" s="41"/>
      <c r="AH27" s="197"/>
      <c r="AI27" s="200"/>
      <c r="AJ27" s="302"/>
      <c r="AK27" s="200"/>
      <c r="AL27" s="294">
        <f t="shared" si="11"/>
        <v>0</v>
      </c>
      <c r="AM27" s="198"/>
      <c r="AN27" s="200"/>
      <c r="AO27" s="200"/>
      <c r="AP27" s="195"/>
      <c r="AQ27" s="282"/>
      <c r="AR27" s="41"/>
      <c r="AS27" s="300" t="str">
        <f t="shared" si="1"/>
        <v/>
      </c>
      <c r="AT27" s="210">
        <f t="shared" si="2"/>
        <v>0</v>
      </c>
      <c r="AU27" s="210"/>
      <c r="AV27" s="292">
        <f t="shared" si="7"/>
        <v>0</v>
      </c>
      <c r="AW27" s="210">
        <f t="shared" si="8"/>
        <v>0</v>
      </c>
      <c r="AX27" s="210">
        <f t="shared" si="9"/>
        <v>0</v>
      </c>
      <c r="AY27" s="210">
        <f t="shared" si="10"/>
        <v>0</v>
      </c>
    </row>
    <row r="28" spans="1:51" s="43" customFormat="1" ht="30" customHeight="1" x14ac:dyDescent="0.25">
      <c r="A28" s="2"/>
      <c r="B28" s="61"/>
      <c r="C28" s="62"/>
      <c r="D28" s="62"/>
      <c r="E28" s="63"/>
      <c r="F28" s="2"/>
      <c r="G28" s="185"/>
      <c r="H28" s="62"/>
      <c r="I28" s="172"/>
      <c r="J28" s="2"/>
      <c r="K28" s="61"/>
      <c r="L28" s="62"/>
      <c r="M28" s="62"/>
      <c r="N28" s="63"/>
      <c r="O28" s="2"/>
      <c r="P28" s="185"/>
      <c r="Q28" s="62"/>
      <c r="R28" s="172"/>
      <c r="S28" s="2"/>
      <c r="T28" s="256"/>
      <c r="U28" s="524"/>
      <c r="V28" s="524"/>
      <c r="W28" s="524"/>
      <c r="X28" s="524"/>
      <c r="Y28" s="524"/>
      <c r="Z28" s="524"/>
      <c r="AA28" s="524"/>
      <c r="AB28" s="525"/>
      <c r="AC28" s="2"/>
      <c r="AD28" s="61"/>
      <c r="AE28" s="62"/>
      <c r="AF28" s="63"/>
      <c r="AG28" s="41"/>
      <c r="AH28" s="197"/>
      <c r="AI28" s="200"/>
      <c r="AJ28" s="302"/>
      <c r="AK28" s="200"/>
      <c r="AL28" s="294">
        <f t="shared" si="11"/>
        <v>0</v>
      </c>
      <c r="AM28" s="198"/>
      <c r="AN28" s="200"/>
      <c r="AO28" s="200"/>
      <c r="AP28" s="195"/>
      <c r="AQ28" s="282"/>
      <c r="AR28" s="41"/>
      <c r="AS28" s="300" t="str">
        <f t="shared" si="1"/>
        <v/>
      </c>
      <c r="AT28" s="210">
        <f t="shared" si="2"/>
        <v>0</v>
      </c>
      <c r="AU28" s="210"/>
      <c r="AV28" s="292">
        <f t="shared" si="7"/>
        <v>0</v>
      </c>
      <c r="AW28" s="210">
        <f t="shared" si="8"/>
        <v>0</v>
      </c>
      <c r="AX28" s="210">
        <f t="shared" si="9"/>
        <v>0</v>
      </c>
      <c r="AY28" s="210">
        <f t="shared" si="10"/>
        <v>0</v>
      </c>
    </row>
    <row r="29" spans="1:51" s="43" customFormat="1" ht="30" customHeight="1" x14ac:dyDescent="0.25">
      <c r="A29" s="2"/>
      <c r="B29" s="61"/>
      <c r="C29" s="62"/>
      <c r="D29" s="62"/>
      <c r="E29" s="63"/>
      <c r="F29" s="2"/>
      <c r="G29" s="185"/>
      <c r="H29" s="62"/>
      <c r="I29" s="172"/>
      <c r="J29" s="2"/>
      <c r="K29" s="61"/>
      <c r="L29" s="62"/>
      <c r="M29" s="62"/>
      <c r="N29" s="63"/>
      <c r="O29" s="2"/>
      <c r="P29" s="185"/>
      <c r="Q29" s="62"/>
      <c r="R29" s="172"/>
      <c r="S29" s="2"/>
      <c r="T29" s="256"/>
      <c r="U29" s="524"/>
      <c r="V29" s="524"/>
      <c r="W29" s="524"/>
      <c r="X29" s="524"/>
      <c r="Y29" s="524"/>
      <c r="Z29" s="524"/>
      <c r="AA29" s="524"/>
      <c r="AB29" s="525"/>
      <c r="AC29" s="2"/>
      <c r="AD29" s="61"/>
      <c r="AE29" s="62"/>
      <c r="AF29" s="63"/>
      <c r="AG29" s="41"/>
      <c r="AH29" s="197"/>
      <c r="AI29" s="200"/>
      <c r="AJ29" s="302"/>
      <c r="AK29" s="200"/>
      <c r="AL29" s="294">
        <f t="shared" si="11"/>
        <v>0</v>
      </c>
      <c r="AM29" s="198"/>
      <c r="AN29" s="200"/>
      <c r="AO29" s="200"/>
      <c r="AP29" s="195"/>
      <c r="AQ29" s="282"/>
      <c r="AR29" s="41"/>
      <c r="AS29" s="300" t="str">
        <f t="shared" si="1"/>
        <v/>
      </c>
      <c r="AT29" s="210">
        <f t="shared" si="2"/>
        <v>0</v>
      </c>
      <c r="AU29" s="210"/>
      <c r="AV29" s="292">
        <f t="shared" si="7"/>
        <v>0</v>
      </c>
      <c r="AW29" s="210">
        <f t="shared" si="8"/>
        <v>0</v>
      </c>
      <c r="AX29" s="210">
        <f t="shared" si="9"/>
        <v>0</v>
      </c>
      <c r="AY29" s="210">
        <f t="shared" si="10"/>
        <v>0</v>
      </c>
    </row>
    <row r="30" spans="1:51" s="43" customFormat="1" ht="30" customHeight="1" x14ac:dyDescent="0.25">
      <c r="A30" s="2"/>
      <c r="B30" s="61"/>
      <c r="C30" s="62"/>
      <c r="D30" s="62"/>
      <c r="E30" s="63"/>
      <c r="F30" s="2"/>
      <c r="G30" s="185"/>
      <c r="H30" s="62"/>
      <c r="I30" s="172"/>
      <c r="J30" s="2"/>
      <c r="K30" s="61"/>
      <c r="L30" s="62"/>
      <c r="M30" s="62"/>
      <c r="N30" s="63"/>
      <c r="O30" s="2"/>
      <c r="P30" s="185"/>
      <c r="Q30" s="62"/>
      <c r="R30" s="172"/>
      <c r="S30" s="2"/>
      <c r="T30" s="256"/>
      <c r="U30" s="524"/>
      <c r="V30" s="524"/>
      <c r="W30" s="524"/>
      <c r="X30" s="524"/>
      <c r="Y30" s="524"/>
      <c r="Z30" s="524"/>
      <c r="AA30" s="524"/>
      <c r="AB30" s="525"/>
      <c r="AC30" s="2"/>
      <c r="AD30" s="61"/>
      <c r="AE30" s="62"/>
      <c r="AF30" s="63"/>
      <c r="AG30" s="41"/>
      <c r="AH30" s="197"/>
      <c r="AI30" s="200"/>
      <c r="AJ30" s="302"/>
      <c r="AK30" s="200"/>
      <c r="AL30" s="294">
        <f t="shared" si="11"/>
        <v>0</v>
      </c>
      <c r="AM30" s="198"/>
      <c r="AN30" s="200"/>
      <c r="AO30" s="200"/>
      <c r="AP30" s="195"/>
      <c r="AQ30" s="282"/>
      <c r="AR30" s="41"/>
      <c r="AS30" s="300" t="str">
        <f t="shared" si="1"/>
        <v/>
      </c>
      <c r="AT30" s="210">
        <f t="shared" si="2"/>
        <v>0</v>
      </c>
      <c r="AU30" s="210"/>
      <c r="AV30" s="292">
        <f t="shared" si="7"/>
        <v>0</v>
      </c>
      <c r="AW30" s="210">
        <f t="shared" si="8"/>
        <v>0</v>
      </c>
      <c r="AX30" s="210">
        <f t="shared" si="9"/>
        <v>0</v>
      </c>
      <c r="AY30" s="210">
        <f t="shared" si="10"/>
        <v>0</v>
      </c>
    </row>
    <row r="31" spans="1:51" s="43" customFormat="1" ht="30" customHeight="1" x14ac:dyDescent="0.25">
      <c r="A31" s="2"/>
      <c r="B31" s="61"/>
      <c r="C31" s="62"/>
      <c r="D31" s="62"/>
      <c r="E31" s="63"/>
      <c r="F31" s="2"/>
      <c r="G31" s="185"/>
      <c r="H31" s="62"/>
      <c r="I31" s="172"/>
      <c r="J31" s="2"/>
      <c r="K31" s="61"/>
      <c r="L31" s="62"/>
      <c r="M31" s="62"/>
      <c r="N31" s="63"/>
      <c r="O31" s="2"/>
      <c r="P31" s="185"/>
      <c r="Q31" s="62"/>
      <c r="R31" s="172"/>
      <c r="S31" s="2"/>
      <c r="T31" s="256"/>
      <c r="U31" s="524"/>
      <c r="V31" s="524"/>
      <c r="W31" s="524"/>
      <c r="X31" s="524"/>
      <c r="Y31" s="524"/>
      <c r="Z31" s="524"/>
      <c r="AA31" s="524"/>
      <c r="AB31" s="525"/>
      <c r="AC31" s="2"/>
      <c r="AD31" s="61"/>
      <c r="AE31" s="62"/>
      <c r="AF31" s="63"/>
      <c r="AG31" s="41"/>
      <c r="AH31" s="197"/>
      <c r="AI31" s="200"/>
      <c r="AJ31" s="302"/>
      <c r="AK31" s="200"/>
      <c r="AL31" s="294">
        <f t="shared" si="11"/>
        <v>0</v>
      </c>
      <c r="AM31" s="198"/>
      <c r="AN31" s="200"/>
      <c r="AO31" s="200"/>
      <c r="AP31" s="195"/>
      <c r="AQ31" s="282"/>
      <c r="AR31" s="41"/>
      <c r="AS31" s="300" t="str">
        <f t="shared" si="1"/>
        <v/>
      </c>
      <c r="AT31" s="210">
        <f t="shared" si="2"/>
        <v>0</v>
      </c>
      <c r="AU31" s="210"/>
      <c r="AV31" s="292">
        <f t="shared" si="7"/>
        <v>0</v>
      </c>
      <c r="AW31" s="210">
        <f t="shared" si="8"/>
        <v>0</v>
      </c>
      <c r="AX31" s="210">
        <f t="shared" si="9"/>
        <v>0</v>
      </c>
      <c r="AY31" s="210">
        <f t="shared" si="10"/>
        <v>0</v>
      </c>
    </row>
    <row r="32" spans="1:51" s="43" customFormat="1" ht="30" customHeight="1" x14ac:dyDescent="0.25">
      <c r="A32" s="2"/>
      <c r="B32" s="61"/>
      <c r="C32" s="62"/>
      <c r="D32" s="62"/>
      <c r="E32" s="63"/>
      <c r="F32" s="2"/>
      <c r="G32" s="185"/>
      <c r="H32" s="62"/>
      <c r="I32" s="172"/>
      <c r="J32" s="2"/>
      <c r="K32" s="61"/>
      <c r="L32" s="62"/>
      <c r="M32" s="62"/>
      <c r="N32" s="63"/>
      <c r="O32" s="2"/>
      <c r="P32" s="185"/>
      <c r="Q32" s="62"/>
      <c r="R32" s="172"/>
      <c r="S32" s="2"/>
      <c r="T32" s="256"/>
      <c r="U32" s="524"/>
      <c r="V32" s="524"/>
      <c r="W32" s="524"/>
      <c r="X32" s="524"/>
      <c r="Y32" s="524"/>
      <c r="Z32" s="524"/>
      <c r="AA32" s="524"/>
      <c r="AB32" s="525"/>
      <c r="AC32" s="2"/>
      <c r="AD32" s="61"/>
      <c r="AE32" s="62"/>
      <c r="AF32" s="63"/>
      <c r="AG32" s="41"/>
      <c r="AH32" s="197"/>
      <c r="AI32" s="200"/>
      <c r="AJ32" s="302"/>
      <c r="AK32" s="200"/>
      <c r="AL32" s="294">
        <f t="shared" si="11"/>
        <v>0</v>
      </c>
      <c r="AM32" s="198"/>
      <c r="AN32" s="200"/>
      <c r="AO32" s="200"/>
      <c r="AP32" s="195"/>
      <c r="AQ32" s="282"/>
      <c r="AR32" s="41"/>
      <c r="AS32" s="300" t="str">
        <f t="shared" si="1"/>
        <v/>
      </c>
      <c r="AT32" s="210">
        <f t="shared" si="2"/>
        <v>0</v>
      </c>
      <c r="AU32" s="210"/>
      <c r="AV32" s="292">
        <f t="shared" si="7"/>
        <v>0</v>
      </c>
      <c r="AW32" s="210">
        <f t="shared" si="8"/>
        <v>0</v>
      </c>
      <c r="AX32" s="210">
        <f t="shared" si="9"/>
        <v>0</v>
      </c>
      <c r="AY32" s="210">
        <f t="shared" si="10"/>
        <v>0</v>
      </c>
    </row>
    <row r="33" spans="1:51" s="43" customFormat="1" ht="30" customHeight="1" x14ac:dyDescent="0.25">
      <c r="A33" s="2"/>
      <c r="B33" s="61"/>
      <c r="C33" s="62"/>
      <c r="D33" s="62"/>
      <c r="E33" s="63"/>
      <c r="F33" s="2"/>
      <c r="G33" s="185"/>
      <c r="H33" s="62"/>
      <c r="I33" s="172"/>
      <c r="J33" s="2"/>
      <c r="K33" s="61"/>
      <c r="L33" s="62"/>
      <c r="M33" s="62"/>
      <c r="N33" s="63"/>
      <c r="O33" s="2"/>
      <c r="P33" s="185"/>
      <c r="Q33" s="62"/>
      <c r="R33" s="172"/>
      <c r="S33" s="2"/>
      <c r="T33" s="256"/>
      <c r="U33" s="524"/>
      <c r="V33" s="524"/>
      <c r="W33" s="524"/>
      <c r="X33" s="524"/>
      <c r="Y33" s="524"/>
      <c r="Z33" s="524"/>
      <c r="AA33" s="524"/>
      <c r="AB33" s="525"/>
      <c r="AC33" s="2"/>
      <c r="AD33" s="61"/>
      <c r="AE33" s="62"/>
      <c r="AF33" s="63"/>
      <c r="AG33" s="41"/>
      <c r="AH33" s="197"/>
      <c r="AI33" s="200"/>
      <c r="AJ33" s="302"/>
      <c r="AK33" s="200"/>
      <c r="AL33" s="294">
        <f t="shared" si="11"/>
        <v>0</v>
      </c>
      <c r="AM33" s="198"/>
      <c r="AN33" s="200"/>
      <c r="AO33" s="200"/>
      <c r="AP33" s="195"/>
      <c r="AQ33" s="282"/>
      <c r="AR33" s="41"/>
      <c r="AS33" s="300" t="str">
        <f t="shared" si="1"/>
        <v/>
      </c>
      <c r="AT33" s="210">
        <f t="shared" si="2"/>
        <v>0</v>
      </c>
      <c r="AU33" s="210"/>
      <c r="AV33" s="292">
        <f t="shared" si="7"/>
        <v>0</v>
      </c>
      <c r="AW33" s="210">
        <f t="shared" si="8"/>
        <v>0</v>
      </c>
      <c r="AX33" s="210">
        <f t="shared" si="9"/>
        <v>0</v>
      </c>
      <c r="AY33" s="210">
        <f t="shared" si="10"/>
        <v>0</v>
      </c>
    </row>
    <row r="34" spans="1:51" s="43" customFormat="1" ht="30" customHeight="1" x14ac:dyDescent="0.25">
      <c r="A34" s="2"/>
      <c r="B34" s="61"/>
      <c r="C34" s="62"/>
      <c r="D34" s="62"/>
      <c r="E34" s="63"/>
      <c r="F34" s="2"/>
      <c r="G34" s="185"/>
      <c r="H34" s="62"/>
      <c r="I34" s="172"/>
      <c r="J34" s="2"/>
      <c r="K34" s="61"/>
      <c r="L34" s="62"/>
      <c r="M34" s="62"/>
      <c r="N34" s="63"/>
      <c r="O34" s="2"/>
      <c r="P34" s="185"/>
      <c r="Q34" s="62"/>
      <c r="R34" s="172"/>
      <c r="S34" s="2"/>
      <c r="T34" s="256"/>
      <c r="U34" s="524"/>
      <c r="V34" s="524"/>
      <c r="W34" s="524"/>
      <c r="X34" s="524"/>
      <c r="Y34" s="524"/>
      <c r="Z34" s="524"/>
      <c r="AA34" s="524"/>
      <c r="AB34" s="525"/>
      <c r="AC34" s="2"/>
      <c r="AD34" s="61"/>
      <c r="AE34" s="62"/>
      <c r="AF34" s="63"/>
      <c r="AG34" s="41"/>
      <c r="AH34" s="197"/>
      <c r="AI34" s="200"/>
      <c r="AJ34" s="302"/>
      <c r="AK34" s="200"/>
      <c r="AL34" s="294">
        <f t="shared" si="11"/>
        <v>0</v>
      </c>
      <c r="AM34" s="198"/>
      <c r="AN34" s="200"/>
      <c r="AO34" s="200"/>
      <c r="AP34" s="195"/>
      <c r="AQ34" s="282"/>
      <c r="AR34" s="41"/>
      <c r="AS34" s="300" t="str">
        <f t="shared" si="1"/>
        <v/>
      </c>
      <c r="AT34" s="210">
        <f t="shared" si="2"/>
        <v>0</v>
      </c>
      <c r="AU34" s="210"/>
      <c r="AV34" s="292">
        <f t="shared" si="7"/>
        <v>0</v>
      </c>
      <c r="AW34" s="210">
        <f t="shared" si="8"/>
        <v>0</v>
      </c>
      <c r="AX34" s="210">
        <f t="shared" si="9"/>
        <v>0</v>
      </c>
      <c r="AY34" s="210">
        <f t="shared" si="10"/>
        <v>0</v>
      </c>
    </row>
    <row r="35" spans="1:51" s="43" customFormat="1" ht="30" customHeight="1" x14ac:dyDescent="0.25">
      <c r="A35" s="2"/>
      <c r="B35" s="61"/>
      <c r="C35" s="62"/>
      <c r="D35" s="62"/>
      <c r="E35" s="63"/>
      <c r="F35" s="2"/>
      <c r="G35" s="185"/>
      <c r="H35" s="62"/>
      <c r="I35" s="172"/>
      <c r="J35" s="2"/>
      <c r="K35" s="61"/>
      <c r="L35" s="62"/>
      <c r="M35" s="62"/>
      <c r="N35" s="63"/>
      <c r="O35" s="2"/>
      <c r="P35" s="185"/>
      <c r="Q35" s="62"/>
      <c r="R35" s="172"/>
      <c r="S35" s="2"/>
      <c r="T35" s="256"/>
      <c r="U35" s="524"/>
      <c r="V35" s="524"/>
      <c r="W35" s="524"/>
      <c r="X35" s="524"/>
      <c r="Y35" s="524"/>
      <c r="Z35" s="524"/>
      <c r="AA35" s="524"/>
      <c r="AB35" s="525"/>
      <c r="AC35" s="2"/>
      <c r="AD35" s="61"/>
      <c r="AE35" s="62"/>
      <c r="AF35" s="63"/>
      <c r="AG35" s="41"/>
      <c r="AH35" s="197"/>
      <c r="AI35" s="200"/>
      <c r="AJ35" s="302"/>
      <c r="AK35" s="200"/>
      <c r="AL35" s="294">
        <f t="shared" si="11"/>
        <v>0</v>
      </c>
      <c r="AM35" s="198"/>
      <c r="AN35" s="200"/>
      <c r="AO35" s="200"/>
      <c r="AP35" s="195"/>
      <c r="AQ35" s="282"/>
      <c r="AR35" s="41"/>
      <c r="AS35" s="300" t="str">
        <f t="shared" si="1"/>
        <v/>
      </c>
      <c r="AT35" s="210">
        <f t="shared" si="2"/>
        <v>0</v>
      </c>
      <c r="AU35" s="210"/>
      <c r="AV35" s="292">
        <f t="shared" si="7"/>
        <v>0</v>
      </c>
      <c r="AW35" s="210">
        <f t="shared" si="8"/>
        <v>0</v>
      </c>
      <c r="AX35" s="210">
        <f t="shared" si="9"/>
        <v>0</v>
      </c>
      <c r="AY35" s="210">
        <f t="shared" si="10"/>
        <v>0</v>
      </c>
    </row>
    <row r="36" spans="1:51" s="43" customFormat="1" ht="30" customHeight="1" x14ac:dyDescent="0.25">
      <c r="A36" s="2"/>
      <c r="B36" s="61"/>
      <c r="C36" s="62"/>
      <c r="D36" s="62"/>
      <c r="E36" s="63"/>
      <c r="F36" s="2"/>
      <c r="G36" s="185"/>
      <c r="H36" s="62"/>
      <c r="I36" s="172"/>
      <c r="J36" s="2"/>
      <c r="K36" s="61"/>
      <c r="L36" s="62"/>
      <c r="M36" s="62"/>
      <c r="N36" s="63"/>
      <c r="O36" s="2"/>
      <c r="P36" s="185"/>
      <c r="Q36" s="62"/>
      <c r="R36" s="172"/>
      <c r="S36" s="2"/>
      <c r="T36" s="256"/>
      <c r="U36" s="524"/>
      <c r="V36" s="524"/>
      <c r="W36" s="524"/>
      <c r="X36" s="524"/>
      <c r="Y36" s="524"/>
      <c r="Z36" s="524"/>
      <c r="AA36" s="524"/>
      <c r="AB36" s="525"/>
      <c r="AC36" s="2"/>
      <c r="AD36" s="61"/>
      <c r="AE36" s="62"/>
      <c r="AF36" s="63"/>
      <c r="AG36" s="41"/>
      <c r="AH36" s="197"/>
      <c r="AI36" s="200"/>
      <c r="AJ36" s="302"/>
      <c r="AK36" s="200"/>
      <c r="AL36" s="294">
        <f t="shared" si="11"/>
        <v>0</v>
      </c>
      <c r="AM36" s="198"/>
      <c r="AN36" s="200"/>
      <c r="AO36" s="200"/>
      <c r="AP36" s="195"/>
      <c r="AQ36" s="282"/>
      <c r="AR36" s="41"/>
      <c r="AS36" s="300" t="str">
        <f t="shared" si="1"/>
        <v/>
      </c>
      <c r="AT36" s="210">
        <f t="shared" si="2"/>
        <v>0</v>
      </c>
      <c r="AU36" s="210"/>
      <c r="AV36" s="292">
        <f t="shared" si="7"/>
        <v>0</v>
      </c>
      <c r="AW36" s="210">
        <f t="shared" si="8"/>
        <v>0</v>
      </c>
      <c r="AX36" s="210">
        <f t="shared" si="9"/>
        <v>0</v>
      </c>
      <c r="AY36" s="210">
        <f t="shared" si="10"/>
        <v>0</v>
      </c>
    </row>
    <row r="37" spans="1:51" s="43" customFormat="1" ht="30" customHeight="1" x14ac:dyDescent="0.25">
      <c r="A37" s="2"/>
      <c r="B37" s="61"/>
      <c r="C37" s="62"/>
      <c r="D37" s="62"/>
      <c r="E37" s="63"/>
      <c r="F37" s="2"/>
      <c r="G37" s="185"/>
      <c r="H37" s="62"/>
      <c r="I37" s="172"/>
      <c r="J37" s="2"/>
      <c r="K37" s="61"/>
      <c r="L37" s="62"/>
      <c r="M37" s="62"/>
      <c r="N37" s="63"/>
      <c r="O37" s="2"/>
      <c r="P37" s="185"/>
      <c r="Q37" s="62"/>
      <c r="R37" s="172"/>
      <c r="S37" s="2"/>
      <c r="T37" s="256"/>
      <c r="U37" s="524"/>
      <c r="V37" s="524"/>
      <c r="W37" s="524"/>
      <c r="X37" s="524"/>
      <c r="Y37" s="524"/>
      <c r="Z37" s="524"/>
      <c r="AA37" s="524"/>
      <c r="AB37" s="525"/>
      <c r="AC37" s="2"/>
      <c r="AD37" s="61"/>
      <c r="AE37" s="62"/>
      <c r="AF37" s="63"/>
      <c r="AG37" s="41"/>
      <c r="AH37" s="197"/>
      <c r="AI37" s="200"/>
      <c r="AJ37" s="302"/>
      <c r="AK37" s="200"/>
      <c r="AL37" s="294">
        <f t="shared" si="11"/>
        <v>0</v>
      </c>
      <c r="AM37" s="198"/>
      <c r="AN37" s="200"/>
      <c r="AO37" s="200"/>
      <c r="AP37" s="195"/>
      <c r="AQ37" s="282"/>
      <c r="AR37" s="41"/>
      <c r="AS37" s="300" t="str">
        <f t="shared" si="1"/>
        <v/>
      </c>
      <c r="AT37" s="210">
        <f t="shared" si="2"/>
        <v>0</v>
      </c>
      <c r="AU37" s="210"/>
      <c r="AV37" s="292">
        <f t="shared" si="7"/>
        <v>0</v>
      </c>
      <c r="AW37" s="210">
        <f t="shared" si="8"/>
        <v>0</v>
      </c>
      <c r="AX37" s="210">
        <f t="shared" si="9"/>
        <v>0</v>
      </c>
      <c r="AY37" s="210">
        <f t="shared" si="10"/>
        <v>0</v>
      </c>
    </row>
    <row r="38" spans="1:51" s="43" customFormat="1" ht="30" customHeight="1" x14ac:dyDescent="0.25">
      <c r="A38" s="2"/>
      <c r="B38" s="61"/>
      <c r="C38" s="62"/>
      <c r="D38" s="62"/>
      <c r="E38" s="63"/>
      <c r="F38" s="2"/>
      <c r="G38" s="185"/>
      <c r="H38" s="62"/>
      <c r="I38" s="172"/>
      <c r="J38" s="2"/>
      <c r="K38" s="61"/>
      <c r="L38" s="62"/>
      <c r="M38" s="62"/>
      <c r="N38" s="63"/>
      <c r="O38" s="2"/>
      <c r="P38" s="185"/>
      <c r="Q38" s="62"/>
      <c r="R38" s="172"/>
      <c r="S38" s="2"/>
      <c r="T38" s="256"/>
      <c r="U38" s="524"/>
      <c r="V38" s="524"/>
      <c r="W38" s="524"/>
      <c r="X38" s="524"/>
      <c r="Y38" s="524"/>
      <c r="Z38" s="524"/>
      <c r="AA38" s="524"/>
      <c r="AB38" s="525"/>
      <c r="AC38" s="2"/>
      <c r="AD38" s="61"/>
      <c r="AE38" s="62"/>
      <c r="AF38" s="63"/>
      <c r="AG38" s="41"/>
      <c r="AH38" s="197"/>
      <c r="AI38" s="200"/>
      <c r="AJ38" s="302"/>
      <c r="AK38" s="200"/>
      <c r="AL38" s="294">
        <f t="shared" si="11"/>
        <v>0</v>
      </c>
      <c r="AM38" s="198"/>
      <c r="AN38" s="200"/>
      <c r="AO38" s="200"/>
      <c r="AP38" s="195"/>
      <c r="AQ38" s="282"/>
      <c r="AR38" s="41"/>
      <c r="AS38" s="300" t="str">
        <f t="shared" si="1"/>
        <v/>
      </c>
      <c r="AT38" s="210">
        <f t="shared" si="2"/>
        <v>0</v>
      </c>
      <c r="AU38" s="210"/>
      <c r="AV38" s="292">
        <f t="shared" si="7"/>
        <v>0</v>
      </c>
      <c r="AW38" s="210">
        <f t="shared" si="8"/>
        <v>0</v>
      </c>
      <c r="AX38" s="210">
        <f t="shared" si="9"/>
        <v>0</v>
      </c>
      <c r="AY38" s="210">
        <f t="shared" si="10"/>
        <v>0</v>
      </c>
    </row>
    <row r="39" spans="1:51" s="43" customFormat="1" ht="30" customHeight="1" x14ac:dyDescent="0.25">
      <c r="A39" s="2"/>
      <c r="B39" s="61"/>
      <c r="C39" s="62"/>
      <c r="D39" s="62"/>
      <c r="E39" s="63"/>
      <c r="F39" s="2"/>
      <c r="G39" s="185"/>
      <c r="H39" s="62"/>
      <c r="I39" s="172"/>
      <c r="J39" s="2"/>
      <c r="K39" s="61"/>
      <c r="L39" s="62"/>
      <c r="M39" s="62"/>
      <c r="N39" s="63"/>
      <c r="O39" s="2"/>
      <c r="P39" s="185"/>
      <c r="Q39" s="62"/>
      <c r="R39" s="172"/>
      <c r="S39" s="2"/>
      <c r="T39" s="256"/>
      <c r="U39" s="524"/>
      <c r="V39" s="524"/>
      <c r="W39" s="524"/>
      <c r="X39" s="524"/>
      <c r="Y39" s="524"/>
      <c r="Z39" s="524"/>
      <c r="AA39" s="524"/>
      <c r="AB39" s="525"/>
      <c r="AC39" s="2"/>
      <c r="AD39" s="61"/>
      <c r="AE39" s="62"/>
      <c r="AF39" s="63"/>
      <c r="AG39" s="41"/>
      <c r="AH39" s="197"/>
      <c r="AI39" s="200"/>
      <c r="AJ39" s="302"/>
      <c r="AK39" s="200"/>
      <c r="AL39" s="294">
        <f t="shared" si="11"/>
        <v>0</v>
      </c>
      <c r="AM39" s="198"/>
      <c r="AN39" s="200"/>
      <c r="AO39" s="200"/>
      <c r="AP39" s="195"/>
      <c r="AQ39" s="282"/>
      <c r="AR39" s="41"/>
      <c r="AS39" s="300" t="str">
        <f t="shared" si="1"/>
        <v/>
      </c>
      <c r="AT39" s="210">
        <f t="shared" si="2"/>
        <v>0</v>
      </c>
      <c r="AU39" s="210"/>
      <c r="AV39" s="292">
        <f t="shared" si="7"/>
        <v>0</v>
      </c>
      <c r="AW39" s="210">
        <f t="shared" si="8"/>
        <v>0</v>
      </c>
      <c r="AX39" s="210">
        <f t="shared" si="9"/>
        <v>0</v>
      </c>
      <c r="AY39" s="210">
        <f t="shared" si="10"/>
        <v>0</v>
      </c>
    </row>
    <row r="40" spans="1:51" s="43" customFormat="1" ht="30" customHeight="1" x14ac:dyDescent="0.25">
      <c r="A40" s="2"/>
      <c r="B40" s="61"/>
      <c r="C40" s="62"/>
      <c r="D40" s="62"/>
      <c r="E40" s="63"/>
      <c r="F40" s="2"/>
      <c r="G40" s="185"/>
      <c r="H40" s="62"/>
      <c r="I40" s="172"/>
      <c r="J40" s="2"/>
      <c r="K40" s="61"/>
      <c r="L40" s="62"/>
      <c r="M40" s="62"/>
      <c r="N40" s="63"/>
      <c r="O40" s="2"/>
      <c r="P40" s="185"/>
      <c r="Q40" s="62"/>
      <c r="R40" s="172"/>
      <c r="S40" s="2"/>
      <c r="T40" s="256"/>
      <c r="U40" s="524"/>
      <c r="V40" s="524"/>
      <c r="W40" s="524"/>
      <c r="X40" s="524"/>
      <c r="Y40" s="524"/>
      <c r="Z40" s="524"/>
      <c r="AA40" s="524"/>
      <c r="AB40" s="525"/>
      <c r="AC40" s="2"/>
      <c r="AD40" s="61"/>
      <c r="AE40" s="62"/>
      <c r="AF40" s="63"/>
      <c r="AG40" s="41"/>
      <c r="AH40" s="197"/>
      <c r="AI40" s="200"/>
      <c r="AJ40" s="302"/>
      <c r="AK40" s="200"/>
      <c r="AL40" s="294">
        <f t="shared" si="11"/>
        <v>0</v>
      </c>
      <c r="AM40" s="198"/>
      <c r="AN40" s="200"/>
      <c r="AO40" s="200"/>
      <c r="AP40" s="195"/>
      <c r="AQ40" s="282"/>
      <c r="AR40" s="41"/>
      <c r="AS40" s="300" t="str">
        <f t="shared" si="1"/>
        <v/>
      </c>
      <c r="AT40" s="210">
        <f t="shared" si="2"/>
        <v>0</v>
      </c>
      <c r="AU40" s="210"/>
      <c r="AV40" s="292">
        <f t="shared" si="7"/>
        <v>0</v>
      </c>
      <c r="AW40" s="210">
        <f t="shared" si="8"/>
        <v>0</v>
      </c>
      <c r="AX40" s="210">
        <f t="shared" si="9"/>
        <v>0</v>
      </c>
      <c r="AY40" s="210">
        <f t="shared" si="10"/>
        <v>0</v>
      </c>
    </row>
    <row r="41" spans="1:51" s="43" customFormat="1" ht="30" customHeight="1" x14ac:dyDescent="0.25">
      <c r="A41" s="2"/>
      <c r="B41" s="61"/>
      <c r="C41" s="62"/>
      <c r="D41" s="62"/>
      <c r="E41" s="63"/>
      <c r="F41" s="2"/>
      <c r="G41" s="185"/>
      <c r="H41" s="62"/>
      <c r="I41" s="172"/>
      <c r="J41" s="2"/>
      <c r="K41" s="61"/>
      <c r="L41" s="62"/>
      <c r="M41" s="62"/>
      <c r="N41" s="63"/>
      <c r="O41" s="2"/>
      <c r="P41" s="185"/>
      <c r="Q41" s="62"/>
      <c r="R41" s="172"/>
      <c r="S41" s="2"/>
      <c r="T41" s="256"/>
      <c r="U41" s="524"/>
      <c r="V41" s="524"/>
      <c r="W41" s="524"/>
      <c r="X41" s="524"/>
      <c r="Y41" s="524"/>
      <c r="Z41" s="524"/>
      <c r="AA41" s="524"/>
      <c r="AB41" s="525"/>
      <c r="AC41" s="2"/>
      <c r="AD41" s="61"/>
      <c r="AE41" s="62"/>
      <c r="AF41" s="63"/>
      <c r="AG41" s="41"/>
      <c r="AH41" s="197"/>
      <c r="AI41" s="200"/>
      <c r="AJ41" s="302"/>
      <c r="AK41" s="200"/>
      <c r="AL41" s="294">
        <f t="shared" si="11"/>
        <v>0</v>
      </c>
      <c r="AM41" s="198"/>
      <c r="AN41" s="200"/>
      <c r="AO41" s="200"/>
      <c r="AP41" s="195"/>
      <c r="AQ41" s="282"/>
      <c r="AR41" s="41"/>
      <c r="AS41" s="300" t="str">
        <f t="shared" si="1"/>
        <v/>
      </c>
      <c r="AT41" s="210">
        <f t="shared" si="2"/>
        <v>0</v>
      </c>
      <c r="AU41" s="210"/>
      <c r="AV41" s="292">
        <f t="shared" si="7"/>
        <v>0</v>
      </c>
      <c r="AW41" s="210">
        <f t="shared" si="8"/>
        <v>0</v>
      </c>
      <c r="AX41" s="210">
        <f t="shared" si="9"/>
        <v>0</v>
      </c>
      <c r="AY41" s="210">
        <f t="shared" si="10"/>
        <v>0</v>
      </c>
    </row>
    <row r="42" spans="1:51" s="43" customFormat="1" ht="30" customHeight="1" x14ac:dyDescent="0.25">
      <c r="A42" s="2"/>
      <c r="B42" s="61"/>
      <c r="C42" s="62"/>
      <c r="D42" s="62"/>
      <c r="E42" s="63"/>
      <c r="F42" s="2"/>
      <c r="G42" s="185"/>
      <c r="H42" s="62"/>
      <c r="I42" s="172"/>
      <c r="J42" s="2"/>
      <c r="K42" s="61"/>
      <c r="L42" s="62"/>
      <c r="M42" s="62"/>
      <c r="N42" s="63"/>
      <c r="O42" s="2"/>
      <c r="P42" s="185"/>
      <c r="Q42" s="62"/>
      <c r="R42" s="172"/>
      <c r="S42" s="2"/>
      <c r="T42" s="256"/>
      <c r="U42" s="524"/>
      <c r="V42" s="524"/>
      <c r="W42" s="524"/>
      <c r="X42" s="524"/>
      <c r="Y42" s="524"/>
      <c r="Z42" s="524"/>
      <c r="AA42" s="524"/>
      <c r="AB42" s="525"/>
      <c r="AC42" s="2"/>
      <c r="AD42" s="61"/>
      <c r="AE42" s="62"/>
      <c r="AF42" s="63"/>
      <c r="AG42" s="41"/>
      <c r="AH42" s="197"/>
      <c r="AI42" s="200"/>
      <c r="AJ42" s="302"/>
      <c r="AK42" s="200"/>
      <c r="AL42" s="294">
        <f t="shared" si="11"/>
        <v>0</v>
      </c>
      <c r="AM42" s="198"/>
      <c r="AN42" s="200"/>
      <c r="AO42" s="200"/>
      <c r="AP42" s="195"/>
      <c r="AQ42" s="282"/>
      <c r="AR42" s="41"/>
      <c r="AS42" s="300" t="str">
        <f t="shared" si="1"/>
        <v/>
      </c>
      <c r="AT42" s="210">
        <f t="shared" si="2"/>
        <v>0</v>
      </c>
      <c r="AU42" s="210"/>
      <c r="AV42" s="292">
        <f t="shared" si="7"/>
        <v>0</v>
      </c>
      <c r="AW42" s="210">
        <f t="shared" si="8"/>
        <v>0</v>
      </c>
      <c r="AX42" s="210">
        <f t="shared" si="9"/>
        <v>0</v>
      </c>
      <c r="AY42" s="210">
        <f t="shared" si="10"/>
        <v>0</v>
      </c>
    </row>
    <row r="43" spans="1:51" s="43" customFormat="1" ht="30" customHeight="1" x14ac:dyDescent="0.25">
      <c r="A43" s="2"/>
      <c r="B43" s="61"/>
      <c r="C43" s="62"/>
      <c r="D43" s="62"/>
      <c r="E43" s="63"/>
      <c r="F43" s="2"/>
      <c r="G43" s="185"/>
      <c r="H43" s="62"/>
      <c r="I43" s="172"/>
      <c r="J43" s="2"/>
      <c r="K43" s="61"/>
      <c r="L43" s="62"/>
      <c r="M43" s="62"/>
      <c r="N43" s="63"/>
      <c r="O43" s="2"/>
      <c r="P43" s="185"/>
      <c r="Q43" s="62"/>
      <c r="R43" s="172"/>
      <c r="S43" s="2"/>
      <c r="T43" s="256"/>
      <c r="U43" s="524"/>
      <c r="V43" s="524"/>
      <c r="W43" s="524"/>
      <c r="X43" s="524"/>
      <c r="Y43" s="524"/>
      <c r="Z43" s="524"/>
      <c r="AA43" s="524"/>
      <c r="AB43" s="525"/>
      <c r="AC43" s="2"/>
      <c r="AD43" s="61"/>
      <c r="AE43" s="62"/>
      <c r="AF43" s="63"/>
      <c r="AG43" s="41"/>
      <c r="AH43" s="197"/>
      <c r="AI43" s="200"/>
      <c r="AJ43" s="302"/>
      <c r="AK43" s="200"/>
      <c r="AL43" s="294">
        <f t="shared" si="11"/>
        <v>0</v>
      </c>
      <c r="AM43" s="198"/>
      <c r="AN43" s="200"/>
      <c r="AO43" s="200"/>
      <c r="AP43" s="195"/>
      <c r="AQ43" s="282"/>
      <c r="AR43" s="41"/>
      <c r="AS43" s="300" t="str">
        <f t="shared" si="1"/>
        <v/>
      </c>
      <c r="AT43" s="210">
        <f t="shared" si="2"/>
        <v>0</v>
      </c>
      <c r="AU43" s="210"/>
      <c r="AV43" s="292">
        <f t="shared" si="7"/>
        <v>0</v>
      </c>
      <c r="AW43" s="210">
        <f t="shared" si="8"/>
        <v>0</v>
      </c>
      <c r="AX43" s="210">
        <f t="shared" si="9"/>
        <v>0</v>
      </c>
      <c r="AY43" s="210">
        <f t="shared" si="10"/>
        <v>0</v>
      </c>
    </row>
    <row r="44" spans="1:51" s="43" customFormat="1" ht="30" customHeight="1" x14ac:dyDescent="0.25">
      <c r="A44" s="2"/>
      <c r="B44" s="61"/>
      <c r="C44" s="62"/>
      <c r="D44" s="62"/>
      <c r="E44" s="63"/>
      <c r="F44" s="2"/>
      <c r="G44" s="185"/>
      <c r="H44" s="62"/>
      <c r="I44" s="172"/>
      <c r="J44" s="2"/>
      <c r="K44" s="61"/>
      <c r="L44" s="62"/>
      <c r="M44" s="62"/>
      <c r="N44" s="63"/>
      <c r="O44" s="2"/>
      <c r="P44" s="185"/>
      <c r="Q44" s="62"/>
      <c r="R44" s="172"/>
      <c r="S44" s="2"/>
      <c r="T44" s="256"/>
      <c r="U44" s="524"/>
      <c r="V44" s="524"/>
      <c r="W44" s="524"/>
      <c r="X44" s="524"/>
      <c r="Y44" s="524"/>
      <c r="Z44" s="524"/>
      <c r="AA44" s="524"/>
      <c r="AB44" s="525"/>
      <c r="AC44" s="2"/>
      <c r="AD44" s="61"/>
      <c r="AE44" s="62"/>
      <c r="AF44" s="63"/>
      <c r="AG44" s="41"/>
      <c r="AH44" s="197"/>
      <c r="AI44" s="200"/>
      <c r="AJ44" s="302"/>
      <c r="AK44" s="200"/>
      <c r="AL44" s="294">
        <f t="shared" si="11"/>
        <v>0</v>
      </c>
      <c r="AM44" s="198"/>
      <c r="AN44" s="200"/>
      <c r="AO44" s="200"/>
      <c r="AP44" s="195"/>
      <c r="AQ44" s="282"/>
      <c r="AR44" s="41"/>
      <c r="AS44" s="300" t="str">
        <f t="shared" si="1"/>
        <v/>
      </c>
      <c r="AT44" s="210">
        <f t="shared" si="2"/>
        <v>0</v>
      </c>
      <c r="AU44" s="210"/>
      <c r="AV44" s="292">
        <f t="shared" si="7"/>
        <v>0</v>
      </c>
      <c r="AW44" s="210">
        <f t="shared" si="8"/>
        <v>0</v>
      </c>
      <c r="AX44" s="210">
        <f t="shared" si="9"/>
        <v>0</v>
      </c>
      <c r="AY44" s="210">
        <f t="shared" si="10"/>
        <v>0</v>
      </c>
    </row>
    <row r="45" spans="1:51" s="43" customFormat="1" ht="30" customHeight="1" x14ac:dyDescent="0.25">
      <c r="A45" s="2"/>
      <c r="B45" s="61"/>
      <c r="C45" s="62"/>
      <c r="D45" s="62"/>
      <c r="E45" s="63"/>
      <c r="F45" s="2"/>
      <c r="G45" s="185"/>
      <c r="H45" s="62"/>
      <c r="I45" s="172"/>
      <c r="J45" s="2"/>
      <c r="K45" s="61"/>
      <c r="L45" s="62"/>
      <c r="M45" s="62"/>
      <c r="N45" s="63"/>
      <c r="O45" s="2"/>
      <c r="P45" s="185"/>
      <c r="Q45" s="62"/>
      <c r="R45" s="172"/>
      <c r="S45" s="2"/>
      <c r="T45" s="256"/>
      <c r="U45" s="524"/>
      <c r="V45" s="524"/>
      <c r="W45" s="524"/>
      <c r="X45" s="524"/>
      <c r="Y45" s="524"/>
      <c r="Z45" s="524"/>
      <c r="AA45" s="524"/>
      <c r="AB45" s="525"/>
      <c r="AC45" s="2"/>
      <c r="AD45" s="61"/>
      <c r="AE45" s="62"/>
      <c r="AF45" s="63"/>
      <c r="AG45" s="41"/>
      <c r="AH45" s="197"/>
      <c r="AI45" s="200"/>
      <c r="AJ45" s="302"/>
      <c r="AK45" s="200"/>
      <c r="AL45" s="294">
        <f t="shared" si="11"/>
        <v>0</v>
      </c>
      <c r="AM45" s="198"/>
      <c r="AN45" s="200"/>
      <c r="AO45" s="200"/>
      <c r="AP45" s="195"/>
      <c r="AQ45" s="282"/>
      <c r="AR45" s="41"/>
      <c r="AS45" s="300" t="str">
        <f t="shared" si="1"/>
        <v/>
      </c>
      <c r="AT45" s="210">
        <f t="shared" si="2"/>
        <v>0</v>
      </c>
      <c r="AU45" s="210"/>
      <c r="AV45" s="292">
        <f t="shared" si="7"/>
        <v>0</v>
      </c>
      <c r="AW45" s="210">
        <f t="shared" si="8"/>
        <v>0</v>
      </c>
      <c r="AX45" s="210">
        <f t="shared" si="9"/>
        <v>0</v>
      </c>
      <c r="AY45" s="210">
        <f t="shared" si="10"/>
        <v>0</v>
      </c>
    </row>
    <row r="46" spans="1:51" s="43" customFormat="1" ht="30" customHeight="1" x14ac:dyDescent="0.25">
      <c r="A46" s="2"/>
      <c r="B46" s="61"/>
      <c r="C46" s="62"/>
      <c r="D46" s="62"/>
      <c r="E46" s="63"/>
      <c r="F46" s="2"/>
      <c r="G46" s="185"/>
      <c r="H46" s="62"/>
      <c r="I46" s="172"/>
      <c r="J46" s="2"/>
      <c r="K46" s="61"/>
      <c r="L46" s="62"/>
      <c r="M46" s="62"/>
      <c r="N46" s="63"/>
      <c r="O46" s="2"/>
      <c r="P46" s="185"/>
      <c r="Q46" s="62"/>
      <c r="R46" s="172"/>
      <c r="S46" s="2"/>
      <c r="T46" s="256"/>
      <c r="U46" s="524"/>
      <c r="V46" s="524"/>
      <c r="W46" s="524"/>
      <c r="X46" s="524"/>
      <c r="Y46" s="524"/>
      <c r="Z46" s="524"/>
      <c r="AA46" s="524"/>
      <c r="AB46" s="525"/>
      <c r="AC46" s="2"/>
      <c r="AD46" s="61"/>
      <c r="AE46" s="62"/>
      <c r="AF46" s="63"/>
      <c r="AG46" s="41"/>
      <c r="AH46" s="197"/>
      <c r="AI46" s="200"/>
      <c r="AJ46" s="302"/>
      <c r="AK46" s="200"/>
      <c r="AL46" s="294">
        <f t="shared" si="11"/>
        <v>0</v>
      </c>
      <c r="AM46" s="198"/>
      <c r="AN46" s="200"/>
      <c r="AO46" s="200"/>
      <c r="AP46" s="195"/>
      <c r="AQ46" s="282"/>
      <c r="AR46" s="41"/>
      <c r="AS46" s="300" t="str">
        <f t="shared" si="1"/>
        <v/>
      </c>
      <c r="AT46" s="210">
        <f t="shared" si="2"/>
        <v>0</v>
      </c>
      <c r="AU46" s="210"/>
      <c r="AV46" s="292">
        <f t="shared" si="7"/>
        <v>0</v>
      </c>
      <c r="AW46" s="210">
        <f t="shared" si="8"/>
        <v>0</v>
      </c>
      <c r="AX46" s="210">
        <f t="shared" si="9"/>
        <v>0</v>
      </c>
      <c r="AY46" s="210">
        <f t="shared" si="10"/>
        <v>0</v>
      </c>
    </row>
    <row r="47" spans="1:51" s="43" customFormat="1" ht="30" customHeight="1" x14ac:dyDescent="0.25">
      <c r="A47" s="2"/>
      <c r="B47" s="61"/>
      <c r="C47" s="62"/>
      <c r="D47" s="62"/>
      <c r="E47" s="63"/>
      <c r="F47" s="2"/>
      <c r="G47" s="185"/>
      <c r="H47" s="62"/>
      <c r="I47" s="172"/>
      <c r="J47" s="2"/>
      <c r="K47" s="61"/>
      <c r="L47" s="62"/>
      <c r="M47" s="62"/>
      <c r="N47" s="63"/>
      <c r="O47" s="2"/>
      <c r="P47" s="185"/>
      <c r="Q47" s="62"/>
      <c r="R47" s="172"/>
      <c r="S47" s="2"/>
      <c r="T47" s="256"/>
      <c r="U47" s="524"/>
      <c r="V47" s="524"/>
      <c r="W47" s="524"/>
      <c r="X47" s="524"/>
      <c r="Y47" s="524"/>
      <c r="Z47" s="524"/>
      <c r="AA47" s="524"/>
      <c r="AB47" s="525"/>
      <c r="AC47" s="2"/>
      <c r="AD47" s="61"/>
      <c r="AE47" s="62"/>
      <c r="AF47" s="63"/>
      <c r="AG47" s="41"/>
      <c r="AH47" s="197"/>
      <c r="AI47" s="200"/>
      <c r="AJ47" s="302"/>
      <c r="AK47" s="200"/>
      <c r="AL47" s="294">
        <f t="shared" si="11"/>
        <v>0</v>
      </c>
      <c r="AM47" s="198"/>
      <c r="AN47" s="200"/>
      <c r="AO47" s="200"/>
      <c r="AP47" s="195"/>
      <c r="AQ47" s="282"/>
      <c r="AR47" s="41"/>
      <c r="AS47" s="300" t="str">
        <f t="shared" si="1"/>
        <v/>
      </c>
      <c r="AT47" s="210">
        <f t="shared" si="2"/>
        <v>0</v>
      </c>
      <c r="AU47" s="210"/>
      <c r="AV47" s="292">
        <f t="shared" si="7"/>
        <v>0</v>
      </c>
      <c r="AW47" s="210">
        <f t="shared" si="8"/>
        <v>0</v>
      </c>
      <c r="AX47" s="210">
        <f t="shared" si="9"/>
        <v>0</v>
      </c>
      <c r="AY47" s="210">
        <f t="shared" si="10"/>
        <v>0</v>
      </c>
    </row>
    <row r="48" spans="1:51" s="43" customFormat="1" ht="30" customHeight="1" x14ac:dyDescent="0.25">
      <c r="A48" s="2"/>
      <c r="B48" s="61"/>
      <c r="C48" s="62"/>
      <c r="D48" s="62"/>
      <c r="E48" s="63"/>
      <c r="F48" s="2"/>
      <c r="G48" s="185"/>
      <c r="H48" s="62"/>
      <c r="I48" s="172"/>
      <c r="J48" s="2"/>
      <c r="K48" s="61"/>
      <c r="L48" s="62"/>
      <c r="M48" s="62"/>
      <c r="N48" s="63"/>
      <c r="O48" s="2"/>
      <c r="P48" s="185"/>
      <c r="Q48" s="62"/>
      <c r="R48" s="172"/>
      <c r="S48" s="2"/>
      <c r="T48" s="256"/>
      <c r="U48" s="524"/>
      <c r="V48" s="524"/>
      <c r="W48" s="524"/>
      <c r="X48" s="524"/>
      <c r="Y48" s="524"/>
      <c r="Z48" s="524"/>
      <c r="AA48" s="524"/>
      <c r="AB48" s="525"/>
      <c r="AC48" s="2"/>
      <c r="AD48" s="61"/>
      <c r="AE48" s="62"/>
      <c r="AF48" s="63"/>
      <c r="AG48" s="41"/>
      <c r="AH48" s="197"/>
      <c r="AI48" s="200"/>
      <c r="AJ48" s="302"/>
      <c r="AK48" s="200"/>
      <c r="AL48" s="294">
        <f t="shared" si="11"/>
        <v>0</v>
      </c>
      <c r="AM48" s="198"/>
      <c r="AN48" s="200"/>
      <c r="AO48" s="200"/>
      <c r="AP48" s="195"/>
      <c r="AQ48" s="282"/>
      <c r="AR48" s="41"/>
      <c r="AS48" s="300" t="str">
        <f t="shared" si="1"/>
        <v/>
      </c>
      <c r="AT48" s="210">
        <f t="shared" si="2"/>
        <v>0</v>
      </c>
      <c r="AU48" s="210"/>
      <c r="AV48" s="292">
        <f t="shared" si="7"/>
        <v>0</v>
      </c>
      <c r="AW48" s="210">
        <f t="shared" si="8"/>
        <v>0</v>
      </c>
      <c r="AX48" s="210">
        <f t="shared" si="9"/>
        <v>0</v>
      </c>
      <c r="AY48" s="210">
        <f t="shared" si="10"/>
        <v>0</v>
      </c>
    </row>
    <row r="49" spans="1:51" s="43" customFormat="1" ht="30" customHeight="1" x14ac:dyDescent="0.25">
      <c r="A49" s="2"/>
      <c r="B49" s="61"/>
      <c r="C49" s="62"/>
      <c r="D49" s="62"/>
      <c r="E49" s="63"/>
      <c r="F49" s="2"/>
      <c r="G49" s="185"/>
      <c r="H49" s="62"/>
      <c r="I49" s="172"/>
      <c r="J49" s="2"/>
      <c r="K49" s="61"/>
      <c r="L49" s="62"/>
      <c r="M49" s="62"/>
      <c r="N49" s="63"/>
      <c r="O49" s="2"/>
      <c r="P49" s="185"/>
      <c r="Q49" s="62"/>
      <c r="R49" s="172"/>
      <c r="S49" s="2"/>
      <c r="T49" s="256"/>
      <c r="U49" s="524"/>
      <c r="V49" s="524"/>
      <c r="W49" s="524"/>
      <c r="X49" s="524"/>
      <c r="Y49" s="524"/>
      <c r="Z49" s="524"/>
      <c r="AA49" s="524"/>
      <c r="AB49" s="525"/>
      <c r="AC49" s="2"/>
      <c r="AD49" s="61"/>
      <c r="AE49" s="62"/>
      <c r="AF49" s="63"/>
      <c r="AG49" s="41"/>
      <c r="AH49" s="197"/>
      <c r="AI49" s="200"/>
      <c r="AJ49" s="302"/>
      <c r="AK49" s="200"/>
      <c r="AL49" s="294">
        <f t="shared" si="11"/>
        <v>0</v>
      </c>
      <c r="AM49" s="198"/>
      <c r="AN49" s="200"/>
      <c r="AO49" s="200"/>
      <c r="AP49" s="195"/>
      <c r="AQ49" s="282"/>
      <c r="AR49" s="41"/>
      <c r="AS49" s="300" t="str">
        <f t="shared" si="1"/>
        <v/>
      </c>
      <c r="AT49" s="210">
        <f t="shared" si="2"/>
        <v>0</v>
      </c>
      <c r="AU49" s="210"/>
      <c r="AV49" s="292">
        <f t="shared" si="7"/>
        <v>0</v>
      </c>
      <c r="AW49" s="210">
        <f t="shared" si="8"/>
        <v>0</v>
      </c>
      <c r="AX49" s="210">
        <f t="shared" si="9"/>
        <v>0</v>
      </c>
      <c r="AY49" s="210">
        <f t="shared" si="10"/>
        <v>0</v>
      </c>
    </row>
    <row r="50" spans="1:51" s="43" customFormat="1" ht="30" customHeight="1" x14ac:dyDescent="0.25">
      <c r="A50" s="2"/>
      <c r="B50" s="61"/>
      <c r="C50" s="62"/>
      <c r="D50" s="62"/>
      <c r="E50" s="63"/>
      <c r="F50" s="2"/>
      <c r="G50" s="185"/>
      <c r="H50" s="62"/>
      <c r="I50" s="172"/>
      <c r="J50" s="2"/>
      <c r="K50" s="61"/>
      <c r="L50" s="62"/>
      <c r="M50" s="62"/>
      <c r="N50" s="63"/>
      <c r="O50" s="2"/>
      <c r="P50" s="185"/>
      <c r="Q50" s="62"/>
      <c r="R50" s="172"/>
      <c r="S50" s="2"/>
      <c r="T50" s="256"/>
      <c r="U50" s="524"/>
      <c r="V50" s="524"/>
      <c r="W50" s="524"/>
      <c r="X50" s="524"/>
      <c r="Y50" s="524"/>
      <c r="Z50" s="524"/>
      <c r="AA50" s="524"/>
      <c r="AB50" s="525"/>
      <c r="AC50" s="2"/>
      <c r="AD50" s="61"/>
      <c r="AE50" s="62"/>
      <c r="AF50" s="63"/>
      <c r="AG50" s="41"/>
      <c r="AH50" s="197"/>
      <c r="AI50" s="200"/>
      <c r="AJ50" s="302"/>
      <c r="AK50" s="200"/>
      <c r="AL50" s="294">
        <f t="shared" si="11"/>
        <v>0</v>
      </c>
      <c r="AM50" s="198"/>
      <c r="AN50" s="200"/>
      <c r="AO50" s="200"/>
      <c r="AP50" s="195"/>
      <c r="AQ50" s="282"/>
      <c r="AR50" s="41"/>
      <c r="AS50" s="300" t="str">
        <f t="shared" si="1"/>
        <v/>
      </c>
      <c r="AT50" s="210">
        <f t="shared" si="2"/>
        <v>0</v>
      </c>
      <c r="AU50" s="210"/>
      <c r="AV50" s="292">
        <f t="shared" si="7"/>
        <v>0</v>
      </c>
      <c r="AW50" s="210">
        <f t="shared" si="8"/>
        <v>0</v>
      </c>
      <c r="AX50" s="210">
        <f t="shared" si="9"/>
        <v>0</v>
      </c>
      <c r="AY50" s="210">
        <f t="shared" si="10"/>
        <v>0</v>
      </c>
    </row>
    <row r="51" spans="1:51" s="43" customFormat="1" ht="30" customHeight="1" x14ac:dyDescent="0.25">
      <c r="A51" s="2"/>
      <c r="B51" s="61"/>
      <c r="C51" s="62"/>
      <c r="D51" s="62"/>
      <c r="E51" s="63"/>
      <c r="F51" s="2"/>
      <c r="G51" s="185"/>
      <c r="H51" s="62"/>
      <c r="I51" s="172"/>
      <c r="J51" s="2"/>
      <c r="K51" s="61"/>
      <c r="L51" s="62"/>
      <c r="M51" s="62"/>
      <c r="N51" s="63"/>
      <c r="O51" s="2"/>
      <c r="P51" s="185"/>
      <c r="Q51" s="62"/>
      <c r="R51" s="172"/>
      <c r="S51" s="2"/>
      <c r="T51" s="256"/>
      <c r="U51" s="524"/>
      <c r="V51" s="524"/>
      <c r="W51" s="524"/>
      <c r="X51" s="524"/>
      <c r="Y51" s="524"/>
      <c r="Z51" s="524"/>
      <c r="AA51" s="524"/>
      <c r="AB51" s="525"/>
      <c r="AC51" s="2"/>
      <c r="AD51" s="61"/>
      <c r="AE51" s="62"/>
      <c r="AF51" s="63"/>
      <c r="AG51" s="41"/>
      <c r="AH51" s="197"/>
      <c r="AI51" s="200"/>
      <c r="AJ51" s="302"/>
      <c r="AK51" s="200"/>
      <c r="AL51" s="294">
        <f t="shared" si="11"/>
        <v>0</v>
      </c>
      <c r="AM51" s="198"/>
      <c r="AN51" s="200"/>
      <c r="AO51" s="200"/>
      <c r="AP51" s="195"/>
      <c r="AQ51" s="282"/>
      <c r="AR51" s="41"/>
      <c r="AS51" s="300" t="str">
        <f t="shared" si="1"/>
        <v/>
      </c>
      <c r="AT51" s="210">
        <f t="shared" si="2"/>
        <v>0</v>
      </c>
      <c r="AU51" s="210"/>
      <c r="AV51" s="292">
        <f t="shared" si="7"/>
        <v>0</v>
      </c>
      <c r="AW51" s="210">
        <f t="shared" si="8"/>
        <v>0</v>
      </c>
      <c r="AX51" s="210">
        <f t="shared" si="9"/>
        <v>0</v>
      </c>
      <c r="AY51" s="210">
        <f t="shared" si="10"/>
        <v>0</v>
      </c>
    </row>
    <row r="52" spans="1:51" s="43" customFormat="1" ht="30" customHeight="1" x14ac:dyDescent="0.25">
      <c r="A52" s="2"/>
      <c r="B52" s="61"/>
      <c r="C52" s="62"/>
      <c r="D52" s="62"/>
      <c r="E52" s="63"/>
      <c r="F52" s="2"/>
      <c r="G52" s="185"/>
      <c r="H52" s="62"/>
      <c r="I52" s="172"/>
      <c r="J52" s="2"/>
      <c r="K52" s="61"/>
      <c r="L52" s="62"/>
      <c r="M52" s="62"/>
      <c r="N52" s="63"/>
      <c r="O52" s="2"/>
      <c r="P52" s="185"/>
      <c r="Q52" s="62"/>
      <c r="R52" s="172"/>
      <c r="S52" s="2"/>
      <c r="T52" s="256"/>
      <c r="U52" s="524"/>
      <c r="V52" s="524"/>
      <c r="W52" s="524"/>
      <c r="X52" s="524"/>
      <c r="Y52" s="524"/>
      <c r="Z52" s="524"/>
      <c r="AA52" s="524"/>
      <c r="AB52" s="525"/>
      <c r="AC52" s="2"/>
      <c r="AD52" s="61"/>
      <c r="AE52" s="62"/>
      <c r="AF52" s="63"/>
      <c r="AG52" s="41"/>
      <c r="AH52" s="197"/>
      <c r="AI52" s="200"/>
      <c r="AJ52" s="302"/>
      <c r="AK52" s="200"/>
      <c r="AL52" s="294">
        <f t="shared" si="11"/>
        <v>0</v>
      </c>
      <c r="AM52" s="198"/>
      <c r="AN52" s="200"/>
      <c r="AO52" s="200"/>
      <c r="AP52" s="195"/>
      <c r="AQ52" s="282"/>
      <c r="AR52" s="41"/>
      <c r="AS52" s="300" t="str">
        <f t="shared" si="1"/>
        <v/>
      </c>
      <c r="AT52" s="210">
        <f t="shared" si="2"/>
        <v>0</v>
      </c>
      <c r="AU52" s="210"/>
      <c r="AV52" s="292">
        <f t="shared" si="7"/>
        <v>0</v>
      </c>
      <c r="AW52" s="210">
        <f t="shared" si="8"/>
        <v>0</v>
      </c>
      <c r="AX52" s="210">
        <f t="shared" si="9"/>
        <v>0</v>
      </c>
      <c r="AY52" s="210">
        <f t="shared" si="10"/>
        <v>0</v>
      </c>
    </row>
    <row r="53" spans="1:51" s="43" customFormat="1" ht="30" customHeight="1" x14ac:dyDescent="0.25">
      <c r="A53" s="2"/>
      <c r="B53" s="61"/>
      <c r="C53" s="62"/>
      <c r="D53" s="62"/>
      <c r="E53" s="63"/>
      <c r="F53" s="2"/>
      <c r="G53" s="185"/>
      <c r="H53" s="62"/>
      <c r="I53" s="172"/>
      <c r="J53" s="2"/>
      <c r="K53" s="61"/>
      <c r="L53" s="62"/>
      <c r="M53" s="62"/>
      <c r="N53" s="63"/>
      <c r="O53" s="2"/>
      <c r="P53" s="185"/>
      <c r="Q53" s="62"/>
      <c r="R53" s="172"/>
      <c r="S53" s="2"/>
      <c r="T53" s="256"/>
      <c r="U53" s="524"/>
      <c r="V53" s="524"/>
      <c r="W53" s="524"/>
      <c r="X53" s="524"/>
      <c r="Y53" s="524"/>
      <c r="Z53" s="524"/>
      <c r="AA53" s="524"/>
      <c r="AB53" s="525"/>
      <c r="AC53" s="2"/>
      <c r="AD53" s="61"/>
      <c r="AE53" s="62"/>
      <c r="AF53" s="63"/>
      <c r="AG53" s="41"/>
      <c r="AH53" s="197"/>
      <c r="AI53" s="200"/>
      <c r="AJ53" s="302"/>
      <c r="AK53" s="200"/>
      <c r="AL53" s="294">
        <f t="shared" si="11"/>
        <v>0</v>
      </c>
      <c r="AM53" s="198"/>
      <c r="AN53" s="200"/>
      <c r="AO53" s="200"/>
      <c r="AP53" s="195"/>
      <c r="AQ53" s="282"/>
      <c r="AR53" s="41"/>
      <c r="AS53" s="300" t="str">
        <f t="shared" si="1"/>
        <v/>
      </c>
      <c r="AT53" s="210">
        <f t="shared" si="2"/>
        <v>0</v>
      </c>
      <c r="AU53" s="210"/>
      <c r="AV53" s="292">
        <f t="shared" si="7"/>
        <v>0</v>
      </c>
      <c r="AW53" s="210">
        <f t="shared" si="8"/>
        <v>0</v>
      </c>
      <c r="AX53" s="210">
        <f t="shared" si="9"/>
        <v>0</v>
      </c>
      <c r="AY53" s="210">
        <f t="shared" si="10"/>
        <v>0</v>
      </c>
    </row>
    <row r="54" spans="1:51" s="43" customFormat="1" ht="30" customHeight="1" x14ac:dyDescent="0.25">
      <c r="A54" s="2"/>
      <c r="B54" s="61"/>
      <c r="C54" s="62"/>
      <c r="D54" s="62"/>
      <c r="E54" s="63"/>
      <c r="F54" s="2"/>
      <c r="G54" s="185"/>
      <c r="H54" s="62"/>
      <c r="I54" s="172"/>
      <c r="J54" s="2"/>
      <c r="K54" s="61"/>
      <c r="L54" s="62"/>
      <c r="M54" s="62"/>
      <c r="N54" s="63"/>
      <c r="O54" s="2"/>
      <c r="P54" s="185"/>
      <c r="Q54" s="62"/>
      <c r="R54" s="172"/>
      <c r="S54" s="2"/>
      <c r="T54" s="256"/>
      <c r="U54" s="524"/>
      <c r="V54" s="524"/>
      <c r="W54" s="524"/>
      <c r="X54" s="524"/>
      <c r="Y54" s="524"/>
      <c r="Z54" s="524"/>
      <c r="AA54" s="524"/>
      <c r="AB54" s="525"/>
      <c r="AC54" s="2"/>
      <c r="AD54" s="61"/>
      <c r="AE54" s="62"/>
      <c r="AF54" s="63"/>
      <c r="AG54" s="41"/>
      <c r="AH54" s="197"/>
      <c r="AI54" s="200"/>
      <c r="AJ54" s="302"/>
      <c r="AK54" s="200"/>
      <c r="AL54" s="294">
        <f t="shared" si="11"/>
        <v>0</v>
      </c>
      <c r="AM54" s="198"/>
      <c r="AN54" s="200"/>
      <c r="AO54" s="200"/>
      <c r="AP54" s="195"/>
      <c r="AQ54" s="282"/>
      <c r="AR54" s="41"/>
      <c r="AS54" s="300" t="str">
        <f t="shared" si="1"/>
        <v/>
      </c>
      <c r="AT54" s="210">
        <f t="shared" si="2"/>
        <v>0</v>
      </c>
      <c r="AU54" s="210"/>
      <c r="AV54" s="292">
        <f t="shared" si="7"/>
        <v>0</v>
      </c>
      <c r="AW54" s="210">
        <f t="shared" si="8"/>
        <v>0</v>
      </c>
      <c r="AX54" s="210">
        <f t="shared" si="9"/>
        <v>0</v>
      </c>
      <c r="AY54" s="210">
        <f t="shared" si="10"/>
        <v>0</v>
      </c>
    </row>
    <row r="55" spans="1:51" s="43" customFormat="1" ht="30" customHeight="1" x14ac:dyDescent="0.25">
      <c r="A55" s="2"/>
      <c r="B55" s="61"/>
      <c r="C55" s="62"/>
      <c r="D55" s="62"/>
      <c r="E55" s="63"/>
      <c r="F55" s="2"/>
      <c r="G55" s="185"/>
      <c r="H55" s="62"/>
      <c r="I55" s="172"/>
      <c r="J55" s="2"/>
      <c r="K55" s="61"/>
      <c r="L55" s="62"/>
      <c r="M55" s="62"/>
      <c r="N55" s="63"/>
      <c r="O55" s="2"/>
      <c r="P55" s="185"/>
      <c r="Q55" s="62"/>
      <c r="R55" s="172"/>
      <c r="S55" s="2"/>
      <c r="T55" s="256"/>
      <c r="U55" s="524"/>
      <c r="V55" s="524"/>
      <c r="W55" s="524"/>
      <c r="X55" s="524"/>
      <c r="Y55" s="524"/>
      <c r="Z55" s="524"/>
      <c r="AA55" s="524"/>
      <c r="AB55" s="525"/>
      <c r="AC55" s="2"/>
      <c r="AD55" s="61"/>
      <c r="AE55" s="62"/>
      <c r="AF55" s="63"/>
      <c r="AG55" s="41"/>
      <c r="AH55" s="197"/>
      <c r="AI55" s="200"/>
      <c r="AJ55" s="302"/>
      <c r="AK55" s="200"/>
      <c r="AL55" s="294">
        <f t="shared" si="11"/>
        <v>0</v>
      </c>
      <c r="AM55" s="198"/>
      <c r="AN55" s="200"/>
      <c r="AO55" s="200"/>
      <c r="AP55" s="195"/>
      <c r="AQ55" s="282"/>
      <c r="AR55" s="41"/>
      <c r="AS55" s="300" t="str">
        <f t="shared" si="1"/>
        <v/>
      </c>
      <c r="AT55" s="210">
        <f t="shared" si="2"/>
        <v>0</v>
      </c>
      <c r="AU55" s="210"/>
      <c r="AV55" s="292">
        <f t="shared" si="7"/>
        <v>0</v>
      </c>
      <c r="AW55" s="210">
        <f t="shared" si="8"/>
        <v>0</v>
      </c>
      <c r="AX55" s="210">
        <f t="shared" si="9"/>
        <v>0</v>
      </c>
      <c r="AY55" s="210">
        <f t="shared" si="10"/>
        <v>0</v>
      </c>
    </row>
    <row r="56" spans="1:51" s="43" customFormat="1" ht="30" customHeight="1" x14ac:dyDescent="0.25">
      <c r="A56" s="2"/>
      <c r="B56" s="61"/>
      <c r="C56" s="62"/>
      <c r="D56" s="62"/>
      <c r="E56" s="63"/>
      <c r="F56" s="2"/>
      <c r="G56" s="185"/>
      <c r="H56" s="62"/>
      <c r="I56" s="172"/>
      <c r="J56" s="2"/>
      <c r="K56" s="61"/>
      <c r="L56" s="62"/>
      <c r="M56" s="62"/>
      <c r="N56" s="63"/>
      <c r="O56" s="2"/>
      <c r="P56" s="185"/>
      <c r="Q56" s="62"/>
      <c r="R56" s="172"/>
      <c r="S56" s="2"/>
      <c r="T56" s="256"/>
      <c r="U56" s="524"/>
      <c r="V56" s="524"/>
      <c r="W56" s="524"/>
      <c r="X56" s="524"/>
      <c r="Y56" s="524"/>
      <c r="Z56" s="524"/>
      <c r="AA56" s="524"/>
      <c r="AB56" s="525"/>
      <c r="AC56" s="2"/>
      <c r="AD56" s="61"/>
      <c r="AE56" s="62"/>
      <c r="AF56" s="63"/>
      <c r="AG56" s="41"/>
      <c r="AH56" s="197"/>
      <c r="AI56" s="200"/>
      <c r="AJ56" s="302"/>
      <c r="AK56" s="200"/>
      <c r="AL56" s="294">
        <f t="shared" si="11"/>
        <v>0</v>
      </c>
      <c r="AM56" s="198"/>
      <c r="AN56" s="200"/>
      <c r="AO56" s="200"/>
      <c r="AP56" s="195"/>
      <c r="AQ56" s="282"/>
      <c r="AR56" s="41"/>
      <c r="AS56" s="300" t="str">
        <f t="shared" si="1"/>
        <v/>
      </c>
      <c r="AT56" s="210">
        <f t="shared" si="2"/>
        <v>0</v>
      </c>
      <c r="AU56" s="210"/>
      <c r="AV56" s="292">
        <f t="shared" si="7"/>
        <v>0</v>
      </c>
      <c r="AW56" s="210">
        <f t="shared" si="8"/>
        <v>0</v>
      </c>
      <c r="AX56" s="210">
        <f t="shared" si="9"/>
        <v>0</v>
      </c>
      <c r="AY56" s="210">
        <f t="shared" si="10"/>
        <v>0</v>
      </c>
    </row>
    <row r="57" spans="1:51" s="43" customFormat="1" ht="30" customHeight="1" x14ac:dyDescent="0.25">
      <c r="A57" s="2"/>
      <c r="B57" s="61"/>
      <c r="C57" s="62"/>
      <c r="D57" s="62"/>
      <c r="E57" s="63"/>
      <c r="F57" s="2"/>
      <c r="G57" s="185"/>
      <c r="H57" s="62"/>
      <c r="I57" s="172"/>
      <c r="J57" s="2"/>
      <c r="K57" s="61"/>
      <c r="L57" s="62"/>
      <c r="M57" s="62"/>
      <c r="N57" s="63"/>
      <c r="O57" s="2"/>
      <c r="P57" s="185"/>
      <c r="Q57" s="62"/>
      <c r="R57" s="172"/>
      <c r="S57" s="2"/>
      <c r="T57" s="256"/>
      <c r="U57" s="524"/>
      <c r="V57" s="524"/>
      <c r="W57" s="524"/>
      <c r="X57" s="524"/>
      <c r="Y57" s="524"/>
      <c r="Z57" s="524"/>
      <c r="AA57" s="524"/>
      <c r="AB57" s="525"/>
      <c r="AC57" s="2"/>
      <c r="AD57" s="61"/>
      <c r="AE57" s="62"/>
      <c r="AF57" s="63"/>
      <c r="AG57" s="41"/>
      <c r="AH57" s="197"/>
      <c r="AI57" s="200"/>
      <c r="AJ57" s="302"/>
      <c r="AK57" s="200"/>
      <c r="AL57" s="294">
        <f t="shared" si="11"/>
        <v>0</v>
      </c>
      <c r="AM57" s="198"/>
      <c r="AN57" s="200"/>
      <c r="AO57" s="200"/>
      <c r="AP57" s="195"/>
      <c r="AQ57" s="282"/>
      <c r="AR57" s="41"/>
      <c r="AS57" s="300" t="str">
        <f t="shared" si="1"/>
        <v/>
      </c>
      <c r="AT57" s="210">
        <f t="shared" si="2"/>
        <v>0</v>
      </c>
      <c r="AU57" s="210"/>
      <c r="AV57" s="292">
        <f t="shared" si="7"/>
        <v>0</v>
      </c>
      <c r="AW57" s="210">
        <f t="shared" si="8"/>
        <v>0</v>
      </c>
      <c r="AX57" s="210">
        <f t="shared" si="9"/>
        <v>0</v>
      </c>
      <c r="AY57" s="210">
        <f t="shared" si="10"/>
        <v>0</v>
      </c>
    </row>
    <row r="58" spans="1:51" s="43" customFormat="1" ht="30" customHeight="1" x14ac:dyDescent="0.25">
      <c r="A58" s="2"/>
      <c r="B58" s="61"/>
      <c r="C58" s="62"/>
      <c r="D58" s="62"/>
      <c r="E58" s="63"/>
      <c r="F58" s="2"/>
      <c r="G58" s="185"/>
      <c r="H58" s="62"/>
      <c r="I58" s="172"/>
      <c r="J58" s="2"/>
      <c r="K58" s="61"/>
      <c r="L58" s="62"/>
      <c r="M58" s="62"/>
      <c r="N58" s="63"/>
      <c r="O58" s="2"/>
      <c r="P58" s="185"/>
      <c r="Q58" s="62"/>
      <c r="R58" s="172"/>
      <c r="S58" s="2"/>
      <c r="T58" s="256"/>
      <c r="U58" s="524"/>
      <c r="V58" s="524"/>
      <c r="W58" s="524"/>
      <c r="X58" s="524"/>
      <c r="Y58" s="524"/>
      <c r="Z58" s="524"/>
      <c r="AA58" s="524"/>
      <c r="AB58" s="525"/>
      <c r="AC58" s="2"/>
      <c r="AD58" s="61"/>
      <c r="AE58" s="62"/>
      <c r="AF58" s="63"/>
      <c r="AG58" s="41"/>
      <c r="AH58" s="197"/>
      <c r="AI58" s="200"/>
      <c r="AJ58" s="302"/>
      <c r="AK58" s="200"/>
      <c r="AL58" s="294">
        <f t="shared" si="11"/>
        <v>0</v>
      </c>
      <c r="AM58" s="198"/>
      <c r="AN58" s="200"/>
      <c r="AO58" s="200"/>
      <c r="AP58" s="195"/>
      <c r="AQ58" s="282"/>
      <c r="AR58" s="41"/>
      <c r="AS58" s="300" t="str">
        <f t="shared" si="1"/>
        <v/>
      </c>
      <c r="AT58" s="210">
        <f t="shared" si="2"/>
        <v>0</v>
      </c>
      <c r="AU58" s="210"/>
      <c r="AV58" s="292">
        <f t="shared" si="7"/>
        <v>0</v>
      </c>
      <c r="AW58" s="210">
        <f t="shared" si="8"/>
        <v>0</v>
      </c>
      <c r="AX58" s="210">
        <f t="shared" si="9"/>
        <v>0</v>
      </c>
      <c r="AY58" s="210">
        <f t="shared" si="10"/>
        <v>0</v>
      </c>
    </row>
    <row r="59" spans="1:51" s="43" customFormat="1" ht="30" customHeight="1" x14ac:dyDescent="0.25">
      <c r="A59" s="2"/>
      <c r="B59" s="61"/>
      <c r="C59" s="62"/>
      <c r="D59" s="62"/>
      <c r="E59" s="63"/>
      <c r="F59" s="2"/>
      <c r="G59" s="186"/>
      <c r="H59" s="62"/>
      <c r="I59" s="172"/>
      <c r="J59" s="2"/>
      <c r="K59" s="61"/>
      <c r="L59" s="62"/>
      <c r="M59" s="62"/>
      <c r="N59" s="63"/>
      <c r="O59" s="2"/>
      <c r="P59" s="186"/>
      <c r="Q59" s="62"/>
      <c r="R59" s="172"/>
      <c r="S59" s="2"/>
      <c r="T59" s="256"/>
      <c r="U59" s="524"/>
      <c r="V59" s="524"/>
      <c r="W59" s="524"/>
      <c r="X59" s="524"/>
      <c r="Y59" s="524"/>
      <c r="Z59" s="524"/>
      <c r="AA59" s="524"/>
      <c r="AB59" s="525"/>
      <c r="AC59" s="2"/>
      <c r="AD59" s="61"/>
      <c r="AE59" s="62"/>
      <c r="AF59" s="63"/>
      <c r="AG59" s="41"/>
      <c r="AH59" s="197"/>
      <c r="AI59" s="200"/>
      <c r="AJ59" s="302"/>
      <c r="AK59" s="200"/>
      <c r="AL59" s="294">
        <f t="shared" si="11"/>
        <v>0</v>
      </c>
      <c r="AM59" s="198"/>
      <c r="AN59" s="200"/>
      <c r="AO59" s="200"/>
      <c r="AP59" s="195"/>
      <c r="AQ59" s="282"/>
      <c r="AR59" s="41"/>
      <c r="AS59" s="300" t="str">
        <f t="shared" si="1"/>
        <v/>
      </c>
      <c r="AT59" s="210">
        <f t="shared" si="2"/>
        <v>0</v>
      </c>
      <c r="AU59" s="210"/>
      <c r="AV59" s="292">
        <f t="shared" si="7"/>
        <v>0</v>
      </c>
      <c r="AW59" s="210">
        <f t="shared" si="8"/>
        <v>0</v>
      </c>
      <c r="AX59" s="210">
        <f t="shared" si="9"/>
        <v>0</v>
      </c>
      <c r="AY59" s="210">
        <f t="shared" si="10"/>
        <v>0</v>
      </c>
    </row>
    <row r="60" spans="1:51" x14ac:dyDescent="0.25">
      <c r="AH60" s="197"/>
      <c r="AI60" s="200"/>
      <c r="AJ60" s="302"/>
      <c r="AK60" s="200"/>
      <c r="AL60" s="294">
        <f t="shared" si="11"/>
        <v>0</v>
      </c>
      <c r="AM60" s="198"/>
      <c r="AN60" s="200"/>
      <c r="AO60" s="200"/>
      <c r="AP60" s="195"/>
      <c r="AQ60" s="282"/>
      <c r="AS60" s="300" t="str">
        <f t="shared" si="1"/>
        <v/>
      </c>
      <c r="AT60" s="210">
        <f t="shared" si="2"/>
        <v>0</v>
      </c>
      <c r="AU60" s="210"/>
      <c r="AV60" s="292">
        <f t="shared" si="7"/>
        <v>0</v>
      </c>
      <c r="AW60" s="210">
        <f t="shared" si="8"/>
        <v>0</v>
      </c>
      <c r="AX60" s="210">
        <f t="shared" si="9"/>
        <v>0</v>
      </c>
      <c r="AY60" s="210">
        <f t="shared" si="10"/>
        <v>0</v>
      </c>
    </row>
    <row r="61" spans="1:51" x14ac:dyDescent="0.25">
      <c r="AH61" s="197"/>
      <c r="AI61" s="200"/>
      <c r="AJ61" s="302"/>
      <c r="AK61" s="200"/>
      <c r="AL61" s="294">
        <f t="shared" si="11"/>
        <v>0</v>
      </c>
      <c r="AM61" s="198"/>
      <c r="AN61" s="200"/>
      <c r="AO61" s="200"/>
      <c r="AP61" s="195"/>
      <c r="AQ61" s="282"/>
      <c r="AS61" s="300" t="str">
        <f t="shared" si="1"/>
        <v/>
      </c>
      <c r="AT61" s="210">
        <f t="shared" si="2"/>
        <v>0</v>
      </c>
      <c r="AU61" s="210"/>
      <c r="AV61" s="292">
        <f t="shared" si="7"/>
        <v>0</v>
      </c>
      <c r="AW61" s="210">
        <f t="shared" si="8"/>
        <v>0</v>
      </c>
      <c r="AX61" s="210">
        <f t="shared" si="9"/>
        <v>0</v>
      </c>
      <c r="AY61" s="210">
        <f t="shared" si="10"/>
        <v>0</v>
      </c>
    </row>
    <row r="62" spans="1:51" x14ac:dyDescent="0.25">
      <c r="AH62" s="197"/>
      <c r="AI62" s="200"/>
      <c r="AJ62" s="302"/>
      <c r="AK62" s="200"/>
      <c r="AL62" s="294">
        <f t="shared" si="11"/>
        <v>0</v>
      </c>
      <c r="AM62" s="198"/>
      <c r="AN62" s="200"/>
      <c r="AO62" s="200"/>
      <c r="AP62" s="195"/>
      <c r="AQ62" s="282"/>
      <c r="AS62" s="300" t="str">
        <f t="shared" si="1"/>
        <v/>
      </c>
      <c r="AT62" s="210">
        <f t="shared" si="2"/>
        <v>0</v>
      </c>
      <c r="AU62" s="210"/>
      <c r="AV62" s="292">
        <f t="shared" si="7"/>
        <v>0</v>
      </c>
      <c r="AW62" s="210">
        <f t="shared" si="8"/>
        <v>0</v>
      </c>
      <c r="AX62" s="210">
        <f t="shared" si="9"/>
        <v>0</v>
      </c>
      <c r="AY62" s="210">
        <f t="shared" si="10"/>
        <v>0</v>
      </c>
    </row>
    <row r="63" spans="1:51" x14ac:dyDescent="0.25">
      <c r="AH63" s="197"/>
      <c r="AI63" s="200"/>
      <c r="AJ63" s="302"/>
      <c r="AK63" s="200"/>
      <c r="AL63" s="294">
        <f t="shared" si="11"/>
        <v>0</v>
      </c>
      <c r="AM63" s="198"/>
      <c r="AN63" s="200"/>
      <c r="AO63" s="200"/>
      <c r="AP63" s="195"/>
      <c r="AQ63" s="282"/>
      <c r="AS63" s="300" t="str">
        <f t="shared" si="1"/>
        <v/>
      </c>
      <c r="AT63" s="210">
        <f t="shared" si="2"/>
        <v>0</v>
      </c>
      <c r="AU63" s="210"/>
      <c r="AV63" s="292">
        <f t="shared" si="7"/>
        <v>0</v>
      </c>
      <c r="AW63" s="210">
        <f t="shared" si="8"/>
        <v>0</v>
      </c>
      <c r="AX63" s="210">
        <f t="shared" si="9"/>
        <v>0</v>
      </c>
      <c r="AY63" s="210">
        <f t="shared" si="10"/>
        <v>0</v>
      </c>
    </row>
    <row r="64" spans="1:51" x14ac:dyDescent="0.25">
      <c r="AH64" s="197"/>
      <c r="AI64" s="200"/>
      <c r="AJ64" s="302"/>
      <c r="AK64" s="200"/>
      <c r="AL64" s="294">
        <f t="shared" si="11"/>
        <v>0</v>
      </c>
      <c r="AM64" s="198"/>
      <c r="AN64" s="200"/>
      <c r="AO64" s="200"/>
      <c r="AP64" s="195"/>
      <c r="AQ64" s="282"/>
      <c r="AS64" s="300" t="str">
        <f t="shared" si="1"/>
        <v/>
      </c>
      <c r="AT64" s="210">
        <f t="shared" si="2"/>
        <v>0</v>
      </c>
      <c r="AU64" s="210"/>
      <c r="AV64" s="292">
        <f t="shared" si="7"/>
        <v>0</v>
      </c>
      <c r="AW64" s="210">
        <f t="shared" si="8"/>
        <v>0</v>
      </c>
      <c r="AX64" s="210">
        <f t="shared" si="9"/>
        <v>0</v>
      </c>
      <c r="AY64" s="210">
        <f t="shared" si="10"/>
        <v>0</v>
      </c>
    </row>
    <row r="65" spans="34:51" x14ac:dyDescent="0.25">
      <c r="AH65" s="197"/>
      <c r="AI65" s="200"/>
      <c r="AJ65" s="302"/>
      <c r="AK65" s="200"/>
      <c r="AL65" s="294">
        <f t="shared" si="11"/>
        <v>0</v>
      </c>
      <c r="AM65" s="198"/>
      <c r="AN65" s="200"/>
      <c r="AO65" s="200"/>
      <c r="AP65" s="195"/>
      <c r="AQ65" s="282"/>
      <c r="AS65" s="300" t="str">
        <f t="shared" si="1"/>
        <v/>
      </c>
      <c r="AT65" s="210">
        <f t="shared" si="2"/>
        <v>0</v>
      </c>
      <c r="AU65" s="210"/>
      <c r="AV65" s="292">
        <f t="shared" si="7"/>
        <v>0</v>
      </c>
      <c r="AW65" s="210">
        <f t="shared" si="8"/>
        <v>0</v>
      </c>
      <c r="AX65" s="210">
        <f t="shared" si="9"/>
        <v>0</v>
      </c>
      <c r="AY65" s="210">
        <f t="shared" si="10"/>
        <v>0</v>
      </c>
    </row>
    <row r="66" spans="34:51" x14ac:dyDescent="0.25">
      <c r="AH66" s="197"/>
      <c r="AI66" s="200"/>
      <c r="AJ66" s="302"/>
      <c r="AK66" s="200"/>
      <c r="AL66" s="294">
        <f t="shared" si="11"/>
        <v>0</v>
      </c>
      <c r="AM66" s="198"/>
      <c r="AN66" s="200"/>
      <c r="AO66" s="200"/>
      <c r="AP66" s="195"/>
      <c r="AQ66" s="282"/>
      <c r="AS66" s="300" t="str">
        <f t="shared" si="1"/>
        <v/>
      </c>
      <c r="AT66" s="210">
        <f t="shared" si="2"/>
        <v>0</v>
      </c>
      <c r="AU66" s="210"/>
      <c r="AV66" s="292">
        <f t="shared" si="7"/>
        <v>0</v>
      </c>
      <c r="AW66" s="210">
        <f t="shared" si="8"/>
        <v>0</v>
      </c>
      <c r="AX66" s="210">
        <f t="shared" si="9"/>
        <v>0</v>
      </c>
      <c r="AY66" s="210">
        <f t="shared" si="10"/>
        <v>0</v>
      </c>
    </row>
    <row r="67" spans="34:51" x14ac:dyDescent="0.25">
      <c r="AH67" s="197"/>
      <c r="AI67" s="200"/>
      <c r="AJ67" s="302"/>
      <c r="AK67" s="200"/>
      <c r="AL67" s="294">
        <f t="shared" si="11"/>
        <v>0</v>
      </c>
      <c r="AM67" s="198"/>
      <c r="AN67" s="200"/>
      <c r="AO67" s="200"/>
      <c r="AP67" s="195"/>
      <c r="AQ67" s="282"/>
      <c r="AS67" s="300" t="str">
        <f t="shared" si="1"/>
        <v/>
      </c>
      <c r="AT67" s="210">
        <f t="shared" si="2"/>
        <v>0</v>
      </c>
      <c r="AU67" s="210"/>
      <c r="AV67" s="292">
        <f t="shared" si="7"/>
        <v>0</v>
      </c>
      <c r="AW67" s="210">
        <f t="shared" si="8"/>
        <v>0</v>
      </c>
      <c r="AX67" s="210">
        <f t="shared" si="9"/>
        <v>0</v>
      </c>
      <c r="AY67" s="210">
        <f t="shared" si="10"/>
        <v>0</v>
      </c>
    </row>
    <row r="68" spans="34:51" x14ac:dyDescent="0.25">
      <c r="AH68" s="197"/>
      <c r="AI68" s="200"/>
      <c r="AJ68" s="302"/>
      <c r="AK68" s="200"/>
      <c r="AL68" s="294">
        <f t="shared" si="11"/>
        <v>0</v>
      </c>
      <c r="AM68" s="198"/>
      <c r="AN68" s="200"/>
      <c r="AO68" s="200"/>
      <c r="AP68" s="195"/>
      <c r="AQ68" s="282"/>
      <c r="AS68" s="300" t="str">
        <f t="shared" si="1"/>
        <v/>
      </c>
      <c r="AT68" s="210">
        <f t="shared" si="2"/>
        <v>0</v>
      </c>
      <c r="AU68" s="210"/>
      <c r="AV68" s="292">
        <f t="shared" si="7"/>
        <v>0</v>
      </c>
      <c r="AW68" s="210">
        <f t="shared" si="8"/>
        <v>0</v>
      </c>
      <c r="AX68" s="210">
        <f t="shared" si="9"/>
        <v>0</v>
      </c>
      <c r="AY68" s="210">
        <f t="shared" si="10"/>
        <v>0</v>
      </c>
    </row>
    <row r="69" spans="34:51" x14ac:dyDescent="0.25">
      <c r="AH69" s="197"/>
      <c r="AI69" s="200"/>
      <c r="AJ69" s="302"/>
      <c r="AK69" s="200"/>
      <c r="AL69" s="294">
        <f t="shared" si="11"/>
        <v>0</v>
      </c>
      <c r="AM69" s="198"/>
      <c r="AN69" s="200"/>
      <c r="AO69" s="200"/>
      <c r="AP69" s="195"/>
      <c r="AQ69" s="282"/>
      <c r="AS69" s="300" t="str">
        <f t="shared" si="1"/>
        <v/>
      </c>
      <c r="AT69" s="210">
        <f t="shared" si="2"/>
        <v>0</v>
      </c>
      <c r="AU69" s="210"/>
      <c r="AV69" s="292">
        <f t="shared" si="7"/>
        <v>0</v>
      </c>
      <c r="AW69" s="210">
        <f t="shared" si="8"/>
        <v>0</v>
      </c>
      <c r="AX69" s="210">
        <f t="shared" si="9"/>
        <v>0</v>
      </c>
      <c r="AY69" s="210">
        <f t="shared" si="10"/>
        <v>0</v>
      </c>
    </row>
    <row r="70" spans="34:51" x14ac:dyDescent="0.25">
      <c r="AH70" s="197"/>
      <c r="AI70" s="200"/>
      <c r="AJ70" s="302"/>
      <c r="AK70" s="200"/>
      <c r="AL70" s="294">
        <f t="shared" si="11"/>
        <v>0</v>
      </c>
      <c r="AM70" s="198"/>
      <c r="AN70" s="200"/>
      <c r="AO70" s="200"/>
      <c r="AP70" s="195"/>
      <c r="AQ70" s="282"/>
      <c r="AS70" s="300" t="str">
        <f t="shared" si="1"/>
        <v/>
      </c>
      <c r="AT70" s="210">
        <f t="shared" si="2"/>
        <v>0</v>
      </c>
      <c r="AU70" s="210"/>
      <c r="AV70" s="292">
        <f t="shared" si="7"/>
        <v>0</v>
      </c>
      <c r="AW70" s="210">
        <f t="shared" si="8"/>
        <v>0</v>
      </c>
      <c r="AX70" s="210">
        <f t="shared" si="9"/>
        <v>0</v>
      </c>
      <c r="AY70" s="210">
        <f t="shared" si="10"/>
        <v>0</v>
      </c>
    </row>
    <row r="71" spans="34:51" x14ac:dyDescent="0.25">
      <c r="AH71" s="197"/>
      <c r="AI71" s="200"/>
      <c r="AJ71" s="302"/>
      <c r="AK71" s="200"/>
      <c r="AL71" s="294">
        <f t="shared" si="11"/>
        <v>0</v>
      </c>
      <c r="AM71" s="198"/>
      <c r="AN71" s="200"/>
      <c r="AO71" s="200"/>
      <c r="AP71" s="195"/>
      <c r="AQ71" s="282"/>
      <c r="AS71" s="300" t="str">
        <f t="shared" si="1"/>
        <v/>
      </c>
      <c r="AT71" s="210">
        <f t="shared" si="2"/>
        <v>0</v>
      </c>
      <c r="AU71" s="210"/>
      <c r="AV71" s="292">
        <f t="shared" si="7"/>
        <v>0</v>
      </c>
      <c r="AW71" s="210">
        <f t="shared" si="8"/>
        <v>0</v>
      </c>
      <c r="AX71" s="210">
        <f t="shared" si="9"/>
        <v>0</v>
      </c>
      <c r="AY71" s="210">
        <f t="shared" si="10"/>
        <v>0</v>
      </c>
    </row>
    <row r="72" spans="34:51" x14ac:dyDescent="0.25">
      <c r="AH72" s="197"/>
      <c r="AI72" s="200"/>
      <c r="AJ72" s="302"/>
      <c r="AK72" s="200"/>
      <c r="AL72" s="294">
        <f t="shared" si="11"/>
        <v>0</v>
      </c>
      <c r="AM72" s="198"/>
      <c r="AN72" s="200"/>
      <c r="AO72" s="200"/>
      <c r="AP72" s="195"/>
      <c r="AQ72" s="282"/>
      <c r="AS72" s="300" t="str">
        <f t="shared" si="1"/>
        <v/>
      </c>
      <c r="AT72" s="210">
        <f t="shared" si="2"/>
        <v>0</v>
      </c>
      <c r="AU72" s="210"/>
      <c r="AV72" s="292">
        <f t="shared" si="7"/>
        <v>0</v>
      </c>
      <c r="AW72" s="210">
        <f t="shared" si="8"/>
        <v>0</v>
      </c>
      <c r="AX72" s="210">
        <f t="shared" si="9"/>
        <v>0</v>
      </c>
      <c r="AY72" s="210">
        <f t="shared" si="10"/>
        <v>0</v>
      </c>
    </row>
    <row r="73" spans="34:51" x14ac:dyDescent="0.25">
      <c r="AH73" s="197"/>
      <c r="AI73" s="200"/>
      <c r="AJ73" s="302"/>
      <c r="AK73" s="200"/>
      <c r="AL73" s="294">
        <f t="shared" si="11"/>
        <v>0</v>
      </c>
      <c r="AM73" s="198"/>
      <c r="AN73" s="200"/>
      <c r="AO73" s="200"/>
      <c r="AP73" s="195"/>
      <c r="AQ73" s="282"/>
      <c r="AS73" s="300" t="str">
        <f t="shared" si="1"/>
        <v/>
      </c>
      <c r="AT73" s="210">
        <f t="shared" si="2"/>
        <v>0</v>
      </c>
      <c r="AU73" s="210"/>
      <c r="AV73" s="292">
        <f t="shared" si="7"/>
        <v>0</v>
      </c>
      <c r="AW73" s="210">
        <f t="shared" si="8"/>
        <v>0</v>
      </c>
      <c r="AX73" s="210">
        <f t="shared" si="9"/>
        <v>0</v>
      </c>
      <c r="AY73" s="210">
        <f t="shared" si="10"/>
        <v>0</v>
      </c>
    </row>
    <row r="74" spans="34:51" x14ac:dyDescent="0.25">
      <c r="AH74" s="197"/>
      <c r="AI74" s="200"/>
      <c r="AJ74" s="302"/>
      <c r="AK74" s="200"/>
      <c r="AL74" s="294">
        <f t="shared" si="11"/>
        <v>0</v>
      </c>
      <c r="AM74" s="198"/>
      <c r="AN74" s="200"/>
      <c r="AO74" s="200"/>
      <c r="AP74" s="195"/>
      <c r="AQ74" s="282"/>
      <c r="AS74" s="300" t="str">
        <f t="shared" si="1"/>
        <v/>
      </c>
      <c r="AT74" s="210">
        <f t="shared" si="2"/>
        <v>0</v>
      </c>
      <c r="AU74" s="210"/>
      <c r="AV74" s="292">
        <f t="shared" si="7"/>
        <v>0</v>
      </c>
      <c r="AW74" s="210">
        <f t="shared" si="8"/>
        <v>0</v>
      </c>
      <c r="AX74" s="210">
        <f t="shared" si="9"/>
        <v>0</v>
      </c>
      <c r="AY74" s="210">
        <f t="shared" si="10"/>
        <v>0</v>
      </c>
    </row>
    <row r="75" spans="34:51" x14ac:dyDescent="0.25">
      <c r="AH75" s="197"/>
      <c r="AI75" s="200"/>
      <c r="AJ75" s="302"/>
      <c r="AK75" s="200"/>
      <c r="AL75" s="294">
        <f t="shared" ref="AL75:AL138" si="12">AK75*AI75</f>
        <v>0</v>
      </c>
      <c r="AM75" s="198"/>
      <c r="AN75" s="200"/>
      <c r="AO75" s="200"/>
      <c r="AP75" s="195"/>
      <c r="AQ75" s="282"/>
      <c r="AS75" s="300" t="str">
        <f t="shared" ref="AS75:AS138" si="13">IFERROR(IF(AM75="CEE",AL75/(1.062*AN75),AL75/AN75),"")</f>
        <v/>
      </c>
      <c r="AT75" s="210">
        <f t="shared" ref="AT75:AT138" si="14">IF(AQ75="Não atende",1,0)</f>
        <v>0</v>
      </c>
      <c r="AU75" s="210"/>
      <c r="AV75" s="292">
        <f t="shared" si="7"/>
        <v>0</v>
      </c>
      <c r="AW75" s="210">
        <f t="shared" si="8"/>
        <v>0</v>
      </c>
      <c r="AX75" s="210">
        <f t="shared" si="9"/>
        <v>0</v>
      </c>
      <c r="AY75" s="210">
        <f t="shared" si="10"/>
        <v>0</v>
      </c>
    </row>
    <row r="76" spans="34:51" x14ac:dyDescent="0.25">
      <c r="AH76" s="197"/>
      <c r="AI76" s="200"/>
      <c r="AJ76" s="302"/>
      <c r="AK76" s="200"/>
      <c r="AL76" s="294">
        <f t="shared" si="12"/>
        <v>0</v>
      </c>
      <c r="AM76" s="198"/>
      <c r="AN76" s="200"/>
      <c r="AO76" s="200"/>
      <c r="AP76" s="195"/>
      <c r="AQ76" s="282"/>
      <c r="AS76" s="300" t="str">
        <f t="shared" si="13"/>
        <v/>
      </c>
      <c r="AT76" s="210">
        <f t="shared" si="14"/>
        <v>0</v>
      </c>
      <c r="AU76" s="210"/>
      <c r="AV76" s="292">
        <f t="shared" si="7"/>
        <v>0</v>
      </c>
      <c r="AW76" s="210">
        <f t="shared" si="8"/>
        <v>0</v>
      </c>
      <c r="AX76" s="210">
        <f t="shared" si="9"/>
        <v>0</v>
      </c>
      <c r="AY76" s="210">
        <f t="shared" si="10"/>
        <v>0</v>
      </c>
    </row>
    <row r="77" spans="34:51" x14ac:dyDescent="0.25">
      <c r="AH77" s="197"/>
      <c r="AI77" s="200"/>
      <c r="AJ77" s="302"/>
      <c r="AK77" s="200"/>
      <c r="AL77" s="294">
        <f t="shared" si="12"/>
        <v>0</v>
      </c>
      <c r="AM77" s="198"/>
      <c r="AN77" s="200"/>
      <c r="AO77" s="200"/>
      <c r="AP77" s="195"/>
      <c r="AQ77" s="282"/>
      <c r="AS77" s="300" t="str">
        <f t="shared" si="13"/>
        <v/>
      </c>
      <c r="AT77" s="210">
        <f t="shared" si="14"/>
        <v>0</v>
      </c>
      <c r="AU77" s="210"/>
      <c r="AV77" s="292">
        <f t="shared" ref="AV77:AV140" si="15">T77</f>
        <v>0</v>
      </c>
      <c r="AW77" s="210">
        <f t="shared" ref="AW77:AW140" si="16">IF(Z77&gt;W77,Z77,W77)</f>
        <v>0</v>
      </c>
      <c r="AX77" s="210">
        <f t="shared" ref="AX77:AX140" si="17">IF(AA77&gt;X77,AA77,X77)</f>
        <v>0</v>
      </c>
      <c r="AY77" s="210">
        <f t="shared" ref="AY77:AY140" si="18">IF(AB77&gt;Y77,AB77,Y77)</f>
        <v>0</v>
      </c>
    </row>
    <row r="78" spans="34:51" x14ac:dyDescent="0.25">
      <c r="AH78" s="197"/>
      <c r="AI78" s="200"/>
      <c r="AJ78" s="302"/>
      <c r="AK78" s="200"/>
      <c r="AL78" s="294">
        <f t="shared" si="12"/>
        <v>0</v>
      </c>
      <c r="AM78" s="198"/>
      <c r="AN78" s="200"/>
      <c r="AO78" s="200"/>
      <c r="AP78" s="195"/>
      <c r="AQ78" s="282"/>
      <c r="AS78" s="300" t="str">
        <f t="shared" si="13"/>
        <v/>
      </c>
      <c r="AT78" s="210">
        <f t="shared" si="14"/>
        <v>0</v>
      </c>
      <c r="AU78" s="210"/>
      <c r="AV78" s="292">
        <f t="shared" si="15"/>
        <v>0</v>
      </c>
      <c r="AW78" s="210">
        <f t="shared" si="16"/>
        <v>0</v>
      </c>
      <c r="AX78" s="210">
        <f t="shared" si="17"/>
        <v>0</v>
      </c>
      <c r="AY78" s="210">
        <f t="shared" si="18"/>
        <v>0</v>
      </c>
    </row>
    <row r="79" spans="34:51" x14ac:dyDescent="0.25">
      <c r="AH79" s="197"/>
      <c r="AI79" s="200"/>
      <c r="AJ79" s="302"/>
      <c r="AK79" s="200"/>
      <c r="AL79" s="294">
        <f t="shared" si="12"/>
        <v>0</v>
      </c>
      <c r="AM79" s="198"/>
      <c r="AN79" s="200"/>
      <c r="AO79" s="200"/>
      <c r="AP79" s="195"/>
      <c r="AQ79" s="282"/>
      <c r="AS79" s="300" t="str">
        <f t="shared" si="13"/>
        <v/>
      </c>
      <c r="AT79" s="210">
        <f t="shared" si="14"/>
        <v>0</v>
      </c>
      <c r="AU79" s="210"/>
      <c r="AV79" s="292">
        <f t="shared" si="15"/>
        <v>0</v>
      </c>
      <c r="AW79" s="210">
        <f t="shared" si="16"/>
        <v>0</v>
      </c>
      <c r="AX79" s="210">
        <f t="shared" si="17"/>
        <v>0</v>
      </c>
      <c r="AY79" s="210">
        <f t="shared" si="18"/>
        <v>0</v>
      </c>
    </row>
    <row r="80" spans="34:51" x14ac:dyDescent="0.25">
      <c r="AH80" s="197"/>
      <c r="AI80" s="200"/>
      <c r="AJ80" s="302"/>
      <c r="AK80" s="200"/>
      <c r="AL80" s="294">
        <f t="shared" si="12"/>
        <v>0</v>
      </c>
      <c r="AM80" s="198"/>
      <c r="AN80" s="200"/>
      <c r="AO80" s="200"/>
      <c r="AP80" s="195"/>
      <c r="AQ80" s="282"/>
      <c r="AS80" s="300" t="str">
        <f t="shared" si="13"/>
        <v/>
      </c>
      <c r="AT80" s="210">
        <f t="shared" si="14"/>
        <v>0</v>
      </c>
      <c r="AU80" s="210"/>
      <c r="AV80" s="292">
        <f t="shared" si="15"/>
        <v>0</v>
      </c>
      <c r="AW80" s="210">
        <f t="shared" si="16"/>
        <v>0</v>
      </c>
      <c r="AX80" s="210">
        <f t="shared" si="17"/>
        <v>0</v>
      </c>
      <c r="AY80" s="210">
        <f t="shared" si="18"/>
        <v>0</v>
      </c>
    </row>
    <row r="81" spans="34:51" x14ac:dyDescent="0.25">
      <c r="AH81" s="197"/>
      <c r="AI81" s="200"/>
      <c r="AJ81" s="302"/>
      <c r="AK81" s="200"/>
      <c r="AL81" s="294">
        <f t="shared" si="12"/>
        <v>0</v>
      </c>
      <c r="AM81" s="198"/>
      <c r="AN81" s="200"/>
      <c r="AO81" s="200"/>
      <c r="AP81" s="195"/>
      <c r="AQ81" s="282"/>
      <c r="AS81" s="300" t="str">
        <f t="shared" si="13"/>
        <v/>
      </c>
      <c r="AT81" s="210">
        <f t="shared" si="14"/>
        <v>0</v>
      </c>
      <c r="AU81" s="210"/>
      <c r="AV81" s="292">
        <f t="shared" si="15"/>
        <v>0</v>
      </c>
      <c r="AW81" s="210">
        <f t="shared" si="16"/>
        <v>0</v>
      </c>
      <c r="AX81" s="210">
        <f t="shared" si="17"/>
        <v>0</v>
      </c>
      <c r="AY81" s="210">
        <f t="shared" si="18"/>
        <v>0</v>
      </c>
    </row>
    <row r="82" spans="34:51" x14ac:dyDescent="0.25">
      <c r="AH82" s="197"/>
      <c r="AI82" s="200"/>
      <c r="AJ82" s="302"/>
      <c r="AK82" s="200"/>
      <c r="AL82" s="294">
        <f t="shared" si="12"/>
        <v>0</v>
      </c>
      <c r="AM82" s="198"/>
      <c r="AN82" s="200"/>
      <c r="AO82" s="200"/>
      <c r="AP82" s="195"/>
      <c r="AQ82" s="282"/>
      <c r="AS82" s="300" t="str">
        <f t="shared" si="13"/>
        <v/>
      </c>
      <c r="AT82" s="210">
        <f t="shared" si="14"/>
        <v>0</v>
      </c>
      <c r="AU82" s="210"/>
      <c r="AV82" s="292">
        <f t="shared" si="15"/>
        <v>0</v>
      </c>
      <c r="AW82" s="210">
        <f t="shared" si="16"/>
        <v>0</v>
      </c>
      <c r="AX82" s="210">
        <f t="shared" si="17"/>
        <v>0</v>
      </c>
      <c r="AY82" s="210">
        <f t="shared" si="18"/>
        <v>0</v>
      </c>
    </row>
    <row r="83" spans="34:51" x14ac:dyDescent="0.25">
      <c r="AH83" s="197"/>
      <c r="AI83" s="200"/>
      <c r="AJ83" s="302"/>
      <c r="AK83" s="200"/>
      <c r="AL83" s="294">
        <f t="shared" si="12"/>
        <v>0</v>
      </c>
      <c r="AM83" s="198"/>
      <c r="AN83" s="200"/>
      <c r="AO83" s="200"/>
      <c r="AP83" s="195"/>
      <c r="AQ83" s="282"/>
      <c r="AS83" s="300" t="str">
        <f t="shared" si="13"/>
        <v/>
      </c>
      <c r="AT83" s="210">
        <f t="shared" si="14"/>
        <v>0</v>
      </c>
      <c r="AU83" s="210"/>
      <c r="AV83" s="292">
        <f t="shared" si="15"/>
        <v>0</v>
      </c>
      <c r="AW83" s="210">
        <f t="shared" si="16"/>
        <v>0</v>
      </c>
      <c r="AX83" s="210">
        <f t="shared" si="17"/>
        <v>0</v>
      </c>
      <c r="AY83" s="210">
        <f t="shared" si="18"/>
        <v>0</v>
      </c>
    </row>
    <row r="84" spans="34:51" x14ac:dyDescent="0.25">
      <c r="AH84" s="197"/>
      <c r="AI84" s="200"/>
      <c r="AJ84" s="302"/>
      <c r="AK84" s="200"/>
      <c r="AL84" s="294">
        <f t="shared" si="12"/>
        <v>0</v>
      </c>
      <c r="AM84" s="198"/>
      <c r="AN84" s="200"/>
      <c r="AO84" s="200"/>
      <c r="AP84" s="195"/>
      <c r="AQ84" s="282"/>
      <c r="AS84" s="300" t="str">
        <f t="shared" si="13"/>
        <v/>
      </c>
      <c r="AT84" s="210">
        <f t="shared" si="14"/>
        <v>0</v>
      </c>
      <c r="AU84" s="210"/>
      <c r="AV84" s="292">
        <f t="shared" si="15"/>
        <v>0</v>
      </c>
      <c r="AW84" s="210">
        <f t="shared" si="16"/>
        <v>0</v>
      </c>
      <c r="AX84" s="210">
        <f t="shared" si="17"/>
        <v>0</v>
      </c>
      <c r="AY84" s="210">
        <f t="shared" si="18"/>
        <v>0</v>
      </c>
    </row>
    <row r="85" spans="34:51" x14ac:dyDescent="0.25">
      <c r="AH85" s="197"/>
      <c r="AI85" s="200"/>
      <c r="AJ85" s="302"/>
      <c r="AK85" s="200"/>
      <c r="AL85" s="294">
        <f t="shared" si="12"/>
        <v>0</v>
      </c>
      <c r="AM85" s="198"/>
      <c r="AN85" s="200"/>
      <c r="AO85" s="200"/>
      <c r="AP85" s="195"/>
      <c r="AQ85" s="282"/>
      <c r="AS85" s="300" t="str">
        <f t="shared" si="13"/>
        <v/>
      </c>
      <c r="AT85" s="210">
        <f t="shared" si="14"/>
        <v>0</v>
      </c>
      <c r="AU85" s="210"/>
      <c r="AV85" s="292">
        <f t="shared" si="15"/>
        <v>0</v>
      </c>
      <c r="AW85" s="210">
        <f t="shared" si="16"/>
        <v>0</v>
      </c>
      <c r="AX85" s="210">
        <f t="shared" si="17"/>
        <v>0</v>
      </c>
      <c r="AY85" s="210">
        <f t="shared" si="18"/>
        <v>0</v>
      </c>
    </row>
    <row r="86" spans="34:51" x14ac:dyDescent="0.25">
      <c r="AH86" s="197"/>
      <c r="AI86" s="200"/>
      <c r="AJ86" s="302"/>
      <c r="AK86" s="200"/>
      <c r="AL86" s="294">
        <f t="shared" si="12"/>
        <v>0</v>
      </c>
      <c r="AM86" s="198"/>
      <c r="AN86" s="200"/>
      <c r="AO86" s="200"/>
      <c r="AP86" s="195"/>
      <c r="AQ86" s="282"/>
      <c r="AS86" s="300" t="str">
        <f t="shared" si="13"/>
        <v/>
      </c>
      <c r="AT86" s="210">
        <f t="shared" si="14"/>
        <v>0</v>
      </c>
      <c r="AU86" s="210"/>
      <c r="AV86" s="292">
        <f t="shared" si="15"/>
        <v>0</v>
      </c>
      <c r="AW86" s="210">
        <f t="shared" si="16"/>
        <v>0</v>
      </c>
      <c r="AX86" s="210">
        <f t="shared" si="17"/>
        <v>0</v>
      </c>
      <c r="AY86" s="210">
        <f t="shared" si="18"/>
        <v>0</v>
      </c>
    </row>
    <row r="87" spans="34:51" x14ac:dyDescent="0.25">
      <c r="AH87" s="197"/>
      <c r="AI87" s="200"/>
      <c r="AJ87" s="302"/>
      <c r="AK87" s="200"/>
      <c r="AL87" s="294">
        <f t="shared" si="12"/>
        <v>0</v>
      </c>
      <c r="AM87" s="198"/>
      <c r="AN87" s="200"/>
      <c r="AO87" s="200"/>
      <c r="AP87" s="195"/>
      <c r="AQ87" s="282"/>
      <c r="AS87" s="300" t="str">
        <f t="shared" si="13"/>
        <v/>
      </c>
      <c r="AT87" s="210">
        <f t="shared" si="14"/>
        <v>0</v>
      </c>
      <c r="AU87" s="210"/>
      <c r="AV87" s="292">
        <f t="shared" si="15"/>
        <v>0</v>
      </c>
      <c r="AW87" s="210">
        <f t="shared" si="16"/>
        <v>0</v>
      </c>
      <c r="AX87" s="210">
        <f t="shared" si="17"/>
        <v>0</v>
      </c>
      <c r="AY87" s="210">
        <f t="shared" si="18"/>
        <v>0</v>
      </c>
    </row>
    <row r="88" spans="34:51" x14ac:dyDescent="0.25">
      <c r="AH88" s="197"/>
      <c r="AI88" s="200"/>
      <c r="AJ88" s="302"/>
      <c r="AK88" s="200"/>
      <c r="AL88" s="294">
        <f t="shared" si="12"/>
        <v>0</v>
      </c>
      <c r="AM88" s="198"/>
      <c r="AN88" s="200"/>
      <c r="AO88" s="200"/>
      <c r="AP88" s="195"/>
      <c r="AQ88" s="282"/>
      <c r="AS88" s="300" t="str">
        <f t="shared" si="13"/>
        <v/>
      </c>
      <c r="AT88" s="210">
        <f t="shared" si="14"/>
        <v>0</v>
      </c>
      <c r="AU88" s="210"/>
      <c r="AV88" s="292">
        <f t="shared" si="15"/>
        <v>0</v>
      </c>
      <c r="AW88" s="210">
        <f t="shared" si="16"/>
        <v>0</v>
      </c>
      <c r="AX88" s="210">
        <f t="shared" si="17"/>
        <v>0</v>
      </c>
      <c r="AY88" s="210">
        <f t="shared" si="18"/>
        <v>0</v>
      </c>
    </row>
    <row r="89" spans="34:51" x14ac:dyDescent="0.25">
      <c r="AH89" s="197"/>
      <c r="AI89" s="200"/>
      <c r="AJ89" s="302"/>
      <c r="AK89" s="200"/>
      <c r="AL89" s="294">
        <f t="shared" si="12"/>
        <v>0</v>
      </c>
      <c r="AM89" s="198"/>
      <c r="AN89" s="200"/>
      <c r="AO89" s="200"/>
      <c r="AP89" s="195"/>
      <c r="AQ89" s="282"/>
      <c r="AS89" s="300" t="str">
        <f t="shared" si="13"/>
        <v/>
      </c>
      <c r="AT89" s="210">
        <f t="shared" si="14"/>
        <v>0</v>
      </c>
      <c r="AU89" s="210"/>
      <c r="AV89" s="292">
        <f t="shared" si="15"/>
        <v>0</v>
      </c>
      <c r="AW89" s="210">
        <f t="shared" si="16"/>
        <v>0</v>
      </c>
      <c r="AX89" s="210">
        <f t="shared" si="17"/>
        <v>0</v>
      </c>
      <c r="AY89" s="210">
        <f t="shared" si="18"/>
        <v>0</v>
      </c>
    </row>
    <row r="90" spans="34:51" x14ac:dyDescent="0.25">
      <c r="AH90" s="197"/>
      <c r="AI90" s="200"/>
      <c r="AJ90" s="302"/>
      <c r="AK90" s="200"/>
      <c r="AL90" s="294">
        <f t="shared" si="12"/>
        <v>0</v>
      </c>
      <c r="AM90" s="198"/>
      <c r="AN90" s="200"/>
      <c r="AO90" s="200"/>
      <c r="AP90" s="195"/>
      <c r="AQ90" s="282"/>
      <c r="AS90" s="300" t="str">
        <f t="shared" si="13"/>
        <v/>
      </c>
      <c r="AT90" s="210">
        <f t="shared" si="14"/>
        <v>0</v>
      </c>
      <c r="AU90" s="210"/>
      <c r="AV90" s="292">
        <f t="shared" si="15"/>
        <v>0</v>
      </c>
      <c r="AW90" s="210">
        <f t="shared" si="16"/>
        <v>0</v>
      </c>
      <c r="AX90" s="210">
        <f t="shared" si="17"/>
        <v>0</v>
      </c>
      <c r="AY90" s="210">
        <f t="shared" si="18"/>
        <v>0</v>
      </c>
    </row>
    <row r="91" spans="34:51" x14ac:dyDescent="0.25">
      <c r="AH91" s="197"/>
      <c r="AI91" s="200"/>
      <c r="AJ91" s="302"/>
      <c r="AK91" s="200"/>
      <c r="AL91" s="294">
        <f t="shared" si="12"/>
        <v>0</v>
      </c>
      <c r="AM91" s="198"/>
      <c r="AN91" s="200"/>
      <c r="AO91" s="200"/>
      <c r="AP91" s="195"/>
      <c r="AQ91" s="282"/>
      <c r="AS91" s="300" t="str">
        <f t="shared" si="13"/>
        <v/>
      </c>
      <c r="AT91" s="210">
        <f t="shared" si="14"/>
        <v>0</v>
      </c>
      <c r="AU91" s="210"/>
      <c r="AV91" s="292">
        <f t="shared" si="15"/>
        <v>0</v>
      </c>
      <c r="AW91" s="210">
        <f t="shared" si="16"/>
        <v>0</v>
      </c>
      <c r="AX91" s="210">
        <f t="shared" si="17"/>
        <v>0</v>
      </c>
      <c r="AY91" s="210">
        <f t="shared" si="18"/>
        <v>0</v>
      </c>
    </row>
    <row r="92" spans="34:51" x14ac:dyDescent="0.25">
      <c r="AH92" s="197"/>
      <c r="AI92" s="200"/>
      <c r="AJ92" s="302"/>
      <c r="AK92" s="200"/>
      <c r="AL92" s="294">
        <f t="shared" si="12"/>
        <v>0</v>
      </c>
      <c r="AM92" s="198"/>
      <c r="AN92" s="200"/>
      <c r="AO92" s="200"/>
      <c r="AP92" s="195"/>
      <c r="AQ92" s="282"/>
      <c r="AS92" s="300" t="str">
        <f t="shared" si="13"/>
        <v/>
      </c>
      <c r="AT92" s="210">
        <f t="shared" si="14"/>
        <v>0</v>
      </c>
      <c r="AU92" s="210"/>
      <c r="AV92" s="292">
        <f t="shared" si="15"/>
        <v>0</v>
      </c>
      <c r="AW92" s="210">
        <f t="shared" si="16"/>
        <v>0</v>
      </c>
      <c r="AX92" s="210">
        <f t="shared" si="17"/>
        <v>0</v>
      </c>
      <c r="AY92" s="210">
        <f t="shared" si="18"/>
        <v>0</v>
      </c>
    </row>
    <row r="93" spans="34:51" x14ac:dyDescent="0.25">
      <c r="AH93" s="197"/>
      <c r="AI93" s="200"/>
      <c r="AJ93" s="302"/>
      <c r="AK93" s="200"/>
      <c r="AL93" s="294">
        <f t="shared" si="12"/>
        <v>0</v>
      </c>
      <c r="AM93" s="198"/>
      <c r="AN93" s="200"/>
      <c r="AO93" s="200"/>
      <c r="AP93" s="195"/>
      <c r="AQ93" s="282"/>
      <c r="AS93" s="300" t="str">
        <f t="shared" si="13"/>
        <v/>
      </c>
      <c r="AT93" s="210">
        <f t="shared" si="14"/>
        <v>0</v>
      </c>
      <c r="AU93" s="210"/>
      <c r="AV93" s="292">
        <f t="shared" si="15"/>
        <v>0</v>
      </c>
      <c r="AW93" s="210">
        <f t="shared" si="16"/>
        <v>0</v>
      </c>
      <c r="AX93" s="210">
        <f t="shared" si="17"/>
        <v>0</v>
      </c>
      <c r="AY93" s="210">
        <f t="shared" si="18"/>
        <v>0</v>
      </c>
    </row>
    <row r="94" spans="34:51" x14ac:dyDescent="0.25">
      <c r="AH94" s="197"/>
      <c r="AI94" s="200"/>
      <c r="AJ94" s="302"/>
      <c r="AK94" s="200"/>
      <c r="AL94" s="294">
        <f t="shared" si="12"/>
        <v>0</v>
      </c>
      <c r="AM94" s="198"/>
      <c r="AN94" s="200"/>
      <c r="AO94" s="200"/>
      <c r="AP94" s="195"/>
      <c r="AQ94" s="282"/>
      <c r="AS94" s="300" t="str">
        <f t="shared" si="13"/>
        <v/>
      </c>
      <c r="AT94" s="210">
        <f t="shared" si="14"/>
        <v>0</v>
      </c>
      <c r="AU94" s="210"/>
      <c r="AV94" s="292">
        <f t="shared" si="15"/>
        <v>0</v>
      </c>
      <c r="AW94" s="210">
        <f t="shared" si="16"/>
        <v>0</v>
      </c>
      <c r="AX94" s="210">
        <f t="shared" si="17"/>
        <v>0</v>
      </c>
      <c r="AY94" s="210">
        <f t="shared" si="18"/>
        <v>0</v>
      </c>
    </row>
    <row r="95" spans="34:51" x14ac:dyDescent="0.25">
      <c r="AH95" s="197"/>
      <c r="AI95" s="200"/>
      <c r="AJ95" s="302"/>
      <c r="AK95" s="200"/>
      <c r="AL95" s="294">
        <f t="shared" si="12"/>
        <v>0</v>
      </c>
      <c r="AM95" s="198"/>
      <c r="AN95" s="200"/>
      <c r="AO95" s="200"/>
      <c r="AP95" s="195"/>
      <c r="AQ95" s="282"/>
      <c r="AS95" s="300" t="str">
        <f t="shared" si="13"/>
        <v/>
      </c>
      <c r="AT95" s="210">
        <f t="shared" si="14"/>
        <v>0</v>
      </c>
      <c r="AU95" s="210"/>
      <c r="AV95" s="292">
        <f t="shared" si="15"/>
        <v>0</v>
      </c>
      <c r="AW95" s="210">
        <f t="shared" si="16"/>
        <v>0</v>
      </c>
      <c r="AX95" s="210">
        <f t="shared" si="17"/>
        <v>0</v>
      </c>
      <c r="AY95" s="210">
        <f t="shared" si="18"/>
        <v>0</v>
      </c>
    </row>
    <row r="96" spans="34:51" x14ac:dyDescent="0.25">
      <c r="AH96" s="197"/>
      <c r="AI96" s="200"/>
      <c r="AJ96" s="302"/>
      <c r="AK96" s="200"/>
      <c r="AL96" s="294">
        <f t="shared" si="12"/>
        <v>0</v>
      </c>
      <c r="AM96" s="198"/>
      <c r="AN96" s="200"/>
      <c r="AO96" s="200"/>
      <c r="AP96" s="195"/>
      <c r="AQ96" s="282"/>
      <c r="AS96" s="300" t="str">
        <f t="shared" si="13"/>
        <v/>
      </c>
      <c r="AT96" s="210">
        <f t="shared" si="14"/>
        <v>0</v>
      </c>
      <c r="AU96" s="210"/>
      <c r="AV96" s="292">
        <f t="shared" si="15"/>
        <v>0</v>
      </c>
      <c r="AW96" s="210">
        <f t="shared" si="16"/>
        <v>0</v>
      </c>
      <c r="AX96" s="210">
        <f t="shared" si="17"/>
        <v>0</v>
      </c>
      <c r="AY96" s="210">
        <f t="shared" si="18"/>
        <v>0</v>
      </c>
    </row>
    <row r="97" spans="34:51" x14ac:dyDescent="0.25">
      <c r="AH97" s="197"/>
      <c r="AI97" s="200"/>
      <c r="AJ97" s="302"/>
      <c r="AK97" s="200"/>
      <c r="AL97" s="294">
        <f t="shared" si="12"/>
        <v>0</v>
      </c>
      <c r="AM97" s="198"/>
      <c r="AN97" s="200"/>
      <c r="AO97" s="200"/>
      <c r="AP97" s="195"/>
      <c r="AQ97" s="282"/>
      <c r="AS97" s="300" t="str">
        <f t="shared" si="13"/>
        <v/>
      </c>
      <c r="AT97" s="210">
        <f t="shared" si="14"/>
        <v>0</v>
      </c>
      <c r="AU97" s="210"/>
      <c r="AV97" s="292">
        <f t="shared" si="15"/>
        <v>0</v>
      </c>
      <c r="AW97" s="210">
        <f t="shared" si="16"/>
        <v>0</v>
      </c>
      <c r="AX97" s="210">
        <f t="shared" si="17"/>
        <v>0</v>
      </c>
      <c r="AY97" s="210">
        <f t="shared" si="18"/>
        <v>0</v>
      </c>
    </row>
    <row r="98" spans="34:51" x14ac:dyDescent="0.25">
      <c r="AH98" s="197"/>
      <c r="AI98" s="200"/>
      <c r="AJ98" s="302"/>
      <c r="AK98" s="200"/>
      <c r="AL98" s="294">
        <f t="shared" si="12"/>
        <v>0</v>
      </c>
      <c r="AM98" s="198"/>
      <c r="AN98" s="200"/>
      <c r="AO98" s="200"/>
      <c r="AP98" s="195"/>
      <c r="AQ98" s="282"/>
      <c r="AS98" s="300" t="str">
        <f t="shared" si="13"/>
        <v/>
      </c>
      <c r="AT98" s="210">
        <f t="shared" si="14"/>
        <v>0</v>
      </c>
      <c r="AU98" s="210"/>
      <c r="AV98" s="292">
        <f t="shared" si="15"/>
        <v>0</v>
      </c>
      <c r="AW98" s="210">
        <f t="shared" si="16"/>
        <v>0</v>
      </c>
      <c r="AX98" s="210">
        <f t="shared" si="17"/>
        <v>0</v>
      </c>
      <c r="AY98" s="210">
        <f t="shared" si="18"/>
        <v>0</v>
      </c>
    </row>
    <row r="99" spans="34:51" x14ac:dyDescent="0.25">
      <c r="AH99" s="197"/>
      <c r="AI99" s="200"/>
      <c r="AJ99" s="302"/>
      <c r="AK99" s="200"/>
      <c r="AL99" s="294">
        <f t="shared" si="12"/>
        <v>0</v>
      </c>
      <c r="AM99" s="198"/>
      <c r="AN99" s="200"/>
      <c r="AO99" s="200"/>
      <c r="AP99" s="195"/>
      <c r="AQ99" s="282"/>
      <c r="AS99" s="300" t="str">
        <f t="shared" si="13"/>
        <v/>
      </c>
      <c r="AT99" s="210">
        <f t="shared" si="14"/>
        <v>0</v>
      </c>
      <c r="AU99" s="210"/>
      <c r="AV99" s="292">
        <f t="shared" si="15"/>
        <v>0</v>
      </c>
      <c r="AW99" s="210">
        <f t="shared" si="16"/>
        <v>0</v>
      </c>
      <c r="AX99" s="210">
        <f t="shared" si="17"/>
        <v>0</v>
      </c>
      <c r="AY99" s="210">
        <f t="shared" si="18"/>
        <v>0</v>
      </c>
    </row>
    <row r="100" spans="34:51" x14ac:dyDescent="0.25">
      <c r="AH100" s="197"/>
      <c r="AI100" s="200"/>
      <c r="AJ100" s="302"/>
      <c r="AK100" s="200"/>
      <c r="AL100" s="294">
        <f t="shared" si="12"/>
        <v>0</v>
      </c>
      <c r="AM100" s="198"/>
      <c r="AN100" s="200"/>
      <c r="AO100" s="200"/>
      <c r="AP100" s="195"/>
      <c r="AQ100" s="282"/>
      <c r="AS100" s="300" t="str">
        <f t="shared" si="13"/>
        <v/>
      </c>
      <c r="AT100" s="210">
        <f t="shared" si="14"/>
        <v>0</v>
      </c>
      <c r="AU100" s="210"/>
      <c r="AV100" s="292">
        <f t="shared" si="15"/>
        <v>0</v>
      </c>
      <c r="AW100" s="210">
        <f t="shared" si="16"/>
        <v>0</v>
      </c>
      <c r="AX100" s="210">
        <f t="shared" si="17"/>
        <v>0</v>
      </c>
      <c r="AY100" s="210">
        <f t="shared" si="18"/>
        <v>0</v>
      </c>
    </row>
    <row r="101" spans="34:51" x14ac:dyDescent="0.25">
      <c r="AH101" s="197"/>
      <c r="AI101" s="200"/>
      <c r="AJ101" s="302"/>
      <c r="AK101" s="200"/>
      <c r="AL101" s="294">
        <f t="shared" si="12"/>
        <v>0</v>
      </c>
      <c r="AM101" s="198"/>
      <c r="AN101" s="200"/>
      <c r="AO101" s="200"/>
      <c r="AP101" s="195"/>
      <c r="AQ101" s="282"/>
      <c r="AS101" s="300" t="str">
        <f t="shared" si="13"/>
        <v/>
      </c>
      <c r="AT101" s="210">
        <f t="shared" si="14"/>
        <v>0</v>
      </c>
      <c r="AU101" s="210"/>
      <c r="AV101" s="292">
        <f t="shared" si="15"/>
        <v>0</v>
      </c>
      <c r="AW101" s="210">
        <f t="shared" si="16"/>
        <v>0</v>
      </c>
      <c r="AX101" s="210">
        <f t="shared" si="17"/>
        <v>0</v>
      </c>
      <c r="AY101" s="210">
        <f t="shared" si="18"/>
        <v>0</v>
      </c>
    </row>
    <row r="102" spans="34:51" x14ac:dyDescent="0.25">
      <c r="AH102" s="197"/>
      <c r="AI102" s="200"/>
      <c r="AJ102" s="302"/>
      <c r="AK102" s="200"/>
      <c r="AL102" s="294">
        <f t="shared" si="12"/>
        <v>0</v>
      </c>
      <c r="AM102" s="198"/>
      <c r="AN102" s="200"/>
      <c r="AO102" s="200"/>
      <c r="AP102" s="195"/>
      <c r="AQ102" s="282"/>
      <c r="AS102" s="300" t="str">
        <f t="shared" si="13"/>
        <v/>
      </c>
      <c r="AT102" s="210">
        <f t="shared" si="14"/>
        <v>0</v>
      </c>
      <c r="AU102" s="210"/>
      <c r="AV102" s="292">
        <f t="shared" si="15"/>
        <v>0</v>
      </c>
      <c r="AW102" s="210">
        <f t="shared" si="16"/>
        <v>0</v>
      </c>
      <c r="AX102" s="210">
        <f t="shared" si="17"/>
        <v>0</v>
      </c>
      <c r="AY102" s="210">
        <f t="shared" si="18"/>
        <v>0</v>
      </c>
    </row>
    <row r="103" spans="34:51" x14ac:dyDescent="0.25">
      <c r="AH103" s="197"/>
      <c r="AI103" s="200"/>
      <c r="AJ103" s="302"/>
      <c r="AK103" s="200"/>
      <c r="AL103" s="294">
        <f t="shared" si="12"/>
        <v>0</v>
      </c>
      <c r="AM103" s="198"/>
      <c r="AN103" s="200"/>
      <c r="AO103" s="200"/>
      <c r="AP103" s="195"/>
      <c r="AQ103" s="282"/>
      <c r="AS103" s="300" t="str">
        <f t="shared" si="13"/>
        <v/>
      </c>
      <c r="AT103" s="210">
        <f t="shared" si="14"/>
        <v>0</v>
      </c>
      <c r="AU103" s="210"/>
      <c r="AV103" s="292">
        <f t="shared" si="15"/>
        <v>0</v>
      </c>
      <c r="AW103" s="210">
        <f t="shared" si="16"/>
        <v>0</v>
      </c>
      <c r="AX103" s="210">
        <f t="shared" si="17"/>
        <v>0</v>
      </c>
      <c r="AY103" s="210">
        <f t="shared" si="18"/>
        <v>0</v>
      </c>
    </row>
    <row r="104" spans="34:51" x14ac:dyDescent="0.25">
      <c r="AH104" s="197"/>
      <c r="AI104" s="200"/>
      <c r="AJ104" s="302"/>
      <c r="AK104" s="200"/>
      <c r="AL104" s="294">
        <f t="shared" si="12"/>
        <v>0</v>
      </c>
      <c r="AM104" s="198"/>
      <c r="AN104" s="200"/>
      <c r="AO104" s="200"/>
      <c r="AP104" s="195"/>
      <c r="AQ104" s="282"/>
      <c r="AS104" s="300" t="str">
        <f t="shared" si="13"/>
        <v/>
      </c>
      <c r="AT104" s="210">
        <f t="shared" si="14"/>
        <v>0</v>
      </c>
      <c r="AU104" s="210"/>
      <c r="AV104" s="292">
        <f t="shared" si="15"/>
        <v>0</v>
      </c>
      <c r="AW104" s="210">
        <f t="shared" si="16"/>
        <v>0</v>
      </c>
      <c r="AX104" s="210">
        <f t="shared" si="17"/>
        <v>0</v>
      </c>
      <c r="AY104" s="210">
        <f t="shared" si="18"/>
        <v>0</v>
      </c>
    </row>
    <row r="105" spans="34:51" x14ac:dyDescent="0.25">
      <c r="AH105" s="197"/>
      <c r="AI105" s="200"/>
      <c r="AJ105" s="302"/>
      <c r="AK105" s="200"/>
      <c r="AL105" s="294">
        <f t="shared" si="12"/>
        <v>0</v>
      </c>
      <c r="AM105" s="198"/>
      <c r="AN105" s="200"/>
      <c r="AO105" s="200"/>
      <c r="AP105" s="195"/>
      <c r="AQ105" s="282"/>
      <c r="AS105" s="300" t="str">
        <f t="shared" si="13"/>
        <v/>
      </c>
      <c r="AT105" s="210">
        <f t="shared" si="14"/>
        <v>0</v>
      </c>
      <c r="AU105" s="210"/>
      <c r="AV105" s="292">
        <f t="shared" si="15"/>
        <v>0</v>
      </c>
      <c r="AW105" s="210">
        <f t="shared" si="16"/>
        <v>0</v>
      </c>
      <c r="AX105" s="210">
        <f t="shared" si="17"/>
        <v>0</v>
      </c>
      <c r="AY105" s="210">
        <f t="shared" si="18"/>
        <v>0</v>
      </c>
    </row>
    <row r="106" spans="34:51" x14ac:dyDescent="0.25">
      <c r="AH106" s="197"/>
      <c r="AI106" s="200"/>
      <c r="AJ106" s="302"/>
      <c r="AK106" s="200"/>
      <c r="AL106" s="294">
        <f t="shared" si="12"/>
        <v>0</v>
      </c>
      <c r="AM106" s="198"/>
      <c r="AN106" s="200"/>
      <c r="AO106" s="200"/>
      <c r="AP106" s="195"/>
      <c r="AQ106" s="282"/>
      <c r="AS106" s="300" t="str">
        <f t="shared" si="13"/>
        <v/>
      </c>
      <c r="AT106" s="210">
        <f t="shared" si="14"/>
        <v>0</v>
      </c>
      <c r="AU106" s="210"/>
      <c r="AV106" s="292">
        <f t="shared" si="15"/>
        <v>0</v>
      </c>
      <c r="AW106" s="210">
        <f t="shared" si="16"/>
        <v>0</v>
      </c>
      <c r="AX106" s="210">
        <f t="shared" si="17"/>
        <v>0</v>
      </c>
      <c r="AY106" s="210">
        <f t="shared" si="18"/>
        <v>0</v>
      </c>
    </row>
    <row r="107" spans="34:51" x14ac:dyDescent="0.25">
      <c r="AH107" s="197"/>
      <c r="AI107" s="200"/>
      <c r="AJ107" s="302"/>
      <c r="AK107" s="200"/>
      <c r="AL107" s="294">
        <f t="shared" si="12"/>
        <v>0</v>
      </c>
      <c r="AM107" s="198"/>
      <c r="AN107" s="200"/>
      <c r="AO107" s="200"/>
      <c r="AP107" s="195"/>
      <c r="AQ107" s="282"/>
      <c r="AS107" s="300" t="str">
        <f t="shared" si="13"/>
        <v/>
      </c>
      <c r="AT107" s="210">
        <f t="shared" si="14"/>
        <v>0</v>
      </c>
      <c r="AU107" s="210"/>
      <c r="AV107" s="292">
        <f t="shared" si="15"/>
        <v>0</v>
      </c>
      <c r="AW107" s="210">
        <f t="shared" si="16"/>
        <v>0</v>
      </c>
      <c r="AX107" s="210">
        <f t="shared" si="17"/>
        <v>0</v>
      </c>
      <c r="AY107" s="210">
        <f t="shared" si="18"/>
        <v>0</v>
      </c>
    </row>
    <row r="108" spans="34:51" x14ac:dyDescent="0.25">
      <c r="AH108" s="197"/>
      <c r="AI108" s="200"/>
      <c r="AJ108" s="302"/>
      <c r="AK108" s="200"/>
      <c r="AL108" s="294">
        <f t="shared" si="12"/>
        <v>0</v>
      </c>
      <c r="AM108" s="198"/>
      <c r="AN108" s="200"/>
      <c r="AO108" s="200"/>
      <c r="AP108" s="195"/>
      <c r="AQ108" s="282"/>
      <c r="AS108" s="300" t="str">
        <f t="shared" si="13"/>
        <v/>
      </c>
      <c r="AT108" s="210">
        <f t="shared" si="14"/>
        <v>0</v>
      </c>
      <c r="AU108" s="210"/>
      <c r="AV108" s="292">
        <f t="shared" si="15"/>
        <v>0</v>
      </c>
      <c r="AW108" s="210">
        <f t="shared" si="16"/>
        <v>0</v>
      </c>
      <c r="AX108" s="210">
        <f t="shared" si="17"/>
        <v>0</v>
      </c>
      <c r="AY108" s="210">
        <f t="shared" si="18"/>
        <v>0</v>
      </c>
    </row>
    <row r="109" spans="34:51" x14ac:dyDescent="0.25">
      <c r="AH109" s="197"/>
      <c r="AI109" s="200"/>
      <c r="AJ109" s="302"/>
      <c r="AK109" s="200"/>
      <c r="AL109" s="294">
        <f t="shared" si="12"/>
        <v>0</v>
      </c>
      <c r="AM109" s="198"/>
      <c r="AN109" s="200"/>
      <c r="AO109" s="200"/>
      <c r="AP109" s="195"/>
      <c r="AQ109" s="282"/>
      <c r="AS109" s="300" t="str">
        <f t="shared" si="13"/>
        <v/>
      </c>
      <c r="AT109" s="210">
        <f t="shared" si="14"/>
        <v>0</v>
      </c>
      <c r="AU109" s="210"/>
      <c r="AV109" s="292">
        <f t="shared" si="15"/>
        <v>0</v>
      </c>
      <c r="AW109" s="210">
        <f t="shared" si="16"/>
        <v>0</v>
      </c>
      <c r="AX109" s="210">
        <f t="shared" si="17"/>
        <v>0</v>
      </c>
      <c r="AY109" s="210">
        <f t="shared" si="18"/>
        <v>0</v>
      </c>
    </row>
    <row r="110" spans="34:51" x14ac:dyDescent="0.25">
      <c r="AH110" s="197"/>
      <c r="AI110" s="200"/>
      <c r="AJ110" s="302"/>
      <c r="AK110" s="200"/>
      <c r="AL110" s="294">
        <f t="shared" si="12"/>
        <v>0</v>
      </c>
      <c r="AM110" s="198"/>
      <c r="AN110" s="200"/>
      <c r="AO110" s="200"/>
      <c r="AP110" s="195"/>
      <c r="AQ110" s="282"/>
      <c r="AS110" s="300" t="str">
        <f t="shared" si="13"/>
        <v/>
      </c>
      <c r="AT110" s="210">
        <f t="shared" si="14"/>
        <v>0</v>
      </c>
      <c r="AU110" s="210"/>
      <c r="AV110" s="292">
        <f t="shared" si="15"/>
        <v>0</v>
      </c>
      <c r="AW110" s="210">
        <f t="shared" si="16"/>
        <v>0</v>
      </c>
      <c r="AX110" s="210">
        <f t="shared" si="17"/>
        <v>0</v>
      </c>
      <c r="AY110" s="210">
        <f t="shared" si="18"/>
        <v>0</v>
      </c>
    </row>
    <row r="111" spans="34:51" x14ac:dyDescent="0.25">
      <c r="AH111" s="197"/>
      <c r="AI111" s="200"/>
      <c r="AJ111" s="302"/>
      <c r="AK111" s="200"/>
      <c r="AL111" s="294">
        <f t="shared" si="12"/>
        <v>0</v>
      </c>
      <c r="AM111" s="198"/>
      <c r="AN111" s="200"/>
      <c r="AO111" s="200"/>
      <c r="AP111" s="195"/>
      <c r="AQ111" s="282"/>
      <c r="AS111" s="300" t="str">
        <f t="shared" si="13"/>
        <v/>
      </c>
      <c r="AT111" s="210">
        <f t="shared" si="14"/>
        <v>0</v>
      </c>
      <c r="AU111" s="210"/>
      <c r="AV111" s="292">
        <f t="shared" si="15"/>
        <v>0</v>
      </c>
      <c r="AW111" s="210">
        <f t="shared" si="16"/>
        <v>0</v>
      </c>
      <c r="AX111" s="210">
        <f t="shared" si="17"/>
        <v>0</v>
      </c>
      <c r="AY111" s="210">
        <f t="shared" si="18"/>
        <v>0</v>
      </c>
    </row>
    <row r="112" spans="34:51" x14ac:dyDescent="0.25">
      <c r="AH112" s="197"/>
      <c r="AI112" s="200"/>
      <c r="AJ112" s="302"/>
      <c r="AK112" s="200"/>
      <c r="AL112" s="294">
        <f t="shared" si="12"/>
        <v>0</v>
      </c>
      <c r="AM112" s="198"/>
      <c r="AN112" s="200"/>
      <c r="AO112" s="200"/>
      <c r="AP112" s="195"/>
      <c r="AQ112" s="282"/>
      <c r="AS112" s="300" t="str">
        <f t="shared" si="13"/>
        <v/>
      </c>
      <c r="AT112" s="210">
        <f t="shared" si="14"/>
        <v>0</v>
      </c>
      <c r="AU112" s="210"/>
      <c r="AV112" s="292">
        <f t="shared" si="15"/>
        <v>0</v>
      </c>
      <c r="AW112" s="210">
        <f t="shared" si="16"/>
        <v>0</v>
      </c>
      <c r="AX112" s="210">
        <f t="shared" si="17"/>
        <v>0</v>
      </c>
      <c r="AY112" s="210">
        <f t="shared" si="18"/>
        <v>0</v>
      </c>
    </row>
    <row r="113" spans="34:51" x14ac:dyDescent="0.25">
      <c r="AH113" s="197"/>
      <c r="AI113" s="200"/>
      <c r="AJ113" s="302"/>
      <c r="AK113" s="200"/>
      <c r="AL113" s="294">
        <f t="shared" si="12"/>
        <v>0</v>
      </c>
      <c r="AM113" s="198"/>
      <c r="AN113" s="200"/>
      <c r="AO113" s="200"/>
      <c r="AP113" s="195"/>
      <c r="AQ113" s="282"/>
      <c r="AS113" s="300" t="str">
        <f t="shared" si="13"/>
        <v/>
      </c>
      <c r="AT113" s="210">
        <f t="shared" si="14"/>
        <v>0</v>
      </c>
      <c r="AU113" s="210"/>
      <c r="AV113" s="292">
        <f t="shared" si="15"/>
        <v>0</v>
      </c>
      <c r="AW113" s="210">
        <f t="shared" si="16"/>
        <v>0</v>
      </c>
      <c r="AX113" s="210">
        <f t="shared" si="17"/>
        <v>0</v>
      </c>
      <c r="AY113" s="210">
        <f t="shared" si="18"/>
        <v>0</v>
      </c>
    </row>
    <row r="114" spans="34:51" x14ac:dyDescent="0.25">
      <c r="AH114" s="197"/>
      <c r="AI114" s="200"/>
      <c r="AJ114" s="302"/>
      <c r="AK114" s="200"/>
      <c r="AL114" s="294">
        <f t="shared" si="12"/>
        <v>0</v>
      </c>
      <c r="AM114" s="198"/>
      <c r="AN114" s="200"/>
      <c r="AO114" s="200"/>
      <c r="AP114" s="195"/>
      <c r="AQ114" s="282"/>
      <c r="AS114" s="300" t="str">
        <f t="shared" si="13"/>
        <v/>
      </c>
      <c r="AT114" s="210">
        <f t="shared" si="14"/>
        <v>0</v>
      </c>
      <c r="AU114" s="210"/>
      <c r="AV114" s="292">
        <f t="shared" si="15"/>
        <v>0</v>
      </c>
      <c r="AW114" s="210">
        <f t="shared" si="16"/>
        <v>0</v>
      </c>
      <c r="AX114" s="210">
        <f t="shared" si="17"/>
        <v>0</v>
      </c>
      <c r="AY114" s="210">
        <f t="shared" si="18"/>
        <v>0</v>
      </c>
    </row>
    <row r="115" spans="34:51" x14ac:dyDescent="0.25">
      <c r="AH115" s="197"/>
      <c r="AI115" s="200"/>
      <c r="AJ115" s="302"/>
      <c r="AK115" s="200"/>
      <c r="AL115" s="294">
        <f t="shared" si="12"/>
        <v>0</v>
      </c>
      <c r="AM115" s="198"/>
      <c r="AN115" s="200"/>
      <c r="AO115" s="200"/>
      <c r="AP115" s="195"/>
      <c r="AQ115" s="282"/>
      <c r="AS115" s="300" t="str">
        <f t="shared" si="13"/>
        <v/>
      </c>
      <c r="AT115" s="210">
        <f t="shared" si="14"/>
        <v>0</v>
      </c>
      <c r="AU115" s="210"/>
      <c r="AV115" s="292">
        <f t="shared" si="15"/>
        <v>0</v>
      </c>
      <c r="AW115" s="210">
        <f t="shared" si="16"/>
        <v>0</v>
      </c>
      <c r="AX115" s="210">
        <f t="shared" si="17"/>
        <v>0</v>
      </c>
      <c r="AY115" s="210">
        <f t="shared" si="18"/>
        <v>0</v>
      </c>
    </row>
    <row r="116" spans="34:51" x14ac:dyDescent="0.25">
      <c r="AH116" s="197"/>
      <c r="AI116" s="200"/>
      <c r="AJ116" s="302"/>
      <c r="AK116" s="200"/>
      <c r="AL116" s="294">
        <f t="shared" si="12"/>
        <v>0</v>
      </c>
      <c r="AM116" s="198"/>
      <c r="AN116" s="200"/>
      <c r="AO116" s="200"/>
      <c r="AP116" s="195"/>
      <c r="AQ116" s="282"/>
      <c r="AS116" s="300" t="str">
        <f t="shared" si="13"/>
        <v/>
      </c>
      <c r="AT116" s="210">
        <f t="shared" si="14"/>
        <v>0</v>
      </c>
      <c r="AU116" s="210"/>
      <c r="AV116" s="292">
        <f t="shared" si="15"/>
        <v>0</v>
      </c>
      <c r="AW116" s="210">
        <f t="shared" si="16"/>
        <v>0</v>
      </c>
      <c r="AX116" s="210">
        <f t="shared" si="17"/>
        <v>0</v>
      </c>
      <c r="AY116" s="210">
        <f t="shared" si="18"/>
        <v>0</v>
      </c>
    </row>
    <row r="117" spans="34:51" x14ac:dyDescent="0.25">
      <c r="AH117" s="197"/>
      <c r="AI117" s="200"/>
      <c r="AJ117" s="302"/>
      <c r="AK117" s="200"/>
      <c r="AL117" s="294">
        <f t="shared" si="12"/>
        <v>0</v>
      </c>
      <c r="AM117" s="198"/>
      <c r="AN117" s="200"/>
      <c r="AO117" s="200"/>
      <c r="AP117" s="195"/>
      <c r="AQ117" s="282"/>
      <c r="AS117" s="300" t="str">
        <f t="shared" si="13"/>
        <v/>
      </c>
      <c r="AT117" s="210">
        <f t="shared" si="14"/>
        <v>0</v>
      </c>
      <c r="AU117" s="210"/>
      <c r="AV117" s="292">
        <f t="shared" si="15"/>
        <v>0</v>
      </c>
      <c r="AW117" s="210">
        <f t="shared" si="16"/>
        <v>0</v>
      </c>
      <c r="AX117" s="210">
        <f t="shared" si="17"/>
        <v>0</v>
      </c>
      <c r="AY117" s="210">
        <f t="shared" si="18"/>
        <v>0</v>
      </c>
    </row>
    <row r="118" spans="34:51" x14ac:dyDescent="0.25">
      <c r="AH118" s="197"/>
      <c r="AI118" s="200"/>
      <c r="AJ118" s="302"/>
      <c r="AK118" s="200"/>
      <c r="AL118" s="294">
        <f t="shared" si="12"/>
        <v>0</v>
      </c>
      <c r="AM118" s="198"/>
      <c r="AN118" s="200"/>
      <c r="AO118" s="200"/>
      <c r="AP118" s="195"/>
      <c r="AQ118" s="282"/>
      <c r="AS118" s="300" t="str">
        <f t="shared" si="13"/>
        <v/>
      </c>
      <c r="AT118" s="210">
        <f t="shared" si="14"/>
        <v>0</v>
      </c>
      <c r="AU118" s="210"/>
      <c r="AV118" s="292">
        <f t="shared" si="15"/>
        <v>0</v>
      </c>
      <c r="AW118" s="210">
        <f t="shared" si="16"/>
        <v>0</v>
      </c>
      <c r="AX118" s="210">
        <f t="shared" si="17"/>
        <v>0</v>
      </c>
      <c r="AY118" s="210">
        <f t="shared" si="18"/>
        <v>0</v>
      </c>
    </row>
    <row r="119" spans="34:51" x14ac:dyDescent="0.25">
      <c r="AH119" s="197"/>
      <c r="AI119" s="200"/>
      <c r="AJ119" s="302"/>
      <c r="AK119" s="200"/>
      <c r="AL119" s="294">
        <f t="shared" si="12"/>
        <v>0</v>
      </c>
      <c r="AM119" s="198"/>
      <c r="AN119" s="200"/>
      <c r="AO119" s="200"/>
      <c r="AP119" s="195"/>
      <c r="AQ119" s="282"/>
      <c r="AS119" s="300" t="str">
        <f t="shared" si="13"/>
        <v/>
      </c>
      <c r="AT119" s="210">
        <f t="shared" si="14"/>
        <v>0</v>
      </c>
      <c r="AU119" s="210"/>
      <c r="AV119" s="292">
        <f t="shared" si="15"/>
        <v>0</v>
      </c>
      <c r="AW119" s="210">
        <f t="shared" si="16"/>
        <v>0</v>
      </c>
      <c r="AX119" s="210">
        <f t="shared" si="17"/>
        <v>0</v>
      </c>
      <c r="AY119" s="210">
        <f t="shared" si="18"/>
        <v>0</v>
      </c>
    </row>
    <row r="120" spans="34:51" x14ac:dyDescent="0.25">
      <c r="AH120" s="197"/>
      <c r="AI120" s="200"/>
      <c r="AJ120" s="302"/>
      <c r="AK120" s="200"/>
      <c r="AL120" s="294">
        <f t="shared" si="12"/>
        <v>0</v>
      </c>
      <c r="AM120" s="198"/>
      <c r="AN120" s="200"/>
      <c r="AO120" s="200"/>
      <c r="AP120" s="195"/>
      <c r="AQ120" s="282"/>
      <c r="AS120" s="300" t="str">
        <f t="shared" si="13"/>
        <v/>
      </c>
      <c r="AT120" s="210">
        <f t="shared" si="14"/>
        <v>0</v>
      </c>
      <c r="AU120" s="210"/>
      <c r="AV120" s="292">
        <f t="shared" si="15"/>
        <v>0</v>
      </c>
      <c r="AW120" s="210">
        <f t="shared" si="16"/>
        <v>0</v>
      </c>
      <c r="AX120" s="210">
        <f t="shared" si="17"/>
        <v>0</v>
      </c>
      <c r="AY120" s="210">
        <f t="shared" si="18"/>
        <v>0</v>
      </c>
    </row>
    <row r="121" spans="34:51" x14ac:dyDescent="0.25">
      <c r="AH121" s="197"/>
      <c r="AI121" s="200"/>
      <c r="AJ121" s="302"/>
      <c r="AK121" s="200"/>
      <c r="AL121" s="294">
        <f t="shared" si="12"/>
        <v>0</v>
      </c>
      <c r="AM121" s="198"/>
      <c r="AN121" s="200"/>
      <c r="AO121" s="200"/>
      <c r="AP121" s="195"/>
      <c r="AQ121" s="282"/>
      <c r="AS121" s="300" t="str">
        <f t="shared" si="13"/>
        <v/>
      </c>
      <c r="AT121" s="210">
        <f t="shared" si="14"/>
        <v>0</v>
      </c>
      <c r="AU121" s="210"/>
      <c r="AV121" s="292">
        <f t="shared" si="15"/>
        <v>0</v>
      </c>
      <c r="AW121" s="210">
        <f t="shared" si="16"/>
        <v>0</v>
      </c>
      <c r="AX121" s="210">
        <f t="shared" si="17"/>
        <v>0</v>
      </c>
      <c r="AY121" s="210">
        <f t="shared" si="18"/>
        <v>0</v>
      </c>
    </row>
    <row r="122" spans="34:51" x14ac:dyDescent="0.25">
      <c r="AH122" s="197"/>
      <c r="AI122" s="200"/>
      <c r="AJ122" s="302"/>
      <c r="AK122" s="200"/>
      <c r="AL122" s="294">
        <f t="shared" si="12"/>
        <v>0</v>
      </c>
      <c r="AM122" s="198"/>
      <c r="AN122" s="200"/>
      <c r="AO122" s="200"/>
      <c r="AP122" s="195"/>
      <c r="AQ122" s="282"/>
      <c r="AS122" s="300" t="str">
        <f t="shared" si="13"/>
        <v/>
      </c>
      <c r="AT122" s="210">
        <f t="shared" si="14"/>
        <v>0</v>
      </c>
      <c r="AU122" s="210"/>
      <c r="AV122" s="292">
        <f t="shared" si="15"/>
        <v>0</v>
      </c>
      <c r="AW122" s="210">
        <f t="shared" si="16"/>
        <v>0</v>
      </c>
      <c r="AX122" s="210">
        <f t="shared" si="17"/>
        <v>0</v>
      </c>
      <c r="AY122" s="210">
        <f t="shared" si="18"/>
        <v>0</v>
      </c>
    </row>
    <row r="123" spans="34:51" x14ac:dyDescent="0.25">
      <c r="AH123" s="197"/>
      <c r="AI123" s="200"/>
      <c r="AJ123" s="302"/>
      <c r="AK123" s="200"/>
      <c r="AL123" s="294">
        <f t="shared" si="12"/>
        <v>0</v>
      </c>
      <c r="AM123" s="198"/>
      <c r="AN123" s="200"/>
      <c r="AO123" s="200"/>
      <c r="AP123" s="195"/>
      <c r="AQ123" s="282"/>
      <c r="AS123" s="300" t="str">
        <f t="shared" si="13"/>
        <v/>
      </c>
      <c r="AT123" s="210">
        <f t="shared" si="14"/>
        <v>0</v>
      </c>
      <c r="AU123" s="210"/>
      <c r="AV123" s="292">
        <f t="shared" si="15"/>
        <v>0</v>
      </c>
      <c r="AW123" s="210">
        <f t="shared" si="16"/>
        <v>0</v>
      </c>
      <c r="AX123" s="210">
        <f t="shared" si="17"/>
        <v>0</v>
      </c>
      <c r="AY123" s="210">
        <f t="shared" si="18"/>
        <v>0</v>
      </c>
    </row>
    <row r="124" spans="34:51" x14ac:dyDescent="0.25">
      <c r="AH124" s="197"/>
      <c r="AI124" s="200"/>
      <c r="AJ124" s="302"/>
      <c r="AK124" s="200"/>
      <c r="AL124" s="294">
        <f t="shared" si="12"/>
        <v>0</v>
      </c>
      <c r="AM124" s="198"/>
      <c r="AN124" s="200"/>
      <c r="AO124" s="200"/>
      <c r="AP124" s="195"/>
      <c r="AQ124" s="282"/>
      <c r="AS124" s="300" t="str">
        <f t="shared" si="13"/>
        <v/>
      </c>
      <c r="AT124" s="210">
        <f t="shared" si="14"/>
        <v>0</v>
      </c>
      <c r="AU124" s="210"/>
      <c r="AV124" s="292">
        <f t="shared" si="15"/>
        <v>0</v>
      </c>
      <c r="AW124" s="210">
        <f t="shared" si="16"/>
        <v>0</v>
      </c>
      <c r="AX124" s="210">
        <f t="shared" si="17"/>
        <v>0</v>
      </c>
      <c r="AY124" s="210">
        <f t="shared" si="18"/>
        <v>0</v>
      </c>
    </row>
    <row r="125" spans="34:51" x14ac:dyDescent="0.25">
      <c r="AH125" s="197"/>
      <c r="AI125" s="200"/>
      <c r="AJ125" s="302"/>
      <c r="AK125" s="200"/>
      <c r="AL125" s="294">
        <f t="shared" si="12"/>
        <v>0</v>
      </c>
      <c r="AM125" s="198"/>
      <c r="AN125" s="200"/>
      <c r="AO125" s="200"/>
      <c r="AP125" s="195"/>
      <c r="AQ125" s="282"/>
      <c r="AS125" s="300" t="str">
        <f t="shared" si="13"/>
        <v/>
      </c>
      <c r="AT125" s="210">
        <f t="shared" si="14"/>
        <v>0</v>
      </c>
      <c r="AU125" s="210"/>
      <c r="AV125" s="292">
        <f t="shared" si="15"/>
        <v>0</v>
      </c>
      <c r="AW125" s="210">
        <f t="shared" si="16"/>
        <v>0</v>
      </c>
      <c r="AX125" s="210">
        <f t="shared" si="17"/>
        <v>0</v>
      </c>
      <c r="AY125" s="210">
        <f t="shared" si="18"/>
        <v>0</v>
      </c>
    </row>
    <row r="126" spans="34:51" x14ac:dyDescent="0.25">
      <c r="AH126" s="197"/>
      <c r="AI126" s="200"/>
      <c r="AJ126" s="302"/>
      <c r="AK126" s="200"/>
      <c r="AL126" s="294">
        <f t="shared" si="12"/>
        <v>0</v>
      </c>
      <c r="AM126" s="198"/>
      <c r="AN126" s="200"/>
      <c r="AO126" s="200"/>
      <c r="AP126" s="195"/>
      <c r="AQ126" s="282"/>
      <c r="AS126" s="300" t="str">
        <f t="shared" si="13"/>
        <v/>
      </c>
      <c r="AT126" s="210">
        <f t="shared" si="14"/>
        <v>0</v>
      </c>
      <c r="AU126" s="210"/>
      <c r="AV126" s="292">
        <f t="shared" si="15"/>
        <v>0</v>
      </c>
      <c r="AW126" s="210">
        <f t="shared" si="16"/>
        <v>0</v>
      </c>
      <c r="AX126" s="210">
        <f t="shared" si="17"/>
        <v>0</v>
      </c>
      <c r="AY126" s="210">
        <f t="shared" si="18"/>
        <v>0</v>
      </c>
    </row>
    <row r="127" spans="34:51" x14ac:dyDescent="0.25">
      <c r="AH127" s="197"/>
      <c r="AI127" s="200"/>
      <c r="AJ127" s="302"/>
      <c r="AK127" s="200"/>
      <c r="AL127" s="294">
        <f t="shared" si="12"/>
        <v>0</v>
      </c>
      <c r="AM127" s="198"/>
      <c r="AN127" s="200"/>
      <c r="AO127" s="200"/>
      <c r="AP127" s="195"/>
      <c r="AQ127" s="282"/>
      <c r="AS127" s="300" t="str">
        <f t="shared" si="13"/>
        <v/>
      </c>
      <c r="AT127" s="210">
        <f t="shared" si="14"/>
        <v>0</v>
      </c>
      <c r="AU127" s="210"/>
      <c r="AV127" s="292">
        <f t="shared" si="15"/>
        <v>0</v>
      </c>
      <c r="AW127" s="210">
        <f t="shared" si="16"/>
        <v>0</v>
      </c>
      <c r="AX127" s="210">
        <f t="shared" si="17"/>
        <v>0</v>
      </c>
      <c r="AY127" s="210">
        <f t="shared" si="18"/>
        <v>0</v>
      </c>
    </row>
    <row r="128" spans="34:51" x14ac:dyDescent="0.25">
      <c r="AH128" s="197"/>
      <c r="AI128" s="200"/>
      <c r="AJ128" s="302"/>
      <c r="AK128" s="200"/>
      <c r="AL128" s="294">
        <f t="shared" si="12"/>
        <v>0</v>
      </c>
      <c r="AM128" s="198"/>
      <c r="AN128" s="200"/>
      <c r="AO128" s="200"/>
      <c r="AP128" s="195"/>
      <c r="AQ128" s="282"/>
      <c r="AS128" s="300" t="str">
        <f t="shared" si="13"/>
        <v/>
      </c>
      <c r="AT128" s="210">
        <f t="shared" si="14"/>
        <v>0</v>
      </c>
      <c r="AU128" s="210"/>
      <c r="AV128" s="292">
        <f t="shared" si="15"/>
        <v>0</v>
      </c>
      <c r="AW128" s="210">
        <f t="shared" si="16"/>
        <v>0</v>
      </c>
      <c r="AX128" s="210">
        <f t="shared" si="17"/>
        <v>0</v>
      </c>
      <c r="AY128" s="210">
        <f t="shared" si="18"/>
        <v>0</v>
      </c>
    </row>
    <row r="129" spans="34:51" x14ac:dyDescent="0.25">
      <c r="AH129" s="197"/>
      <c r="AI129" s="200"/>
      <c r="AJ129" s="302"/>
      <c r="AK129" s="200"/>
      <c r="AL129" s="294">
        <f t="shared" si="12"/>
        <v>0</v>
      </c>
      <c r="AM129" s="198"/>
      <c r="AN129" s="200"/>
      <c r="AO129" s="200"/>
      <c r="AP129" s="195"/>
      <c r="AQ129" s="282"/>
      <c r="AS129" s="300" t="str">
        <f t="shared" si="13"/>
        <v/>
      </c>
      <c r="AT129" s="210">
        <f t="shared" si="14"/>
        <v>0</v>
      </c>
      <c r="AU129" s="210"/>
      <c r="AV129" s="292">
        <f t="shared" si="15"/>
        <v>0</v>
      </c>
      <c r="AW129" s="210">
        <f t="shared" si="16"/>
        <v>0</v>
      </c>
      <c r="AX129" s="210">
        <f t="shared" si="17"/>
        <v>0</v>
      </c>
      <c r="AY129" s="210">
        <f t="shared" si="18"/>
        <v>0</v>
      </c>
    </row>
    <row r="130" spans="34:51" x14ac:dyDescent="0.25">
      <c r="AH130" s="197"/>
      <c r="AI130" s="200"/>
      <c r="AJ130" s="302"/>
      <c r="AK130" s="200"/>
      <c r="AL130" s="294">
        <f t="shared" si="12"/>
        <v>0</v>
      </c>
      <c r="AM130" s="198"/>
      <c r="AN130" s="200"/>
      <c r="AO130" s="200"/>
      <c r="AP130" s="195"/>
      <c r="AQ130" s="282"/>
      <c r="AS130" s="300" t="str">
        <f t="shared" si="13"/>
        <v/>
      </c>
      <c r="AT130" s="210">
        <f t="shared" si="14"/>
        <v>0</v>
      </c>
      <c r="AU130" s="210"/>
      <c r="AV130" s="292">
        <f t="shared" si="15"/>
        <v>0</v>
      </c>
      <c r="AW130" s="210">
        <f t="shared" si="16"/>
        <v>0</v>
      </c>
      <c r="AX130" s="210">
        <f t="shared" si="17"/>
        <v>0</v>
      </c>
      <c r="AY130" s="210">
        <f t="shared" si="18"/>
        <v>0</v>
      </c>
    </row>
    <row r="131" spans="34:51" x14ac:dyDescent="0.25">
      <c r="AH131" s="197"/>
      <c r="AI131" s="200"/>
      <c r="AJ131" s="302"/>
      <c r="AK131" s="200"/>
      <c r="AL131" s="294">
        <f t="shared" si="12"/>
        <v>0</v>
      </c>
      <c r="AM131" s="198"/>
      <c r="AN131" s="200"/>
      <c r="AO131" s="200"/>
      <c r="AP131" s="195"/>
      <c r="AQ131" s="282"/>
      <c r="AS131" s="300" t="str">
        <f t="shared" si="13"/>
        <v/>
      </c>
      <c r="AT131" s="210">
        <f t="shared" si="14"/>
        <v>0</v>
      </c>
      <c r="AU131" s="210"/>
      <c r="AV131" s="292">
        <f t="shared" si="15"/>
        <v>0</v>
      </c>
      <c r="AW131" s="210">
        <f t="shared" si="16"/>
        <v>0</v>
      </c>
      <c r="AX131" s="210">
        <f t="shared" si="17"/>
        <v>0</v>
      </c>
      <c r="AY131" s="210">
        <f t="shared" si="18"/>
        <v>0</v>
      </c>
    </row>
    <row r="132" spans="34:51" x14ac:dyDescent="0.25">
      <c r="AH132" s="197"/>
      <c r="AI132" s="200"/>
      <c r="AJ132" s="302"/>
      <c r="AK132" s="200"/>
      <c r="AL132" s="294">
        <f t="shared" si="12"/>
        <v>0</v>
      </c>
      <c r="AM132" s="198"/>
      <c r="AN132" s="200"/>
      <c r="AO132" s="200"/>
      <c r="AP132" s="195"/>
      <c r="AQ132" s="282"/>
      <c r="AS132" s="300" t="str">
        <f t="shared" si="13"/>
        <v/>
      </c>
      <c r="AT132" s="210">
        <f t="shared" si="14"/>
        <v>0</v>
      </c>
      <c r="AU132" s="210"/>
      <c r="AV132" s="292">
        <f t="shared" si="15"/>
        <v>0</v>
      </c>
      <c r="AW132" s="210">
        <f t="shared" si="16"/>
        <v>0</v>
      </c>
      <c r="AX132" s="210">
        <f t="shared" si="17"/>
        <v>0</v>
      </c>
      <c r="AY132" s="210">
        <f t="shared" si="18"/>
        <v>0</v>
      </c>
    </row>
    <row r="133" spans="34:51" x14ac:dyDescent="0.25">
      <c r="AH133" s="197"/>
      <c r="AI133" s="200"/>
      <c r="AJ133" s="302"/>
      <c r="AK133" s="200"/>
      <c r="AL133" s="294">
        <f t="shared" si="12"/>
        <v>0</v>
      </c>
      <c r="AM133" s="198"/>
      <c r="AN133" s="200"/>
      <c r="AO133" s="200"/>
      <c r="AP133" s="195"/>
      <c r="AQ133" s="282"/>
      <c r="AS133" s="300" t="str">
        <f t="shared" si="13"/>
        <v/>
      </c>
      <c r="AT133" s="210">
        <f t="shared" si="14"/>
        <v>0</v>
      </c>
      <c r="AU133" s="210"/>
      <c r="AV133" s="292">
        <f t="shared" si="15"/>
        <v>0</v>
      </c>
      <c r="AW133" s="210">
        <f t="shared" si="16"/>
        <v>0</v>
      </c>
      <c r="AX133" s="210">
        <f t="shared" si="17"/>
        <v>0</v>
      </c>
      <c r="AY133" s="210">
        <f t="shared" si="18"/>
        <v>0</v>
      </c>
    </row>
    <row r="134" spans="34:51" x14ac:dyDescent="0.25">
      <c r="AH134" s="197"/>
      <c r="AI134" s="200"/>
      <c r="AJ134" s="302"/>
      <c r="AK134" s="200"/>
      <c r="AL134" s="294">
        <f t="shared" si="12"/>
        <v>0</v>
      </c>
      <c r="AM134" s="198"/>
      <c r="AN134" s="200"/>
      <c r="AO134" s="200"/>
      <c r="AP134" s="195"/>
      <c r="AQ134" s="282"/>
      <c r="AS134" s="300" t="str">
        <f t="shared" si="13"/>
        <v/>
      </c>
      <c r="AT134" s="210">
        <f t="shared" si="14"/>
        <v>0</v>
      </c>
      <c r="AU134" s="210"/>
      <c r="AV134" s="292">
        <f t="shared" si="15"/>
        <v>0</v>
      </c>
      <c r="AW134" s="210">
        <f t="shared" si="16"/>
        <v>0</v>
      </c>
      <c r="AX134" s="210">
        <f t="shared" si="17"/>
        <v>0</v>
      </c>
      <c r="AY134" s="210">
        <f t="shared" si="18"/>
        <v>0</v>
      </c>
    </row>
    <row r="135" spans="34:51" x14ac:dyDescent="0.25">
      <c r="AH135" s="197"/>
      <c r="AI135" s="200"/>
      <c r="AJ135" s="302"/>
      <c r="AK135" s="200"/>
      <c r="AL135" s="294">
        <f t="shared" si="12"/>
        <v>0</v>
      </c>
      <c r="AM135" s="198"/>
      <c r="AN135" s="200"/>
      <c r="AO135" s="200"/>
      <c r="AP135" s="195"/>
      <c r="AQ135" s="282"/>
      <c r="AS135" s="300" t="str">
        <f t="shared" si="13"/>
        <v/>
      </c>
      <c r="AT135" s="210">
        <f t="shared" si="14"/>
        <v>0</v>
      </c>
      <c r="AU135" s="210"/>
      <c r="AV135" s="292">
        <f t="shared" si="15"/>
        <v>0</v>
      </c>
      <c r="AW135" s="210">
        <f t="shared" si="16"/>
        <v>0</v>
      </c>
      <c r="AX135" s="210">
        <f t="shared" si="17"/>
        <v>0</v>
      </c>
      <c r="AY135" s="210">
        <f t="shared" si="18"/>
        <v>0</v>
      </c>
    </row>
    <row r="136" spans="34:51" x14ac:dyDescent="0.25">
      <c r="AH136" s="197"/>
      <c r="AI136" s="200"/>
      <c r="AJ136" s="302"/>
      <c r="AK136" s="200"/>
      <c r="AL136" s="294">
        <f t="shared" si="12"/>
        <v>0</v>
      </c>
      <c r="AM136" s="198"/>
      <c r="AN136" s="200"/>
      <c r="AO136" s="200"/>
      <c r="AP136" s="195"/>
      <c r="AQ136" s="282"/>
      <c r="AS136" s="300" t="str">
        <f t="shared" si="13"/>
        <v/>
      </c>
      <c r="AT136" s="210">
        <f t="shared" si="14"/>
        <v>0</v>
      </c>
      <c r="AU136" s="210"/>
      <c r="AV136" s="292">
        <f t="shared" si="15"/>
        <v>0</v>
      </c>
      <c r="AW136" s="210">
        <f t="shared" si="16"/>
        <v>0</v>
      </c>
      <c r="AX136" s="210">
        <f t="shared" si="17"/>
        <v>0</v>
      </c>
      <c r="AY136" s="210">
        <f t="shared" si="18"/>
        <v>0</v>
      </c>
    </row>
    <row r="137" spans="34:51" x14ac:dyDescent="0.25">
      <c r="AH137" s="197"/>
      <c r="AI137" s="200"/>
      <c r="AJ137" s="302"/>
      <c r="AK137" s="200"/>
      <c r="AL137" s="294">
        <f t="shared" si="12"/>
        <v>0</v>
      </c>
      <c r="AM137" s="198"/>
      <c r="AN137" s="200"/>
      <c r="AO137" s="200"/>
      <c r="AP137" s="195"/>
      <c r="AQ137" s="282"/>
      <c r="AS137" s="300" t="str">
        <f t="shared" si="13"/>
        <v/>
      </c>
      <c r="AT137" s="210">
        <f t="shared" si="14"/>
        <v>0</v>
      </c>
      <c r="AU137" s="210"/>
      <c r="AV137" s="292">
        <f t="shared" si="15"/>
        <v>0</v>
      </c>
      <c r="AW137" s="210">
        <f t="shared" si="16"/>
        <v>0</v>
      </c>
      <c r="AX137" s="210">
        <f t="shared" si="17"/>
        <v>0</v>
      </c>
      <c r="AY137" s="210">
        <f t="shared" si="18"/>
        <v>0</v>
      </c>
    </row>
    <row r="138" spans="34:51" x14ac:dyDescent="0.25">
      <c r="AH138" s="197"/>
      <c r="AI138" s="200"/>
      <c r="AJ138" s="302"/>
      <c r="AK138" s="200"/>
      <c r="AL138" s="294">
        <f t="shared" si="12"/>
        <v>0</v>
      </c>
      <c r="AM138" s="198"/>
      <c r="AN138" s="200"/>
      <c r="AO138" s="200"/>
      <c r="AP138" s="195"/>
      <c r="AQ138" s="282"/>
      <c r="AS138" s="300" t="str">
        <f t="shared" si="13"/>
        <v/>
      </c>
      <c r="AT138" s="210">
        <f t="shared" si="14"/>
        <v>0</v>
      </c>
      <c r="AU138" s="210"/>
      <c r="AV138" s="292">
        <f t="shared" si="15"/>
        <v>0</v>
      </c>
      <c r="AW138" s="210">
        <f t="shared" si="16"/>
        <v>0</v>
      </c>
      <c r="AX138" s="210">
        <f t="shared" si="17"/>
        <v>0</v>
      </c>
      <c r="AY138" s="210">
        <f t="shared" si="18"/>
        <v>0</v>
      </c>
    </row>
    <row r="139" spans="34:51" x14ac:dyDescent="0.25">
      <c r="AH139" s="197"/>
      <c r="AI139" s="200"/>
      <c r="AJ139" s="302"/>
      <c r="AK139" s="200"/>
      <c r="AL139" s="294">
        <f t="shared" ref="AL139:AL202" si="19">AK139*AI139</f>
        <v>0</v>
      </c>
      <c r="AM139" s="198"/>
      <c r="AN139" s="200"/>
      <c r="AO139" s="200"/>
      <c r="AP139" s="195"/>
      <c r="AQ139" s="282"/>
      <c r="AS139" s="300" t="str">
        <f t="shared" ref="AS139:AS202" si="20">IFERROR(IF(AM139="CEE",AL139/(1.062*AN139),AL139/AN139),"")</f>
        <v/>
      </c>
      <c r="AT139" s="210">
        <f t="shared" ref="AT139:AT202" si="21">IF(AQ139="Não atende",1,0)</f>
        <v>0</v>
      </c>
      <c r="AU139" s="210"/>
      <c r="AV139" s="292">
        <f t="shared" si="15"/>
        <v>0</v>
      </c>
      <c r="AW139" s="210">
        <f t="shared" si="16"/>
        <v>0</v>
      </c>
      <c r="AX139" s="210">
        <f t="shared" si="17"/>
        <v>0</v>
      </c>
      <c r="AY139" s="210">
        <f t="shared" si="18"/>
        <v>0</v>
      </c>
    </row>
    <row r="140" spans="34:51" x14ac:dyDescent="0.25">
      <c r="AH140" s="197"/>
      <c r="AI140" s="200"/>
      <c r="AJ140" s="302"/>
      <c r="AK140" s="200"/>
      <c r="AL140" s="294">
        <f t="shared" si="19"/>
        <v>0</v>
      </c>
      <c r="AM140" s="198"/>
      <c r="AN140" s="200"/>
      <c r="AO140" s="200"/>
      <c r="AP140" s="195"/>
      <c r="AQ140" s="282"/>
      <c r="AS140" s="300" t="str">
        <f t="shared" si="20"/>
        <v/>
      </c>
      <c r="AT140" s="210">
        <f t="shared" si="21"/>
        <v>0</v>
      </c>
      <c r="AU140" s="210"/>
      <c r="AV140" s="292">
        <f t="shared" si="15"/>
        <v>0</v>
      </c>
      <c r="AW140" s="210">
        <f t="shared" si="16"/>
        <v>0</v>
      </c>
      <c r="AX140" s="210">
        <f t="shared" si="17"/>
        <v>0</v>
      </c>
      <c r="AY140" s="210">
        <f t="shared" si="18"/>
        <v>0</v>
      </c>
    </row>
    <row r="141" spans="34:51" x14ac:dyDescent="0.25">
      <c r="AH141" s="197"/>
      <c r="AI141" s="200"/>
      <c r="AJ141" s="302"/>
      <c r="AK141" s="200"/>
      <c r="AL141" s="294">
        <f t="shared" si="19"/>
        <v>0</v>
      </c>
      <c r="AM141" s="198"/>
      <c r="AN141" s="200"/>
      <c r="AO141" s="200"/>
      <c r="AP141" s="195"/>
      <c r="AQ141" s="282"/>
      <c r="AS141" s="300" t="str">
        <f t="shared" si="20"/>
        <v/>
      </c>
      <c r="AT141" s="210">
        <f t="shared" si="21"/>
        <v>0</v>
      </c>
      <c r="AU141" s="210"/>
      <c r="AV141" s="292">
        <f t="shared" ref="AV141:AV204" si="22">T141</f>
        <v>0</v>
      </c>
      <c r="AW141" s="210">
        <f t="shared" ref="AW141:AW204" si="23">IF(Z141&gt;W141,Z141,W141)</f>
        <v>0</v>
      </c>
      <c r="AX141" s="210">
        <f t="shared" ref="AX141:AX204" si="24">IF(AA141&gt;X141,AA141,X141)</f>
        <v>0</v>
      </c>
      <c r="AY141" s="210">
        <f t="shared" ref="AY141:AY204" si="25">IF(AB141&gt;Y141,AB141,Y141)</f>
        <v>0</v>
      </c>
    </row>
    <row r="142" spans="34:51" x14ac:dyDescent="0.25">
      <c r="AH142" s="197"/>
      <c r="AI142" s="200"/>
      <c r="AJ142" s="302"/>
      <c r="AK142" s="200"/>
      <c r="AL142" s="294">
        <f t="shared" si="19"/>
        <v>0</v>
      </c>
      <c r="AM142" s="198"/>
      <c r="AN142" s="200"/>
      <c r="AO142" s="200"/>
      <c r="AP142" s="195"/>
      <c r="AQ142" s="282"/>
      <c r="AS142" s="300" t="str">
        <f t="shared" si="20"/>
        <v/>
      </c>
      <c r="AT142" s="210">
        <f t="shared" si="21"/>
        <v>0</v>
      </c>
      <c r="AU142" s="210"/>
      <c r="AV142" s="292">
        <f t="shared" si="22"/>
        <v>0</v>
      </c>
      <c r="AW142" s="210">
        <f t="shared" si="23"/>
        <v>0</v>
      </c>
      <c r="AX142" s="210">
        <f t="shared" si="24"/>
        <v>0</v>
      </c>
      <c r="AY142" s="210">
        <f t="shared" si="25"/>
        <v>0</v>
      </c>
    </row>
    <row r="143" spans="34:51" x14ac:dyDescent="0.25">
      <c r="AH143" s="197"/>
      <c r="AI143" s="200"/>
      <c r="AJ143" s="302"/>
      <c r="AK143" s="200"/>
      <c r="AL143" s="294">
        <f t="shared" si="19"/>
        <v>0</v>
      </c>
      <c r="AM143" s="198"/>
      <c r="AN143" s="200"/>
      <c r="AO143" s="200"/>
      <c r="AP143" s="195"/>
      <c r="AQ143" s="282"/>
      <c r="AS143" s="300" t="str">
        <f t="shared" si="20"/>
        <v/>
      </c>
      <c r="AT143" s="210">
        <f t="shared" si="21"/>
        <v>0</v>
      </c>
      <c r="AU143" s="210"/>
      <c r="AV143" s="292">
        <f t="shared" si="22"/>
        <v>0</v>
      </c>
      <c r="AW143" s="210">
        <f t="shared" si="23"/>
        <v>0</v>
      </c>
      <c r="AX143" s="210">
        <f t="shared" si="24"/>
        <v>0</v>
      </c>
      <c r="AY143" s="210">
        <f t="shared" si="25"/>
        <v>0</v>
      </c>
    </row>
    <row r="144" spans="34:51" x14ac:dyDescent="0.25">
      <c r="AH144" s="197"/>
      <c r="AI144" s="200"/>
      <c r="AJ144" s="302"/>
      <c r="AK144" s="200"/>
      <c r="AL144" s="294">
        <f t="shared" si="19"/>
        <v>0</v>
      </c>
      <c r="AM144" s="198"/>
      <c r="AN144" s="200"/>
      <c r="AO144" s="200"/>
      <c r="AP144" s="195"/>
      <c r="AQ144" s="282"/>
      <c r="AS144" s="300" t="str">
        <f t="shared" si="20"/>
        <v/>
      </c>
      <c r="AT144" s="210">
        <f t="shared" si="21"/>
        <v>0</v>
      </c>
      <c r="AU144" s="210"/>
      <c r="AV144" s="292">
        <f t="shared" si="22"/>
        <v>0</v>
      </c>
      <c r="AW144" s="210">
        <f t="shared" si="23"/>
        <v>0</v>
      </c>
      <c r="AX144" s="210">
        <f t="shared" si="24"/>
        <v>0</v>
      </c>
      <c r="AY144" s="210">
        <f t="shared" si="25"/>
        <v>0</v>
      </c>
    </row>
    <row r="145" spans="34:51" x14ac:dyDescent="0.25">
      <c r="AH145" s="197"/>
      <c r="AI145" s="200"/>
      <c r="AJ145" s="302"/>
      <c r="AK145" s="200"/>
      <c r="AL145" s="294">
        <f t="shared" si="19"/>
        <v>0</v>
      </c>
      <c r="AM145" s="198"/>
      <c r="AN145" s="200"/>
      <c r="AO145" s="200"/>
      <c r="AP145" s="195"/>
      <c r="AQ145" s="282"/>
      <c r="AS145" s="300" t="str">
        <f t="shared" si="20"/>
        <v/>
      </c>
      <c r="AT145" s="210">
        <f t="shared" si="21"/>
        <v>0</v>
      </c>
      <c r="AU145" s="210"/>
      <c r="AV145" s="292">
        <f t="shared" si="22"/>
        <v>0</v>
      </c>
      <c r="AW145" s="210">
        <f t="shared" si="23"/>
        <v>0</v>
      </c>
      <c r="AX145" s="210">
        <f t="shared" si="24"/>
        <v>0</v>
      </c>
      <c r="AY145" s="210">
        <f t="shared" si="25"/>
        <v>0</v>
      </c>
    </row>
    <row r="146" spans="34:51" x14ac:dyDescent="0.25">
      <c r="AH146" s="197"/>
      <c r="AI146" s="200"/>
      <c r="AJ146" s="302"/>
      <c r="AK146" s="200"/>
      <c r="AL146" s="294">
        <f t="shared" si="19"/>
        <v>0</v>
      </c>
      <c r="AM146" s="198"/>
      <c r="AN146" s="200"/>
      <c r="AO146" s="200"/>
      <c r="AP146" s="195"/>
      <c r="AQ146" s="282"/>
      <c r="AS146" s="300" t="str">
        <f t="shared" si="20"/>
        <v/>
      </c>
      <c r="AT146" s="210">
        <f t="shared" si="21"/>
        <v>0</v>
      </c>
      <c r="AU146" s="210"/>
      <c r="AV146" s="292">
        <f t="shared" si="22"/>
        <v>0</v>
      </c>
      <c r="AW146" s="210">
        <f t="shared" si="23"/>
        <v>0</v>
      </c>
      <c r="AX146" s="210">
        <f t="shared" si="24"/>
        <v>0</v>
      </c>
      <c r="AY146" s="210">
        <f t="shared" si="25"/>
        <v>0</v>
      </c>
    </row>
    <row r="147" spans="34:51" x14ac:dyDescent="0.25">
      <c r="AH147" s="197"/>
      <c r="AI147" s="200"/>
      <c r="AJ147" s="302"/>
      <c r="AK147" s="200"/>
      <c r="AL147" s="294">
        <f t="shared" si="19"/>
        <v>0</v>
      </c>
      <c r="AM147" s="198"/>
      <c r="AN147" s="200"/>
      <c r="AO147" s="200"/>
      <c r="AP147" s="195"/>
      <c r="AQ147" s="282"/>
      <c r="AS147" s="300" t="str">
        <f t="shared" si="20"/>
        <v/>
      </c>
      <c r="AT147" s="210">
        <f t="shared" si="21"/>
        <v>0</v>
      </c>
      <c r="AU147" s="210"/>
      <c r="AV147" s="292">
        <f t="shared" si="22"/>
        <v>0</v>
      </c>
      <c r="AW147" s="210">
        <f t="shared" si="23"/>
        <v>0</v>
      </c>
      <c r="AX147" s="210">
        <f t="shared" si="24"/>
        <v>0</v>
      </c>
      <c r="AY147" s="210">
        <f t="shared" si="25"/>
        <v>0</v>
      </c>
    </row>
    <row r="148" spans="34:51" x14ac:dyDescent="0.25">
      <c r="AH148" s="197"/>
      <c r="AI148" s="200"/>
      <c r="AJ148" s="302"/>
      <c r="AK148" s="200"/>
      <c r="AL148" s="294">
        <f t="shared" si="19"/>
        <v>0</v>
      </c>
      <c r="AM148" s="198"/>
      <c r="AN148" s="200"/>
      <c r="AO148" s="200"/>
      <c r="AP148" s="195"/>
      <c r="AQ148" s="282"/>
      <c r="AS148" s="300" t="str">
        <f t="shared" si="20"/>
        <v/>
      </c>
      <c r="AT148" s="210">
        <f t="shared" si="21"/>
        <v>0</v>
      </c>
      <c r="AU148" s="210"/>
      <c r="AV148" s="292">
        <f t="shared" si="22"/>
        <v>0</v>
      </c>
      <c r="AW148" s="210">
        <f t="shared" si="23"/>
        <v>0</v>
      </c>
      <c r="AX148" s="210">
        <f t="shared" si="24"/>
        <v>0</v>
      </c>
      <c r="AY148" s="210">
        <f t="shared" si="25"/>
        <v>0</v>
      </c>
    </row>
    <row r="149" spans="34:51" x14ac:dyDescent="0.25">
      <c r="AH149" s="197"/>
      <c r="AI149" s="200"/>
      <c r="AJ149" s="302"/>
      <c r="AK149" s="200"/>
      <c r="AL149" s="294">
        <f t="shared" si="19"/>
        <v>0</v>
      </c>
      <c r="AM149" s="198"/>
      <c r="AN149" s="200"/>
      <c r="AO149" s="200"/>
      <c r="AP149" s="195"/>
      <c r="AQ149" s="282"/>
      <c r="AS149" s="300" t="str">
        <f t="shared" si="20"/>
        <v/>
      </c>
      <c r="AT149" s="210">
        <f t="shared" si="21"/>
        <v>0</v>
      </c>
      <c r="AU149" s="210"/>
      <c r="AV149" s="292">
        <f t="shared" si="22"/>
        <v>0</v>
      </c>
      <c r="AW149" s="210">
        <f t="shared" si="23"/>
        <v>0</v>
      </c>
      <c r="AX149" s="210">
        <f t="shared" si="24"/>
        <v>0</v>
      </c>
      <c r="AY149" s="210">
        <f t="shared" si="25"/>
        <v>0</v>
      </c>
    </row>
    <row r="150" spans="34:51" x14ac:dyDescent="0.25">
      <c r="AH150" s="197"/>
      <c r="AI150" s="200"/>
      <c r="AJ150" s="302"/>
      <c r="AK150" s="200"/>
      <c r="AL150" s="294">
        <f t="shared" si="19"/>
        <v>0</v>
      </c>
      <c r="AM150" s="198"/>
      <c r="AN150" s="200"/>
      <c r="AO150" s="200"/>
      <c r="AP150" s="195"/>
      <c r="AQ150" s="282"/>
      <c r="AS150" s="300" t="str">
        <f t="shared" si="20"/>
        <v/>
      </c>
      <c r="AT150" s="210">
        <f t="shared" si="21"/>
        <v>0</v>
      </c>
      <c r="AU150" s="210"/>
      <c r="AV150" s="292">
        <f t="shared" si="22"/>
        <v>0</v>
      </c>
      <c r="AW150" s="210">
        <f t="shared" si="23"/>
        <v>0</v>
      </c>
      <c r="AX150" s="210">
        <f t="shared" si="24"/>
        <v>0</v>
      </c>
      <c r="AY150" s="210">
        <f t="shared" si="25"/>
        <v>0</v>
      </c>
    </row>
    <row r="151" spans="34:51" x14ac:dyDescent="0.25">
      <c r="AH151" s="197"/>
      <c r="AI151" s="200"/>
      <c r="AJ151" s="302"/>
      <c r="AK151" s="200"/>
      <c r="AL151" s="294">
        <f t="shared" si="19"/>
        <v>0</v>
      </c>
      <c r="AM151" s="198"/>
      <c r="AN151" s="200"/>
      <c r="AO151" s="200"/>
      <c r="AP151" s="195"/>
      <c r="AQ151" s="282"/>
      <c r="AS151" s="300" t="str">
        <f t="shared" si="20"/>
        <v/>
      </c>
      <c r="AT151" s="210">
        <f t="shared" si="21"/>
        <v>0</v>
      </c>
      <c r="AU151" s="210"/>
      <c r="AV151" s="292">
        <f t="shared" si="22"/>
        <v>0</v>
      </c>
      <c r="AW151" s="210">
        <f t="shared" si="23"/>
        <v>0</v>
      </c>
      <c r="AX151" s="210">
        <f t="shared" si="24"/>
        <v>0</v>
      </c>
      <c r="AY151" s="210">
        <f t="shared" si="25"/>
        <v>0</v>
      </c>
    </row>
    <row r="152" spans="34:51" x14ac:dyDescent="0.25">
      <c r="AH152" s="197"/>
      <c r="AI152" s="200"/>
      <c r="AJ152" s="302"/>
      <c r="AK152" s="200"/>
      <c r="AL152" s="294">
        <f t="shared" si="19"/>
        <v>0</v>
      </c>
      <c r="AM152" s="198"/>
      <c r="AN152" s="200"/>
      <c r="AO152" s="200"/>
      <c r="AP152" s="195"/>
      <c r="AQ152" s="282"/>
      <c r="AS152" s="300" t="str">
        <f t="shared" si="20"/>
        <v/>
      </c>
      <c r="AT152" s="210">
        <f t="shared" si="21"/>
        <v>0</v>
      </c>
      <c r="AU152" s="210"/>
      <c r="AV152" s="292">
        <f t="shared" si="22"/>
        <v>0</v>
      </c>
      <c r="AW152" s="210">
        <f t="shared" si="23"/>
        <v>0</v>
      </c>
      <c r="AX152" s="210">
        <f t="shared" si="24"/>
        <v>0</v>
      </c>
      <c r="AY152" s="210">
        <f t="shared" si="25"/>
        <v>0</v>
      </c>
    </row>
    <row r="153" spans="34:51" x14ac:dyDescent="0.25">
      <c r="AH153" s="197"/>
      <c r="AI153" s="200"/>
      <c r="AJ153" s="302"/>
      <c r="AK153" s="200"/>
      <c r="AL153" s="294">
        <f t="shared" si="19"/>
        <v>0</v>
      </c>
      <c r="AM153" s="198"/>
      <c r="AN153" s="200"/>
      <c r="AO153" s="200"/>
      <c r="AP153" s="195"/>
      <c r="AQ153" s="282"/>
      <c r="AS153" s="300" t="str">
        <f t="shared" si="20"/>
        <v/>
      </c>
      <c r="AT153" s="210">
        <f t="shared" si="21"/>
        <v>0</v>
      </c>
      <c r="AU153" s="210"/>
      <c r="AV153" s="292">
        <f t="shared" si="22"/>
        <v>0</v>
      </c>
      <c r="AW153" s="210">
        <f t="shared" si="23"/>
        <v>0</v>
      </c>
      <c r="AX153" s="210">
        <f t="shared" si="24"/>
        <v>0</v>
      </c>
      <c r="AY153" s="210">
        <f t="shared" si="25"/>
        <v>0</v>
      </c>
    </row>
    <row r="154" spans="34:51" x14ac:dyDescent="0.25">
      <c r="AH154" s="197"/>
      <c r="AI154" s="200"/>
      <c r="AJ154" s="302"/>
      <c r="AK154" s="200"/>
      <c r="AL154" s="294">
        <f t="shared" si="19"/>
        <v>0</v>
      </c>
      <c r="AM154" s="198"/>
      <c r="AN154" s="200"/>
      <c r="AO154" s="200"/>
      <c r="AP154" s="195"/>
      <c r="AQ154" s="282"/>
      <c r="AS154" s="300" t="str">
        <f t="shared" si="20"/>
        <v/>
      </c>
      <c r="AT154" s="210">
        <f t="shared" si="21"/>
        <v>0</v>
      </c>
      <c r="AU154" s="210"/>
      <c r="AV154" s="292">
        <f t="shared" si="22"/>
        <v>0</v>
      </c>
      <c r="AW154" s="210">
        <f t="shared" si="23"/>
        <v>0</v>
      </c>
      <c r="AX154" s="210">
        <f t="shared" si="24"/>
        <v>0</v>
      </c>
      <c r="AY154" s="210">
        <f t="shared" si="25"/>
        <v>0</v>
      </c>
    </row>
    <row r="155" spans="34:51" x14ac:dyDescent="0.25">
      <c r="AH155" s="197"/>
      <c r="AI155" s="200"/>
      <c r="AJ155" s="302"/>
      <c r="AK155" s="200"/>
      <c r="AL155" s="294">
        <f t="shared" si="19"/>
        <v>0</v>
      </c>
      <c r="AM155" s="198"/>
      <c r="AN155" s="200"/>
      <c r="AO155" s="200"/>
      <c r="AP155" s="195"/>
      <c r="AQ155" s="282"/>
      <c r="AS155" s="300" t="str">
        <f t="shared" si="20"/>
        <v/>
      </c>
      <c r="AT155" s="210">
        <f t="shared" si="21"/>
        <v>0</v>
      </c>
      <c r="AU155" s="210"/>
      <c r="AV155" s="292">
        <f t="shared" si="22"/>
        <v>0</v>
      </c>
      <c r="AW155" s="210">
        <f t="shared" si="23"/>
        <v>0</v>
      </c>
      <c r="AX155" s="210">
        <f t="shared" si="24"/>
        <v>0</v>
      </c>
      <c r="AY155" s="210">
        <f t="shared" si="25"/>
        <v>0</v>
      </c>
    </row>
    <row r="156" spans="34:51" x14ac:dyDescent="0.25">
      <c r="AH156" s="197"/>
      <c r="AI156" s="200"/>
      <c r="AJ156" s="302"/>
      <c r="AK156" s="200"/>
      <c r="AL156" s="294">
        <f t="shared" si="19"/>
        <v>0</v>
      </c>
      <c r="AM156" s="198"/>
      <c r="AN156" s="200"/>
      <c r="AO156" s="200"/>
      <c r="AP156" s="195"/>
      <c r="AQ156" s="282"/>
      <c r="AS156" s="300" t="str">
        <f t="shared" si="20"/>
        <v/>
      </c>
      <c r="AT156" s="210">
        <f t="shared" si="21"/>
        <v>0</v>
      </c>
      <c r="AU156" s="210"/>
      <c r="AV156" s="292">
        <f t="shared" si="22"/>
        <v>0</v>
      </c>
      <c r="AW156" s="210">
        <f t="shared" si="23"/>
        <v>0</v>
      </c>
      <c r="AX156" s="210">
        <f t="shared" si="24"/>
        <v>0</v>
      </c>
      <c r="AY156" s="210">
        <f t="shared" si="25"/>
        <v>0</v>
      </c>
    </row>
    <row r="157" spans="34:51" x14ac:dyDescent="0.25">
      <c r="AH157" s="197"/>
      <c r="AI157" s="200"/>
      <c r="AJ157" s="302"/>
      <c r="AK157" s="200"/>
      <c r="AL157" s="294">
        <f t="shared" si="19"/>
        <v>0</v>
      </c>
      <c r="AM157" s="198"/>
      <c r="AN157" s="200"/>
      <c r="AO157" s="200"/>
      <c r="AP157" s="195"/>
      <c r="AQ157" s="282"/>
      <c r="AS157" s="300" t="str">
        <f t="shared" si="20"/>
        <v/>
      </c>
      <c r="AT157" s="210">
        <f t="shared" si="21"/>
        <v>0</v>
      </c>
      <c r="AU157" s="210"/>
      <c r="AV157" s="292">
        <f t="shared" si="22"/>
        <v>0</v>
      </c>
      <c r="AW157" s="210">
        <f t="shared" si="23"/>
        <v>0</v>
      </c>
      <c r="AX157" s="210">
        <f t="shared" si="24"/>
        <v>0</v>
      </c>
      <c r="AY157" s="210">
        <f t="shared" si="25"/>
        <v>0</v>
      </c>
    </row>
    <row r="158" spans="34:51" x14ac:dyDescent="0.25">
      <c r="AH158" s="197"/>
      <c r="AI158" s="200"/>
      <c r="AJ158" s="302"/>
      <c r="AK158" s="200"/>
      <c r="AL158" s="294">
        <f t="shared" si="19"/>
        <v>0</v>
      </c>
      <c r="AM158" s="198"/>
      <c r="AN158" s="200"/>
      <c r="AO158" s="200"/>
      <c r="AP158" s="195"/>
      <c r="AQ158" s="282"/>
      <c r="AS158" s="300" t="str">
        <f t="shared" si="20"/>
        <v/>
      </c>
      <c r="AT158" s="210">
        <f t="shared" si="21"/>
        <v>0</v>
      </c>
      <c r="AU158" s="210"/>
      <c r="AV158" s="292">
        <f t="shared" si="22"/>
        <v>0</v>
      </c>
      <c r="AW158" s="210">
        <f t="shared" si="23"/>
        <v>0</v>
      </c>
      <c r="AX158" s="210">
        <f t="shared" si="24"/>
        <v>0</v>
      </c>
      <c r="AY158" s="210">
        <f t="shared" si="25"/>
        <v>0</v>
      </c>
    </row>
    <row r="159" spans="34:51" x14ac:dyDescent="0.25">
      <c r="AH159" s="197"/>
      <c r="AI159" s="200"/>
      <c r="AJ159" s="302"/>
      <c r="AK159" s="200"/>
      <c r="AL159" s="294">
        <f t="shared" si="19"/>
        <v>0</v>
      </c>
      <c r="AM159" s="198"/>
      <c r="AN159" s="200"/>
      <c r="AO159" s="200"/>
      <c r="AP159" s="195"/>
      <c r="AQ159" s="282"/>
      <c r="AS159" s="300" t="str">
        <f t="shared" si="20"/>
        <v/>
      </c>
      <c r="AT159" s="210">
        <f t="shared" si="21"/>
        <v>0</v>
      </c>
      <c r="AU159" s="210"/>
      <c r="AV159" s="292">
        <f t="shared" si="22"/>
        <v>0</v>
      </c>
      <c r="AW159" s="210">
        <f t="shared" si="23"/>
        <v>0</v>
      </c>
      <c r="AX159" s="210">
        <f t="shared" si="24"/>
        <v>0</v>
      </c>
      <c r="AY159" s="210">
        <f t="shared" si="25"/>
        <v>0</v>
      </c>
    </row>
    <row r="160" spans="34:51" x14ac:dyDescent="0.25">
      <c r="AH160" s="197"/>
      <c r="AI160" s="200"/>
      <c r="AJ160" s="302"/>
      <c r="AK160" s="200"/>
      <c r="AL160" s="294">
        <f t="shared" si="19"/>
        <v>0</v>
      </c>
      <c r="AM160" s="198"/>
      <c r="AN160" s="200"/>
      <c r="AO160" s="200"/>
      <c r="AP160" s="195"/>
      <c r="AQ160" s="282"/>
      <c r="AS160" s="300" t="str">
        <f t="shared" si="20"/>
        <v/>
      </c>
      <c r="AT160" s="210">
        <f t="shared" si="21"/>
        <v>0</v>
      </c>
      <c r="AU160" s="210"/>
      <c r="AV160" s="292">
        <f t="shared" si="22"/>
        <v>0</v>
      </c>
      <c r="AW160" s="210">
        <f t="shared" si="23"/>
        <v>0</v>
      </c>
      <c r="AX160" s="210">
        <f t="shared" si="24"/>
        <v>0</v>
      </c>
      <c r="AY160" s="210">
        <f t="shared" si="25"/>
        <v>0</v>
      </c>
    </row>
    <row r="161" spans="34:51" x14ac:dyDescent="0.25">
      <c r="AH161" s="197"/>
      <c r="AI161" s="200"/>
      <c r="AJ161" s="302"/>
      <c r="AK161" s="200"/>
      <c r="AL161" s="294">
        <f t="shared" si="19"/>
        <v>0</v>
      </c>
      <c r="AM161" s="198"/>
      <c r="AN161" s="200"/>
      <c r="AO161" s="200"/>
      <c r="AP161" s="195"/>
      <c r="AQ161" s="282"/>
      <c r="AS161" s="300" t="str">
        <f t="shared" si="20"/>
        <v/>
      </c>
      <c r="AT161" s="210">
        <f t="shared" si="21"/>
        <v>0</v>
      </c>
      <c r="AU161" s="210"/>
      <c r="AV161" s="292">
        <f t="shared" si="22"/>
        <v>0</v>
      </c>
      <c r="AW161" s="210">
        <f t="shared" si="23"/>
        <v>0</v>
      </c>
      <c r="AX161" s="210">
        <f t="shared" si="24"/>
        <v>0</v>
      </c>
      <c r="AY161" s="210">
        <f t="shared" si="25"/>
        <v>0</v>
      </c>
    </row>
    <row r="162" spans="34:51" x14ac:dyDescent="0.25">
      <c r="AH162" s="197"/>
      <c r="AI162" s="200"/>
      <c r="AJ162" s="302"/>
      <c r="AK162" s="200"/>
      <c r="AL162" s="294">
        <f t="shared" si="19"/>
        <v>0</v>
      </c>
      <c r="AM162" s="198"/>
      <c r="AN162" s="200"/>
      <c r="AO162" s="200"/>
      <c r="AP162" s="195"/>
      <c r="AQ162" s="282"/>
      <c r="AS162" s="300" t="str">
        <f t="shared" si="20"/>
        <v/>
      </c>
      <c r="AT162" s="210">
        <f t="shared" si="21"/>
        <v>0</v>
      </c>
      <c r="AU162" s="210"/>
      <c r="AV162" s="292">
        <f t="shared" si="22"/>
        <v>0</v>
      </c>
      <c r="AW162" s="210">
        <f t="shared" si="23"/>
        <v>0</v>
      </c>
      <c r="AX162" s="210">
        <f t="shared" si="24"/>
        <v>0</v>
      </c>
      <c r="AY162" s="210">
        <f t="shared" si="25"/>
        <v>0</v>
      </c>
    </row>
    <row r="163" spans="34:51" x14ac:dyDescent="0.25">
      <c r="AH163" s="197"/>
      <c r="AI163" s="200"/>
      <c r="AJ163" s="302"/>
      <c r="AK163" s="200"/>
      <c r="AL163" s="294">
        <f t="shared" si="19"/>
        <v>0</v>
      </c>
      <c r="AM163" s="198"/>
      <c r="AN163" s="200"/>
      <c r="AO163" s="200"/>
      <c r="AP163" s="195"/>
      <c r="AQ163" s="282"/>
      <c r="AS163" s="300" t="str">
        <f t="shared" si="20"/>
        <v/>
      </c>
      <c r="AT163" s="210">
        <f t="shared" si="21"/>
        <v>0</v>
      </c>
      <c r="AU163" s="210"/>
      <c r="AV163" s="292">
        <f t="shared" si="22"/>
        <v>0</v>
      </c>
      <c r="AW163" s="210">
        <f t="shared" si="23"/>
        <v>0</v>
      </c>
      <c r="AX163" s="210">
        <f t="shared" si="24"/>
        <v>0</v>
      </c>
      <c r="AY163" s="210">
        <f t="shared" si="25"/>
        <v>0</v>
      </c>
    </row>
    <row r="164" spans="34:51" x14ac:dyDescent="0.25">
      <c r="AH164" s="197"/>
      <c r="AI164" s="200"/>
      <c r="AJ164" s="302"/>
      <c r="AK164" s="200"/>
      <c r="AL164" s="294">
        <f t="shared" si="19"/>
        <v>0</v>
      </c>
      <c r="AM164" s="198"/>
      <c r="AN164" s="200"/>
      <c r="AO164" s="200"/>
      <c r="AP164" s="195"/>
      <c r="AQ164" s="282"/>
      <c r="AS164" s="300" t="str">
        <f t="shared" si="20"/>
        <v/>
      </c>
      <c r="AT164" s="210">
        <f t="shared" si="21"/>
        <v>0</v>
      </c>
      <c r="AU164" s="210"/>
      <c r="AV164" s="292">
        <f t="shared" si="22"/>
        <v>0</v>
      </c>
      <c r="AW164" s="210">
        <f t="shared" si="23"/>
        <v>0</v>
      </c>
      <c r="AX164" s="210">
        <f t="shared" si="24"/>
        <v>0</v>
      </c>
      <c r="AY164" s="210">
        <f t="shared" si="25"/>
        <v>0</v>
      </c>
    </row>
    <row r="165" spans="34:51" x14ac:dyDescent="0.25">
      <c r="AH165" s="197"/>
      <c r="AI165" s="200"/>
      <c r="AJ165" s="302"/>
      <c r="AK165" s="200"/>
      <c r="AL165" s="294">
        <f t="shared" si="19"/>
        <v>0</v>
      </c>
      <c r="AM165" s="198"/>
      <c r="AN165" s="200"/>
      <c r="AO165" s="200"/>
      <c r="AP165" s="195"/>
      <c r="AQ165" s="282"/>
      <c r="AS165" s="300" t="str">
        <f t="shared" si="20"/>
        <v/>
      </c>
      <c r="AT165" s="210">
        <f t="shared" si="21"/>
        <v>0</v>
      </c>
      <c r="AU165" s="210"/>
      <c r="AV165" s="292">
        <f t="shared" si="22"/>
        <v>0</v>
      </c>
      <c r="AW165" s="210">
        <f t="shared" si="23"/>
        <v>0</v>
      </c>
      <c r="AX165" s="210">
        <f t="shared" si="24"/>
        <v>0</v>
      </c>
      <c r="AY165" s="210">
        <f t="shared" si="25"/>
        <v>0</v>
      </c>
    </row>
    <row r="166" spans="34:51" x14ac:dyDescent="0.25">
      <c r="AH166" s="197"/>
      <c r="AI166" s="200"/>
      <c r="AJ166" s="302"/>
      <c r="AK166" s="200"/>
      <c r="AL166" s="294">
        <f t="shared" si="19"/>
        <v>0</v>
      </c>
      <c r="AM166" s="198"/>
      <c r="AN166" s="200"/>
      <c r="AO166" s="200"/>
      <c r="AP166" s="195"/>
      <c r="AQ166" s="282"/>
      <c r="AS166" s="300" t="str">
        <f t="shared" si="20"/>
        <v/>
      </c>
      <c r="AT166" s="210">
        <f t="shared" si="21"/>
        <v>0</v>
      </c>
      <c r="AU166" s="210"/>
      <c r="AV166" s="292">
        <f t="shared" si="22"/>
        <v>0</v>
      </c>
      <c r="AW166" s="210">
        <f t="shared" si="23"/>
        <v>0</v>
      </c>
      <c r="AX166" s="210">
        <f t="shared" si="24"/>
        <v>0</v>
      </c>
      <c r="AY166" s="210">
        <f t="shared" si="25"/>
        <v>0</v>
      </c>
    </row>
    <row r="167" spans="34:51" x14ac:dyDescent="0.25">
      <c r="AH167" s="197"/>
      <c r="AI167" s="200"/>
      <c r="AJ167" s="302"/>
      <c r="AK167" s="200"/>
      <c r="AL167" s="294">
        <f t="shared" si="19"/>
        <v>0</v>
      </c>
      <c r="AM167" s="198"/>
      <c r="AN167" s="200"/>
      <c r="AO167" s="200"/>
      <c r="AP167" s="195"/>
      <c r="AQ167" s="282"/>
      <c r="AS167" s="300" t="str">
        <f t="shared" si="20"/>
        <v/>
      </c>
      <c r="AT167" s="210">
        <f t="shared" si="21"/>
        <v>0</v>
      </c>
      <c r="AU167" s="210"/>
      <c r="AV167" s="292">
        <f t="shared" si="22"/>
        <v>0</v>
      </c>
      <c r="AW167" s="210">
        <f t="shared" si="23"/>
        <v>0</v>
      </c>
      <c r="AX167" s="210">
        <f t="shared" si="24"/>
        <v>0</v>
      </c>
      <c r="AY167" s="210">
        <f t="shared" si="25"/>
        <v>0</v>
      </c>
    </row>
    <row r="168" spans="34:51" x14ac:dyDescent="0.25">
      <c r="AH168" s="197"/>
      <c r="AI168" s="200"/>
      <c r="AJ168" s="302"/>
      <c r="AK168" s="200"/>
      <c r="AL168" s="294">
        <f t="shared" si="19"/>
        <v>0</v>
      </c>
      <c r="AM168" s="198"/>
      <c r="AN168" s="200"/>
      <c r="AO168" s="200"/>
      <c r="AP168" s="195"/>
      <c r="AQ168" s="282"/>
      <c r="AS168" s="300" t="str">
        <f t="shared" si="20"/>
        <v/>
      </c>
      <c r="AT168" s="210">
        <f t="shared" si="21"/>
        <v>0</v>
      </c>
      <c r="AU168" s="210"/>
      <c r="AV168" s="292">
        <f t="shared" si="22"/>
        <v>0</v>
      </c>
      <c r="AW168" s="210">
        <f t="shared" si="23"/>
        <v>0</v>
      </c>
      <c r="AX168" s="210">
        <f t="shared" si="24"/>
        <v>0</v>
      </c>
      <c r="AY168" s="210">
        <f t="shared" si="25"/>
        <v>0</v>
      </c>
    </row>
    <row r="169" spans="34:51" x14ac:dyDescent="0.25">
      <c r="AH169" s="197"/>
      <c r="AI169" s="200"/>
      <c r="AJ169" s="302"/>
      <c r="AK169" s="200"/>
      <c r="AL169" s="294">
        <f t="shared" si="19"/>
        <v>0</v>
      </c>
      <c r="AM169" s="198"/>
      <c r="AN169" s="200"/>
      <c r="AO169" s="200"/>
      <c r="AP169" s="195"/>
      <c r="AQ169" s="282"/>
      <c r="AS169" s="300" t="str">
        <f t="shared" si="20"/>
        <v/>
      </c>
      <c r="AT169" s="210">
        <f t="shared" si="21"/>
        <v>0</v>
      </c>
      <c r="AU169" s="210"/>
      <c r="AV169" s="292">
        <f t="shared" si="22"/>
        <v>0</v>
      </c>
      <c r="AW169" s="210">
        <f t="shared" si="23"/>
        <v>0</v>
      </c>
      <c r="AX169" s="210">
        <f t="shared" si="24"/>
        <v>0</v>
      </c>
      <c r="AY169" s="210">
        <f t="shared" si="25"/>
        <v>0</v>
      </c>
    </row>
    <row r="170" spans="34:51" x14ac:dyDescent="0.25">
      <c r="AH170" s="197"/>
      <c r="AI170" s="200"/>
      <c r="AJ170" s="302"/>
      <c r="AK170" s="200"/>
      <c r="AL170" s="294">
        <f t="shared" si="19"/>
        <v>0</v>
      </c>
      <c r="AM170" s="198"/>
      <c r="AN170" s="200"/>
      <c r="AO170" s="200"/>
      <c r="AP170" s="195"/>
      <c r="AQ170" s="282"/>
      <c r="AS170" s="300" t="str">
        <f t="shared" si="20"/>
        <v/>
      </c>
      <c r="AT170" s="210">
        <f t="shared" si="21"/>
        <v>0</v>
      </c>
      <c r="AU170" s="210"/>
      <c r="AV170" s="292">
        <f t="shared" si="22"/>
        <v>0</v>
      </c>
      <c r="AW170" s="210">
        <f t="shared" si="23"/>
        <v>0</v>
      </c>
      <c r="AX170" s="210">
        <f t="shared" si="24"/>
        <v>0</v>
      </c>
      <c r="AY170" s="210">
        <f t="shared" si="25"/>
        <v>0</v>
      </c>
    </row>
    <row r="171" spans="34:51" x14ac:dyDescent="0.25">
      <c r="AH171" s="197"/>
      <c r="AI171" s="200"/>
      <c r="AJ171" s="302"/>
      <c r="AK171" s="200"/>
      <c r="AL171" s="294">
        <f t="shared" si="19"/>
        <v>0</v>
      </c>
      <c r="AM171" s="198"/>
      <c r="AN171" s="200"/>
      <c r="AO171" s="200"/>
      <c r="AP171" s="195"/>
      <c r="AQ171" s="282"/>
      <c r="AS171" s="300" t="str">
        <f t="shared" si="20"/>
        <v/>
      </c>
      <c r="AT171" s="210">
        <f t="shared" si="21"/>
        <v>0</v>
      </c>
      <c r="AU171" s="210"/>
      <c r="AV171" s="292">
        <f t="shared" si="22"/>
        <v>0</v>
      </c>
      <c r="AW171" s="210">
        <f t="shared" si="23"/>
        <v>0</v>
      </c>
      <c r="AX171" s="210">
        <f t="shared" si="24"/>
        <v>0</v>
      </c>
      <c r="AY171" s="210">
        <f t="shared" si="25"/>
        <v>0</v>
      </c>
    </row>
    <row r="172" spans="34:51" x14ac:dyDescent="0.25">
      <c r="AH172" s="197"/>
      <c r="AI172" s="200"/>
      <c r="AJ172" s="302"/>
      <c r="AK172" s="200"/>
      <c r="AL172" s="294">
        <f t="shared" si="19"/>
        <v>0</v>
      </c>
      <c r="AM172" s="198"/>
      <c r="AN172" s="200"/>
      <c r="AO172" s="200"/>
      <c r="AP172" s="195"/>
      <c r="AQ172" s="282"/>
      <c r="AS172" s="300" t="str">
        <f t="shared" si="20"/>
        <v/>
      </c>
      <c r="AT172" s="210">
        <f t="shared" si="21"/>
        <v>0</v>
      </c>
      <c r="AU172" s="210"/>
      <c r="AV172" s="292">
        <f t="shared" si="22"/>
        <v>0</v>
      </c>
      <c r="AW172" s="210">
        <f t="shared" si="23"/>
        <v>0</v>
      </c>
      <c r="AX172" s="210">
        <f t="shared" si="24"/>
        <v>0</v>
      </c>
      <c r="AY172" s="210">
        <f t="shared" si="25"/>
        <v>0</v>
      </c>
    </row>
    <row r="173" spans="34:51" x14ac:dyDescent="0.25">
      <c r="AH173" s="197"/>
      <c r="AI173" s="200"/>
      <c r="AJ173" s="302"/>
      <c r="AK173" s="200"/>
      <c r="AL173" s="294">
        <f t="shared" si="19"/>
        <v>0</v>
      </c>
      <c r="AM173" s="198"/>
      <c r="AN173" s="200"/>
      <c r="AO173" s="200"/>
      <c r="AP173" s="195"/>
      <c r="AQ173" s="282"/>
      <c r="AS173" s="300" t="str">
        <f t="shared" si="20"/>
        <v/>
      </c>
      <c r="AT173" s="210">
        <f t="shared" si="21"/>
        <v>0</v>
      </c>
      <c r="AU173" s="210"/>
      <c r="AV173" s="292">
        <f t="shared" si="22"/>
        <v>0</v>
      </c>
      <c r="AW173" s="210">
        <f t="shared" si="23"/>
        <v>0</v>
      </c>
      <c r="AX173" s="210">
        <f t="shared" si="24"/>
        <v>0</v>
      </c>
      <c r="AY173" s="210">
        <f t="shared" si="25"/>
        <v>0</v>
      </c>
    </row>
    <row r="174" spans="34:51" x14ac:dyDescent="0.25">
      <c r="AH174" s="197"/>
      <c r="AI174" s="200"/>
      <c r="AJ174" s="302"/>
      <c r="AK174" s="200"/>
      <c r="AL174" s="294">
        <f t="shared" si="19"/>
        <v>0</v>
      </c>
      <c r="AM174" s="198"/>
      <c r="AN174" s="200"/>
      <c r="AO174" s="200"/>
      <c r="AP174" s="195"/>
      <c r="AQ174" s="282"/>
      <c r="AS174" s="300" t="str">
        <f t="shared" si="20"/>
        <v/>
      </c>
      <c r="AT174" s="210">
        <f t="shared" si="21"/>
        <v>0</v>
      </c>
      <c r="AU174" s="210"/>
      <c r="AV174" s="292">
        <f t="shared" si="22"/>
        <v>0</v>
      </c>
      <c r="AW174" s="210">
        <f t="shared" si="23"/>
        <v>0</v>
      </c>
      <c r="AX174" s="210">
        <f t="shared" si="24"/>
        <v>0</v>
      </c>
      <c r="AY174" s="210">
        <f t="shared" si="25"/>
        <v>0</v>
      </c>
    </row>
    <row r="175" spans="34:51" x14ac:dyDescent="0.25">
      <c r="AH175" s="197"/>
      <c r="AI175" s="200"/>
      <c r="AJ175" s="302"/>
      <c r="AK175" s="200"/>
      <c r="AL175" s="294">
        <f t="shared" si="19"/>
        <v>0</v>
      </c>
      <c r="AM175" s="198"/>
      <c r="AN175" s="200"/>
      <c r="AO175" s="200"/>
      <c r="AP175" s="195"/>
      <c r="AQ175" s="282"/>
      <c r="AS175" s="300" t="str">
        <f t="shared" si="20"/>
        <v/>
      </c>
      <c r="AT175" s="210">
        <f t="shared" si="21"/>
        <v>0</v>
      </c>
      <c r="AU175" s="210"/>
      <c r="AV175" s="292">
        <f t="shared" si="22"/>
        <v>0</v>
      </c>
      <c r="AW175" s="210">
        <f t="shared" si="23"/>
        <v>0</v>
      </c>
      <c r="AX175" s="210">
        <f t="shared" si="24"/>
        <v>0</v>
      </c>
      <c r="AY175" s="210">
        <f t="shared" si="25"/>
        <v>0</v>
      </c>
    </row>
    <row r="176" spans="34:51" x14ac:dyDescent="0.25">
      <c r="AH176" s="197"/>
      <c r="AI176" s="200"/>
      <c r="AJ176" s="302"/>
      <c r="AK176" s="200"/>
      <c r="AL176" s="294">
        <f t="shared" si="19"/>
        <v>0</v>
      </c>
      <c r="AM176" s="198"/>
      <c r="AN176" s="200"/>
      <c r="AO176" s="200"/>
      <c r="AP176" s="195"/>
      <c r="AQ176" s="282"/>
      <c r="AS176" s="300" t="str">
        <f t="shared" si="20"/>
        <v/>
      </c>
      <c r="AT176" s="210">
        <f t="shared" si="21"/>
        <v>0</v>
      </c>
      <c r="AU176" s="210"/>
      <c r="AV176" s="292">
        <f t="shared" si="22"/>
        <v>0</v>
      </c>
      <c r="AW176" s="210">
        <f t="shared" si="23"/>
        <v>0</v>
      </c>
      <c r="AX176" s="210">
        <f t="shared" si="24"/>
        <v>0</v>
      </c>
      <c r="AY176" s="210">
        <f t="shared" si="25"/>
        <v>0</v>
      </c>
    </row>
    <row r="177" spans="34:51" x14ac:dyDescent="0.25">
      <c r="AH177" s="197"/>
      <c r="AI177" s="200"/>
      <c r="AJ177" s="302"/>
      <c r="AK177" s="200"/>
      <c r="AL177" s="294">
        <f t="shared" si="19"/>
        <v>0</v>
      </c>
      <c r="AM177" s="198"/>
      <c r="AN177" s="200"/>
      <c r="AO177" s="200"/>
      <c r="AP177" s="195"/>
      <c r="AQ177" s="282"/>
      <c r="AS177" s="300" t="str">
        <f t="shared" si="20"/>
        <v/>
      </c>
      <c r="AT177" s="210">
        <f t="shared" si="21"/>
        <v>0</v>
      </c>
      <c r="AU177" s="210"/>
      <c r="AV177" s="292">
        <f t="shared" si="22"/>
        <v>0</v>
      </c>
      <c r="AW177" s="210">
        <f t="shared" si="23"/>
        <v>0</v>
      </c>
      <c r="AX177" s="210">
        <f t="shared" si="24"/>
        <v>0</v>
      </c>
      <c r="AY177" s="210">
        <f t="shared" si="25"/>
        <v>0</v>
      </c>
    </row>
    <row r="178" spans="34:51" x14ac:dyDescent="0.25">
      <c r="AH178" s="197"/>
      <c r="AI178" s="200"/>
      <c r="AJ178" s="302"/>
      <c r="AK178" s="200"/>
      <c r="AL178" s="294">
        <f t="shared" si="19"/>
        <v>0</v>
      </c>
      <c r="AM178" s="198"/>
      <c r="AN178" s="200"/>
      <c r="AO178" s="200"/>
      <c r="AP178" s="195"/>
      <c r="AQ178" s="282"/>
      <c r="AS178" s="300" t="str">
        <f t="shared" si="20"/>
        <v/>
      </c>
      <c r="AT178" s="210">
        <f t="shared" si="21"/>
        <v>0</v>
      </c>
      <c r="AU178" s="210"/>
      <c r="AV178" s="292">
        <f t="shared" si="22"/>
        <v>0</v>
      </c>
      <c r="AW178" s="210">
        <f t="shared" si="23"/>
        <v>0</v>
      </c>
      <c r="AX178" s="210">
        <f t="shared" si="24"/>
        <v>0</v>
      </c>
      <c r="AY178" s="210">
        <f t="shared" si="25"/>
        <v>0</v>
      </c>
    </row>
    <row r="179" spans="34:51" x14ac:dyDescent="0.25">
      <c r="AH179" s="197"/>
      <c r="AI179" s="200"/>
      <c r="AJ179" s="302"/>
      <c r="AK179" s="200"/>
      <c r="AL179" s="294">
        <f t="shared" si="19"/>
        <v>0</v>
      </c>
      <c r="AM179" s="198"/>
      <c r="AN179" s="200"/>
      <c r="AO179" s="200"/>
      <c r="AP179" s="195"/>
      <c r="AQ179" s="282"/>
      <c r="AS179" s="300" t="str">
        <f t="shared" si="20"/>
        <v/>
      </c>
      <c r="AT179" s="210">
        <f t="shared" si="21"/>
        <v>0</v>
      </c>
      <c r="AU179" s="210"/>
      <c r="AV179" s="292">
        <f t="shared" si="22"/>
        <v>0</v>
      </c>
      <c r="AW179" s="210">
        <f t="shared" si="23"/>
        <v>0</v>
      </c>
      <c r="AX179" s="210">
        <f t="shared" si="24"/>
        <v>0</v>
      </c>
      <c r="AY179" s="210">
        <f t="shared" si="25"/>
        <v>0</v>
      </c>
    </row>
    <row r="180" spans="34:51" x14ac:dyDescent="0.25">
      <c r="AH180" s="197"/>
      <c r="AI180" s="200"/>
      <c r="AJ180" s="302"/>
      <c r="AK180" s="200"/>
      <c r="AL180" s="294">
        <f t="shared" si="19"/>
        <v>0</v>
      </c>
      <c r="AM180" s="198"/>
      <c r="AN180" s="200"/>
      <c r="AO180" s="200"/>
      <c r="AP180" s="195"/>
      <c r="AQ180" s="282"/>
      <c r="AS180" s="300" t="str">
        <f t="shared" si="20"/>
        <v/>
      </c>
      <c r="AT180" s="210">
        <f t="shared" si="21"/>
        <v>0</v>
      </c>
      <c r="AU180" s="210"/>
      <c r="AV180" s="292">
        <f t="shared" si="22"/>
        <v>0</v>
      </c>
      <c r="AW180" s="210">
        <f t="shared" si="23"/>
        <v>0</v>
      </c>
      <c r="AX180" s="210">
        <f t="shared" si="24"/>
        <v>0</v>
      </c>
      <c r="AY180" s="210">
        <f t="shared" si="25"/>
        <v>0</v>
      </c>
    </row>
    <row r="181" spans="34:51" x14ac:dyDescent="0.25">
      <c r="AH181" s="197"/>
      <c r="AI181" s="200"/>
      <c r="AJ181" s="302"/>
      <c r="AK181" s="200"/>
      <c r="AL181" s="294">
        <f t="shared" si="19"/>
        <v>0</v>
      </c>
      <c r="AM181" s="198"/>
      <c r="AN181" s="200"/>
      <c r="AO181" s="200"/>
      <c r="AP181" s="195"/>
      <c r="AQ181" s="282"/>
      <c r="AS181" s="300" t="str">
        <f t="shared" si="20"/>
        <v/>
      </c>
      <c r="AT181" s="210">
        <f t="shared" si="21"/>
        <v>0</v>
      </c>
      <c r="AU181" s="210"/>
      <c r="AV181" s="292">
        <f t="shared" si="22"/>
        <v>0</v>
      </c>
      <c r="AW181" s="210">
        <f t="shared" si="23"/>
        <v>0</v>
      </c>
      <c r="AX181" s="210">
        <f t="shared" si="24"/>
        <v>0</v>
      </c>
      <c r="AY181" s="210">
        <f t="shared" si="25"/>
        <v>0</v>
      </c>
    </row>
    <row r="182" spans="34:51" x14ac:dyDescent="0.25">
      <c r="AH182" s="197"/>
      <c r="AI182" s="200"/>
      <c r="AJ182" s="302"/>
      <c r="AK182" s="200"/>
      <c r="AL182" s="294">
        <f t="shared" si="19"/>
        <v>0</v>
      </c>
      <c r="AM182" s="198"/>
      <c r="AN182" s="200"/>
      <c r="AO182" s="200"/>
      <c r="AP182" s="195"/>
      <c r="AQ182" s="282"/>
      <c r="AS182" s="300" t="str">
        <f t="shared" si="20"/>
        <v/>
      </c>
      <c r="AT182" s="210">
        <f t="shared" si="21"/>
        <v>0</v>
      </c>
      <c r="AU182" s="210"/>
      <c r="AV182" s="292">
        <f t="shared" si="22"/>
        <v>0</v>
      </c>
      <c r="AW182" s="210">
        <f t="shared" si="23"/>
        <v>0</v>
      </c>
      <c r="AX182" s="210">
        <f t="shared" si="24"/>
        <v>0</v>
      </c>
      <c r="AY182" s="210">
        <f t="shared" si="25"/>
        <v>0</v>
      </c>
    </row>
    <row r="183" spans="34:51" x14ac:dyDescent="0.25">
      <c r="AH183" s="197"/>
      <c r="AI183" s="200"/>
      <c r="AJ183" s="302"/>
      <c r="AK183" s="200"/>
      <c r="AL183" s="294">
        <f t="shared" si="19"/>
        <v>0</v>
      </c>
      <c r="AM183" s="198"/>
      <c r="AN183" s="200"/>
      <c r="AO183" s="200"/>
      <c r="AP183" s="195"/>
      <c r="AQ183" s="282"/>
      <c r="AS183" s="300" t="str">
        <f t="shared" si="20"/>
        <v/>
      </c>
      <c r="AT183" s="210">
        <f t="shared" si="21"/>
        <v>0</v>
      </c>
      <c r="AU183" s="210"/>
      <c r="AV183" s="292">
        <f t="shared" si="22"/>
        <v>0</v>
      </c>
      <c r="AW183" s="210">
        <f t="shared" si="23"/>
        <v>0</v>
      </c>
      <c r="AX183" s="210">
        <f t="shared" si="24"/>
        <v>0</v>
      </c>
      <c r="AY183" s="210">
        <f t="shared" si="25"/>
        <v>0</v>
      </c>
    </row>
    <row r="184" spans="34:51" x14ac:dyDescent="0.25">
      <c r="AH184" s="197"/>
      <c r="AI184" s="200"/>
      <c r="AJ184" s="302"/>
      <c r="AK184" s="200"/>
      <c r="AL184" s="294">
        <f t="shared" si="19"/>
        <v>0</v>
      </c>
      <c r="AM184" s="198"/>
      <c r="AN184" s="200"/>
      <c r="AO184" s="200"/>
      <c r="AP184" s="195"/>
      <c r="AQ184" s="282"/>
      <c r="AS184" s="300" t="str">
        <f t="shared" si="20"/>
        <v/>
      </c>
      <c r="AT184" s="210">
        <f t="shared" si="21"/>
        <v>0</v>
      </c>
      <c r="AU184" s="210"/>
      <c r="AV184" s="292">
        <f t="shared" si="22"/>
        <v>0</v>
      </c>
      <c r="AW184" s="210">
        <f t="shared" si="23"/>
        <v>0</v>
      </c>
      <c r="AX184" s="210">
        <f t="shared" si="24"/>
        <v>0</v>
      </c>
      <c r="AY184" s="210">
        <f t="shared" si="25"/>
        <v>0</v>
      </c>
    </row>
    <row r="185" spans="34:51" x14ac:dyDescent="0.25">
      <c r="AH185" s="197"/>
      <c r="AI185" s="200"/>
      <c r="AJ185" s="302"/>
      <c r="AK185" s="200"/>
      <c r="AL185" s="294">
        <f t="shared" si="19"/>
        <v>0</v>
      </c>
      <c r="AM185" s="198"/>
      <c r="AN185" s="200"/>
      <c r="AO185" s="200"/>
      <c r="AP185" s="195"/>
      <c r="AQ185" s="282"/>
      <c r="AS185" s="300" t="str">
        <f t="shared" si="20"/>
        <v/>
      </c>
      <c r="AT185" s="210">
        <f t="shared" si="21"/>
        <v>0</v>
      </c>
      <c r="AU185" s="210"/>
      <c r="AV185" s="292">
        <f t="shared" si="22"/>
        <v>0</v>
      </c>
      <c r="AW185" s="210">
        <f t="shared" si="23"/>
        <v>0</v>
      </c>
      <c r="AX185" s="210">
        <f t="shared" si="24"/>
        <v>0</v>
      </c>
      <c r="AY185" s="210">
        <f t="shared" si="25"/>
        <v>0</v>
      </c>
    </row>
    <row r="186" spans="34:51" x14ac:dyDescent="0.25">
      <c r="AH186" s="197"/>
      <c r="AI186" s="200"/>
      <c r="AJ186" s="302"/>
      <c r="AK186" s="200"/>
      <c r="AL186" s="294">
        <f t="shared" si="19"/>
        <v>0</v>
      </c>
      <c r="AM186" s="198"/>
      <c r="AN186" s="200"/>
      <c r="AO186" s="200"/>
      <c r="AP186" s="195"/>
      <c r="AQ186" s="282"/>
      <c r="AS186" s="300" t="str">
        <f t="shared" si="20"/>
        <v/>
      </c>
      <c r="AT186" s="210">
        <f t="shared" si="21"/>
        <v>0</v>
      </c>
      <c r="AU186" s="210"/>
      <c r="AV186" s="292">
        <f t="shared" si="22"/>
        <v>0</v>
      </c>
      <c r="AW186" s="210">
        <f t="shared" si="23"/>
        <v>0</v>
      </c>
      <c r="AX186" s="210">
        <f t="shared" si="24"/>
        <v>0</v>
      </c>
      <c r="AY186" s="210">
        <f t="shared" si="25"/>
        <v>0</v>
      </c>
    </row>
    <row r="187" spans="34:51" x14ac:dyDescent="0.25">
      <c r="AH187" s="197"/>
      <c r="AI187" s="200"/>
      <c r="AJ187" s="302"/>
      <c r="AK187" s="200"/>
      <c r="AL187" s="294">
        <f t="shared" si="19"/>
        <v>0</v>
      </c>
      <c r="AM187" s="198"/>
      <c r="AN187" s="200"/>
      <c r="AO187" s="200"/>
      <c r="AP187" s="195"/>
      <c r="AQ187" s="282"/>
      <c r="AS187" s="300" t="str">
        <f t="shared" si="20"/>
        <v/>
      </c>
      <c r="AT187" s="210">
        <f t="shared" si="21"/>
        <v>0</v>
      </c>
      <c r="AU187" s="210"/>
      <c r="AV187" s="292">
        <f t="shared" si="22"/>
        <v>0</v>
      </c>
      <c r="AW187" s="210">
        <f t="shared" si="23"/>
        <v>0</v>
      </c>
      <c r="AX187" s="210">
        <f t="shared" si="24"/>
        <v>0</v>
      </c>
      <c r="AY187" s="210">
        <f t="shared" si="25"/>
        <v>0</v>
      </c>
    </row>
    <row r="188" spans="34:51" x14ac:dyDescent="0.25">
      <c r="AH188" s="197"/>
      <c r="AI188" s="200"/>
      <c r="AJ188" s="302"/>
      <c r="AK188" s="200"/>
      <c r="AL188" s="294">
        <f t="shared" si="19"/>
        <v>0</v>
      </c>
      <c r="AM188" s="198"/>
      <c r="AN188" s="200"/>
      <c r="AO188" s="200"/>
      <c r="AP188" s="195"/>
      <c r="AQ188" s="282"/>
      <c r="AS188" s="300" t="str">
        <f t="shared" si="20"/>
        <v/>
      </c>
      <c r="AT188" s="210">
        <f t="shared" si="21"/>
        <v>0</v>
      </c>
      <c r="AU188" s="210"/>
      <c r="AV188" s="292">
        <f t="shared" si="22"/>
        <v>0</v>
      </c>
      <c r="AW188" s="210">
        <f t="shared" si="23"/>
        <v>0</v>
      </c>
      <c r="AX188" s="210">
        <f t="shared" si="24"/>
        <v>0</v>
      </c>
      <c r="AY188" s="210">
        <f t="shared" si="25"/>
        <v>0</v>
      </c>
    </row>
    <row r="189" spans="34:51" x14ac:dyDescent="0.25">
      <c r="AH189" s="197"/>
      <c r="AI189" s="200"/>
      <c r="AJ189" s="302"/>
      <c r="AK189" s="200"/>
      <c r="AL189" s="294">
        <f t="shared" si="19"/>
        <v>0</v>
      </c>
      <c r="AM189" s="198"/>
      <c r="AN189" s="200"/>
      <c r="AO189" s="200"/>
      <c r="AP189" s="195"/>
      <c r="AQ189" s="282"/>
      <c r="AS189" s="300" t="str">
        <f t="shared" si="20"/>
        <v/>
      </c>
      <c r="AT189" s="210">
        <f t="shared" si="21"/>
        <v>0</v>
      </c>
      <c r="AU189" s="210"/>
      <c r="AV189" s="292">
        <f t="shared" si="22"/>
        <v>0</v>
      </c>
      <c r="AW189" s="210">
        <f t="shared" si="23"/>
        <v>0</v>
      </c>
      <c r="AX189" s="210">
        <f t="shared" si="24"/>
        <v>0</v>
      </c>
      <c r="AY189" s="210">
        <f t="shared" si="25"/>
        <v>0</v>
      </c>
    </row>
    <row r="190" spans="34:51" x14ac:dyDescent="0.25">
      <c r="AH190" s="197"/>
      <c r="AI190" s="200"/>
      <c r="AJ190" s="302"/>
      <c r="AK190" s="200"/>
      <c r="AL190" s="294">
        <f t="shared" si="19"/>
        <v>0</v>
      </c>
      <c r="AM190" s="198"/>
      <c r="AN190" s="200"/>
      <c r="AO190" s="200"/>
      <c r="AP190" s="195"/>
      <c r="AQ190" s="282"/>
      <c r="AS190" s="300" t="str">
        <f t="shared" si="20"/>
        <v/>
      </c>
      <c r="AT190" s="210">
        <f t="shared" si="21"/>
        <v>0</v>
      </c>
      <c r="AU190" s="210"/>
      <c r="AV190" s="292">
        <f t="shared" si="22"/>
        <v>0</v>
      </c>
      <c r="AW190" s="210">
        <f t="shared" si="23"/>
        <v>0</v>
      </c>
      <c r="AX190" s="210">
        <f t="shared" si="24"/>
        <v>0</v>
      </c>
      <c r="AY190" s="210">
        <f t="shared" si="25"/>
        <v>0</v>
      </c>
    </row>
    <row r="191" spans="34:51" x14ac:dyDescent="0.25">
      <c r="AH191" s="197"/>
      <c r="AI191" s="200"/>
      <c r="AJ191" s="302"/>
      <c r="AK191" s="200"/>
      <c r="AL191" s="294">
        <f t="shared" si="19"/>
        <v>0</v>
      </c>
      <c r="AM191" s="198"/>
      <c r="AN191" s="200"/>
      <c r="AO191" s="200"/>
      <c r="AP191" s="195"/>
      <c r="AQ191" s="282"/>
      <c r="AS191" s="300" t="str">
        <f t="shared" si="20"/>
        <v/>
      </c>
      <c r="AT191" s="210">
        <f t="shared" si="21"/>
        <v>0</v>
      </c>
      <c r="AU191" s="210"/>
      <c r="AV191" s="292">
        <f t="shared" si="22"/>
        <v>0</v>
      </c>
      <c r="AW191" s="210">
        <f t="shared" si="23"/>
        <v>0</v>
      </c>
      <c r="AX191" s="210">
        <f t="shared" si="24"/>
        <v>0</v>
      </c>
      <c r="AY191" s="210">
        <f t="shared" si="25"/>
        <v>0</v>
      </c>
    </row>
    <row r="192" spans="34:51" x14ac:dyDescent="0.25">
      <c r="AH192" s="197"/>
      <c r="AI192" s="200"/>
      <c r="AJ192" s="302"/>
      <c r="AK192" s="200"/>
      <c r="AL192" s="294">
        <f t="shared" si="19"/>
        <v>0</v>
      </c>
      <c r="AM192" s="198"/>
      <c r="AN192" s="200"/>
      <c r="AO192" s="200"/>
      <c r="AP192" s="195"/>
      <c r="AQ192" s="282"/>
      <c r="AS192" s="300" t="str">
        <f t="shared" si="20"/>
        <v/>
      </c>
      <c r="AT192" s="210">
        <f t="shared" si="21"/>
        <v>0</v>
      </c>
      <c r="AU192" s="210"/>
      <c r="AV192" s="292">
        <f t="shared" si="22"/>
        <v>0</v>
      </c>
      <c r="AW192" s="210">
        <f t="shared" si="23"/>
        <v>0</v>
      </c>
      <c r="AX192" s="210">
        <f t="shared" si="24"/>
        <v>0</v>
      </c>
      <c r="AY192" s="210">
        <f t="shared" si="25"/>
        <v>0</v>
      </c>
    </row>
    <row r="193" spans="34:51" x14ac:dyDescent="0.25">
      <c r="AH193" s="197"/>
      <c r="AI193" s="200"/>
      <c r="AJ193" s="302"/>
      <c r="AK193" s="200"/>
      <c r="AL193" s="294">
        <f t="shared" si="19"/>
        <v>0</v>
      </c>
      <c r="AM193" s="198"/>
      <c r="AN193" s="200"/>
      <c r="AO193" s="200"/>
      <c r="AP193" s="195"/>
      <c r="AQ193" s="282"/>
      <c r="AS193" s="300" t="str">
        <f t="shared" si="20"/>
        <v/>
      </c>
      <c r="AT193" s="210">
        <f t="shared" si="21"/>
        <v>0</v>
      </c>
      <c r="AU193" s="210"/>
      <c r="AV193" s="292">
        <f t="shared" si="22"/>
        <v>0</v>
      </c>
      <c r="AW193" s="210">
        <f t="shared" si="23"/>
        <v>0</v>
      </c>
      <c r="AX193" s="210">
        <f t="shared" si="24"/>
        <v>0</v>
      </c>
      <c r="AY193" s="210">
        <f t="shared" si="25"/>
        <v>0</v>
      </c>
    </row>
    <row r="194" spans="34:51" x14ac:dyDescent="0.25">
      <c r="AH194" s="197"/>
      <c r="AI194" s="200"/>
      <c r="AJ194" s="302"/>
      <c r="AK194" s="200"/>
      <c r="AL194" s="294">
        <f t="shared" si="19"/>
        <v>0</v>
      </c>
      <c r="AM194" s="198"/>
      <c r="AN194" s="200"/>
      <c r="AO194" s="200"/>
      <c r="AP194" s="195"/>
      <c r="AQ194" s="282"/>
      <c r="AS194" s="300" t="str">
        <f t="shared" si="20"/>
        <v/>
      </c>
      <c r="AT194" s="210">
        <f t="shared" si="21"/>
        <v>0</v>
      </c>
      <c r="AU194" s="210"/>
      <c r="AV194" s="292">
        <f t="shared" si="22"/>
        <v>0</v>
      </c>
      <c r="AW194" s="210">
        <f t="shared" si="23"/>
        <v>0</v>
      </c>
      <c r="AX194" s="210">
        <f t="shared" si="24"/>
        <v>0</v>
      </c>
      <c r="AY194" s="210">
        <f t="shared" si="25"/>
        <v>0</v>
      </c>
    </row>
    <row r="195" spans="34:51" x14ac:dyDescent="0.25">
      <c r="AH195" s="197"/>
      <c r="AI195" s="200"/>
      <c r="AJ195" s="302"/>
      <c r="AK195" s="200"/>
      <c r="AL195" s="294">
        <f t="shared" si="19"/>
        <v>0</v>
      </c>
      <c r="AM195" s="198"/>
      <c r="AN195" s="200"/>
      <c r="AO195" s="200"/>
      <c r="AP195" s="195"/>
      <c r="AQ195" s="282"/>
      <c r="AS195" s="300" t="str">
        <f t="shared" si="20"/>
        <v/>
      </c>
      <c r="AT195" s="210">
        <f t="shared" si="21"/>
        <v>0</v>
      </c>
      <c r="AU195" s="210"/>
      <c r="AV195" s="292">
        <f t="shared" si="22"/>
        <v>0</v>
      </c>
      <c r="AW195" s="210">
        <f t="shared" si="23"/>
        <v>0</v>
      </c>
      <c r="AX195" s="210">
        <f t="shared" si="24"/>
        <v>0</v>
      </c>
      <c r="AY195" s="210">
        <f t="shared" si="25"/>
        <v>0</v>
      </c>
    </row>
    <row r="196" spans="34:51" x14ac:dyDescent="0.25">
      <c r="AH196" s="197"/>
      <c r="AI196" s="200"/>
      <c r="AJ196" s="302"/>
      <c r="AK196" s="200"/>
      <c r="AL196" s="294">
        <f t="shared" si="19"/>
        <v>0</v>
      </c>
      <c r="AM196" s="198"/>
      <c r="AN196" s="200"/>
      <c r="AO196" s="200"/>
      <c r="AP196" s="195"/>
      <c r="AQ196" s="282"/>
      <c r="AS196" s="300" t="str">
        <f t="shared" si="20"/>
        <v/>
      </c>
      <c r="AT196" s="210">
        <f t="shared" si="21"/>
        <v>0</v>
      </c>
      <c r="AU196" s="210"/>
      <c r="AV196" s="292">
        <f t="shared" si="22"/>
        <v>0</v>
      </c>
      <c r="AW196" s="210">
        <f t="shared" si="23"/>
        <v>0</v>
      </c>
      <c r="AX196" s="210">
        <f t="shared" si="24"/>
        <v>0</v>
      </c>
      <c r="AY196" s="210">
        <f t="shared" si="25"/>
        <v>0</v>
      </c>
    </row>
    <row r="197" spans="34:51" x14ac:dyDescent="0.25">
      <c r="AH197" s="197"/>
      <c r="AI197" s="200"/>
      <c r="AJ197" s="302"/>
      <c r="AK197" s="200"/>
      <c r="AL197" s="294">
        <f t="shared" si="19"/>
        <v>0</v>
      </c>
      <c r="AM197" s="198"/>
      <c r="AN197" s="200"/>
      <c r="AO197" s="200"/>
      <c r="AP197" s="195"/>
      <c r="AQ197" s="282"/>
      <c r="AS197" s="300" t="str">
        <f t="shared" si="20"/>
        <v/>
      </c>
      <c r="AT197" s="210">
        <f t="shared" si="21"/>
        <v>0</v>
      </c>
      <c r="AU197" s="210"/>
      <c r="AV197" s="292">
        <f t="shared" si="22"/>
        <v>0</v>
      </c>
      <c r="AW197" s="210">
        <f t="shared" si="23"/>
        <v>0</v>
      </c>
      <c r="AX197" s="210">
        <f t="shared" si="24"/>
        <v>0</v>
      </c>
      <c r="AY197" s="210">
        <f t="shared" si="25"/>
        <v>0</v>
      </c>
    </row>
    <row r="198" spans="34:51" x14ac:dyDescent="0.25">
      <c r="AH198" s="197"/>
      <c r="AI198" s="200"/>
      <c r="AJ198" s="302"/>
      <c r="AK198" s="200"/>
      <c r="AL198" s="294">
        <f t="shared" si="19"/>
        <v>0</v>
      </c>
      <c r="AM198" s="198"/>
      <c r="AN198" s="200"/>
      <c r="AO198" s="200"/>
      <c r="AP198" s="195"/>
      <c r="AQ198" s="282"/>
      <c r="AS198" s="300" t="str">
        <f t="shared" si="20"/>
        <v/>
      </c>
      <c r="AT198" s="210">
        <f t="shared" si="21"/>
        <v>0</v>
      </c>
      <c r="AU198" s="210"/>
      <c r="AV198" s="292">
        <f t="shared" si="22"/>
        <v>0</v>
      </c>
      <c r="AW198" s="210">
        <f t="shared" si="23"/>
        <v>0</v>
      </c>
      <c r="AX198" s="210">
        <f t="shared" si="24"/>
        <v>0</v>
      </c>
      <c r="AY198" s="210">
        <f t="shared" si="25"/>
        <v>0</v>
      </c>
    </row>
    <row r="199" spans="34:51" x14ac:dyDescent="0.25">
      <c r="AH199" s="197"/>
      <c r="AI199" s="200"/>
      <c r="AJ199" s="302"/>
      <c r="AK199" s="200"/>
      <c r="AL199" s="294">
        <f t="shared" si="19"/>
        <v>0</v>
      </c>
      <c r="AM199" s="198"/>
      <c r="AN199" s="200"/>
      <c r="AO199" s="200"/>
      <c r="AP199" s="195"/>
      <c r="AQ199" s="282"/>
      <c r="AS199" s="300" t="str">
        <f t="shared" si="20"/>
        <v/>
      </c>
      <c r="AT199" s="210">
        <f t="shared" si="21"/>
        <v>0</v>
      </c>
      <c r="AU199" s="210"/>
      <c r="AV199" s="292">
        <f t="shared" si="22"/>
        <v>0</v>
      </c>
      <c r="AW199" s="210">
        <f t="shared" si="23"/>
        <v>0</v>
      </c>
      <c r="AX199" s="210">
        <f t="shared" si="24"/>
        <v>0</v>
      </c>
      <c r="AY199" s="210">
        <f t="shared" si="25"/>
        <v>0</v>
      </c>
    </row>
    <row r="200" spans="34:51" x14ac:dyDescent="0.25">
      <c r="AH200" s="197"/>
      <c r="AI200" s="200"/>
      <c r="AJ200" s="302"/>
      <c r="AK200" s="200"/>
      <c r="AL200" s="294">
        <f t="shared" si="19"/>
        <v>0</v>
      </c>
      <c r="AM200" s="198"/>
      <c r="AN200" s="200"/>
      <c r="AO200" s="200"/>
      <c r="AP200" s="195"/>
      <c r="AQ200" s="282"/>
      <c r="AS200" s="300" t="str">
        <f t="shared" si="20"/>
        <v/>
      </c>
      <c r="AT200" s="210">
        <f t="shared" si="21"/>
        <v>0</v>
      </c>
      <c r="AU200" s="210"/>
      <c r="AV200" s="292">
        <f t="shared" si="22"/>
        <v>0</v>
      </c>
      <c r="AW200" s="210">
        <f t="shared" si="23"/>
        <v>0</v>
      </c>
      <c r="AX200" s="210">
        <f t="shared" si="24"/>
        <v>0</v>
      </c>
      <c r="AY200" s="210">
        <f t="shared" si="25"/>
        <v>0</v>
      </c>
    </row>
    <row r="201" spans="34:51" x14ac:dyDescent="0.25">
      <c r="AH201" s="197"/>
      <c r="AI201" s="200"/>
      <c r="AJ201" s="302"/>
      <c r="AK201" s="200"/>
      <c r="AL201" s="294">
        <f t="shared" si="19"/>
        <v>0</v>
      </c>
      <c r="AM201" s="198"/>
      <c r="AN201" s="200"/>
      <c r="AO201" s="200"/>
      <c r="AP201" s="195"/>
      <c r="AQ201" s="282"/>
      <c r="AS201" s="300" t="str">
        <f t="shared" si="20"/>
        <v/>
      </c>
      <c r="AT201" s="210">
        <f t="shared" si="21"/>
        <v>0</v>
      </c>
      <c r="AU201" s="210"/>
      <c r="AV201" s="292">
        <f t="shared" si="22"/>
        <v>0</v>
      </c>
      <c r="AW201" s="210">
        <f t="shared" si="23"/>
        <v>0</v>
      </c>
      <c r="AX201" s="210">
        <f t="shared" si="24"/>
        <v>0</v>
      </c>
      <c r="AY201" s="210">
        <f t="shared" si="25"/>
        <v>0</v>
      </c>
    </row>
    <row r="202" spans="34:51" x14ac:dyDescent="0.25">
      <c r="AH202" s="197"/>
      <c r="AI202" s="200"/>
      <c r="AJ202" s="302"/>
      <c r="AK202" s="200"/>
      <c r="AL202" s="294">
        <f t="shared" si="19"/>
        <v>0</v>
      </c>
      <c r="AM202" s="198"/>
      <c r="AN202" s="200"/>
      <c r="AO202" s="200"/>
      <c r="AP202" s="195"/>
      <c r="AQ202" s="282"/>
      <c r="AS202" s="300" t="str">
        <f t="shared" si="20"/>
        <v/>
      </c>
      <c r="AT202" s="210">
        <f t="shared" si="21"/>
        <v>0</v>
      </c>
      <c r="AU202" s="210"/>
      <c r="AV202" s="292">
        <f t="shared" si="22"/>
        <v>0</v>
      </c>
      <c r="AW202" s="210">
        <f t="shared" si="23"/>
        <v>0</v>
      </c>
      <c r="AX202" s="210">
        <f t="shared" si="24"/>
        <v>0</v>
      </c>
      <c r="AY202" s="210">
        <f t="shared" si="25"/>
        <v>0</v>
      </c>
    </row>
    <row r="203" spans="34:51" x14ac:dyDescent="0.25">
      <c r="AH203" s="197"/>
      <c r="AI203" s="200"/>
      <c r="AJ203" s="302"/>
      <c r="AK203" s="200"/>
      <c r="AL203" s="294">
        <f t="shared" ref="AL203:AL266" si="26">AK203*AI203</f>
        <v>0</v>
      </c>
      <c r="AM203" s="198"/>
      <c r="AN203" s="200"/>
      <c r="AO203" s="200"/>
      <c r="AP203" s="195"/>
      <c r="AQ203" s="282"/>
      <c r="AS203" s="300" t="str">
        <f t="shared" ref="AS203:AS266" si="27">IFERROR(IF(AM203="CEE",AL203/(1.062*AN203),AL203/AN203),"")</f>
        <v/>
      </c>
      <c r="AT203" s="210">
        <f t="shared" ref="AT203:AT266" si="28">IF(AQ203="Não atende",1,0)</f>
        <v>0</v>
      </c>
      <c r="AU203" s="210"/>
      <c r="AV203" s="292">
        <f t="shared" si="22"/>
        <v>0</v>
      </c>
      <c r="AW203" s="210">
        <f t="shared" si="23"/>
        <v>0</v>
      </c>
      <c r="AX203" s="210">
        <f t="shared" si="24"/>
        <v>0</v>
      </c>
      <c r="AY203" s="210">
        <f t="shared" si="25"/>
        <v>0</v>
      </c>
    </row>
    <row r="204" spans="34:51" x14ac:dyDescent="0.25">
      <c r="AH204" s="197"/>
      <c r="AI204" s="200"/>
      <c r="AJ204" s="302"/>
      <c r="AK204" s="200"/>
      <c r="AL204" s="294">
        <f t="shared" si="26"/>
        <v>0</v>
      </c>
      <c r="AM204" s="198"/>
      <c r="AN204" s="200"/>
      <c r="AO204" s="200"/>
      <c r="AP204" s="195"/>
      <c r="AQ204" s="282"/>
      <c r="AS204" s="300" t="str">
        <f t="shared" si="27"/>
        <v/>
      </c>
      <c r="AT204" s="210">
        <f t="shared" si="28"/>
        <v>0</v>
      </c>
      <c r="AU204" s="210"/>
      <c r="AV204" s="292">
        <f t="shared" si="22"/>
        <v>0</v>
      </c>
      <c r="AW204" s="210">
        <f t="shared" si="23"/>
        <v>0</v>
      </c>
      <c r="AX204" s="210">
        <f t="shared" si="24"/>
        <v>0</v>
      </c>
      <c r="AY204" s="210">
        <f t="shared" si="25"/>
        <v>0</v>
      </c>
    </row>
    <row r="205" spans="34:51" x14ac:dyDescent="0.25">
      <c r="AH205" s="197"/>
      <c r="AI205" s="200"/>
      <c r="AJ205" s="302"/>
      <c r="AK205" s="200"/>
      <c r="AL205" s="294">
        <f t="shared" si="26"/>
        <v>0</v>
      </c>
      <c r="AM205" s="198"/>
      <c r="AN205" s="200"/>
      <c r="AO205" s="200"/>
      <c r="AP205" s="195"/>
      <c r="AQ205" s="282"/>
      <c r="AS205" s="300" t="str">
        <f t="shared" si="27"/>
        <v/>
      </c>
      <c r="AT205" s="210">
        <f t="shared" si="28"/>
        <v>0</v>
      </c>
      <c r="AU205" s="210"/>
      <c r="AV205" s="292">
        <f t="shared" ref="AV205:AV268" si="29">T205</f>
        <v>0</v>
      </c>
      <c r="AW205" s="210">
        <f t="shared" ref="AW205:AW268" si="30">IF(Z205&gt;W205,Z205,W205)</f>
        <v>0</v>
      </c>
      <c r="AX205" s="210">
        <f t="shared" ref="AX205:AX268" si="31">IF(AA205&gt;X205,AA205,X205)</f>
        <v>0</v>
      </c>
      <c r="AY205" s="210">
        <f t="shared" ref="AY205:AY268" si="32">IF(AB205&gt;Y205,AB205,Y205)</f>
        <v>0</v>
      </c>
    </row>
    <row r="206" spans="34:51" x14ac:dyDescent="0.25">
      <c r="AH206" s="197"/>
      <c r="AI206" s="200"/>
      <c r="AJ206" s="302"/>
      <c r="AK206" s="200"/>
      <c r="AL206" s="294">
        <f t="shared" si="26"/>
        <v>0</v>
      </c>
      <c r="AM206" s="198"/>
      <c r="AN206" s="200"/>
      <c r="AO206" s="200"/>
      <c r="AP206" s="195"/>
      <c r="AQ206" s="282"/>
      <c r="AS206" s="300" t="str">
        <f t="shared" si="27"/>
        <v/>
      </c>
      <c r="AT206" s="210">
        <f t="shared" si="28"/>
        <v>0</v>
      </c>
      <c r="AU206" s="210"/>
      <c r="AV206" s="292">
        <f t="shared" si="29"/>
        <v>0</v>
      </c>
      <c r="AW206" s="210">
        <f t="shared" si="30"/>
        <v>0</v>
      </c>
      <c r="AX206" s="210">
        <f t="shared" si="31"/>
        <v>0</v>
      </c>
      <c r="AY206" s="210">
        <f t="shared" si="32"/>
        <v>0</v>
      </c>
    </row>
    <row r="207" spans="34:51" x14ac:dyDescent="0.25">
      <c r="AH207" s="197"/>
      <c r="AI207" s="200"/>
      <c r="AJ207" s="302"/>
      <c r="AK207" s="200"/>
      <c r="AL207" s="294">
        <f t="shared" si="26"/>
        <v>0</v>
      </c>
      <c r="AM207" s="198"/>
      <c r="AN207" s="200"/>
      <c r="AO207" s="200"/>
      <c r="AP207" s="195"/>
      <c r="AQ207" s="282"/>
      <c r="AS207" s="300" t="str">
        <f t="shared" si="27"/>
        <v/>
      </c>
      <c r="AT207" s="210">
        <f t="shared" si="28"/>
        <v>0</v>
      </c>
      <c r="AU207" s="210"/>
      <c r="AV207" s="292">
        <f t="shared" si="29"/>
        <v>0</v>
      </c>
      <c r="AW207" s="210">
        <f t="shared" si="30"/>
        <v>0</v>
      </c>
      <c r="AX207" s="210">
        <f t="shared" si="31"/>
        <v>0</v>
      </c>
      <c r="AY207" s="210">
        <f t="shared" si="32"/>
        <v>0</v>
      </c>
    </row>
    <row r="208" spans="34:51" x14ac:dyDescent="0.25">
      <c r="AH208" s="197"/>
      <c r="AI208" s="200"/>
      <c r="AJ208" s="302"/>
      <c r="AK208" s="200"/>
      <c r="AL208" s="294">
        <f t="shared" si="26"/>
        <v>0</v>
      </c>
      <c r="AM208" s="198"/>
      <c r="AN208" s="200"/>
      <c r="AO208" s="200"/>
      <c r="AP208" s="195"/>
      <c r="AQ208" s="282"/>
      <c r="AS208" s="300" t="str">
        <f t="shared" si="27"/>
        <v/>
      </c>
      <c r="AT208" s="210">
        <f t="shared" si="28"/>
        <v>0</v>
      </c>
      <c r="AU208" s="210"/>
      <c r="AV208" s="292">
        <f t="shared" si="29"/>
        <v>0</v>
      </c>
      <c r="AW208" s="210">
        <f t="shared" si="30"/>
        <v>0</v>
      </c>
      <c r="AX208" s="210">
        <f t="shared" si="31"/>
        <v>0</v>
      </c>
      <c r="AY208" s="210">
        <f t="shared" si="32"/>
        <v>0</v>
      </c>
    </row>
    <row r="209" spans="34:51" x14ac:dyDescent="0.25">
      <c r="AH209" s="197"/>
      <c r="AI209" s="200"/>
      <c r="AJ209" s="302"/>
      <c r="AK209" s="200"/>
      <c r="AL209" s="294">
        <f t="shared" si="26"/>
        <v>0</v>
      </c>
      <c r="AM209" s="198"/>
      <c r="AN209" s="200"/>
      <c r="AO209" s="200"/>
      <c r="AP209" s="195"/>
      <c r="AQ209" s="282"/>
      <c r="AS209" s="300" t="str">
        <f t="shared" si="27"/>
        <v/>
      </c>
      <c r="AT209" s="210">
        <f t="shared" si="28"/>
        <v>0</v>
      </c>
      <c r="AU209" s="210"/>
      <c r="AV209" s="292">
        <f t="shared" si="29"/>
        <v>0</v>
      </c>
      <c r="AW209" s="210">
        <f t="shared" si="30"/>
        <v>0</v>
      </c>
      <c r="AX209" s="210">
        <f t="shared" si="31"/>
        <v>0</v>
      </c>
      <c r="AY209" s="210">
        <f t="shared" si="32"/>
        <v>0</v>
      </c>
    </row>
    <row r="210" spans="34:51" x14ac:dyDescent="0.25">
      <c r="AH210" s="197"/>
      <c r="AI210" s="200"/>
      <c r="AJ210" s="302"/>
      <c r="AK210" s="200"/>
      <c r="AL210" s="294">
        <f t="shared" si="26"/>
        <v>0</v>
      </c>
      <c r="AM210" s="198"/>
      <c r="AN210" s="200"/>
      <c r="AO210" s="200"/>
      <c r="AP210" s="195"/>
      <c r="AQ210" s="282"/>
      <c r="AS210" s="300" t="str">
        <f t="shared" si="27"/>
        <v/>
      </c>
      <c r="AT210" s="210">
        <f t="shared" si="28"/>
        <v>0</v>
      </c>
      <c r="AU210" s="210"/>
      <c r="AV210" s="292">
        <f t="shared" si="29"/>
        <v>0</v>
      </c>
      <c r="AW210" s="210">
        <f t="shared" si="30"/>
        <v>0</v>
      </c>
      <c r="AX210" s="210">
        <f t="shared" si="31"/>
        <v>0</v>
      </c>
      <c r="AY210" s="210">
        <f t="shared" si="32"/>
        <v>0</v>
      </c>
    </row>
    <row r="211" spans="34:51" x14ac:dyDescent="0.25">
      <c r="AH211" s="197"/>
      <c r="AI211" s="200"/>
      <c r="AJ211" s="302"/>
      <c r="AK211" s="200"/>
      <c r="AL211" s="294">
        <f t="shared" si="26"/>
        <v>0</v>
      </c>
      <c r="AM211" s="198"/>
      <c r="AN211" s="200"/>
      <c r="AO211" s="200"/>
      <c r="AP211" s="195"/>
      <c r="AQ211" s="282"/>
      <c r="AS211" s="300" t="str">
        <f t="shared" si="27"/>
        <v/>
      </c>
      <c r="AT211" s="210">
        <f t="shared" si="28"/>
        <v>0</v>
      </c>
      <c r="AU211" s="210"/>
      <c r="AV211" s="292">
        <f t="shared" si="29"/>
        <v>0</v>
      </c>
      <c r="AW211" s="210">
        <f t="shared" si="30"/>
        <v>0</v>
      </c>
      <c r="AX211" s="210">
        <f t="shared" si="31"/>
        <v>0</v>
      </c>
      <c r="AY211" s="210">
        <f t="shared" si="32"/>
        <v>0</v>
      </c>
    </row>
    <row r="212" spans="34:51" x14ac:dyDescent="0.25">
      <c r="AH212" s="197"/>
      <c r="AI212" s="200"/>
      <c r="AJ212" s="302"/>
      <c r="AK212" s="200"/>
      <c r="AL212" s="294">
        <f t="shared" si="26"/>
        <v>0</v>
      </c>
      <c r="AM212" s="198"/>
      <c r="AN212" s="200"/>
      <c r="AO212" s="200"/>
      <c r="AP212" s="195"/>
      <c r="AQ212" s="282"/>
      <c r="AS212" s="300" t="str">
        <f t="shared" si="27"/>
        <v/>
      </c>
      <c r="AT212" s="210">
        <f t="shared" si="28"/>
        <v>0</v>
      </c>
      <c r="AU212" s="210"/>
      <c r="AV212" s="292">
        <f t="shared" si="29"/>
        <v>0</v>
      </c>
      <c r="AW212" s="210">
        <f t="shared" si="30"/>
        <v>0</v>
      </c>
      <c r="AX212" s="210">
        <f t="shared" si="31"/>
        <v>0</v>
      </c>
      <c r="AY212" s="210">
        <f t="shared" si="32"/>
        <v>0</v>
      </c>
    </row>
    <row r="213" spans="34:51" x14ac:dyDescent="0.25">
      <c r="AH213" s="197"/>
      <c r="AI213" s="200"/>
      <c r="AJ213" s="302"/>
      <c r="AK213" s="200"/>
      <c r="AL213" s="294">
        <f t="shared" si="26"/>
        <v>0</v>
      </c>
      <c r="AM213" s="198"/>
      <c r="AN213" s="200"/>
      <c r="AO213" s="200"/>
      <c r="AP213" s="195"/>
      <c r="AQ213" s="282"/>
      <c r="AS213" s="300" t="str">
        <f t="shared" si="27"/>
        <v/>
      </c>
      <c r="AT213" s="210">
        <f t="shared" si="28"/>
        <v>0</v>
      </c>
      <c r="AU213" s="210"/>
      <c r="AV213" s="292">
        <f t="shared" si="29"/>
        <v>0</v>
      </c>
      <c r="AW213" s="210">
        <f t="shared" si="30"/>
        <v>0</v>
      </c>
      <c r="AX213" s="210">
        <f t="shared" si="31"/>
        <v>0</v>
      </c>
      <c r="AY213" s="210">
        <f t="shared" si="32"/>
        <v>0</v>
      </c>
    </row>
    <row r="214" spans="34:51" x14ac:dyDescent="0.25">
      <c r="AH214" s="197"/>
      <c r="AI214" s="200"/>
      <c r="AJ214" s="302"/>
      <c r="AK214" s="200"/>
      <c r="AL214" s="294">
        <f t="shared" si="26"/>
        <v>0</v>
      </c>
      <c r="AM214" s="198"/>
      <c r="AN214" s="200"/>
      <c r="AO214" s="200"/>
      <c r="AP214" s="195"/>
      <c r="AQ214" s="282"/>
      <c r="AS214" s="300" t="str">
        <f t="shared" si="27"/>
        <v/>
      </c>
      <c r="AT214" s="210">
        <f t="shared" si="28"/>
        <v>0</v>
      </c>
      <c r="AU214" s="210"/>
      <c r="AV214" s="292">
        <f t="shared" si="29"/>
        <v>0</v>
      </c>
      <c r="AW214" s="210">
        <f t="shared" si="30"/>
        <v>0</v>
      </c>
      <c r="AX214" s="210">
        <f t="shared" si="31"/>
        <v>0</v>
      </c>
      <c r="AY214" s="210">
        <f t="shared" si="32"/>
        <v>0</v>
      </c>
    </row>
    <row r="215" spans="34:51" x14ac:dyDescent="0.25">
      <c r="AH215" s="197"/>
      <c r="AI215" s="200"/>
      <c r="AJ215" s="302"/>
      <c r="AK215" s="200"/>
      <c r="AL215" s="294">
        <f t="shared" si="26"/>
        <v>0</v>
      </c>
      <c r="AM215" s="198"/>
      <c r="AN215" s="200"/>
      <c r="AO215" s="200"/>
      <c r="AP215" s="195"/>
      <c r="AQ215" s="282"/>
      <c r="AS215" s="300" t="str">
        <f t="shared" si="27"/>
        <v/>
      </c>
      <c r="AT215" s="210">
        <f t="shared" si="28"/>
        <v>0</v>
      </c>
      <c r="AU215" s="210"/>
      <c r="AV215" s="292">
        <f t="shared" si="29"/>
        <v>0</v>
      </c>
      <c r="AW215" s="210">
        <f t="shared" si="30"/>
        <v>0</v>
      </c>
      <c r="AX215" s="210">
        <f t="shared" si="31"/>
        <v>0</v>
      </c>
      <c r="AY215" s="210">
        <f t="shared" si="32"/>
        <v>0</v>
      </c>
    </row>
    <row r="216" spans="34:51" x14ac:dyDescent="0.25">
      <c r="AH216" s="197"/>
      <c r="AI216" s="200"/>
      <c r="AJ216" s="302"/>
      <c r="AK216" s="200"/>
      <c r="AL216" s="294">
        <f t="shared" si="26"/>
        <v>0</v>
      </c>
      <c r="AM216" s="198"/>
      <c r="AN216" s="200"/>
      <c r="AO216" s="200"/>
      <c r="AP216" s="195"/>
      <c r="AQ216" s="282"/>
      <c r="AS216" s="300" t="str">
        <f t="shared" si="27"/>
        <v/>
      </c>
      <c r="AT216" s="210">
        <f t="shared" si="28"/>
        <v>0</v>
      </c>
      <c r="AU216" s="210"/>
      <c r="AV216" s="292">
        <f t="shared" si="29"/>
        <v>0</v>
      </c>
      <c r="AW216" s="210">
        <f t="shared" si="30"/>
        <v>0</v>
      </c>
      <c r="AX216" s="210">
        <f t="shared" si="31"/>
        <v>0</v>
      </c>
      <c r="AY216" s="210">
        <f t="shared" si="32"/>
        <v>0</v>
      </c>
    </row>
    <row r="217" spans="34:51" x14ac:dyDescent="0.25">
      <c r="AH217" s="197"/>
      <c r="AI217" s="200"/>
      <c r="AJ217" s="302"/>
      <c r="AK217" s="200"/>
      <c r="AL217" s="294">
        <f t="shared" si="26"/>
        <v>0</v>
      </c>
      <c r="AM217" s="198"/>
      <c r="AN217" s="200"/>
      <c r="AO217" s="200"/>
      <c r="AP217" s="195"/>
      <c r="AQ217" s="282"/>
      <c r="AS217" s="300" t="str">
        <f t="shared" si="27"/>
        <v/>
      </c>
      <c r="AT217" s="210">
        <f t="shared" si="28"/>
        <v>0</v>
      </c>
      <c r="AU217" s="210"/>
      <c r="AV217" s="292">
        <f t="shared" si="29"/>
        <v>0</v>
      </c>
      <c r="AW217" s="210">
        <f t="shared" si="30"/>
        <v>0</v>
      </c>
      <c r="AX217" s="210">
        <f t="shared" si="31"/>
        <v>0</v>
      </c>
      <c r="AY217" s="210">
        <f t="shared" si="32"/>
        <v>0</v>
      </c>
    </row>
    <row r="218" spans="34:51" x14ac:dyDescent="0.25">
      <c r="AH218" s="197"/>
      <c r="AI218" s="200"/>
      <c r="AJ218" s="302"/>
      <c r="AK218" s="200"/>
      <c r="AL218" s="294">
        <f t="shared" si="26"/>
        <v>0</v>
      </c>
      <c r="AM218" s="198"/>
      <c r="AN218" s="200"/>
      <c r="AO218" s="200"/>
      <c r="AP218" s="195"/>
      <c r="AQ218" s="282"/>
      <c r="AS218" s="300" t="str">
        <f t="shared" si="27"/>
        <v/>
      </c>
      <c r="AT218" s="210">
        <f t="shared" si="28"/>
        <v>0</v>
      </c>
      <c r="AU218" s="210"/>
      <c r="AV218" s="292">
        <f t="shared" si="29"/>
        <v>0</v>
      </c>
      <c r="AW218" s="210">
        <f t="shared" si="30"/>
        <v>0</v>
      </c>
      <c r="AX218" s="210">
        <f t="shared" si="31"/>
        <v>0</v>
      </c>
      <c r="AY218" s="210">
        <f t="shared" si="32"/>
        <v>0</v>
      </c>
    </row>
    <row r="219" spans="34:51" x14ac:dyDescent="0.25">
      <c r="AH219" s="197"/>
      <c r="AI219" s="200"/>
      <c r="AJ219" s="302"/>
      <c r="AK219" s="200"/>
      <c r="AL219" s="294">
        <f t="shared" si="26"/>
        <v>0</v>
      </c>
      <c r="AM219" s="198"/>
      <c r="AN219" s="200"/>
      <c r="AO219" s="200"/>
      <c r="AP219" s="195"/>
      <c r="AQ219" s="282"/>
      <c r="AS219" s="300" t="str">
        <f t="shared" si="27"/>
        <v/>
      </c>
      <c r="AT219" s="210">
        <f t="shared" si="28"/>
        <v>0</v>
      </c>
      <c r="AU219" s="210"/>
      <c r="AV219" s="292">
        <f t="shared" si="29"/>
        <v>0</v>
      </c>
      <c r="AW219" s="210">
        <f t="shared" si="30"/>
        <v>0</v>
      </c>
      <c r="AX219" s="210">
        <f t="shared" si="31"/>
        <v>0</v>
      </c>
      <c r="AY219" s="210">
        <f t="shared" si="32"/>
        <v>0</v>
      </c>
    </row>
    <row r="220" spans="34:51" x14ac:dyDescent="0.25">
      <c r="AH220" s="197"/>
      <c r="AI220" s="200"/>
      <c r="AJ220" s="302"/>
      <c r="AK220" s="200"/>
      <c r="AL220" s="294">
        <f t="shared" si="26"/>
        <v>0</v>
      </c>
      <c r="AM220" s="198"/>
      <c r="AN220" s="200"/>
      <c r="AO220" s="200"/>
      <c r="AP220" s="195"/>
      <c r="AQ220" s="282"/>
      <c r="AS220" s="300" t="str">
        <f t="shared" si="27"/>
        <v/>
      </c>
      <c r="AT220" s="210">
        <f t="shared" si="28"/>
        <v>0</v>
      </c>
      <c r="AU220" s="210"/>
      <c r="AV220" s="292">
        <f t="shared" si="29"/>
        <v>0</v>
      </c>
      <c r="AW220" s="210">
        <f t="shared" si="30"/>
        <v>0</v>
      </c>
      <c r="AX220" s="210">
        <f t="shared" si="31"/>
        <v>0</v>
      </c>
      <c r="AY220" s="210">
        <f t="shared" si="32"/>
        <v>0</v>
      </c>
    </row>
    <row r="221" spans="34:51" x14ac:dyDescent="0.25">
      <c r="AH221" s="197"/>
      <c r="AI221" s="200"/>
      <c r="AJ221" s="302"/>
      <c r="AK221" s="200"/>
      <c r="AL221" s="294">
        <f t="shared" si="26"/>
        <v>0</v>
      </c>
      <c r="AM221" s="198"/>
      <c r="AN221" s="200"/>
      <c r="AO221" s="200"/>
      <c r="AP221" s="195"/>
      <c r="AQ221" s="282"/>
      <c r="AS221" s="300" t="str">
        <f t="shared" si="27"/>
        <v/>
      </c>
      <c r="AT221" s="210">
        <f t="shared" si="28"/>
        <v>0</v>
      </c>
      <c r="AU221" s="210"/>
      <c r="AV221" s="292">
        <f t="shared" si="29"/>
        <v>0</v>
      </c>
      <c r="AW221" s="210">
        <f t="shared" si="30"/>
        <v>0</v>
      </c>
      <c r="AX221" s="210">
        <f t="shared" si="31"/>
        <v>0</v>
      </c>
      <c r="AY221" s="210">
        <f t="shared" si="32"/>
        <v>0</v>
      </c>
    </row>
    <row r="222" spans="34:51" x14ac:dyDescent="0.25">
      <c r="AH222" s="197"/>
      <c r="AI222" s="200"/>
      <c r="AJ222" s="302"/>
      <c r="AK222" s="200"/>
      <c r="AL222" s="294">
        <f t="shared" si="26"/>
        <v>0</v>
      </c>
      <c r="AM222" s="198"/>
      <c r="AN222" s="200"/>
      <c r="AO222" s="200"/>
      <c r="AP222" s="195"/>
      <c r="AQ222" s="282"/>
      <c r="AS222" s="300" t="str">
        <f t="shared" si="27"/>
        <v/>
      </c>
      <c r="AT222" s="210">
        <f t="shared" si="28"/>
        <v>0</v>
      </c>
      <c r="AU222" s="210"/>
      <c r="AV222" s="292">
        <f t="shared" si="29"/>
        <v>0</v>
      </c>
      <c r="AW222" s="210">
        <f t="shared" si="30"/>
        <v>0</v>
      </c>
      <c r="AX222" s="210">
        <f t="shared" si="31"/>
        <v>0</v>
      </c>
      <c r="AY222" s="210">
        <f t="shared" si="32"/>
        <v>0</v>
      </c>
    </row>
    <row r="223" spans="34:51" x14ac:dyDescent="0.25">
      <c r="AH223" s="197"/>
      <c r="AI223" s="200"/>
      <c r="AJ223" s="302"/>
      <c r="AK223" s="200"/>
      <c r="AL223" s="294">
        <f t="shared" si="26"/>
        <v>0</v>
      </c>
      <c r="AM223" s="198"/>
      <c r="AN223" s="200"/>
      <c r="AO223" s="200"/>
      <c r="AP223" s="195"/>
      <c r="AQ223" s="282"/>
      <c r="AS223" s="300" t="str">
        <f t="shared" si="27"/>
        <v/>
      </c>
      <c r="AT223" s="210">
        <f t="shared" si="28"/>
        <v>0</v>
      </c>
      <c r="AU223" s="210"/>
      <c r="AV223" s="292">
        <f t="shared" si="29"/>
        <v>0</v>
      </c>
      <c r="AW223" s="210">
        <f t="shared" si="30"/>
        <v>0</v>
      </c>
      <c r="AX223" s="210">
        <f t="shared" si="31"/>
        <v>0</v>
      </c>
      <c r="AY223" s="210">
        <f t="shared" si="32"/>
        <v>0</v>
      </c>
    </row>
    <row r="224" spans="34:51" x14ac:dyDescent="0.25">
      <c r="AH224" s="197"/>
      <c r="AI224" s="200"/>
      <c r="AJ224" s="302"/>
      <c r="AK224" s="200"/>
      <c r="AL224" s="294">
        <f t="shared" si="26"/>
        <v>0</v>
      </c>
      <c r="AM224" s="198"/>
      <c r="AN224" s="200"/>
      <c r="AO224" s="200"/>
      <c r="AP224" s="195"/>
      <c r="AQ224" s="282"/>
      <c r="AS224" s="300" t="str">
        <f t="shared" si="27"/>
        <v/>
      </c>
      <c r="AT224" s="210">
        <f t="shared" si="28"/>
        <v>0</v>
      </c>
      <c r="AU224" s="210"/>
      <c r="AV224" s="292">
        <f t="shared" si="29"/>
        <v>0</v>
      </c>
      <c r="AW224" s="210">
        <f t="shared" si="30"/>
        <v>0</v>
      </c>
      <c r="AX224" s="210">
        <f t="shared" si="31"/>
        <v>0</v>
      </c>
      <c r="AY224" s="210">
        <f t="shared" si="32"/>
        <v>0</v>
      </c>
    </row>
    <row r="225" spans="34:51" x14ac:dyDescent="0.25">
      <c r="AH225" s="197"/>
      <c r="AI225" s="200"/>
      <c r="AJ225" s="302"/>
      <c r="AK225" s="200"/>
      <c r="AL225" s="294">
        <f t="shared" si="26"/>
        <v>0</v>
      </c>
      <c r="AM225" s="198"/>
      <c r="AN225" s="200"/>
      <c r="AO225" s="200"/>
      <c r="AP225" s="195"/>
      <c r="AQ225" s="282"/>
      <c r="AS225" s="300" t="str">
        <f t="shared" si="27"/>
        <v/>
      </c>
      <c r="AT225" s="210">
        <f t="shared" si="28"/>
        <v>0</v>
      </c>
      <c r="AU225" s="210"/>
      <c r="AV225" s="292">
        <f t="shared" si="29"/>
        <v>0</v>
      </c>
      <c r="AW225" s="210">
        <f t="shared" si="30"/>
        <v>0</v>
      </c>
      <c r="AX225" s="210">
        <f t="shared" si="31"/>
        <v>0</v>
      </c>
      <c r="AY225" s="210">
        <f t="shared" si="32"/>
        <v>0</v>
      </c>
    </row>
    <row r="226" spans="34:51" x14ac:dyDescent="0.25">
      <c r="AH226" s="197"/>
      <c r="AI226" s="200"/>
      <c r="AJ226" s="302"/>
      <c r="AK226" s="200"/>
      <c r="AL226" s="294">
        <f t="shared" si="26"/>
        <v>0</v>
      </c>
      <c r="AM226" s="198"/>
      <c r="AN226" s="200"/>
      <c r="AO226" s="200"/>
      <c r="AP226" s="195"/>
      <c r="AQ226" s="282"/>
      <c r="AS226" s="300" t="str">
        <f t="shared" si="27"/>
        <v/>
      </c>
      <c r="AT226" s="210">
        <f t="shared" si="28"/>
        <v>0</v>
      </c>
      <c r="AU226" s="210"/>
      <c r="AV226" s="292">
        <f t="shared" si="29"/>
        <v>0</v>
      </c>
      <c r="AW226" s="210">
        <f t="shared" si="30"/>
        <v>0</v>
      </c>
      <c r="AX226" s="210">
        <f t="shared" si="31"/>
        <v>0</v>
      </c>
      <c r="AY226" s="210">
        <f t="shared" si="32"/>
        <v>0</v>
      </c>
    </row>
    <row r="227" spans="34:51" x14ac:dyDescent="0.25">
      <c r="AH227" s="197"/>
      <c r="AI227" s="200"/>
      <c r="AJ227" s="302"/>
      <c r="AK227" s="200"/>
      <c r="AL227" s="294">
        <f t="shared" si="26"/>
        <v>0</v>
      </c>
      <c r="AM227" s="198"/>
      <c r="AN227" s="200"/>
      <c r="AO227" s="200"/>
      <c r="AP227" s="195"/>
      <c r="AQ227" s="282"/>
      <c r="AS227" s="300" t="str">
        <f t="shared" si="27"/>
        <v/>
      </c>
      <c r="AT227" s="210">
        <f t="shared" si="28"/>
        <v>0</v>
      </c>
      <c r="AU227" s="210"/>
      <c r="AV227" s="292">
        <f t="shared" si="29"/>
        <v>0</v>
      </c>
      <c r="AW227" s="210">
        <f t="shared" si="30"/>
        <v>0</v>
      </c>
      <c r="AX227" s="210">
        <f t="shared" si="31"/>
        <v>0</v>
      </c>
      <c r="AY227" s="210">
        <f t="shared" si="32"/>
        <v>0</v>
      </c>
    </row>
    <row r="228" spans="34:51" x14ac:dyDescent="0.25">
      <c r="AH228" s="197"/>
      <c r="AI228" s="200"/>
      <c r="AJ228" s="302"/>
      <c r="AK228" s="200"/>
      <c r="AL228" s="294">
        <f t="shared" si="26"/>
        <v>0</v>
      </c>
      <c r="AM228" s="198"/>
      <c r="AN228" s="200"/>
      <c r="AO228" s="200"/>
      <c r="AP228" s="195"/>
      <c r="AQ228" s="282"/>
      <c r="AS228" s="300" t="str">
        <f t="shared" si="27"/>
        <v/>
      </c>
      <c r="AT228" s="210">
        <f t="shared" si="28"/>
        <v>0</v>
      </c>
      <c r="AU228" s="210"/>
      <c r="AV228" s="292">
        <f t="shared" si="29"/>
        <v>0</v>
      </c>
      <c r="AW228" s="210">
        <f t="shared" si="30"/>
        <v>0</v>
      </c>
      <c r="AX228" s="210">
        <f t="shared" si="31"/>
        <v>0</v>
      </c>
      <c r="AY228" s="210">
        <f t="shared" si="32"/>
        <v>0</v>
      </c>
    </row>
    <row r="229" spans="34:51" x14ac:dyDescent="0.25">
      <c r="AH229" s="197"/>
      <c r="AI229" s="200"/>
      <c r="AJ229" s="302"/>
      <c r="AK229" s="200"/>
      <c r="AL229" s="294">
        <f t="shared" si="26"/>
        <v>0</v>
      </c>
      <c r="AM229" s="198"/>
      <c r="AN229" s="200"/>
      <c r="AO229" s="200"/>
      <c r="AP229" s="195"/>
      <c r="AQ229" s="282"/>
      <c r="AS229" s="300" t="str">
        <f t="shared" si="27"/>
        <v/>
      </c>
      <c r="AT229" s="210">
        <f t="shared" si="28"/>
        <v>0</v>
      </c>
      <c r="AU229" s="210"/>
      <c r="AV229" s="292">
        <f t="shared" si="29"/>
        <v>0</v>
      </c>
      <c r="AW229" s="210">
        <f t="shared" si="30"/>
        <v>0</v>
      </c>
      <c r="AX229" s="210">
        <f t="shared" si="31"/>
        <v>0</v>
      </c>
      <c r="AY229" s="210">
        <f t="shared" si="32"/>
        <v>0</v>
      </c>
    </row>
    <row r="230" spans="34:51" x14ac:dyDescent="0.25">
      <c r="AH230" s="197"/>
      <c r="AI230" s="200"/>
      <c r="AJ230" s="302"/>
      <c r="AK230" s="200"/>
      <c r="AL230" s="294">
        <f t="shared" si="26"/>
        <v>0</v>
      </c>
      <c r="AM230" s="198"/>
      <c r="AN230" s="200"/>
      <c r="AO230" s="200"/>
      <c r="AP230" s="195"/>
      <c r="AQ230" s="282"/>
      <c r="AS230" s="300" t="str">
        <f t="shared" si="27"/>
        <v/>
      </c>
      <c r="AT230" s="210">
        <f t="shared" si="28"/>
        <v>0</v>
      </c>
      <c r="AU230" s="210"/>
      <c r="AV230" s="292">
        <f t="shared" si="29"/>
        <v>0</v>
      </c>
      <c r="AW230" s="210">
        <f t="shared" si="30"/>
        <v>0</v>
      </c>
      <c r="AX230" s="210">
        <f t="shared" si="31"/>
        <v>0</v>
      </c>
      <c r="AY230" s="210">
        <f t="shared" si="32"/>
        <v>0</v>
      </c>
    </row>
    <row r="231" spans="34:51" x14ac:dyDescent="0.25">
      <c r="AH231" s="197"/>
      <c r="AI231" s="200"/>
      <c r="AJ231" s="302"/>
      <c r="AK231" s="200"/>
      <c r="AL231" s="294">
        <f t="shared" si="26"/>
        <v>0</v>
      </c>
      <c r="AM231" s="198"/>
      <c r="AN231" s="200"/>
      <c r="AO231" s="200"/>
      <c r="AP231" s="195"/>
      <c r="AQ231" s="282"/>
      <c r="AS231" s="300" t="str">
        <f t="shared" si="27"/>
        <v/>
      </c>
      <c r="AT231" s="210">
        <f t="shared" si="28"/>
        <v>0</v>
      </c>
      <c r="AU231" s="210"/>
      <c r="AV231" s="292">
        <f t="shared" si="29"/>
        <v>0</v>
      </c>
      <c r="AW231" s="210">
        <f t="shared" si="30"/>
        <v>0</v>
      </c>
      <c r="AX231" s="210">
        <f t="shared" si="31"/>
        <v>0</v>
      </c>
      <c r="AY231" s="210">
        <f t="shared" si="32"/>
        <v>0</v>
      </c>
    </row>
    <row r="232" spans="34:51" x14ac:dyDescent="0.25">
      <c r="AH232" s="197"/>
      <c r="AI232" s="200"/>
      <c r="AJ232" s="302"/>
      <c r="AK232" s="200"/>
      <c r="AL232" s="294">
        <f t="shared" si="26"/>
        <v>0</v>
      </c>
      <c r="AM232" s="198"/>
      <c r="AN232" s="200"/>
      <c r="AO232" s="200"/>
      <c r="AP232" s="195"/>
      <c r="AQ232" s="282"/>
      <c r="AS232" s="300" t="str">
        <f t="shared" si="27"/>
        <v/>
      </c>
      <c r="AT232" s="210">
        <f t="shared" si="28"/>
        <v>0</v>
      </c>
      <c r="AU232" s="210"/>
      <c r="AV232" s="292">
        <f t="shared" si="29"/>
        <v>0</v>
      </c>
      <c r="AW232" s="210">
        <f t="shared" si="30"/>
        <v>0</v>
      </c>
      <c r="AX232" s="210">
        <f t="shared" si="31"/>
        <v>0</v>
      </c>
      <c r="AY232" s="210">
        <f t="shared" si="32"/>
        <v>0</v>
      </c>
    </row>
    <row r="233" spans="34:51" x14ac:dyDescent="0.25">
      <c r="AH233" s="197"/>
      <c r="AI233" s="200"/>
      <c r="AJ233" s="302"/>
      <c r="AK233" s="200"/>
      <c r="AL233" s="294">
        <f t="shared" si="26"/>
        <v>0</v>
      </c>
      <c r="AM233" s="198"/>
      <c r="AN233" s="200"/>
      <c r="AO233" s="200"/>
      <c r="AP233" s="195"/>
      <c r="AQ233" s="282"/>
      <c r="AS233" s="300" t="str">
        <f t="shared" si="27"/>
        <v/>
      </c>
      <c r="AT233" s="210">
        <f t="shared" si="28"/>
        <v>0</v>
      </c>
      <c r="AU233" s="210"/>
      <c r="AV233" s="292">
        <f t="shared" si="29"/>
        <v>0</v>
      </c>
      <c r="AW233" s="210">
        <f t="shared" si="30"/>
        <v>0</v>
      </c>
      <c r="AX233" s="210">
        <f t="shared" si="31"/>
        <v>0</v>
      </c>
      <c r="AY233" s="210">
        <f t="shared" si="32"/>
        <v>0</v>
      </c>
    </row>
    <row r="234" spans="34:51" x14ac:dyDescent="0.25">
      <c r="AH234" s="197"/>
      <c r="AI234" s="200"/>
      <c r="AJ234" s="302"/>
      <c r="AK234" s="200"/>
      <c r="AL234" s="294">
        <f t="shared" si="26"/>
        <v>0</v>
      </c>
      <c r="AM234" s="198"/>
      <c r="AN234" s="200"/>
      <c r="AO234" s="200"/>
      <c r="AP234" s="195"/>
      <c r="AQ234" s="282"/>
      <c r="AS234" s="300" t="str">
        <f t="shared" si="27"/>
        <v/>
      </c>
      <c r="AT234" s="210">
        <f t="shared" si="28"/>
        <v>0</v>
      </c>
      <c r="AU234" s="210"/>
      <c r="AV234" s="292">
        <f t="shared" si="29"/>
        <v>0</v>
      </c>
      <c r="AW234" s="210">
        <f t="shared" si="30"/>
        <v>0</v>
      </c>
      <c r="AX234" s="210">
        <f t="shared" si="31"/>
        <v>0</v>
      </c>
      <c r="AY234" s="210">
        <f t="shared" si="32"/>
        <v>0</v>
      </c>
    </row>
    <row r="235" spans="34:51" x14ac:dyDescent="0.25">
      <c r="AH235" s="197"/>
      <c r="AI235" s="200"/>
      <c r="AJ235" s="302"/>
      <c r="AK235" s="200"/>
      <c r="AL235" s="294">
        <f t="shared" si="26"/>
        <v>0</v>
      </c>
      <c r="AM235" s="198"/>
      <c r="AN235" s="200"/>
      <c r="AO235" s="200"/>
      <c r="AP235" s="195"/>
      <c r="AQ235" s="282"/>
      <c r="AS235" s="300" t="str">
        <f t="shared" si="27"/>
        <v/>
      </c>
      <c r="AT235" s="210">
        <f t="shared" si="28"/>
        <v>0</v>
      </c>
      <c r="AU235" s="210"/>
      <c r="AV235" s="292">
        <f t="shared" si="29"/>
        <v>0</v>
      </c>
      <c r="AW235" s="210">
        <f t="shared" si="30"/>
        <v>0</v>
      </c>
      <c r="AX235" s="210">
        <f t="shared" si="31"/>
        <v>0</v>
      </c>
      <c r="AY235" s="210">
        <f t="shared" si="32"/>
        <v>0</v>
      </c>
    </row>
    <row r="236" spans="34:51" x14ac:dyDescent="0.25">
      <c r="AH236" s="197"/>
      <c r="AI236" s="200"/>
      <c r="AJ236" s="302"/>
      <c r="AK236" s="200"/>
      <c r="AL236" s="294">
        <f t="shared" si="26"/>
        <v>0</v>
      </c>
      <c r="AM236" s="198"/>
      <c r="AN236" s="200"/>
      <c r="AO236" s="200"/>
      <c r="AP236" s="195"/>
      <c r="AQ236" s="282"/>
      <c r="AS236" s="300" t="str">
        <f t="shared" si="27"/>
        <v/>
      </c>
      <c r="AT236" s="210">
        <f t="shared" si="28"/>
        <v>0</v>
      </c>
      <c r="AU236" s="210"/>
      <c r="AV236" s="292">
        <f t="shared" si="29"/>
        <v>0</v>
      </c>
      <c r="AW236" s="210">
        <f t="shared" si="30"/>
        <v>0</v>
      </c>
      <c r="AX236" s="210">
        <f t="shared" si="31"/>
        <v>0</v>
      </c>
      <c r="AY236" s="210">
        <f t="shared" si="32"/>
        <v>0</v>
      </c>
    </row>
    <row r="237" spans="34:51" x14ac:dyDescent="0.25">
      <c r="AH237" s="197"/>
      <c r="AI237" s="200"/>
      <c r="AJ237" s="302"/>
      <c r="AK237" s="200"/>
      <c r="AL237" s="294">
        <f t="shared" si="26"/>
        <v>0</v>
      </c>
      <c r="AM237" s="198"/>
      <c r="AN237" s="200"/>
      <c r="AO237" s="200"/>
      <c r="AP237" s="195"/>
      <c r="AQ237" s="282"/>
      <c r="AS237" s="300" t="str">
        <f t="shared" si="27"/>
        <v/>
      </c>
      <c r="AT237" s="210">
        <f t="shared" si="28"/>
        <v>0</v>
      </c>
      <c r="AU237" s="210"/>
      <c r="AV237" s="292">
        <f t="shared" si="29"/>
        <v>0</v>
      </c>
      <c r="AW237" s="210">
        <f t="shared" si="30"/>
        <v>0</v>
      </c>
      <c r="AX237" s="210">
        <f t="shared" si="31"/>
        <v>0</v>
      </c>
      <c r="AY237" s="210">
        <f t="shared" si="32"/>
        <v>0</v>
      </c>
    </row>
    <row r="238" spans="34:51" x14ac:dyDescent="0.25">
      <c r="AH238" s="197"/>
      <c r="AI238" s="200"/>
      <c r="AJ238" s="302"/>
      <c r="AK238" s="200"/>
      <c r="AL238" s="294">
        <f t="shared" si="26"/>
        <v>0</v>
      </c>
      <c r="AM238" s="198"/>
      <c r="AN238" s="200"/>
      <c r="AO238" s="200"/>
      <c r="AP238" s="195"/>
      <c r="AQ238" s="282"/>
      <c r="AS238" s="300" t="str">
        <f t="shared" si="27"/>
        <v/>
      </c>
      <c r="AT238" s="210">
        <f t="shared" si="28"/>
        <v>0</v>
      </c>
      <c r="AU238" s="210"/>
      <c r="AV238" s="292">
        <f t="shared" si="29"/>
        <v>0</v>
      </c>
      <c r="AW238" s="210">
        <f t="shared" si="30"/>
        <v>0</v>
      </c>
      <c r="AX238" s="210">
        <f t="shared" si="31"/>
        <v>0</v>
      </c>
      <c r="AY238" s="210">
        <f t="shared" si="32"/>
        <v>0</v>
      </c>
    </row>
    <row r="239" spans="34:51" x14ac:dyDescent="0.25">
      <c r="AH239" s="197"/>
      <c r="AI239" s="200"/>
      <c r="AJ239" s="302"/>
      <c r="AK239" s="200"/>
      <c r="AL239" s="294">
        <f t="shared" si="26"/>
        <v>0</v>
      </c>
      <c r="AM239" s="198"/>
      <c r="AN239" s="200"/>
      <c r="AO239" s="200"/>
      <c r="AP239" s="195"/>
      <c r="AQ239" s="282"/>
      <c r="AS239" s="300" t="str">
        <f t="shared" si="27"/>
        <v/>
      </c>
      <c r="AT239" s="210">
        <f t="shared" si="28"/>
        <v>0</v>
      </c>
      <c r="AU239" s="210"/>
      <c r="AV239" s="292">
        <f t="shared" si="29"/>
        <v>0</v>
      </c>
      <c r="AW239" s="210">
        <f t="shared" si="30"/>
        <v>0</v>
      </c>
      <c r="AX239" s="210">
        <f t="shared" si="31"/>
        <v>0</v>
      </c>
      <c r="AY239" s="210">
        <f t="shared" si="32"/>
        <v>0</v>
      </c>
    </row>
    <row r="240" spans="34:51" x14ac:dyDescent="0.25">
      <c r="AH240" s="197"/>
      <c r="AI240" s="200"/>
      <c r="AJ240" s="302"/>
      <c r="AK240" s="200"/>
      <c r="AL240" s="294">
        <f t="shared" si="26"/>
        <v>0</v>
      </c>
      <c r="AM240" s="198"/>
      <c r="AN240" s="200"/>
      <c r="AO240" s="200"/>
      <c r="AP240" s="195"/>
      <c r="AQ240" s="282"/>
      <c r="AS240" s="300" t="str">
        <f t="shared" si="27"/>
        <v/>
      </c>
      <c r="AT240" s="210">
        <f t="shared" si="28"/>
        <v>0</v>
      </c>
      <c r="AU240" s="210"/>
      <c r="AV240" s="292">
        <f t="shared" si="29"/>
        <v>0</v>
      </c>
      <c r="AW240" s="210">
        <f t="shared" si="30"/>
        <v>0</v>
      </c>
      <c r="AX240" s="210">
        <f t="shared" si="31"/>
        <v>0</v>
      </c>
      <c r="AY240" s="210">
        <f t="shared" si="32"/>
        <v>0</v>
      </c>
    </row>
    <row r="241" spans="34:51" x14ac:dyDescent="0.25">
      <c r="AH241" s="197"/>
      <c r="AI241" s="200"/>
      <c r="AJ241" s="302"/>
      <c r="AK241" s="200"/>
      <c r="AL241" s="294">
        <f t="shared" si="26"/>
        <v>0</v>
      </c>
      <c r="AM241" s="198"/>
      <c r="AN241" s="200"/>
      <c r="AO241" s="200"/>
      <c r="AP241" s="195"/>
      <c r="AQ241" s="282"/>
      <c r="AS241" s="300" t="str">
        <f t="shared" si="27"/>
        <v/>
      </c>
      <c r="AT241" s="210">
        <f t="shared" si="28"/>
        <v>0</v>
      </c>
      <c r="AU241" s="210"/>
      <c r="AV241" s="292">
        <f t="shared" si="29"/>
        <v>0</v>
      </c>
      <c r="AW241" s="210">
        <f t="shared" si="30"/>
        <v>0</v>
      </c>
      <c r="AX241" s="210">
        <f t="shared" si="31"/>
        <v>0</v>
      </c>
      <c r="AY241" s="210">
        <f t="shared" si="32"/>
        <v>0</v>
      </c>
    </row>
    <row r="242" spans="34:51" x14ac:dyDescent="0.25">
      <c r="AH242" s="197"/>
      <c r="AI242" s="200"/>
      <c r="AJ242" s="302"/>
      <c r="AK242" s="200"/>
      <c r="AL242" s="294">
        <f t="shared" si="26"/>
        <v>0</v>
      </c>
      <c r="AM242" s="198"/>
      <c r="AN242" s="200"/>
      <c r="AO242" s="200"/>
      <c r="AP242" s="195"/>
      <c r="AQ242" s="282"/>
      <c r="AS242" s="300" t="str">
        <f t="shared" si="27"/>
        <v/>
      </c>
      <c r="AT242" s="210">
        <f t="shared" si="28"/>
        <v>0</v>
      </c>
      <c r="AU242" s="210"/>
      <c r="AV242" s="292">
        <f t="shared" si="29"/>
        <v>0</v>
      </c>
      <c r="AW242" s="210">
        <f t="shared" si="30"/>
        <v>0</v>
      </c>
      <c r="AX242" s="210">
        <f t="shared" si="31"/>
        <v>0</v>
      </c>
      <c r="AY242" s="210">
        <f t="shared" si="32"/>
        <v>0</v>
      </c>
    </row>
    <row r="243" spans="34:51" x14ac:dyDescent="0.25">
      <c r="AH243" s="197"/>
      <c r="AI243" s="200"/>
      <c r="AJ243" s="302"/>
      <c r="AK243" s="200"/>
      <c r="AL243" s="294">
        <f t="shared" si="26"/>
        <v>0</v>
      </c>
      <c r="AM243" s="198"/>
      <c r="AN243" s="200"/>
      <c r="AO243" s="200"/>
      <c r="AP243" s="195"/>
      <c r="AQ243" s="282"/>
      <c r="AS243" s="300" t="str">
        <f t="shared" si="27"/>
        <v/>
      </c>
      <c r="AT243" s="210">
        <f t="shared" si="28"/>
        <v>0</v>
      </c>
      <c r="AU243" s="210"/>
      <c r="AV243" s="292">
        <f t="shared" si="29"/>
        <v>0</v>
      </c>
      <c r="AW243" s="210">
        <f t="shared" si="30"/>
        <v>0</v>
      </c>
      <c r="AX243" s="210">
        <f t="shared" si="31"/>
        <v>0</v>
      </c>
      <c r="AY243" s="210">
        <f t="shared" si="32"/>
        <v>0</v>
      </c>
    </row>
    <row r="244" spans="34:51" x14ac:dyDescent="0.25">
      <c r="AH244" s="197"/>
      <c r="AI244" s="200"/>
      <c r="AJ244" s="302"/>
      <c r="AK244" s="200"/>
      <c r="AL244" s="294">
        <f t="shared" si="26"/>
        <v>0</v>
      </c>
      <c r="AM244" s="198"/>
      <c r="AN244" s="200"/>
      <c r="AO244" s="200"/>
      <c r="AP244" s="195"/>
      <c r="AQ244" s="282"/>
      <c r="AS244" s="300" t="str">
        <f t="shared" si="27"/>
        <v/>
      </c>
      <c r="AT244" s="210">
        <f t="shared" si="28"/>
        <v>0</v>
      </c>
      <c r="AU244" s="210"/>
      <c r="AV244" s="292">
        <f t="shared" si="29"/>
        <v>0</v>
      </c>
      <c r="AW244" s="210">
        <f t="shared" si="30"/>
        <v>0</v>
      </c>
      <c r="AX244" s="210">
        <f t="shared" si="31"/>
        <v>0</v>
      </c>
      <c r="AY244" s="210">
        <f t="shared" si="32"/>
        <v>0</v>
      </c>
    </row>
    <row r="245" spans="34:51" x14ac:dyDescent="0.25">
      <c r="AH245" s="197"/>
      <c r="AI245" s="200"/>
      <c r="AJ245" s="302"/>
      <c r="AK245" s="200"/>
      <c r="AL245" s="294">
        <f t="shared" si="26"/>
        <v>0</v>
      </c>
      <c r="AM245" s="198"/>
      <c r="AN245" s="200"/>
      <c r="AO245" s="200"/>
      <c r="AP245" s="195"/>
      <c r="AQ245" s="282"/>
      <c r="AS245" s="300" t="str">
        <f t="shared" si="27"/>
        <v/>
      </c>
      <c r="AT245" s="210">
        <f t="shared" si="28"/>
        <v>0</v>
      </c>
      <c r="AU245" s="210"/>
      <c r="AV245" s="292">
        <f t="shared" si="29"/>
        <v>0</v>
      </c>
      <c r="AW245" s="210">
        <f t="shared" si="30"/>
        <v>0</v>
      </c>
      <c r="AX245" s="210">
        <f t="shared" si="31"/>
        <v>0</v>
      </c>
      <c r="AY245" s="210">
        <f t="shared" si="32"/>
        <v>0</v>
      </c>
    </row>
    <row r="246" spans="34:51" x14ac:dyDescent="0.25">
      <c r="AH246" s="197"/>
      <c r="AI246" s="200"/>
      <c r="AJ246" s="302"/>
      <c r="AK246" s="200"/>
      <c r="AL246" s="294">
        <f t="shared" si="26"/>
        <v>0</v>
      </c>
      <c r="AM246" s="198"/>
      <c r="AN246" s="200"/>
      <c r="AO246" s="200"/>
      <c r="AP246" s="195"/>
      <c r="AQ246" s="282"/>
      <c r="AS246" s="300" t="str">
        <f t="shared" si="27"/>
        <v/>
      </c>
      <c r="AT246" s="210">
        <f t="shared" si="28"/>
        <v>0</v>
      </c>
      <c r="AU246" s="210"/>
      <c r="AV246" s="292">
        <f t="shared" si="29"/>
        <v>0</v>
      </c>
      <c r="AW246" s="210">
        <f t="shared" si="30"/>
        <v>0</v>
      </c>
      <c r="AX246" s="210">
        <f t="shared" si="31"/>
        <v>0</v>
      </c>
      <c r="AY246" s="210">
        <f t="shared" si="32"/>
        <v>0</v>
      </c>
    </row>
    <row r="247" spans="34:51" x14ac:dyDescent="0.25">
      <c r="AH247" s="197"/>
      <c r="AI247" s="200"/>
      <c r="AJ247" s="302"/>
      <c r="AK247" s="200"/>
      <c r="AL247" s="294">
        <f t="shared" si="26"/>
        <v>0</v>
      </c>
      <c r="AM247" s="198"/>
      <c r="AN247" s="200"/>
      <c r="AO247" s="200"/>
      <c r="AP247" s="195"/>
      <c r="AQ247" s="282"/>
      <c r="AS247" s="300" t="str">
        <f t="shared" si="27"/>
        <v/>
      </c>
      <c r="AT247" s="210">
        <f t="shared" si="28"/>
        <v>0</v>
      </c>
      <c r="AU247" s="210"/>
      <c r="AV247" s="292">
        <f t="shared" si="29"/>
        <v>0</v>
      </c>
      <c r="AW247" s="210">
        <f t="shared" si="30"/>
        <v>0</v>
      </c>
      <c r="AX247" s="210">
        <f t="shared" si="31"/>
        <v>0</v>
      </c>
      <c r="AY247" s="210">
        <f t="shared" si="32"/>
        <v>0</v>
      </c>
    </row>
    <row r="248" spans="34:51" x14ac:dyDescent="0.25">
      <c r="AH248" s="197"/>
      <c r="AI248" s="200"/>
      <c r="AJ248" s="302"/>
      <c r="AK248" s="200"/>
      <c r="AL248" s="294">
        <f t="shared" si="26"/>
        <v>0</v>
      </c>
      <c r="AM248" s="198"/>
      <c r="AN248" s="200"/>
      <c r="AO248" s="200"/>
      <c r="AP248" s="195"/>
      <c r="AQ248" s="282"/>
      <c r="AS248" s="300" t="str">
        <f t="shared" si="27"/>
        <v/>
      </c>
      <c r="AT248" s="210">
        <f t="shared" si="28"/>
        <v>0</v>
      </c>
      <c r="AU248" s="210"/>
      <c r="AV248" s="292">
        <f t="shared" si="29"/>
        <v>0</v>
      </c>
      <c r="AW248" s="210">
        <f t="shared" si="30"/>
        <v>0</v>
      </c>
      <c r="AX248" s="210">
        <f t="shared" si="31"/>
        <v>0</v>
      </c>
      <c r="AY248" s="210">
        <f t="shared" si="32"/>
        <v>0</v>
      </c>
    </row>
    <row r="249" spans="34:51" x14ac:dyDescent="0.25">
      <c r="AH249" s="197"/>
      <c r="AI249" s="200"/>
      <c r="AJ249" s="302"/>
      <c r="AK249" s="200"/>
      <c r="AL249" s="294">
        <f t="shared" si="26"/>
        <v>0</v>
      </c>
      <c r="AM249" s="198"/>
      <c r="AN249" s="200"/>
      <c r="AO249" s="200"/>
      <c r="AP249" s="195"/>
      <c r="AQ249" s="282"/>
      <c r="AS249" s="300" t="str">
        <f t="shared" si="27"/>
        <v/>
      </c>
      <c r="AT249" s="210">
        <f t="shared" si="28"/>
        <v>0</v>
      </c>
      <c r="AU249" s="210"/>
      <c r="AV249" s="292">
        <f t="shared" si="29"/>
        <v>0</v>
      </c>
      <c r="AW249" s="210">
        <f t="shared" si="30"/>
        <v>0</v>
      </c>
      <c r="AX249" s="210">
        <f t="shared" si="31"/>
        <v>0</v>
      </c>
      <c r="AY249" s="210">
        <f t="shared" si="32"/>
        <v>0</v>
      </c>
    </row>
    <row r="250" spans="34:51" x14ac:dyDescent="0.25">
      <c r="AH250" s="197"/>
      <c r="AI250" s="200"/>
      <c r="AJ250" s="302"/>
      <c r="AK250" s="200"/>
      <c r="AL250" s="294">
        <f t="shared" si="26"/>
        <v>0</v>
      </c>
      <c r="AM250" s="198"/>
      <c r="AN250" s="200"/>
      <c r="AO250" s="200"/>
      <c r="AP250" s="195"/>
      <c r="AQ250" s="282"/>
      <c r="AS250" s="300" t="str">
        <f t="shared" si="27"/>
        <v/>
      </c>
      <c r="AT250" s="210">
        <f t="shared" si="28"/>
        <v>0</v>
      </c>
      <c r="AU250" s="210"/>
      <c r="AV250" s="292">
        <f t="shared" si="29"/>
        <v>0</v>
      </c>
      <c r="AW250" s="210">
        <f t="shared" si="30"/>
        <v>0</v>
      </c>
      <c r="AX250" s="210">
        <f t="shared" si="31"/>
        <v>0</v>
      </c>
      <c r="AY250" s="210">
        <f t="shared" si="32"/>
        <v>0</v>
      </c>
    </row>
    <row r="251" spans="34:51" x14ac:dyDescent="0.25">
      <c r="AH251" s="197"/>
      <c r="AI251" s="200"/>
      <c r="AJ251" s="302"/>
      <c r="AK251" s="200"/>
      <c r="AL251" s="294">
        <f t="shared" si="26"/>
        <v>0</v>
      </c>
      <c r="AM251" s="198"/>
      <c r="AN251" s="200"/>
      <c r="AO251" s="200"/>
      <c r="AP251" s="195"/>
      <c r="AQ251" s="282"/>
      <c r="AS251" s="300" t="str">
        <f t="shared" si="27"/>
        <v/>
      </c>
      <c r="AT251" s="210">
        <f t="shared" si="28"/>
        <v>0</v>
      </c>
      <c r="AU251" s="210"/>
      <c r="AV251" s="292">
        <f t="shared" si="29"/>
        <v>0</v>
      </c>
      <c r="AW251" s="210">
        <f t="shared" si="30"/>
        <v>0</v>
      </c>
      <c r="AX251" s="210">
        <f t="shared" si="31"/>
        <v>0</v>
      </c>
      <c r="AY251" s="210">
        <f t="shared" si="32"/>
        <v>0</v>
      </c>
    </row>
    <row r="252" spans="34:51" x14ac:dyDescent="0.25">
      <c r="AH252" s="197"/>
      <c r="AI252" s="200"/>
      <c r="AJ252" s="302"/>
      <c r="AK252" s="200"/>
      <c r="AL252" s="294">
        <f t="shared" si="26"/>
        <v>0</v>
      </c>
      <c r="AM252" s="198"/>
      <c r="AN252" s="200"/>
      <c r="AO252" s="200"/>
      <c r="AP252" s="195"/>
      <c r="AQ252" s="282"/>
      <c r="AS252" s="300" t="str">
        <f t="shared" si="27"/>
        <v/>
      </c>
      <c r="AT252" s="210">
        <f t="shared" si="28"/>
        <v>0</v>
      </c>
      <c r="AU252" s="210"/>
      <c r="AV252" s="292">
        <f t="shared" si="29"/>
        <v>0</v>
      </c>
      <c r="AW252" s="210">
        <f t="shared" si="30"/>
        <v>0</v>
      </c>
      <c r="AX252" s="210">
        <f t="shared" si="31"/>
        <v>0</v>
      </c>
      <c r="AY252" s="210">
        <f t="shared" si="32"/>
        <v>0</v>
      </c>
    </row>
    <row r="253" spans="34:51" x14ac:dyDescent="0.25">
      <c r="AH253" s="197"/>
      <c r="AI253" s="200"/>
      <c r="AJ253" s="302"/>
      <c r="AK253" s="200"/>
      <c r="AL253" s="294">
        <f t="shared" si="26"/>
        <v>0</v>
      </c>
      <c r="AM253" s="198"/>
      <c r="AN253" s="200"/>
      <c r="AO253" s="200"/>
      <c r="AP253" s="195"/>
      <c r="AQ253" s="282"/>
      <c r="AS253" s="300" t="str">
        <f t="shared" si="27"/>
        <v/>
      </c>
      <c r="AT253" s="210">
        <f t="shared" si="28"/>
        <v>0</v>
      </c>
      <c r="AU253" s="210"/>
      <c r="AV253" s="292">
        <f t="shared" si="29"/>
        <v>0</v>
      </c>
      <c r="AW253" s="210">
        <f t="shared" si="30"/>
        <v>0</v>
      </c>
      <c r="AX253" s="210">
        <f t="shared" si="31"/>
        <v>0</v>
      </c>
      <c r="AY253" s="210">
        <f t="shared" si="32"/>
        <v>0</v>
      </c>
    </row>
    <row r="254" spans="34:51" x14ac:dyDescent="0.25">
      <c r="AH254" s="197"/>
      <c r="AI254" s="200"/>
      <c r="AJ254" s="302"/>
      <c r="AK254" s="200"/>
      <c r="AL254" s="294">
        <f t="shared" si="26"/>
        <v>0</v>
      </c>
      <c r="AM254" s="198"/>
      <c r="AN254" s="200"/>
      <c r="AO254" s="200"/>
      <c r="AP254" s="195"/>
      <c r="AQ254" s="282"/>
      <c r="AS254" s="300" t="str">
        <f t="shared" si="27"/>
        <v/>
      </c>
      <c r="AT254" s="210">
        <f t="shared" si="28"/>
        <v>0</v>
      </c>
      <c r="AU254" s="210"/>
      <c r="AV254" s="292">
        <f t="shared" si="29"/>
        <v>0</v>
      </c>
      <c r="AW254" s="210">
        <f t="shared" si="30"/>
        <v>0</v>
      </c>
      <c r="AX254" s="210">
        <f t="shared" si="31"/>
        <v>0</v>
      </c>
      <c r="AY254" s="210">
        <f t="shared" si="32"/>
        <v>0</v>
      </c>
    </row>
    <row r="255" spans="34:51" x14ac:dyDescent="0.25">
      <c r="AH255" s="197"/>
      <c r="AI255" s="200"/>
      <c r="AJ255" s="302"/>
      <c r="AK255" s="200"/>
      <c r="AL255" s="294">
        <f t="shared" si="26"/>
        <v>0</v>
      </c>
      <c r="AM255" s="198"/>
      <c r="AN255" s="200"/>
      <c r="AO255" s="200"/>
      <c r="AP255" s="195"/>
      <c r="AQ255" s="282"/>
      <c r="AS255" s="300" t="str">
        <f t="shared" si="27"/>
        <v/>
      </c>
      <c r="AT255" s="210">
        <f t="shared" si="28"/>
        <v>0</v>
      </c>
      <c r="AU255" s="210"/>
      <c r="AV255" s="292">
        <f t="shared" si="29"/>
        <v>0</v>
      </c>
      <c r="AW255" s="210">
        <f t="shared" si="30"/>
        <v>0</v>
      </c>
      <c r="AX255" s="210">
        <f t="shared" si="31"/>
        <v>0</v>
      </c>
      <c r="AY255" s="210">
        <f t="shared" si="32"/>
        <v>0</v>
      </c>
    </row>
    <row r="256" spans="34:51" x14ac:dyDescent="0.25">
      <c r="AH256" s="197"/>
      <c r="AI256" s="200"/>
      <c r="AJ256" s="302"/>
      <c r="AK256" s="200"/>
      <c r="AL256" s="294">
        <f t="shared" si="26"/>
        <v>0</v>
      </c>
      <c r="AM256" s="198"/>
      <c r="AN256" s="200"/>
      <c r="AO256" s="200"/>
      <c r="AP256" s="195"/>
      <c r="AQ256" s="282"/>
      <c r="AS256" s="300" t="str">
        <f t="shared" si="27"/>
        <v/>
      </c>
      <c r="AT256" s="210">
        <f t="shared" si="28"/>
        <v>0</v>
      </c>
      <c r="AU256" s="210"/>
      <c r="AV256" s="292">
        <f t="shared" si="29"/>
        <v>0</v>
      </c>
      <c r="AW256" s="210">
        <f t="shared" si="30"/>
        <v>0</v>
      </c>
      <c r="AX256" s="210">
        <f t="shared" si="31"/>
        <v>0</v>
      </c>
      <c r="AY256" s="210">
        <f t="shared" si="32"/>
        <v>0</v>
      </c>
    </row>
    <row r="257" spans="34:51" x14ac:dyDescent="0.25">
      <c r="AH257" s="197"/>
      <c r="AI257" s="200"/>
      <c r="AJ257" s="302"/>
      <c r="AK257" s="200"/>
      <c r="AL257" s="294">
        <f t="shared" si="26"/>
        <v>0</v>
      </c>
      <c r="AM257" s="198"/>
      <c r="AN257" s="200"/>
      <c r="AO257" s="200"/>
      <c r="AP257" s="195"/>
      <c r="AQ257" s="282"/>
      <c r="AS257" s="300" t="str">
        <f t="shared" si="27"/>
        <v/>
      </c>
      <c r="AT257" s="210">
        <f t="shared" si="28"/>
        <v>0</v>
      </c>
      <c r="AU257" s="210"/>
      <c r="AV257" s="292">
        <f t="shared" si="29"/>
        <v>0</v>
      </c>
      <c r="AW257" s="210">
        <f t="shared" si="30"/>
        <v>0</v>
      </c>
      <c r="AX257" s="210">
        <f t="shared" si="31"/>
        <v>0</v>
      </c>
      <c r="AY257" s="210">
        <f t="shared" si="32"/>
        <v>0</v>
      </c>
    </row>
    <row r="258" spans="34:51" x14ac:dyDescent="0.25">
      <c r="AH258" s="197"/>
      <c r="AI258" s="200"/>
      <c r="AJ258" s="302"/>
      <c r="AK258" s="200"/>
      <c r="AL258" s="294">
        <f t="shared" si="26"/>
        <v>0</v>
      </c>
      <c r="AM258" s="198"/>
      <c r="AN258" s="200"/>
      <c r="AO258" s="200"/>
      <c r="AP258" s="195"/>
      <c r="AQ258" s="282"/>
      <c r="AS258" s="300" t="str">
        <f t="shared" si="27"/>
        <v/>
      </c>
      <c r="AT258" s="210">
        <f t="shared" si="28"/>
        <v>0</v>
      </c>
      <c r="AU258" s="210"/>
      <c r="AV258" s="292">
        <f t="shared" si="29"/>
        <v>0</v>
      </c>
      <c r="AW258" s="210">
        <f t="shared" si="30"/>
        <v>0</v>
      </c>
      <c r="AX258" s="210">
        <f t="shared" si="31"/>
        <v>0</v>
      </c>
      <c r="AY258" s="210">
        <f t="shared" si="32"/>
        <v>0</v>
      </c>
    </row>
    <row r="259" spans="34:51" x14ac:dyDescent="0.25">
      <c r="AH259" s="197"/>
      <c r="AI259" s="200"/>
      <c r="AJ259" s="302"/>
      <c r="AK259" s="200"/>
      <c r="AL259" s="294">
        <f t="shared" si="26"/>
        <v>0</v>
      </c>
      <c r="AM259" s="198"/>
      <c r="AN259" s="200"/>
      <c r="AO259" s="200"/>
      <c r="AP259" s="195"/>
      <c r="AQ259" s="282"/>
      <c r="AS259" s="300" t="str">
        <f t="shared" si="27"/>
        <v/>
      </c>
      <c r="AT259" s="210">
        <f t="shared" si="28"/>
        <v>0</v>
      </c>
      <c r="AU259" s="210"/>
      <c r="AV259" s="292">
        <f t="shared" si="29"/>
        <v>0</v>
      </c>
      <c r="AW259" s="210">
        <f t="shared" si="30"/>
        <v>0</v>
      </c>
      <c r="AX259" s="210">
        <f t="shared" si="31"/>
        <v>0</v>
      </c>
      <c r="AY259" s="210">
        <f t="shared" si="32"/>
        <v>0</v>
      </c>
    </row>
    <row r="260" spans="34:51" x14ac:dyDescent="0.25">
      <c r="AH260" s="197"/>
      <c r="AI260" s="200"/>
      <c r="AJ260" s="302"/>
      <c r="AK260" s="200"/>
      <c r="AL260" s="294">
        <f t="shared" si="26"/>
        <v>0</v>
      </c>
      <c r="AM260" s="198"/>
      <c r="AN260" s="200"/>
      <c r="AO260" s="200"/>
      <c r="AP260" s="195"/>
      <c r="AQ260" s="282"/>
      <c r="AS260" s="300" t="str">
        <f t="shared" si="27"/>
        <v/>
      </c>
      <c r="AT260" s="210">
        <f t="shared" si="28"/>
        <v>0</v>
      </c>
      <c r="AU260" s="210"/>
      <c r="AV260" s="292">
        <f t="shared" si="29"/>
        <v>0</v>
      </c>
      <c r="AW260" s="210">
        <f t="shared" si="30"/>
        <v>0</v>
      </c>
      <c r="AX260" s="210">
        <f t="shared" si="31"/>
        <v>0</v>
      </c>
      <c r="AY260" s="210">
        <f t="shared" si="32"/>
        <v>0</v>
      </c>
    </row>
    <row r="261" spans="34:51" x14ac:dyDescent="0.25">
      <c r="AH261" s="197"/>
      <c r="AI261" s="200"/>
      <c r="AJ261" s="302"/>
      <c r="AK261" s="200"/>
      <c r="AL261" s="294">
        <f t="shared" si="26"/>
        <v>0</v>
      </c>
      <c r="AM261" s="198"/>
      <c r="AN261" s="200"/>
      <c r="AO261" s="200"/>
      <c r="AP261" s="195"/>
      <c r="AQ261" s="282"/>
      <c r="AS261" s="300" t="str">
        <f t="shared" si="27"/>
        <v/>
      </c>
      <c r="AT261" s="210">
        <f t="shared" si="28"/>
        <v>0</v>
      </c>
      <c r="AU261" s="210"/>
      <c r="AV261" s="292">
        <f t="shared" si="29"/>
        <v>0</v>
      </c>
      <c r="AW261" s="210">
        <f t="shared" si="30"/>
        <v>0</v>
      </c>
      <c r="AX261" s="210">
        <f t="shared" si="31"/>
        <v>0</v>
      </c>
      <c r="AY261" s="210">
        <f t="shared" si="32"/>
        <v>0</v>
      </c>
    </row>
    <row r="262" spans="34:51" x14ac:dyDescent="0.25">
      <c r="AH262" s="197"/>
      <c r="AI262" s="200"/>
      <c r="AJ262" s="302"/>
      <c r="AK262" s="200"/>
      <c r="AL262" s="294">
        <f t="shared" si="26"/>
        <v>0</v>
      </c>
      <c r="AM262" s="198"/>
      <c r="AN262" s="200"/>
      <c r="AO262" s="200"/>
      <c r="AP262" s="195"/>
      <c r="AQ262" s="282"/>
      <c r="AS262" s="300" t="str">
        <f t="shared" si="27"/>
        <v/>
      </c>
      <c r="AT262" s="210">
        <f t="shared" si="28"/>
        <v>0</v>
      </c>
      <c r="AU262" s="210"/>
      <c r="AV262" s="292">
        <f t="shared" si="29"/>
        <v>0</v>
      </c>
      <c r="AW262" s="210">
        <f t="shared" si="30"/>
        <v>0</v>
      </c>
      <c r="AX262" s="210">
        <f t="shared" si="31"/>
        <v>0</v>
      </c>
      <c r="AY262" s="210">
        <f t="shared" si="32"/>
        <v>0</v>
      </c>
    </row>
    <row r="263" spans="34:51" x14ac:dyDescent="0.25">
      <c r="AH263" s="197"/>
      <c r="AI263" s="200"/>
      <c r="AJ263" s="302"/>
      <c r="AK263" s="200"/>
      <c r="AL263" s="294">
        <f t="shared" si="26"/>
        <v>0</v>
      </c>
      <c r="AM263" s="198"/>
      <c r="AN263" s="200"/>
      <c r="AO263" s="200"/>
      <c r="AP263" s="195"/>
      <c r="AQ263" s="282"/>
      <c r="AS263" s="300" t="str">
        <f t="shared" si="27"/>
        <v/>
      </c>
      <c r="AT263" s="210">
        <f t="shared" si="28"/>
        <v>0</v>
      </c>
      <c r="AU263" s="210"/>
      <c r="AV263" s="292">
        <f t="shared" si="29"/>
        <v>0</v>
      </c>
      <c r="AW263" s="210">
        <f t="shared" si="30"/>
        <v>0</v>
      </c>
      <c r="AX263" s="210">
        <f t="shared" si="31"/>
        <v>0</v>
      </c>
      <c r="AY263" s="210">
        <f t="shared" si="32"/>
        <v>0</v>
      </c>
    </row>
    <row r="264" spans="34:51" x14ac:dyDescent="0.25">
      <c r="AH264" s="197"/>
      <c r="AI264" s="200"/>
      <c r="AJ264" s="302"/>
      <c r="AK264" s="200"/>
      <c r="AL264" s="294">
        <f t="shared" si="26"/>
        <v>0</v>
      </c>
      <c r="AM264" s="198"/>
      <c r="AN264" s="200"/>
      <c r="AO264" s="200"/>
      <c r="AP264" s="195"/>
      <c r="AQ264" s="282"/>
      <c r="AS264" s="300" t="str">
        <f t="shared" si="27"/>
        <v/>
      </c>
      <c r="AT264" s="210">
        <f t="shared" si="28"/>
        <v>0</v>
      </c>
      <c r="AU264" s="210"/>
      <c r="AV264" s="292">
        <f t="shared" si="29"/>
        <v>0</v>
      </c>
      <c r="AW264" s="210">
        <f t="shared" si="30"/>
        <v>0</v>
      </c>
      <c r="AX264" s="210">
        <f t="shared" si="31"/>
        <v>0</v>
      </c>
      <c r="AY264" s="210">
        <f t="shared" si="32"/>
        <v>0</v>
      </c>
    </row>
    <row r="265" spans="34:51" x14ac:dyDescent="0.25">
      <c r="AH265" s="197"/>
      <c r="AI265" s="200"/>
      <c r="AJ265" s="302"/>
      <c r="AK265" s="200"/>
      <c r="AL265" s="294">
        <f t="shared" si="26"/>
        <v>0</v>
      </c>
      <c r="AM265" s="198"/>
      <c r="AN265" s="200"/>
      <c r="AO265" s="200"/>
      <c r="AP265" s="195"/>
      <c r="AQ265" s="282"/>
      <c r="AS265" s="300" t="str">
        <f t="shared" si="27"/>
        <v/>
      </c>
      <c r="AT265" s="210">
        <f t="shared" si="28"/>
        <v>0</v>
      </c>
      <c r="AU265" s="210"/>
      <c r="AV265" s="292">
        <f t="shared" si="29"/>
        <v>0</v>
      </c>
      <c r="AW265" s="210">
        <f t="shared" si="30"/>
        <v>0</v>
      </c>
      <c r="AX265" s="210">
        <f t="shared" si="31"/>
        <v>0</v>
      </c>
      <c r="AY265" s="210">
        <f t="shared" si="32"/>
        <v>0</v>
      </c>
    </row>
    <row r="266" spans="34:51" x14ac:dyDescent="0.25">
      <c r="AH266" s="197"/>
      <c r="AI266" s="200"/>
      <c r="AJ266" s="302"/>
      <c r="AK266" s="200"/>
      <c r="AL266" s="294">
        <f t="shared" si="26"/>
        <v>0</v>
      </c>
      <c r="AM266" s="198"/>
      <c r="AN266" s="200"/>
      <c r="AO266" s="200"/>
      <c r="AP266" s="195"/>
      <c r="AQ266" s="282"/>
      <c r="AS266" s="300" t="str">
        <f t="shared" si="27"/>
        <v/>
      </c>
      <c r="AT266" s="210">
        <f t="shared" si="28"/>
        <v>0</v>
      </c>
      <c r="AU266" s="210"/>
      <c r="AV266" s="292">
        <f t="shared" si="29"/>
        <v>0</v>
      </c>
      <c r="AW266" s="210">
        <f t="shared" si="30"/>
        <v>0</v>
      </c>
      <c r="AX266" s="210">
        <f t="shared" si="31"/>
        <v>0</v>
      </c>
      <c r="AY266" s="210">
        <f t="shared" si="32"/>
        <v>0</v>
      </c>
    </row>
    <row r="267" spans="34:51" x14ac:dyDescent="0.25">
      <c r="AH267" s="197"/>
      <c r="AI267" s="200"/>
      <c r="AJ267" s="302"/>
      <c r="AK267" s="200"/>
      <c r="AL267" s="294">
        <f t="shared" ref="AL267:AL330" si="33">AK267*AI267</f>
        <v>0</v>
      </c>
      <c r="AM267" s="198"/>
      <c r="AN267" s="200"/>
      <c r="AO267" s="200"/>
      <c r="AP267" s="195"/>
      <c r="AQ267" s="282"/>
      <c r="AS267" s="300" t="str">
        <f t="shared" ref="AS267:AS330" si="34">IFERROR(IF(AM267="CEE",AL267/(1.062*AN267),AL267/AN267),"")</f>
        <v/>
      </c>
      <c r="AT267" s="210">
        <f t="shared" ref="AT267:AT330" si="35">IF(AQ267="Não atende",1,0)</f>
        <v>0</v>
      </c>
      <c r="AU267" s="210"/>
      <c r="AV267" s="292">
        <f t="shared" si="29"/>
        <v>0</v>
      </c>
      <c r="AW267" s="210">
        <f t="shared" si="30"/>
        <v>0</v>
      </c>
      <c r="AX267" s="210">
        <f t="shared" si="31"/>
        <v>0</v>
      </c>
      <c r="AY267" s="210">
        <f t="shared" si="32"/>
        <v>0</v>
      </c>
    </row>
    <row r="268" spans="34:51" x14ac:dyDescent="0.25">
      <c r="AH268" s="197"/>
      <c r="AI268" s="200"/>
      <c r="AJ268" s="302"/>
      <c r="AK268" s="200"/>
      <c r="AL268" s="294">
        <f t="shared" si="33"/>
        <v>0</v>
      </c>
      <c r="AM268" s="198"/>
      <c r="AN268" s="200"/>
      <c r="AO268" s="200"/>
      <c r="AP268" s="195"/>
      <c r="AQ268" s="282"/>
      <c r="AS268" s="300" t="str">
        <f t="shared" si="34"/>
        <v/>
      </c>
      <c r="AT268" s="210">
        <f t="shared" si="35"/>
        <v>0</v>
      </c>
      <c r="AU268" s="210"/>
      <c r="AV268" s="292">
        <f t="shared" si="29"/>
        <v>0</v>
      </c>
      <c r="AW268" s="210">
        <f t="shared" si="30"/>
        <v>0</v>
      </c>
      <c r="AX268" s="210">
        <f t="shared" si="31"/>
        <v>0</v>
      </c>
      <c r="AY268" s="210">
        <f t="shared" si="32"/>
        <v>0</v>
      </c>
    </row>
    <row r="269" spans="34:51" x14ac:dyDescent="0.25">
      <c r="AH269" s="197"/>
      <c r="AI269" s="200"/>
      <c r="AJ269" s="302"/>
      <c r="AK269" s="200"/>
      <c r="AL269" s="294">
        <f t="shared" si="33"/>
        <v>0</v>
      </c>
      <c r="AM269" s="198"/>
      <c r="AN269" s="200"/>
      <c r="AO269" s="200"/>
      <c r="AP269" s="195"/>
      <c r="AQ269" s="282"/>
      <c r="AS269" s="300" t="str">
        <f t="shared" si="34"/>
        <v/>
      </c>
      <c r="AT269" s="210">
        <f t="shared" si="35"/>
        <v>0</v>
      </c>
      <c r="AU269" s="210"/>
      <c r="AV269" s="292">
        <f t="shared" ref="AV269:AV332" si="36">T269</f>
        <v>0</v>
      </c>
      <c r="AW269" s="210">
        <f t="shared" ref="AW269:AW332" si="37">IF(Z269&gt;W269,Z269,W269)</f>
        <v>0</v>
      </c>
      <c r="AX269" s="210">
        <f t="shared" ref="AX269:AX332" si="38">IF(AA269&gt;X269,AA269,X269)</f>
        <v>0</v>
      </c>
      <c r="AY269" s="210">
        <f t="shared" ref="AY269:AY332" si="39">IF(AB269&gt;Y269,AB269,Y269)</f>
        <v>0</v>
      </c>
    </row>
    <row r="270" spans="34:51" x14ac:dyDescent="0.25">
      <c r="AH270" s="197"/>
      <c r="AI270" s="200"/>
      <c r="AJ270" s="302"/>
      <c r="AK270" s="200"/>
      <c r="AL270" s="294">
        <f t="shared" si="33"/>
        <v>0</v>
      </c>
      <c r="AM270" s="198"/>
      <c r="AN270" s="200"/>
      <c r="AO270" s="200"/>
      <c r="AP270" s="195"/>
      <c r="AQ270" s="282"/>
      <c r="AS270" s="300" t="str">
        <f t="shared" si="34"/>
        <v/>
      </c>
      <c r="AT270" s="210">
        <f t="shared" si="35"/>
        <v>0</v>
      </c>
      <c r="AU270" s="210"/>
      <c r="AV270" s="292">
        <f t="shared" si="36"/>
        <v>0</v>
      </c>
      <c r="AW270" s="210">
        <f t="shared" si="37"/>
        <v>0</v>
      </c>
      <c r="AX270" s="210">
        <f t="shared" si="38"/>
        <v>0</v>
      </c>
      <c r="AY270" s="210">
        <f t="shared" si="39"/>
        <v>0</v>
      </c>
    </row>
    <row r="271" spans="34:51" x14ac:dyDescent="0.25">
      <c r="AH271" s="197"/>
      <c r="AI271" s="200"/>
      <c r="AJ271" s="302"/>
      <c r="AK271" s="200"/>
      <c r="AL271" s="294">
        <f t="shared" si="33"/>
        <v>0</v>
      </c>
      <c r="AM271" s="198"/>
      <c r="AN271" s="200"/>
      <c r="AO271" s="200"/>
      <c r="AP271" s="195"/>
      <c r="AQ271" s="282"/>
      <c r="AS271" s="300" t="str">
        <f t="shared" si="34"/>
        <v/>
      </c>
      <c r="AT271" s="210">
        <f t="shared" si="35"/>
        <v>0</v>
      </c>
      <c r="AU271" s="210"/>
      <c r="AV271" s="292">
        <f t="shared" si="36"/>
        <v>0</v>
      </c>
      <c r="AW271" s="210">
        <f t="shared" si="37"/>
        <v>0</v>
      </c>
      <c r="AX271" s="210">
        <f t="shared" si="38"/>
        <v>0</v>
      </c>
      <c r="AY271" s="210">
        <f t="shared" si="39"/>
        <v>0</v>
      </c>
    </row>
    <row r="272" spans="34:51" x14ac:dyDescent="0.25">
      <c r="AH272" s="197"/>
      <c r="AI272" s="200"/>
      <c r="AJ272" s="302"/>
      <c r="AK272" s="200"/>
      <c r="AL272" s="294">
        <f t="shared" si="33"/>
        <v>0</v>
      </c>
      <c r="AM272" s="198"/>
      <c r="AN272" s="200"/>
      <c r="AO272" s="200"/>
      <c r="AP272" s="195"/>
      <c r="AQ272" s="282"/>
      <c r="AS272" s="300" t="str">
        <f t="shared" si="34"/>
        <v/>
      </c>
      <c r="AT272" s="210">
        <f t="shared" si="35"/>
        <v>0</v>
      </c>
      <c r="AU272" s="210"/>
      <c r="AV272" s="292">
        <f t="shared" si="36"/>
        <v>0</v>
      </c>
      <c r="AW272" s="210">
        <f t="shared" si="37"/>
        <v>0</v>
      </c>
      <c r="AX272" s="210">
        <f t="shared" si="38"/>
        <v>0</v>
      </c>
      <c r="AY272" s="210">
        <f t="shared" si="39"/>
        <v>0</v>
      </c>
    </row>
    <row r="273" spans="34:51" x14ac:dyDescent="0.25">
      <c r="AH273" s="197"/>
      <c r="AI273" s="200"/>
      <c r="AJ273" s="302"/>
      <c r="AK273" s="200"/>
      <c r="AL273" s="294">
        <f t="shared" si="33"/>
        <v>0</v>
      </c>
      <c r="AM273" s="198"/>
      <c r="AN273" s="200"/>
      <c r="AO273" s="200"/>
      <c r="AP273" s="195"/>
      <c r="AQ273" s="282"/>
      <c r="AS273" s="300" t="str">
        <f t="shared" si="34"/>
        <v/>
      </c>
      <c r="AT273" s="210">
        <f t="shared" si="35"/>
        <v>0</v>
      </c>
      <c r="AU273" s="210"/>
      <c r="AV273" s="292">
        <f t="shared" si="36"/>
        <v>0</v>
      </c>
      <c r="AW273" s="210">
        <f t="shared" si="37"/>
        <v>0</v>
      </c>
      <c r="AX273" s="210">
        <f t="shared" si="38"/>
        <v>0</v>
      </c>
      <c r="AY273" s="210">
        <f t="shared" si="39"/>
        <v>0</v>
      </c>
    </row>
    <row r="274" spans="34:51" x14ac:dyDescent="0.25">
      <c r="AH274" s="197"/>
      <c r="AI274" s="200"/>
      <c r="AJ274" s="302"/>
      <c r="AK274" s="200"/>
      <c r="AL274" s="294">
        <f t="shared" si="33"/>
        <v>0</v>
      </c>
      <c r="AM274" s="198"/>
      <c r="AN274" s="200"/>
      <c r="AO274" s="200"/>
      <c r="AP274" s="195"/>
      <c r="AQ274" s="282"/>
      <c r="AS274" s="300" t="str">
        <f t="shared" si="34"/>
        <v/>
      </c>
      <c r="AT274" s="210">
        <f t="shared" si="35"/>
        <v>0</v>
      </c>
      <c r="AU274" s="210"/>
      <c r="AV274" s="292">
        <f t="shared" si="36"/>
        <v>0</v>
      </c>
      <c r="AW274" s="210">
        <f t="shared" si="37"/>
        <v>0</v>
      </c>
      <c r="AX274" s="210">
        <f t="shared" si="38"/>
        <v>0</v>
      </c>
      <c r="AY274" s="210">
        <f t="shared" si="39"/>
        <v>0</v>
      </c>
    </row>
    <row r="275" spans="34:51" x14ac:dyDescent="0.25">
      <c r="AH275" s="197"/>
      <c r="AI275" s="200"/>
      <c r="AJ275" s="302"/>
      <c r="AK275" s="200"/>
      <c r="AL275" s="294">
        <f t="shared" si="33"/>
        <v>0</v>
      </c>
      <c r="AM275" s="198"/>
      <c r="AN275" s="200"/>
      <c r="AO275" s="200"/>
      <c r="AP275" s="195"/>
      <c r="AQ275" s="282"/>
      <c r="AS275" s="300" t="str">
        <f t="shared" si="34"/>
        <v/>
      </c>
      <c r="AT275" s="210">
        <f t="shared" si="35"/>
        <v>0</v>
      </c>
      <c r="AU275" s="210"/>
      <c r="AV275" s="292">
        <f t="shared" si="36"/>
        <v>0</v>
      </c>
      <c r="AW275" s="210">
        <f t="shared" si="37"/>
        <v>0</v>
      </c>
      <c r="AX275" s="210">
        <f t="shared" si="38"/>
        <v>0</v>
      </c>
      <c r="AY275" s="210">
        <f t="shared" si="39"/>
        <v>0</v>
      </c>
    </row>
    <row r="276" spans="34:51" x14ac:dyDescent="0.25">
      <c r="AH276" s="197"/>
      <c r="AI276" s="200"/>
      <c r="AJ276" s="302"/>
      <c r="AK276" s="200"/>
      <c r="AL276" s="294">
        <f t="shared" si="33"/>
        <v>0</v>
      </c>
      <c r="AM276" s="198"/>
      <c r="AN276" s="200"/>
      <c r="AO276" s="200"/>
      <c r="AP276" s="195"/>
      <c r="AQ276" s="282"/>
      <c r="AS276" s="300" t="str">
        <f t="shared" si="34"/>
        <v/>
      </c>
      <c r="AT276" s="210">
        <f t="shared" si="35"/>
        <v>0</v>
      </c>
      <c r="AU276" s="210"/>
      <c r="AV276" s="292">
        <f t="shared" si="36"/>
        <v>0</v>
      </c>
      <c r="AW276" s="210">
        <f t="shared" si="37"/>
        <v>0</v>
      </c>
      <c r="AX276" s="210">
        <f t="shared" si="38"/>
        <v>0</v>
      </c>
      <c r="AY276" s="210">
        <f t="shared" si="39"/>
        <v>0</v>
      </c>
    </row>
    <row r="277" spans="34:51" x14ac:dyDescent="0.25">
      <c r="AH277" s="197"/>
      <c r="AI277" s="200"/>
      <c r="AJ277" s="302"/>
      <c r="AK277" s="200"/>
      <c r="AL277" s="294">
        <f t="shared" si="33"/>
        <v>0</v>
      </c>
      <c r="AM277" s="198"/>
      <c r="AN277" s="200"/>
      <c r="AO277" s="200"/>
      <c r="AP277" s="195"/>
      <c r="AQ277" s="282"/>
      <c r="AS277" s="300" t="str">
        <f t="shared" si="34"/>
        <v/>
      </c>
      <c r="AT277" s="210">
        <f t="shared" si="35"/>
        <v>0</v>
      </c>
      <c r="AU277" s="210"/>
      <c r="AV277" s="292">
        <f t="shared" si="36"/>
        <v>0</v>
      </c>
      <c r="AW277" s="210">
        <f t="shared" si="37"/>
        <v>0</v>
      </c>
      <c r="AX277" s="210">
        <f t="shared" si="38"/>
        <v>0</v>
      </c>
      <c r="AY277" s="210">
        <f t="shared" si="39"/>
        <v>0</v>
      </c>
    </row>
    <row r="278" spans="34:51" x14ac:dyDescent="0.25">
      <c r="AH278" s="197"/>
      <c r="AI278" s="200"/>
      <c r="AJ278" s="302"/>
      <c r="AK278" s="200"/>
      <c r="AL278" s="294">
        <f t="shared" si="33"/>
        <v>0</v>
      </c>
      <c r="AM278" s="198"/>
      <c r="AN278" s="200"/>
      <c r="AO278" s="200"/>
      <c r="AP278" s="195"/>
      <c r="AQ278" s="282"/>
      <c r="AS278" s="300" t="str">
        <f t="shared" si="34"/>
        <v/>
      </c>
      <c r="AT278" s="210">
        <f t="shared" si="35"/>
        <v>0</v>
      </c>
      <c r="AU278" s="210"/>
      <c r="AV278" s="292">
        <f t="shared" si="36"/>
        <v>0</v>
      </c>
      <c r="AW278" s="210">
        <f t="shared" si="37"/>
        <v>0</v>
      </c>
      <c r="AX278" s="210">
        <f t="shared" si="38"/>
        <v>0</v>
      </c>
      <c r="AY278" s="210">
        <f t="shared" si="39"/>
        <v>0</v>
      </c>
    </row>
    <row r="279" spans="34:51" x14ac:dyDescent="0.25">
      <c r="AH279" s="197"/>
      <c r="AI279" s="200"/>
      <c r="AJ279" s="302"/>
      <c r="AK279" s="200"/>
      <c r="AL279" s="294">
        <f t="shared" si="33"/>
        <v>0</v>
      </c>
      <c r="AM279" s="198"/>
      <c r="AN279" s="200"/>
      <c r="AO279" s="200"/>
      <c r="AP279" s="195"/>
      <c r="AQ279" s="282"/>
      <c r="AS279" s="300" t="str">
        <f t="shared" si="34"/>
        <v/>
      </c>
      <c r="AT279" s="210">
        <f t="shared" si="35"/>
        <v>0</v>
      </c>
      <c r="AU279" s="210"/>
      <c r="AV279" s="292">
        <f t="shared" si="36"/>
        <v>0</v>
      </c>
      <c r="AW279" s="210">
        <f t="shared" si="37"/>
        <v>0</v>
      </c>
      <c r="AX279" s="210">
        <f t="shared" si="38"/>
        <v>0</v>
      </c>
      <c r="AY279" s="210">
        <f t="shared" si="39"/>
        <v>0</v>
      </c>
    </row>
    <row r="280" spans="34:51" x14ac:dyDescent="0.25">
      <c r="AH280" s="197"/>
      <c r="AI280" s="200"/>
      <c r="AJ280" s="302"/>
      <c r="AK280" s="200"/>
      <c r="AL280" s="294">
        <f t="shared" si="33"/>
        <v>0</v>
      </c>
      <c r="AM280" s="198"/>
      <c r="AN280" s="200"/>
      <c r="AO280" s="200"/>
      <c r="AP280" s="195"/>
      <c r="AQ280" s="282"/>
      <c r="AS280" s="300" t="str">
        <f t="shared" si="34"/>
        <v/>
      </c>
      <c r="AT280" s="210">
        <f t="shared" si="35"/>
        <v>0</v>
      </c>
      <c r="AU280" s="210"/>
      <c r="AV280" s="292">
        <f t="shared" si="36"/>
        <v>0</v>
      </c>
      <c r="AW280" s="210">
        <f t="shared" si="37"/>
        <v>0</v>
      </c>
      <c r="AX280" s="210">
        <f t="shared" si="38"/>
        <v>0</v>
      </c>
      <c r="AY280" s="210">
        <f t="shared" si="39"/>
        <v>0</v>
      </c>
    </row>
    <row r="281" spans="34:51" x14ac:dyDescent="0.25">
      <c r="AH281" s="197"/>
      <c r="AI281" s="200"/>
      <c r="AJ281" s="302"/>
      <c r="AK281" s="200"/>
      <c r="AL281" s="294">
        <f t="shared" si="33"/>
        <v>0</v>
      </c>
      <c r="AM281" s="198"/>
      <c r="AN281" s="200"/>
      <c r="AO281" s="200"/>
      <c r="AP281" s="195"/>
      <c r="AQ281" s="282"/>
      <c r="AS281" s="300" t="str">
        <f t="shared" si="34"/>
        <v/>
      </c>
      <c r="AT281" s="210">
        <f t="shared" si="35"/>
        <v>0</v>
      </c>
      <c r="AU281" s="210"/>
      <c r="AV281" s="292">
        <f t="shared" si="36"/>
        <v>0</v>
      </c>
      <c r="AW281" s="210">
        <f t="shared" si="37"/>
        <v>0</v>
      </c>
      <c r="AX281" s="210">
        <f t="shared" si="38"/>
        <v>0</v>
      </c>
      <c r="AY281" s="210">
        <f t="shared" si="39"/>
        <v>0</v>
      </c>
    </row>
    <row r="282" spans="34:51" x14ac:dyDescent="0.25">
      <c r="AH282" s="197"/>
      <c r="AI282" s="200"/>
      <c r="AJ282" s="302"/>
      <c r="AK282" s="200"/>
      <c r="AL282" s="294">
        <f t="shared" si="33"/>
        <v>0</v>
      </c>
      <c r="AM282" s="198"/>
      <c r="AN282" s="200"/>
      <c r="AO282" s="200"/>
      <c r="AP282" s="195"/>
      <c r="AQ282" s="282"/>
      <c r="AS282" s="300" t="str">
        <f t="shared" si="34"/>
        <v/>
      </c>
      <c r="AT282" s="210">
        <f t="shared" si="35"/>
        <v>0</v>
      </c>
      <c r="AU282" s="210"/>
      <c r="AV282" s="292">
        <f t="shared" si="36"/>
        <v>0</v>
      </c>
      <c r="AW282" s="210">
        <f t="shared" si="37"/>
        <v>0</v>
      </c>
      <c r="AX282" s="210">
        <f t="shared" si="38"/>
        <v>0</v>
      </c>
      <c r="AY282" s="210">
        <f t="shared" si="39"/>
        <v>0</v>
      </c>
    </row>
    <row r="283" spans="34:51" x14ac:dyDescent="0.25">
      <c r="AH283" s="197"/>
      <c r="AI283" s="200"/>
      <c r="AJ283" s="302"/>
      <c r="AK283" s="200"/>
      <c r="AL283" s="294">
        <f t="shared" si="33"/>
        <v>0</v>
      </c>
      <c r="AM283" s="198"/>
      <c r="AN283" s="200"/>
      <c r="AO283" s="200"/>
      <c r="AP283" s="195"/>
      <c r="AQ283" s="282"/>
      <c r="AS283" s="300" t="str">
        <f t="shared" si="34"/>
        <v/>
      </c>
      <c r="AT283" s="210">
        <f t="shared" si="35"/>
        <v>0</v>
      </c>
      <c r="AU283" s="210"/>
      <c r="AV283" s="292">
        <f t="shared" si="36"/>
        <v>0</v>
      </c>
      <c r="AW283" s="210">
        <f t="shared" si="37"/>
        <v>0</v>
      </c>
      <c r="AX283" s="210">
        <f t="shared" si="38"/>
        <v>0</v>
      </c>
      <c r="AY283" s="210">
        <f t="shared" si="39"/>
        <v>0</v>
      </c>
    </row>
    <row r="284" spans="34:51" x14ac:dyDescent="0.25">
      <c r="AH284" s="197"/>
      <c r="AI284" s="200"/>
      <c r="AJ284" s="302"/>
      <c r="AK284" s="200"/>
      <c r="AL284" s="294">
        <f t="shared" si="33"/>
        <v>0</v>
      </c>
      <c r="AM284" s="198"/>
      <c r="AN284" s="200"/>
      <c r="AO284" s="200"/>
      <c r="AP284" s="195"/>
      <c r="AQ284" s="282"/>
      <c r="AS284" s="300" t="str">
        <f t="shared" si="34"/>
        <v/>
      </c>
      <c r="AT284" s="210">
        <f t="shared" si="35"/>
        <v>0</v>
      </c>
      <c r="AU284" s="210"/>
      <c r="AV284" s="292">
        <f t="shared" si="36"/>
        <v>0</v>
      </c>
      <c r="AW284" s="210">
        <f t="shared" si="37"/>
        <v>0</v>
      </c>
      <c r="AX284" s="210">
        <f t="shared" si="38"/>
        <v>0</v>
      </c>
      <c r="AY284" s="210">
        <f t="shared" si="39"/>
        <v>0</v>
      </c>
    </row>
    <row r="285" spans="34:51" x14ac:dyDescent="0.25">
      <c r="AH285" s="197"/>
      <c r="AI285" s="200"/>
      <c r="AJ285" s="302"/>
      <c r="AK285" s="200"/>
      <c r="AL285" s="294">
        <f t="shared" si="33"/>
        <v>0</v>
      </c>
      <c r="AM285" s="198"/>
      <c r="AN285" s="200"/>
      <c r="AO285" s="200"/>
      <c r="AP285" s="195"/>
      <c r="AQ285" s="282"/>
      <c r="AS285" s="300" t="str">
        <f t="shared" si="34"/>
        <v/>
      </c>
      <c r="AT285" s="210">
        <f t="shared" si="35"/>
        <v>0</v>
      </c>
      <c r="AU285" s="210"/>
      <c r="AV285" s="292">
        <f t="shared" si="36"/>
        <v>0</v>
      </c>
      <c r="AW285" s="210">
        <f t="shared" si="37"/>
        <v>0</v>
      </c>
      <c r="AX285" s="210">
        <f t="shared" si="38"/>
        <v>0</v>
      </c>
      <c r="AY285" s="210">
        <f t="shared" si="39"/>
        <v>0</v>
      </c>
    </row>
    <row r="286" spans="34:51" x14ac:dyDescent="0.25">
      <c r="AH286" s="197"/>
      <c r="AI286" s="200"/>
      <c r="AJ286" s="302"/>
      <c r="AK286" s="200"/>
      <c r="AL286" s="294">
        <f t="shared" si="33"/>
        <v>0</v>
      </c>
      <c r="AM286" s="198"/>
      <c r="AN286" s="200"/>
      <c r="AO286" s="200"/>
      <c r="AP286" s="195"/>
      <c r="AQ286" s="282"/>
      <c r="AS286" s="300" t="str">
        <f t="shared" si="34"/>
        <v/>
      </c>
      <c r="AT286" s="210">
        <f t="shared" si="35"/>
        <v>0</v>
      </c>
      <c r="AU286" s="210"/>
      <c r="AV286" s="292">
        <f t="shared" si="36"/>
        <v>0</v>
      </c>
      <c r="AW286" s="210">
        <f t="shared" si="37"/>
        <v>0</v>
      </c>
      <c r="AX286" s="210">
        <f t="shared" si="38"/>
        <v>0</v>
      </c>
      <c r="AY286" s="210">
        <f t="shared" si="39"/>
        <v>0</v>
      </c>
    </row>
    <row r="287" spans="34:51" x14ac:dyDescent="0.25">
      <c r="AH287" s="197"/>
      <c r="AI287" s="200"/>
      <c r="AJ287" s="302"/>
      <c r="AK287" s="200"/>
      <c r="AL287" s="294">
        <f t="shared" si="33"/>
        <v>0</v>
      </c>
      <c r="AM287" s="198"/>
      <c r="AN287" s="200"/>
      <c r="AO287" s="200"/>
      <c r="AP287" s="195"/>
      <c r="AQ287" s="282"/>
      <c r="AS287" s="300" t="str">
        <f t="shared" si="34"/>
        <v/>
      </c>
      <c r="AT287" s="210">
        <f t="shared" si="35"/>
        <v>0</v>
      </c>
      <c r="AU287" s="210"/>
      <c r="AV287" s="292">
        <f t="shared" si="36"/>
        <v>0</v>
      </c>
      <c r="AW287" s="210">
        <f t="shared" si="37"/>
        <v>0</v>
      </c>
      <c r="AX287" s="210">
        <f t="shared" si="38"/>
        <v>0</v>
      </c>
      <c r="AY287" s="210">
        <f t="shared" si="39"/>
        <v>0</v>
      </c>
    </row>
    <row r="288" spans="34:51" x14ac:dyDescent="0.25">
      <c r="AH288" s="197"/>
      <c r="AI288" s="200"/>
      <c r="AJ288" s="302"/>
      <c r="AK288" s="200"/>
      <c r="AL288" s="294">
        <f t="shared" si="33"/>
        <v>0</v>
      </c>
      <c r="AM288" s="198"/>
      <c r="AN288" s="200"/>
      <c r="AO288" s="200"/>
      <c r="AP288" s="195"/>
      <c r="AQ288" s="282"/>
      <c r="AS288" s="300" t="str">
        <f t="shared" si="34"/>
        <v/>
      </c>
      <c r="AT288" s="210">
        <f t="shared" si="35"/>
        <v>0</v>
      </c>
      <c r="AU288" s="210"/>
      <c r="AV288" s="292">
        <f t="shared" si="36"/>
        <v>0</v>
      </c>
      <c r="AW288" s="210">
        <f t="shared" si="37"/>
        <v>0</v>
      </c>
      <c r="AX288" s="210">
        <f t="shared" si="38"/>
        <v>0</v>
      </c>
      <c r="AY288" s="210">
        <f t="shared" si="39"/>
        <v>0</v>
      </c>
    </row>
    <row r="289" spans="34:51" x14ac:dyDescent="0.25">
      <c r="AH289" s="197"/>
      <c r="AI289" s="200"/>
      <c r="AJ289" s="302"/>
      <c r="AK289" s="200"/>
      <c r="AL289" s="294">
        <f t="shared" si="33"/>
        <v>0</v>
      </c>
      <c r="AM289" s="198"/>
      <c r="AN289" s="200"/>
      <c r="AO289" s="200"/>
      <c r="AP289" s="195"/>
      <c r="AQ289" s="282"/>
      <c r="AS289" s="300" t="str">
        <f t="shared" si="34"/>
        <v/>
      </c>
      <c r="AT289" s="210">
        <f t="shared" si="35"/>
        <v>0</v>
      </c>
      <c r="AU289" s="210"/>
      <c r="AV289" s="292">
        <f t="shared" si="36"/>
        <v>0</v>
      </c>
      <c r="AW289" s="210">
        <f t="shared" si="37"/>
        <v>0</v>
      </c>
      <c r="AX289" s="210">
        <f t="shared" si="38"/>
        <v>0</v>
      </c>
      <c r="AY289" s="210">
        <f t="shared" si="39"/>
        <v>0</v>
      </c>
    </row>
    <row r="290" spans="34:51" x14ac:dyDescent="0.25">
      <c r="AH290" s="197"/>
      <c r="AI290" s="200"/>
      <c r="AJ290" s="302"/>
      <c r="AK290" s="200"/>
      <c r="AL290" s="294">
        <f t="shared" si="33"/>
        <v>0</v>
      </c>
      <c r="AM290" s="198"/>
      <c r="AN290" s="200"/>
      <c r="AO290" s="200"/>
      <c r="AP290" s="195"/>
      <c r="AQ290" s="282"/>
      <c r="AS290" s="300" t="str">
        <f t="shared" si="34"/>
        <v/>
      </c>
      <c r="AT290" s="210">
        <f t="shared" si="35"/>
        <v>0</v>
      </c>
      <c r="AU290" s="210"/>
      <c r="AV290" s="292">
        <f t="shared" si="36"/>
        <v>0</v>
      </c>
      <c r="AW290" s="210">
        <f t="shared" si="37"/>
        <v>0</v>
      </c>
      <c r="AX290" s="210">
        <f t="shared" si="38"/>
        <v>0</v>
      </c>
      <c r="AY290" s="210">
        <f t="shared" si="39"/>
        <v>0</v>
      </c>
    </row>
    <row r="291" spans="34:51" x14ac:dyDescent="0.25">
      <c r="AH291" s="197"/>
      <c r="AI291" s="200"/>
      <c r="AJ291" s="302"/>
      <c r="AK291" s="200"/>
      <c r="AL291" s="294">
        <f t="shared" si="33"/>
        <v>0</v>
      </c>
      <c r="AM291" s="198"/>
      <c r="AN291" s="200"/>
      <c r="AO291" s="200"/>
      <c r="AP291" s="195"/>
      <c r="AQ291" s="282"/>
      <c r="AS291" s="300" t="str">
        <f t="shared" si="34"/>
        <v/>
      </c>
      <c r="AT291" s="210">
        <f t="shared" si="35"/>
        <v>0</v>
      </c>
      <c r="AU291" s="210"/>
      <c r="AV291" s="292">
        <f t="shared" si="36"/>
        <v>0</v>
      </c>
      <c r="AW291" s="210">
        <f t="shared" si="37"/>
        <v>0</v>
      </c>
      <c r="AX291" s="210">
        <f t="shared" si="38"/>
        <v>0</v>
      </c>
      <c r="AY291" s="210">
        <f t="shared" si="39"/>
        <v>0</v>
      </c>
    </row>
    <row r="292" spans="34:51" x14ac:dyDescent="0.25">
      <c r="AH292" s="197"/>
      <c r="AI292" s="200"/>
      <c r="AJ292" s="302"/>
      <c r="AK292" s="200"/>
      <c r="AL292" s="294">
        <f t="shared" si="33"/>
        <v>0</v>
      </c>
      <c r="AM292" s="198"/>
      <c r="AN292" s="200"/>
      <c r="AO292" s="200"/>
      <c r="AP292" s="195"/>
      <c r="AQ292" s="282"/>
      <c r="AS292" s="300" t="str">
        <f t="shared" si="34"/>
        <v/>
      </c>
      <c r="AT292" s="210">
        <f t="shared" si="35"/>
        <v>0</v>
      </c>
      <c r="AU292" s="210"/>
      <c r="AV292" s="292">
        <f t="shared" si="36"/>
        <v>0</v>
      </c>
      <c r="AW292" s="210">
        <f t="shared" si="37"/>
        <v>0</v>
      </c>
      <c r="AX292" s="210">
        <f t="shared" si="38"/>
        <v>0</v>
      </c>
      <c r="AY292" s="210">
        <f t="shared" si="39"/>
        <v>0</v>
      </c>
    </row>
    <row r="293" spans="34:51" x14ac:dyDescent="0.25">
      <c r="AH293" s="197"/>
      <c r="AI293" s="200"/>
      <c r="AJ293" s="302"/>
      <c r="AK293" s="200"/>
      <c r="AL293" s="294">
        <f t="shared" si="33"/>
        <v>0</v>
      </c>
      <c r="AM293" s="198"/>
      <c r="AN293" s="200"/>
      <c r="AO293" s="200"/>
      <c r="AP293" s="195"/>
      <c r="AQ293" s="282"/>
      <c r="AS293" s="300" t="str">
        <f t="shared" si="34"/>
        <v/>
      </c>
      <c r="AT293" s="210">
        <f t="shared" si="35"/>
        <v>0</v>
      </c>
      <c r="AU293" s="210"/>
      <c r="AV293" s="292">
        <f t="shared" si="36"/>
        <v>0</v>
      </c>
      <c r="AW293" s="210">
        <f t="shared" si="37"/>
        <v>0</v>
      </c>
      <c r="AX293" s="210">
        <f t="shared" si="38"/>
        <v>0</v>
      </c>
      <c r="AY293" s="210">
        <f t="shared" si="39"/>
        <v>0</v>
      </c>
    </row>
    <row r="294" spans="34:51" x14ac:dyDescent="0.25">
      <c r="AH294" s="197"/>
      <c r="AI294" s="200"/>
      <c r="AJ294" s="302"/>
      <c r="AK294" s="200"/>
      <c r="AL294" s="294">
        <f t="shared" si="33"/>
        <v>0</v>
      </c>
      <c r="AM294" s="198"/>
      <c r="AN294" s="200"/>
      <c r="AO294" s="200"/>
      <c r="AP294" s="195"/>
      <c r="AQ294" s="282"/>
      <c r="AS294" s="300" t="str">
        <f t="shared" si="34"/>
        <v/>
      </c>
      <c r="AT294" s="210">
        <f t="shared" si="35"/>
        <v>0</v>
      </c>
      <c r="AU294" s="210"/>
      <c r="AV294" s="292">
        <f t="shared" si="36"/>
        <v>0</v>
      </c>
      <c r="AW294" s="210">
        <f t="shared" si="37"/>
        <v>0</v>
      </c>
      <c r="AX294" s="210">
        <f t="shared" si="38"/>
        <v>0</v>
      </c>
      <c r="AY294" s="210">
        <f t="shared" si="39"/>
        <v>0</v>
      </c>
    </row>
    <row r="295" spans="34:51" x14ac:dyDescent="0.25">
      <c r="AH295" s="197"/>
      <c r="AI295" s="200"/>
      <c r="AJ295" s="302"/>
      <c r="AK295" s="200"/>
      <c r="AL295" s="294">
        <f t="shared" si="33"/>
        <v>0</v>
      </c>
      <c r="AM295" s="198"/>
      <c r="AN295" s="200"/>
      <c r="AO295" s="200"/>
      <c r="AP295" s="195"/>
      <c r="AQ295" s="282"/>
      <c r="AS295" s="300" t="str">
        <f t="shared" si="34"/>
        <v/>
      </c>
      <c r="AT295" s="210">
        <f t="shared" si="35"/>
        <v>0</v>
      </c>
      <c r="AU295" s="210"/>
      <c r="AV295" s="292">
        <f t="shared" si="36"/>
        <v>0</v>
      </c>
      <c r="AW295" s="210">
        <f t="shared" si="37"/>
        <v>0</v>
      </c>
      <c r="AX295" s="210">
        <f t="shared" si="38"/>
        <v>0</v>
      </c>
      <c r="AY295" s="210">
        <f t="shared" si="39"/>
        <v>0</v>
      </c>
    </row>
    <row r="296" spans="34:51" x14ac:dyDescent="0.25">
      <c r="AH296" s="197"/>
      <c r="AI296" s="200"/>
      <c r="AJ296" s="302"/>
      <c r="AK296" s="200"/>
      <c r="AL296" s="294">
        <f t="shared" si="33"/>
        <v>0</v>
      </c>
      <c r="AM296" s="198"/>
      <c r="AN296" s="200"/>
      <c r="AO296" s="200"/>
      <c r="AP296" s="195"/>
      <c r="AQ296" s="282"/>
      <c r="AS296" s="300" t="str">
        <f t="shared" si="34"/>
        <v/>
      </c>
      <c r="AT296" s="210">
        <f t="shared" si="35"/>
        <v>0</v>
      </c>
      <c r="AU296" s="210"/>
      <c r="AV296" s="292">
        <f t="shared" si="36"/>
        <v>0</v>
      </c>
      <c r="AW296" s="210">
        <f t="shared" si="37"/>
        <v>0</v>
      </c>
      <c r="AX296" s="210">
        <f t="shared" si="38"/>
        <v>0</v>
      </c>
      <c r="AY296" s="210">
        <f t="shared" si="39"/>
        <v>0</v>
      </c>
    </row>
    <row r="297" spans="34:51" x14ac:dyDescent="0.25">
      <c r="AH297" s="197"/>
      <c r="AI297" s="200"/>
      <c r="AJ297" s="302"/>
      <c r="AK297" s="200"/>
      <c r="AL297" s="294">
        <f t="shared" si="33"/>
        <v>0</v>
      </c>
      <c r="AM297" s="198"/>
      <c r="AN297" s="200"/>
      <c r="AO297" s="200"/>
      <c r="AP297" s="195"/>
      <c r="AQ297" s="282"/>
      <c r="AS297" s="300" t="str">
        <f t="shared" si="34"/>
        <v/>
      </c>
      <c r="AT297" s="210">
        <f t="shared" si="35"/>
        <v>0</v>
      </c>
      <c r="AU297" s="210"/>
      <c r="AV297" s="292">
        <f t="shared" si="36"/>
        <v>0</v>
      </c>
      <c r="AW297" s="210">
        <f t="shared" si="37"/>
        <v>0</v>
      </c>
      <c r="AX297" s="210">
        <f t="shared" si="38"/>
        <v>0</v>
      </c>
      <c r="AY297" s="210">
        <f t="shared" si="39"/>
        <v>0</v>
      </c>
    </row>
    <row r="298" spans="34:51" x14ac:dyDescent="0.25">
      <c r="AH298" s="197"/>
      <c r="AI298" s="200"/>
      <c r="AJ298" s="302"/>
      <c r="AK298" s="200"/>
      <c r="AL298" s="294">
        <f t="shared" si="33"/>
        <v>0</v>
      </c>
      <c r="AM298" s="198"/>
      <c r="AN298" s="200"/>
      <c r="AO298" s="200"/>
      <c r="AP298" s="195"/>
      <c r="AQ298" s="282"/>
      <c r="AS298" s="300" t="str">
        <f t="shared" si="34"/>
        <v/>
      </c>
      <c r="AT298" s="210">
        <f t="shared" si="35"/>
        <v>0</v>
      </c>
      <c r="AU298" s="210"/>
      <c r="AV298" s="292">
        <f t="shared" si="36"/>
        <v>0</v>
      </c>
      <c r="AW298" s="210">
        <f t="shared" si="37"/>
        <v>0</v>
      </c>
      <c r="AX298" s="210">
        <f t="shared" si="38"/>
        <v>0</v>
      </c>
      <c r="AY298" s="210">
        <f t="shared" si="39"/>
        <v>0</v>
      </c>
    </row>
    <row r="299" spans="34:51" x14ac:dyDescent="0.25">
      <c r="AH299" s="197"/>
      <c r="AI299" s="200"/>
      <c r="AJ299" s="302"/>
      <c r="AK299" s="200"/>
      <c r="AL299" s="294">
        <f t="shared" si="33"/>
        <v>0</v>
      </c>
      <c r="AM299" s="198"/>
      <c r="AN299" s="200"/>
      <c r="AO299" s="200"/>
      <c r="AP299" s="195"/>
      <c r="AQ299" s="282"/>
      <c r="AS299" s="300" t="str">
        <f t="shared" si="34"/>
        <v/>
      </c>
      <c r="AT299" s="210">
        <f t="shared" si="35"/>
        <v>0</v>
      </c>
      <c r="AU299" s="210"/>
      <c r="AV299" s="292">
        <f t="shared" si="36"/>
        <v>0</v>
      </c>
      <c r="AW299" s="210">
        <f t="shared" si="37"/>
        <v>0</v>
      </c>
      <c r="AX299" s="210">
        <f t="shared" si="38"/>
        <v>0</v>
      </c>
      <c r="AY299" s="210">
        <f t="shared" si="39"/>
        <v>0</v>
      </c>
    </row>
    <row r="300" spans="34:51" x14ac:dyDescent="0.25">
      <c r="AH300" s="197"/>
      <c r="AI300" s="200"/>
      <c r="AJ300" s="302"/>
      <c r="AK300" s="200"/>
      <c r="AL300" s="294">
        <f t="shared" si="33"/>
        <v>0</v>
      </c>
      <c r="AM300" s="198"/>
      <c r="AN300" s="200"/>
      <c r="AO300" s="200"/>
      <c r="AP300" s="195"/>
      <c r="AQ300" s="282"/>
      <c r="AS300" s="300" t="str">
        <f t="shared" si="34"/>
        <v/>
      </c>
      <c r="AT300" s="210">
        <f t="shared" si="35"/>
        <v>0</v>
      </c>
      <c r="AU300" s="210"/>
      <c r="AV300" s="292">
        <f t="shared" si="36"/>
        <v>0</v>
      </c>
      <c r="AW300" s="210">
        <f t="shared" si="37"/>
        <v>0</v>
      </c>
      <c r="AX300" s="210">
        <f t="shared" si="38"/>
        <v>0</v>
      </c>
      <c r="AY300" s="210">
        <f t="shared" si="39"/>
        <v>0</v>
      </c>
    </row>
    <row r="301" spans="34:51" x14ac:dyDescent="0.25">
      <c r="AH301" s="197"/>
      <c r="AI301" s="200"/>
      <c r="AJ301" s="302"/>
      <c r="AK301" s="200"/>
      <c r="AL301" s="294">
        <f t="shared" si="33"/>
        <v>0</v>
      </c>
      <c r="AM301" s="198"/>
      <c r="AN301" s="200"/>
      <c r="AO301" s="200"/>
      <c r="AP301" s="195"/>
      <c r="AQ301" s="282"/>
      <c r="AS301" s="300" t="str">
        <f t="shared" si="34"/>
        <v/>
      </c>
      <c r="AT301" s="210">
        <f t="shared" si="35"/>
        <v>0</v>
      </c>
      <c r="AU301" s="210"/>
      <c r="AV301" s="292">
        <f t="shared" si="36"/>
        <v>0</v>
      </c>
      <c r="AW301" s="210">
        <f t="shared" si="37"/>
        <v>0</v>
      </c>
      <c r="AX301" s="210">
        <f t="shared" si="38"/>
        <v>0</v>
      </c>
      <c r="AY301" s="210">
        <f t="shared" si="39"/>
        <v>0</v>
      </c>
    </row>
    <row r="302" spans="34:51" x14ac:dyDescent="0.25">
      <c r="AH302" s="197"/>
      <c r="AI302" s="200"/>
      <c r="AJ302" s="302"/>
      <c r="AK302" s="200"/>
      <c r="AL302" s="294">
        <f t="shared" si="33"/>
        <v>0</v>
      </c>
      <c r="AM302" s="198"/>
      <c r="AN302" s="200"/>
      <c r="AO302" s="200"/>
      <c r="AP302" s="195"/>
      <c r="AQ302" s="282"/>
      <c r="AS302" s="300" t="str">
        <f t="shared" si="34"/>
        <v/>
      </c>
      <c r="AT302" s="210">
        <f t="shared" si="35"/>
        <v>0</v>
      </c>
      <c r="AU302" s="210"/>
      <c r="AV302" s="292">
        <f t="shared" si="36"/>
        <v>0</v>
      </c>
      <c r="AW302" s="210">
        <f t="shared" si="37"/>
        <v>0</v>
      </c>
      <c r="AX302" s="210">
        <f t="shared" si="38"/>
        <v>0</v>
      </c>
      <c r="AY302" s="210">
        <f t="shared" si="39"/>
        <v>0</v>
      </c>
    </row>
    <row r="303" spans="34:51" x14ac:dyDescent="0.25">
      <c r="AH303" s="197"/>
      <c r="AI303" s="200"/>
      <c r="AJ303" s="302"/>
      <c r="AK303" s="200"/>
      <c r="AL303" s="294">
        <f t="shared" si="33"/>
        <v>0</v>
      </c>
      <c r="AM303" s="198"/>
      <c r="AN303" s="200"/>
      <c r="AO303" s="200"/>
      <c r="AP303" s="195"/>
      <c r="AQ303" s="282"/>
      <c r="AS303" s="300" t="str">
        <f t="shared" si="34"/>
        <v/>
      </c>
      <c r="AT303" s="210">
        <f t="shared" si="35"/>
        <v>0</v>
      </c>
      <c r="AU303" s="210"/>
      <c r="AV303" s="292">
        <f t="shared" si="36"/>
        <v>0</v>
      </c>
      <c r="AW303" s="210">
        <f t="shared" si="37"/>
        <v>0</v>
      </c>
      <c r="AX303" s="210">
        <f t="shared" si="38"/>
        <v>0</v>
      </c>
      <c r="AY303" s="210">
        <f t="shared" si="39"/>
        <v>0</v>
      </c>
    </row>
    <row r="304" spans="34:51" x14ac:dyDescent="0.25">
      <c r="AH304" s="197"/>
      <c r="AI304" s="200"/>
      <c r="AJ304" s="302"/>
      <c r="AK304" s="200"/>
      <c r="AL304" s="294">
        <f t="shared" si="33"/>
        <v>0</v>
      </c>
      <c r="AM304" s="198"/>
      <c r="AN304" s="200"/>
      <c r="AO304" s="200"/>
      <c r="AP304" s="195"/>
      <c r="AQ304" s="282"/>
      <c r="AS304" s="300" t="str">
        <f t="shared" si="34"/>
        <v/>
      </c>
      <c r="AT304" s="210">
        <f t="shared" si="35"/>
        <v>0</v>
      </c>
      <c r="AU304" s="210"/>
      <c r="AV304" s="292">
        <f t="shared" si="36"/>
        <v>0</v>
      </c>
      <c r="AW304" s="210">
        <f t="shared" si="37"/>
        <v>0</v>
      </c>
      <c r="AX304" s="210">
        <f t="shared" si="38"/>
        <v>0</v>
      </c>
      <c r="AY304" s="210">
        <f t="shared" si="39"/>
        <v>0</v>
      </c>
    </row>
    <row r="305" spans="34:51" x14ac:dyDescent="0.25">
      <c r="AH305" s="197"/>
      <c r="AI305" s="200"/>
      <c r="AJ305" s="302"/>
      <c r="AK305" s="200"/>
      <c r="AL305" s="294">
        <f t="shared" si="33"/>
        <v>0</v>
      </c>
      <c r="AM305" s="198"/>
      <c r="AN305" s="200"/>
      <c r="AO305" s="200"/>
      <c r="AP305" s="195"/>
      <c r="AQ305" s="282"/>
      <c r="AS305" s="300" t="str">
        <f t="shared" si="34"/>
        <v/>
      </c>
      <c r="AT305" s="210">
        <f t="shared" si="35"/>
        <v>0</v>
      </c>
      <c r="AU305" s="210"/>
      <c r="AV305" s="292">
        <f t="shared" si="36"/>
        <v>0</v>
      </c>
      <c r="AW305" s="210">
        <f t="shared" si="37"/>
        <v>0</v>
      </c>
      <c r="AX305" s="210">
        <f t="shared" si="38"/>
        <v>0</v>
      </c>
      <c r="AY305" s="210">
        <f t="shared" si="39"/>
        <v>0</v>
      </c>
    </row>
    <row r="306" spans="34:51" x14ac:dyDescent="0.25">
      <c r="AH306" s="197"/>
      <c r="AI306" s="200"/>
      <c r="AJ306" s="302"/>
      <c r="AK306" s="200"/>
      <c r="AL306" s="294">
        <f t="shared" si="33"/>
        <v>0</v>
      </c>
      <c r="AM306" s="198"/>
      <c r="AN306" s="200"/>
      <c r="AO306" s="200"/>
      <c r="AP306" s="195"/>
      <c r="AQ306" s="282"/>
      <c r="AS306" s="300" t="str">
        <f t="shared" si="34"/>
        <v/>
      </c>
      <c r="AT306" s="210">
        <f t="shared" si="35"/>
        <v>0</v>
      </c>
      <c r="AU306" s="210"/>
      <c r="AV306" s="292">
        <f t="shared" si="36"/>
        <v>0</v>
      </c>
      <c r="AW306" s="210">
        <f t="shared" si="37"/>
        <v>0</v>
      </c>
      <c r="AX306" s="210">
        <f t="shared" si="38"/>
        <v>0</v>
      </c>
      <c r="AY306" s="210">
        <f t="shared" si="39"/>
        <v>0</v>
      </c>
    </row>
    <row r="307" spans="34:51" x14ac:dyDescent="0.25">
      <c r="AH307" s="197"/>
      <c r="AI307" s="200"/>
      <c r="AJ307" s="302"/>
      <c r="AK307" s="200"/>
      <c r="AL307" s="294">
        <f t="shared" si="33"/>
        <v>0</v>
      </c>
      <c r="AM307" s="198"/>
      <c r="AN307" s="200"/>
      <c r="AO307" s="200"/>
      <c r="AP307" s="195"/>
      <c r="AQ307" s="282"/>
      <c r="AS307" s="300" t="str">
        <f t="shared" si="34"/>
        <v/>
      </c>
      <c r="AT307" s="210">
        <f t="shared" si="35"/>
        <v>0</v>
      </c>
      <c r="AU307" s="210"/>
      <c r="AV307" s="292">
        <f t="shared" si="36"/>
        <v>0</v>
      </c>
      <c r="AW307" s="210">
        <f t="shared" si="37"/>
        <v>0</v>
      </c>
      <c r="AX307" s="210">
        <f t="shared" si="38"/>
        <v>0</v>
      </c>
      <c r="AY307" s="210">
        <f t="shared" si="39"/>
        <v>0</v>
      </c>
    </row>
    <row r="308" spans="34:51" x14ac:dyDescent="0.25">
      <c r="AH308" s="197"/>
      <c r="AI308" s="200"/>
      <c r="AJ308" s="302"/>
      <c r="AK308" s="200"/>
      <c r="AL308" s="294">
        <f t="shared" si="33"/>
        <v>0</v>
      </c>
      <c r="AM308" s="198"/>
      <c r="AN308" s="200"/>
      <c r="AO308" s="200"/>
      <c r="AP308" s="195"/>
      <c r="AQ308" s="282"/>
      <c r="AS308" s="300" t="str">
        <f t="shared" si="34"/>
        <v/>
      </c>
      <c r="AT308" s="210">
        <f t="shared" si="35"/>
        <v>0</v>
      </c>
      <c r="AU308" s="210"/>
      <c r="AV308" s="292">
        <f t="shared" si="36"/>
        <v>0</v>
      </c>
      <c r="AW308" s="210">
        <f t="shared" si="37"/>
        <v>0</v>
      </c>
      <c r="AX308" s="210">
        <f t="shared" si="38"/>
        <v>0</v>
      </c>
      <c r="AY308" s="210">
        <f t="shared" si="39"/>
        <v>0</v>
      </c>
    </row>
    <row r="309" spans="34:51" x14ac:dyDescent="0.25">
      <c r="AH309" s="197"/>
      <c r="AI309" s="200"/>
      <c r="AJ309" s="302"/>
      <c r="AK309" s="200"/>
      <c r="AL309" s="294">
        <f t="shared" si="33"/>
        <v>0</v>
      </c>
      <c r="AM309" s="198"/>
      <c r="AN309" s="200"/>
      <c r="AO309" s="200"/>
      <c r="AP309" s="195"/>
      <c r="AQ309" s="282"/>
      <c r="AS309" s="300" t="str">
        <f t="shared" si="34"/>
        <v/>
      </c>
      <c r="AT309" s="210">
        <f t="shared" si="35"/>
        <v>0</v>
      </c>
      <c r="AU309" s="210"/>
      <c r="AV309" s="292">
        <f t="shared" si="36"/>
        <v>0</v>
      </c>
      <c r="AW309" s="210">
        <f t="shared" si="37"/>
        <v>0</v>
      </c>
      <c r="AX309" s="210">
        <f t="shared" si="38"/>
        <v>0</v>
      </c>
      <c r="AY309" s="210">
        <f t="shared" si="39"/>
        <v>0</v>
      </c>
    </row>
    <row r="310" spans="34:51" x14ac:dyDescent="0.25">
      <c r="AH310" s="197"/>
      <c r="AI310" s="200"/>
      <c r="AJ310" s="302"/>
      <c r="AK310" s="200"/>
      <c r="AL310" s="294">
        <f t="shared" si="33"/>
        <v>0</v>
      </c>
      <c r="AM310" s="198"/>
      <c r="AN310" s="200"/>
      <c r="AO310" s="200"/>
      <c r="AP310" s="195"/>
      <c r="AQ310" s="282"/>
      <c r="AS310" s="300" t="str">
        <f t="shared" si="34"/>
        <v/>
      </c>
      <c r="AT310" s="210">
        <f t="shared" si="35"/>
        <v>0</v>
      </c>
      <c r="AU310" s="210"/>
      <c r="AV310" s="292">
        <f t="shared" si="36"/>
        <v>0</v>
      </c>
      <c r="AW310" s="210">
        <f t="shared" si="37"/>
        <v>0</v>
      </c>
      <c r="AX310" s="210">
        <f t="shared" si="38"/>
        <v>0</v>
      </c>
      <c r="AY310" s="210">
        <f t="shared" si="39"/>
        <v>0</v>
      </c>
    </row>
    <row r="311" spans="34:51" x14ac:dyDescent="0.25">
      <c r="AH311" s="197"/>
      <c r="AI311" s="200"/>
      <c r="AJ311" s="302"/>
      <c r="AK311" s="200"/>
      <c r="AL311" s="294">
        <f t="shared" si="33"/>
        <v>0</v>
      </c>
      <c r="AM311" s="198"/>
      <c r="AN311" s="200"/>
      <c r="AO311" s="200"/>
      <c r="AP311" s="195"/>
      <c r="AQ311" s="282"/>
      <c r="AS311" s="300" t="str">
        <f t="shared" si="34"/>
        <v/>
      </c>
      <c r="AT311" s="210">
        <f t="shared" si="35"/>
        <v>0</v>
      </c>
      <c r="AU311" s="210"/>
      <c r="AV311" s="292">
        <f t="shared" si="36"/>
        <v>0</v>
      </c>
      <c r="AW311" s="210">
        <f t="shared" si="37"/>
        <v>0</v>
      </c>
      <c r="AX311" s="210">
        <f t="shared" si="38"/>
        <v>0</v>
      </c>
      <c r="AY311" s="210">
        <f t="shared" si="39"/>
        <v>0</v>
      </c>
    </row>
    <row r="312" spans="34:51" x14ac:dyDescent="0.25">
      <c r="AH312" s="197"/>
      <c r="AI312" s="200"/>
      <c r="AJ312" s="302"/>
      <c r="AK312" s="200"/>
      <c r="AL312" s="294">
        <f t="shared" si="33"/>
        <v>0</v>
      </c>
      <c r="AM312" s="198"/>
      <c r="AN312" s="200"/>
      <c r="AO312" s="200"/>
      <c r="AP312" s="195"/>
      <c r="AQ312" s="282"/>
      <c r="AS312" s="300" t="str">
        <f t="shared" si="34"/>
        <v/>
      </c>
      <c r="AT312" s="210">
        <f t="shared" si="35"/>
        <v>0</v>
      </c>
      <c r="AU312" s="210"/>
      <c r="AV312" s="292">
        <f t="shared" si="36"/>
        <v>0</v>
      </c>
      <c r="AW312" s="210">
        <f t="shared" si="37"/>
        <v>0</v>
      </c>
      <c r="AX312" s="210">
        <f t="shared" si="38"/>
        <v>0</v>
      </c>
      <c r="AY312" s="210">
        <f t="shared" si="39"/>
        <v>0</v>
      </c>
    </row>
    <row r="313" spans="34:51" x14ac:dyDescent="0.25">
      <c r="AH313" s="197"/>
      <c r="AI313" s="200"/>
      <c r="AJ313" s="302"/>
      <c r="AK313" s="200"/>
      <c r="AL313" s="294">
        <f t="shared" si="33"/>
        <v>0</v>
      </c>
      <c r="AM313" s="198"/>
      <c r="AN313" s="200"/>
      <c r="AO313" s="200"/>
      <c r="AP313" s="195"/>
      <c r="AQ313" s="282"/>
      <c r="AS313" s="300" t="str">
        <f t="shared" si="34"/>
        <v/>
      </c>
      <c r="AT313" s="210">
        <f t="shared" si="35"/>
        <v>0</v>
      </c>
      <c r="AU313" s="210"/>
      <c r="AV313" s="292">
        <f t="shared" si="36"/>
        <v>0</v>
      </c>
      <c r="AW313" s="210">
        <f t="shared" si="37"/>
        <v>0</v>
      </c>
      <c r="AX313" s="210">
        <f t="shared" si="38"/>
        <v>0</v>
      </c>
      <c r="AY313" s="210">
        <f t="shared" si="39"/>
        <v>0</v>
      </c>
    </row>
    <row r="314" spans="34:51" x14ac:dyDescent="0.25">
      <c r="AH314" s="197"/>
      <c r="AI314" s="200"/>
      <c r="AJ314" s="302"/>
      <c r="AK314" s="200"/>
      <c r="AL314" s="294">
        <f t="shared" si="33"/>
        <v>0</v>
      </c>
      <c r="AM314" s="198"/>
      <c r="AN314" s="200"/>
      <c r="AO314" s="200"/>
      <c r="AP314" s="195"/>
      <c r="AQ314" s="282"/>
      <c r="AS314" s="300" t="str">
        <f t="shared" si="34"/>
        <v/>
      </c>
      <c r="AT314" s="210">
        <f t="shared" si="35"/>
        <v>0</v>
      </c>
      <c r="AU314" s="210"/>
      <c r="AV314" s="292">
        <f t="shared" si="36"/>
        <v>0</v>
      </c>
      <c r="AW314" s="210">
        <f t="shared" si="37"/>
        <v>0</v>
      </c>
      <c r="AX314" s="210">
        <f t="shared" si="38"/>
        <v>0</v>
      </c>
      <c r="AY314" s="210">
        <f t="shared" si="39"/>
        <v>0</v>
      </c>
    </row>
    <row r="315" spans="34:51" x14ac:dyDescent="0.25">
      <c r="AH315" s="197"/>
      <c r="AI315" s="200"/>
      <c r="AJ315" s="302"/>
      <c r="AK315" s="200"/>
      <c r="AL315" s="294">
        <f t="shared" si="33"/>
        <v>0</v>
      </c>
      <c r="AM315" s="198"/>
      <c r="AN315" s="200"/>
      <c r="AO315" s="200"/>
      <c r="AP315" s="195"/>
      <c r="AQ315" s="282"/>
      <c r="AS315" s="300" t="str">
        <f t="shared" si="34"/>
        <v/>
      </c>
      <c r="AT315" s="210">
        <f t="shared" si="35"/>
        <v>0</v>
      </c>
      <c r="AU315" s="210"/>
      <c r="AV315" s="292">
        <f t="shared" si="36"/>
        <v>0</v>
      </c>
      <c r="AW315" s="210">
        <f t="shared" si="37"/>
        <v>0</v>
      </c>
      <c r="AX315" s="210">
        <f t="shared" si="38"/>
        <v>0</v>
      </c>
      <c r="AY315" s="210">
        <f t="shared" si="39"/>
        <v>0</v>
      </c>
    </row>
    <row r="316" spans="34:51" x14ac:dyDescent="0.25">
      <c r="AH316" s="197"/>
      <c r="AI316" s="200"/>
      <c r="AJ316" s="302"/>
      <c r="AK316" s="200"/>
      <c r="AL316" s="294">
        <f t="shared" si="33"/>
        <v>0</v>
      </c>
      <c r="AM316" s="198"/>
      <c r="AN316" s="200"/>
      <c r="AO316" s="200"/>
      <c r="AP316" s="195"/>
      <c r="AQ316" s="282"/>
      <c r="AS316" s="300" t="str">
        <f t="shared" si="34"/>
        <v/>
      </c>
      <c r="AT316" s="210">
        <f t="shared" si="35"/>
        <v>0</v>
      </c>
      <c r="AU316" s="210"/>
      <c r="AV316" s="292">
        <f t="shared" si="36"/>
        <v>0</v>
      </c>
      <c r="AW316" s="210">
        <f t="shared" si="37"/>
        <v>0</v>
      </c>
      <c r="AX316" s="210">
        <f t="shared" si="38"/>
        <v>0</v>
      </c>
      <c r="AY316" s="210">
        <f t="shared" si="39"/>
        <v>0</v>
      </c>
    </row>
    <row r="317" spans="34:51" x14ac:dyDescent="0.25">
      <c r="AH317" s="197"/>
      <c r="AI317" s="200"/>
      <c r="AJ317" s="302"/>
      <c r="AK317" s="200"/>
      <c r="AL317" s="294">
        <f t="shared" si="33"/>
        <v>0</v>
      </c>
      <c r="AM317" s="198"/>
      <c r="AN317" s="200"/>
      <c r="AO317" s="200"/>
      <c r="AP317" s="195"/>
      <c r="AQ317" s="282"/>
      <c r="AS317" s="300" t="str">
        <f t="shared" si="34"/>
        <v/>
      </c>
      <c r="AT317" s="210">
        <f t="shared" si="35"/>
        <v>0</v>
      </c>
      <c r="AU317" s="210"/>
      <c r="AV317" s="292">
        <f t="shared" si="36"/>
        <v>0</v>
      </c>
      <c r="AW317" s="210">
        <f t="shared" si="37"/>
        <v>0</v>
      </c>
      <c r="AX317" s="210">
        <f t="shared" si="38"/>
        <v>0</v>
      </c>
      <c r="AY317" s="210">
        <f t="shared" si="39"/>
        <v>0</v>
      </c>
    </row>
    <row r="318" spans="34:51" x14ac:dyDescent="0.25">
      <c r="AH318" s="197"/>
      <c r="AI318" s="200"/>
      <c r="AJ318" s="302"/>
      <c r="AK318" s="200"/>
      <c r="AL318" s="294">
        <f t="shared" si="33"/>
        <v>0</v>
      </c>
      <c r="AM318" s="198"/>
      <c r="AN318" s="200"/>
      <c r="AO318" s="200"/>
      <c r="AP318" s="195"/>
      <c r="AQ318" s="282"/>
      <c r="AS318" s="300" t="str">
        <f t="shared" si="34"/>
        <v/>
      </c>
      <c r="AT318" s="210">
        <f t="shared" si="35"/>
        <v>0</v>
      </c>
      <c r="AU318" s="210"/>
      <c r="AV318" s="292">
        <f t="shared" si="36"/>
        <v>0</v>
      </c>
      <c r="AW318" s="210">
        <f t="shared" si="37"/>
        <v>0</v>
      </c>
      <c r="AX318" s="210">
        <f t="shared" si="38"/>
        <v>0</v>
      </c>
      <c r="AY318" s="210">
        <f t="shared" si="39"/>
        <v>0</v>
      </c>
    </row>
    <row r="319" spans="34:51" x14ac:dyDescent="0.25">
      <c r="AH319" s="197"/>
      <c r="AI319" s="200"/>
      <c r="AJ319" s="302"/>
      <c r="AK319" s="200"/>
      <c r="AL319" s="294">
        <f t="shared" si="33"/>
        <v>0</v>
      </c>
      <c r="AM319" s="198"/>
      <c r="AN319" s="200"/>
      <c r="AO319" s="200"/>
      <c r="AP319" s="195"/>
      <c r="AQ319" s="282"/>
      <c r="AS319" s="300" t="str">
        <f t="shared" si="34"/>
        <v/>
      </c>
      <c r="AT319" s="210">
        <f t="shared" si="35"/>
        <v>0</v>
      </c>
      <c r="AU319" s="210"/>
      <c r="AV319" s="292">
        <f t="shared" si="36"/>
        <v>0</v>
      </c>
      <c r="AW319" s="210">
        <f t="shared" si="37"/>
        <v>0</v>
      </c>
      <c r="AX319" s="210">
        <f t="shared" si="38"/>
        <v>0</v>
      </c>
      <c r="AY319" s="210">
        <f t="shared" si="39"/>
        <v>0</v>
      </c>
    </row>
    <row r="320" spans="34:51" x14ac:dyDescent="0.25">
      <c r="AH320" s="197"/>
      <c r="AI320" s="200"/>
      <c r="AJ320" s="302"/>
      <c r="AK320" s="200"/>
      <c r="AL320" s="294">
        <f t="shared" si="33"/>
        <v>0</v>
      </c>
      <c r="AM320" s="198"/>
      <c r="AN320" s="200"/>
      <c r="AO320" s="200"/>
      <c r="AP320" s="195"/>
      <c r="AQ320" s="282"/>
      <c r="AS320" s="300" t="str">
        <f t="shared" si="34"/>
        <v/>
      </c>
      <c r="AT320" s="210">
        <f t="shared" si="35"/>
        <v>0</v>
      </c>
      <c r="AU320" s="210"/>
      <c r="AV320" s="292">
        <f t="shared" si="36"/>
        <v>0</v>
      </c>
      <c r="AW320" s="210">
        <f t="shared" si="37"/>
        <v>0</v>
      </c>
      <c r="AX320" s="210">
        <f t="shared" si="38"/>
        <v>0</v>
      </c>
      <c r="AY320" s="210">
        <f t="shared" si="39"/>
        <v>0</v>
      </c>
    </row>
    <row r="321" spans="34:51" x14ac:dyDescent="0.25">
      <c r="AH321" s="197"/>
      <c r="AI321" s="200"/>
      <c r="AJ321" s="302"/>
      <c r="AK321" s="200"/>
      <c r="AL321" s="294">
        <f t="shared" si="33"/>
        <v>0</v>
      </c>
      <c r="AM321" s="198"/>
      <c r="AN321" s="200"/>
      <c r="AO321" s="200"/>
      <c r="AP321" s="195"/>
      <c r="AQ321" s="282"/>
      <c r="AS321" s="300" t="str">
        <f t="shared" si="34"/>
        <v/>
      </c>
      <c r="AT321" s="210">
        <f t="shared" si="35"/>
        <v>0</v>
      </c>
      <c r="AU321" s="210"/>
      <c r="AV321" s="292">
        <f t="shared" si="36"/>
        <v>0</v>
      </c>
      <c r="AW321" s="210">
        <f t="shared" si="37"/>
        <v>0</v>
      </c>
      <c r="AX321" s="210">
        <f t="shared" si="38"/>
        <v>0</v>
      </c>
      <c r="AY321" s="210">
        <f t="shared" si="39"/>
        <v>0</v>
      </c>
    </row>
    <row r="322" spans="34:51" x14ac:dyDescent="0.25">
      <c r="AH322" s="197"/>
      <c r="AI322" s="200"/>
      <c r="AJ322" s="302"/>
      <c r="AK322" s="200"/>
      <c r="AL322" s="294">
        <f t="shared" si="33"/>
        <v>0</v>
      </c>
      <c r="AM322" s="198"/>
      <c r="AN322" s="200"/>
      <c r="AO322" s="200"/>
      <c r="AP322" s="195"/>
      <c r="AQ322" s="282"/>
      <c r="AS322" s="300" t="str">
        <f t="shared" si="34"/>
        <v/>
      </c>
      <c r="AT322" s="210">
        <f t="shared" si="35"/>
        <v>0</v>
      </c>
      <c r="AU322" s="210"/>
      <c r="AV322" s="292">
        <f t="shared" si="36"/>
        <v>0</v>
      </c>
      <c r="AW322" s="210">
        <f t="shared" si="37"/>
        <v>0</v>
      </c>
      <c r="AX322" s="210">
        <f t="shared" si="38"/>
        <v>0</v>
      </c>
      <c r="AY322" s="210">
        <f t="shared" si="39"/>
        <v>0</v>
      </c>
    </row>
    <row r="323" spans="34:51" x14ac:dyDescent="0.25">
      <c r="AH323" s="197"/>
      <c r="AI323" s="200"/>
      <c r="AJ323" s="302"/>
      <c r="AK323" s="200"/>
      <c r="AL323" s="294">
        <f t="shared" si="33"/>
        <v>0</v>
      </c>
      <c r="AM323" s="198"/>
      <c r="AN323" s="200"/>
      <c r="AO323" s="200"/>
      <c r="AP323" s="195"/>
      <c r="AQ323" s="282"/>
      <c r="AS323" s="300" t="str">
        <f t="shared" si="34"/>
        <v/>
      </c>
      <c r="AT323" s="210">
        <f t="shared" si="35"/>
        <v>0</v>
      </c>
      <c r="AU323" s="210"/>
      <c r="AV323" s="292">
        <f t="shared" si="36"/>
        <v>0</v>
      </c>
      <c r="AW323" s="210">
        <f t="shared" si="37"/>
        <v>0</v>
      </c>
      <c r="AX323" s="210">
        <f t="shared" si="38"/>
        <v>0</v>
      </c>
      <c r="AY323" s="210">
        <f t="shared" si="39"/>
        <v>0</v>
      </c>
    </row>
    <row r="324" spans="34:51" x14ac:dyDescent="0.25">
      <c r="AH324" s="197"/>
      <c r="AI324" s="200"/>
      <c r="AJ324" s="302"/>
      <c r="AK324" s="200"/>
      <c r="AL324" s="294">
        <f t="shared" si="33"/>
        <v>0</v>
      </c>
      <c r="AM324" s="198"/>
      <c r="AN324" s="200"/>
      <c r="AO324" s="200"/>
      <c r="AP324" s="195"/>
      <c r="AQ324" s="282"/>
      <c r="AS324" s="300" t="str">
        <f t="shared" si="34"/>
        <v/>
      </c>
      <c r="AT324" s="210">
        <f t="shared" si="35"/>
        <v>0</v>
      </c>
      <c r="AU324" s="210"/>
      <c r="AV324" s="292">
        <f t="shared" si="36"/>
        <v>0</v>
      </c>
      <c r="AW324" s="210">
        <f t="shared" si="37"/>
        <v>0</v>
      </c>
      <c r="AX324" s="210">
        <f t="shared" si="38"/>
        <v>0</v>
      </c>
      <c r="AY324" s="210">
        <f t="shared" si="39"/>
        <v>0</v>
      </c>
    </row>
    <row r="325" spans="34:51" x14ac:dyDescent="0.25">
      <c r="AH325" s="197"/>
      <c r="AI325" s="200"/>
      <c r="AJ325" s="302"/>
      <c r="AK325" s="200"/>
      <c r="AL325" s="294">
        <f t="shared" si="33"/>
        <v>0</v>
      </c>
      <c r="AM325" s="198"/>
      <c r="AN325" s="200"/>
      <c r="AO325" s="200"/>
      <c r="AP325" s="195"/>
      <c r="AQ325" s="282"/>
      <c r="AS325" s="300" t="str">
        <f t="shared" si="34"/>
        <v/>
      </c>
      <c r="AT325" s="210">
        <f t="shared" si="35"/>
        <v>0</v>
      </c>
      <c r="AU325" s="210"/>
      <c r="AV325" s="292">
        <f t="shared" si="36"/>
        <v>0</v>
      </c>
      <c r="AW325" s="210">
        <f t="shared" si="37"/>
        <v>0</v>
      </c>
      <c r="AX325" s="210">
        <f t="shared" si="38"/>
        <v>0</v>
      </c>
      <c r="AY325" s="210">
        <f t="shared" si="39"/>
        <v>0</v>
      </c>
    </row>
    <row r="326" spans="34:51" x14ac:dyDescent="0.25">
      <c r="AH326" s="197"/>
      <c r="AI326" s="200"/>
      <c r="AJ326" s="302"/>
      <c r="AK326" s="200"/>
      <c r="AL326" s="294">
        <f t="shared" si="33"/>
        <v>0</v>
      </c>
      <c r="AM326" s="198"/>
      <c r="AN326" s="200"/>
      <c r="AO326" s="200"/>
      <c r="AP326" s="195"/>
      <c r="AQ326" s="282"/>
      <c r="AS326" s="300" t="str">
        <f t="shared" si="34"/>
        <v/>
      </c>
      <c r="AT326" s="210">
        <f t="shared" si="35"/>
        <v>0</v>
      </c>
      <c r="AU326" s="210"/>
      <c r="AV326" s="292">
        <f t="shared" si="36"/>
        <v>0</v>
      </c>
      <c r="AW326" s="210">
        <f t="shared" si="37"/>
        <v>0</v>
      </c>
      <c r="AX326" s="210">
        <f t="shared" si="38"/>
        <v>0</v>
      </c>
      <c r="AY326" s="210">
        <f t="shared" si="39"/>
        <v>0</v>
      </c>
    </row>
    <row r="327" spans="34:51" x14ac:dyDescent="0.25">
      <c r="AH327" s="197"/>
      <c r="AI327" s="200"/>
      <c r="AJ327" s="302"/>
      <c r="AK327" s="200"/>
      <c r="AL327" s="294">
        <f t="shared" si="33"/>
        <v>0</v>
      </c>
      <c r="AM327" s="198"/>
      <c r="AN327" s="200"/>
      <c r="AO327" s="200"/>
      <c r="AP327" s="195"/>
      <c r="AQ327" s="282"/>
      <c r="AS327" s="300" t="str">
        <f t="shared" si="34"/>
        <v/>
      </c>
      <c r="AT327" s="210">
        <f t="shared" si="35"/>
        <v>0</v>
      </c>
      <c r="AU327" s="210"/>
      <c r="AV327" s="292">
        <f t="shared" si="36"/>
        <v>0</v>
      </c>
      <c r="AW327" s="210">
        <f t="shared" si="37"/>
        <v>0</v>
      </c>
      <c r="AX327" s="210">
        <f t="shared" si="38"/>
        <v>0</v>
      </c>
      <c r="AY327" s="210">
        <f t="shared" si="39"/>
        <v>0</v>
      </c>
    </row>
    <row r="328" spans="34:51" x14ac:dyDescent="0.25">
      <c r="AH328" s="197"/>
      <c r="AI328" s="200"/>
      <c r="AJ328" s="302"/>
      <c r="AK328" s="200"/>
      <c r="AL328" s="294">
        <f t="shared" si="33"/>
        <v>0</v>
      </c>
      <c r="AM328" s="198"/>
      <c r="AN328" s="200"/>
      <c r="AO328" s="200"/>
      <c r="AP328" s="195"/>
      <c r="AQ328" s="282"/>
      <c r="AS328" s="300" t="str">
        <f t="shared" si="34"/>
        <v/>
      </c>
      <c r="AT328" s="210">
        <f t="shared" si="35"/>
        <v>0</v>
      </c>
      <c r="AU328" s="210"/>
      <c r="AV328" s="292">
        <f t="shared" si="36"/>
        <v>0</v>
      </c>
      <c r="AW328" s="210">
        <f t="shared" si="37"/>
        <v>0</v>
      </c>
      <c r="AX328" s="210">
        <f t="shared" si="38"/>
        <v>0</v>
      </c>
      <c r="AY328" s="210">
        <f t="shared" si="39"/>
        <v>0</v>
      </c>
    </row>
    <row r="329" spans="34:51" x14ac:dyDescent="0.25">
      <c r="AH329" s="197"/>
      <c r="AI329" s="200"/>
      <c r="AJ329" s="302"/>
      <c r="AK329" s="200"/>
      <c r="AL329" s="294">
        <f t="shared" si="33"/>
        <v>0</v>
      </c>
      <c r="AM329" s="198"/>
      <c r="AN329" s="200"/>
      <c r="AO329" s="200"/>
      <c r="AP329" s="195"/>
      <c r="AQ329" s="282"/>
      <c r="AS329" s="300" t="str">
        <f t="shared" si="34"/>
        <v/>
      </c>
      <c r="AT329" s="210">
        <f t="shared" si="35"/>
        <v>0</v>
      </c>
      <c r="AU329" s="210"/>
      <c r="AV329" s="292">
        <f t="shared" si="36"/>
        <v>0</v>
      </c>
      <c r="AW329" s="210">
        <f t="shared" si="37"/>
        <v>0</v>
      </c>
      <c r="AX329" s="210">
        <f t="shared" si="38"/>
        <v>0</v>
      </c>
      <c r="AY329" s="210">
        <f t="shared" si="39"/>
        <v>0</v>
      </c>
    </row>
    <row r="330" spans="34:51" x14ac:dyDescent="0.25">
      <c r="AH330" s="197"/>
      <c r="AI330" s="200"/>
      <c r="AJ330" s="302"/>
      <c r="AK330" s="200"/>
      <c r="AL330" s="294">
        <f t="shared" si="33"/>
        <v>0</v>
      </c>
      <c r="AM330" s="198"/>
      <c r="AN330" s="200"/>
      <c r="AO330" s="200"/>
      <c r="AP330" s="195"/>
      <c r="AQ330" s="282"/>
      <c r="AS330" s="300" t="str">
        <f t="shared" si="34"/>
        <v/>
      </c>
      <c r="AT330" s="210">
        <f t="shared" si="35"/>
        <v>0</v>
      </c>
      <c r="AU330" s="210"/>
      <c r="AV330" s="292">
        <f t="shared" si="36"/>
        <v>0</v>
      </c>
      <c r="AW330" s="210">
        <f t="shared" si="37"/>
        <v>0</v>
      </c>
      <c r="AX330" s="210">
        <f t="shared" si="38"/>
        <v>0</v>
      </c>
      <c r="AY330" s="210">
        <f t="shared" si="39"/>
        <v>0</v>
      </c>
    </row>
    <row r="331" spans="34:51" x14ac:dyDescent="0.25">
      <c r="AH331" s="197"/>
      <c r="AI331" s="200"/>
      <c r="AJ331" s="302"/>
      <c r="AK331" s="200"/>
      <c r="AL331" s="294">
        <f t="shared" ref="AL331:AL394" si="40">AK331*AI331</f>
        <v>0</v>
      </c>
      <c r="AM331" s="198"/>
      <c r="AN331" s="200"/>
      <c r="AO331" s="200"/>
      <c r="AP331" s="195"/>
      <c r="AQ331" s="282"/>
      <c r="AS331" s="300" t="str">
        <f t="shared" ref="AS331:AS394" si="41">IFERROR(IF(AM331="CEE",AL331/(1.062*AN331),AL331/AN331),"")</f>
        <v/>
      </c>
      <c r="AT331" s="210">
        <f t="shared" ref="AT331:AT394" si="42">IF(AQ331="Não atende",1,0)</f>
        <v>0</v>
      </c>
      <c r="AU331" s="210"/>
      <c r="AV331" s="292">
        <f t="shared" si="36"/>
        <v>0</v>
      </c>
      <c r="AW331" s="210">
        <f t="shared" si="37"/>
        <v>0</v>
      </c>
      <c r="AX331" s="210">
        <f t="shared" si="38"/>
        <v>0</v>
      </c>
      <c r="AY331" s="210">
        <f t="shared" si="39"/>
        <v>0</v>
      </c>
    </row>
    <row r="332" spans="34:51" x14ac:dyDescent="0.25">
      <c r="AH332" s="197"/>
      <c r="AI332" s="200"/>
      <c r="AJ332" s="302"/>
      <c r="AK332" s="200"/>
      <c r="AL332" s="294">
        <f t="shared" si="40"/>
        <v>0</v>
      </c>
      <c r="AM332" s="198"/>
      <c r="AN332" s="200"/>
      <c r="AO332" s="200"/>
      <c r="AP332" s="195"/>
      <c r="AQ332" s="282"/>
      <c r="AS332" s="300" t="str">
        <f t="shared" si="41"/>
        <v/>
      </c>
      <c r="AT332" s="210">
        <f t="shared" si="42"/>
        <v>0</v>
      </c>
      <c r="AU332" s="210"/>
      <c r="AV332" s="292">
        <f t="shared" si="36"/>
        <v>0</v>
      </c>
      <c r="AW332" s="210">
        <f t="shared" si="37"/>
        <v>0</v>
      </c>
      <c r="AX332" s="210">
        <f t="shared" si="38"/>
        <v>0</v>
      </c>
      <c r="AY332" s="210">
        <f t="shared" si="39"/>
        <v>0</v>
      </c>
    </row>
    <row r="333" spans="34:51" x14ac:dyDescent="0.25">
      <c r="AH333" s="197"/>
      <c r="AI333" s="200"/>
      <c r="AJ333" s="302"/>
      <c r="AK333" s="200"/>
      <c r="AL333" s="294">
        <f t="shared" si="40"/>
        <v>0</v>
      </c>
      <c r="AM333" s="198"/>
      <c r="AN333" s="200"/>
      <c r="AO333" s="200"/>
      <c r="AP333" s="195"/>
      <c r="AQ333" s="282"/>
      <c r="AS333" s="300" t="str">
        <f t="shared" si="41"/>
        <v/>
      </c>
      <c r="AT333" s="210">
        <f t="shared" si="42"/>
        <v>0</v>
      </c>
      <c r="AU333" s="210"/>
      <c r="AV333" s="292">
        <f t="shared" ref="AV333:AV396" si="43">T333</f>
        <v>0</v>
      </c>
      <c r="AW333" s="210">
        <f t="shared" ref="AW333:AW396" si="44">IF(Z333&gt;W333,Z333,W333)</f>
        <v>0</v>
      </c>
      <c r="AX333" s="210">
        <f t="shared" ref="AX333:AX396" si="45">IF(AA333&gt;X333,AA333,X333)</f>
        <v>0</v>
      </c>
      <c r="AY333" s="210">
        <f t="shared" ref="AY333:AY396" si="46">IF(AB333&gt;Y333,AB333,Y333)</f>
        <v>0</v>
      </c>
    </row>
    <row r="334" spans="34:51" x14ac:dyDescent="0.25">
      <c r="AH334" s="197"/>
      <c r="AI334" s="200"/>
      <c r="AJ334" s="302"/>
      <c r="AK334" s="200"/>
      <c r="AL334" s="294">
        <f t="shared" si="40"/>
        <v>0</v>
      </c>
      <c r="AM334" s="198"/>
      <c r="AN334" s="200"/>
      <c r="AO334" s="200"/>
      <c r="AP334" s="195"/>
      <c r="AQ334" s="282"/>
      <c r="AS334" s="300" t="str">
        <f t="shared" si="41"/>
        <v/>
      </c>
      <c r="AT334" s="210">
        <f t="shared" si="42"/>
        <v>0</v>
      </c>
      <c r="AU334" s="210"/>
      <c r="AV334" s="292">
        <f t="shared" si="43"/>
        <v>0</v>
      </c>
      <c r="AW334" s="210">
        <f t="shared" si="44"/>
        <v>0</v>
      </c>
      <c r="AX334" s="210">
        <f t="shared" si="45"/>
        <v>0</v>
      </c>
      <c r="AY334" s="210">
        <f t="shared" si="46"/>
        <v>0</v>
      </c>
    </row>
    <row r="335" spans="34:51" x14ac:dyDescent="0.25">
      <c r="AH335" s="197"/>
      <c r="AI335" s="200"/>
      <c r="AJ335" s="302"/>
      <c r="AK335" s="200"/>
      <c r="AL335" s="294">
        <f t="shared" si="40"/>
        <v>0</v>
      </c>
      <c r="AM335" s="198"/>
      <c r="AN335" s="200"/>
      <c r="AO335" s="200"/>
      <c r="AP335" s="195"/>
      <c r="AQ335" s="282"/>
      <c r="AS335" s="300" t="str">
        <f t="shared" si="41"/>
        <v/>
      </c>
      <c r="AT335" s="210">
        <f t="shared" si="42"/>
        <v>0</v>
      </c>
      <c r="AU335" s="210"/>
      <c r="AV335" s="292">
        <f t="shared" si="43"/>
        <v>0</v>
      </c>
      <c r="AW335" s="210">
        <f t="shared" si="44"/>
        <v>0</v>
      </c>
      <c r="AX335" s="210">
        <f t="shared" si="45"/>
        <v>0</v>
      </c>
      <c r="AY335" s="210">
        <f t="shared" si="46"/>
        <v>0</v>
      </c>
    </row>
    <row r="336" spans="34:51" x14ac:dyDescent="0.25">
      <c r="AH336" s="197"/>
      <c r="AI336" s="200"/>
      <c r="AJ336" s="302"/>
      <c r="AK336" s="200"/>
      <c r="AL336" s="294">
        <f t="shared" si="40"/>
        <v>0</v>
      </c>
      <c r="AM336" s="198"/>
      <c r="AN336" s="200"/>
      <c r="AO336" s="200"/>
      <c r="AP336" s="195"/>
      <c r="AQ336" s="282"/>
      <c r="AS336" s="300" t="str">
        <f t="shared" si="41"/>
        <v/>
      </c>
      <c r="AT336" s="210">
        <f t="shared" si="42"/>
        <v>0</v>
      </c>
      <c r="AU336" s="210"/>
      <c r="AV336" s="292">
        <f t="shared" si="43"/>
        <v>0</v>
      </c>
      <c r="AW336" s="210">
        <f t="shared" si="44"/>
        <v>0</v>
      </c>
      <c r="AX336" s="210">
        <f t="shared" si="45"/>
        <v>0</v>
      </c>
      <c r="AY336" s="210">
        <f t="shared" si="46"/>
        <v>0</v>
      </c>
    </row>
    <row r="337" spans="34:51" x14ac:dyDescent="0.25">
      <c r="AH337" s="197"/>
      <c r="AI337" s="200"/>
      <c r="AJ337" s="302"/>
      <c r="AK337" s="200"/>
      <c r="AL337" s="294">
        <f t="shared" si="40"/>
        <v>0</v>
      </c>
      <c r="AM337" s="198"/>
      <c r="AN337" s="200"/>
      <c r="AO337" s="200"/>
      <c r="AP337" s="195"/>
      <c r="AQ337" s="282"/>
      <c r="AS337" s="300" t="str">
        <f t="shared" si="41"/>
        <v/>
      </c>
      <c r="AT337" s="210">
        <f t="shared" si="42"/>
        <v>0</v>
      </c>
      <c r="AU337" s="210"/>
      <c r="AV337" s="292">
        <f t="shared" si="43"/>
        <v>0</v>
      </c>
      <c r="AW337" s="210">
        <f t="shared" si="44"/>
        <v>0</v>
      </c>
      <c r="AX337" s="210">
        <f t="shared" si="45"/>
        <v>0</v>
      </c>
      <c r="AY337" s="210">
        <f t="shared" si="46"/>
        <v>0</v>
      </c>
    </row>
    <row r="338" spans="34:51" x14ac:dyDescent="0.25">
      <c r="AH338" s="197"/>
      <c r="AI338" s="200"/>
      <c r="AJ338" s="302"/>
      <c r="AK338" s="200"/>
      <c r="AL338" s="294">
        <f t="shared" si="40"/>
        <v>0</v>
      </c>
      <c r="AM338" s="198"/>
      <c r="AN338" s="200"/>
      <c r="AO338" s="200"/>
      <c r="AP338" s="195"/>
      <c r="AQ338" s="282"/>
      <c r="AS338" s="300" t="str">
        <f t="shared" si="41"/>
        <v/>
      </c>
      <c r="AT338" s="210">
        <f t="shared" si="42"/>
        <v>0</v>
      </c>
      <c r="AU338" s="210"/>
      <c r="AV338" s="292">
        <f t="shared" si="43"/>
        <v>0</v>
      </c>
      <c r="AW338" s="210">
        <f t="shared" si="44"/>
        <v>0</v>
      </c>
      <c r="AX338" s="210">
        <f t="shared" si="45"/>
        <v>0</v>
      </c>
      <c r="AY338" s="210">
        <f t="shared" si="46"/>
        <v>0</v>
      </c>
    </row>
    <row r="339" spans="34:51" x14ac:dyDescent="0.25">
      <c r="AH339" s="197"/>
      <c r="AI339" s="200"/>
      <c r="AJ339" s="302"/>
      <c r="AK339" s="200"/>
      <c r="AL339" s="294">
        <f t="shared" si="40"/>
        <v>0</v>
      </c>
      <c r="AM339" s="198"/>
      <c r="AN339" s="200"/>
      <c r="AO339" s="200"/>
      <c r="AP339" s="195"/>
      <c r="AQ339" s="282"/>
      <c r="AS339" s="300" t="str">
        <f t="shared" si="41"/>
        <v/>
      </c>
      <c r="AT339" s="210">
        <f t="shared" si="42"/>
        <v>0</v>
      </c>
      <c r="AU339" s="210"/>
      <c r="AV339" s="292">
        <f t="shared" si="43"/>
        <v>0</v>
      </c>
      <c r="AW339" s="210">
        <f t="shared" si="44"/>
        <v>0</v>
      </c>
      <c r="AX339" s="210">
        <f t="shared" si="45"/>
        <v>0</v>
      </c>
      <c r="AY339" s="210">
        <f t="shared" si="46"/>
        <v>0</v>
      </c>
    </row>
    <row r="340" spans="34:51" x14ac:dyDescent="0.25">
      <c r="AH340" s="197"/>
      <c r="AI340" s="200"/>
      <c r="AJ340" s="302"/>
      <c r="AK340" s="200"/>
      <c r="AL340" s="294">
        <f t="shared" si="40"/>
        <v>0</v>
      </c>
      <c r="AM340" s="198"/>
      <c r="AN340" s="200"/>
      <c r="AO340" s="200"/>
      <c r="AP340" s="195"/>
      <c r="AQ340" s="282"/>
      <c r="AS340" s="300" t="str">
        <f t="shared" si="41"/>
        <v/>
      </c>
      <c r="AT340" s="210">
        <f t="shared" si="42"/>
        <v>0</v>
      </c>
      <c r="AU340" s="210"/>
      <c r="AV340" s="292">
        <f t="shared" si="43"/>
        <v>0</v>
      </c>
      <c r="AW340" s="210">
        <f t="shared" si="44"/>
        <v>0</v>
      </c>
      <c r="AX340" s="210">
        <f t="shared" si="45"/>
        <v>0</v>
      </c>
      <c r="AY340" s="210">
        <f t="shared" si="46"/>
        <v>0</v>
      </c>
    </row>
    <row r="341" spans="34:51" x14ac:dyDescent="0.25">
      <c r="AH341" s="197"/>
      <c r="AI341" s="200"/>
      <c r="AJ341" s="302"/>
      <c r="AK341" s="200"/>
      <c r="AL341" s="294">
        <f t="shared" si="40"/>
        <v>0</v>
      </c>
      <c r="AM341" s="198"/>
      <c r="AN341" s="200"/>
      <c r="AO341" s="200"/>
      <c r="AP341" s="195"/>
      <c r="AQ341" s="282"/>
      <c r="AS341" s="300" t="str">
        <f t="shared" si="41"/>
        <v/>
      </c>
      <c r="AT341" s="210">
        <f t="shared" si="42"/>
        <v>0</v>
      </c>
      <c r="AU341" s="210"/>
      <c r="AV341" s="292">
        <f t="shared" si="43"/>
        <v>0</v>
      </c>
      <c r="AW341" s="210">
        <f t="shared" si="44"/>
        <v>0</v>
      </c>
      <c r="AX341" s="210">
        <f t="shared" si="45"/>
        <v>0</v>
      </c>
      <c r="AY341" s="210">
        <f t="shared" si="46"/>
        <v>0</v>
      </c>
    </row>
    <row r="342" spans="34:51" x14ac:dyDescent="0.25">
      <c r="AH342" s="197"/>
      <c r="AI342" s="200"/>
      <c r="AJ342" s="302"/>
      <c r="AK342" s="200"/>
      <c r="AL342" s="294">
        <f t="shared" si="40"/>
        <v>0</v>
      </c>
      <c r="AM342" s="198"/>
      <c r="AN342" s="200"/>
      <c r="AO342" s="200"/>
      <c r="AP342" s="195"/>
      <c r="AQ342" s="282"/>
      <c r="AS342" s="300" t="str">
        <f t="shared" si="41"/>
        <v/>
      </c>
      <c r="AT342" s="210">
        <f t="shared" si="42"/>
        <v>0</v>
      </c>
      <c r="AU342" s="210"/>
      <c r="AV342" s="292">
        <f t="shared" si="43"/>
        <v>0</v>
      </c>
      <c r="AW342" s="210">
        <f t="shared" si="44"/>
        <v>0</v>
      </c>
      <c r="AX342" s="210">
        <f t="shared" si="45"/>
        <v>0</v>
      </c>
      <c r="AY342" s="210">
        <f t="shared" si="46"/>
        <v>0</v>
      </c>
    </row>
    <row r="343" spans="34:51" x14ac:dyDescent="0.25">
      <c r="AH343" s="197"/>
      <c r="AI343" s="200"/>
      <c r="AJ343" s="302"/>
      <c r="AK343" s="200"/>
      <c r="AL343" s="294">
        <f t="shared" si="40"/>
        <v>0</v>
      </c>
      <c r="AM343" s="198"/>
      <c r="AN343" s="200"/>
      <c r="AO343" s="200"/>
      <c r="AP343" s="195"/>
      <c r="AQ343" s="282"/>
      <c r="AS343" s="300" t="str">
        <f t="shared" si="41"/>
        <v/>
      </c>
      <c r="AT343" s="210">
        <f t="shared" si="42"/>
        <v>0</v>
      </c>
      <c r="AU343" s="210"/>
      <c r="AV343" s="292">
        <f t="shared" si="43"/>
        <v>0</v>
      </c>
      <c r="AW343" s="210">
        <f t="shared" si="44"/>
        <v>0</v>
      </c>
      <c r="AX343" s="210">
        <f t="shared" si="45"/>
        <v>0</v>
      </c>
      <c r="AY343" s="210">
        <f t="shared" si="46"/>
        <v>0</v>
      </c>
    </row>
    <row r="344" spans="34:51" x14ac:dyDescent="0.25">
      <c r="AH344" s="197"/>
      <c r="AI344" s="200"/>
      <c r="AJ344" s="302"/>
      <c r="AK344" s="200"/>
      <c r="AL344" s="294">
        <f t="shared" si="40"/>
        <v>0</v>
      </c>
      <c r="AM344" s="198"/>
      <c r="AN344" s="200"/>
      <c r="AO344" s="200"/>
      <c r="AP344" s="195"/>
      <c r="AQ344" s="282"/>
      <c r="AS344" s="300" t="str">
        <f t="shared" si="41"/>
        <v/>
      </c>
      <c r="AT344" s="210">
        <f t="shared" si="42"/>
        <v>0</v>
      </c>
      <c r="AU344" s="210"/>
      <c r="AV344" s="292">
        <f t="shared" si="43"/>
        <v>0</v>
      </c>
      <c r="AW344" s="210">
        <f t="shared" si="44"/>
        <v>0</v>
      </c>
      <c r="AX344" s="210">
        <f t="shared" si="45"/>
        <v>0</v>
      </c>
      <c r="AY344" s="210">
        <f t="shared" si="46"/>
        <v>0</v>
      </c>
    </row>
    <row r="345" spans="34:51" x14ac:dyDescent="0.25">
      <c r="AH345" s="197"/>
      <c r="AI345" s="200"/>
      <c r="AJ345" s="302"/>
      <c r="AK345" s="200"/>
      <c r="AL345" s="294">
        <f t="shared" si="40"/>
        <v>0</v>
      </c>
      <c r="AM345" s="198"/>
      <c r="AN345" s="200"/>
      <c r="AO345" s="200"/>
      <c r="AP345" s="195"/>
      <c r="AQ345" s="282"/>
      <c r="AS345" s="300" t="str">
        <f t="shared" si="41"/>
        <v/>
      </c>
      <c r="AT345" s="210">
        <f t="shared" si="42"/>
        <v>0</v>
      </c>
      <c r="AU345" s="210"/>
      <c r="AV345" s="292">
        <f t="shared" si="43"/>
        <v>0</v>
      </c>
      <c r="AW345" s="210">
        <f t="shared" si="44"/>
        <v>0</v>
      </c>
      <c r="AX345" s="210">
        <f t="shared" si="45"/>
        <v>0</v>
      </c>
      <c r="AY345" s="210">
        <f t="shared" si="46"/>
        <v>0</v>
      </c>
    </row>
    <row r="346" spans="34:51" x14ac:dyDescent="0.25">
      <c r="AH346" s="197"/>
      <c r="AI346" s="200"/>
      <c r="AJ346" s="302"/>
      <c r="AK346" s="200"/>
      <c r="AL346" s="294">
        <f t="shared" si="40"/>
        <v>0</v>
      </c>
      <c r="AM346" s="198"/>
      <c r="AN346" s="200"/>
      <c r="AO346" s="200"/>
      <c r="AP346" s="195"/>
      <c r="AQ346" s="282"/>
      <c r="AS346" s="300" t="str">
        <f t="shared" si="41"/>
        <v/>
      </c>
      <c r="AT346" s="210">
        <f t="shared" si="42"/>
        <v>0</v>
      </c>
      <c r="AU346" s="210"/>
      <c r="AV346" s="292">
        <f t="shared" si="43"/>
        <v>0</v>
      </c>
      <c r="AW346" s="210">
        <f t="shared" si="44"/>
        <v>0</v>
      </c>
      <c r="AX346" s="210">
        <f t="shared" si="45"/>
        <v>0</v>
      </c>
      <c r="AY346" s="210">
        <f t="shared" si="46"/>
        <v>0</v>
      </c>
    </row>
    <row r="347" spans="34:51" x14ac:dyDescent="0.25">
      <c r="AH347" s="197"/>
      <c r="AI347" s="200"/>
      <c r="AJ347" s="302"/>
      <c r="AK347" s="200"/>
      <c r="AL347" s="294">
        <f t="shared" si="40"/>
        <v>0</v>
      </c>
      <c r="AM347" s="198"/>
      <c r="AN347" s="200"/>
      <c r="AO347" s="200"/>
      <c r="AP347" s="195"/>
      <c r="AQ347" s="282"/>
      <c r="AS347" s="300" t="str">
        <f t="shared" si="41"/>
        <v/>
      </c>
      <c r="AT347" s="210">
        <f t="shared" si="42"/>
        <v>0</v>
      </c>
      <c r="AU347" s="210"/>
      <c r="AV347" s="292">
        <f t="shared" si="43"/>
        <v>0</v>
      </c>
      <c r="AW347" s="210">
        <f t="shared" si="44"/>
        <v>0</v>
      </c>
      <c r="AX347" s="210">
        <f t="shared" si="45"/>
        <v>0</v>
      </c>
      <c r="AY347" s="210">
        <f t="shared" si="46"/>
        <v>0</v>
      </c>
    </row>
    <row r="348" spans="34:51" x14ac:dyDescent="0.25">
      <c r="AH348" s="197"/>
      <c r="AI348" s="200"/>
      <c r="AJ348" s="302"/>
      <c r="AK348" s="200"/>
      <c r="AL348" s="294">
        <f t="shared" si="40"/>
        <v>0</v>
      </c>
      <c r="AM348" s="198"/>
      <c r="AN348" s="200"/>
      <c r="AO348" s="200"/>
      <c r="AP348" s="195"/>
      <c r="AQ348" s="282"/>
      <c r="AS348" s="300" t="str">
        <f t="shared" si="41"/>
        <v/>
      </c>
      <c r="AT348" s="210">
        <f t="shared" si="42"/>
        <v>0</v>
      </c>
      <c r="AU348" s="210"/>
      <c r="AV348" s="292">
        <f t="shared" si="43"/>
        <v>0</v>
      </c>
      <c r="AW348" s="210">
        <f t="shared" si="44"/>
        <v>0</v>
      </c>
      <c r="AX348" s="210">
        <f t="shared" si="45"/>
        <v>0</v>
      </c>
      <c r="AY348" s="210">
        <f t="shared" si="46"/>
        <v>0</v>
      </c>
    </row>
    <row r="349" spans="34:51" x14ac:dyDescent="0.25">
      <c r="AH349" s="197"/>
      <c r="AI349" s="200"/>
      <c r="AJ349" s="302"/>
      <c r="AK349" s="200"/>
      <c r="AL349" s="294">
        <f t="shared" si="40"/>
        <v>0</v>
      </c>
      <c r="AM349" s="198"/>
      <c r="AN349" s="200"/>
      <c r="AO349" s="200"/>
      <c r="AP349" s="195"/>
      <c r="AQ349" s="282"/>
      <c r="AS349" s="300" t="str">
        <f t="shared" si="41"/>
        <v/>
      </c>
      <c r="AT349" s="210">
        <f t="shared" si="42"/>
        <v>0</v>
      </c>
      <c r="AU349" s="210"/>
      <c r="AV349" s="292">
        <f t="shared" si="43"/>
        <v>0</v>
      </c>
      <c r="AW349" s="210">
        <f t="shared" si="44"/>
        <v>0</v>
      </c>
      <c r="AX349" s="210">
        <f t="shared" si="45"/>
        <v>0</v>
      </c>
      <c r="AY349" s="210">
        <f t="shared" si="46"/>
        <v>0</v>
      </c>
    </row>
    <row r="350" spans="34:51" x14ac:dyDescent="0.25">
      <c r="AH350" s="197"/>
      <c r="AI350" s="200"/>
      <c r="AJ350" s="302"/>
      <c r="AK350" s="200"/>
      <c r="AL350" s="294">
        <f t="shared" si="40"/>
        <v>0</v>
      </c>
      <c r="AM350" s="198"/>
      <c r="AN350" s="200"/>
      <c r="AO350" s="200"/>
      <c r="AP350" s="195"/>
      <c r="AQ350" s="282"/>
      <c r="AS350" s="300" t="str">
        <f t="shared" si="41"/>
        <v/>
      </c>
      <c r="AT350" s="210">
        <f t="shared" si="42"/>
        <v>0</v>
      </c>
      <c r="AU350" s="210"/>
      <c r="AV350" s="292">
        <f t="shared" si="43"/>
        <v>0</v>
      </c>
      <c r="AW350" s="210">
        <f t="shared" si="44"/>
        <v>0</v>
      </c>
      <c r="AX350" s="210">
        <f t="shared" si="45"/>
        <v>0</v>
      </c>
      <c r="AY350" s="210">
        <f t="shared" si="46"/>
        <v>0</v>
      </c>
    </row>
    <row r="351" spans="34:51" x14ac:dyDescent="0.25">
      <c r="AH351" s="197"/>
      <c r="AI351" s="200"/>
      <c r="AJ351" s="302"/>
      <c r="AK351" s="200"/>
      <c r="AL351" s="294">
        <f t="shared" si="40"/>
        <v>0</v>
      </c>
      <c r="AM351" s="198"/>
      <c r="AN351" s="200"/>
      <c r="AO351" s="200"/>
      <c r="AP351" s="195"/>
      <c r="AQ351" s="282"/>
      <c r="AS351" s="300" t="str">
        <f t="shared" si="41"/>
        <v/>
      </c>
      <c r="AT351" s="210">
        <f t="shared" si="42"/>
        <v>0</v>
      </c>
      <c r="AU351" s="210"/>
      <c r="AV351" s="292">
        <f t="shared" si="43"/>
        <v>0</v>
      </c>
      <c r="AW351" s="210">
        <f t="shared" si="44"/>
        <v>0</v>
      </c>
      <c r="AX351" s="210">
        <f t="shared" si="45"/>
        <v>0</v>
      </c>
      <c r="AY351" s="210">
        <f t="shared" si="46"/>
        <v>0</v>
      </c>
    </row>
    <row r="352" spans="34:51" x14ac:dyDescent="0.25">
      <c r="AH352" s="197"/>
      <c r="AI352" s="200"/>
      <c r="AJ352" s="302"/>
      <c r="AK352" s="200"/>
      <c r="AL352" s="294">
        <f t="shared" si="40"/>
        <v>0</v>
      </c>
      <c r="AM352" s="198"/>
      <c r="AN352" s="200"/>
      <c r="AO352" s="200"/>
      <c r="AP352" s="195"/>
      <c r="AQ352" s="282"/>
      <c r="AS352" s="300" t="str">
        <f t="shared" si="41"/>
        <v/>
      </c>
      <c r="AT352" s="210">
        <f t="shared" si="42"/>
        <v>0</v>
      </c>
      <c r="AU352" s="210"/>
      <c r="AV352" s="292">
        <f t="shared" si="43"/>
        <v>0</v>
      </c>
      <c r="AW352" s="210">
        <f t="shared" si="44"/>
        <v>0</v>
      </c>
      <c r="AX352" s="210">
        <f t="shared" si="45"/>
        <v>0</v>
      </c>
      <c r="AY352" s="210">
        <f t="shared" si="46"/>
        <v>0</v>
      </c>
    </row>
    <row r="353" spans="34:51" x14ac:dyDescent="0.25">
      <c r="AH353" s="197"/>
      <c r="AI353" s="200"/>
      <c r="AJ353" s="302"/>
      <c r="AK353" s="200"/>
      <c r="AL353" s="294">
        <f t="shared" si="40"/>
        <v>0</v>
      </c>
      <c r="AM353" s="198"/>
      <c r="AN353" s="200"/>
      <c r="AO353" s="200"/>
      <c r="AP353" s="195"/>
      <c r="AQ353" s="282"/>
      <c r="AS353" s="300" t="str">
        <f t="shared" si="41"/>
        <v/>
      </c>
      <c r="AT353" s="210">
        <f t="shared" si="42"/>
        <v>0</v>
      </c>
      <c r="AU353" s="210"/>
      <c r="AV353" s="292">
        <f t="shared" si="43"/>
        <v>0</v>
      </c>
      <c r="AW353" s="210">
        <f t="shared" si="44"/>
        <v>0</v>
      </c>
      <c r="AX353" s="210">
        <f t="shared" si="45"/>
        <v>0</v>
      </c>
      <c r="AY353" s="210">
        <f t="shared" si="46"/>
        <v>0</v>
      </c>
    </row>
    <row r="354" spans="34:51" x14ac:dyDescent="0.25">
      <c r="AH354" s="197"/>
      <c r="AI354" s="200"/>
      <c r="AJ354" s="302"/>
      <c r="AK354" s="200"/>
      <c r="AL354" s="294">
        <f t="shared" si="40"/>
        <v>0</v>
      </c>
      <c r="AM354" s="198"/>
      <c r="AN354" s="200"/>
      <c r="AO354" s="200"/>
      <c r="AP354" s="195"/>
      <c r="AQ354" s="282"/>
      <c r="AS354" s="300" t="str">
        <f t="shared" si="41"/>
        <v/>
      </c>
      <c r="AT354" s="210">
        <f t="shared" si="42"/>
        <v>0</v>
      </c>
      <c r="AU354" s="210"/>
      <c r="AV354" s="292">
        <f t="shared" si="43"/>
        <v>0</v>
      </c>
      <c r="AW354" s="210">
        <f t="shared" si="44"/>
        <v>0</v>
      </c>
      <c r="AX354" s="210">
        <f t="shared" si="45"/>
        <v>0</v>
      </c>
      <c r="AY354" s="210">
        <f t="shared" si="46"/>
        <v>0</v>
      </c>
    </row>
    <row r="355" spans="34:51" x14ac:dyDescent="0.25">
      <c r="AH355" s="197"/>
      <c r="AI355" s="200"/>
      <c r="AJ355" s="302"/>
      <c r="AK355" s="200"/>
      <c r="AL355" s="294">
        <f t="shared" si="40"/>
        <v>0</v>
      </c>
      <c r="AM355" s="198"/>
      <c r="AN355" s="200"/>
      <c r="AO355" s="200"/>
      <c r="AP355" s="195"/>
      <c r="AQ355" s="282"/>
      <c r="AS355" s="300" t="str">
        <f t="shared" si="41"/>
        <v/>
      </c>
      <c r="AT355" s="210">
        <f t="shared" si="42"/>
        <v>0</v>
      </c>
      <c r="AU355" s="210"/>
      <c r="AV355" s="292">
        <f t="shared" si="43"/>
        <v>0</v>
      </c>
      <c r="AW355" s="210">
        <f t="shared" si="44"/>
        <v>0</v>
      </c>
      <c r="AX355" s="210">
        <f t="shared" si="45"/>
        <v>0</v>
      </c>
      <c r="AY355" s="210">
        <f t="shared" si="46"/>
        <v>0</v>
      </c>
    </row>
    <row r="356" spans="34:51" x14ac:dyDescent="0.25">
      <c r="AH356" s="197"/>
      <c r="AI356" s="200"/>
      <c r="AJ356" s="302"/>
      <c r="AK356" s="200"/>
      <c r="AL356" s="294">
        <f t="shared" si="40"/>
        <v>0</v>
      </c>
      <c r="AM356" s="198"/>
      <c r="AN356" s="200"/>
      <c r="AO356" s="200"/>
      <c r="AP356" s="195"/>
      <c r="AQ356" s="282"/>
      <c r="AS356" s="300" t="str">
        <f t="shared" si="41"/>
        <v/>
      </c>
      <c r="AT356" s="210">
        <f t="shared" si="42"/>
        <v>0</v>
      </c>
      <c r="AU356" s="210"/>
      <c r="AV356" s="292">
        <f t="shared" si="43"/>
        <v>0</v>
      </c>
      <c r="AW356" s="210">
        <f t="shared" si="44"/>
        <v>0</v>
      </c>
      <c r="AX356" s="210">
        <f t="shared" si="45"/>
        <v>0</v>
      </c>
      <c r="AY356" s="210">
        <f t="shared" si="46"/>
        <v>0</v>
      </c>
    </row>
    <row r="357" spans="34:51" x14ac:dyDescent="0.25">
      <c r="AH357" s="197"/>
      <c r="AI357" s="200"/>
      <c r="AJ357" s="302"/>
      <c r="AK357" s="200"/>
      <c r="AL357" s="294">
        <f t="shared" si="40"/>
        <v>0</v>
      </c>
      <c r="AM357" s="198"/>
      <c r="AN357" s="200"/>
      <c r="AO357" s="200"/>
      <c r="AP357" s="195"/>
      <c r="AQ357" s="282"/>
      <c r="AS357" s="300" t="str">
        <f t="shared" si="41"/>
        <v/>
      </c>
      <c r="AT357" s="210">
        <f t="shared" si="42"/>
        <v>0</v>
      </c>
      <c r="AU357" s="210"/>
      <c r="AV357" s="292">
        <f t="shared" si="43"/>
        <v>0</v>
      </c>
      <c r="AW357" s="210">
        <f t="shared" si="44"/>
        <v>0</v>
      </c>
      <c r="AX357" s="210">
        <f t="shared" si="45"/>
        <v>0</v>
      </c>
      <c r="AY357" s="210">
        <f t="shared" si="46"/>
        <v>0</v>
      </c>
    </row>
    <row r="358" spans="34:51" x14ac:dyDescent="0.25">
      <c r="AH358" s="197"/>
      <c r="AI358" s="200"/>
      <c r="AJ358" s="302"/>
      <c r="AK358" s="200"/>
      <c r="AL358" s="294">
        <f t="shared" si="40"/>
        <v>0</v>
      </c>
      <c r="AM358" s="198"/>
      <c r="AN358" s="200"/>
      <c r="AO358" s="200"/>
      <c r="AP358" s="195"/>
      <c r="AQ358" s="282"/>
      <c r="AS358" s="300" t="str">
        <f t="shared" si="41"/>
        <v/>
      </c>
      <c r="AT358" s="210">
        <f t="shared" si="42"/>
        <v>0</v>
      </c>
      <c r="AU358" s="210"/>
      <c r="AV358" s="292">
        <f t="shared" si="43"/>
        <v>0</v>
      </c>
      <c r="AW358" s="210">
        <f t="shared" si="44"/>
        <v>0</v>
      </c>
      <c r="AX358" s="210">
        <f t="shared" si="45"/>
        <v>0</v>
      </c>
      <c r="AY358" s="210">
        <f t="shared" si="46"/>
        <v>0</v>
      </c>
    </row>
    <row r="359" spans="34:51" x14ac:dyDescent="0.25">
      <c r="AH359" s="197"/>
      <c r="AI359" s="200"/>
      <c r="AJ359" s="302"/>
      <c r="AK359" s="200"/>
      <c r="AL359" s="294">
        <f t="shared" si="40"/>
        <v>0</v>
      </c>
      <c r="AM359" s="198"/>
      <c r="AN359" s="200"/>
      <c r="AO359" s="200"/>
      <c r="AP359" s="195"/>
      <c r="AQ359" s="282"/>
      <c r="AS359" s="300" t="str">
        <f t="shared" si="41"/>
        <v/>
      </c>
      <c r="AT359" s="210">
        <f t="shared" si="42"/>
        <v>0</v>
      </c>
      <c r="AU359" s="210"/>
      <c r="AV359" s="292">
        <f t="shared" si="43"/>
        <v>0</v>
      </c>
      <c r="AW359" s="210">
        <f t="shared" si="44"/>
        <v>0</v>
      </c>
      <c r="AX359" s="210">
        <f t="shared" si="45"/>
        <v>0</v>
      </c>
      <c r="AY359" s="210">
        <f t="shared" si="46"/>
        <v>0</v>
      </c>
    </row>
    <row r="360" spans="34:51" x14ac:dyDescent="0.25">
      <c r="AH360" s="197"/>
      <c r="AI360" s="200"/>
      <c r="AJ360" s="302"/>
      <c r="AK360" s="200"/>
      <c r="AL360" s="294">
        <f t="shared" si="40"/>
        <v>0</v>
      </c>
      <c r="AM360" s="198"/>
      <c r="AN360" s="200"/>
      <c r="AO360" s="200"/>
      <c r="AP360" s="195"/>
      <c r="AQ360" s="282"/>
      <c r="AS360" s="300" t="str">
        <f t="shared" si="41"/>
        <v/>
      </c>
      <c r="AT360" s="210">
        <f t="shared" si="42"/>
        <v>0</v>
      </c>
      <c r="AU360" s="210"/>
      <c r="AV360" s="292">
        <f t="shared" si="43"/>
        <v>0</v>
      </c>
      <c r="AW360" s="210">
        <f t="shared" si="44"/>
        <v>0</v>
      </c>
      <c r="AX360" s="210">
        <f t="shared" si="45"/>
        <v>0</v>
      </c>
      <c r="AY360" s="210">
        <f t="shared" si="46"/>
        <v>0</v>
      </c>
    </row>
    <row r="361" spans="34:51" x14ac:dyDescent="0.25">
      <c r="AH361" s="197"/>
      <c r="AI361" s="200"/>
      <c r="AJ361" s="302"/>
      <c r="AK361" s="200"/>
      <c r="AL361" s="294">
        <f t="shared" si="40"/>
        <v>0</v>
      </c>
      <c r="AM361" s="198"/>
      <c r="AN361" s="200"/>
      <c r="AO361" s="200"/>
      <c r="AP361" s="195"/>
      <c r="AQ361" s="282"/>
      <c r="AS361" s="300" t="str">
        <f t="shared" si="41"/>
        <v/>
      </c>
      <c r="AT361" s="210">
        <f t="shared" si="42"/>
        <v>0</v>
      </c>
      <c r="AU361" s="210"/>
      <c r="AV361" s="292">
        <f t="shared" si="43"/>
        <v>0</v>
      </c>
      <c r="AW361" s="210">
        <f t="shared" si="44"/>
        <v>0</v>
      </c>
      <c r="AX361" s="210">
        <f t="shared" si="45"/>
        <v>0</v>
      </c>
      <c r="AY361" s="210">
        <f t="shared" si="46"/>
        <v>0</v>
      </c>
    </row>
    <row r="362" spans="34:51" x14ac:dyDescent="0.25">
      <c r="AH362" s="197"/>
      <c r="AI362" s="200"/>
      <c r="AJ362" s="302"/>
      <c r="AK362" s="200"/>
      <c r="AL362" s="294">
        <f t="shared" si="40"/>
        <v>0</v>
      </c>
      <c r="AM362" s="198"/>
      <c r="AN362" s="200"/>
      <c r="AO362" s="200"/>
      <c r="AP362" s="195"/>
      <c r="AQ362" s="282"/>
      <c r="AS362" s="300" t="str">
        <f t="shared" si="41"/>
        <v/>
      </c>
      <c r="AT362" s="210">
        <f t="shared" si="42"/>
        <v>0</v>
      </c>
      <c r="AU362" s="210"/>
      <c r="AV362" s="292">
        <f t="shared" si="43"/>
        <v>0</v>
      </c>
      <c r="AW362" s="210">
        <f t="shared" si="44"/>
        <v>0</v>
      </c>
      <c r="AX362" s="210">
        <f t="shared" si="45"/>
        <v>0</v>
      </c>
      <c r="AY362" s="210">
        <f t="shared" si="46"/>
        <v>0</v>
      </c>
    </row>
    <row r="363" spans="34:51" x14ac:dyDescent="0.25">
      <c r="AH363" s="197"/>
      <c r="AI363" s="200"/>
      <c r="AJ363" s="302"/>
      <c r="AK363" s="200"/>
      <c r="AL363" s="294">
        <f t="shared" si="40"/>
        <v>0</v>
      </c>
      <c r="AM363" s="198"/>
      <c r="AN363" s="200"/>
      <c r="AO363" s="200"/>
      <c r="AP363" s="195"/>
      <c r="AQ363" s="282"/>
      <c r="AS363" s="300" t="str">
        <f t="shared" si="41"/>
        <v/>
      </c>
      <c r="AT363" s="210">
        <f t="shared" si="42"/>
        <v>0</v>
      </c>
      <c r="AU363" s="210"/>
      <c r="AV363" s="292">
        <f t="shared" si="43"/>
        <v>0</v>
      </c>
      <c r="AW363" s="210">
        <f t="shared" si="44"/>
        <v>0</v>
      </c>
      <c r="AX363" s="210">
        <f t="shared" si="45"/>
        <v>0</v>
      </c>
      <c r="AY363" s="210">
        <f t="shared" si="46"/>
        <v>0</v>
      </c>
    </row>
    <row r="364" spans="34:51" x14ac:dyDescent="0.25">
      <c r="AH364" s="197"/>
      <c r="AI364" s="200"/>
      <c r="AJ364" s="302"/>
      <c r="AK364" s="200"/>
      <c r="AL364" s="294">
        <f t="shared" si="40"/>
        <v>0</v>
      </c>
      <c r="AM364" s="198"/>
      <c r="AN364" s="200"/>
      <c r="AO364" s="200"/>
      <c r="AP364" s="195"/>
      <c r="AQ364" s="282"/>
      <c r="AS364" s="300" t="str">
        <f t="shared" si="41"/>
        <v/>
      </c>
      <c r="AT364" s="210">
        <f t="shared" si="42"/>
        <v>0</v>
      </c>
      <c r="AU364" s="210"/>
      <c r="AV364" s="292">
        <f t="shared" si="43"/>
        <v>0</v>
      </c>
      <c r="AW364" s="210">
        <f t="shared" si="44"/>
        <v>0</v>
      </c>
      <c r="AX364" s="210">
        <f t="shared" si="45"/>
        <v>0</v>
      </c>
      <c r="AY364" s="210">
        <f t="shared" si="46"/>
        <v>0</v>
      </c>
    </row>
    <row r="365" spans="34:51" x14ac:dyDescent="0.25">
      <c r="AH365" s="197"/>
      <c r="AI365" s="200"/>
      <c r="AJ365" s="302"/>
      <c r="AK365" s="200"/>
      <c r="AL365" s="294">
        <f t="shared" si="40"/>
        <v>0</v>
      </c>
      <c r="AM365" s="198"/>
      <c r="AN365" s="200"/>
      <c r="AO365" s="200"/>
      <c r="AP365" s="195"/>
      <c r="AQ365" s="282"/>
      <c r="AS365" s="300" t="str">
        <f t="shared" si="41"/>
        <v/>
      </c>
      <c r="AT365" s="210">
        <f t="shared" si="42"/>
        <v>0</v>
      </c>
      <c r="AU365" s="210"/>
      <c r="AV365" s="292">
        <f t="shared" si="43"/>
        <v>0</v>
      </c>
      <c r="AW365" s="210">
        <f t="shared" si="44"/>
        <v>0</v>
      </c>
      <c r="AX365" s="210">
        <f t="shared" si="45"/>
        <v>0</v>
      </c>
      <c r="AY365" s="210">
        <f t="shared" si="46"/>
        <v>0</v>
      </c>
    </row>
    <row r="366" spans="34:51" x14ac:dyDescent="0.25">
      <c r="AH366" s="197"/>
      <c r="AI366" s="200"/>
      <c r="AJ366" s="302"/>
      <c r="AK366" s="200"/>
      <c r="AL366" s="294">
        <f t="shared" si="40"/>
        <v>0</v>
      </c>
      <c r="AM366" s="198"/>
      <c r="AN366" s="200"/>
      <c r="AO366" s="200"/>
      <c r="AP366" s="195"/>
      <c r="AQ366" s="282"/>
      <c r="AS366" s="300" t="str">
        <f t="shared" si="41"/>
        <v/>
      </c>
      <c r="AT366" s="210">
        <f t="shared" si="42"/>
        <v>0</v>
      </c>
      <c r="AU366" s="210"/>
      <c r="AV366" s="292">
        <f t="shared" si="43"/>
        <v>0</v>
      </c>
      <c r="AW366" s="210">
        <f t="shared" si="44"/>
        <v>0</v>
      </c>
      <c r="AX366" s="210">
        <f t="shared" si="45"/>
        <v>0</v>
      </c>
      <c r="AY366" s="210">
        <f t="shared" si="46"/>
        <v>0</v>
      </c>
    </row>
    <row r="367" spans="34:51" x14ac:dyDescent="0.25">
      <c r="AH367" s="197"/>
      <c r="AI367" s="200"/>
      <c r="AJ367" s="302"/>
      <c r="AK367" s="200"/>
      <c r="AL367" s="294">
        <f t="shared" si="40"/>
        <v>0</v>
      </c>
      <c r="AM367" s="198"/>
      <c r="AN367" s="200"/>
      <c r="AO367" s="200"/>
      <c r="AP367" s="195"/>
      <c r="AQ367" s="282"/>
      <c r="AS367" s="300" t="str">
        <f t="shared" si="41"/>
        <v/>
      </c>
      <c r="AT367" s="210">
        <f t="shared" si="42"/>
        <v>0</v>
      </c>
      <c r="AU367" s="210"/>
      <c r="AV367" s="292">
        <f t="shared" si="43"/>
        <v>0</v>
      </c>
      <c r="AW367" s="210">
        <f t="shared" si="44"/>
        <v>0</v>
      </c>
      <c r="AX367" s="210">
        <f t="shared" si="45"/>
        <v>0</v>
      </c>
      <c r="AY367" s="210">
        <f t="shared" si="46"/>
        <v>0</v>
      </c>
    </row>
    <row r="368" spans="34:51" x14ac:dyDescent="0.25">
      <c r="AH368" s="197"/>
      <c r="AI368" s="200"/>
      <c r="AJ368" s="302"/>
      <c r="AK368" s="200"/>
      <c r="AL368" s="294">
        <f t="shared" si="40"/>
        <v>0</v>
      </c>
      <c r="AM368" s="198"/>
      <c r="AN368" s="200"/>
      <c r="AO368" s="200"/>
      <c r="AP368" s="195"/>
      <c r="AQ368" s="282"/>
      <c r="AS368" s="300" t="str">
        <f t="shared" si="41"/>
        <v/>
      </c>
      <c r="AT368" s="210">
        <f t="shared" si="42"/>
        <v>0</v>
      </c>
      <c r="AU368" s="210"/>
      <c r="AV368" s="292">
        <f t="shared" si="43"/>
        <v>0</v>
      </c>
      <c r="AW368" s="210">
        <f t="shared" si="44"/>
        <v>0</v>
      </c>
      <c r="AX368" s="210">
        <f t="shared" si="45"/>
        <v>0</v>
      </c>
      <c r="AY368" s="210">
        <f t="shared" si="46"/>
        <v>0</v>
      </c>
    </row>
    <row r="369" spans="34:51" x14ac:dyDescent="0.25">
      <c r="AH369" s="197"/>
      <c r="AI369" s="200"/>
      <c r="AJ369" s="302"/>
      <c r="AK369" s="200"/>
      <c r="AL369" s="294">
        <f t="shared" si="40"/>
        <v>0</v>
      </c>
      <c r="AM369" s="198"/>
      <c r="AN369" s="200"/>
      <c r="AO369" s="200"/>
      <c r="AP369" s="195"/>
      <c r="AQ369" s="282"/>
      <c r="AS369" s="300" t="str">
        <f t="shared" si="41"/>
        <v/>
      </c>
      <c r="AT369" s="210">
        <f t="shared" si="42"/>
        <v>0</v>
      </c>
      <c r="AU369" s="210"/>
      <c r="AV369" s="292">
        <f t="shared" si="43"/>
        <v>0</v>
      </c>
      <c r="AW369" s="210">
        <f t="shared" si="44"/>
        <v>0</v>
      </c>
      <c r="AX369" s="210">
        <f t="shared" si="45"/>
        <v>0</v>
      </c>
      <c r="AY369" s="210">
        <f t="shared" si="46"/>
        <v>0</v>
      </c>
    </row>
    <row r="370" spans="34:51" x14ac:dyDescent="0.25">
      <c r="AH370" s="197"/>
      <c r="AI370" s="200"/>
      <c r="AJ370" s="302"/>
      <c r="AK370" s="200"/>
      <c r="AL370" s="294">
        <f t="shared" si="40"/>
        <v>0</v>
      </c>
      <c r="AM370" s="198"/>
      <c r="AN370" s="200"/>
      <c r="AO370" s="200"/>
      <c r="AP370" s="195"/>
      <c r="AQ370" s="282"/>
      <c r="AS370" s="300" t="str">
        <f t="shared" si="41"/>
        <v/>
      </c>
      <c r="AT370" s="210">
        <f t="shared" si="42"/>
        <v>0</v>
      </c>
      <c r="AU370" s="210"/>
      <c r="AV370" s="292">
        <f t="shared" si="43"/>
        <v>0</v>
      </c>
      <c r="AW370" s="210">
        <f t="shared" si="44"/>
        <v>0</v>
      </c>
      <c r="AX370" s="210">
        <f t="shared" si="45"/>
        <v>0</v>
      </c>
      <c r="AY370" s="210">
        <f t="shared" si="46"/>
        <v>0</v>
      </c>
    </row>
    <row r="371" spans="34:51" x14ac:dyDescent="0.25">
      <c r="AH371" s="197"/>
      <c r="AI371" s="200"/>
      <c r="AJ371" s="302"/>
      <c r="AK371" s="200"/>
      <c r="AL371" s="294">
        <f t="shared" si="40"/>
        <v>0</v>
      </c>
      <c r="AM371" s="198"/>
      <c r="AN371" s="200"/>
      <c r="AO371" s="200"/>
      <c r="AP371" s="195"/>
      <c r="AQ371" s="282"/>
      <c r="AS371" s="300" t="str">
        <f t="shared" si="41"/>
        <v/>
      </c>
      <c r="AT371" s="210">
        <f t="shared" si="42"/>
        <v>0</v>
      </c>
      <c r="AU371" s="210"/>
      <c r="AV371" s="292">
        <f t="shared" si="43"/>
        <v>0</v>
      </c>
      <c r="AW371" s="210">
        <f t="shared" si="44"/>
        <v>0</v>
      </c>
      <c r="AX371" s="210">
        <f t="shared" si="45"/>
        <v>0</v>
      </c>
      <c r="AY371" s="210">
        <f t="shared" si="46"/>
        <v>0</v>
      </c>
    </row>
    <row r="372" spans="34:51" x14ac:dyDescent="0.25">
      <c r="AH372" s="197"/>
      <c r="AI372" s="200"/>
      <c r="AJ372" s="302"/>
      <c r="AK372" s="200"/>
      <c r="AL372" s="294">
        <f t="shared" si="40"/>
        <v>0</v>
      </c>
      <c r="AM372" s="198"/>
      <c r="AN372" s="200"/>
      <c r="AO372" s="200"/>
      <c r="AP372" s="195"/>
      <c r="AQ372" s="282"/>
      <c r="AS372" s="300" t="str">
        <f t="shared" si="41"/>
        <v/>
      </c>
      <c r="AT372" s="210">
        <f t="shared" si="42"/>
        <v>0</v>
      </c>
      <c r="AU372" s="210"/>
      <c r="AV372" s="292">
        <f t="shared" si="43"/>
        <v>0</v>
      </c>
      <c r="AW372" s="210">
        <f t="shared" si="44"/>
        <v>0</v>
      </c>
      <c r="AX372" s="210">
        <f t="shared" si="45"/>
        <v>0</v>
      </c>
      <c r="AY372" s="210">
        <f t="shared" si="46"/>
        <v>0</v>
      </c>
    </row>
    <row r="373" spans="34:51" x14ac:dyDescent="0.25">
      <c r="AH373" s="197"/>
      <c r="AI373" s="200"/>
      <c r="AJ373" s="302"/>
      <c r="AK373" s="200"/>
      <c r="AL373" s="294">
        <f t="shared" si="40"/>
        <v>0</v>
      </c>
      <c r="AM373" s="198"/>
      <c r="AN373" s="200"/>
      <c r="AO373" s="200"/>
      <c r="AP373" s="195"/>
      <c r="AQ373" s="282"/>
      <c r="AS373" s="300" t="str">
        <f t="shared" si="41"/>
        <v/>
      </c>
      <c r="AT373" s="210">
        <f t="shared" si="42"/>
        <v>0</v>
      </c>
      <c r="AU373" s="210"/>
      <c r="AV373" s="292">
        <f t="shared" si="43"/>
        <v>0</v>
      </c>
      <c r="AW373" s="210">
        <f t="shared" si="44"/>
        <v>0</v>
      </c>
      <c r="AX373" s="210">
        <f t="shared" si="45"/>
        <v>0</v>
      </c>
      <c r="AY373" s="210">
        <f t="shared" si="46"/>
        <v>0</v>
      </c>
    </row>
    <row r="374" spans="34:51" x14ac:dyDescent="0.25">
      <c r="AH374" s="197"/>
      <c r="AI374" s="200"/>
      <c r="AJ374" s="302"/>
      <c r="AK374" s="200"/>
      <c r="AL374" s="294">
        <f t="shared" si="40"/>
        <v>0</v>
      </c>
      <c r="AM374" s="198"/>
      <c r="AN374" s="200"/>
      <c r="AO374" s="200"/>
      <c r="AP374" s="195"/>
      <c r="AQ374" s="282"/>
      <c r="AS374" s="300" t="str">
        <f t="shared" si="41"/>
        <v/>
      </c>
      <c r="AT374" s="210">
        <f t="shared" si="42"/>
        <v>0</v>
      </c>
      <c r="AU374" s="210"/>
      <c r="AV374" s="292">
        <f t="shared" si="43"/>
        <v>0</v>
      </c>
      <c r="AW374" s="210">
        <f t="shared" si="44"/>
        <v>0</v>
      </c>
      <c r="AX374" s="210">
        <f t="shared" si="45"/>
        <v>0</v>
      </c>
      <c r="AY374" s="210">
        <f t="shared" si="46"/>
        <v>0</v>
      </c>
    </row>
    <row r="375" spans="34:51" x14ac:dyDescent="0.25">
      <c r="AH375" s="197"/>
      <c r="AI375" s="200"/>
      <c r="AJ375" s="302"/>
      <c r="AK375" s="200"/>
      <c r="AL375" s="294">
        <f t="shared" si="40"/>
        <v>0</v>
      </c>
      <c r="AM375" s="198"/>
      <c r="AN375" s="200"/>
      <c r="AO375" s="200"/>
      <c r="AP375" s="195"/>
      <c r="AQ375" s="282"/>
      <c r="AS375" s="300" t="str">
        <f t="shared" si="41"/>
        <v/>
      </c>
      <c r="AT375" s="210">
        <f t="shared" si="42"/>
        <v>0</v>
      </c>
      <c r="AU375" s="210"/>
      <c r="AV375" s="292">
        <f t="shared" si="43"/>
        <v>0</v>
      </c>
      <c r="AW375" s="210">
        <f t="shared" si="44"/>
        <v>0</v>
      </c>
      <c r="AX375" s="210">
        <f t="shared" si="45"/>
        <v>0</v>
      </c>
      <c r="AY375" s="210">
        <f t="shared" si="46"/>
        <v>0</v>
      </c>
    </row>
    <row r="376" spans="34:51" x14ac:dyDescent="0.25">
      <c r="AH376" s="197"/>
      <c r="AI376" s="200"/>
      <c r="AJ376" s="302"/>
      <c r="AK376" s="200"/>
      <c r="AL376" s="294">
        <f t="shared" si="40"/>
        <v>0</v>
      </c>
      <c r="AM376" s="198"/>
      <c r="AN376" s="200"/>
      <c r="AO376" s="200"/>
      <c r="AP376" s="195"/>
      <c r="AQ376" s="282"/>
      <c r="AS376" s="300" t="str">
        <f t="shared" si="41"/>
        <v/>
      </c>
      <c r="AT376" s="210">
        <f t="shared" si="42"/>
        <v>0</v>
      </c>
      <c r="AU376" s="210"/>
      <c r="AV376" s="292">
        <f t="shared" si="43"/>
        <v>0</v>
      </c>
      <c r="AW376" s="210">
        <f t="shared" si="44"/>
        <v>0</v>
      </c>
      <c r="AX376" s="210">
        <f t="shared" si="45"/>
        <v>0</v>
      </c>
      <c r="AY376" s="210">
        <f t="shared" si="46"/>
        <v>0</v>
      </c>
    </row>
    <row r="377" spans="34:51" x14ac:dyDescent="0.25">
      <c r="AH377" s="197"/>
      <c r="AI377" s="200"/>
      <c r="AJ377" s="302"/>
      <c r="AK377" s="200"/>
      <c r="AL377" s="294">
        <f t="shared" si="40"/>
        <v>0</v>
      </c>
      <c r="AM377" s="198"/>
      <c r="AN377" s="200"/>
      <c r="AO377" s="200"/>
      <c r="AP377" s="195"/>
      <c r="AQ377" s="282"/>
      <c r="AS377" s="300" t="str">
        <f t="shared" si="41"/>
        <v/>
      </c>
      <c r="AT377" s="210">
        <f t="shared" si="42"/>
        <v>0</v>
      </c>
      <c r="AU377" s="210"/>
      <c r="AV377" s="292">
        <f t="shared" si="43"/>
        <v>0</v>
      </c>
      <c r="AW377" s="210">
        <f t="shared" si="44"/>
        <v>0</v>
      </c>
      <c r="AX377" s="210">
        <f t="shared" si="45"/>
        <v>0</v>
      </c>
      <c r="AY377" s="210">
        <f t="shared" si="46"/>
        <v>0</v>
      </c>
    </row>
    <row r="378" spans="34:51" x14ac:dyDescent="0.25">
      <c r="AH378" s="197"/>
      <c r="AI378" s="200"/>
      <c r="AJ378" s="302"/>
      <c r="AK378" s="200"/>
      <c r="AL378" s="294">
        <f t="shared" si="40"/>
        <v>0</v>
      </c>
      <c r="AM378" s="198"/>
      <c r="AN378" s="200"/>
      <c r="AO378" s="200"/>
      <c r="AP378" s="195"/>
      <c r="AQ378" s="282"/>
      <c r="AS378" s="300" t="str">
        <f t="shared" si="41"/>
        <v/>
      </c>
      <c r="AT378" s="210">
        <f t="shared" si="42"/>
        <v>0</v>
      </c>
      <c r="AU378" s="210"/>
      <c r="AV378" s="292">
        <f t="shared" si="43"/>
        <v>0</v>
      </c>
      <c r="AW378" s="210">
        <f t="shared" si="44"/>
        <v>0</v>
      </c>
      <c r="AX378" s="210">
        <f t="shared" si="45"/>
        <v>0</v>
      </c>
      <c r="AY378" s="210">
        <f t="shared" si="46"/>
        <v>0</v>
      </c>
    </row>
    <row r="379" spans="34:51" x14ac:dyDescent="0.25">
      <c r="AH379" s="197"/>
      <c r="AI379" s="200"/>
      <c r="AJ379" s="302"/>
      <c r="AK379" s="200"/>
      <c r="AL379" s="294">
        <f t="shared" si="40"/>
        <v>0</v>
      </c>
      <c r="AM379" s="198"/>
      <c r="AN379" s="200"/>
      <c r="AO379" s="200"/>
      <c r="AP379" s="195"/>
      <c r="AQ379" s="282"/>
      <c r="AS379" s="300" t="str">
        <f t="shared" si="41"/>
        <v/>
      </c>
      <c r="AT379" s="210">
        <f t="shared" si="42"/>
        <v>0</v>
      </c>
      <c r="AU379" s="210"/>
      <c r="AV379" s="292">
        <f t="shared" si="43"/>
        <v>0</v>
      </c>
      <c r="AW379" s="210">
        <f t="shared" si="44"/>
        <v>0</v>
      </c>
      <c r="AX379" s="210">
        <f t="shared" si="45"/>
        <v>0</v>
      </c>
      <c r="AY379" s="210">
        <f t="shared" si="46"/>
        <v>0</v>
      </c>
    </row>
    <row r="380" spans="34:51" x14ac:dyDescent="0.25">
      <c r="AH380" s="197"/>
      <c r="AI380" s="200"/>
      <c r="AJ380" s="302"/>
      <c r="AK380" s="200"/>
      <c r="AL380" s="294">
        <f t="shared" si="40"/>
        <v>0</v>
      </c>
      <c r="AM380" s="198"/>
      <c r="AN380" s="200"/>
      <c r="AO380" s="200"/>
      <c r="AP380" s="195"/>
      <c r="AQ380" s="282"/>
      <c r="AS380" s="300" t="str">
        <f t="shared" si="41"/>
        <v/>
      </c>
      <c r="AT380" s="210">
        <f t="shared" si="42"/>
        <v>0</v>
      </c>
      <c r="AU380" s="210"/>
      <c r="AV380" s="292">
        <f t="shared" si="43"/>
        <v>0</v>
      </c>
      <c r="AW380" s="210">
        <f t="shared" si="44"/>
        <v>0</v>
      </c>
      <c r="AX380" s="210">
        <f t="shared" si="45"/>
        <v>0</v>
      </c>
      <c r="AY380" s="210">
        <f t="shared" si="46"/>
        <v>0</v>
      </c>
    </row>
    <row r="381" spans="34:51" x14ac:dyDescent="0.25">
      <c r="AH381" s="197"/>
      <c r="AI381" s="200"/>
      <c r="AJ381" s="302"/>
      <c r="AK381" s="200"/>
      <c r="AL381" s="294">
        <f t="shared" si="40"/>
        <v>0</v>
      </c>
      <c r="AM381" s="198"/>
      <c r="AN381" s="200"/>
      <c r="AO381" s="200"/>
      <c r="AP381" s="195"/>
      <c r="AQ381" s="282"/>
      <c r="AS381" s="300" t="str">
        <f t="shared" si="41"/>
        <v/>
      </c>
      <c r="AT381" s="210">
        <f t="shared" si="42"/>
        <v>0</v>
      </c>
      <c r="AU381" s="210"/>
      <c r="AV381" s="292">
        <f t="shared" si="43"/>
        <v>0</v>
      </c>
      <c r="AW381" s="210">
        <f t="shared" si="44"/>
        <v>0</v>
      </c>
      <c r="AX381" s="210">
        <f t="shared" si="45"/>
        <v>0</v>
      </c>
      <c r="AY381" s="210">
        <f t="shared" si="46"/>
        <v>0</v>
      </c>
    </row>
    <row r="382" spans="34:51" x14ac:dyDescent="0.25">
      <c r="AH382" s="197"/>
      <c r="AI382" s="200"/>
      <c r="AJ382" s="302"/>
      <c r="AK382" s="200"/>
      <c r="AL382" s="294">
        <f t="shared" si="40"/>
        <v>0</v>
      </c>
      <c r="AM382" s="198"/>
      <c r="AN382" s="200"/>
      <c r="AO382" s="200"/>
      <c r="AP382" s="195"/>
      <c r="AQ382" s="282"/>
      <c r="AS382" s="300" t="str">
        <f t="shared" si="41"/>
        <v/>
      </c>
      <c r="AT382" s="210">
        <f t="shared" si="42"/>
        <v>0</v>
      </c>
      <c r="AU382" s="210"/>
      <c r="AV382" s="292">
        <f t="shared" si="43"/>
        <v>0</v>
      </c>
      <c r="AW382" s="210">
        <f t="shared" si="44"/>
        <v>0</v>
      </c>
      <c r="AX382" s="210">
        <f t="shared" si="45"/>
        <v>0</v>
      </c>
      <c r="AY382" s="210">
        <f t="shared" si="46"/>
        <v>0</v>
      </c>
    </row>
    <row r="383" spans="34:51" x14ac:dyDescent="0.25">
      <c r="AH383" s="197"/>
      <c r="AI383" s="200"/>
      <c r="AJ383" s="302"/>
      <c r="AK383" s="200"/>
      <c r="AL383" s="294">
        <f t="shared" si="40"/>
        <v>0</v>
      </c>
      <c r="AM383" s="198"/>
      <c r="AN383" s="200"/>
      <c r="AO383" s="200"/>
      <c r="AP383" s="195"/>
      <c r="AQ383" s="282"/>
      <c r="AS383" s="300" t="str">
        <f t="shared" si="41"/>
        <v/>
      </c>
      <c r="AT383" s="210">
        <f t="shared" si="42"/>
        <v>0</v>
      </c>
      <c r="AU383" s="210"/>
      <c r="AV383" s="292">
        <f t="shared" si="43"/>
        <v>0</v>
      </c>
      <c r="AW383" s="210">
        <f t="shared" si="44"/>
        <v>0</v>
      </c>
      <c r="AX383" s="210">
        <f t="shared" si="45"/>
        <v>0</v>
      </c>
      <c r="AY383" s="210">
        <f t="shared" si="46"/>
        <v>0</v>
      </c>
    </row>
    <row r="384" spans="34:51" x14ac:dyDescent="0.25">
      <c r="AH384" s="197"/>
      <c r="AI384" s="200"/>
      <c r="AJ384" s="302"/>
      <c r="AK384" s="200"/>
      <c r="AL384" s="294">
        <f t="shared" si="40"/>
        <v>0</v>
      </c>
      <c r="AM384" s="198"/>
      <c r="AN384" s="200"/>
      <c r="AO384" s="200"/>
      <c r="AP384" s="195"/>
      <c r="AQ384" s="282"/>
      <c r="AS384" s="300" t="str">
        <f t="shared" si="41"/>
        <v/>
      </c>
      <c r="AT384" s="210">
        <f t="shared" si="42"/>
        <v>0</v>
      </c>
      <c r="AU384" s="210"/>
      <c r="AV384" s="292">
        <f t="shared" si="43"/>
        <v>0</v>
      </c>
      <c r="AW384" s="210">
        <f t="shared" si="44"/>
        <v>0</v>
      </c>
      <c r="AX384" s="210">
        <f t="shared" si="45"/>
        <v>0</v>
      </c>
      <c r="AY384" s="210">
        <f t="shared" si="46"/>
        <v>0</v>
      </c>
    </row>
    <row r="385" spans="34:51" x14ac:dyDescent="0.25">
      <c r="AH385" s="197"/>
      <c r="AI385" s="200"/>
      <c r="AJ385" s="302"/>
      <c r="AK385" s="200"/>
      <c r="AL385" s="294">
        <f t="shared" si="40"/>
        <v>0</v>
      </c>
      <c r="AM385" s="198"/>
      <c r="AN385" s="200"/>
      <c r="AO385" s="200"/>
      <c r="AP385" s="195"/>
      <c r="AQ385" s="282"/>
      <c r="AS385" s="300" t="str">
        <f t="shared" si="41"/>
        <v/>
      </c>
      <c r="AT385" s="210">
        <f t="shared" si="42"/>
        <v>0</v>
      </c>
      <c r="AU385" s="210"/>
      <c r="AV385" s="292">
        <f t="shared" si="43"/>
        <v>0</v>
      </c>
      <c r="AW385" s="210">
        <f t="shared" si="44"/>
        <v>0</v>
      </c>
      <c r="AX385" s="210">
        <f t="shared" si="45"/>
        <v>0</v>
      </c>
      <c r="AY385" s="210">
        <f t="shared" si="46"/>
        <v>0</v>
      </c>
    </row>
    <row r="386" spans="34:51" x14ac:dyDescent="0.25">
      <c r="AH386" s="197"/>
      <c r="AI386" s="200"/>
      <c r="AJ386" s="302"/>
      <c r="AK386" s="200"/>
      <c r="AL386" s="294">
        <f t="shared" si="40"/>
        <v>0</v>
      </c>
      <c r="AM386" s="198"/>
      <c r="AN386" s="200"/>
      <c r="AO386" s="200"/>
      <c r="AP386" s="195"/>
      <c r="AQ386" s="282"/>
      <c r="AS386" s="300" t="str">
        <f t="shared" si="41"/>
        <v/>
      </c>
      <c r="AT386" s="210">
        <f t="shared" si="42"/>
        <v>0</v>
      </c>
      <c r="AU386" s="210"/>
      <c r="AV386" s="292">
        <f t="shared" si="43"/>
        <v>0</v>
      </c>
      <c r="AW386" s="210">
        <f t="shared" si="44"/>
        <v>0</v>
      </c>
      <c r="AX386" s="210">
        <f t="shared" si="45"/>
        <v>0</v>
      </c>
      <c r="AY386" s="210">
        <f t="shared" si="46"/>
        <v>0</v>
      </c>
    </row>
    <row r="387" spans="34:51" x14ac:dyDescent="0.25">
      <c r="AH387" s="197"/>
      <c r="AI387" s="200"/>
      <c r="AJ387" s="302"/>
      <c r="AK387" s="200"/>
      <c r="AL387" s="294">
        <f t="shared" si="40"/>
        <v>0</v>
      </c>
      <c r="AM387" s="198"/>
      <c r="AN387" s="200"/>
      <c r="AO387" s="200"/>
      <c r="AP387" s="195"/>
      <c r="AQ387" s="282"/>
      <c r="AS387" s="300" t="str">
        <f t="shared" si="41"/>
        <v/>
      </c>
      <c r="AT387" s="210">
        <f t="shared" si="42"/>
        <v>0</v>
      </c>
      <c r="AU387" s="210"/>
      <c r="AV387" s="292">
        <f t="shared" si="43"/>
        <v>0</v>
      </c>
      <c r="AW387" s="210">
        <f t="shared" si="44"/>
        <v>0</v>
      </c>
      <c r="AX387" s="210">
        <f t="shared" si="45"/>
        <v>0</v>
      </c>
      <c r="AY387" s="210">
        <f t="shared" si="46"/>
        <v>0</v>
      </c>
    </row>
    <row r="388" spans="34:51" x14ac:dyDescent="0.25">
      <c r="AH388" s="197"/>
      <c r="AI388" s="200"/>
      <c r="AJ388" s="302"/>
      <c r="AK388" s="200"/>
      <c r="AL388" s="294">
        <f t="shared" si="40"/>
        <v>0</v>
      </c>
      <c r="AM388" s="198"/>
      <c r="AN388" s="200"/>
      <c r="AO388" s="200"/>
      <c r="AP388" s="195"/>
      <c r="AQ388" s="282"/>
      <c r="AS388" s="300" t="str">
        <f t="shared" si="41"/>
        <v/>
      </c>
      <c r="AT388" s="210">
        <f t="shared" si="42"/>
        <v>0</v>
      </c>
      <c r="AU388" s="210"/>
      <c r="AV388" s="292">
        <f t="shared" si="43"/>
        <v>0</v>
      </c>
      <c r="AW388" s="210">
        <f t="shared" si="44"/>
        <v>0</v>
      </c>
      <c r="AX388" s="210">
        <f t="shared" si="45"/>
        <v>0</v>
      </c>
      <c r="AY388" s="210">
        <f t="shared" si="46"/>
        <v>0</v>
      </c>
    </row>
    <row r="389" spans="34:51" x14ac:dyDescent="0.25">
      <c r="AH389" s="197"/>
      <c r="AI389" s="200"/>
      <c r="AJ389" s="302"/>
      <c r="AK389" s="200"/>
      <c r="AL389" s="294">
        <f t="shared" si="40"/>
        <v>0</v>
      </c>
      <c r="AM389" s="198"/>
      <c r="AN389" s="200"/>
      <c r="AO389" s="200"/>
      <c r="AP389" s="195"/>
      <c r="AQ389" s="282"/>
      <c r="AS389" s="300" t="str">
        <f t="shared" si="41"/>
        <v/>
      </c>
      <c r="AT389" s="210">
        <f t="shared" si="42"/>
        <v>0</v>
      </c>
      <c r="AU389" s="210"/>
      <c r="AV389" s="292">
        <f t="shared" si="43"/>
        <v>0</v>
      </c>
      <c r="AW389" s="210">
        <f t="shared" si="44"/>
        <v>0</v>
      </c>
      <c r="AX389" s="210">
        <f t="shared" si="45"/>
        <v>0</v>
      </c>
      <c r="AY389" s="210">
        <f t="shared" si="46"/>
        <v>0</v>
      </c>
    </row>
    <row r="390" spans="34:51" x14ac:dyDescent="0.25">
      <c r="AH390" s="197"/>
      <c r="AI390" s="200"/>
      <c r="AJ390" s="302"/>
      <c r="AK390" s="200"/>
      <c r="AL390" s="294">
        <f t="shared" si="40"/>
        <v>0</v>
      </c>
      <c r="AM390" s="198"/>
      <c r="AN390" s="200"/>
      <c r="AO390" s="200"/>
      <c r="AP390" s="195"/>
      <c r="AQ390" s="282"/>
      <c r="AS390" s="300" t="str">
        <f t="shared" si="41"/>
        <v/>
      </c>
      <c r="AT390" s="210">
        <f t="shared" si="42"/>
        <v>0</v>
      </c>
      <c r="AU390" s="210"/>
      <c r="AV390" s="292">
        <f t="shared" si="43"/>
        <v>0</v>
      </c>
      <c r="AW390" s="210">
        <f t="shared" si="44"/>
        <v>0</v>
      </c>
      <c r="AX390" s="210">
        <f t="shared" si="45"/>
        <v>0</v>
      </c>
      <c r="AY390" s="210">
        <f t="shared" si="46"/>
        <v>0</v>
      </c>
    </row>
    <row r="391" spans="34:51" x14ac:dyDescent="0.25">
      <c r="AH391" s="197"/>
      <c r="AI391" s="200"/>
      <c r="AJ391" s="302"/>
      <c r="AK391" s="200"/>
      <c r="AL391" s="294">
        <f t="shared" si="40"/>
        <v>0</v>
      </c>
      <c r="AM391" s="198"/>
      <c r="AN391" s="200"/>
      <c r="AO391" s="200"/>
      <c r="AP391" s="195"/>
      <c r="AQ391" s="282"/>
      <c r="AS391" s="300" t="str">
        <f t="shared" si="41"/>
        <v/>
      </c>
      <c r="AT391" s="210">
        <f t="shared" si="42"/>
        <v>0</v>
      </c>
      <c r="AU391" s="210"/>
      <c r="AV391" s="292">
        <f t="shared" si="43"/>
        <v>0</v>
      </c>
      <c r="AW391" s="210">
        <f t="shared" si="44"/>
        <v>0</v>
      </c>
      <c r="AX391" s="210">
        <f t="shared" si="45"/>
        <v>0</v>
      </c>
      <c r="AY391" s="210">
        <f t="shared" si="46"/>
        <v>0</v>
      </c>
    </row>
    <row r="392" spans="34:51" x14ac:dyDescent="0.25">
      <c r="AH392" s="197"/>
      <c r="AI392" s="200"/>
      <c r="AJ392" s="302"/>
      <c r="AK392" s="200"/>
      <c r="AL392" s="294">
        <f t="shared" si="40"/>
        <v>0</v>
      </c>
      <c r="AM392" s="198"/>
      <c r="AN392" s="200"/>
      <c r="AO392" s="200"/>
      <c r="AP392" s="195"/>
      <c r="AQ392" s="282"/>
      <c r="AS392" s="300" t="str">
        <f t="shared" si="41"/>
        <v/>
      </c>
      <c r="AT392" s="210">
        <f t="shared" si="42"/>
        <v>0</v>
      </c>
      <c r="AU392" s="210"/>
      <c r="AV392" s="292">
        <f t="shared" si="43"/>
        <v>0</v>
      </c>
      <c r="AW392" s="210">
        <f t="shared" si="44"/>
        <v>0</v>
      </c>
      <c r="AX392" s="210">
        <f t="shared" si="45"/>
        <v>0</v>
      </c>
      <c r="AY392" s="210">
        <f t="shared" si="46"/>
        <v>0</v>
      </c>
    </row>
    <row r="393" spans="34:51" x14ac:dyDescent="0.25">
      <c r="AH393" s="197"/>
      <c r="AI393" s="200"/>
      <c r="AJ393" s="302"/>
      <c r="AK393" s="200"/>
      <c r="AL393" s="294">
        <f t="shared" si="40"/>
        <v>0</v>
      </c>
      <c r="AM393" s="198"/>
      <c r="AN393" s="200"/>
      <c r="AO393" s="200"/>
      <c r="AP393" s="195"/>
      <c r="AQ393" s="282"/>
      <c r="AS393" s="300" t="str">
        <f t="shared" si="41"/>
        <v/>
      </c>
      <c r="AT393" s="210">
        <f t="shared" si="42"/>
        <v>0</v>
      </c>
      <c r="AU393" s="210"/>
      <c r="AV393" s="292">
        <f t="shared" si="43"/>
        <v>0</v>
      </c>
      <c r="AW393" s="210">
        <f t="shared" si="44"/>
        <v>0</v>
      </c>
      <c r="AX393" s="210">
        <f t="shared" si="45"/>
        <v>0</v>
      </c>
      <c r="AY393" s="210">
        <f t="shared" si="46"/>
        <v>0</v>
      </c>
    </row>
    <row r="394" spans="34:51" x14ac:dyDescent="0.25">
      <c r="AH394" s="197"/>
      <c r="AI394" s="200"/>
      <c r="AJ394" s="302"/>
      <c r="AK394" s="200"/>
      <c r="AL394" s="294">
        <f t="shared" si="40"/>
        <v>0</v>
      </c>
      <c r="AM394" s="198"/>
      <c r="AN394" s="200"/>
      <c r="AO394" s="200"/>
      <c r="AP394" s="195"/>
      <c r="AQ394" s="282"/>
      <c r="AS394" s="300" t="str">
        <f t="shared" si="41"/>
        <v/>
      </c>
      <c r="AT394" s="210">
        <f t="shared" si="42"/>
        <v>0</v>
      </c>
      <c r="AU394" s="210"/>
      <c r="AV394" s="292">
        <f t="shared" si="43"/>
        <v>0</v>
      </c>
      <c r="AW394" s="210">
        <f t="shared" si="44"/>
        <v>0</v>
      </c>
      <c r="AX394" s="210">
        <f t="shared" si="45"/>
        <v>0</v>
      </c>
      <c r="AY394" s="210">
        <f t="shared" si="46"/>
        <v>0</v>
      </c>
    </row>
    <row r="395" spans="34:51" x14ac:dyDescent="0.25">
      <c r="AH395" s="197"/>
      <c r="AI395" s="200"/>
      <c r="AJ395" s="302"/>
      <c r="AK395" s="200"/>
      <c r="AL395" s="294">
        <f t="shared" ref="AL395:AL398" si="47">AK395*AI395</f>
        <v>0</v>
      </c>
      <c r="AM395" s="198"/>
      <c r="AN395" s="200"/>
      <c r="AO395" s="200"/>
      <c r="AP395" s="195"/>
      <c r="AQ395" s="282"/>
      <c r="AS395" s="300" t="str">
        <f t="shared" ref="AS395:AS398" si="48">IFERROR(IF(AM395="CEE",AL395/(1.062*AN395),AL395/AN395),"")</f>
        <v/>
      </c>
      <c r="AT395" s="210">
        <f t="shared" ref="AT395:AT398" si="49">IF(AQ395="Não atende",1,0)</f>
        <v>0</v>
      </c>
      <c r="AU395" s="210"/>
      <c r="AV395" s="292">
        <f t="shared" si="43"/>
        <v>0</v>
      </c>
      <c r="AW395" s="210">
        <f t="shared" si="44"/>
        <v>0</v>
      </c>
      <c r="AX395" s="210">
        <f t="shared" si="45"/>
        <v>0</v>
      </c>
      <c r="AY395" s="210">
        <f t="shared" si="46"/>
        <v>0</v>
      </c>
    </row>
    <row r="396" spans="34:51" x14ac:dyDescent="0.25">
      <c r="AH396" s="197"/>
      <c r="AI396" s="200"/>
      <c r="AJ396" s="302"/>
      <c r="AK396" s="200"/>
      <c r="AL396" s="294">
        <f t="shared" si="47"/>
        <v>0</v>
      </c>
      <c r="AM396" s="198"/>
      <c r="AN396" s="200"/>
      <c r="AO396" s="200"/>
      <c r="AP396" s="195"/>
      <c r="AQ396" s="282"/>
      <c r="AS396" s="300" t="str">
        <f t="shared" si="48"/>
        <v/>
      </c>
      <c r="AT396" s="210">
        <f t="shared" si="49"/>
        <v>0</v>
      </c>
      <c r="AU396" s="210"/>
      <c r="AV396" s="292">
        <f t="shared" si="43"/>
        <v>0</v>
      </c>
      <c r="AW396" s="210">
        <f t="shared" si="44"/>
        <v>0</v>
      </c>
      <c r="AX396" s="210">
        <f t="shared" si="45"/>
        <v>0</v>
      </c>
      <c r="AY396" s="210">
        <f t="shared" si="46"/>
        <v>0</v>
      </c>
    </row>
    <row r="397" spans="34:51" x14ac:dyDescent="0.25">
      <c r="AH397" s="197"/>
      <c r="AI397" s="200"/>
      <c r="AJ397" s="302"/>
      <c r="AK397" s="200"/>
      <c r="AL397" s="294">
        <f t="shared" si="47"/>
        <v>0</v>
      </c>
      <c r="AM397" s="198"/>
      <c r="AN397" s="200"/>
      <c r="AO397" s="200"/>
      <c r="AP397" s="195"/>
      <c r="AQ397" s="282"/>
      <c r="AS397" s="300" t="str">
        <f t="shared" si="48"/>
        <v/>
      </c>
      <c r="AT397" s="210">
        <f t="shared" si="49"/>
        <v>0</v>
      </c>
      <c r="AU397" s="210"/>
      <c r="AV397" s="292">
        <f t="shared" ref="AV397:AV398" si="50">T397</f>
        <v>0</v>
      </c>
      <c r="AW397" s="210">
        <f t="shared" ref="AW397:AW398" si="51">IF(Z397&gt;W397,Z397,W397)</f>
        <v>0</v>
      </c>
      <c r="AX397" s="210">
        <f t="shared" ref="AX397:AX398" si="52">IF(AA397&gt;X397,AA397,X397)</f>
        <v>0</v>
      </c>
      <c r="AY397" s="210">
        <f t="shared" ref="AY397:AY398" si="53">IF(AB397&gt;Y397,AB397,Y397)</f>
        <v>0</v>
      </c>
    </row>
    <row r="398" spans="34:51" x14ac:dyDescent="0.25">
      <c r="AH398" s="197"/>
      <c r="AI398" s="200"/>
      <c r="AJ398" s="302"/>
      <c r="AK398" s="200"/>
      <c r="AL398" s="294">
        <f t="shared" si="47"/>
        <v>0</v>
      </c>
      <c r="AM398" s="198"/>
      <c r="AN398" s="200"/>
      <c r="AO398" s="200"/>
      <c r="AP398" s="195"/>
      <c r="AQ398" s="282"/>
      <c r="AS398" s="300" t="str">
        <f t="shared" si="48"/>
        <v/>
      </c>
      <c r="AT398" s="210">
        <f t="shared" si="49"/>
        <v>0</v>
      </c>
      <c r="AU398" s="210"/>
      <c r="AV398" s="292">
        <f t="shared" si="50"/>
        <v>0</v>
      </c>
      <c r="AW398" s="210">
        <f t="shared" si="51"/>
        <v>0</v>
      </c>
      <c r="AX398" s="210">
        <f t="shared" si="52"/>
        <v>0</v>
      </c>
      <c r="AY398" s="210">
        <f t="shared" si="53"/>
        <v>0</v>
      </c>
    </row>
  </sheetData>
  <sheetProtection algorithmName="SHA-512" hashValue="TpoGxRx8A3pVzhSR15kHbbTwGC0wqZyadPUVimSdtfJzXMHRh0QvHOzZmKz3sDDiJ2+LKq5eGP5tSYgZZfv5sg==" saltValue="sz8O5FivIouw/3Tnk7KHQg==" spinCount="100000" sheet="1" objects="1" scenarios="1"/>
  <protectedRanges>
    <protectedRange sqref="AM11:AQ1048576" name="requisitos"/>
    <protectedRange sqref="AH11:AK1048576 AM11:AQ1048576" name="SistemaHVAC"/>
    <protectedRange sqref="B12:E1048576" name="ParedeExterna"/>
    <protectedRange sqref="G12:I1048576" name="ParedeInterna"/>
    <protectedRange sqref="K12:N1048576" name="Cobertura"/>
    <protectedRange sqref="P11:R1048576" name="Piso"/>
    <protectedRange sqref="T12:AB1048576" name="Aberturas"/>
    <protectedRange sqref="AD12:AF1048576" name="AberturaZenital"/>
  </protectedRanges>
  <mergeCells count="13">
    <mergeCell ref="B8:E8"/>
    <mergeCell ref="K8:N8"/>
    <mergeCell ref="O2:P2"/>
    <mergeCell ref="AH8:AQ8"/>
    <mergeCell ref="P8:R8"/>
    <mergeCell ref="G8:I8"/>
    <mergeCell ref="AD8:AF8"/>
    <mergeCell ref="T7:AB7"/>
    <mergeCell ref="W8:Y8"/>
    <mergeCell ref="Z8:AB8"/>
    <mergeCell ref="T8:T9"/>
    <mergeCell ref="U8:U9"/>
    <mergeCell ref="V8:V9"/>
  </mergeCells>
  <conditionalFormatting sqref="AI10:AI12">
    <cfRule type="expression" dxfId="48" priority="1">
      <formula>AND(#REF!="Alta capacidade (&gt;17.6kW)",AI10&lt;&gt;0)</formula>
    </cfRule>
  </conditionalFormatting>
  <conditionalFormatting sqref="AO10:AO398">
    <cfRule type="expression" dxfId="47" priority="17">
      <formula>AND(AH10="Alta capacidade (&gt;17.6kW)",AO10&lt;&gt;0)</formula>
    </cfRule>
  </conditionalFormatting>
  <conditionalFormatting sqref="AP10:AP14">
    <cfRule type="expression" dxfId="46" priority="12">
      <formula>AND(AJ10="Alta capacidade (&gt;17.6kW)",AP10&lt;&gt;0)</formula>
    </cfRule>
  </conditionalFormatting>
  <conditionalFormatting sqref="AQ10:AQ398">
    <cfRule type="cellIs" dxfId="45" priority="2" operator="equal">
      <formula>"Não se aplica"</formula>
    </cfRule>
    <cfRule type="cellIs" dxfId="44" priority="3" operator="equal">
      <formula>"Não atende"</formula>
    </cfRule>
    <cfRule type="cellIs" dxfId="43" priority="4" operator="equal">
      <formula>"Atende"</formula>
    </cfRule>
  </conditionalFormatting>
  <dataValidations count="26">
    <dataValidation type="custom" allowBlank="1" showInputMessage="1" showErrorMessage="1" errorTitle="FORA DO INTERVALO!" error="VERIFIQUE O INTERVALO ACEITÁVEL!" sqref="C11 H10:H11" xr:uid="{00000000-0002-0000-0200-000000000000}">
      <formula1>AND(C10&gt;=0.5,C10&lt;=4.4)</formula1>
    </dataValidation>
    <dataValidation type="custom" allowBlank="1" showInputMessage="1" showErrorMessage="1" errorTitle="FORA DO INTERVALO!" error="VERIFIQUE O INTERVALO ACEITÁVEL!" sqref="D11 M11 I10:I11 R10" xr:uid="{00000000-0002-0000-0200-000001000000}">
      <formula1>AND(D10&gt;=0.22,D10&lt;=450)</formula1>
    </dataValidation>
    <dataValidation type="custom" allowBlank="1" showInputMessage="1" showErrorMessage="1" errorTitle="FORA DO INTERVALO!" error="VERIFIQUE O INTERVALO ACEITÁVEL!" sqref="O10:O59 E11:E59 N11:N59" xr:uid="{00000000-0002-0000-0200-000002000000}">
      <formula1>AND(E10&gt;=0.2,E10&lt;=0.8)</formula1>
    </dataValidation>
    <dataValidation type="custom" allowBlank="1" showInputMessage="1" showErrorMessage="1" errorTitle="FORA DO INTERVALO!" error="VERIFIQUE O INTERVALO ACEITÁVEL!" sqref="V11 AF11" xr:uid="{00000000-0002-0000-0200-000003000000}">
      <formula1>AND(V11&gt;=0.21,V11&lt;=0.87)</formula1>
    </dataValidation>
    <dataValidation type="custom" allowBlank="1" showInputMessage="1" showErrorMessage="1" errorTitle="FORA DO INTERVALO!" error="VERIFIQUE O INTERVALO ACEITÁVEL!" sqref="L11 Q10" xr:uid="{00000000-0002-0000-0200-000004000000}">
      <formula1>AND(L10&gt;=0.51,L10&lt;=5.07)</formula1>
    </dataValidation>
    <dataValidation type="custom" allowBlank="1" showInputMessage="1" showErrorMessage="1" errorTitle="FORA DO INTERVALO!" error="VERIFIQUE O INTERVALO ACEITÁVEL!" sqref="U11 AE11" xr:uid="{00000000-0002-0000-0200-000005000000}">
      <formula1>AND(U11&gt;=1.9,U11&lt;=5.7)</formula1>
    </dataValidation>
    <dataValidation type="custom" allowBlank="1" showInputMessage="1" showErrorMessage="1" errorTitle="FORA DO INTERVALO!" error="VERIFIQUE O INTERVALO ACEITÁVEL!" sqref="AO10:AO398 AK10:AL398" xr:uid="{00000000-0002-0000-0200-000008000000}">
      <formula1>AND(AK10&gt;=0,AK10&lt;=2000)</formula1>
    </dataValidation>
    <dataValidation type="custom" allowBlank="1" showInputMessage="1" showErrorMessage="1" errorTitle="FORA DO INTERVALO!" error="VERIFIQUE O INTERVALO ACEITÁVEL!" sqref="AN10:AN398" xr:uid="{00000000-0002-0000-0200-000009000000}">
      <formula1>AND(AN10&gt;=0,AN10&lt;=20)</formula1>
    </dataValidation>
    <dataValidation type="list" allowBlank="1" showInputMessage="1" showErrorMessage="1" errorTitle="FORA DO INTERVALO!" error="VERIFIQUE O INTERVALO ACEITÁVEL!" sqref="AQ399:AQ1048576" xr:uid="{00000000-0002-0000-0200-00000C000000}">
      <formula1>"Sim,Não"</formula1>
    </dataValidation>
    <dataValidation type="custom" allowBlank="1" showInputMessage="1" showErrorMessage="1" errorTitle="FORA DO INTERVALO!" error="VERIFIQUE O INTERVALO ACEITÁVEL!" sqref="C12:C59" xr:uid="{F9595C19-F364-4E68-B35D-DECAD14DA68F}">
      <formula1>AND(C12&gt;=0.25,C12&lt;=5)</formula1>
    </dataValidation>
    <dataValidation type="custom" allowBlank="1" showInputMessage="1" showErrorMessage="1" errorTitle="FORA DO INTERVALO!" error="VERIFIQUE O INTERVALO ACEITÁVEL!" sqref="D12:D59" xr:uid="{F1A826FB-EF6C-4069-86FB-456DF56A366A}">
      <formula1>AND(D12&gt;=0,D12&lt;=400)</formula1>
    </dataValidation>
    <dataValidation type="custom" allowBlank="1" showInputMessage="1" showErrorMessage="1" errorTitle="FORA DO INTERVALO!" error="VERIFIQUE O INTERVALO ACEITÁVEL!" sqref="H12:H59" xr:uid="{8EBA3AB2-D630-4570-BE50-74CBC24BEF0A}">
      <formula1>AND(H12&gt;=0.31,H12&lt;=5)</formula1>
    </dataValidation>
    <dataValidation type="custom" allowBlank="1" showInputMessage="1" showErrorMessage="1" errorTitle="FORA DO INTERVALO!" error="VERIFIQUE O INTERVALO ACEITÁVEL!" sqref="I12:I59" xr:uid="{4EBB9268-B072-428A-AE82-137C88F23A58}">
      <formula1>AND(I12&gt;=0.25,I12&lt;=400)</formula1>
    </dataValidation>
    <dataValidation type="custom" allowBlank="1" showInputMessage="1" showErrorMessage="1" errorTitle="FORA DO INTERVALO!" error="VERIFIQUE O INTERVALO ACEITÁVEL!" sqref="L12:L59" xr:uid="{08DCF184-918D-4C54-AC29-F331E9F5FE03}">
      <formula1>AND(L12&gt;=0.3,L12&lt;=5.2)</formula1>
    </dataValidation>
    <dataValidation type="custom" allowBlank="1" showInputMessage="1" showErrorMessage="1" errorTitle="FORA DO INTERVALO!" error="VERIFIQUE O INTERVALO ACEITÁVEL!" sqref="M12:M59" xr:uid="{05CCF0D9-2074-46B5-AB7E-3193E87DC9E5}">
      <formula1>AND(M12&gt;=0.15,M12&lt;=450)</formula1>
    </dataValidation>
    <dataValidation type="custom" allowBlank="1" showInputMessage="1" showErrorMessage="1" errorTitle="FORA DO INTERVALO!" error="VERIFIQUE O INTERVALO ACEITÁVEL!" sqref="Q11:Q59" xr:uid="{9BF5C57D-7016-4B8E-B05F-16FFA2F5D262}">
      <formula1>AND(Q11&gt;=1.75,Q11&lt;=3.75)</formula1>
    </dataValidation>
    <dataValidation type="custom" allowBlank="1" showInputMessage="1" showErrorMessage="1" errorTitle="FORA DO INTERVALO!" error="VERIFIQUE O INTERVALO ACEITÁVEL!" sqref="R11:R59" xr:uid="{BCB98AF3-F617-4159-B999-6E54B46F9C97}">
      <formula1>AND(R11&gt;=130,R11&lt;=400)</formula1>
    </dataValidation>
    <dataValidation type="custom" allowBlank="1" showInputMessage="1" showErrorMessage="1" errorTitle="FORA DO INTERVALO!" error="VERIFIQUE O INTERVALO ACEITÁVEL!" sqref="U12:U59" xr:uid="{20FA901F-93BE-4142-B7FE-66DB94DB47F3}">
      <formula1>AND(U12&gt;=1.5,U12&lt;=6)</formula1>
    </dataValidation>
    <dataValidation type="custom" allowBlank="1" showInputMessage="1" showErrorMessage="1" errorTitle="FORA DO INTERVALO!" error="VERIFIQUE O INTERVALO ACEITÁVEL!" sqref="V12:V59" xr:uid="{3DD6EFB1-85C2-4A8A-8E87-8921486001C0}">
      <formula1>AND(V12&gt;=0,V12&lt;=0.9)</formula1>
    </dataValidation>
    <dataValidation type="custom" allowBlank="1" showInputMessage="1" showErrorMessage="1" errorTitle="FORA DO INTERVALO!" error="VERIFIQUE O INTERVALO ACEITÁVEL!" sqref="AB12:AB59 Y12:Y59" xr:uid="{97998C85-F551-40D6-B675-2773C06EEF9A}">
      <formula1>AND(Y12&gt;=0,Y12&lt;=85)</formula1>
    </dataValidation>
    <dataValidation type="custom" allowBlank="1" showInputMessage="1" showErrorMessage="1" errorTitle="FORA DO INTERVALO!" error="VERIFIQUE O INTERVALO ACEITÁVEL!" sqref="W12:X59 Z12:AA59" xr:uid="{0F733F60-7772-4B24-A3AE-E4ECC3731222}">
      <formula1>AND(W12&gt;=0,W12&lt;=90)</formula1>
    </dataValidation>
    <dataValidation type="custom" allowBlank="1" showInputMessage="1" showErrorMessage="1" errorTitle="FORA DO INTERVALO!" error="VERIFIQUE O INTERVALO ACEITÁVEL!" sqref="AE12:AE59" xr:uid="{0126B43F-F92C-4138-BDAB-EAAAE8F3DEE8}">
      <formula1>AND(AE12&gt;=0,AE12&lt;=6)</formula1>
    </dataValidation>
    <dataValidation type="custom" allowBlank="1" showInputMessage="1" showErrorMessage="1" errorTitle="FORA DO INTERVALO!" error="VERIFIQUE O INTERVALO ACEITÁVEL!" sqref="AF12:AF59" xr:uid="{ED28256B-72FE-4E07-A064-E1281CEC7F09}">
      <formula1>AND(AF12&gt;=0.2,AF12&lt;=0.9)</formula1>
    </dataValidation>
    <dataValidation type="list" allowBlank="1" showInputMessage="1" showErrorMessage="1" sqref="AQ10:AQ398" xr:uid="{4A418C64-BED3-4087-9D08-B3F73E321457}">
      <formula1>"Atende, Não Atende, Não se aplica"</formula1>
    </dataValidation>
    <dataValidation type="list" allowBlank="1" showInputMessage="1" showErrorMessage="1" sqref="AJ10:AJ398" xr:uid="{DD18773A-086E-495E-8FAB-EC86EB273CAC}">
      <formula1>"Sistema unitário,Sistema Central"</formula1>
    </dataValidation>
    <dataValidation type="list" allowBlank="1" showInputMessage="1" showErrorMessage="1" sqref="AM10:AM398" xr:uid="{02CB47E3-549D-4BAE-B329-F77AC06BDC69}">
      <formula1>"CEE, IDRS, CSPF,SPLV,k"</formula1>
    </dataValidation>
  </dataValidations>
  <pageMargins left="0.511811024" right="0.511811024" top="0.78740157499999996" bottom="0.78740157499999996" header="0.31496062000000002" footer="0.31496062000000002"/>
  <pageSetup paperSize="9"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E000000}">
          <x14:formula1>
            <xm:f>Aux_Lista!$CK$4:$CK$19</xm:f>
          </x14:formula1>
          <xm:sqref>AP10:AP398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7E531-64A7-4AA8-9F72-61003A6B8B67}">
  <sheetPr codeName="Planilha11"/>
  <dimension ref="A1:M59"/>
  <sheetViews>
    <sheetView showGridLines="0" zoomScaleNormal="100" workbookViewId="0">
      <pane ySplit="5" topLeftCell="A9" activePane="bottomLeft" state="frozen"/>
      <selection pane="bottomLeft" activeCell="F21" sqref="F21"/>
    </sheetView>
  </sheetViews>
  <sheetFormatPr defaultColWidth="9.140625" defaultRowHeight="15" x14ac:dyDescent="0.25"/>
  <cols>
    <col min="1" max="1" width="5.7109375" customWidth="1"/>
    <col min="2" max="2" width="35.7109375" style="25" customWidth="1"/>
    <col min="3" max="3" width="20.7109375" customWidth="1"/>
    <col min="4" max="4" width="5.7109375" customWidth="1"/>
    <col min="5" max="5" width="35.7109375" customWidth="1"/>
    <col min="6" max="6" width="20.7109375" customWidth="1"/>
    <col min="7" max="7" width="5.7109375" customWidth="1"/>
    <col min="8" max="8" width="35.7109375" customWidth="1"/>
    <col min="9" max="9" width="20.7109375" customWidth="1"/>
    <col min="10" max="10" width="5.7109375" customWidth="1"/>
    <col min="11" max="11" width="35.7109375" customWidth="1"/>
    <col min="12" max="12" width="20.7109375" customWidth="1"/>
    <col min="13" max="13" width="5.7109375" customWidth="1"/>
    <col min="14" max="16384" width="9.140625" style="11"/>
  </cols>
  <sheetData>
    <row r="1" spans="1:13" ht="20.100000000000001" customHeight="1" x14ac:dyDescent="0.25"/>
    <row r="2" spans="1:13" ht="20.100000000000001" customHeight="1" x14ac:dyDescent="0.25"/>
    <row r="3" spans="1:13" s="12" customFormat="1" ht="20.100000000000001" customHeight="1" x14ac:dyDescent="0.25">
      <c r="A3" s="10"/>
      <c r="B3" s="26"/>
      <c r="C3" s="10"/>
      <c r="D3" s="10"/>
      <c r="E3" s="10"/>
      <c r="F3" s="10"/>
      <c r="G3" s="10"/>
      <c r="H3" s="10"/>
      <c r="I3" s="10"/>
      <c r="J3" s="10"/>
      <c r="K3" s="10"/>
      <c r="L3" s="10"/>
      <c r="M3" s="10"/>
    </row>
    <row r="5" spans="1:13" ht="18.75" x14ac:dyDescent="0.3">
      <c r="A5" s="22"/>
      <c r="B5" s="23" t="s">
        <v>5894</v>
      </c>
      <c r="C5" s="22"/>
      <c r="D5" s="22"/>
      <c r="E5" s="22"/>
      <c r="F5" s="22"/>
      <c r="G5" s="22"/>
      <c r="H5" s="22"/>
      <c r="I5" s="22"/>
      <c r="J5" s="22"/>
      <c r="K5" s="22"/>
      <c r="L5" s="22"/>
      <c r="M5" s="22"/>
    </row>
    <row r="7" spans="1:13" ht="139.69999999999999" customHeight="1" x14ac:dyDescent="0.25">
      <c r="B7" s="646" t="s">
        <v>10682</v>
      </c>
      <c r="C7" s="647"/>
      <c r="D7" s="647"/>
      <c r="E7" s="647"/>
      <c r="F7" s="648"/>
    </row>
    <row r="8" spans="1:13" x14ac:dyDescent="0.25">
      <c r="B8"/>
    </row>
    <row r="9" spans="1:13" s="275" customFormat="1" ht="30" customHeight="1" x14ac:dyDescent="0.25">
      <c r="A9" s="274"/>
      <c r="B9" s="649" t="s">
        <v>5891</v>
      </c>
      <c r="C9" s="650"/>
      <c r="D9" s="274"/>
      <c r="E9" s="649" t="s">
        <v>5892</v>
      </c>
      <c r="F9" s="650"/>
      <c r="G9" s="290"/>
      <c r="H9" s="649" t="s">
        <v>5893</v>
      </c>
      <c r="I9" s="650"/>
      <c r="J9" s="290"/>
      <c r="K9" s="649" t="s">
        <v>5970</v>
      </c>
      <c r="L9" s="650"/>
      <c r="M9" s="290"/>
    </row>
    <row r="10" spans="1:13" x14ac:dyDescent="0.25">
      <c r="B10" s="270" t="s">
        <v>5906</v>
      </c>
      <c r="C10" s="270" t="s">
        <v>5907</v>
      </c>
      <c r="D10" s="289"/>
      <c r="E10" s="270" t="s">
        <v>5906</v>
      </c>
      <c r="F10" s="270" t="s">
        <v>5907</v>
      </c>
      <c r="G10" s="289"/>
      <c r="H10" s="270" t="s">
        <v>5906</v>
      </c>
      <c r="I10" s="270" t="s">
        <v>5907</v>
      </c>
      <c r="J10" s="289"/>
      <c r="K10" s="270" t="s">
        <v>5906</v>
      </c>
      <c r="L10" s="270" t="s">
        <v>5907</v>
      </c>
      <c r="M10" s="289"/>
    </row>
    <row r="11" spans="1:13" ht="35.1" customHeight="1" x14ac:dyDescent="0.25">
      <c r="B11" s="272" t="s">
        <v>5909</v>
      </c>
      <c r="C11" s="271" t="str">
        <f>IF(Componentes!AT9&lt;&gt;0,"Não atende","Atende")</f>
        <v>Atende</v>
      </c>
      <c r="D11" s="289">
        <f>IF(C11="Não Atende",1,0)</f>
        <v>0</v>
      </c>
      <c r="E11" s="269" t="s">
        <v>5917</v>
      </c>
      <c r="F11" s="271" t="str">
        <f>IF(Iluminação!C9="Método do edifício completo",IF(Iluminação!M40&gt;=90%,"Atende","Não Atende"),
IF(Iluminação!C9="Método das atividades do edifício",IF(Iluminação!AI31&gt;=90%,"Atende","Não Atende"),"Verificar"))</f>
        <v>Não Atende</v>
      </c>
      <c r="G11" s="289">
        <f>IF(F11="Não Atende",1,0)</f>
        <v>1</v>
      </c>
      <c r="H11" s="269" t="s">
        <v>5920</v>
      </c>
      <c r="I11" s="271" t="s">
        <v>5895</v>
      </c>
      <c r="J11" s="289">
        <f>IF(I11="Não Atende",1,0)</f>
        <v>0</v>
      </c>
      <c r="K11" s="269" t="s">
        <v>5971</v>
      </c>
      <c r="L11" s="271" t="str">
        <f>IF(C34="Sim","Atende",IF(C34="Não atende","Não atende","Não se aplica"))</f>
        <v>Atende</v>
      </c>
      <c r="M11" s="289">
        <f>IF(L11="Não Atende",1,0)</f>
        <v>0</v>
      </c>
    </row>
    <row r="12" spans="1:13" s="15" customFormat="1" ht="35.1" customHeight="1" x14ac:dyDescent="0.25">
      <c r="A12" s="1"/>
      <c r="B12" s="651" t="s">
        <v>5923</v>
      </c>
      <c r="C12" s="651"/>
      <c r="D12" s="289">
        <f t="shared" ref="D12:D32" si="0">IF(C12="Não Atende",1,0)</f>
        <v>0</v>
      </c>
      <c r="E12" s="269" t="s">
        <v>5918</v>
      </c>
      <c r="F12" s="271" t="str">
        <f>IF(Iluminação!C9="Método do edifício completo",IF(Iluminação!N40&gt;=90%,"Atende","Não Atende"),
IF(Iluminação!C9="Método das atividades do edifício",IF(Iluminação!AJ31&gt;=90%,"Atende","Não Atende"),"Verificar"))</f>
        <v>Atende</v>
      </c>
      <c r="G12" s="289">
        <f t="shared" ref="G12:G13" si="1">IF(F12="Não Atende",1,0)</f>
        <v>0</v>
      </c>
      <c r="H12" s="269" t="s">
        <v>5921</v>
      </c>
      <c r="I12" s="271" t="s">
        <v>5895</v>
      </c>
      <c r="J12" s="289">
        <f t="shared" ref="J12:J13" si="2">IF(I12="Não Atende",1,0)</f>
        <v>0</v>
      </c>
      <c r="K12" s="269" t="s">
        <v>10595</v>
      </c>
      <c r="L12" s="271" t="str">
        <f>IF(F15="Sim","Atende",IF(F15="Não atende","Não atende","Não se aplica"))</f>
        <v>Não se aplica</v>
      </c>
      <c r="M12" s="289">
        <f t="shared" ref="M12:M13" si="3">IF(L12="Não Atende",1,0)</f>
        <v>0</v>
      </c>
    </row>
    <row r="13" spans="1:13" ht="35.1" customHeight="1" x14ac:dyDescent="0.25">
      <c r="B13" s="269" t="s">
        <v>10689</v>
      </c>
      <c r="C13" s="271" t="s">
        <v>5895</v>
      </c>
      <c r="D13" s="289">
        <f t="shared" si="0"/>
        <v>0</v>
      </c>
      <c r="E13" s="269" t="s">
        <v>5919</v>
      </c>
      <c r="F13" s="271" t="str">
        <f>IF(Iluminação!C9="Método do edifício completo",IF(Iluminação!O40&gt;=90%,"Atende","Não Atende"),
IF(Iluminação!C9="Método das atividades do edifício",IF(Iluminação!AK31&gt;=90%,"Atende","Não Atende"),"Verificar"))</f>
        <v>Atende</v>
      </c>
      <c r="G13" s="289">
        <f t="shared" si="1"/>
        <v>0</v>
      </c>
      <c r="H13" s="269" t="s">
        <v>5922</v>
      </c>
      <c r="I13" s="271" t="s">
        <v>5895</v>
      </c>
      <c r="J13" s="289">
        <f t="shared" si="2"/>
        <v>0</v>
      </c>
      <c r="K13" s="269" t="s">
        <v>10596</v>
      </c>
      <c r="L13" s="271" t="str">
        <f>IF(I15="Sim","Atende",IF(I15="Não atende","Não atende","Não se aplica"))</f>
        <v>Não se aplica</v>
      </c>
      <c r="M13" s="289">
        <f t="shared" si="3"/>
        <v>0</v>
      </c>
    </row>
    <row r="14" spans="1:13" ht="35.1" customHeight="1" x14ac:dyDescent="0.25">
      <c r="B14" s="651" t="s">
        <v>5908</v>
      </c>
      <c r="C14" s="651"/>
      <c r="D14" s="289">
        <f t="shared" si="0"/>
        <v>0</v>
      </c>
    </row>
    <row r="15" spans="1:13" ht="35.1" customHeight="1" x14ac:dyDescent="0.25">
      <c r="B15" s="269" t="s">
        <v>5898</v>
      </c>
      <c r="C15" s="271" t="s">
        <v>5895</v>
      </c>
      <c r="D15" s="289">
        <f t="shared" si="0"/>
        <v>0</v>
      </c>
      <c r="E15" s="273" t="s">
        <v>5912</v>
      </c>
      <c r="F15" s="288" t="str">
        <f>IF(Início!C31="Não avalia","Não se aplica",IF(SUM(G11:G13)&lt;&gt;0,"Não","Sim"))</f>
        <v>Não</v>
      </c>
      <c r="H15" s="273" t="s">
        <v>5911</v>
      </c>
      <c r="I15" s="288" t="str">
        <f>IF(OR(Início!C35="Não avalia",Início!C35="Não aplicável a esta tipologia"),"Não se aplica",IF(SUM(J11:J13)&lt;&gt;0,"Não","Sim"))</f>
        <v>Não se aplica</v>
      </c>
      <c r="K15" s="273" t="s">
        <v>5972</v>
      </c>
      <c r="L15" s="288" t="str">
        <f>IF(OR(L11="Não se aplica",L12="Não se aplica",Início!C35="Não avalia"),"Não se aplica",IF(SUM(M11:M13)&lt;&gt;0,"Não","Sim"))</f>
        <v>Não se aplica</v>
      </c>
    </row>
    <row r="16" spans="1:13" ht="35.1" customHeight="1" x14ac:dyDescent="0.25">
      <c r="B16" s="269" t="s">
        <v>5897</v>
      </c>
      <c r="C16" s="271" t="s">
        <v>5895</v>
      </c>
      <c r="D16" s="289">
        <f t="shared" si="0"/>
        <v>0</v>
      </c>
    </row>
    <row r="17" spans="2:4" ht="35.1" customHeight="1" x14ac:dyDescent="0.25">
      <c r="B17" s="269" t="s">
        <v>5896</v>
      </c>
      <c r="C17" s="271" t="s">
        <v>90</v>
      </c>
      <c r="D17" s="289">
        <f t="shared" si="0"/>
        <v>0</v>
      </c>
    </row>
    <row r="18" spans="2:4" ht="35.1" customHeight="1" x14ac:dyDescent="0.25">
      <c r="B18" s="269" t="s">
        <v>5899</v>
      </c>
      <c r="C18" s="271" t="s">
        <v>90</v>
      </c>
      <c r="D18" s="289">
        <f t="shared" si="0"/>
        <v>0</v>
      </c>
    </row>
    <row r="19" spans="2:4" ht="35.1" customHeight="1" x14ac:dyDescent="0.25">
      <c r="B19" s="269" t="s">
        <v>5900</v>
      </c>
      <c r="C19" s="271" t="s">
        <v>90</v>
      </c>
      <c r="D19" s="289">
        <f t="shared" si="0"/>
        <v>0</v>
      </c>
    </row>
    <row r="20" spans="2:4" ht="35.1" customHeight="1" x14ac:dyDescent="0.25">
      <c r="B20" s="269" t="s">
        <v>5901</v>
      </c>
      <c r="C20" s="271" t="s">
        <v>90</v>
      </c>
      <c r="D20" s="289">
        <f t="shared" si="0"/>
        <v>0</v>
      </c>
    </row>
    <row r="21" spans="2:4" ht="35.1" customHeight="1" x14ac:dyDescent="0.25">
      <c r="B21" s="269" t="s">
        <v>5902</v>
      </c>
      <c r="C21" s="271" t="s">
        <v>90</v>
      </c>
      <c r="D21" s="289">
        <f t="shared" si="0"/>
        <v>0</v>
      </c>
    </row>
    <row r="22" spans="2:4" ht="35.1" customHeight="1" x14ac:dyDescent="0.25">
      <c r="B22" s="269" t="s">
        <v>5903</v>
      </c>
      <c r="C22" s="271" t="s">
        <v>90</v>
      </c>
      <c r="D22" s="289">
        <f t="shared" si="0"/>
        <v>0</v>
      </c>
    </row>
    <row r="23" spans="2:4" ht="35.1" customHeight="1" x14ac:dyDescent="0.25">
      <c r="B23" s="269" t="s">
        <v>84</v>
      </c>
      <c r="C23" s="271" t="s">
        <v>90</v>
      </c>
      <c r="D23" s="289">
        <f t="shared" si="0"/>
        <v>0</v>
      </c>
    </row>
    <row r="24" spans="2:4" ht="35.1" customHeight="1" x14ac:dyDescent="0.25">
      <c r="B24" s="269" t="s">
        <v>85</v>
      </c>
      <c r="C24" s="271" t="s">
        <v>90</v>
      </c>
      <c r="D24" s="289">
        <f t="shared" si="0"/>
        <v>0</v>
      </c>
    </row>
    <row r="25" spans="2:4" ht="35.1" customHeight="1" x14ac:dyDescent="0.25">
      <c r="B25" s="269" t="s">
        <v>86</v>
      </c>
      <c r="C25" s="271" t="s">
        <v>90</v>
      </c>
      <c r="D25" s="289">
        <f t="shared" si="0"/>
        <v>0</v>
      </c>
    </row>
    <row r="26" spans="2:4" ht="35.1" customHeight="1" x14ac:dyDescent="0.25">
      <c r="B26" s="269" t="s">
        <v>5904</v>
      </c>
      <c r="C26" s="271" t="s">
        <v>90</v>
      </c>
      <c r="D26" s="289">
        <f t="shared" si="0"/>
        <v>0</v>
      </c>
    </row>
    <row r="27" spans="2:4" ht="35.1" customHeight="1" x14ac:dyDescent="0.25">
      <c r="B27" s="269" t="s">
        <v>87</v>
      </c>
      <c r="C27" s="271" t="s">
        <v>90</v>
      </c>
      <c r="D27" s="289">
        <f t="shared" si="0"/>
        <v>0</v>
      </c>
    </row>
    <row r="28" spans="2:4" ht="35.1" customHeight="1" x14ac:dyDescent="0.25">
      <c r="B28" s="269" t="s">
        <v>88</v>
      </c>
      <c r="C28" s="271" t="s">
        <v>90</v>
      </c>
      <c r="D28" s="289">
        <f t="shared" si="0"/>
        <v>0</v>
      </c>
    </row>
    <row r="29" spans="2:4" ht="35.1" customHeight="1" x14ac:dyDescent="0.25">
      <c r="B29" s="269" t="s">
        <v>89</v>
      </c>
      <c r="C29" s="271" t="s">
        <v>90</v>
      </c>
      <c r="D29" s="289">
        <f t="shared" si="0"/>
        <v>0</v>
      </c>
    </row>
    <row r="30" spans="2:4" ht="35.1" customHeight="1" x14ac:dyDescent="0.25">
      <c r="B30" s="269" t="s">
        <v>5905</v>
      </c>
      <c r="C30" s="271" t="s">
        <v>90</v>
      </c>
      <c r="D30" s="289">
        <f t="shared" si="0"/>
        <v>0</v>
      </c>
    </row>
    <row r="31" spans="2:4" ht="35.1" customHeight="1" x14ac:dyDescent="0.25">
      <c r="B31" s="269" t="s">
        <v>5938</v>
      </c>
      <c r="C31" s="269"/>
      <c r="D31" s="289">
        <f t="shared" si="0"/>
        <v>0</v>
      </c>
    </row>
    <row r="32" spans="2:4" ht="35.1" customHeight="1" x14ac:dyDescent="0.25">
      <c r="B32" s="269" t="s">
        <v>5913</v>
      </c>
      <c r="C32" s="271" t="s">
        <v>90</v>
      </c>
      <c r="D32" s="289">
        <f t="shared" si="0"/>
        <v>0</v>
      </c>
    </row>
    <row r="33" spans="2:3" x14ac:dyDescent="0.25">
      <c r="B33"/>
    </row>
    <row r="34" spans="2:3" ht="30" x14ac:dyDescent="0.25">
      <c r="B34" s="273" t="s">
        <v>5910</v>
      </c>
      <c r="C34" s="288" t="str">
        <f>IF(Início!C33="Não avalia","Não se aplica",IF(SUM(D11:D32)&lt;&gt;0,"Não","Sim"))</f>
        <v>Sim</v>
      </c>
    </row>
    <row r="35" spans="2:3" x14ac:dyDescent="0.25">
      <c r="B35"/>
    </row>
    <row r="36" spans="2:3" x14ac:dyDescent="0.25">
      <c r="B36"/>
    </row>
    <row r="37" spans="2:3" x14ac:dyDescent="0.25">
      <c r="B37"/>
    </row>
    <row r="38" spans="2:3" x14ac:dyDescent="0.25">
      <c r="B38"/>
    </row>
    <row r="39" spans="2:3" x14ac:dyDescent="0.25">
      <c r="B39"/>
    </row>
    <row r="40" spans="2:3" x14ac:dyDescent="0.25">
      <c r="B40"/>
    </row>
    <row r="41" spans="2:3" x14ac:dyDescent="0.25">
      <c r="B41"/>
    </row>
    <row r="42" spans="2:3" x14ac:dyDescent="0.25">
      <c r="B42"/>
    </row>
    <row r="43" spans="2:3" x14ac:dyDescent="0.25">
      <c r="B43"/>
    </row>
    <row r="44" spans="2:3" x14ac:dyDescent="0.25">
      <c r="B44"/>
    </row>
    <row r="45" spans="2:3" x14ac:dyDescent="0.25">
      <c r="B45"/>
    </row>
    <row r="46" spans="2:3" x14ac:dyDescent="0.25">
      <c r="B46"/>
    </row>
    <row r="47" spans="2:3" x14ac:dyDescent="0.25">
      <c r="B47"/>
    </row>
    <row r="48" spans="2:3" x14ac:dyDescent="0.25">
      <c r="B48"/>
    </row>
    <row r="49" spans="2:2" x14ac:dyDescent="0.25">
      <c r="B49"/>
    </row>
    <row r="50" spans="2:2" x14ac:dyDescent="0.25">
      <c r="B50"/>
    </row>
    <row r="51" spans="2:2" x14ac:dyDescent="0.25">
      <c r="B51"/>
    </row>
    <row r="52" spans="2:2" x14ac:dyDescent="0.25">
      <c r="B52"/>
    </row>
    <row r="53" spans="2:2" x14ac:dyDescent="0.25">
      <c r="B53"/>
    </row>
    <row r="54" spans="2:2" x14ac:dyDescent="0.25">
      <c r="B54"/>
    </row>
    <row r="55" spans="2:2" x14ac:dyDescent="0.25">
      <c r="B55"/>
    </row>
    <row r="56" spans="2:2" x14ac:dyDescent="0.25">
      <c r="B56"/>
    </row>
    <row r="57" spans="2:2" x14ac:dyDescent="0.25">
      <c r="B57"/>
    </row>
    <row r="58" spans="2:2" x14ac:dyDescent="0.25">
      <c r="B58"/>
    </row>
    <row r="59" spans="2:2" x14ac:dyDescent="0.25">
      <c r="B59"/>
    </row>
  </sheetData>
  <sheetProtection algorithmName="SHA-512" hashValue="NSEn5j/wcaqbn0g1YwHDByH7fFWWfN5dimpNtOe9JbbjmN4NM2bhpdq3yg47s3zQdTr9GhveqKFHlZa80SNySw==" saltValue="rqZSbyjeVddxiHn/R42O2g==" spinCount="100000" sheet="1" objects="1" scenarios="1"/>
  <protectedRanges>
    <protectedRange sqref="I11:I13" name="SistemaAQ"/>
    <protectedRange sqref="C15:C32" name="SistemaCondArCentral"/>
    <protectedRange sqref="C13" name="SistemaCondArUnit"/>
  </protectedRanges>
  <mergeCells count="7">
    <mergeCell ref="B7:F7"/>
    <mergeCell ref="K9:L9"/>
    <mergeCell ref="H9:I9"/>
    <mergeCell ref="B12:C12"/>
    <mergeCell ref="B14:C14"/>
    <mergeCell ref="E9:F9"/>
    <mergeCell ref="B9:C9"/>
  </mergeCells>
  <conditionalFormatting sqref="C11">
    <cfRule type="cellIs" dxfId="42" priority="50" operator="equal">
      <formula>"Atende"</formula>
    </cfRule>
    <cfRule type="cellIs" dxfId="41" priority="48" operator="equal">
      <formula>"Não se aplica"</formula>
    </cfRule>
    <cfRule type="cellIs" dxfId="40" priority="49" operator="equal">
      <formula>"Não atende"</formula>
    </cfRule>
  </conditionalFormatting>
  <conditionalFormatting sqref="C13">
    <cfRule type="cellIs" dxfId="39" priority="19" operator="equal">
      <formula>"Não se aplica"</formula>
    </cfRule>
    <cfRule type="cellIs" dxfId="38" priority="20" operator="equal">
      <formula>"Não atende"</formula>
    </cfRule>
    <cfRule type="cellIs" dxfId="37" priority="21" operator="equal">
      <formula>"Atende"</formula>
    </cfRule>
  </conditionalFormatting>
  <conditionalFormatting sqref="C15:C30 C32">
    <cfRule type="cellIs" dxfId="36" priority="36" operator="equal">
      <formula>"Não se aplica"</formula>
    </cfRule>
    <cfRule type="cellIs" dxfId="35" priority="37" operator="equal">
      <formula>"Não atende"</formula>
    </cfRule>
    <cfRule type="cellIs" dxfId="34" priority="38" operator="equal">
      <formula>"Atende"</formula>
    </cfRule>
  </conditionalFormatting>
  <conditionalFormatting sqref="C34">
    <cfRule type="cellIs" dxfId="33" priority="22" operator="equal">
      <formula>"Sim"</formula>
    </cfRule>
    <cfRule type="cellIs" dxfId="32" priority="23" operator="equal">
      <formula>"Não"</formula>
    </cfRule>
    <cfRule type="cellIs" dxfId="31" priority="24" operator="equal">
      <formula>"Não se aplica"</formula>
    </cfRule>
    <cfRule type="cellIs" dxfId="30" priority="25" operator="equal">
      <formula>"Não atende"</formula>
    </cfRule>
    <cfRule type="cellIs" dxfId="29" priority="26" operator="equal">
      <formula>"Atende"</formula>
    </cfRule>
  </conditionalFormatting>
  <conditionalFormatting sqref="F11:F13">
    <cfRule type="cellIs" dxfId="28" priority="30" operator="equal">
      <formula>"Não se aplica"</formula>
    </cfRule>
    <cfRule type="cellIs" dxfId="27" priority="31" operator="equal">
      <formula>"Não atende"</formula>
    </cfRule>
    <cfRule type="cellIs" dxfId="26" priority="32" operator="equal">
      <formula>"Atende"</formula>
    </cfRule>
  </conditionalFormatting>
  <conditionalFormatting sqref="F15">
    <cfRule type="cellIs" dxfId="25" priority="14" operator="equal">
      <formula>"Sim"</formula>
    </cfRule>
    <cfRule type="cellIs" dxfId="24" priority="15" operator="equal">
      <formula>"Não"</formula>
    </cfRule>
    <cfRule type="cellIs" dxfId="23" priority="16" operator="equal">
      <formula>"Não se aplica"</formula>
    </cfRule>
    <cfRule type="cellIs" dxfId="22" priority="18" operator="equal">
      <formula>"Atende"</formula>
    </cfRule>
    <cfRule type="cellIs" dxfId="21" priority="17" operator="equal">
      <formula>"Não atende"</formula>
    </cfRule>
  </conditionalFormatting>
  <conditionalFormatting sqref="I11:I13">
    <cfRule type="cellIs" dxfId="20" priority="27" operator="equal">
      <formula>"Não se aplica"</formula>
    </cfRule>
    <cfRule type="cellIs" dxfId="19" priority="28" operator="equal">
      <formula>"Não atende"</formula>
    </cfRule>
    <cfRule type="cellIs" dxfId="18" priority="29" operator="equal">
      <formula>"Atende"</formula>
    </cfRule>
  </conditionalFormatting>
  <conditionalFormatting sqref="I15">
    <cfRule type="cellIs" dxfId="17" priority="9" operator="equal">
      <formula>"Sim"</formula>
    </cfRule>
    <cfRule type="cellIs" dxfId="16" priority="10" operator="equal">
      <formula>"Não"</formula>
    </cfRule>
    <cfRule type="cellIs" dxfId="15" priority="11" operator="equal">
      <formula>"Não se aplica"</formula>
    </cfRule>
    <cfRule type="cellIs" dxfId="14" priority="12" operator="equal">
      <formula>"Não atende"</formula>
    </cfRule>
    <cfRule type="cellIs" dxfId="13" priority="13" operator="equal">
      <formula>"Atende"</formula>
    </cfRule>
  </conditionalFormatting>
  <conditionalFormatting sqref="L11:L13">
    <cfRule type="cellIs" dxfId="12" priority="6" operator="equal">
      <formula>"Não se aplica"</formula>
    </cfRule>
    <cfRule type="cellIs" dxfId="11" priority="7" operator="equal">
      <formula>"Não atende"</formula>
    </cfRule>
    <cfRule type="cellIs" dxfId="10" priority="8" operator="equal">
      <formula>"Atende"</formula>
    </cfRule>
  </conditionalFormatting>
  <conditionalFormatting sqref="L15">
    <cfRule type="cellIs" dxfId="9" priority="2" operator="equal">
      <formula>"Não"</formula>
    </cfRule>
    <cfRule type="cellIs" dxfId="8" priority="3" operator="equal">
      <formula>"Não se aplica"</formula>
    </cfRule>
    <cfRule type="cellIs" dxfId="7" priority="4" operator="equal">
      <formula>"Não atende"</formula>
    </cfRule>
    <cfRule type="cellIs" dxfId="6" priority="5" operator="equal">
      <formula>"Atende"</formula>
    </cfRule>
    <cfRule type="cellIs" dxfId="5" priority="1" operator="equal">
      <formula>"Sim"</formula>
    </cfRule>
  </conditionalFormatting>
  <dataValidations count="1">
    <dataValidation type="list" allowBlank="1" showInputMessage="1" showErrorMessage="1" sqref="C11 C15:C30 C32 F11:F13 C13 I11:I13 L11:L13" xr:uid="{17408500-F036-48AA-A625-2749667E7B4F}">
      <formula1>"Atende, Não Atende, Não se aplica"</formula1>
    </dataValidation>
  </dataValidations>
  <pageMargins left="0.511811024" right="0.511811024" top="0.78740157499999996" bottom="0.78740157499999996" header="0.31496062000000002" footer="0.31496062000000002"/>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10">
    <tabColor theme="7" tint="0.39997558519241921"/>
  </sheetPr>
  <dimension ref="A1:O59"/>
  <sheetViews>
    <sheetView showGridLines="0" topLeftCell="A4" zoomScaleNormal="100" workbookViewId="0">
      <selection activeCell="F10" sqref="F10:F13"/>
    </sheetView>
  </sheetViews>
  <sheetFormatPr defaultColWidth="9.140625" defaultRowHeight="15" x14ac:dyDescent="0.25"/>
  <cols>
    <col min="1" max="1" width="5.7109375" customWidth="1"/>
    <col min="2" max="2" width="19.140625" style="25" bestFit="1" customWidth="1"/>
    <col min="3" max="3" width="19.42578125" customWidth="1"/>
    <col min="4" max="4" width="13.42578125" bestFit="1" customWidth="1"/>
    <col min="5" max="5" width="17.42578125" customWidth="1"/>
    <col min="6" max="6" width="13.42578125" bestFit="1" customWidth="1"/>
    <col min="7" max="7" width="19.5703125" customWidth="1"/>
    <col min="8" max="8" width="13.42578125" bestFit="1" customWidth="1"/>
    <col min="9" max="9" width="18.5703125" customWidth="1"/>
    <col min="10" max="10" width="13.42578125" bestFit="1" customWidth="1"/>
    <col min="11" max="11" width="17.28515625" customWidth="1"/>
    <col min="12" max="12" width="13.42578125" bestFit="1" customWidth="1"/>
    <col min="13" max="13" width="28.5703125" customWidth="1"/>
    <col min="14" max="14" width="14.7109375" customWidth="1"/>
    <col min="15" max="15" width="5.7109375" customWidth="1"/>
    <col min="16" max="16384" width="9.140625" style="11"/>
  </cols>
  <sheetData>
    <row r="1" spans="1:15" ht="20.100000000000001" customHeight="1" x14ac:dyDescent="0.25"/>
    <row r="2" spans="1:15" ht="20.100000000000001" customHeight="1" x14ac:dyDescent="0.25"/>
    <row r="3" spans="1:15" s="12" customFormat="1" ht="20.100000000000001" customHeight="1" x14ac:dyDescent="0.25">
      <c r="A3" s="10"/>
      <c r="B3" s="26"/>
      <c r="C3" s="10"/>
      <c r="D3" s="10"/>
      <c r="E3" s="10"/>
      <c r="F3" s="10"/>
      <c r="G3" s="10"/>
      <c r="H3" s="10"/>
      <c r="I3" s="10"/>
      <c r="J3" s="10"/>
      <c r="K3" s="10"/>
      <c r="L3" s="10"/>
      <c r="M3" s="10"/>
      <c r="N3" s="10"/>
      <c r="O3" s="10"/>
    </row>
    <row r="5" spans="1:15" ht="18.75" x14ac:dyDescent="0.3">
      <c r="A5" s="22"/>
      <c r="B5" s="23" t="s">
        <v>149</v>
      </c>
      <c r="C5" s="22"/>
      <c r="D5" s="22"/>
      <c r="E5" s="22"/>
      <c r="F5" s="22"/>
      <c r="G5" s="22"/>
      <c r="H5" s="22"/>
      <c r="I5" s="22"/>
      <c r="J5" s="22"/>
      <c r="K5" s="22"/>
      <c r="L5" s="22"/>
      <c r="M5" s="22"/>
      <c r="N5" s="22"/>
      <c r="O5" s="22"/>
    </row>
    <row r="7" spans="1:15" x14ac:dyDescent="0.25">
      <c r="B7" s="652" t="s">
        <v>150</v>
      </c>
      <c r="C7" s="653" t="s">
        <v>151</v>
      </c>
      <c r="D7" s="653"/>
      <c r="E7" s="653"/>
      <c r="F7" s="653"/>
      <c r="G7" s="653"/>
      <c r="H7" s="653"/>
      <c r="I7" s="653"/>
      <c r="J7" s="653"/>
      <c r="K7" s="653"/>
      <c r="L7" s="653"/>
      <c r="M7" s="653" t="s">
        <v>152</v>
      </c>
      <c r="N7" s="653"/>
    </row>
    <row r="8" spans="1:15" x14ac:dyDescent="0.25">
      <c r="B8" s="652"/>
      <c r="C8" s="656" t="s">
        <v>153</v>
      </c>
      <c r="D8" s="656"/>
      <c r="E8" s="656" t="s">
        <v>154</v>
      </c>
      <c r="F8" s="656"/>
      <c r="G8" s="656" t="s">
        <v>155</v>
      </c>
      <c r="H8" s="656"/>
      <c r="I8" s="656" t="s">
        <v>156</v>
      </c>
      <c r="J8" s="656"/>
      <c r="K8" s="656" t="s">
        <v>157</v>
      </c>
      <c r="L8" s="656"/>
      <c r="M8" s="654" t="s">
        <v>145</v>
      </c>
      <c r="N8" s="655" t="s">
        <v>158</v>
      </c>
    </row>
    <row r="9" spans="1:15" x14ac:dyDescent="0.25">
      <c r="B9" s="652"/>
      <c r="C9" s="103" t="s">
        <v>147</v>
      </c>
      <c r="D9" s="103" t="s">
        <v>159</v>
      </c>
      <c r="E9" s="103" t="s">
        <v>147</v>
      </c>
      <c r="F9" s="103" t="s">
        <v>159</v>
      </c>
      <c r="G9" s="103" t="s">
        <v>147</v>
      </c>
      <c r="H9" s="103" t="s">
        <v>159</v>
      </c>
      <c r="I9" s="103" t="s">
        <v>147</v>
      </c>
      <c r="J9" s="103" t="s">
        <v>159</v>
      </c>
      <c r="K9" s="103" t="s">
        <v>147</v>
      </c>
      <c r="L9" s="103" t="s">
        <v>159</v>
      </c>
      <c r="M9" s="654"/>
      <c r="N9" s="655"/>
    </row>
    <row r="10" spans="1:15" s="15" customFormat="1" x14ac:dyDescent="0.25">
      <c r="A10" s="1"/>
      <c r="B10" s="104">
        <v>1</v>
      </c>
      <c r="C10" s="64" t="s">
        <v>10839</v>
      </c>
      <c r="D10" s="64">
        <v>6</v>
      </c>
      <c r="E10" s="64" t="s">
        <v>10840</v>
      </c>
      <c r="F10" s="64">
        <v>9</v>
      </c>
      <c r="G10" s="64" t="s">
        <v>10841</v>
      </c>
      <c r="H10" s="64">
        <v>60</v>
      </c>
      <c r="I10" s="64" t="s">
        <v>10842</v>
      </c>
      <c r="J10" s="64">
        <v>8</v>
      </c>
      <c r="K10" s="64" t="s">
        <v>10843</v>
      </c>
      <c r="L10" s="64">
        <v>6</v>
      </c>
      <c r="M10" s="64"/>
      <c r="N10" s="105"/>
      <c r="O10" s="1"/>
    </row>
    <row r="11" spans="1:15" x14ac:dyDescent="0.25">
      <c r="B11" s="104">
        <v>2</v>
      </c>
      <c r="C11" s="64" t="s">
        <v>10839</v>
      </c>
      <c r="D11" s="64">
        <v>6</v>
      </c>
      <c r="E11" s="64" t="s">
        <v>10840</v>
      </c>
      <c r="F11" s="64">
        <v>9</v>
      </c>
      <c r="G11" s="64" t="s">
        <v>10841</v>
      </c>
      <c r="H11" s="64">
        <v>60</v>
      </c>
      <c r="I11" s="64" t="s">
        <v>10842</v>
      </c>
      <c r="J11" s="64">
        <v>8</v>
      </c>
      <c r="K11" s="64" t="s">
        <v>10843</v>
      </c>
      <c r="L11" s="64">
        <v>6</v>
      </c>
      <c r="M11" s="64"/>
      <c r="N11" s="105"/>
    </row>
    <row r="12" spans="1:15" x14ac:dyDescent="0.25">
      <c r="B12" s="104">
        <v>3</v>
      </c>
      <c r="C12" s="64" t="s">
        <v>10839</v>
      </c>
      <c r="D12" s="64">
        <v>6</v>
      </c>
      <c r="E12" s="64" t="s">
        <v>10840</v>
      </c>
      <c r="F12" s="64">
        <v>9</v>
      </c>
      <c r="G12" s="64" t="s">
        <v>10841</v>
      </c>
      <c r="H12" s="64">
        <v>60</v>
      </c>
      <c r="I12" s="64" t="s">
        <v>10842</v>
      </c>
      <c r="J12" s="64">
        <v>8</v>
      </c>
      <c r="K12" s="64" t="s">
        <v>10843</v>
      </c>
      <c r="L12" s="64">
        <v>6</v>
      </c>
      <c r="M12" s="64"/>
      <c r="N12" s="105"/>
    </row>
    <row r="13" spans="1:15" x14ac:dyDescent="0.25">
      <c r="B13" s="104">
        <v>4</v>
      </c>
      <c r="C13" s="64" t="s">
        <v>10839</v>
      </c>
      <c r="D13" s="64">
        <v>6</v>
      </c>
      <c r="E13" s="64" t="s">
        <v>10840</v>
      </c>
      <c r="F13" s="64">
        <v>9</v>
      </c>
      <c r="G13" s="64"/>
      <c r="H13" s="64"/>
      <c r="I13" s="64" t="s">
        <v>10842</v>
      </c>
      <c r="J13" s="64">
        <v>8</v>
      </c>
      <c r="K13" s="64" t="s">
        <v>10844</v>
      </c>
      <c r="L13" s="64">
        <v>6</v>
      </c>
      <c r="M13" s="64"/>
      <c r="N13" s="105"/>
    </row>
    <row r="14" spans="1:15" x14ac:dyDescent="0.25">
      <c r="B14" s="104">
        <v>5</v>
      </c>
      <c r="C14" s="64" t="s">
        <v>10839</v>
      </c>
      <c r="D14" s="64">
        <v>6</v>
      </c>
      <c r="E14" s="64"/>
      <c r="F14" s="64"/>
      <c r="G14" s="64"/>
      <c r="H14" s="64"/>
      <c r="I14" s="64" t="s">
        <v>10842</v>
      </c>
      <c r="J14" s="64">
        <v>8</v>
      </c>
      <c r="K14" s="64" t="s">
        <v>10844</v>
      </c>
      <c r="L14" s="64">
        <v>6</v>
      </c>
      <c r="M14" s="64"/>
      <c r="N14" s="105"/>
    </row>
    <row r="15" spans="1:15" x14ac:dyDescent="0.25">
      <c r="B15" s="104">
        <v>6</v>
      </c>
      <c r="C15" s="64" t="s">
        <v>10839</v>
      </c>
      <c r="D15" s="64">
        <v>6</v>
      </c>
      <c r="E15" s="64"/>
      <c r="F15" s="64"/>
      <c r="G15" s="64"/>
      <c r="H15" s="64"/>
      <c r="I15" s="64" t="s">
        <v>10842</v>
      </c>
      <c r="J15" s="64">
        <v>8</v>
      </c>
      <c r="K15" s="64" t="s">
        <v>10844</v>
      </c>
      <c r="L15" s="64">
        <v>6</v>
      </c>
      <c r="M15" s="64"/>
      <c r="N15" s="105"/>
    </row>
    <row r="16" spans="1:15" x14ac:dyDescent="0.25">
      <c r="B16" s="104">
        <v>7</v>
      </c>
      <c r="C16" s="64" t="s">
        <v>10839</v>
      </c>
      <c r="D16" s="64">
        <v>6</v>
      </c>
      <c r="E16" s="64"/>
      <c r="F16" s="64"/>
      <c r="G16" s="64"/>
      <c r="H16" s="64"/>
      <c r="I16" s="64" t="s">
        <v>10842</v>
      </c>
      <c r="J16" s="64">
        <v>8</v>
      </c>
      <c r="K16" s="64" t="s">
        <v>10844</v>
      </c>
      <c r="L16" s="64">
        <v>6</v>
      </c>
      <c r="M16" s="64"/>
      <c r="N16" s="105"/>
    </row>
    <row r="17" spans="2:14" x14ac:dyDescent="0.25">
      <c r="B17" s="104">
        <v>8</v>
      </c>
      <c r="C17" s="64" t="s">
        <v>10839</v>
      </c>
      <c r="D17" s="64">
        <v>6</v>
      </c>
      <c r="E17" s="64"/>
      <c r="F17" s="64"/>
      <c r="G17" s="64"/>
      <c r="H17" s="64"/>
      <c r="I17" s="64" t="s">
        <v>10842</v>
      </c>
      <c r="J17" s="64">
        <v>8</v>
      </c>
      <c r="K17" s="64"/>
      <c r="L17" s="64"/>
      <c r="M17" s="64"/>
      <c r="N17" s="105"/>
    </row>
    <row r="18" spans="2:14" x14ac:dyDescent="0.25">
      <c r="B18" s="104">
        <v>9</v>
      </c>
      <c r="C18" s="64" t="s">
        <v>10839</v>
      </c>
      <c r="D18" s="64">
        <v>6</v>
      </c>
      <c r="E18" s="64"/>
      <c r="F18" s="64"/>
      <c r="G18" s="64"/>
      <c r="H18" s="64"/>
      <c r="I18" s="64" t="s">
        <v>10842</v>
      </c>
      <c r="J18" s="64">
        <v>8</v>
      </c>
      <c r="K18" s="64"/>
      <c r="L18" s="64"/>
      <c r="M18" s="64"/>
      <c r="N18" s="105"/>
    </row>
    <row r="19" spans="2:14" x14ac:dyDescent="0.25">
      <c r="B19" s="104">
        <v>10</v>
      </c>
      <c r="C19" s="64" t="s">
        <v>10839</v>
      </c>
      <c r="D19" s="64">
        <v>6</v>
      </c>
      <c r="E19" s="64"/>
      <c r="F19" s="64"/>
      <c r="G19" s="64"/>
      <c r="H19" s="64"/>
      <c r="I19" s="64" t="s">
        <v>10842</v>
      </c>
      <c r="J19" s="64">
        <v>8</v>
      </c>
      <c r="K19" s="64"/>
      <c r="L19" s="64"/>
      <c r="M19" s="64"/>
      <c r="N19" s="105"/>
    </row>
    <row r="20" spans="2:14" x14ac:dyDescent="0.25">
      <c r="B20" s="104">
        <v>11</v>
      </c>
      <c r="C20" s="64" t="s">
        <v>10839</v>
      </c>
      <c r="D20" s="64">
        <v>6</v>
      </c>
      <c r="E20" s="64"/>
      <c r="F20" s="64"/>
      <c r="G20" s="64"/>
      <c r="H20" s="64"/>
      <c r="I20" s="64" t="s">
        <v>10842</v>
      </c>
      <c r="J20" s="64">
        <v>8</v>
      </c>
      <c r="K20" s="64"/>
      <c r="L20" s="64"/>
      <c r="M20" s="64"/>
      <c r="N20" s="105"/>
    </row>
    <row r="21" spans="2:14" x14ac:dyDescent="0.25">
      <c r="B21" s="104">
        <v>12</v>
      </c>
      <c r="C21" s="64" t="s">
        <v>10839</v>
      </c>
      <c r="D21" s="64">
        <v>6</v>
      </c>
      <c r="E21" s="64"/>
      <c r="F21" s="64"/>
      <c r="G21" s="64"/>
      <c r="H21" s="64"/>
      <c r="I21" s="64" t="s">
        <v>10842</v>
      </c>
      <c r="J21" s="64">
        <v>8</v>
      </c>
      <c r="K21" s="64"/>
      <c r="L21" s="64"/>
      <c r="M21" s="64"/>
      <c r="N21" s="105"/>
    </row>
    <row r="22" spans="2:14" x14ac:dyDescent="0.25">
      <c r="B22" s="104">
        <v>13</v>
      </c>
      <c r="C22" s="64" t="s">
        <v>10839</v>
      </c>
      <c r="D22" s="64">
        <v>6</v>
      </c>
      <c r="E22" s="64"/>
      <c r="F22" s="64"/>
      <c r="G22" s="64"/>
      <c r="H22" s="64"/>
      <c r="I22" s="64" t="s">
        <v>10842</v>
      </c>
      <c r="J22" s="64">
        <v>8</v>
      </c>
      <c r="K22" s="64"/>
      <c r="L22" s="64"/>
      <c r="M22" s="64"/>
      <c r="N22" s="105"/>
    </row>
    <row r="23" spans="2:14" x14ac:dyDescent="0.25">
      <c r="B23" s="104">
        <v>14</v>
      </c>
      <c r="C23" s="64" t="s">
        <v>10839</v>
      </c>
      <c r="D23" s="64">
        <v>6</v>
      </c>
      <c r="E23" s="64"/>
      <c r="F23" s="64"/>
      <c r="G23" s="64"/>
      <c r="H23" s="64"/>
      <c r="I23" s="64" t="s">
        <v>10842</v>
      </c>
      <c r="J23" s="64">
        <v>8</v>
      </c>
      <c r="K23" s="64"/>
      <c r="L23" s="64"/>
      <c r="M23" s="64"/>
      <c r="N23" s="105"/>
    </row>
    <row r="24" spans="2:14" x14ac:dyDescent="0.25">
      <c r="B24" s="104">
        <v>15</v>
      </c>
      <c r="C24" s="64" t="s">
        <v>10839</v>
      </c>
      <c r="D24" s="64">
        <v>6</v>
      </c>
      <c r="E24" s="64"/>
      <c r="F24" s="64"/>
      <c r="G24" s="64"/>
      <c r="H24" s="64"/>
      <c r="I24" s="64" t="s">
        <v>10842</v>
      </c>
      <c r="J24" s="64">
        <v>8</v>
      </c>
      <c r="K24" s="64"/>
      <c r="L24" s="64"/>
      <c r="M24" s="64"/>
      <c r="N24" s="105"/>
    </row>
    <row r="25" spans="2:14" x14ac:dyDescent="0.25">
      <c r="B25" s="104">
        <v>16</v>
      </c>
      <c r="C25" s="64" t="s">
        <v>10839</v>
      </c>
      <c r="D25" s="64">
        <v>6</v>
      </c>
      <c r="E25" s="64"/>
      <c r="F25" s="64"/>
      <c r="G25" s="64"/>
      <c r="H25" s="64"/>
      <c r="I25" s="64" t="s">
        <v>10842</v>
      </c>
      <c r="J25" s="64">
        <v>8</v>
      </c>
      <c r="K25" s="64"/>
      <c r="L25" s="64"/>
      <c r="M25" s="64"/>
      <c r="N25" s="105"/>
    </row>
    <row r="26" spans="2:14" x14ac:dyDescent="0.25">
      <c r="B26" s="104">
        <v>17</v>
      </c>
      <c r="C26" s="64" t="s">
        <v>10839</v>
      </c>
      <c r="D26" s="64">
        <v>6</v>
      </c>
      <c r="E26" s="64"/>
      <c r="F26" s="64"/>
      <c r="G26" s="64"/>
      <c r="H26" s="64"/>
      <c r="I26" s="64" t="s">
        <v>10842</v>
      </c>
      <c r="J26" s="64">
        <v>8</v>
      </c>
      <c r="K26" s="64"/>
      <c r="L26" s="64"/>
      <c r="M26" s="64"/>
      <c r="N26" s="105"/>
    </row>
    <row r="27" spans="2:14" x14ac:dyDescent="0.25">
      <c r="B27" s="104">
        <v>18</v>
      </c>
      <c r="C27" s="64" t="s">
        <v>10839</v>
      </c>
      <c r="D27" s="64">
        <v>6</v>
      </c>
      <c r="E27" s="64"/>
      <c r="F27" s="64"/>
      <c r="G27" s="64"/>
      <c r="H27" s="64"/>
      <c r="I27" s="64" t="s">
        <v>10842</v>
      </c>
      <c r="J27" s="64">
        <v>8</v>
      </c>
      <c r="K27" s="64"/>
      <c r="L27" s="64"/>
      <c r="M27" s="64"/>
      <c r="N27" s="105"/>
    </row>
    <row r="28" spans="2:14" x14ac:dyDescent="0.25">
      <c r="B28" s="104">
        <v>19</v>
      </c>
      <c r="C28" s="64" t="s">
        <v>10839</v>
      </c>
      <c r="D28" s="64">
        <v>6</v>
      </c>
      <c r="E28" s="64"/>
      <c r="F28" s="64"/>
      <c r="G28" s="64"/>
      <c r="H28" s="64"/>
      <c r="I28" s="64" t="s">
        <v>10842</v>
      </c>
      <c r="J28" s="64">
        <v>8</v>
      </c>
      <c r="K28" s="64"/>
      <c r="L28" s="64"/>
      <c r="M28" s="64"/>
      <c r="N28" s="105"/>
    </row>
    <row r="29" spans="2:14" x14ac:dyDescent="0.25">
      <c r="B29" s="104">
        <v>20</v>
      </c>
      <c r="C29" s="64" t="s">
        <v>10839</v>
      </c>
      <c r="D29" s="64">
        <v>6</v>
      </c>
      <c r="E29" s="64"/>
      <c r="F29" s="64"/>
      <c r="G29" s="64"/>
      <c r="H29" s="64"/>
      <c r="I29" s="64" t="s">
        <v>10842</v>
      </c>
      <c r="J29" s="64">
        <v>8</v>
      </c>
      <c r="K29" s="64"/>
      <c r="L29" s="64"/>
      <c r="M29" s="64"/>
      <c r="N29" s="105"/>
    </row>
    <row r="30" spans="2:14" x14ac:dyDescent="0.25">
      <c r="B30" s="104">
        <v>21</v>
      </c>
      <c r="C30" s="64" t="s">
        <v>10839</v>
      </c>
      <c r="D30" s="64">
        <v>6</v>
      </c>
      <c r="E30" s="64"/>
      <c r="F30" s="64"/>
      <c r="G30" s="64"/>
      <c r="H30" s="64"/>
      <c r="I30" s="64" t="s">
        <v>10842</v>
      </c>
      <c r="J30" s="64">
        <v>8</v>
      </c>
      <c r="K30" s="64"/>
      <c r="L30" s="64"/>
      <c r="M30" s="64"/>
      <c r="N30" s="105"/>
    </row>
    <row r="31" spans="2:14" x14ac:dyDescent="0.25">
      <c r="B31" s="104">
        <v>22</v>
      </c>
      <c r="C31" s="64" t="s">
        <v>10839</v>
      </c>
      <c r="D31" s="64">
        <v>6</v>
      </c>
      <c r="E31" s="64"/>
      <c r="F31" s="64"/>
      <c r="G31" s="64"/>
      <c r="H31" s="64"/>
      <c r="I31" s="64" t="s">
        <v>10845</v>
      </c>
      <c r="J31" s="64">
        <v>18</v>
      </c>
      <c r="K31" s="64"/>
      <c r="L31" s="64"/>
      <c r="M31" s="64"/>
      <c r="N31" s="105"/>
    </row>
    <row r="32" spans="2:14" x14ac:dyDescent="0.25">
      <c r="B32" s="104">
        <v>23</v>
      </c>
      <c r="C32" s="64" t="s">
        <v>10846</v>
      </c>
      <c r="D32" s="64">
        <v>6</v>
      </c>
      <c r="E32" s="64"/>
      <c r="F32" s="64"/>
      <c r="G32" s="64"/>
      <c r="H32" s="64"/>
      <c r="I32" s="64" t="s">
        <v>10845</v>
      </c>
      <c r="J32" s="64">
        <v>18</v>
      </c>
      <c r="K32" s="64"/>
      <c r="L32" s="64"/>
      <c r="M32" s="64"/>
      <c r="N32" s="105"/>
    </row>
    <row r="33" spans="2:14" x14ac:dyDescent="0.25">
      <c r="B33" s="104">
        <v>24</v>
      </c>
      <c r="C33" s="64" t="s">
        <v>10846</v>
      </c>
      <c r="D33" s="64">
        <v>6</v>
      </c>
      <c r="E33" s="64"/>
      <c r="F33" s="64"/>
      <c r="G33" s="64"/>
      <c r="H33" s="64"/>
      <c r="I33" s="64" t="s">
        <v>10845</v>
      </c>
      <c r="J33" s="64">
        <v>18</v>
      </c>
      <c r="K33" s="64"/>
      <c r="L33" s="64"/>
      <c r="M33" s="64"/>
      <c r="N33" s="105"/>
    </row>
    <row r="34" spans="2:14" x14ac:dyDescent="0.25">
      <c r="B34" s="104">
        <v>25</v>
      </c>
      <c r="C34" s="64" t="s">
        <v>10846</v>
      </c>
      <c r="D34" s="64">
        <v>6</v>
      </c>
      <c r="E34" s="64"/>
      <c r="F34" s="64"/>
      <c r="G34" s="64"/>
      <c r="H34" s="64"/>
      <c r="I34" s="64" t="s">
        <v>10845</v>
      </c>
      <c r="J34" s="64">
        <v>18</v>
      </c>
      <c r="K34" s="64"/>
      <c r="L34" s="64"/>
      <c r="M34" s="64"/>
      <c r="N34" s="105"/>
    </row>
    <row r="35" spans="2:14" x14ac:dyDescent="0.25">
      <c r="B35" s="104">
        <v>26</v>
      </c>
      <c r="C35" s="64" t="s">
        <v>10846</v>
      </c>
      <c r="D35" s="64">
        <v>6</v>
      </c>
      <c r="E35" s="64"/>
      <c r="F35" s="64"/>
      <c r="G35" s="64"/>
      <c r="H35" s="64"/>
      <c r="I35" s="64"/>
      <c r="J35" s="64"/>
      <c r="K35" s="64"/>
      <c r="L35" s="64"/>
      <c r="M35" s="64"/>
      <c r="N35" s="105"/>
    </row>
    <row r="36" spans="2:14" x14ac:dyDescent="0.25">
      <c r="B36" s="104">
        <v>27</v>
      </c>
      <c r="C36" s="64"/>
      <c r="D36" s="64"/>
      <c r="E36" s="64"/>
      <c r="F36" s="64"/>
      <c r="G36" s="64"/>
      <c r="H36" s="64"/>
      <c r="I36" s="64"/>
      <c r="J36" s="64"/>
      <c r="K36" s="64"/>
      <c r="L36" s="64"/>
      <c r="M36" s="64"/>
      <c r="N36" s="105"/>
    </row>
    <row r="37" spans="2:14" x14ac:dyDescent="0.25">
      <c r="B37" s="104">
        <v>28</v>
      </c>
      <c r="C37" s="64"/>
      <c r="D37" s="64"/>
      <c r="E37" s="64"/>
      <c r="F37" s="64"/>
      <c r="G37" s="64"/>
      <c r="H37" s="64"/>
      <c r="I37" s="64"/>
      <c r="J37" s="64"/>
      <c r="K37" s="64"/>
      <c r="L37" s="64"/>
      <c r="M37" s="64"/>
      <c r="N37" s="105"/>
    </row>
    <row r="38" spans="2:14" x14ac:dyDescent="0.25">
      <c r="B38" s="104">
        <v>29</v>
      </c>
      <c r="C38" s="64"/>
      <c r="D38" s="64"/>
      <c r="E38" s="64"/>
      <c r="F38" s="64"/>
      <c r="G38" s="64"/>
      <c r="H38" s="64"/>
      <c r="I38" s="64"/>
      <c r="J38" s="64"/>
      <c r="K38" s="64"/>
      <c r="L38" s="64"/>
      <c r="M38" s="64"/>
      <c r="N38" s="105"/>
    </row>
    <row r="39" spans="2:14" x14ac:dyDescent="0.25">
      <c r="B39" s="104">
        <v>30</v>
      </c>
      <c r="C39" s="64"/>
      <c r="D39" s="64"/>
      <c r="E39" s="64"/>
      <c r="F39" s="64"/>
      <c r="G39" s="64"/>
      <c r="H39" s="64"/>
      <c r="I39" s="64"/>
      <c r="J39" s="64"/>
      <c r="K39" s="64"/>
      <c r="L39" s="64"/>
      <c r="M39" s="64"/>
      <c r="N39" s="105"/>
    </row>
    <row r="40" spans="2:14" x14ac:dyDescent="0.25">
      <c r="B40" s="104">
        <v>31</v>
      </c>
      <c r="C40" s="64"/>
      <c r="D40" s="64"/>
      <c r="E40" s="64"/>
      <c r="F40" s="64"/>
      <c r="G40" s="64"/>
      <c r="H40" s="64"/>
      <c r="I40" s="64"/>
      <c r="J40" s="64"/>
      <c r="K40" s="64"/>
      <c r="L40" s="64"/>
      <c r="M40" s="64"/>
      <c r="N40" s="105"/>
    </row>
    <row r="41" spans="2:14" x14ac:dyDescent="0.25">
      <c r="B41" s="104">
        <v>32</v>
      </c>
      <c r="C41" s="64"/>
      <c r="D41" s="64"/>
      <c r="E41" s="64"/>
      <c r="F41" s="64"/>
      <c r="G41" s="64"/>
      <c r="H41" s="64"/>
      <c r="I41" s="64"/>
      <c r="J41" s="64"/>
      <c r="K41" s="64"/>
      <c r="L41" s="64"/>
      <c r="M41" s="64"/>
      <c r="N41" s="105"/>
    </row>
    <row r="42" spans="2:14" x14ac:dyDescent="0.25">
      <c r="B42" s="104">
        <v>33</v>
      </c>
      <c r="C42" s="64"/>
      <c r="D42" s="64"/>
      <c r="E42" s="64"/>
      <c r="F42" s="64"/>
      <c r="G42" s="64"/>
      <c r="H42" s="64"/>
      <c r="I42" s="64"/>
      <c r="J42" s="64"/>
      <c r="K42" s="64"/>
      <c r="L42" s="64"/>
      <c r="M42" s="64"/>
      <c r="N42" s="105"/>
    </row>
    <row r="43" spans="2:14" x14ac:dyDescent="0.25">
      <c r="B43" s="104">
        <v>34</v>
      </c>
      <c r="C43" s="64"/>
      <c r="D43" s="64"/>
      <c r="E43" s="64"/>
      <c r="F43" s="64"/>
      <c r="G43" s="64"/>
      <c r="H43" s="64"/>
      <c r="I43" s="64"/>
      <c r="J43" s="64"/>
      <c r="K43" s="64"/>
      <c r="L43" s="64"/>
      <c r="M43" s="64"/>
      <c r="N43" s="105"/>
    </row>
    <row r="44" spans="2:14" x14ac:dyDescent="0.25">
      <c r="B44" s="104">
        <v>35</v>
      </c>
      <c r="C44" s="64"/>
      <c r="D44" s="64"/>
      <c r="E44" s="64"/>
      <c r="F44" s="64"/>
      <c r="G44" s="64"/>
      <c r="H44" s="64"/>
      <c r="I44" s="64"/>
      <c r="J44" s="64"/>
      <c r="K44" s="64"/>
      <c r="L44" s="64"/>
      <c r="M44" s="64"/>
      <c r="N44" s="105"/>
    </row>
    <row r="45" spans="2:14" x14ac:dyDescent="0.25">
      <c r="B45" s="104">
        <v>36</v>
      </c>
      <c r="C45" s="64"/>
      <c r="D45" s="64"/>
      <c r="E45" s="64"/>
      <c r="F45" s="64"/>
      <c r="G45" s="64"/>
      <c r="H45" s="64"/>
      <c r="I45" s="64"/>
      <c r="J45" s="64"/>
      <c r="K45" s="64"/>
      <c r="L45" s="64"/>
      <c r="M45" s="64"/>
      <c r="N45" s="105"/>
    </row>
    <row r="46" spans="2:14" x14ac:dyDescent="0.25">
      <c r="B46" s="104">
        <v>37</v>
      </c>
      <c r="C46" s="64"/>
      <c r="D46" s="64"/>
      <c r="E46" s="64"/>
      <c r="F46" s="64"/>
      <c r="G46" s="64"/>
      <c r="H46" s="64"/>
      <c r="I46" s="64"/>
      <c r="J46" s="64"/>
      <c r="K46" s="64"/>
      <c r="L46" s="64"/>
      <c r="M46" s="64"/>
      <c r="N46" s="105"/>
    </row>
    <row r="47" spans="2:14" x14ac:dyDescent="0.25">
      <c r="B47" s="104">
        <v>38</v>
      </c>
      <c r="C47" s="64"/>
      <c r="D47" s="64"/>
      <c r="E47" s="64"/>
      <c r="F47" s="64"/>
      <c r="G47" s="64"/>
      <c r="H47" s="64"/>
      <c r="I47" s="64"/>
      <c r="J47" s="64"/>
      <c r="K47" s="64"/>
      <c r="L47" s="64"/>
      <c r="M47" s="64"/>
      <c r="N47" s="105"/>
    </row>
    <row r="48" spans="2:14" x14ac:dyDescent="0.25">
      <c r="B48" s="104">
        <v>39</v>
      </c>
      <c r="C48" s="64"/>
      <c r="D48" s="64"/>
      <c r="E48" s="64"/>
      <c r="F48" s="64"/>
      <c r="G48" s="64"/>
      <c r="H48" s="64"/>
      <c r="I48" s="64"/>
      <c r="J48" s="64"/>
      <c r="K48" s="64"/>
      <c r="L48" s="64"/>
      <c r="M48" s="64"/>
      <c r="N48" s="105"/>
    </row>
    <row r="49" spans="2:14" x14ac:dyDescent="0.25">
      <c r="B49" s="104">
        <v>40</v>
      </c>
      <c r="C49" s="64"/>
      <c r="D49" s="64"/>
      <c r="E49" s="64"/>
      <c r="F49" s="64"/>
      <c r="G49" s="64"/>
      <c r="H49" s="64"/>
      <c r="I49" s="64"/>
      <c r="J49" s="64"/>
      <c r="K49" s="64"/>
      <c r="L49" s="64"/>
      <c r="M49" s="64"/>
      <c r="N49" s="105"/>
    </row>
    <row r="50" spans="2:14" x14ac:dyDescent="0.25">
      <c r="B50" s="104">
        <v>41</v>
      </c>
      <c r="C50" s="64"/>
      <c r="D50" s="64"/>
      <c r="E50" s="64"/>
      <c r="F50" s="64"/>
      <c r="G50" s="64"/>
      <c r="H50" s="64"/>
      <c r="I50" s="64"/>
      <c r="J50" s="64"/>
      <c r="K50" s="64"/>
      <c r="L50" s="64"/>
      <c r="M50" s="64"/>
      <c r="N50" s="105"/>
    </row>
    <row r="51" spans="2:14" x14ac:dyDescent="0.25">
      <c r="B51" s="104">
        <v>42</v>
      </c>
      <c r="C51" s="64"/>
      <c r="D51" s="64"/>
      <c r="E51" s="64"/>
      <c r="F51" s="64"/>
      <c r="G51" s="64"/>
      <c r="H51" s="64"/>
      <c r="I51" s="64"/>
      <c r="J51" s="64"/>
      <c r="K51" s="64"/>
      <c r="L51" s="64"/>
      <c r="M51" s="64"/>
      <c r="N51" s="105"/>
    </row>
    <row r="52" spans="2:14" x14ac:dyDescent="0.25">
      <c r="B52" s="104">
        <v>43</v>
      </c>
      <c r="C52" s="64"/>
      <c r="D52" s="64"/>
      <c r="E52" s="64"/>
      <c r="F52" s="64"/>
      <c r="G52" s="64"/>
      <c r="H52" s="64"/>
      <c r="I52" s="64"/>
      <c r="J52" s="64"/>
      <c r="K52" s="64"/>
      <c r="L52" s="64"/>
      <c r="M52" s="64"/>
      <c r="N52" s="105"/>
    </row>
    <row r="53" spans="2:14" x14ac:dyDescent="0.25">
      <c r="B53" s="104">
        <v>44</v>
      </c>
      <c r="C53" s="64"/>
      <c r="D53" s="64"/>
      <c r="E53" s="64"/>
      <c r="F53" s="64"/>
      <c r="G53" s="64"/>
      <c r="H53" s="64"/>
      <c r="I53" s="64"/>
      <c r="J53" s="64"/>
      <c r="K53" s="64"/>
      <c r="L53" s="64"/>
      <c r="M53" s="64"/>
      <c r="N53" s="105"/>
    </row>
    <row r="54" spans="2:14" x14ac:dyDescent="0.25">
      <c r="B54" s="104">
        <v>45</v>
      </c>
      <c r="C54" s="64"/>
      <c r="D54" s="64"/>
      <c r="E54" s="64"/>
      <c r="F54" s="64"/>
      <c r="G54" s="64"/>
      <c r="H54" s="64"/>
      <c r="I54" s="64"/>
      <c r="J54" s="64"/>
      <c r="K54" s="64"/>
      <c r="L54" s="64"/>
      <c r="M54" s="64"/>
      <c r="N54" s="105"/>
    </row>
    <row r="55" spans="2:14" x14ac:dyDescent="0.25">
      <c r="B55" s="104">
        <v>46</v>
      </c>
      <c r="C55" s="64"/>
      <c r="D55" s="64"/>
      <c r="E55" s="64"/>
      <c r="F55" s="64"/>
      <c r="G55" s="64"/>
      <c r="H55" s="64"/>
      <c r="I55" s="64"/>
      <c r="J55" s="64"/>
      <c r="K55" s="64"/>
      <c r="L55" s="64"/>
      <c r="M55" s="64"/>
      <c r="N55" s="105"/>
    </row>
    <row r="56" spans="2:14" x14ac:dyDescent="0.25">
      <c r="B56" s="104">
        <v>47</v>
      </c>
      <c r="C56" s="64"/>
      <c r="D56" s="64"/>
      <c r="E56" s="64"/>
      <c r="F56" s="64"/>
      <c r="G56" s="64"/>
      <c r="H56" s="64"/>
      <c r="I56" s="64"/>
      <c r="J56" s="64"/>
      <c r="K56" s="64"/>
      <c r="L56" s="64"/>
      <c r="M56" s="64"/>
      <c r="N56" s="105"/>
    </row>
    <row r="57" spans="2:14" x14ac:dyDescent="0.25">
      <c r="B57" s="104">
        <v>48</v>
      </c>
      <c r="C57" s="64"/>
      <c r="D57" s="64"/>
      <c r="E57" s="64"/>
      <c r="F57" s="64"/>
      <c r="G57" s="64"/>
      <c r="H57" s="64"/>
      <c r="I57" s="64"/>
      <c r="J57" s="64"/>
      <c r="K57" s="64"/>
      <c r="L57" s="64"/>
      <c r="M57" s="64"/>
      <c r="N57" s="105"/>
    </row>
    <row r="58" spans="2:14" x14ac:dyDescent="0.25">
      <c r="B58" s="104">
        <v>49</v>
      </c>
      <c r="C58" s="64"/>
      <c r="D58" s="64"/>
      <c r="E58" s="64"/>
      <c r="F58" s="64"/>
      <c r="G58" s="64"/>
      <c r="H58" s="64"/>
      <c r="I58" s="64"/>
      <c r="J58" s="64"/>
      <c r="K58" s="64"/>
      <c r="L58" s="64"/>
      <c r="M58" s="64"/>
      <c r="N58" s="105"/>
    </row>
    <row r="59" spans="2:14" x14ac:dyDescent="0.25">
      <c r="B59" s="104">
        <v>50</v>
      </c>
      <c r="C59" s="64"/>
      <c r="D59" s="64"/>
      <c r="E59" s="64"/>
      <c r="F59" s="64"/>
      <c r="G59" s="64"/>
      <c r="H59" s="64"/>
      <c r="I59" s="64"/>
      <c r="J59" s="64"/>
      <c r="K59" s="64"/>
      <c r="L59" s="64"/>
      <c r="M59" s="64"/>
      <c r="N59" s="105"/>
    </row>
  </sheetData>
  <sheetProtection algorithmName="SHA-512" hashValue="GTZqpQqH6RlLT5HIMJO7uATFY/mRT5je+sHYPwaLi4NH5WUYetDonT2x2PUms3SE3dQVDx/V6q+OvnoqMYHrsQ==" saltValue="cHrxOSbWaGBm6iveG0j+Qw==" spinCount="100000" sheet="1" objects="1" scenarios="1"/>
  <protectedRanges>
    <protectedRange sqref="C10:N59" name="Intervalo1"/>
  </protectedRanges>
  <mergeCells count="10">
    <mergeCell ref="B7:B9"/>
    <mergeCell ref="M7:N7"/>
    <mergeCell ref="M8:M9"/>
    <mergeCell ref="N8:N9"/>
    <mergeCell ref="C7:L7"/>
    <mergeCell ref="C8:D8"/>
    <mergeCell ref="E8:F8"/>
    <mergeCell ref="G8:H8"/>
    <mergeCell ref="I8:J8"/>
    <mergeCell ref="K8:L8"/>
  </mergeCells>
  <pageMargins left="0.511811024" right="0.511811024" top="0.78740157499999996" bottom="0.78740157499999996" header="0.31496062000000002" footer="0.31496062000000002"/>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13">
    <tabColor theme="4"/>
  </sheetPr>
  <dimension ref="A1:H62"/>
  <sheetViews>
    <sheetView showGridLines="0" topLeftCell="A4" zoomScale="120" zoomScaleNormal="120" workbookViewId="0">
      <selection activeCell="F17" sqref="F17"/>
    </sheetView>
  </sheetViews>
  <sheetFormatPr defaultColWidth="9.140625" defaultRowHeight="15" x14ac:dyDescent="0.25"/>
  <cols>
    <col min="1" max="1" width="5.7109375" style="93" customWidth="1"/>
    <col min="2" max="3" width="25.7109375" customWidth="1"/>
    <col min="4" max="4" width="12.140625" customWidth="1"/>
    <col min="5" max="5" width="12.42578125" customWidth="1"/>
    <col min="6" max="6" width="24.42578125" customWidth="1"/>
    <col min="7" max="7" width="15.7109375" style="183" customWidth="1"/>
    <col min="8" max="8" width="8.85546875" customWidth="1"/>
    <col min="9" max="16384" width="9.140625" style="11"/>
  </cols>
  <sheetData>
    <row r="1" spans="1:8" ht="20.100000000000001" customHeight="1" x14ac:dyDescent="0.25">
      <c r="G1"/>
    </row>
    <row r="2" spans="1:8" ht="20.100000000000001" customHeight="1" x14ac:dyDescent="0.25">
      <c r="G2"/>
    </row>
    <row r="3" spans="1:8" s="12" customFormat="1" ht="20.100000000000001" customHeight="1" x14ac:dyDescent="0.25">
      <c r="A3" s="100"/>
      <c r="B3" s="10"/>
      <c r="C3" s="10"/>
      <c r="D3" s="10"/>
      <c r="E3" s="10"/>
      <c r="F3" s="10"/>
      <c r="G3" s="10"/>
      <c r="H3" s="10"/>
    </row>
    <row r="4" spans="1:8" x14ac:dyDescent="0.25">
      <c r="G4"/>
    </row>
    <row r="5" spans="1:8" s="24" customFormat="1" ht="18.75" x14ac:dyDescent="0.3">
      <c r="A5" s="101"/>
      <c r="B5" s="23" t="s">
        <v>160</v>
      </c>
      <c r="C5" s="22"/>
      <c r="D5" s="22"/>
      <c r="E5" s="22"/>
      <c r="F5" s="22"/>
      <c r="G5" s="22"/>
      <c r="H5" s="22"/>
    </row>
    <row r="6" spans="1:8" x14ac:dyDescent="0.25">
      <c r="G6"/>
    </row>
    <row r="7" spans="1:8" ht="78.400000000000006" customHeight="1" x14ac:dyDescent="0.25">
      <c r="B7" s="646" t="s">
        <v>10587</v>
      </c>
      <c r="C7" s="647"/>
      <c r="D7" s="648"/>
      <c r="G7"/>
    </row>
    <row r="8" spans="1:8" ht="30" customHeight="1" x14ac:dyDescent="0.25">
      <c r="G8"/>
    </row>
    <row r="9" spans="1:8" ht="30" customHeight="1" x14ac:dyDescent="0.25">
      <c r="B9" s="47" t="s">
        <v>118</v>
      </c>
      <c r="C9" s="132" t="s">
        <v>161</v>
      </c>
      <c r="G9"/>
    </row>
    <row r="10" spans="1:8" ht="30" customHeight="1" x14ac:dyDescent="0.25">
      <c r="B10" s="47" t="s">
        <v>162</v>
      </c>
      <c r="C10" s="135">
        <f>SUM(G13:G17)</f>
        <v>171360</v>
      </c>
      <c r="G10"/>
    </row>
    <row r="11" spans="1:8" x14ac:dyDescent="0.25">
      <c r="G11"/>
    </row>
    <row r="12" spans="1:8" s="17" customFormat="1" ht="45" x14ac:dyDescent="0.25">
      <c r="A12" s="102"/>
      <c r="B12" s="83" t="s">
        <v>145</v>
      </c>
      <c r="C12" s="83" t="s">
        <v>163</v>
      </c>
      <c r="D12" s="83" t="s">
        <v>146</v>
      </c>
      <c r="E12" s="83" t="s">
        <v>148</v>
      </c>
      <c r="F12" s="83" t="s">
        <v>164</v>
      </c>
      <c r="G12" s="83" t="s">
        <v>165</v>
      </c>
      <c r="H12" s="8"/>
    </row>
    <row r="13" spans="1:8" x14ac:dyDescent="0.25">
      <c r="A13" s="93">
        <v>1</v>
      </c>
      <c r="B13" s="81" t="s">
        <v>10825</v>
      </c>
      <c r="C13" s="81" t="s">
        <v>10826</v>
      </c>
      <c r="D13" s="81">
        <v>80</v>
      </c>
      <c r="E13" s="99">
        <v>0.97</v>
      </c>
      <c r="F13" s="81" t="s">
        <v>10827</v>
      </c>
      <c r="G13" s="318">
        <v>171360</v>
      </c>
    </row>
    <row r="14" spans="1:8" x14ac:dyDescent="0.25">
      <c r="A14" s="93">
        <v>2</v>
      </c>
      <c r="B14" s="81"/>
      <c r="C14" s="81"/>
      <c r="D14" s="81"/>
      <c r="E14" s="99"/>
      <c r="F14" s="81"/>
      <c r="G14" s="318"/>
    </row>
    <row r="15" spans="1:8" x14ac:dyDescent="0.25">
      <c r="A15" s="93">
        <v>3</v>
      </c>
      <c r="B15" s="81"/>
      <c r="C15" s="81"/>
      <c r="D15" s="81"/>
      <c r="E15" s="99"/>
      <c r="F15" s="81"/>
      <c r="G15" s="318"/>
    </row>
    <row r="16" spans="1:8" x14ac:dyDescent="0.25">
      <c r="A16" s="93">
        <v>4</v>
      </c>
      <c r="B16" s="80"/>
      <c r="C16" s="80"/>
      <c r="D16" s="80"/>
      <c r="E16" s="80"/>
      <c r="F16" s="80"/>
      <c r="G16" s="319"/>
    </row>
    <row r="17" spans="1:7" x14ac:dyDescent="0.25">
      <c r="A17" s="93">
        <v>5</v>
      </c>
      <c r="B17" s="80"/>
      <c r="C17" s="80"/>
      <c r="D17" s="80"/>
      <c r="E17" s="80"/>
      <c r="F17" s="80"/>
      <c r="G17" s="319"/>
    </row>
    <row r="18" spans="1:7" x14ac:dyDescent="0.25">
      <c r="A18" s="93">
        <v>6</v>
      </c>
      <c r="B18" s="80"/>
      <c r="C18" s="80"/>
      <c r="D18" s="80"/>
      <c r="E18" s="80"/>
      <c r="F18" s="80"/>
      <c r="G18" s="319"/>
    </row>
    <row r="19" spans="1:7" x14ac:dyDescent="0.25">
      <c r="A19" s="93">
        <v>7</v>
      </c>
      <c r="B19" s="80"/>
      <c r="C19" s="80"/>
      <c r="D19" s="80"/>
      <c r="E19" s="80"/>
      <c r="F19" s="80"/>
      <c r="G19" s="319"/>
    </row>
    <row r="20" spans="1:7" x14ac:dyDescent="0.25">
      <c r="A20" s="93">
        <v>8</v>
      </c>
      <c r="B20" s="80"/>
      <c r="C20" s="80"/>
      <c r="D20" s="80"/>
      <c r="E20" s="80"/>
      <c r="F20" s="80"/>
      <c r="G20" s="319"/>
    </row>
    <row r="21" spans="1:7" x14ac:dyDescent="0.25">
      <c r="A21" s="93">
        <v>9</v>
      </c>
      <c r="B21" s="80"/>
      <c r="C21" s="80"/>
      <c r="D21" s="80"/>
      <c r="E21" s="80"/>
      <c r="F21" s="80"/>
      <c r="G21" s="319"/>
    </row>
    <row r="22" spans="1:7" x14ac:dyDescent="0.25">
      <c r="A22" s="93">
        <v>10</v>
      </c>
      <c r="B22" s="80"/>
      <c r="C22" s="80"/>
      <c r="D22" s="80"/>
      <c r="E22" s="80"/>
      <c r="F22" s="80"/>
      <c r="G22" s="319"/>
    </row>
    <row r="23" spans="1:7" x14ac:dyDescent="0.25">
      <c r="A23" s="93">
        <v>11</v>
      </c>
      <c r="B23" s="80"/>
      <c r="C23" s="80"/>
      <c r="D23" s="80"/>
      <c r="E23" s="80"/>
      <c r="F23" s="80"/>
      <c r="G23" s="319"/>
    </row>
    <row r="24" spans="1:7" x14ac:dyDescent="0.25">
      <c r="A24" s="93">
        <v>12</v>
      </c>
      <c r="B24" s="80"/>
      <c r="C24" s="80"/>
      <c r="D24" s="80"/>
      <c r="E24" s="80"/>
      <c r="F24" s="80"/>
      <c r="G24" s="319"/>
    </row>
    <row r="25" spans="1:7" x14ac:dyDescent="0.25">
      <c r="A25" s="93">
        <v>13</v>
      </c>
      <c r="B25" s="80"/>
      <c r="C25" s="80"/>
      <c r="D25" s="80"/>
      <c r="E25" s="80"/>
      <c r="F25" s="80"/>
      <c r="G25" s="319"/>
    </row>
    <row r="26" spans="1:7" x14ac:dyDescent="0.25">
      <c r="A26" s="93">
        <v>14</v>
      </c>
      <c r="B26" s="80"/>
      <c r="C26" s="80"/>
      <c r="D26" s="80"/>
      <c r="E26" s="80"/>
      <c r="F26" s="80"/>
      <c r="G26" s="319"/>
    </row>
    <row r="27" spans="1:7" x14ac:dyDescent="0.25">
      <c r="A27" s="93">
        <v>15</v>
      </c>
      <c r="B27" s="80"/>
      <c r="C27" s="80"/>
      <c r="D27" s="80"/>
      <c r="E27" s="80"/>
      <c r="F27" s="80"/>
      <c r="G27" s="319"/>
    </row>
    <row r="28" spans="1:7" x14ac:dyDescent="0.25">
      <c r="A28" s="93">
        <v>16</v>
      </c>
      <c r="B28" s="80"/>
      <c r="C28" s="80"/>
      <c r="D28" s="80"/>
      <c r="E28" s="80"/>
      <c r="F28" s="80"/>
      <c r="G28" s="319"/>
    </row>
    <row r="29" spans="1:7" x14ac:dyDescent="0.25">
      <c r="A29" s="93">
        <v>17</v>
      </c>
      <c r="B29" s="80"/>
      <c r="C29" s="80"/>
      <c r="D29" s="80"/>
      <c r="E29" s="80"/>
      <c r="F29" s="80"/>
      <c r="G29" s="319"/>
    </row>
    <row r="30" spans="1:7" x14ac:dyDescent="0.25">
      <c r="A30" s="93">
        <v>18</v>
      </c>
      <c r="B30" s="80"/>
      <c r="C30" s="80"/>
      <c r="D30" s="80"/>
      <c r="E30" s="80"/>
      <c r="F30" s="80"/>
      <c r="G30" s="319"/>
    </row>
    <row r="31" spans="1:7" x14ac:dyDescent="0.25">
      <c r="A31" s="93">
        <v>19</v>
      </c>
      <c r="B31" s="80"/>
      <c r="C31" s="80"/>
      <c r="D31" s="80"/>
      <c r="E31" s="80"/>
      <c r="F31" s="80"/>
      <c r="G31" s="319"/>
    </row>
    <row r="32" spans="1:7" x14ac:dyDescent="0.25">
      <c r="A32" s="93">
        <v>20</v>
      </c>
      <c r="B32" s="80"/>
      <c r="C32" s="80"/>
      <c r="D32" s="80"/>
      <c r="E32" s="80"/>
      <c r="F32" s="80"/>
      <c r="G32" s="319"/>
    </row>
    <row r="33" spans="1:7" x14ac:dyDescent="0.25">
      <c r="A33" s="93">
        <v>21</v>
      </c>
      <c r="B33" s="80"/>
      <c r="C33" s="80"/>
      <c r="D33" s="80"/>
      <c r="E33" s="80"/>
      <c r="F33" s="80"/>
      <c r="G33" s="319"/>
    </row>
    <row r="34" spans="1:7" x14ac:dyDescent="0.25">
      <c r="A34" s="93">
        <v>22</v>
      </c>
      <c r="B34" s="80"/>
      <c r="C34" s="80"/>
      <c r="D34" s="80"/>
      <c r="E34" s="80"/>
      <c r="F34" s="80"/>
      <c r="G34" s="319"/>
    </row>
    <row r="35" spans="1:7" x14ac:dyDescent="0.25">
      <c r="A35" s="93">
        <v>23</v>
      </c>
      <c r="B35" s="80"/>
      <c r="C35" s="80"/>
      <c r="D35" s="80"/>
      <c r="E35" s="80"/>
      <c r="F35" s="80"/>
      <c r="G35" s="319"/>
    </row>
    <row r="36" spans="1:7" x14ac:dyDescent="0.25">
      <c r="A36" s="93">
        <v>24</v>
      </c>
      <c r="B36" s="80"/>
      <c r="C36" s="80"/>
      <c r="D36" s="80"/>
      <c r="E36" s="80"/>
      <c r="F36" s="80"/>
      <c r="G36" s="319"/>
    </row>
    <row r="37" spans="1:7" x14ac:dyDescent="0.25">
      <c r="A37" s="93">
        <v>25</v>
      </c>
      <c r="B37" s="80"/>
      <c r="C37" s="80"/>
      <c r="D37" s="80"/>
      <c r="E37" s="80"/>
      <c r="F37" s="80"/>
      <c r="G37" s="319"/>
    </row>
    <row r="38" spans="1:7" x14ac:dyDescent="0.25">
      <c r="A38" s="93">
        <v>26</v>
      </c>
      <c r="B38" s="80"/>
      <c r="C38" s="80"/>
      <c r="D38" s="80"/>
      <c r="E38" s="80"/>
      <c r="F38" s="80"/>
      <c r="G38" s="319"/>
    </row>
    <row r="39" spans="1:7" x14ac:dyDescent="0.25">
      <c r="A39" s="93">
        <v>27</v>
      </c>
      <c r="B39" s="80"/>
      <c r="C39" s="80"/>
      <c r="D39" s="80"/>
      <c r="E39" s="80"/>
      <c r="F39" s="80"/>
      <c r="G39" s="319"/>
    </row>
    <row r="40" spans="1:7" x14ac:dyDescent="0.25">
      <c r="A40" s="93">
        <v>28</v>
      </c>
      <c r="B40" s="80"/>
      <c r="C40" s="80"/>
      <c r="D40" s="80"/>
      <c r="E40" s="80"/>
      <c r="F40" s="80"/>
      <c r="G40" s="319"/>
    </row>
    <row r="41" spans="1:7" x14ac:dyDescent="0.25">
      <c r="A41" s="93">
        <v>29</v>
      </c>
      <c r="B41" s="80"/>
      <c r="C41" s="80"/>
      <c r="D41" s="80"/>
      <c r="E41" s="80"/>
      <c r="F41" s="80"/>
      <c r="G41" s="319"/>
    </row>
    <row r="42" spans="1:7" x14ac:dyDescent="0.25">
      <c r="A42" s="93">
        <v>30</v>
      </c>
      <c r="B42" s="80"/>
      <c r="C42" s="80"/>
      <c r="D42" s="80"/>
      <c r="E42" s="80"/>
      <c r="F42" s="80"/>
      <c r="G42" s="319"/>
    </row>
    <row r="43" spans="1:7" x14ac:dyDescent="0.25">
      <c r="A43" s="93">
        <v>31</v>
      </c>
      <c r="B43" s="80"/>
      <c r="C43" s="80"/>
      <c r="D43" s="80"/>
      <c r="E43" s="80"/>
      <c r="F43" s="80"/>
      <c r="G43" s="319"/>
    </row>
    <row r="44" spans="1:7" x14ac:dyDescent="0.25">
      <c r="A44" s="93">
        <v>32</v>
      </c>
      <c r="B44" s="80"/>
      <c r="C44" s="80"/>
      <c r="D44" s="80"/>
      <c r="E44" s="80"/>
      <c r="F44" s="80"/>
      <c r="G44" s="319"/>
    </row>
    <row r="45" spans="1:7" x14ac:dyDescent="0.25">
      <c r="A45" s="93">
        <v>33</v>
      </c>
      <c r="B45" s="80"/>
      <c r="C45" s="80"/>
      <c r="D45" s="80"/>
      <c r="E45" s="80"/>
      <c r="F45" s="80"/>
      <c r="G45" s="319"/>
    </row>
    <row r="46" spans="1:7" x14ac:dyDescent="0.25">
      <c r="A46" s="93">
        <v>34</v>
      </c>
      <c r="B46" s="80"/>
      <c r="C46" s="80"/>
      <c r="D46" s="80"/>
      <c r="E46" s="80"/>
      <c r="F46" s="80"/>
      <c r="G46" s="319"/>
    </row>
    <row r="47" spans="1:7" x14ac:dyDescent="0.25">
      <c r="A47" s="93">
        <v>35</v>
      </c>
      <c r="B47" s="80"/>
      <c r="C47" s="80"/>
      <c r="D47" s="80"/>
      <c r="E47" s="80"/>
      <c r="F47" s="80"/>
      <c r="G47" s="319"/>
    </row>
    <row r="48" spans="1:7" x14ac:dyDescent="0.25">
      <c r="A48" s="93">
        <v>36</v>
      </c>
      <c r="B48" s="80"/>
      <c r="C48" s="80"/>
      <c r="D48" s="80"/>
      <c r="E48" s="80"/>
      <c r="F48" s="80"/>
      <c r="G48" s="319"/>
    </row>
    <row r="49" spans="1:7" x14ac:dyDescent="0.25">
      <c r="A49" s="93">
        <v>37</v>
      </c>
      <c r="B49" s="80"/>
      <c r="C49" s="80"/>
      <c r="D49" s="80"/>
      <c r="E49" s="80"/>
      <c r="F49" s="80"/>
      <c r="G49" s="319"/>
    </row>
    <row r="50" spans="1:7" x14ac:dyDescent="0.25">
      <c r="A50" s="93">
        <v>38</v>
      </c>
      <c r="B50" s="80"/>
      <c r="C50" s="80"/>
      <c r="D50" s="80"/>
      <c r="E50" s="80"/>
      <c r="F50" s="80"/>
      <c r="G50" s="319"/>
    </row>
    <row r="51" spans="1:7" x14ac:dyDescent="0.25">
      <c r="A51" s="93">
        <v>39</v>
      </c>
      <c r="B51" s="80"/>
      <c r="C51" s="80"/>
      <c r="D51" s="80"/>
      <c r="E51" s="80"/>
      <c r="F51" s="80"/>
      <c r="G51" s="319"/>
    </row>
    <row r="52" spans="1:7" x14ac:dyDescent="0.25">
      <c r="A52" s="93">
        <v>40</v>
      </c>
      <c r="B52" s="80"/>
      <c r="C52" s="80"/>
      <c r="D52" s="80"/>
      <c r="E52" s="80"/>
      <c r="F52" s="80"/>
      <c r="G52" s="319"/>
    </row>
    <row r="53" spans="1:7" x14ac:dyDescent="0.25">
      <c r="A53" s="93">
        <v>41</v>
      </c>
      <c r="B53" s="80"/>
      <c r="C53" s="80"/>
      <c r="D53" s="80"/>
      <c r="E53" s="80"/>
      <c r="F53" s="80"/>
      <c r="G53" s="319"/>
    </row>
    <row r="54" spans="1:7" x14ac:dyDescent="0.25">
      <c r="A54" s="93">
        <v>42</v>
      </c>
      <c r="B54" s="80"/>
      <c r="C54" s="80"/>
      <c r="D54" s="80"/>
      <c r="E54" s="80"/>
      <c r="F54" s="80"/>
      <c r="G54" s="319"/>
    </row>
    <row r="55" spans="1:7" x14ac:dyDescent="0.25">
      <c r="A55" s="93">
        <v>43</v>
      </c>
      <c r="B55" s="80"/>
      <c r="C55" s="80"/>
      <c r="D55" s="80"/>
      <c r="E55" s="80"/>
      <c r="F55" s="80"/>
      <c r="G55" s="319"/>
    </row>
    <row r="56" spans="1:7" x14ac:dyDescent="0.25">
      <c r="A56" s="93">
        <v>44</v>
      </c>
      <c r="B56" s="80"/>
      <c r="C56" s="80"/>
      <c r="D56" s="80"/>
      <c r="E56" s="80"/>
      <c r="F56" s="80"/>
      <c r="G56" s="319"/>
    </row>
    <row r="57" spans="1:7" x14ac:dyDescent="0.25">
      <c r="A57" s="93">
        <v>45</v>
      </c>
      <c r="B57" s="80"/>
      <c r="C57" s="80"/>
      <c r="D57" s="80"/>
      <c r="E57" s="80"/>
      <c r="F57" s="80"/>
      <c r="G57" s="319"/>
    </row>
    <row r="58" spans="1:7" x14ac:dyDescent="0.25">
      <c r="A58" s="93">
        <v>46</v>
      </c>
      <c r="B58" s="80"/>
      <c r="C58" s="80"/>
      <c r="D58" s="80"/>
      <c r="E58" s="80"/>
      <c r="F58" s="80"/>
      <c r="G58" s="319"/>
    </row>
    <row r="59" spans="1:7" x14ac:dyDescent="0.25">
      <c r="A59" s="93">
        <v>47</v>
      </c>
      <c r="B59" s="80"/>
      <c r="C59" s="80"/>
      <c r="D59" s="80"/>
      <c r="E59" s="80"/>
      <c r="F59" s="80"/>
      <c r="G59" s="319"/>
    </row>
    <row r="60" spans="1:7" x14ac:dyDescent="0.25">
      <c r="A60" s="93">
        <v>48</v>
      </c>
      <c r="B60" s="80"/>
      <c r="C60" s="80"/>
      <c r="D60" s="80"/>
      <c r="E60" s="80"/>
      <c r="F60" s="80"/>
      <c r="G60" s="319"/>
    </row>
    <row r="61" spans="1:7" x14ac:dyDescent="0.25">
      <c r="A61" s="93">
        <v>49</v>
      </c>
      <c r="B61" s="80"/>
      <c r="C61" s="80"/>
      <c r="D61" s="80"/>
      <c r="E61" s="80"/>
      <c r="F61" s="80"/>
      <c r="G61" s="319"/>
    </row>
    <row r="62" spans="1:7" x14ac:dyDescent="0.25">
      <c r="A62" s="93">
        <v>50</v>
      </c>
      <c r="B62" s="80"/>
      <c r="C62" s="80"/>
      <c r="D62" s="80"/>
      <c r="E62" s="80"/>
      <c r="F62" s="80"/>
      <c r="G62" s="319"/>
    </row>
  </sheetData>
  <sheetProtection algorithmName="SHA-512" hashValue="MzM5JSDF5pxjOJq4xcvqBmSMVlq+AKKWb8UZBmstlSIY2qBkGPtq1wQw+rejGIWnVk/Xqzl5XE0dYks5MZfs3w==" saltValue="NkcsnpmoaXlIkn8Cz8ux/w==" spinCount="100000" sheet="1" objects="1" scenarios="1"/>
  <protectedRanges>
    <protectedRange sqref="B13:G62" name="Intervalo2"/>
    <protectedRange sqref="C9" name="Intervalo1"/>
  </protectedRanges>
  <mergeCells count="1">
    <mergeCell ref="B7:D7"/>
  </mergeCells>
  <phoneticPr fontId="21" type="noConversion"/>
  <dataValidations count="1">
    <dataValidation type="list" allowBlank="1" showInputMessage="1" showErrorMessage="1" sqref="C9" xr:uid="{00000000-0002-0000-0800-000000000000}">
      <formula1>"Fotovoltaico,Eólico,Outro"</formula1>
    </dataValidation>
  </dataValidations>
  <pageMargins left="0.511811024" right="0.511811024" top="0.78740157499999996" bottom="0.78740157499999996" header="0.31496062000000002" footer="0.31496062000000002"/>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15"/>
  <dimension ref="A1:M94"/>
  <sheetViews>
    <sheetView showGridLines="0" tabSelected="1" zoomScaleNormal="100" workbookViewId="0">
      <pane ySplit="5" topLeftCell="A16" activePane="bottomLeft" state="frozen"/>
      <selection pane="bottomLeft" activeCell="E21" sqref="E21"/>
    </sheetView>
  </sheetViews>
  <sheetFormatPr defaultColWidth="9.140625" defaultRowHeight="15" x14ac:dyDescent="0.25"/>
  <cols>
    <col min="1" max="1" width="5.7109375" style="11" customWidth="1"/>
    <col min="2" max="2" width="45.42578125" style="11" customWidth="1"/>
    <col min="3" max="7" width="15.7109375" style="11" customWidth="1"/>
    <col min="8" max="8" width="5.140625" style="11" customWidth="1"/>
    <col min="9" max="9" width="24" style="11" bestFit="1" customWidth="1"/>
    <col min="10" max="11" width="15.7109375" style="11" customWidth="1"/>
    <col min="12" max="12" width="13" style="11" customWidth="1"/>
    <col min="13" max="13" width="5.7109375" style="11" customWidth="1"/>
    <col min="14" max="16384" width="9.140625" style="11"/>
  </cols>
  <sheetData>
    <row r="1" spans="1:13" ht="20.100000000000001" customHeight="1" x14ac:dyDescent="0.25">
      <c r="A1"/>
      <c r="B1"/>
      <c r="C1"/>
      <c r="D1" s="29"/>
      <c r="E1" s="30"/>
      <c r="F1" s="30"/>
      <c r="G1" s="30"/>
      <c r="H1"/>
      <c r="I1"/>
      <c r="J1"/>
      <c r="K1"/>
      <c r="L1"/>
      <c r="M1"/>
    </row>
    <row r="2" spans="1:13" ht="20.100000000000001" customHeight="1" x14ac:dyDescent="0.25">
      <c r="A2"/>
      <c r="B2"/>
      <c r="C2" s="29"/>
      <c r="D2"/>
      <c r="E2"/>
      <c r="F2" s="657" t="s">
        <v>10661</v>
      </c>
      <c r="G2" s="657"/>
      <c r="H2" s="657"/>
      <c r="I2" s="657"/>
      <c r="J2" s="657"/>
      <c r="K2"/>
      <c r="L2"/>
      <c r="M2"/>
    </row>
    <row r="3" spans="1:13" s="12" customFormat="1" ht="20.100000000000001" customHeight="1" x14ac:dyDescent="0.25">
      <c r="A3" s="10"/>
      <c r="B3" s="10"/>
      <c r="C3" s="10"/>
      <c r="D3" s="10"/>
      <c r="E3" s="10"/>
      <c r="F3" s="10"/>
      <c r="G3" s="10"/>
      <c r="H3" s="10"/>
      <c r="I3" s="10"/>
      <c r="J3" s="10"/>
      <c r="K3" s="10"/>
      <c r="L3" s="10"/>
      <c r="M3" s="10"/>
    </row>
    <row r="4" spans="1:13" x14ac:dyDescent="0.25">
      <c r="A4"/>
      <c r="B4"/>
      <c r="C4"/>
      <c r="D4"/>
      <c r="E4"/>
      <c r="F4"/>
      <c r="G4"/>
      <c r="H4"/>
      <c r="I4"/>
      <c r="J4"/>
      <c r="K4"/>
      <c r="L4"/>
      <c r="M4"/>
    </row>
    <row r="5" spans="1:13" ht="18.75" x14ac:dyDescent="0.3">
      <c r="A5" s="22"/>
      <c r="B5" s="23" t="s">
        <v>169</v>
      </c>
      <c r="C5" s="22"/>
      <c r="D5" s="22"/>
      <c r="E5" s="22"/>
      <c r="F5" s="22"/>
      <c r="G5" s="22"/>
      <c r="H5" s="22"/>
      <c r="I5" s="22"/>
      <c r="J5" s="22"/>
      <c r="K5" s="22"/>
      <c r="L5" s="22"/>
      <c r="M5" s="22"/>
    </row>
    <row r="6" spans="1:13" ht="15" customHeight="1" x14ac:dyDescent="0.25">
      <c r="A6"/>
      <c r="B6"/>
      <c r="C6"/>
      <c r="D6"/>
      <c r="E6"/>
      <c r="F6"/>
      <c r="G6"/>
      <c r="H6"/>
      <c r="I6"/>
      <c r="J6"/>
      <c r="K6"/>
      <c r="L6"/>
      <c r="M6"/>
    </row>
    <row r="7" spans="1:13" ht="15" customHeight="1" x14ac:dyDescent="0.35">
      <c r="A7"/>
      <c r="B7" s="448" t="s">
        <v>10555</v>
      </c>
      <c r="C7" s="10"/>
      <c r="D7" s="10"/>
      <c r="E7" s="446"/>
      <c r="F7" s="10"/>
      <c r="G7" s="10"/>
      <c r="H7"/>
      <c r="I7"/>
      <c r="J7"/>
      <c r="K7"/>
      <c r="L7"/>
      <c r="M7"/>
    </row>
    <row r="8" spans="1:13" ht="15" customHeight="1" x14ac:dyDescent="0.25">
      <c r="A8"/>
      <c r="B8"/>
      <c r="C8"/>
      <c r="D8"/>
      <c r="E8"/>
      <c r="F8"/>
      <c r="G8"/>
      <c r="H8"/>
      <c r="I8"/>
      <c r="J8"/>
      <c r="K8"/>
      <c r="L8"/>
      <c r="M8"/>
    </row>
    <row r="9" spans="1:13" ht="24.95" customHeight="1" x14ac:dyDescent="0.25">
      <c r="A9"/>
      <c r="B9" s="85" t="s">
        <v>170</v>
      </c>
      <c r="C9" s="53">
        <f>SUM(Aux_Lista!CB:CB)</f>
        <v>0.42</v>
      </c>
      <c r="D9"/>
      <c r="E9"/>
      <c r="F9"/>
      <c r="G9"/>
      <c r="H9"/>
      <c r="I9"/>
      <c r="J9"/>
      <c r="K9"/>
      <c r="L9"/>
      <c r="M9"/>
    </row>
    <row r="10" spans="1:13" ht="5.0999999999999996" customHeight="1" x14ac:dyDescent="0.25">
      <c r="A10"/>
      <c r="B10"/>
      <c r="C10"/>
      <c r="D10"/>
      <c r="E10"/>
      <c r="F10"/>
      <c r="G10"/>
      <c r="H10"/>
      <c r="I10"/>
      <c r="J10"/>
      <c r="K10"/>
      <c r="L10"/>
      <c r="M10"/>
    </row>
    <row r="11" spans="1:13" ht="24.95" customHeight="1" x14ac:dyDescent="0.25">
      <c r="A11"/>
      <c r="B11" s="85" t="s">
        <v>171</v>
      </c>
      <c r="C11" s="167">
        <f>C9/3</f>
        <v>0.13999999999999999</v>
      </c>
      <c r="D11"/>
      <c r="E11"/>
      <c r="F11"/>
      <c r="G11"/>
      <c r="H11"/>
      <c r="I11"/>
      <c r="J11"/>
      <c r="K11"/>
      <c r="L11"/>
      <c r="M11"/>
    </row>
    <row r="12" spans="1:13" x14ac:dyDescent="0.25">
      <c r="A12"/>
      <c r="B12" s="4"/>
      <c r="C12"/>
      <c r="D12"/>
      <c r="E12"/>
      <c r="F12"/>
      <c r="G12"/>
      <c r="H12"/>
      <c r="I12"/>
      <c r="J12"/>
      <c r="K12"/>
      <c r="L12"/>
      <c r="M12"/>
    </row>
    <row r="13" spans="1:13" ht="24.95" customHeight="1" x14ac:dyDescent="0.25">
      <c r="A13"/>
      <c r="B13" s="32"/>
      <c r="C13" s="71" t="s">
        <v>43</v>
      </c>
      <c r="D13" s="72" t="s">
        <v>44</v>
      </c>
      <c r="E13" s="73" t="s">
        <v>45</v>
      </c>
      <c r="F13" s="74" t="s">
        <v>46</v>
      </c>
      <c r="G13" s="75" t="s">
        <v>47</v>
      </c>
      <c r="H13"/>
      <c r="I13"/>
      <c r="J13"/>
      <c r="K13"/>
      <c r="L13"/>
      <c r="M13"/>
    </row>
    <row r="14" spans="1:13" ht="24.95" customHeight="1" x14ac:dyDescent="0.25">
      <c r="A14"/>
      <c r="B14" s="47" t="s">
        <v>49</v>
      </c>
      <c r="C14" s="53" t="s">
        <v>50</v>
      </c>
      <c r="D14" s="53">
        <f>C15</f>
        <v>0.41999999999999993</v>
      </c>
      <c r="E14" s="53">
        <f>D15</f>
        <v>0.27999999999999997</v>
      </c>
      <c r="F14" s="53">
        <f>E15</f>
        <v>0.13999999999999999</v>
      </c>
      <c r="G14" s="53">
        <f>F15</f>
        <v>0</v>
      </c>
      <c r="H14"/>
      <c r="I14"/>
      <c r="J14"/>
      <c r="K14"/>
      <c r="L14"/>
      <c r="M14"/>
    </row>
    <row r="15" spans="1:13" ht="24.95" customHeight="1" x14ac:dyDescent="0.25">
      <c r="A15"/>
      <c r="B15" s="47" t="s">
        <v>52</v>
      </c>
      <c r="C15" s="53">
        <f>C11*3</f>
        <v>0.41999999999999993</v>
      </c>
      <c r="D15" s="53">
        <f>C11*2</f>
        <v>0.27999999999999997</v>
      </c>
      <c r="E15" s="53">
        <f>C11</f>
        <v>0.13999999999999999</v>
      </c>
      <c r="F15" s="53">
        <v>0</v>
      </c>
      <c r="G15" s="53" t="s">
        <v>50</v>
      </c>
      <c r="H15"/>
      <c r="I15"/>
      <c r="J15"/>
      <c r="K15"/>
      <c r="L15"/>
      <c r="M15"/>
    </row>
    <row r="16" spans="1:13" ht="24.95" customHeight="1" x14ac:dyDescent="0.25">
      <c r="A16"/>
      <c r="B16"/>
      <c r="C16"/>
      <c r="D16"/>
      <c r="E16"/>
      <c r="F16"/>
      <c r="G16"/>
      <c r="H16"/>
      <c r="I16"/>
      <c r="J16"/>
      <c r="K16"/>
      <c r="L16"/>
      <c r="M16"/>
    </row>
    <row r="17" spans="1:13" ht="24.95" customHeight="1" x14ac:dyDescent="0.45">
      <c r="A17"/>
      <c r="B17" s="448" t="s">
        <v>5969</v>
      </c>
      <c r="C17" s="10"/>
      <c r="D17" s="10"/>
      <c r="E17" s="446"/>
      <c r="F17" s="10"/>
      <c r="G17"/>
      <c r="H17"/>
      <c r="I17" s="448" t="s">
        <v>10557</v>
      </c>
      <c r="J17" s="10"/>
      <c r="K17" s="10"/>
      <c r="L17" s="446"/>
      <c r="M17" s="32"/>
    </row>
    <row r="18" spans="1:13" ht="24.95" customHeight="1" x14ac:dyDescent="0.3">
      <c r="A18"/>
      <c r="B18" s="151"/>
      <c r="C18"/>
      <c r="D18"/>
      <c r="E18" s="183"/>
      <c r="F18"/>
      <c r="G18"/>
      <c r="H18"/>
      <c r="I18" s="151"/>
      <c r="J18" s="151"/>
      <c r="K18" s="151"/>
      <c r="L18" s="151"/>
      <c r="M18" s="151"/>
    </row>
    <row r="19" spans="1:13" ht="48" x14ac:dyDescent="0.25">
      <c r="A19"/>
      <c r="B19" s="173" t="s">
        <v>145</v>
      </c>
      <c r="C19" s="174" t="s">
        <v>172</v>
      </c>
      <c r="D19" s="174" t="s">
        <v>173</v>
      </c>
      <c r="E19" s="175" t="s">
        <v>174</v>
      </c>
      <c r="F19" s="174" t="s">
        <v>175</v>
      </c>
      <c r="G19" s="9"/>
      <c r="H19" s="9"/>
      <c r="I19" s="173" t="s">
        <v>145</v>
      </c>
      <c r="J19" s="174" t="s">
        <v>176</v>
      </c>
      <c r="K19" s="175" t="s">
        <v>177</v>
      </c>
      <c r="L19" s="176" t="s">
        <v>174</v>
      </c>
      <c r="M19" s="32"/>
    </row>
    <row r="20" spans="1:13" s="313" customFormat="1" x14ac:dyDescent="0.25">
      <c r="A20" s="311"/>
      <c r="B20" s="662" t="s">
        <v>5967</v>
      </c>
      <c r="C20" s="663"/>
      <c r="D20" s="663"/>
      <c r="E20" s="663"/>
      <c r="F20" s="664"/>
      <c r="G20" s="9"/>
      <c r="H20" s="9"/>
      <c r="I20" s="662"/>
      <c r="J20" s="663"/>
      <c r="K20" s="663"/>
      <c r="L20" s="663"/>
      <c r="M20" s="312"/>
    </row>
    <row r="21" spans="1:13" ht="24.95" customHeight="1" x14ac:dyDescent="0.25">
      <c r="A21"/>
      <c r="B21" s="177" t="s">
        <v>167</v>
      </c>
      <c r="C21" s="461">
        <f>Envoltória!C10</f>
        <v>361505.55</v>
      </c>
      <c r="D21" s="461">
        <f>Envoltória!C11</f>
        <v>260499.66459999993</v>
      </c>
      <c r="E21" s="134">
        <f>Envoltória!C12</f>
        <v>0.27940341552155995</v>
      </c>
      <c r="F21" s="84" t="str">
        <f>Envoltória!Y10</f>
        <v>B</v>
      </c>
      <c r="G21" s="9"/>
      <c r="H21" s="9"/>
      <c r="I21" s="177" t="s">
        <v>167</v>
      </c>
      <c r="J21" s="133" t="s">
        <v>50</v>
      </c>
      <c r="K21" s="134" t="s">
        <v>50</v>
      </c>
      <c r="L21" s="178" t="s">
        <v>50</v>
      </c>
      <c r="M21" s="32"/>
    </row>
    <row r="22" spans="1:13" s="313" customFormat="1" ht="15" customHeight="1" x14ac:dyDescent="0.25">
      <c r="A22" s="311"/>
      <c r="B22" s="662" t="s">
        <v>5968</v>
      </c>
      <c r="C22" s="663"/>
      <c r="D22" s="663"/>
      <c r="E22" s="663"/>
      <c r="F22" s="664"/>
      <c r="G22" s="9"/>
      <c r="H22" s="9"/>
      <c r="I22" s="662"/>
      <c r="J22" s="663"/>
      <c r="K22" s="663"/>
      <c r="L22" s="663"/>
      <c r="M22" s="312"/>
    </row>
    <row r="23" spans="1:13" ht="24.95" customHeight="1" x14ac:dyDescent="0.25">
      <c r="A23"/>
      <c r="B23" s="177" t="s">
        <v>168</v>
      </c>
      <c r="C23" s="461">
        <f>IF(Início!C33="Não avalia",0,CondicionamentoDeAr!C9*Aux_Lista!AS2)</f>
        <v>189620.13925925925</v>
      </c>
      <c r="D23" s="461">
        <f>IF(Início!C33="Não avalia",0,CondicionamentoDeAr!C10*Aux_Lista!AS2)</f>
        <v>89491.283610841885</v>
      </c>
      <c r="E23" s="134">
        <f>IF(Início!C33="Não avalia","",CondicionamentoDeAr!C11)</f>
        <v>0.52804968944525243</v>
      </c>
      <c r="F23" s="84" t="str">
        <f>IF(Início!C33="Não avalia","",IF(AND(CondicionamentoDeAr!C12="A",ElegibilidadeClassificaçãoA!$C$34="Não"),"B",CondicionamentoDeAr!C12))</f>
        <v>A</v>
      </c>
      <c r="G23" s="9"/>
      <c r="H23" s="9"/>
      <c r="I23" s="177" t="s">
        <v>168</v>
      </c>
      <c r="J23" s="461">
        <f>C23*Aux_Lista!$AZ$2</f>
        <v>17065.81253333333</v>
      </c>
      <c r="K23" s="461">
        <f>D23*Aux_Lista!AZ2</f>
        <v>8054.2155249757698</v>
      </c>
      <c r="L23" s="178">
        <f>IFERROR((1-K23/J23),"")</f>
        <v>0.52804968944525243</v>
      </c>
      <c r="M23" s="32"/>
    </row>
    <row r="24" spans="1:13" ht="24.95" customHeight="1" x14ac:dyDescent="0.25">
      <c r="A24"/>
      <c r="B24" s="177" t="s">
        <v>178</v>
      </c>
      <c r="C24" s="461">
        <f>IF(Início!C31="Não avalia",0,Iluminação!C10*Aux_Lista!AS2)</f>
        <v>109994.82623999999</v>
      </c>
      <c r="D24" s="461">
        <f>IF(Início!C31="Não avalia",0,Iluminação!C11*Aux_Lista!AS2)</f>
        <v>103617.6128</v>
      </c>
      <c r="E24" s="134">
        <f>IF(Início!C31="Não avalia","",Iluminação!C12)</f>
        <v>5.7977394555680503E-2</v>
      </c>
      <c r="F24" s="84" t="str">
        <f>IF(Início!C31="Não avalia","",IF(AND(Iluminação!C13="A",ElegibilidadeClassificaçãoA!F15="Não"),"B",Iluminação!C13))</f>
        <v>D</v>
      </c>
      <c r="G24" s="9"/>
      <c r="H24" s="9"/>
      <c r="I24" s="177" t="s">
        <v>178</v>
      </c>
      <c r="J24" s="461">
        <f>C24*Aux_Lista!$AZ$2</f>
        <v>9899.5343615999991</v>
      </c>
      <c r="K24" s="461">
        <f>D24*Aux_Lista!AZ2</f>
        <v>9325.5851519999997</v>
      </c>
      <c r="L24" s="178">
        <f>IFERROR((1-K24/J24),"")</f>
        <v>5.7977394555680517E-2</v>
      </c>
      <c r="M24" s="32"/>
    </row>
    <row r="25" spans="1:13" ht="24.95" customHeight="1" x14ac:dyDescent="0.25">
      <c r="A25" s="439" t="str">
        <f>IF(ISERROR(C25),"Conferir a cidade na aba Aquecimento de água!","")</f>
        <v/>
      </c>
      <c r="B25" s="177" t="s">
        <v>10624</v>
      </c>
      <c r="C25" s="461">
        <f>IF(OR(Início!C35="Não avalia",Início!C35="Não aplicável a esta tipologia"),0,AquecimentoÁgua!C9)</f>
        <v>0</v>
      </c>
      <c r="D25" s="461">
        <f>IF(OR(Início!C35="Não avalia",Início!C35="Não aplicável a esta tipologia"),0,AquecimentoÁgua!C10)</f>
        <v>0</v>
      </c>
      <c r="E25" s="134" t="str">
        <f>IF(OR(Início!C35="Não avalia",Início!C35="Não aplicável a esta tipologia"),"",AquecimentoÁgua!C11)</f>
        <v/>
      </c>
      <c r="F25" s="84" t="str">
        <f>IF(OR(Início!C35="Não avalia",Início!C35="Não aplicável a esta tipologia"),"",IF(AND(AquecimentoÁgua!N8="A",ElegibilidadeClassificaçãoA!I15="Não"),"B",AquecimentoÁgua!N8))</f>
        <v/>
      </c>
      <c r="G25" s="9"/>
      <c r="H25" s="9"/>
      <c r="I25" s="177" t="s">
        <v>10624</v>
      </c>
      <c r="J25" s="461">
        <f>IF(C25=0,0,AquecimentoÁgua!C12)</f>
        <v>0</v>
      </c>
      <c r="K25" s="461">
        <f>IF(D25=0,0,AquecimentoÁgua!C13)</f>
        <v>0</v>
      </c>
      <c r="L25" s="178" t="str">
        <f>IFERROR((1-K25/J25),"")</f>
        <v/>
      </c>
      <c r="M25" s="32"/>
    </row>
    <row r="26" spans="1:13" ht="24.95" customHeight="1" x14ac:dyDescent="0.25">
      <c r="A26"/>
      <c r="B26" s="177" t="s">
        <v>166</v>
      </c>
      <c r="C26" s="461">
        <f>F88*F68*VLOOKUP(Início!C20,Aux_Lista!A1:L12,11,FALSE)*VLOOKUP(Início!C20,Aux_Lista!A1:L12,12,FALSE)*Aux_Lista!AS2/1000</f>
        <v>95397.119999999995</v>
      </c>
      <c r="D26" s="461">
        <f>C26</f>
        <v>95397.119999999995</v>
      </c>
      <c r="E26" s="134" t="s">
        <v>50</v>
      </c>
      <c r="F26" s="134" t="s">
        <v>50</v>
      </c>
      <c r="G26" s="9"/>
      <c r="H26" s="9"/>
      <c r="I26" s="177" t="s">
        <v>166</v>
      </c>
      <c r="J26" s="461">
        <f>C26*Aux_Lista!$AZ$2</f>
        <v>8585.7407999999996</v>
      </c>
      <c r="K26" s="461">
        <f>D26*Aux_Lista!AZ2</f>
        <v>8585.7407999999996</v>
      </c>
      <c r="L26" s="178" t="s">
        <v>50</v>
      </c>
      <c r="M26" s="32"/>
    </row>
    <row r="27" spans="1:13" ht="24.95" customHeight="1" thickBot="1" x14ac:dyDescent="0.3">
      <c r="A27"/>
      <c r="B27" s="239" t="s">
        <v>10625</v>
      </c>
      <c r="C27" s="462">
        <v>0</v>
      </c>
      <c r="D27" s="463">
        <f>-Opc_Geração!C10*1.6</f>
        <v>-274176</v>
      </c>
      <c r="E27" s="136" t="s">
        <v>50</v>
      </c>
      <c r="F27" s="136" t="s">
        <v>50</v>
      </c>
      <c r="G27" s="9"/>
      <c r="H27" s="9"/>
      <c r="I27" s="177" t="s">
        <v>10625</v>
      </c>
      <c r="J27" s="335" t="s">
        <v>50</v>
      </c>
      <c r="K27" s="461">
        <f>D27*Aux_Lista!AZ3</f>
        <v>-206454.52799999999</v>
      </c>
      <c r="L27" s="178" t="s">
        <v>50</v>
      </c>
      <c r="M27" s="32"/>
    </row>
    <row r="28" spans="1:13" ht="50.1" customHeight="1" thickBot="1" x14ac:dyDescent="0.3">
      <c r="A28"/>
      <c r="B28" s="314" t="s">
        <v>5863</v>
      </c>
      <c r="C28" s="464">
        <f>IF(Início!$C$35="Não aplicável a esta tipologia",SUM(C23:C25),IF(OR(C23=0,C24=0,C25=0),0,SUM(C23:C25)))</f>
        <v>299614.96549925924</v>
      </c>
      <c r="D28" s="464">
        <f>IF(Início!$C$35="Não aplicável a esta tipologia",SUM(D23:D25)+D27,IF(OR(D23=0,D24=0,D25=0),0,SUM(D23:D25)+D27))</f>
        <v>-81067.103589158098</v>
      </c>
      <c r="E28" s="242">
        <f>IFERROR((C28-D28)/C28,"")</f>
        <v>1.2705709424563392</v>
      </c>
      <c r="F28" s="241" t="str">
        <f>IF(OR(Início!C22="Parcela da edificação",Início!C31="Não avalia",Início!C33="Não avalia",Início!C35="Não avalia"),"",IF(E28&gt;=C15,C13,IF(E28&gt;=D15,D13,IF(E28&gt;=E15,E13,IF(E28&gt;=F15,F13,G13)))))</f>
        <v>A</v>
      </c>
      <c r="G28" s="9"/>
      <c r="H28" s="9"/>
      <c r="I28" s="180" t="s">
        <v>5865</v>
      </c>
      <c r="J28" s="466">
        <f>IF(OR(J23=0,J24=0,J25=0),0,SUM(J23:J25))</f>
        <v>0</v>
      </c>
      <c r="K28" s="466">
        <f>IF(OR(K23=0,K24=0,K25=0),0,SUM(K23:K25)+K27)</f>
        <v>0</v>
      </c>
      <c r="L28" s="179" t="str">
        <f>IFERROR((J28-K28)/J28,"")</f>
        <v/>
      </c>
      <c r="M28" s="32"/>
    </row>
    <row r="29" spans="1:13" ht="50.1" customHeight="1" thickBot="1" x14ac:dyDescent="0.3">
      <c r="A29"/>
      <c r="B29" s="315" t="s">
        <v>5864</v>
      </c>
      <c r="C29" s="465">
        <f>IF(Início!$C$35="Não aplicável a esta tipologia",SUM(C23:C25),IF(OR(C23=0,C24=0,C25=0),0,SUM(C23:C25)))</f>
        <v>299614.96549925924</v>
      </c>
      <c r="D29" s="465">
        <f>IF(Início!$C$35="Não aplicável a esta tipologia",SUM(D23:D25),IF(OR(D23=0,D24=0,D25=0),0,SUM(D23:D25)))</f>
        <v>193108.8964108419</v>
      </c>
      <c r="E29" s="240">
        <f>IFERROR((C29-D29)/C29,"")</f>
        <v>0.35547646597339499</v>
      </c>
      <c r="F29" s="243" t="str">
        <f>IF(OR(Início!C22="Parcela da edificação",Início!C31="Não avalia",Início!C33="Não avalia",Início!C35="Não avalia"),"",IF(E29&gt;=C15,C13,IF(E29&gt;=D15,D13,IF(E29&gt;=E15,E13,IF(E29&gt;=F15,F13,G13)))))</f>
        <v>B</v>
      </c>
      <c r="G29" s="9"/>
      <c r="H29" s="9"/>
      <c r="I29" s="180" t="s">
        <v>5866</v>
      </c>
      <c r="J29" s="465">
        <f>IF(OR(J23=0,J24=0,J25=0),0,SUM(J23:J25))</f>
        <v>0</v>
      </c>
      <c r="K29" s="465">
        <f>IF(OR(K23=0,K24=0,K25=0),0,SUM(K23:K25))</f>
        <v>0</v>
      </c>
      <c r="L29" s="179" t="str">
        <f>IFERROR((J29-K29)/J29,"")</f>
        <v/>
      </c>
      <c r="M29" s="32"/>
    </row>
    <row r="30" spans="1:13" ht="24.95" customHeight="1" x14ac:dyDescent="0.25">
      <c r="A30"/>
      <c r="B30"/>
      <c r="C30" s="55"/>
      <c r="D30" s="55"/>
      <c r="E30" s="183"/>
      <c r="F30"/>
      <c r="G30" s="9"/>
      <c r="H30" s="9"/>
      <c r="I30" s="32"/>
      <c r="J30" s="32"/>
      <c r="K30" s="32"/>
      <c r="L30" s="32"/>
      <c r="M30" s="32"/>
    </row>
    <row r="31" spans="1:13" ht="30" x14ac:dyDescent="0.25">
      <c r="A31"/>
      <c r="B31"/>
      <c r="C31" s="235" t="s">
        <v>5856</v>
      </c>
      <c r="D31" s="235" t="s">
        <v>5857</v>
      </c>
      <c r="E31" s="183"/>
      <c r="F31"/>
      <c r="G31"/>
      <c r="H31"/>
      <c r="I31" s="32"/>
      <c r="J31" s="32"/>
      <c r="K31" s="32"/>
      <c r="L31" s="32"/>
      <c r="M31" s="32"/>
    </row>
    <row r="32" spans="1:13" ht="39.950000000000003" customHeight="1" x14ac:dyDescent="0.25">
      <c r="A32"/>
      <c r="B32" s="237" t="s">
        <v>5858</v>
      </c>
      <c r="C32" s="236">
        <f>C28+C26</f>
        <v>395012.08549925924</v>
      </c>
      <c r="D32" s="236">
        <f>D28+D26</f>
        <v>14330.016410841898</v>
      </c>
      <c r="E32" s="665" t="str">
        <f>IF(F28="","",IF(-D27&gt;=(D29),"Esta Edificação é Energia Positiva!",IF(-D27&gt;=D29/2,"Esta Edificação é NZEB!","")))</f>
        <v>Esta Edificação é Energia Positiva!</v>
      </c>
      <c r="F32" s="665"/>
      <c r="G32" s="665"/>
      <c r="H32" s="665"/>
      <c r="I32" s="32"/>
      <c r="J32" s="32"/>
      <c r="K32" s="32"/>
      <c r="L32" s="32"/>
      <c r="M32" s="32"/>
    </row>
    <row r="33" spans="1:13" ht="24.95" customHeight="1" x14ac:dyDescent="0.25">
      <c r="A33"/>
      <c r="B33"/>
      <c r="C33" s="55"/>
      <c r="D33" s="55"/>
      <c r="E33"/>
      <c r="F33"/>
      <c r="G33"/>
      <c r="H33"/>
      <c r="I33" s="32"/>
      <c r="J33" s="32"/>
      <c r="K33" s="32"/>
      <c r="L33" s="32"/>
      <c r="M33" s="32"/>
    </row>
    <row r="34" spans="1:13" ht="24.95" customHeight="1" x14ac:dyDescent="0.35">
      <c r="A34"/>
      <c r="B34" s="448" t="s">
        <v>10556</v>
      </c>
      <c r="C34" s="10"/>
      <c r="D34" s="10"/>
      <c r="E34" s="446"/>
      <c r="F34" s="10"/>
      <c r="G34" s="10"/>
      <c r="H34" s="10"/>
      <c r="I34" s="10"/>
      <c r="J34" s="10"/>
      <c r="K34" s="10"/>
      <c r="L34" s="10"/>
      <c r="M34" s="32"/>
    </row>
    <row r="35" spans="1:13" x14ac:dyDescent="0.25">
      <c r="A35" s="32"/>
      <c r="B35" s="32"/>
      <c r="C35" s="32"/>
      <c r="D35" s="32"/>
      <c r="E35" s="32"/>
      <c r="F35" s="32"/>
      <c r="G35" s="32"/>
      <c r="H35" s="32"/>
      <c r="I35" s="32"/>
      <c r="J35" s="32"/>
      <c r="K35" s="32"/>
      <c r="L35" s="32"/>
      <c r="M35" s="32"/>
    </row>
    <row r="36" spans="1:13" x14ac:dyDescent="0.25">
      <c r="A36" s="32"/>
      <c r="B36" s="32"/>
      <c r="C36" s="32"/>
      <c r="D36" s="32"/>
      <c r="E36" s="32"/>
      <c r="F36" s="32"/>
      <c r="G36" s="32"/>
      <c r="H36" s="32"/>
      <c r="I36" s="32"/>
      <c r="J36" s="32"/>
      <c r="K36" s="32"/>
      <c r="L36" s="32"/>
      <c r="M36" s="32"/>
    </row>
    <row r="37" spans="1:13" x14ac:dyDescent="0.25">
      <c r="A37" s="32"/>
      <c r="B37" s="32"/>
      <c r="C37" s="32"/>
      <c r="D37" s="32"/>
      <c r="E37" s="32"/>
      <c r="F37" s="32"/>
      <c r="G37" s="32"/>
      <c r="H37" s="32"/>
      <c r="I37" s="32"/>
      <c r="J37" s="32"/>
      <c r="K37" s="32"/>
      <c r="L37" s="32"/>
      <c r="M37" s="32"/>
    </row>
    <row r="38" spans="1:13" x14ac:dyDescent="0.25">
      <c r="A38" s="32"/>
      <c r="B38" s="32"/>
      <c r="C38" s="32"/>
      <c r="D38" s="32"/>
      <c r="E38" s="32"/>
      <c r="F38" s="32"/>
      <c r="G38" s="32"/>
      <c r="H38" s="32"/>
      <c r="I38" s="32"/>
      <c r="J38" s="32"/>
      <c r="K38" s="32"/>
      <c r="L38" s="32"/>
      <c r="M38" s="32"/>
    </row>
    <row r="39" spans="1:13" x14ac:dyDescent="0.25">
      <c r="A39" s="32"/>
      <c r="B39" s="32"/>
      <c r="C39" s="32"/>
      <c r="D39" s="32"/>
      <c r="E39" s="32"/>
      <c r="F39" s="32"/>
      <c r="G39" s="32"/>
      <c r="H39" s="32"/>
      <c r="I39" s="32"/>
      <c r="J39" s="32"/>
      <c r="K39" s="32"/>
      <c r="L39" s="32"/>
      <c r="M39" s="32"/>
    </row>
    <row r="40" spans="1:13" x14ac:dyDescent="0.25">
      <c r="A40" s="32"/>
      <c r="B40" s="32"/>
      <c r="C40" s="32"/>
      <c r="D40" s="32"/>
      <c r="E40" s="32"/>
      <c r="F40" s="32"/>
      <c r="G40" s="32"/>
      <c r="H40" s="32"/>
      <c r="I40" s="32"/>
      <c r="J40" s="32"/>
      <c r="K40" s="32"/>
      <c r="L40" s="32"/>
      <c r="M40" s="32"/>
    </row>
    <row r="41" spans="1:13" x14ac:dyDescent="0.25">
      <c r="A41" s="32"/>
      <c r="B41" s="32"/>
      <c r="C41" s="32"/>
      <c r="D41" s="32"/>
      <c r="E41" s="32"/>
      <c r="F41" s="32"/>
      <c r="G41" s="32"/>
      <c r="H41" s="32"/>
      <c r="I41" s="32"/>
      <c r="J41" s="32"/>
      <c r="K41" s="32"/>
      <c r="L41" s="32"/>
      <c r="M41" s="32"/>
    </row>
    <row r="42" spans="1:13" x14ac:dyDescent="0.25">
      <c r="A42" s="32"/>
      <c r="B42" s="32"/>
      <c r="C42" s="32"/>
      <c r="D42" s="32"/>
      <c r="E42" s="32"/>
      <c r="F42" s="32"/>
      <c r="G42" s="32"/>
      <c r="H42" s="32"/>
      <c r="I42" s="32"/>
      <c r="J42" s="32"/>
      <c r="K42" s="32"/>
      <c r="L42" s="32"/>
      <c r="M42" s="32"/>
    </row>
    <row r="43" spans="1:13" x14ac:dyDescent="0.25">
      <c r="A43" s="32"/>
      <c r="B43" s="32"/>
      <c r="C43" s="32"/>
      <c r="D43" s="32"/>
      <c r="E43" s="32"/>
      <c r="F43" s="32"/>
      <c r="G43" s="32"/>
      <c r="H43" s="32"/>
      <c r="I43" s="32"/>
      <c r="J43" s="32"/>
      <c r="K43" s="32"/>
      <c r="L43" s="32"/>
      <c r="M43" s="32"/>
    </row>
    <row r="44" spans="1:13" x14ac:dyDescent="0.25">
      <c r="A44" s="32"/>
      <c r="B44" s="32"/>
      <c r="C44" s="32"/>
      <c r="D44" s="32"/>
      <c r="E44" s="32"/>
      <c r="F44" s="32"/>
      <c r="G44" s="32"/>
      <c r="H44" s="32"/>
      <c r="I44" s="32"/>
      <c r="J44" s="32"/>
      <c r="K44" s="32"/>
      <c r="L44" s="32"/>
      <c r="M44" s="32"/>
    </row>
    <row r="45" spans="1:13" x14ac:dyDescent="0.25">
      <c r="A45" s="32"/>
      <c r="B45" s="32"/>
      <c r="C45" s="32"/>
      <c r="D45" s="32"/>
      <c r="E45" s="32"/>
      <c r="F45" s="32"/>
      <c r="G45" s="32"/>
      <c r="H45" s="32"/>
      <c r="I45" s="32"/>
      <c r="J45" s="32"/>
      <c r="K45" s="32"/>
      <c r="L45" s="32"/>
      <c r="M45" s="32"/>
    </row>
    <row r="46" spans="1:13" x14ac:dyDescent="0.25">
      <c r="A46" s="32"/>
      <c r="B46" s="32"/>
      <c r="C46" s="32"/>
      <c r="D46" s="32"/>
      <c r="E46" s="32"/>
      <c r="F46" s="32"/>
      <c r="G46" s="32"/>
      <c r="H46" s="32"/>
      <c r="I46" s="32"/>
      <c r="J46" s="32"/>
      <c r="K46" s="32"/>
      <c r="L46" s="32"/>
      <c r="M46" s="32"/>
    </row>
    <row r="47" spans="1:13" x14ac:dyDescent="0.25">
      <c r="A47" s="32"/>
      <c r="B47" s="32"/>
      <c r="C47" s="32"/>
      <c r="D47" s="32"/>
      <c r="E47" s="32"/>
      <c r="F47" s="32"/>
      <c r="G47" s="32"/>
      <c r="H47" s="32"/>
      <c r="I47" s="32"/>
      <c r="J47" s="32"/>
      <c r="K47" s="32"/>
      <c r="L47" s="32"/>
      <c r="M47" s="32"/>
    </row>
    <row r="48" spans="1:13" x14ac:dyDescent="0.25">
      <c r="A48" s="32"/>
      <c r="B48" s="32"/>
      <c r="C48" s="32"/>
      <c r="D48" s="32"/>
      <c r="E48" s="32"/>
      <c r="F48" s="32"/>
      <c r="G48" s="32"/>
      <c r="H48" s="32"/>
      <c r="I48" s="32"/>
      <c r="J48" s="32"/>
      <c r="K48" s="32"/>
      <c r="L48" s="32"/>
      <c r="M48" s="32"/>
    </row>
    <row r="49" spans="1:13" x14ac:dyDescent="0.25">
      <c r="A49" s="32"/>
      <c r="B49" s="32"/>
      <c r="C49" s="32"/>
      <c r="D49" s="32"/>
      <c r="E49" s="32"/>
      <c r="F49" s="32"/>
      <c r="G49" s="32"/>
      <c r="H49" s="32"/>
      <c r="I49" s="32"/>
      <c r="J49" s="32"/>
      <c r="K49" s="32"/>
      <c r="L49" s="32"/>
      <c r="M49" s="32"/>
    </row>
    <row r="50" spans="1:13" x14ac:dyDescent="0.25">
      <c r="A50" s="32"/>
      <c r="B50" s="32"/>
      <c r="C50" s="32"/>
      <c r="D50" s="32"/>
      <c r="E50" s="32"/>
      <c r="F50" s="32"/>
      <c r="G50" s="32"/>
      <c r="H50" s="32"/>
      <c r="I50" s="32"/>
      <c r="J50" s="32"/>
      <c r="K50" s="32"/>
      <c r="L50" s="32"/>
      <c r="M50" s="32"/>
    </row>
    <row r="51" spans="1:13" x14ac:dyDescent="0.25">
      <c r="A51" s="32"/>
      <c r="B51" s="32"/>
      <c r="C51" s="32"/>
      <c r="D51" s="32"/>
      <c r="E51" s="32"/>
      <c r="F51" s="32"/>
      <c r="G51" s="32"/>
      <c r="H51" s="32"/>
      <c r="I51" s="32"/>
      <c r="J51" s="32"/>
      <c r="K51" s="32"/>
      <c r="L51" s="32"/>
      <c r="M51" s="32"/>
    </row>
    <row r="52" spans="1:13" x14ac:dyDescent="0.25">
      <c r="A52" s="32"/>
      <c r="B52" s="32"/>
      <c r="C52" s="32"/>
      <c r="D52" s="32"/>
      <c r="E52" s="32"/>
      <c r="F52" s="32"/>
      <c r="G52" s="32"/>
      <c r="H52" s="32"/>
      <c r="I52" s="32"/>
      <c r="J52" s="32"/>
      <c r="K52" s="32"/>
      <c r="L52" s="32"/>
      <c r="M52" s="32"/>
    </row>
    <row r="53" spans="1:13" x14ac:dyDescent="0.25">
      <c r="A53" s="32"/>
      <c r="B53" s="32"/>
      <c r="C53" s="32"/>
      <c r="D53" s="32"/>
      <c r="E53" s="32"/>
      <c r="F53" s="32"/>
      <c r="G53" s="32"/>
      <c r="H53" s="32"/>
      <c r="I53" s="32"/>
      <c r="J53" s="32"/>
      <c r="K53" s="32"/>
      <c r="L53" s="32"/>
      <c r="M53" s="32"/>
    </row>
    <row r="54" spans="1:13" x14ac:dyDescent="0.25">
      <c r="A54" s="32"/>
      <c r="B54" s="32"/>
      <c r="C54" s="32"/>
      <c r="D54" s="32"/>
      <c r="E54" s="32"/>
      <c r="F54" s="32"/>
      <c r="G54" s="32"/>
      <c r="H54" s="32"/>
      <c r="I54" s="32"/>
      <c r="J54" s="32"/>
      <c r="K54" s="32"/>
      <c r="L54" s="32"/>
      <c r="M54" s="32"/>
    </row>
    <row r="55" spans="1:13" x14ac:dyDescent="0.25">
      <c r="A55" s="32"/>
      <c r="B55" s="32"/>
      <c r="C55" s="32"/>
      <c r="D55" s="32"/>
      <c r="E55" s="32"/>
      <c r="F55" s="32"/>
      <c r="G55" s="32"/>
      <c r="H55" s="32"/>
      <c r="I55" s="32"/>
      <c r="J55" s="32"/>
      <c r="K55" s="32"/>
      <c r="L55" s="32"/>
      <c r="M55" s="32"/>
    </row>
    <row r="56" spans="1:13" x14ac:dyDescent="0.25">
      <c r="A56" s="32"/>
      <c r="B56" s="32"/>
      <c r="C56" s="32"/>
      <c r="D56" s="32"/>
      <c r="E56" s="32"/>
      <c r="F56" s="32"/>
      <c r="G56" s="32"/>
      <c r="H56" s="32"/>
      <c r="I56" s="32"/>
      <c r="J56" s="32"/>
      <c r="K56" s="32"/>
      <c r="L56" s="32"/>
      <c r="M56" s="32"/>
    </row>
    <row r="57" spans="1:13" x14ac:dyDescent="0.25">
      <c r="A57" s="32"/>
      <c r="B57" s="32"/>
      <c r="C57" s="32"/>
      <c r="D57" s="32"/>
      <c r="E57" s="32"/>
      <c r="F57" s="32"/>
      <c r="G57" s="32"/>
      <c r="H57" s="32"/>
      <c r="I57" s="32"/>
      <c r="J57" s="32"/>
      <c r="K57" s="32"/>
      <c r="L57" s="32"/>
      <c r="M57" s="32"/>
    </row>
    <row r="58" spans="1:13" x14ac:dyDescent="0.25">
      <c r="A58" s="32"/>
      <c r="B58" s="32"/>
      <c r="C58" s="32"/>
      <c r="D58" s="32"/>
      <c r="E58" s="32"/>
      <c r="F58" s="32"/>
      <c r="G58" s="32"/>
      <c r="H58" s="32"/>
      <c r="I58" s="32"/>
      <c r="J58" s="32"/>
      <c r="K58" s="32"/>
      <c r="L58" s="32"/>
      <c r="M58" s="32"/>
    </row>
    <row r="59" spans="1:13" x14ac:dyDescent="0.25">
      <c r="A59" s="32"/>
      <c r="B59" s="32"/>
      <c r="C59" s="32"/>
      <c r="D59" s="32"/>
      <c r="E59" s="32"/>
      <c r="F59" s="32"/>
      <c r="G59" s="32"/>
      <c r="H59" s="32"/>
      <c r="I59" s="32"/>
      <c r="J59" s="32"/>
      <c r="K59" s="32"/>
      <c r="L59" s="32"/>
      <c r="M59" s="32"/>
    </row>
    <row r="60" spans="1:13" x14ac:dyDescent="0.25">
      <c r="A60" s="32"/>
      <c r="B60" s="32"/>
      <c r="C60" s="32"/>
      <c r="D60" s="32"/>
      <c r="E60" s="32"/>
      <c r="F60" s="32"/>
      <c r="G60" s="32"/>
      <c r="H60" s="32"/>
      <c r="I60" s="32"/>
      <c r="J60" s="32"/>
      <c r="K60" s="32"/>
      <c r="L60" s="32"/>
      <c r="M60" s="32"/>
    </row>
    <row r="61" spans="1:13" x14ac:dyDescent="0.25">
      <c r="A61" s="32"/>
      <c r="B61" s="32"/>
      <c r="C61" s="32"/>
      <c r="D61" s="32"/>
      <c r="E61" s="32"/>
      <c r="F61" s="32"/>
      <c r="G61" s="32"/>
      <c r="H61" s="32"/>
      <c r="I61" s="32"/>
      <c r="J61" s="32"/>
      <c r="K61" s="32"/>
      <c r="L61" s="32"/>
      <c r="M61" s="32"/>
    </row>
    <row r="62" spans="1:13" x14ac:dyDescent="0.25">
      <c r="A62" s="32"/>
      <c r="B62" s="32"/>
      <c r="C62" s="32"/>
      <c r="D62" s="32"/>
      <c r="E62" s="32"/>
      <c r="F62" s="32"/>
      <c r="G62" s="32"/>
      <c r="H62" s="32"/>
      <c r="I62" s="32"/>
      <c r="J62" s="32"/>
      <c r="K62" s="32"/>
      <c r="L62" s="32"/>
      <c r="M62" s="32"/>
    </row>
    <row r="63" spans="1:13" x14ac:dyDescent="0.25">
      <c r="A63" s="32"/>
      <c r="B63" s="32"/>
      <c r="C63" s="32"/>
      <c r="D63" s="32"/>
      <c r="E63" s="32"/>
      <c r="F63" s="32"/>
      <c r="G63" s="32"/>
      <c r="H63" s="32"/>
      <c r="I63" s="32"/>
      <c r="J63" s="32"/>
      <c r="K63" s="32"/>
      <c r="L63" s="32"/>
      <c r="M63" s="32"/>
    </row>
    <row r="64" spans="1:13" x14ac:dyDescent="0.25">
      <c r="A64" s="32"/>
      <c r="B64" s="32"/>
      <c r="C64" s="32"/>
      <c r="D64" s="32"/>
      <c r="E64" s="32"/>
      <c r="F64" s="32"/>
      <c r="G64" s="32"/>
      <c r="H64" s="32"/>
      <c r="I64" s="32"/>
      <c r="J64" s="32"/>
      <c r="K64" s="32"/>
      <c r="L64" s="32"/>
      <c r="M64" s="32"/>
    </row>
    <row r="65" spans="1:13" ht="21" x14ac:dyDescent="0.35">
      <c r="A65" s="32"/>
      <c r="B65" s="448" t="s">
        <v>6058</v>
      </c>
      <c r="C65" s="449"/>
      <c r="D65" s="449"/>
      <c r="E65" s="450"/>
      <c r="F65" s="449"/>
      <c r="G65" s="447"/>
      <c r="H65" s="447"/>
      <c r="I65" s="447"/>
      <c r="J65" s="32"/>
      <c r="K65" s="32"/>
      <c r="L65" s="32"/>
      <c r="M65" s="32"/>
    </row>
    <row r="66" spans="1:13" x14ac:dyDescent="0.25">
      <c r="A66" s="32"/>
      <c r="B66" s="32"/>
      <c r="C66" s="32"/>
      <c r="D66" s="32"/>
      <c r="E66" s="32"/>
      <c r="F66" s="32"/>
      <c r="G66" s="32"/>
      <c r="H66" s="32"/>
      <c r="I66" s="32"/>
      <c r="J66" s="32"/>
      <c r="K66" s="32"/>
      <c r="L66" s="32"/>
      <c r="M66" s="32"/>
    </row>
    <row r="67" spans="1:13" x14ac:dyDescent="0.25">
      <c r="A67" s="32"/>
      <c r="B67" s="451" t="s">
        <v>145</v>
      </c>
      <c r="C67" s="669" t="s">
        <v>10559</v>
      </c>
      <c r="D67" s="669"/>
      <c r="E67" s="669"/>
      <c r="F67" s="451" t="s">
        <v>10564</v>
      </c>
      <c r="G67" s="32"/>
      <c r="H67" s="32"/>
      <c r="I67" s="32"/>
      <c r="J67" s="32"/>
      <c r="K67" s="32"/>
      <c r="L67" s="32"/>
      <c r="M67" s="32"/>
    </row>
    <row r="68" spans="1:13" ht="30" customHeight="1" x14ac:dyDescent="0.25">
      <c r="A68" s="32"/>
      <c r="B68" s="661" t="s">
        <v>167</v>
      </c>
      <c r="C68" s="661" t="s">
        <v>10558</v>
      </c>
      <c r="D68" s="661"/>
      <c r="E68" s="661"/>
      <c r="F68" s="479">
        <f>Início!C19</f>
        <v>1528.8</v>
      </c>
      <c r="G68" s="32"/>
      <c r="H68" s="32"/>
      <c r="I68" s="32"/>
      <c r="J68" s="32"/>
      <c r="K68" s="32"/>
      <c r="L68" s="32"/>
      <c r="M68" s="32"/>
    </row>
    <row r="69" spans="1:13" ht="30" customHeight="1" x14ac:dyDescent="0.25">
      <c r="A69" s="32"/>
      <c r="B69" s="661"/>
      <c r="C69" s="661" t="s">
        <v>10560</v>
      </c>
      <c r="D69" s="661"/>
      <c r="E69" s="661"/>
      <c r="F69" s="479">
        <f>D21/SUM(Envoltória!D19:D1048576)</f>
        <v>187.82195796531957</v>
      </c>
      <c r="G69" s="32"/>
      <c r="H69" s="32"/>
      <c r="I69" s="32"/>
      <c r="J69" s="32"/>
      <c r="K69" s="32"/>
      <c r="L69" s="32"/>
      <c r="M69" s="32"/>
    </row>
    <row r="70" spans="1:13" ht="30" customHeight="1" x14ac:dyDescent="0.25">
      <c r="A70" s="32"/>
      <c r="B70" s="661"/>
      <c r="C70" s="661" t="s">
        <v>10563</v>
      </c>
      <c r="D70" s="661"/>
      <c r="E70" s="661"/>
      <c r="F70" s="517">
        <f>Envoltória!AB16</f>
        <v>0</v>
      </c>
      <c r="G70" s="32"/>
      <c r="H70" s="32"/>
      <c r="I70" s="32"/>
      <c r="J70" s="32"/>
      <c r="K70" s="32"/>
      <c r="L70" s="32"/>
      <c r="M70" s="32"/>
    </row>
    <row r="71" spans="1:13" ht="30" customHeight="1" x14ac:dyDescent="0.25">
      <c r="A71" s="32"/>
      <c r="B71" s="670" t="s">
        <v>178</v>
      </c>
      <c r="C71" s="661" t="s">
        <v>100</v>
      </c>
      <c r="D71" s="661"/>
      <c r="E71" s="661"/>
      <c r="F71" s="479">
        <f>Iluminação!C18</f>
        <v>1612.2599999999998</v>
      </c>
      <c r="G71" s="32"/>
      <c r="H71" s="32"/>
      <c r="I71" s="32"/>
      <c r="J71" s="32"/>
      <c r="K71" s="32"/>
      <c r="L71" s="32"/>
      <c r="M71" s="32"/>
    </row>
    <row r="72" spans="1:13" ht="30" customHeight="1" x14ac:dyDescent="0.25">
      <c r="A72" s="32"/>
      <c r="B72" s="670"/>
      <c r="C72" s="661" t="s">
        <v>10561</v>
      </c>
      <c r="D72" s="661"/>
      <c r="E72" s="661"/>
      <c r="F72" s="479">
        <f>IFERROR(D24/F71,"")</f>
        <v>64.268550233833267</v>
      </c>
      <c r="G72" s="32"/>
      <c r="H72" s="32"/>
      <c r="I72" s="32"/>
      <c r="J72" s="32"/>
      <c r="K72" s="32"/>
      <c r="L72" s="32"/>
      <c r="M72" s="32"/>
    </row>
    <row r="73" spans="1:13" ht="30" customHeight="1" x14ac:dyDescent="0.25">
      <c r="A73" s="32"/>
      <c r="B73" s="670"/>
      <c r="C73" s="661" t="s">
        <v>10562</v>
      </c>
      <c r="D73" s="661"/>
      <c r="E73" s="661"/>
      <c r="F73" s="479">
        <f>Iluminação!C17</f>
        <v>0</v>
      </c>
      <c r="G73" s="32"/>
      <c r="H73" s="32"/>
      <c r="I73" s="32"/>
      <c r="J73" s="32"/>
      <c r="K73" s="32"/>
      <c r="L73" s="32"/>
      <c r="M73" s="32"/>
    </row>
    <row r="74" spans="1:13" ht="30" customHeight="1" x14ac:dyDescent="0.25">
      <c r="A74" s="32"/>
      <c r="B74" s="661" t="s">
        <v>168</v>
      </c>
      <c r="C74" s="661" t="s">
        <v>82</v>
      </c>
      <c r="D74" s="661"/>
      <c r="E74" s="661"/>
      <c r="F74" s="479">
        <f>SUM(Envoltória!D19:D1048576)</f>
        <v>1386.9499999999998</v>
      </c>
      <c r="G74" s="32"/>
      <c r="H74" s="32"/>
      <c r="I74" s="32"/>
      <c r="J74" s="32"/>
      <c r="K74" s="32"/>
      <c r="L74" s="32"/>
      <c r="M74" s="32"/>
    </row>
    <row r="75" spans="1:13" ht="30" customHeight="1" x14ac:dyDescent="0.25">
      <c r="A75" s="32"/>
      <c r="B75" s="661"/>
      <c r="C75" s="661" t="s">
        <v>10566</v>
      </c>
      <c r="D75" s="661"/>
      <c r="E75" s="661"/>
      <c r="F75" s="479">
        <f>D23</f>
        <v>89491.283610841885</v>
      </c>
      <c r="G75" s="32"/>
      <c r="H75" s="32"/>
      <c r="I75" s="32"/>
      <c r="J75" s="32"/>
      <c r="K75" s="32"/>
      <c r="L75" s="32"/>
      <c r="M75" s="32"/>
    </row>
    <row r="76" spans="1:13" ht="30" customHeight="1" x14ac:dyDescent="0.25">
      <c r="A76" s="32"/>
      <c r="B76" s="661"/>
      <c r="C76" s="661" t="s">
        <v>10565</v>
      </c>
      <c r="D76" s="661"/>
      <c r="E76" s="661"/>
      <c r="F76" s="479">
        <f>F75/F74</f>
        <v>64.52379942380179</v>
      </c>
      <c r="G76" s="32"/>
      <c r="H76" s="32"/>
      <c r="I76" s="32"/>
      <c r="J76" s="32"/>
      <c r="K76" s="32"/>
      <c r="L76" s="32"/>
      <c r="M76" s="32"/>
    </row>
    <row r="77" spans="1:13" ht="30" customHeight="1" x14ac:dyDescent="0.25">
      <c r="A77" s="32"/>
      <c r="B77" s="661"/>
      <c r="C77" s="661" t="s">
        <v>10567</v>
      </c>
      <c r="D77" s="661"/>
      <c r="E77" s="661"/>
      <c r="F77" s="513" t="s">
        <v>10654</v>
      </c>
      <c r="G77" s="32"/>
      <c r="H77" s="32"/>
      <c r="I77" s="32"/>
      <c r="J77" s="32"/>
      <c r="K77" s="32"/>
      <c r="L77" s="32"/>
      <c r="M77" s="32"/>
    </row>
    <row r="78" spans="1:13" ht="30" customHeight="1" x14ac:dyDescent="0.25">
      <c r="A78" s="32"/>
      <c r="B78" s="661"/>
      <c r="C78" s="661" t="s">
        <v>10568</v>
      </c>
      <c r="D78" s="661"/>
      <c r="E78" s="661"/>
      <c r="F78" s="513" t="s">
        <v>10654</v>
      </c>
      <c r="G78" s="32"/>
      <c r="H78" s="32"/>
      <c r="I78" s="32"/>
      <c r="J78" s="32"/>
      <c r="K78" s="32"/>
      <c r="L78" s="32"/>
      <c r="M78" s="32"/>
    </row>
    <row r="79" spans="1:13" ht="30" customHeight="1" x14ac:dyDescent="0.25">
      <c r="A79" s="32"/>
      <c r="B79" s="661"/>
      <c r="C79" s="661" t="s">
        <v>10569</v>
      </c>
      <c r="D79" s="661"/>
      <c r="E79" s="661"/>
      <c r="F79" s="513" t="s">
        <v>10654</v>
      </c>
      <c r="G79" s="32"/>
      <c r="H79" s="32"/>
      <c r="I79" s="32"/>
      <c r="J79" s="32"/>
      <c r="K79" s="32"/>
      <c r="L79" s="32"/>
      <c r="M79" s="32"/>
    </row>
    <row r="80" spans="1:13" ht="30" customHeight="1" x14ac:dyDescent="0.25">
      <c r="A80" s="32"/>
      <c r="B80" s="661"/>
      <c r="C80" s="661" t="s">
        <v>10570</v>
      </c>
      <c r="D80" s="661"/>
      <c r="E80" s="661"/>
      <c r="F80" s="513" t="s">
        <v>10654</v>
      </c>
      <c r="G80" s="32"/>
      <c r="H80" s="32"/>
      <c r="I80" s="32"/>
      <c r="J80" s="32"/>
      <c r="K80" s="32"/>
      <c r="L80" s="32"/>
      <c r="M80" s="32"/>
    </row>
    <row r="81" spans="1:13" ht="30" customHeight="1" x14ac:dyDescent="0.25">
      <c r="A81" s="32"/>
      <c r="B81" s="661"/>
      <c r="C81" s="661" t="s">
        <v>10571</v>
      </c>
      <c r="D81" s="661"/>
      <c r="E81" s="661"/>
      <c r="F81" s="513" t="s">
        <v>10654</v>
      </c>
      <c r="G81" s="32"/>
      <c r="H81" s="32"/>
      <c r="I81" s="32"/>
      <c r="J81" s="32"/>
      <c r="K81" s="32"/>
      <c r="L81" s="32"/>
      <c r="M81" s="32"/>
    </row>
    <row r="82" spans="1:13" ht="30" customHeight="1" x14ac:dyDescent="0.25">
      <c r="A82" s="32"/>
      <c r="B82" s="666" t="s">
        <v>179</v>
      </c>
      <c r="C82" s="661" t="s">
        <v>10572</v>
      </c>
      <c r="D82" s="661"/>
      <c r="E82" s="661"/>
      <c r="F82" s="479">
        <f>D25/F68</f>
        <v>0</v>
      </c>
      <c r="G82" s="32"/>
      <c r="H82" s="32"/>
      <c r="I82" s="32"/>
      <c r="J82" s="32"/>
      <c r="K82" s="32"/>
      <c r="L82" s="32"/>
      <c r="M82" s="32"/>
    </row>
    <row r="83" spans="1:13" ht="30" customHeight="1" x14ac:dyDescent="0.25">
      <c r="A83" s="32"/>
      <c r="B83" s="667"/>
      <c r="C83" s="661" t="s">
        <v>10574</v>
      </c>
      <c r="D83" s="661"/>
      <c r="E83" s="661"/>
      <c r="F83" s="479">
        <f>(AquecimentoÁgua!AF44+AquecimentoÁgua!C50)*1.6</f>
        <v>0</v>
      </c>
      <c r="G83" s="32"/>
      <c r="H83" s="32"/>
      <c r="I83" s="32"/>
      <c r="J83" s="32"/>
      <c r="K83" s="32"/>
      <c r="L83" s="32"/>
      <c r="M83" s="32"/>
    </row>
    <row r="84" spans="1:13" ht="30" customHeight="1" x14ac:dyDescent="0.25">
      <c r="A84" s="32"/>
      <c r="B84" s="667"/>
      <c r="C84" s="661" t="s">
        <v>10573</v>
      </c>
      <c r="D84" s="661"/>
      <c r="E84" s="661"/>
      <c r="F84" s="479">
        <f>F83/F68</f>
        <v>0</v>
      </c>
      <c r="G84" s="32"/>
      <c r="H84" s="32"/>
      <c r="I84" s="32"/>
      <c r="J84" s="32"/>
      <c r="K84" s="32"/>
      <c r="L84" s="32"/>
      <c r="M84" s="32"/>
    </row>
    <row r="85" spans="1:13" ht="30" customHeight="1" x14ac:dyDescent="0.25">
      <c r="A85" s="32"/>
      <c r="B85" s="667"/>
      <c r="C85" s="661" t="s">
        <v>10581</v>
      </c>
      <c r="D85" s="661"/>
      <c r="E85" s="661"/>
      <c r="F85" s="479">
        <f>(AquecimentoÁgua!C51+AquecimentoÁgua!AF45)*1.1</f>
        <v>0</v>
      </c>
      <c r="G85" s="32"/>
      <c r="H85" s="32"/>
      <c r="I85" s="32"/>
      <c r="J85" s="32"/>
      <c r="K85" s="32"/>
      <c r="L85" s="32"/>
      <c r="M85" s="32"/>
    </row>
    <row r="86" spans="1:13" ht="30" customHeight="1" x14ac:dyDescent="0.25">
      <c r="A86" s="32"/>
      <c r="B86" s="668"/>
      <c r="C86" s="661" t="s">
        <v>10582</v>
      </c>
      <c r="D86" s="661"/>
      <c r="E86" s="661"/>
      <c r="F86" s="479">
        <f>F85/F68</f>
        <v>0</v>
      </c>
      <c r="G86" s="32"/>
      <c r="H86" s="32"/>
      <c r="I86" s="32"/>
      <c r="J86" s="32"/>
      <c r="K86" s="32"/>
      <c r="L86" s="32"/>
      <c r="M86" s="32"/>
    </row>
    <row r="87" spans="1:13" ht="30" customHeight="1" x14ac:dyDescent="0.25">
      <c r="A87" s="32"/>
      <c r="B87" s="452" t="s">
        <v>10575</v>
      </c>
      <c r="C87" s="658" t="s">
        <v>10576</v>
      </c>
      <c r="D87" s="659"/>
      <c r="E87" s="660"/>
      <c r="F87" s="479">
        <f>-D27/F68</f>
        <v>179.34065934065936</v>
      </c>
      <c r="G87" s="32"/>
      <c r="H87" s="32"/>
      <c r="I87" s="32"/>
      <c r="J87" s="32"/>
      <c r="K87" s="32"/>
      <c r="L87" s="32"/>
      <c r="M87" s="32"/>
    </row>
    <row r="88" spans="1:13" ht="30" customHeight="1" x14ac:dyDescent="0.25">
      <c r="A88" s="32"/>
      <c r="B88" s="666" t="s">
        <v>166</v>
      </c>
      <c r="C88" s="661" t="s">
        <v>63</v>
      </c>
      <c r="D88" s="661"/>
      <c r="E88" s="661"/>
      <c r="F88" s="479">
        <f>IF(Envoltória!C9="Método Simplificado",Envoltória!T19,Envoltória!K16)</f>
        <v>15</v>
      </c>
      <c r="G88" s="32"/>
      <c r="H88" s="32"/>
      <c r="I88" s="32"/>
      <c r="J88" s="32"/>
      <c r="K88" s="32"/>
      <c r="L88" s="32"/>
      <c r="M88" s="32"/>
    </row>
    <row r="89" spans="1:13" ht="30" customHeight="1" x14ac:dyDescent="0.25">
      <c r="A89" s="32"/>
      <c r="B89" s="668"/>
      <c r="C89" s="658" t="s">
        <v>10561</v>
      </c>
      <c r="D89" s="659"/>
      <c r="E89" s="660"/>
      <c r="F89" s="479">
        <f>D26/F68</f>
        <v>62.4</v>
      </c>
      <c r="G89" s="32"/>
      <c r="H89" s="32"/>
      <c r="I89" s="32"/>
      <c r="J89" s="32"/>
      <c r="K89" s="32"/>
      <c r="L89" s="32"/>
      <c r="M89" s="32"/>
    </row>
    <row r="90" spans="1:13" ht="30" customHeight="1" x14ac:dyDescent="0.25">
      <c r="A90" s="32"/>
      <c r="B90" s="666" t="s">
        <v>10577</v>
      </c>
      <c r="C90" s="658" t="s">
        <v>10561</v>
      </c>
      <c r="D90" s="659"/>
      <c r="E90" s="660"/>
      <c r="F90" s="479">
        <f>D32/F68</f>
        <v>9.3733754649672285</v>
      </c>
      <c r="G90" s="32"/>
      <c r="H90" s="32"/>
      <c r="I90" s="32"/>
      <c r="J90" s="32"/>
      <c r="K90" s="32"/>
      <c r="L90" s="32"/>
      <c r="M90" s="32"/>
    </row>
    <row r="91" spans="1:13" ht="30" customHeight="1" x14ac:dyDescent="0.25">
      <c r="A91" s="32"/>
      <c r="B91" s="667"/>
      <c r="C91" s="658" t="s">
        <v>10578</v>
      </c>
      <c r="D91" s="659"/>
      <c r="E91" s="660"/>
      <c r="F91" s="479">
        <f>F90/12</f>
        <v>0.78111462208060234</v>
      </c>
      <c r="G91" s="32"/>
      <c r="H91" s="32"/>
      <c r="I91" s="32"/>
      <c r="J91" s="32"/>
      <c r="K91" s="32"/>
      <c r="L91" s="32"/>
      <c r="M91" s="32"/>
    </row>
    <row r="92" spans="1:13" ht="30" customHeight="1" x14ac:dyDescent="0.25">
      <c r="A92" s="32"/>
      <c r="B92" s="667"/>
      <c r="C92" s="658" t="s">
        <v>10579</v>
      </c>
      <c r="D92" s="659"/>
      <c r="E92" s="660"/>
      <c r="F92" s="479">
        <f>(D23+D24+D26+D27+(AquecimentoÁgua!AF44+AquecimentoÁgua!C50)*1.6)/12</f>
        <v>1194.1680342368247</v>
      </c>
      <c r="G92" s="32"/>
      <c r="H92" s="32"/>
      <c r="I92" s="32"/>
      <c r="J92" s="32"/>
      <c r="K92" s="32"/>
      <c r="L92" s="32"/>
      <c r="M92" s="32"/>
    </row>
    <row r="93" spans="1:13" ht="30" customHeight="1" x14ac:dyDescent="0.25">
      <c r="A93" s="32"/>
      <c r="B93" s="668"/>
      <c r="C93" s="658" t="s">
        <v>10580</v>
      </c>
      <c r="D93" s="659"/>
      <c r="E93" s="660"/>
      <c r="F93" s="479">
        <f>(AquecimentoÁgua!C51+AquecimentoÁgua!AF45)*1.1</f>
        <v>0</v>
      </c>
      <c r="G93" s="32"/>
      <c r="H93" s="32"/>
      <c r="I93" s="32"/>
      <c r="J93" s="32"/>
      <c r="K93" s="32"/>
      <c r="L93" s="32"/>
      <c r="M93" s="32"/>
    </row>
    <row r="94" spans="1:13" x14ac:dyDescent="0.25">
      <c r="A94" s="32"/>
      <c r="B94" s="32"/>
      <c r="C94" s="32"/>
      <c r="D94" s="32"/>
      <c r="E94" s="32"/>
      <c r="F94" s="32"/>
      <c r="G94" s="32"/>
      <c r="H94" s="32"/>
      <c r="I94" s="32"/>
      <c r="J94" s="32"/>
      <c r="K94" s="32"/>
      <c r="L94" s="32"/>
      <c r="M94" s="32"/>
    </row>
  </sheetData>
  <sheetProtection algorithmName="SHA-512" hashValue="jNQrwRDFXdMlteOyEu8fPjmpnJaNqqLFVJI+rfhQpA8sAjoGAIDCl+QCKLi4lYExK1UotCYp1LIrd4/S2OZzbg==" saltValue="MOimt2U0y5snNDr+uBBbxQ==" spinCount="100000" sheet="1" formatColumns="0" formatRows="0"/>
  <mergeCells count="39">
    <mergeCell ref="B74:B81"/>
    <mergeCell ref="C67:E67"/>
    <mergeCell ref="B71:B73"/>
    <mergeCell ref="C73:E73"/>
    <mergeCell ref="C72:E72"/>
    <mergeCell ref="C71:E71"/>
    <mergeCell ref="C74:E74"/>
    <mergeCell ref="C75:E75"/>
    <mergeCell ref="C76:E76"/>
    <mergeCell ref="C77:E77"/>
    <mergeCell ref="C78:E78"/>
    <mergeCell ref="B68:B70"/>
    <mergeCell ref="C70:E70"/>
    <mergeCell ref="C69:E69"/>
    <mergeCell ref="C68:E68"/>
    <mergeCell ref="C88:E88"/>
    <mergeCell ref="C89:E89"/>
    <mergeCell ref="B88:B89"/>
    <mergeCell ref="C82:E82"/>
    <mergeCell ref="C83:E83"/>
    <mergeCell ref="C84:E84"/>
    <mergeCell ref="C85:E85"/>
    <mergeCell ref="C86:E86"/>
    <mergeCell ref="F2:J2"/>
    <mergeCell ref="C90:E90"/>
    <mergeCell ref="C91:E91"/>
    <mergeCell ref="C92:E92"/>
    <mergeCell ref="C93:E93"/>
    <mergeCell ref="C79:E79"/>
    <mergeCell ref="C80:E80"/>
    <mergeCell ref="C81:E81"/>
    <mergeCell ref="B20:F20"/>
    <mergeCell ref="B22:F22"/>
    <mergeCell ref="I20:L20"/>
    <mergeCell ref="I22:L22"/>
    <mergeCell ref="E32:H32"/>
    <mergeCell ref="B90:B93"/>
    <mergeCell ref="B82:B86"/>
    <mergeCell ref="C87:E87"/>
  </mergeCells>
  <conditionalFormatting sqref="F21 F23:F25 F28:F29">
    <cfRule type="cellIs" dxfId="4" priority="1" operator="equal">
      <formula>"E"</formula>
    </cfRule>
    <cfRule type="cellIs" dxfId="3" priority="2" operator="equal">
      <formula>"D"</formula>
    </cfRule>
    <cfRule type="cellIs" dxfId="2" priority="3" operator="equal">
      <formula>"C"</formula>
    </cfRule>
    <cfRule type="cellIs" dxfId="1" priority="4" operator="equal">
      <formula>"A"</formula>
    </cfRule>
    <cfRule type="cellIs" dxfId="0" priority="5" operator="equal">
      <formula>"B"</formula>
    </cfRule>
  </conditionalFormatting>
  <pageMargins left="0.511811024" right="0.511811024" top="0.78740157499999996" bottom="0.78740157499999996" header="0.31496062000000002" footer="0.31496062000000002"/>
  <pageSetup paperSize="9" orientation="portrait" horizontalDpi="300" verticalDpi="300"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E8F274-B87C-4C89-B1C6-58B0A6D03000}">
  <sheetPr codeName="Planilha17"/>
  <dimension ref="A1:T1190"/>
  <sheetViews>
    <sheetView workbookViewId="0">
      <selection activeCell="A1025" sqref="A1025"/>
    </sheetView>
  </sheetViews>
  <sheetFormatPr defaultRowHeight="15" x14ac:dyDescent="0.25"/>
  <cols>
    <col min="1" max="1" width="58.85546875" customWidth="1"/>
    <col min="18" max="18" width="46" bestFit="1" customWidth="1"/>
    <col min="19" max="19" width="6.7109375" bestFit="1" customWidth="1"/>
    <col min="20" max="20" width="13.28515625" customWidth="1"/>
  </cols>
  <sheetData>
    <row r="1" spans="1:20" x14ac:dyDescent="0.25">
      <c r="A1" s="4" t="s">
        <v>9054</v>
      </c>
      <c r="B1" s="4" t="s">
        <v>9021</v>
      </c>
      <c r="C1" s="4" t="s">
        <v>9022</v>
      </c>
      <c r="D1" s="4" t="s">
        <v>9023</v>
      </c>
      <c r="E1" s="4" t="s">
        <v>9024</v>
      </c>
      <c r="F1" s="4" t="s">
        <v>9025</v>
      </c>
      <c r="G1" s="4" t="s">
        <v>9026</v>
      </c>
      <c r="H1" s="4" t="s">
        <v>9027</v>
      </c>
      <c r="I1" s="4" t="s">
        <v>9028</v>
      </c>
      <c r="J1" s="4" t="s">
        <v>9029</v>
      </c>
      <c r="K1" s="4" t="s">
        <v>9030</v>
      </c>
      <c r="L1" s="4" t="s">
        <v>9031</v>
      </c>
      <c r="M1" s="4" t="s">
        <v>9032</v>
      </c>
      <c r="N1" s="4" t="s">
        <v>9033</v>
      </c>
      <c r="O1" s="4" t="s">
        <v>9034</v>
      </c>
      <c r="P1" s="4"/>
      <c r="Q1" s="4" t="s">
        <v>215</v>
      </c>
      <c r="R1" s="4" t="s">
        <v>120</v>
      </c>
      <c r="S1" s="4" t="s">
        <v>147</v>
      </c>
      <c r="T1" s="4" t="s">
        <v>9055</v>
      </c>
    </row>
    <row r="2" spans="1:20" x14ac:dyDescent="0.25">
      <c r="A2" t="s">
        <v>9056</v>
      </c>
      <c r="B2">
        <v>-7.6</v>
      </c>
      <c r="C2">
        <v>194.2</v>
      </c>
      <c r="D2">
        <v>25.920833330000001</v>
      </c>
      <c r="E2">
        <v>23.15666667</v>
      </c>
      <c r="F2">
        <v>28.587499999999999</v>
      </c>
      <c r="G2">
        <v>0.98166666700000005</v>
      </c>
      <c r="H2">
        <v>0.1</v>
      </c>
      <c r="I2">
        <v>1.651666667</v>
      </c>
      <c r="J2">
        <v>4893.8283330000004</v>
      </c>
      <c r="K2">
        <v>4205.1666670000004</v>
      </c>
      <c r="L2">
        <v>5699.125</v>
      </c>
      <c r="M2">
        <v>23.247499999999999</v>
      </c>
      <c r="N2">
        <v>22.43</v>
      </c>
      <c r="O2">
        <v>24.31</v>
      </c>
      <c r="Q2" t="s">
        <v>234</v>
      </c>
      <c r="R2" t="s">
        <v>9057</v>
      </c>
      <c r="S2" t="s">
        <v>9058</v>
      </c>
      <c r="T2" t="s">
        <v>9059</v>
      </c>
    </row>
    <row r="3" spans="1:20" x14ac:dyDescent="0.25">
      <c r="A3" t="s">
        <v>9060</v>
      </c>
      <c r="B3">
        <v>-7.6</v>
      </c>
      <c r="C3">
        <v>194.2</v>
      </c>
      <c r="D3">
        <v>25.813333329999999</v>
      </c>
      <c r="E3">
        <v>23.221666670000001</v>
      </c>
      <c r="F3">
        <v>28.5</v>
      </c>
      <c r="G3">
        <v>1.121666667</v>
      </c>
      <c r="H3">
        <v>0.258333333</v>
      </c>
      <c r="I3">
        <v>1.746666667</v>
      </c>
      <c r="J3">
        <v>4746.1566670000002</v>
      </c>
      <c r="K3">
        <v>4239.1666670000004</v>
      </c>
      <c r="L3">
        <v>5442.1875</v>
      </c>
      <c r="M3">
        <v>23.201666670000002</v>
      </c>
      <c r="N3">
        <v>22.31666667</v>
      </c>
      <c r="O3">
        <v>24.4</v>
      </c>
      <c r="Q3" t="s">
        <v>234</v>
      </c>
      <c r="R3" t="s">
        <v>9057</v>
      </c>
      <c r="S3" t="s">
        <v>9058</v>
      </c>
      <c r="T3" t="s">
        <v>9061</v>
      </c>
    </row>
    <row r="4" spans="1:20" x14ac:dyDescent="0.25">
      <c r="A4" t="s">
        <v>9062</v>
      </c>
      <c r="B4">
        <v>-11.02</v>
      </c>
      <c r="C4">
        <v>218.5</v>
      </c>
      <c r="D4">
        <v>24.907499999999999</v>
      </c>
      <c r="E4">
        <v>22.04</v>
      </c>
      <c r="F4">
        <v>27.892499999999998</v>
      </c>
      <c r="G4">
        <v>1.05</v>
      </c>
      <c r="H4">
        <v>0.5</v>
      </c>
      <c r="I4">
        <v>1.503333333</v>
      </c>
      <c r="J4">
        <v>4945.9908329999998</v>
      </c>
      <c r="K4">
        <v>4321.9375</v>
      </c>
      <c r="L4">
        <v>5743.3125</v>
      </c>
      <c r="M4">
        <v>20.864999999999998</v>
      </c>
      <c r="N4">
        <v>19.768333330000001</v>
      </c>
      <c r="O4">
        <v>22.169166669999999</v>
      </c>
      <c r="Q4" t="s">
        <v>234</v>
      </c>
      <c r="R4" t="s">
        <v>9063</v>
      </c>
      <c r="S4" t="s">
        <v>9058</v>
      </c>
      <c r="T4" t="s">
        <v>9061</v>
      </c>
    </row>
    <row r="5" spans="1:20" x14ac:dyDescent="0.25">
      <c r="A5" t="s">
        <v>6074</v>
      </c>
      <c r="B5">
        <v>-8.14</v>
      </c>
      <c r="C5">
        <v>163</v>
      </c>
      <c r="D5">
        <v>26.079166669999999</v>
      </c>
      <c r="E5">
        <v>23.87833333</v>
      </c>
      <c r="F5">
        <v>28.301666669999999</v>
      </c>
      <c r="G5">
        <v>1.2733333330000001</v>
      </c>
      <c r="H5">
        <v>0.48333333299999998</v>
      </c>
      <c r="I5">
        <v>1.81</v>
      </c>
      <c r="J5">
        <v>4557.9241670000001</v>
      </c>
      <c r="K5">
        <v>3993.895833</v>
      </c>
      <c r="L5">
        <v>5352.0833329999996</v>
      </c>
      <c r="M5">
        <v>22.311666670000001</v>
      </c>
      <c r="N5">
        <v>21.43333333</v>
      </c>
      <c r="O5">
        <v>23.45</v>
      </c>
      <c r="Q5" t="s">
        <v>234</v>
      </c>
      <c r="R5" t="s">
        <v>9064</v>
      </c>
      <c r="S5" t="s">
        <v>9065</v>
      </c>
      <c r="T5" t="s">
        <v>9066</v>
      </c>
    </row>
    <row r="6" spans="1:20" x14ac:dyDescent="0.25">
      <c r="A6" t="s">
        <v>9067</v>
      </c>
      <c r="B6">
        <v>-8.14</v>
      </c>
      <c r="C6">
        <v>164.5</v>
      </c>
      <c r="D6">
        <v>25.37</v>
      </c>
      <c r="E6">
        <v>22.733333330000001</v>
      </c>
      <c r="F6">
        <v>28.06666667</v>
      </c>
      <c r="G6">
        <v>1.410833333</v>
      </c>
      <c r="H6">
        <v>0.75666666699999996</v>
      </c>
      <c r="I6">
        <v>1.8766666670000001</v>
      </c>
      <c r="J6">
        <v>4876.4941669999998</v>
      </c>
      <c r="K6">
        <v>4227.2708329999996</v>
      </c>
      <c r="L6">
        <v>5643.4375</v>
      </c>
      <c r="M6">
        <v>22.0275</v>
      </c>
      <c r="N6">
        <v>21.19</v>
      </c>
      <c r="O6">
        <v>23.076666670000002</v>
      </c>
      <c r="Q6" t="s">
        <v>234</v>
      </c>
      <c r="R6" t="s">
        <v>9064</v>
      </c>
      <c r="S6" t="s">
        <v>9058</v>
      </c>
      <c r="T6" t="s">
        <v>9061</v>
      </c>
    </row>
    <row r="7" spans="1:20" x14ac:dyDescent="0.25">
      <c r="A7" t="s">
        <v>6071</v>
      </c>
      <c r="B7">
        <v>-9.3699999999999992</v>
      </c>
      <c r="C7">
        <v>206</v>
      </c>
      <c r="D7">
        <v>24.868333329999999</v>
      </c>
      <c r="E7">
        <v>22.383333329999999</v>
      </c>
      <c r="F7">
        <v>27.30083333</v>
      </c>
      <c r="G7">
        <v>0.39916666699999998</v>
      </c>
      <c r="H7">
        <v>0</v>
      </c>
      <c r="I7">
        <v>0.67749999999999999</v>
      </c>
      <c r="J7">
        <v>3841.9016670000001</v>
      </c>
      <c r="K7">
        <v>3276.375</v>
      </c>
      <c r="L7">
        <v>4554.9375</v>
      </c>
      <c r="M7">
        <v>22.21916667</v>
      </c>
      <c r="N7">
        <v>21.416666670000001</v>
      </c>
      <c r="O7">
        <v>23.241666670000001</v>
      </c>
      <c r="Q7" t="s">
        <v>234</v>
      </c>
      <c r="R7" t="s">
        <v>9068</v>
      </c>
      <c r="S7" t="s">
        <v>9065</v>
      </c>
      <c r="T7" t="s">
        <v>9066</v>
      </c>
    </row>
    <row r="8" spans="1:20" x14ac:dyDescent="0.25">
      <c r="A8" t="s">
        <v>9069</v>
      </c>
      <c r="B8">
        <v>-9.3699999999999992</v>
      </c>
      <c r="C8">
        <v>207.5</v>
      </c>
      <c r="D8">
        <v>25.084166669999998</v>
      </c>
      <c r="E8">
        <v>22.498333330000001</v>
      </c>
      <c r="F8">
        <v>27.65</v>
      </c>
      <c r="G8">
        <v>0.98666666700000005</v>
      </c>
      <c r="H8">
        <v>0.44166666700000001</v>
      </c>
      <c r="I8">
        <v>1.4166666670000001</v>
      </c>
      <c r="J8">
        <v>4828.4258330000002</v>
      </c>
      <c r="K8">
        <v>4253.2708329999996</v>
      </c>
      <c r="L8">
        <v>5560.6041670000004</v>
      </c>
      <c r="M8">
        <v>21.905000000000001</v>
      </c>
      <c r="N8">
        <v>20.733333330000001</v>
      </c>
      <c r="O8">
        <v>23.05833333</v>
      </c>
      <c r="Q8" t="s">
        <v>234</v>
      </c>
      <c r="R8" t="s">
        <v>9070</v>
      </c>
      <c r="S8" t="s">
        <v>9058</v>
      </c>
      <c r="T8" t="s">
        <v>9061</v>
      </c>
    </row>
    <row r="9" spans="1:20" x14ac:dyDescent="0.25">
      <c r="A9" t="s">
        <v>6073</v>
      </c>
      <c r="B9">
        <v>-8.27</v>
      </c>
      <c r="C9">
        <v>240</v>
      </c>
      <c r="D9">
        <v>26.366666670000001</v>
      </c>
      <c r="E9">
        <v>24.116666670000001</v>
      </c>
      <c r="F9">
        <v>28.603333330000002</v>
      </c>
      <c r="G9">
        <v>1.2391666670000001</v>
      </c>
      <c r="H9">
        <v>0.42499999999999999</v>
      </c>
      <c r="I9">
        <v>1.7749999999999999</v>
      </c>
      <c r="J9">
        <v>4711.2583329999998</v>
      </c>
      <c r="K9">
        <v>4051.833333</v>
      </c>
      <c r="L9">
        <v>5490.0625</v>
      </c>
      <c r="M9">
        <v>22.21</v>
      </c>
      <c r="N9">
        <v>21.516666669999999</v>
      </c>
      <c r="O9">
        <v>23.276666670000001</v>
      </c>
      <c r="Q9" t="s">
        <v>234</v>
      </c>
      <c r="R9" t="s">
        <v>9071</v>
      </c>
      <c r="S9" t="s">
        <v>9065</v>
      </c>
      <c r="T9" t="s">
        <v>9066</v>
      </c>
    </row>
    <row r="10" spans="1:20" x14ac:dyDescent="0.25">
      <c r="A10" t="s">
        <v>9072</v>
      </c>
      <c r="B10">
        <v>-8.27</v>
      </c>
      <c r="C10">
        <v>205.5</v>
      </c>
      <c r="D10">
        <v>25.85166667</v>
      </c>
      <c r="E10">
        <v>23.391666669999999</v>
      </c>
      <c r="F10">
        <v>28.248333330000001</v>
      </c>
      <c r="G10">
        <v>1.4291666670000001</v>
      </c>
      <c r="H10">
        <v>0.85</v>
      </c>
      <c r="I10">
        <v>1.885</v>
      </c>
      <c r="J10">
        <v>4828.584167</v>
      </c>
      <c r="K10">
        <v>4246.8333329999996</v>
      </c>
      <c r="L10">
        <v>5606.8125</v>
      </c>
      <c r="M10">
        <v>22.471666670000001</v>
      </c>
      <c r="N10">
        <v>21.698333330000001</v>
      </c>
      <c r="O10">
        <v>23.383333329999999</v>
      </c>
      <c r="Q10" t="s">
        <v>234</v>
      </c>
      <c r="R10" t="s">
        <v>9071</v>
      </c>
      <c r="S10" t="s">
        <v>9058</v>
      </c>
      <c r="T10" t="s">
        <v>9061</v>
      </c>
    </row>
    <row r="11" spans="1:20" x14ac:dyDescent="0.25">
      <c r="A11" t="s">
        <v>9073</v>
      </c>
      <c r="B11">
        <v>-9.8699999999999992</v>
      </c>
      <c r="C11">
        <v>193.2</v>
      </c>
      <c r="D11">
        <v>25.515000000000001</v>
      </c>
      <c r="E11">
        <v>22.670833330000001</v>
      </c>
      <c r="F11">
        <v>28.416666670000001</v>
      </c>
      <c r="G11">
        <v>1.385</v>
      </c>
      <c r="H11">
        <v>0.125</v>
      </c>
      <c r="I11">
        <v>2.125</v>
      </c>
      <c r="J11">
        <v>5134.0375000000004</v>
      </c>
      <c r="K11">
        <v>4478.0208329999996</v>
      </c>
      <c r="L11">
        <v>5921.2291670000004</v>
      </c>
      <c r="M11">
        <v>21.709166669999998</v>
      </c>
      <c r="N11">
        <v>20.695</v>
      </c>
      <c r="O11">
        <v>23.068333330000002</v>
      </c>
      <c r="Q11" t="s">
        <v>234</v>
      </c>
      <c r="R11" t="s">
        <v>9074</v>
      </c>
      <c r="S11" t="s">
        <v>9058</v>
      </c>
      <c r="T11" t="s">
        <v>9059</v>
      </c>
    </row>
    <row r="12" spans="1:20" x14ac:dyDescent="0.25">
      <c r="A12" t="s">
        <v>9075</v>
      </c>
      <c r="B12">
        <v>-9.8699999999999992</v>
      </c>
      <c r="C12">
        <v>193.2</v>
      </c>
      <c r="D12">
        <v>25.579166669999999</v>
      </c>
      <c r="E12">
        <v>22.916666670000001</v>
      </c>
      <c r="F12">
        <v>28.35</v>
      </c>
      <c r="G12">
        <v>1.473333333</v>
      </c>
      <c r="H12">
        <v>0.29166666699999999</v>
      </c>
      <c r="I12">
        <v>2.1850000000000001</v>
      </c>
      <c r="J12">
        <v>4868.9608330000001</v>
      </c>
      <c r="K12">
        <v>4222.6666670000004</v>
      </c>
      <c r="L12">
        <v>5646.5</v>
      </c>
      <c r="M12">
        <v>22.215</v>
      </c>
      <c r="N12">
        <v>21.39</v>
      </c>
      <c r="O12">
        <v>23.291666670000001</v>
      </c>
      <c r="Q12" t="s">
        <v>234</v>
      </c>
      <c r="R12" t="s">
        <v>9074</v>
      </c>
      <c r="S12" t="s">
        <v>9058</v>
      </c>
      <c r="T12" t="s">
        <v>9061</v>
      </c>
    </row>
    <row r="13" spans="1:20" x14ac:dyDescent="0.25">
      <c r="A13" t="s">
        <v>6069</v>
      </c>
      <c r="B13">
        <v>-9.9600000000000009</v>
      </c>
      <c r="C13">
        <v>220</v>
      </c>
      <c r="D13">
        <v>25.110833329999998</v>
      </c>
      <c r="E13">
        <v>22.7</v>
      </c>
      <c r="F13">
        <v>27.463333330000001</v>
      </c>
      <c r="G13">
        <v>1.430833333</v>
      </c>
      <c r="H13">
        <v>0.42499999999999999</v>
      </c>
      <c r="I13">
        <v>2.12</v>
      </c>
      <c r="J13">
        <v>4468.6416669999999</v>
      </c>
      <c r="K13">
        <v>3831.875</v>
      </c>
      <c r="L13">
        <v>5313.1458329999996</v>
      </c>
      <c r="M13">
        <v>21.84</v>
      </c>
      <c r="N13">
        <v>20.506666670000001</v>
      </c>
      <c r="O13">
        <v>23.12</v>
      </c>
      <c r="Q13" t="s">
        <v>234</v>
      </c>
      <c r="R13" t="s">
        <v>9076</v>
      </c>
      <c r="S13" t="s">
        <v>9065</v>
      </c>
      <c r="T13" t="s">
        <v>9066</v>
      </c>
    </row>
    <row r="14" spans="1:20" x14ac:dyDescent="0.25">
      <c r="A14" t="s">
        <v>9077</v>
      </c>
      <c r="B14">
        <v>-8.17</v>
      </c>
      <c r="C14">
        <v>190</v>
      </c>
      <c r="D14">
        <v>24.403333329999999</v>
      </c>
      <c r="E14">
        <v>21.313333329999999</v>
      </c>
      <c r="F14">
        <v>27.581666670000001</v>
      </c>
      <c r="G14">
        <v>0.52666666699999998</v>
      </c>
      <c r="H14">
        <v>1.6666667E-2</v>
      </c>
      <c r="I14">
        <v>0.91</v>
      </c>
      <c r="J14">
        <v>4955.6591669999998</v>
      </c>
      <c r="K14">
        <v>4230.6875</v>
      </c>
      <c r="L14">
        <v>5808.5833329999996</v>
      </c>
      <c r="M14">
        <v>22.154166669999999</v>
      </c>
      <c r="N14">
        <v>20.67166667</v>
      </c>
      <c r="O14">
        <v>23.901666670000001</v>
      </c>
      <c r="Q14" t="s">
        <v>234</v>
      </c>
      <c r="R14" t="s">
        <v>9078</v>
      </c>
      <c r="S14" t="s">
        <v>9058</v>
      </c>
      <c r="T14" t="s">
        <v>9059</v>
      </c>
    </row>
    <row r="15" spans="1:20" x14ac:dyDescent="0.25">
      <c r="A15" t="s">
        <v>9079</v>
      </c>
      <c r="B15">
        <v>-8.15</v>
      </c>
      <c r="C15">
        <v>196.9</v>
      </c>
      <c r="D15">
        <v>24.596666670000001</v>
      </c>
      <c r="E15">
        <v>21.414999999999999</v>
      </c>
      <c r="F15">
        <v>27.948333330000001</v>
      </c>
      <c r="G15">
        <v>0.64249999999999996</v>
      </c>
      <c r="H15">
        <v>8.3333330000000001E-3</v>
      </c>
      <c r="I15">
        <v>1.0933333329999999</v>
      </c>
      <c r="J15">
        <v>5034.3508330000004</v>
      </c>
      <c r="K15">
        <v>4341.25</v>
      </c>
      <c r="L15">
        <v>5840.6666670000004</v>
      </c>
      <c r="M15">
        <v>22.337499999999999</v>
      </c>
      <c r="N15">
        <v>20.896666669999998</v>
      </c>
      <c r="O15">
        <v>24.033333330000001</v>
      </c>
      <c r="Q15" t="s">
        <v>234</v>
      </c>
      <c r="R15" t="s">
        <v>9080</v>
      </c>
      <c r="S15" t="s">
        <v>9058</v>
      </c>
      <c r="T15" t="s">
        <v>9059</v>
      </c>
    </row>
    <row r="16" spans="1:20" x14ac:dyDescent="0.25">
      <c r="A16" t="s">
        <v>9081</v>
      </c>
      <c r="B16">
        <v>-8.15</v>
      </c>
      <c r="C16">
        <v>196.9</v>
      </c>
      <c r="D16">
        <v>25.67583333</v>
      </c>
      <c r="E16">
        <v>23.021666669999998</v>
      </c>
      <c r="F16">
        <v>28.320833329999999</v>
      </c>
      <c r="G16">
        <v>1.5625</v>
      </c>
      <c r="H16">
        <v>0.90833333299999997</v>
      </c>
      <c r="I16">
        <v>2.0833333330000001</v>
      </c>
      <c r="J16">
        <v>4762.2291670000004</v>
      </c>
      <c r="K16">
        <v>4170.5208329999996</v>
      </c>
      <c r="L16">
        <v>5523.0416670000004</v>
      </c>
      <c r="M16">
        <v>22.66</v>
      </c>
      <c r="N16">
        <v>21.824999999999999</v>
      </c>
      <c r="O16">
        <v>23.675000000000001</v>
      </c>
      <c r="Q16" t="s">
        <v>234</v>
      </c>
      <c r="R16" t="s">
        <v>9080</v>
      </c>
      <c r="S16" t="s">
        <v>9058</v>
      </c>
      <c r="T16" t="s">
        <v>9061</v>
      </c>
    </row>
    <row r="17" spans="1:20" x14ac:dyDescent="0.25">
      <c r="A17" t="s">
        <v>6088</v>
      </c>
      <c r="B17">
        <v>-9.8000000000000007</v>
      </c>
      <c r="C17">
        <v>241</v>
      </c>
      <c r="D17">
        <v>24.849166669999999</v>
      </c>
      <c r="E17">
        <v>22.306666669999998</v>
      </c>
      <c r="F17">
        <v>27.416666670000001</v>
      </c>
      <c r="G17">
        <v>2.7949999999999999</v>
      </c>
      <c r="H17">
        <v>1.431666667</v>
      </c>
      <c r="I17">
        <v>4.0516666670000001</v>
      </c>
      <c r="J17">
        <v>5297.3841670000002</v>
      </c>
      <c r="K17">
        <v>4693.2083329999996</v>
      </c>
      <c r="L17">
        <v>5989</v>
      </c>
      <c r="M17">
        <v>20.46166667</v>
      </c>
      <c r="N17">
        <v>19.829166669999999</v>
      </c>
      <c r="O17">
        <v>21.361666670000002</v>
      </c>
      <c r="Q17" t="s">
        <v>247</v>
      </c>
      <c r="R17" t="s">
        <v>9082</v>
      </c>
      <c r="S17" t="s">
        <v>9065</v>
      </c>
      <c r="T17" t="s">
        <v>9066</v>
      </c>
    </row>
    <row r="18" spans="1:20" x14ac:dyDescent="0.25">
      <c r="A18" t="s">
        <v>9083</v>
      </c>
      <c r="B18">
        <v>-9.8000000000000007</v>
      </c>
      <c r="C18">
        <v>242.5</v>
      </c>
      <c r="D18">
        <v>25.17166667</v>
      </c>
      <c r="E18">
        <v>22.641666669999999</v>
      </c>
      <c r="F18">
        <v>27.684999999999999</v>
      </c>
      <c r="G18">
        <v>2.5508333329999999</v>
      </c>
      <c r="H18">
        <v>1.4083333330000001</v>
      </c>
      <c r="I18">
        <v>3.67</v>
      </c>
      <c r="J18">
        <v>5189.0741669999998</v>
      </c>
      <c r="K18">
        <v>4724.9583329999996</v>
      </c>
      <c r="L18">
        <v>5700.0625</v>
      </c>
      <c r="M18">
        <v>18.704166669999999</v>
      </c>
      <c r="N18">
        <v>17.563333329999999</v>
      </c>
      <c r="O18">
        <v>20.035</v>
      </c>
      <c r="Q18" t="s">
        <v>247</v>
      </c>
      <c r="R18" t="s">
        <v>9082</v>
      </c>
      <c r="S18" t="s">
        <v>9058</v>
      </c>
      <c r="T18" t="s">
        <v>9061</v>
      </c>
    </row>
    <row r="19" spans="1:20" x14ac:dyDescent="0.25">
      <c r="A19" t="s">
        <v>6105</v>
      </c>
      <c r="B19">
        <v>-10.130000000000001</v>
      </c>
      <c r="C19">
        <v>74</v>
      </c>
      <c r="D19">
        <v>25.72583333</v>
      </c>
      <c r="E19">
        <v>23.75</v>
      </c>
      <c r="F19">
        <v>27.833333329999999</v>
      </c>
      <c r="G19">
        <v>2.2149999999999999</v>
      </c>
      <c r="H19">
        <v>1.2875000000000001</v>
      </c>
      <c r="I19">
        <v>3.0833333330000001</v>
      </c>
      <c r="J19">
        <v>5352.4791670000004</v>
      </c>
      <c r="K19">
        <v>4890.5416670000004</v>
      </c>
      <c r="L19">
        <v>6026.4791670000004</v>
      </c>
      <c r="M19">
        <v>21.674166670000002</v>
      </c>
      <c r="N19">
        <v>21.141666669999999</v>
      </c>
      <c r="O19">
        <v>22.335000000000001</v>
      </c>
      <c r="Q19" t="s">
        <v>247</v>
      </c>
      <c r="R19" t="s">
        <v>9084</v>
      </c>
      <c r="S19" t="s">
        <v>9065</v>
      </c>
      <c r="T19" t="s">
        <v>9066</v>
      </c>
    </row>
    <row r="20" spans="1:20" x14ac:dyDescent="0.25">
      <c r="A20" t="s">
        <v>9085</v>
      </c>
      <c r="B20">
        <v>-10.130000000000001</v>
      </c>
      <c r="C20">
        <v>75.5</v>
      </c>
      <c r="D20">
        <v>26.048333329999998</v>
      </c>
      <c r="E20">
        <v>24.2</v>
      </c>
      <c r="F20">
        <v>28.00416667</v>
      </c>
      <c r="G20">
        <v>2.5066666670000002</v>
      </c>
      <c r="H20">
        <v>1.5208333329999999</v>
      </c>
      <c r="I20">
        <v>3.451666667</v>
      </c>
      <c r="J20">
        <v>5534.87</v>
      </c>
      <c r="K20">
        <v>5206.7916670000004</v>
      </c>
      <c r="L20">
        <v>6012.875</v>
      </c>
      <c r="M20">
        <v>21.250833329999999</v>
      </c>
      <c r="N20">
        <v>20.62166667</v>
      </c>
      <c r="O20">
        <v>22.018333330000001</v>
      </c>
      <c r="Q20" t="s">
        <v>247</v>
      </c>
      <c r="R20" t="s">
        <v>9084</v>
      </c>
      <c r="S20" t="s">
        <v>9058</v>
      </c>
      <c r="T20" t="s">
        <v>9061</v>
      </c>
    </row>
    <row r="21" spans="1:20" x14ac:dyDescent="0.25">
      <c r="A21" t="s">
        <v>9086</v>
      </c>
      <c r="B21">
        <v>-9.51</v>
      </c>
      <c r="C21">
        <v>118</v>
      </c>
      <c r="D21">
        <v>25.056666669999998</v>
      </c>
      <c r="E21">
        <v>22.733333330000001</v>
      </c>
      <c r="F21">
        <v>27.439166669999999</v>
      </c>
      <c r="G21">
        <v>3.0716666670000001</v>
      </c>
      <c r="H21">
        <v>1.4750000000000001</v>
      </c>
      <c r="I21">
        <v>4.5833333329999997</v>
      </c>
      <c r="J21">
        <v>5815.4291670000002</v>
      </c>
      <c r="K21">
        <v>5194.125</v>
      </c>
      <c r="L21">
        <v>6578.6875</v>
      </c>
      <c r="M21">
        <v>21.576666670000002</v>
      </c>
      <c r="N21">
        <v>20.94166667</v>
      </c>
      <c r="O21">
        <v>22.333333329999999</v>
      </c>
      <c r="Q21" t="s">
        <v>247</v>
      </c>
      <c r="R21" t="s">
        <v>9087</v>
      </c>
      <c r="S21" t="s">
        <v>9058</v>
      </c>
      <c r="T21" t="s">
        <v>9059</v>
      </c>
    </row>
    <row r="22" spans="1:20" x14ac:dyDescent="0.25">
      <c r="A22" t="s">
        <v>9088</v>
      </c>
      <c r="B22">
        <v>-9.51</v>
      </c>
      <c r="C22">
        <v>118</v>
      </c>
      <c r="D22">
        <v>25.017499999999998</v>
      </c>
      <c r="E22">
        <v>22.84</v>
      </c>
      <c r="F22">
        <v>27.443333330000002</v>
      </c>
      <c r="G22">
        <v>3.2483333330000002</v>
      </c>
      <c r="H22">
        <v>1.5083333329999999</v>
      </c>
      <c r="I22">
        <v>4.8333333329999997</v>
      </c>
      <c r="J22">
        <v>5333.6616670000003</v>
      </c>
      <c r="K22">
        <v>4955.4375</v>
      </c>
      <c r="L22">
        <v>5832.2708329999996</v>
      </c>
      <c r="M22">
        <v>21.540833330000002</v>
      </c>
      <c r="N22">
        <v>20.93333333</v>
      </c>
      <c r="O22">
        <v>22.25</v>
      </c>
      <c r="Q22" t="s">
        <v>247</v>
      </c>
      <c r="R22" t="s">
        <v>9087</v>
      </c>
      <c r="S22" t="s">
        <v>9058</v>
      </c>
      <c r="T22" t="s">
        <v>9061</v>
      </c>
    </row>
    <row r="23" spans="1:20" x14ac:dyDescent="0.25">
      <c r="A23" t="s">
        <v>9089</v>
      </c>
      <c r="B23">
        <v>-9.5500000000000007</v>
      </c>
      <c r="C23">
        <v>66</v>
      </c>
      <c r="D23">
        <v>25.733333330000001</v>
      </c>
      <c r="E23">
        <v>23.984999999999999</v>
      </c>
      <c r="F23">
        <v>27.555</v>
      </c>
      <c r="G23">
        <v>2.8758333330000001</v>
      </c>
      <c r="H23">
        <v>1.673333333</v>
      </c>
      <c r="I23">
        <v>4.0599999999999996</v>
      </c>
      <c r="J23">
        <v>5422.5150000000003</v>
      </c>
      <c r="K23">
        <v>5098.75</v>
      </c>
      <c r="L23">
        <v>5907.9791670000004</v>
      </c>
      <c r="M23">
        <v>17.651666670000001</v>
      </c>
      <c r="N23">
        <v>16.983333330000001</v>
      </c>
      <c r="O23">
        <v>18.375</v>
      </c>
      <c r="Q23" t="s">
        <v>247</v>
      </c>
      <c r="R23" t="s">
        <v>9090</v>
      </c>
      <c r="S23" t="s">
        <v>9058</v>
      </c>
      <c r="T23" t="s">
        <v>9061</v>
      </c>
    </row>
    <row r="24" spans="1:20" x14ac:dyDescent="0.25">
      <c r="A24" t="s">
        <v>6089</v>
      </c>
      <c r="B24">
        <v>-9.67</v>
      </c>
      <c r="C24">
        <v>64</v>
      </c>
      <c r="D24">
        <v>25.526666670000001</v>
      </c>
      <c r="E24">
        <v>23.44166667</v>
      </c>
      <c r="F24">
        <v>27.67</v>
      </c>
      <c r="G24">
        <v>2.744166667</v>
      </c>
      <c r="H24">
        <v>1.35</v>
      </c>
      <c r="I24">
        <v>4.0433333329999996</v>
      </c>
      <c r="J24">
        <v>5621.4408329999997</v>
      </c>
      <c r="K24">
        <v>5155.2708329999996</v>
      </c>
      <c r="L24">
        <v>6340.4375</v>
      </c>
      <c r="M24">
        <v>21.392499999999998</v>
      </c>
      <c r="N24">
        <v>20.858333330000001</v>
      </c>
      <c r="O24">
        <v>22.033333330000001</v>
      </c>
      <c r="Q24" t="s">
        <v>247</v>
      </c>
      <c r="R24" t="s">
        <v>9091</v>
      </c>
      <c r="S24" t="s">
        <v>9065</v>
      </c>
      <c r="T24" t="s">
        <v>9066</v>
      </c>
    </row>
    <row r="25" spans="1:20" x14ac:dyDescent="0.25">
      <c r="A25" t="s">
        <v>9092</v>
      </c>
      <c r="B25">
        <v>-9.42</v>
      </c>
      <c r="C25">
        <v>276.5</v>
      </c>
      <c r="D25">
        <v>25.0425</v>
      </c>
      <c r="E25">
        <v>22.49</v>
      </c>
      <c r="F25">
        <v>27.495000000000001</v>
      </c>
      <c r="G25">
        <v>2.1524999999999999</v>
      </c>
      <c r="H25">
        <v>1.0249999999999999</v>
      </c>
      <c r="I25">
        <v>3.1349999999999998</v>
      </c>
      <c r="J25">
        <v>5222.9575000000004</v>
      </c>
      <c r="K25">
        <v>4720.7916670000004</v>
      </c>
      <c r="L25">
        <v>5790.3333329999996</v>
      </c>
      <c r="M25">
        <v>20.526666670000001</v>
      </c>
      <c r="N25">
        <v>19.475000000000001</v>
      </c>
      <c r="O25">
        <v>21.516666669999999</v>
      </c>
      <c r="Q25" t="s">
        <v>247</v>
      </c>
      <c r="R25" t="s">
        <v>9093</v>
      </c>
      <c r="S25" t="s">
        <v>9058</v>
      </c>
      <c r="T25" t="s">
        <v>9061</v>
      </c>
    </row>
    <row r="26" spans="1:20" x14ac:dyDescent="0.25">
      <c r="A26" t="s">
        <v>6094</v>
      </c>
      <c r="B26">
        <v>-9.41</v>
      </c>
      <c r="C26">
        <v>275</v>
      </c>
      <c r="D26">
        <v>25.285</v>
      </c>
      <c r="E26">
        <v>22.666666670000001</v>
      </c>
      <c r="F26">
        <v>27.916666670000001</v>
      </c>
      <c r="G26">
        <v>2.684166667</v>
      </c>
      <c r="H26">
        <v>1.6</v>
      </c>
      <c r="I26">
        <v>3.71</v>
      </c>
      <c r="J26">
        <v>5315.9849999999997</v>
      </c>
      <c r="K26">
        <v>4735.8333329999996</v>
      </c>
      <c r="L26">
        <v>6116.6458329999996</v>
      </c>
      <c r="M26">
        <v>19.466666669999999</v>
      </c>
      <c r="N26">
        <v>18.8</v>
      </c>
      <c r="O26">
        <v>20.43333333</v>
      </c>
      <c r="Q26" t="s">
        <v>247</v>
      </c>
      <c r="R26" t="s">
        <v>9094</v>
      </c>
      <c r="S26" t="s">
        <v>9065</v>
      </c>
      <c r="T26" t="s">
        <v>9066</v>
      </c>
    </row>
    <row r="27" spans="1:20" x14ac:dyDescent="0.25">
      <c r="A27" t="s">
        <v>6093</v>
      </c>
      <c r="B27">
        <v>-9.75</v>
      </c>
      <c r="C27">
        <v>19</v>
      </c>
      <c r="D27">
        <v>27.28916667</v>
      </c>
      <c r="E27">
        <v>24.338333330000001</v>
      </c>
      <c r="F27">
        <v>30.22</v>
      </c>
      <c r="G27">
        <v>1.825</v>
      </c>
      <c r="H27">
        <v>0.55500000000000005</v>
      </c>
      <c r="I27">
        <v>2.8766666669999998</v>
      </c>
      <c r="J27">
        <v>5710.8924999999999</v>
      </c>
      <c r="K27">
        <v>5219.6041670000004</v>
      </c>
      <c r="L27">
        <v>6357.2291670000004</v>
      </c>
      <c r="M27">
        <v>20.404166669999999</v>
      </c>
      <c r="N27">
        <v>19.463333330000001</v>
      </c>
      <c r="O27">
        <v>21.591666669999999</v>
      </c>
      <c r="Q27" t="s">
        <v>247</v>
      </c>
      <c r="R27" t="s">
        <v>9095</v>
      </c>
      <c r="S27" t="s">
        <v>9065</v>
      </c>
      <c r="T27" t="s">
        <v>9066</v>
      </c>
    </row>
    <row r="28" spans="1:20" x14ac:dyDescent="0.25">
      <c r="A28" t="s">
        <v>9096</v>
      </c>
      <c r="B28">
        <v>-9.75</v>
      </c>
      <c r="C28">
        <v>20.5</v>
      </c>
      <c r="D28">
        <v>27.24</v>
      </c>
      <c r="E28">
        <v>24.155000000000001</v>
      </c>
      <c r="F28">
        <v>30.143333330000001</v>
      </c>
      <c r="G28">
        <v>2.2141666670000002</v>
      </c>
      <c r="H28">
        <v>0.99166666699999995</v>
      </c>
      <c r="I28">
        <v>3.2766666670000002</v>
      </c>
      <c r="J28">
        <v>5329.51</v>
      </c>
      <c r="K28">
        <v>4710.1875</v>
      </c>
      <c r="L28">
        <v>6011.5625</v>
      </c>
      <c r="M28">
        <v>18.661666669999999</v>
      </c>
      <c r="N28">
        <v>16.954999999999998</v>
      </c>
      <c r="O28">
        <v>20.7</v>
      </c>
      <c r="Q28" t="s">
        <v>247</v>
      </c>
      <c r="R28" t="s">
        <v>9095</v>
      </c>
      <c r="S28" t="s">
        <v>9058</v>
      </c>
      <c r="T28" t="s">
        <v>9061</v>
      </c>
    </row>
    <row r="29" spans="1:20" x14ac:dyDescent="0.25">
      <c r="A29" t="s">
        <v>6091</v>
      </c>
      <c r="B29">
        <v>-9.2899999999999991</v>
      </c>
      <c r="C29">
        <v>19</v>
      </c>
      <c r="D29">
        <v>25.42583333</v>
      </c>
      <c r="E29">
        <v>22.89833333</v>
      </c>
      <c r="F29">
        <v>28.184999999999999</v>
      </c>
      <c r="G29">
        <v>1.7024999999999999</v>
      </c>
      <c r="H29">
        <v>0.69166666700000001</v>
      </c>
      <c r="I29">
        <v>2.6916666669999998</v>
      </c>
      <c r="J29">
        <v>4715.8766670000005</v>
      </c>
      <c r="K29">
        <v>4240.2708329999996</v>
      </c>
      <c r="L29">
        <v>5424.375</v>
      </c>
      <c r="M29">
        <v>21.824999999999999</v>
      </c>
      <c r="N29">
        <v>21.223333329999999</v>
      </c>
      <c r="O29">
        <v>22.46833333</v>
      </c>
      <c r="Q29" t="s">
        <v>247</v>
      </c>
      <c r="R29" t="s">
        <v>9097</v>
      </c>
      <c r="S29" t="s">
        <v>9065</v>
      </c>
      <c r="T29" t="s">
        <v>9066</v>
      </c>
    </row>
    <row r="30" spans="1:20" x14ac:dyDescent="0.25">
      <c r="A30" t="s">
        <v>9098</v>
      </c>
      <c r="B30">
        <v>-9.2799999999999994</v>
      </c>
      <c r="C30">
        <v>20.5</v>
      </c>
      <c r="D30">
        <v>25.394166670000001</v>
      </c>
      <c r="E30">
        <v>23.04666667</v>
      </c>
      <c r="F30">
        <v>27.9</v>
      </c>
      <c r="G30">
        <v>2.2233333329999998</v>
      </c>
      <c r="H30">
        <v>1.1333333329999999</v>
      </c>
      <c r="I30">
        <v>3.391666667</v>
      </c>
      <c r="J30">
        <v>5381.1916670000001</v>
      </c>
      <c r="K30">
        <v>5054.625</v>
      </c>
      <c r="L30">
        <v>5828.3958329999996</v>
      </c>
      <c r="M30">
        <v>21.677499999999998</v>
      </c>
      <c r="N30">
        <v>20.931666669999998</v>
      </c>
      <c r="O30">
        <v>22.358333330000001</v>
      </c>
      <c r="Q30" t="s">
        <v>247</v>
      </c>
      <c r="R30" t="s">
        <v>9097</v>
      </c>
      <c r="S30" t="s">
        <v>9058</v>
      </c>
      <c r="T30" t="s">
        <v>9061</v>
      </c>
    </row>
    <row r="31" spans="1:20" x14ac:dyDescent="0.25">
      <c r="A31" t="s">
        <v>9099</v>
      </c>
      <c r="B31">
        <v>-7.2</v>
      </c>
      <c r="C31">
        <v>169.5</v>
      </c>
      <c r="D31">
        <v>26.252500000000001</v>
      </c>
      <c r="E31">
        <v>23.641666669999999</v>
      </c>
      <c r="F31">
        <v>28.603333330000002</v>
      </c>
      <c r="G31">
        <v>1.1950000000000001</v>
      </c>
      <c r="H31">
        <v>0.70666666700000003</v>
      </c>
      <c r="I31">
        <v>1.6</v>
      </c>
      <c r="J31">
        <v>4716.4408329999997</v>
      </c>
      <c r="K31">
        <v>4145.7083329999996</v>
      </c>
      <c r="L31">
        <v>5359.7083329999996</v>
      </c>
      <c r="M31">
        <v>22.014166670000002</v>
      </c>
      <c r="N31">
        <v>21.166666670000001</v>
      </c>
      <c r="O31">
        <v>23.10166667</v>
      </c>
      <c r="Q31" t="s">
        <v>268</v>
      </c>
      <c r="R31" t="s">
        <v>9100</v>
      </c>
      <c r="S31" t="s">
        <v>9058</v>
      </c>
      <c r="T31" t="s">
        <v>9061</v>
      </c>
    </row>
    <row r="32" spans="1:20" x14ac:dyDescent="0.25">
      <c r="A32" t="s">
        <v>6158</v>
      </c>
      <c r="B32">
        <v>-3.58</v>
      </c>
      <c r="C32">
        <v>28</v>
      </c>
      <c r="D32">
        <v>26.500833329999999</v>
      </c>
      <c r="E32">
        <v>24.208333329999999</v>
      </c>
      <c r="F32">
        <v>28.695</v>
      </c>
      <c r="G32">
        <v>0.78333333299999997</v>
      </c>
      <c r="H32">
        <v>5.8333333000000001E-2</v>
      </c>
      <c r="I32">
        <v>1.3</v>
      </c>
      <c r="J32">
        <v>4217.5333330000003</v>
      </c>
      <c r="K32">
        <v>3624.645833</v>
      </c>
      <c r="L32">
        <v>5096.2916670000004</v>
      </c>
      <c r="M32">
        <v>23.302499999999998</v>
      </c>
      <c r="N32">
        <v>22.774999999999999</v>
      </c>
      <c r="O32">
        <v>23.908333330000001</v>
      </c>
      <c r="Q32" t="s">
        <v>268</v>
      </c>
      <c r="R32" t="s">
        <v>9101</v>
      </c>
      <c r="S32" t="s">
        <v>9065</v>
      </c>
      <c r="T32" t="s">
        <v>9066</v>
      </c>
    </row>
    <row r="33" spans="1:20" x14ac:dyDescent="0.25">
      <c r="A33" t="s">
        <v>9102</v>
      </c>
      <c r="B33">
        <v>-3.58</v>
      </c>
      <c r="C33">
        <v>29.5</v>
      </c>
      <c r="D33">
        <v>27.160833329999999</v>
      </c>
      <c r="E33">
        <v>24.94166667</v>
      </c>
      <c r="F33">
        <v>29.193333330000002</v>
      </c>
      <c r="G33">
        <v>0.21249999999999999</v>
      </c>
      <c r="H33">
        <v>9.1666666999999993E-2</v>
      </c>
      <c r="I33">
        <v>0.241666667</v>
      </c>
      <c r="J33">
        <v>4697.9166670000004</v>
      </c>
      <c r="K33">
        <v>4051.583333</v>
      </c>
      <c r="L33">
        <v>5423.6458329999996</v>
      </c>
      <c r="M33">
        <v>23.310833330000001</v>
      </c>
      <c r="N33">
        <v>23.074999999999999</v>
      </c>
      <c r="O33">
        <v>24.19166667</v>
      </c>
      <c r="Q33" t="s">
        <v>268</v>
      </c>
      <c r="R33" t="s">
        <v>9101</v>
      </c>
      <c r="S33" t="s">
        <v>9058</v>
      </c>
      <c r="T33" t="s">
        <v>9061</v>
      </c>
    </row>
    <row r="34" spans="1:20" x14ac:dyDescent="0.25">
      <c r="A34" t="s">
        <v>6159</v>
      </c>
      <c r="B34">
        <v>-0.99</v>
      </c>
      <c r="C34">
        <v>17</v>
      </c>
      <c r="D34">
        <v>26.270833329999999</v>
      </c>
      <c r="E34">
        <v>23.82</v>
      </c>
      <c r="F34">
        <v>28.681666669999998</v>
      </c>
      <c r="G34">
        <v>0.95250000000000001</v>
      </c>
      <c r="H34">
        <v>6.6666666999999999E-2</v>
      </c>
      <c r="I34">
        <v>1.618333333</v>
      </c>
      <c r="J34">
        <v>4665.5225</v>
      </c>
      <c r="K34">
        <v>3922.375</v>
      </c>
      <c r="L34">
        <v>5672.3958329999996</v>
      </c>
      <c r="M34">
        <v>23.285833329999999</v>
      </c>
      <c r="N34">
        <v>22.675000000000001</v>
      </c>
      <c r="O34">
        <v>23.885000000000002</v>
      </c>
      <c r="Q34" t="s">
        <v>268</v>
      </c>
      <c r="R34" t="s">
        <v>9103</v>
      </c>
      <c r="S34" t="s">
        <v>9065</v>
      </c>
      <c r="T34" t="s">
        <v>9066</v>
      </c>
    </row>
    <row r="35" spans="1:20" x14ac:dyDescent="0.25">
      <c r="A35" t="s">
        <v>9104</v>
      </c>
      <c r="B35">
        <v>-0.98</v>
      </c>
      <c r="C35">
        <v>18.5</v>
      </c>
      <c r="D35">
        <v>26.64</v>
      </c>
      <c r="E35">
        <v>24.84</v>
      </c>
      <c r="F35">
        <v>28.00333333</v>
      </c>
      <c r="G35">
        <v>1.425</v>
      </c>
      <c r="H35">
        <v>0.99166666699999995</v>
      </c>
      <c r="I35">
        <v>1.808333333</v>
      </c>
      <c r="J35">
        <v>4569.5341669999998</v>
      </c>
      <c r="K35">
        <v>3959.166667</v>
      </c>
      <c r="L35">
        <v>5402.0833329999996</v>
      </c>
      <c r="M35">
        <v>24.12083333</v>
      </c>
      <c r="N35">
        <v>23.541666670000001</v>
      </c>
      <c r="O35">
        <v>24.684999999999999</v>
      </c>
      <c r="Q35" t="s">
        <v>268</v>
      </c>
      <c r="R35" t="s">
        <v>9103</v>
      </c>
      <c r="S35" t="s">
        <v>9058</v>
      </c>
      <c r="T35" t="s">
        <v>9061</v>
      </c>
    </row>
    <row r="36" spans="1:20" x14ac:dyDescent="0.25">
      <c r="A36" t="s">
        <v>9105</v>
      </c>
      <c r="B36">
        <v>-4.38</v>
      </c>
      <c r="C36">
        <v>65</v>
      </c>
      <c r="D36">
        <v>26.105</v>
      </c>
      <c r="E36">
        <v>24.065000000000001</v>
      </c>
      <c r="F36">
        <v>27.923333329999998</v>
      </c>
      <c r="G36">
        <v>1.129166667</v>
      </c>
      <c r="H36">
        <v>0.74</v>
      </c>
      <c r="I36">
        <v>1.4750000000000001</v>
      </c>
      <c r="J36">
        <v>4425.0141670000003</v>
      </c>
      <c r="K36">
        <v>3731.416667</v>
      </c>
      <c r="L36">
        <v>5153.5416670000004</v>
      </c>
      <c r="M36">
        <v>24.072500000000002</v>
      </c>
      <c r="N36">
        <v>23.31666667</v>
      </c>
      <c r="O36">
        <v>24.758333329999999</v>
      </c>
      <c r="Q36" t="s">
        <v>268</v>
      </c>
      <c r="R36" t="s">
        <v>9106</v>
      </c>
      <c r="S36" t="s">
        <v>9058</v>
      </c>
      <c r="T36" t="s">
        <v>9061</v>
      </c>
    </row>
    <row r="37" spans="1:20" x14ac:dyDescent="0.25">
      <c r="A37" t="s">
        <v>9107</v>
      </c>
      <c r="B37">
        <v>-8.75</v>
      </c>
      <c r="C37">
        <v>112.5</v>
      </c>
      <c r="D37">
        <v>25.984999999999999</v>
      </c>
      <c r="E37">
        <v>23.491666670000001</v>
      </c>
      <c r="F37">
        <v>28.41</v>
      </c>
      <c r="G37">
        <v>1.295833333</v>
      </c>
      <c r="H37">
        <v>0.64166666699999997</v>
      </c>
      <c r="I37">
        <v>1.818333333</v>
      </c>
      <c r="J37">
        <v>4850.6766669999997</v>
      </c>
      <c r="K37">
        <v>4148.4375</v>
      </c>
      <c r="L37">
        <v>5576.8333329999996</v>
      </c>
      <c r="M37">
        <v>22.502500000000001</v>
      </c>
      <c r="N37">
        <v>21.80833333</v>
      </c>
      <c r="O37">
        <v>23.46833333</v>
      </c>
      <c r="Q37" t="s">
        <v>268</v>
      </c>
      <c r="R37" t="s">
        <v>9108</v>
      </c>
      <c r="S37" t="s">
        <v>9058</v>
      </c>
      <c r="T37" t="s">
        <v>9061</v>
      </c>
    </row>
    <row r="38" spans="1:20" x14ac:dyDescent="0.25">
      <c r="A38" t="s">
        <v>6154</v>
      </c>
      <c r="B38">
        <v>-4.0999999999999996</v>
      </c>
      <c r="C38">
        <v>43</v>
      </c>
      <c r="D38">
        <v>26.249166670000001</v>
      </c>
      <c r="E38">
        <v>24.074999999999999</v>
      </c>
      <c r="F38">
        <v>28.221666670000001</v>
      </c>
      <c r="G38">
        <v>1.1991666670000001</v>
      </c>
      <c r="H38">
        <v>0.366666667</v>
      </c>
      <c r="I38">
        <v>1.85</v>
      </c>
      <c r="J38">
        <v>4586.1116670000001</v>
      </c>
      <c r="K38">
        <v>3801.125</v>
      </c>
      <c r="L38">
        <v>5609.8125</v>
      </c>
      <c r="M38">
        <v>23.009166669999999</v>
      </c>
      <c r="N38">
        <v>22.491666670000001</v>
      </c>
      <c r="O38">
        <v>23.616666670000001</v>
      </c>
      <c r="Q38" t="s">
        <v>268</v>
      </c>
      <c r="R38" t="s">
        <v>9109</v>
      </c>
      <c r="S38" t="s">
        <v>9065</v>
      </c>
      <c r="T38" t="s">
        <v>9066</v>
      </c>
    </row>
    <row r="39" spans="1:20" x14ac:dyDescent="0.25">
      <c r="A39" t="s">
        <v>9110</v>
      </c>
      <c r="B39">
        <v>-4.0999999999999996</v>
      </c>
      <c r="C39">
        <v>44.5</v>
      </c>
      <c r="D39">
        <v>27.134166669999999</v>
      </c>
      <c r="E39">
        <v>25.291666670000001</v>
      </c>
      <c r="F39">
        <v>28.728333330000002</v>
      </c>
      <c r="G39">
        <v>1.256666667</v>
      </c>
      <c r="H39">
        <v>0.65</v>
      </c>
      <c r="I39">
        <v>1.7583333329999999</v>
      </c>
      <c r="J39">
        <v>4639.5141670000003</v>
      </c>
      <c r="K39">
        <v>4100.3333329999996</v>
      </c>
      <c r="L39">
        <v>5346.4791670000004</v>
      </c>
      <c r="M39">
        <v>24.224166669999999</v>
      </c>
      <c r="N39">
        <v>23.625</v>
      </c>
      <c r="O39">
        <v>24.768333330000001</v>
      </c>
      <c r="Q39" t="s">
        <v>268</v>
      </c>
      <c r="R39" t="s">
        <v>9109</v>
      </c>
      <c r="S39" t="s">
        <v>9058</v>
      </c>
      <c r="T39" t="s">
        <v>9061</v>
      </c>
    </row>
    <row r="40" spans="1:20" x14ac:dyDescent="0.25">
      <c r="A40" t="s">
        <v>9111</v>
      </c>
      <c r="B40">
        <v>-3.83</v>
      </c>
      <c r="C40">
        <v>49</v>
      </c>
      <c r="D40">
        <v>26.478333330000002</v>
      </c>
      <c r="E40">
        <v>24.75</v>
      </c>
      <c r="F40">
        <v>27.844999999999999</v>
      </c>
      <c r="G40">
        <v>1.224166667</v>
      </c>
      <c r="H40">
        <v>0.823333333</v>
      </c>
      <c r="I40">
        <v>1.5833333329999999</v>
      </c>
      <c r="J40">
        <v>4569.8158329999997</v>
      </c>
      <c r="K40">
        <v>4036.6875</v>
      </c>
      <c r="L40">
        <v>5227.75</v>
      </c>
      <c r="M40">
        <v>24.08</v>
      </c>
      <c r="N40">
        <v>23.541666670000001</v>
      </c>
      <c r="O40">
        <v>24.591666669999999</v>
      </c>
      <c r="Q40" t="s">
        <v>268</v>
      </c>
      <c r="R40" t="s">
        <v>9112</v>
      </c>
      <c r="S40" t="s">
        <v>9058</v>
      </c>
      <c r="T40" t="s">
        <v>9061</v>
      </c>
    </row>
    <row r="41" spans="1:20" x14ac:dyDescent="0.25">
      <c r="A41" t="s">
        <v>9113</v>
      </c>
      <c r="B41">
        <v>-6.67</v>
      </c>
      <c r="C41">
        <v>104</v>
      </c>
      <c r="D41">
        <v>25.154166669999999</v>
      </c>
      <c r="E41">
        <v>21.848333329999999</v>
      </c>
      <c r="F41">
        <v>28.396666669999998</v>
      </c>
      <c r="G41">
        <v>0.16500000000000001</v>
      </c>
      <c r="H41">
        <v>0</v>
      </c>
      <c r="I41">
        <v>0.17499999999999999</v>
      </c>
      <c r="J41">
        <v>4845.1241669999999</v>
      </c>
      <c r="K41">
        <v>4236</v>
      </c>
      <c r="L41">
        <v>5585.3333329999996</v>
      </c>
      <c r="M41">
        <v>23.122499999999999</v>
      </c>
      <c r="N41">
        <v>21.56666667</v>
      </c>
      <c r="O41">
        <v>24.833333329999999</v>
      </c>
      <c r="Q41" t="s">
        <v>268</v>
      </c>
      <c r="R41" t="s">
        <v>9114</v>
      </c>
      <c r="S41" t="s">
        <v>9058</v>
      </c>
      <c r="T41" t="s">
        <v>9059</v>
      </c>
    </row>
    <row r="42" spans="1:20" x14ac:dyDescent="0.25">
      <c r="A42" t="s">
        <v>9115</v>
      </c>
      <c r="B42">
        <v>-6.67</v>
      </c>
      <c r="C42">
        <v>104</v>
      </c>
      <c r="D42">
        <v>25.869166669999998</v>
      </c>
      <c r="E42">
        <v>23.40666667</v>
      </c>
      <c r="F42">
        <v>28.12833333</v>
      </c>
      <c r="G42">
        <v>0.68666666700000001</v>
      </c>
      <c r="H42">
        <v>0</v>
      </c>
      <c r="I42">
        <v>1.3333333329999999</v>
      </c>
      <c r="J42">
        <v>4700.7891669999999</v>
      </c>
      <c r="K42">
        <v>4059.604167</v>
      </c>
      <c r="L42">
        <v>5433.3541670000004</v>
      </c>
      <c r="M42">
        <v>23.651666670000001</v>
      </c>
      <c r="N42">
        <v>22.715</v>
      </c>
      <c r="O42">
        <v>24.783333330000001</v>
      </c>
      <c r="Q42" t="s">
        <v>268</v>
      </c>
      <c r="R42" t="s">
        <v>9114</v>
      </c>
      <c r="S42" t="s">
        <v>9058</v>
      </c>
      <c r="T42" t="s">
        <v>9061</v>
      </c>
    </row>
    <row r="43" spans="1:20" x14ac:dyDescent="0.25">
      <c r="A43" t="s">
        <v>9116</v>
      </c>
      <c r="B43">
        <v>-2.5299999999999998</v>
      </c>
      <c r="C43">
        <v>56</v>
      </c>
      <c r="D43">
        <v>25.002500000000001</v>
      </c>
      <c r="E43">
        <v>21.85</v>
      </c>
      <c r="F43">
        <v>28.10166667</v>
      </c>
      <c r="G43">
        <v>0.91249999999999998</v>
      </c>
      <c r="H43">
        <v>0.40833333300000002</v>
      </c>
      <c r="I43">
        <v>1.2183333329999999</v>
      </c>
      <c r="J43">
        <v>5035.2749999999996</v>
      </c>
      <c r="K43">
        <v>4363.1458329999996</v>
      </c>
      <c r="L43">
        <v>5814.1458329999996</v>
      </c>
      <c r="M43">
        <v>23.401666670000001</v>
      </c>
      <c r="N43">
        <v>21.591666669999999</v>
      </c>
      <c r="O43">
        <v>25.443333330000002</v>
      </c>
      <c r="Q43" t="s">
        <v>268</v>
      </c>
      <c r="R43" t="s">
        <v>9117</v>
      </c>
      <c r="S43" t="s">
        <v>9058</v>
      </c>
      <c r="T43" t="s">
        <v>9059</v>
      </c>
    </row>
    <row r="44" spans="1:20" x14ac:dyDescent="0.25">
      <c r="A44" t="s">
        <v>9118</v>
      </c>
      <c r="B44">
        <v>-2.5299999999999998</v>
      </c>
      <c r="C44">
        <v>56</v>
      </c>
      <c r="D44">
        <v>26.592500000000001</v>
      </c>
      <c r="E44">
        <v>24.533333330000001</v>
      </c>
      <c r="F44">
        <v>28.355</v>
      </c>
      <c r="G44">
        <v>1.1125</v>
      </c>
      <c r="H44">
        <v>0.72499999999999998</v>
      </c>
      <c r="I44">
        <v>1.4583333329999999</v>
      </c>
      <c r="J44">
        <v>4548.3500000000004</v>
      </c>
      <c r="K44">
        <v>3946.416667</v>
      </c>
      <c r="L44">
        <v>5238.8958329999996</v>
      </c>
      <c r="M44">
        <v>24.241666670000001</v>
      </c>
      <c r="N44">
        <v>23.533333330000001</v>
      </c>
      <c r="O44">
        <v>24.883333329999999</v>
      </c>
      <c r="Q44" t="s">
        <v>268</v>
      </c>
      <c r="R44" t="s">
        <v>9117</v>
      </c>
      <c r="S44" t="s">
        <v>9058</v>
      </c>
      <c r="T44" t="s">
        <v>9061</v>
      </c>
    </row>
    <row r="45" spans="1:20" x14ac:dyDescent="0.25">
      <c r="A45" t="s">
        <v>9119</v>
      </c>
      <c r="B45">
        <v>-7.55</v>
      </c>
      <c r="C45">
        <v>73.5</v>
      </c>
      <c r="D45">
        <v>26.53083333</v>
      </c>
      <c r="E45">
        <v>23.89833333</v>
      </c>
      <c r="F45">
        <v>29.135000000000002</v>
      </c>
      <c r="G45">
        <v>0.72166666700000004</v>
      </c>
      <c r="H45">
        <v>0.20833333300000001</v>
      </c>
      <c r="I45">
        <v>0.926666667</v>
      </c>
      <c r="J45">
        <v>4744.9449999999997</v>
      </c>
      <c r="K45">
        <v>4258.1041670000004</v>
      </c>
      <c r="L45">
        <v>5406.875</v>
      </c>
      <c r="M45">
        <v>22.482500000000002</v>
      </c>
      <c r="N45">
        <v>21.806666669999998</v>
      </c>
      <c r="O45">
        <v>23.3</v>
      </c>
      <c r="Q45" t="s">
        <v>268</v>
      </c>
      <c r="R45" t="s">
        <v>9120</v>
      </c>
      <c r="S45" t="s">
        <v>9058</v>
      </c>
      <c r="T45" t="s">
        <v>9061</v>
      </c>
    </row>
    <row r="46" spans="1:20" x14ac:dyDescent="0.25">
      <c r="A46" t="s">
        <v>6165</v>
      </c>
      <c r="B46">
        <v>-7.55</v>
      </c>
      <c r="C46">
        <v>72</v>
      </c>
      <c r="D46">
        <v>26.284166670000001</v>
      </c>
      <c r="E46">
        <v>23.69</v>
      </c>
      <c r="F46">
        <v>28.963333330000001</v>
      </c>
      <c r="G46">
        <v>1.2616666670000001</v>
      </c>
      <c r="H46">
        <v>0.133333333</v>
      </c>
      <c r="I46">
        <v>2.0099999999999998</v>
      </c>
      <c r="J46">
        <v>4337.0116669999998</v>
      </c>
      <c r="K46">
        <v>3739.75</v>
      </c>
      <c r="L46">
        <v>5116.0208329999996</v>
      </c>
      <c r="M46">
        <v>22.790833330000002</v>
      </c>
      <c r="N46">
        <v>22.19166667</v>
      </c>
      <c r="O46">
        <v>23.425000000000001</v>
      </c>
      <c r="Q46" t="s">
        <v>268</v>
      </c>
      <c r="R46" t="s">
        <v>9121</v>
      </c>
      <c r="S46" t="s">
        <v>9065</v>
      </c>
      <c r="T46" t="s">
        <v>9066</v>
      </c>
    </row>
    <row r="47" spans="1:20" x14ac:dyDescent="0.25">
      <c r="A47" t="s">
        <v>9122</v>
      </c>
      <c r="B47">
        <v>0.61</v>
      </c>
      <c r="C47">
        <v>105.2</v>
      </c>
      <c r="D47">
        <v>25.1175</v>
      </c>
      <c r="E47">
        <v>22.26166667</v>
      </c>
      <c r="F47">
        <v>27.8325</v>
      </c>
      <c r="G47">
        <v>0.46416666699999998</v>
      </c>
      <c r="H47">
        <v>4.1666666999999998E-2</v>
      </c>
      <c r="I47">
        <v>0.59166666700000003</v>
      </c>
      <c r="J47">
        <v>4888.6908329999997</v>
      </c>
      <c r="K47">
        <v>4191.5625</v>
      </c>
      <c r="L47">
        <v>5815.8958329999996</v>
      </c>
      <c r="M47">
        <v>22.741666670000001</v>
      </c>
      <c r="N47">
        <v>21.631666670000001</v>
      </c>
      <c r="O47">
        <v>24.326666670000002</v>
      </c>
      <c r="Q47" t="s">
        <v>268</v>
      </c>
      <c r="R47" t="s">
        <v>9123</v>
      </c>
      <c r="S47" t="s">
        <v>9058</v>
      </c>
      <c r="T47" t="s">
        <v>9059</v>
      </c>
    </row>
    <row r="48" spans="1:20" x14ac:dyDescent="0.25">
      <c r="A48" t="s">
        <v>9124</v>
      </c>
      <c r="B48">
        <v>0.61</v>
      </c>
      <c r="C48">
        <v>105.2</v>
      </c>
      <c r="D48">
        <v>25.706666670000001</v>
      </c>
      <c r="E48">
        <v>23.591666669999999</v>
      </c>
      <c r="F48">
        <v>27.326666670000002</v>
      </c>
      <c r="G48">
        <v>1.0308333329999999</v>
      </c>
      <c r="H48">
        <v>0.62333333300000004</v>
      </c>
      <c r="I48">
        <v>1.391666667</v>
      </c>
      <c r="J48">
        <v>4489.9891669999997</v>
      </c>
      <c r="K48">
        <v>3931.958333</v>
      </c>
      <c r="L48">
        <v>5136.9583329999996</v>
      </c>
      <c r="M48">
        <v>23.678333330000001</v>
      </c>
      <c r="N48">
        <v>23.016666669999999</v>
      </c>
      <c r="O48">
        <v>24.303333330000001</v>
      </c>
      <c r="Q48" t="s">
        <v>268</v>
      </c>
      <c r="R48" t="s">
        <v>9123</v>
      </c>
      <c r="S48" t="s">
        <v>9058</v>
      </c>
      <c r="T48" t="s">
        <v>9061</v>
      </c>
    </row>
    <row r="49" spans="1:20" x14ac:dyDescent="0.25">
      <c r="A49" t="s">
        <v>6169</v>
      </c>
      <c r="B49">
        <v>-3.13</v>
      </c>
      <c r="C49">
        <v>45</v>
      </c>
      <c r="D49">
        <v>26.424166670000002</v>
      </c>
      <c r="E49">
        <v>24.6</v>
      </c>
      <c r="F49">
        <v>28.056666669999998</v>
      </c>
      <c r="G49">
        <v>1.025833333</v>
      </c>
      <c r="H49">
        <v>0.47499999999999998</v>
      </c>
      <c r="I49">
        <v>1.4583333329999999</v>
      </c>
      <c r="J49">
        <v>4356.96</v>
      </c>
      <c r="K49">
        <v>3604.145833</v>
      </c>
      <c r="L49">
        <v>5315.25</v>
      </c>
      <c r="M49">
        <v>23.4025</v>
      </c>
      <c r="N49">
        <v>22.916666670000001</v>
      </c>
      <c r="O49">
        <v>23.934999999999999</v>
      </c>
      <c r="Q49" t="s">
        <v>268</v>
      </c>
      <c r="R49" t="s">
        <v>9125</v>
      </c>
      <c r="S49" t="s">
        <v>9065</v>
      </c>
      <c r="T49" t="s">
        <v>9066</v>
      </c>
    </row>
    <row r="50" spans="1:20" x14ac:dyDescent="0.25">
      <c r="A50" t="s">
        <v>9126</v>
      </c>
      <c r="B50">
        <v>-3.13</v>
      </c>
      <c r="C50">
        <v>38.5</v>
      </c>
      <c r="D50">
        <v>26.549166670000002</v>
      </c>
      <c r="E50">
        <v>24.015000000000001</v>
      </c>
      <c r="F50">
        <v>29.12166667</v>
      </c>
      <c r="G50">
        <v>0.98166666700000005</v>
      </c>
      <c r="H50">
        <v>0.491666667</v>
      </c>
      <c r="I50">
        <v>1.451666667</v>
      </c>
      <c r="J50">
        <v>5272.646667</v>
      </c>
      <c r="K50">
        <v>4573.125</v>
      </c>
      <c r="L50">
        <v>6107.7083329999996</v>
      </c>
      <c r="M50">
        <v>23.670833330000001</v>
      </c>
      <c r="N50">
        <v>22.79</v>
      </c>
      <c r="O50">
        <v>24.793333329999999</v>
      </c>
      <c r="Q50" t="s">
        <v>268</v>
      </c>
      <c r="R50" t="s">
        <v>9125</v>
      </c>
      <c r="S50" t="s">
        <v>9058</v>
      </c>
      <c r="T50" t="s">
        <v>9059</v>
      </c>
    </row>
    <row r="51" spans="1:20" x14ac:dyDescent="0.25">
      <c r="A51" t="s">
        <v>9127</v>
      </c>
      <c r="B51">
        <v>-3.13</v>
      </c>
      <c r="C51">
        <v>38.5</v>
      </c>
      <c r="D51">
        <v>27.391666669999999</v>
      </c>
      <c r="E51">
        <v>25.573333330000001</v>
      </c>
      <c r="F51">
        <v>29.04</v>
      </c>
      <c r="G51">
        <v>1.655</v>
      </c>
      <c r="H51">
        <v>1.058333333</v>
      </c>
      <c r="I51">
        <v>2.1766666670000001</v>
      </c>
      <c r="J51">
        <v>4807.46</v>
      </c>
      <c r="K51">
        <v>4189.8958329999996</v>
      </c>
      <c r="L51">
        <v>5577.7916670000004</v>
      </c>
      <c r="M51">
        <v>24.008333329999999</v>
      </c>
      <c r="N51">
        <v>23.516666669999999</v>
      </c>
      <c r="O51">
        <v>24.516666669999999</v>
      </c>
      <c r="Q51" t="s">
        <v>268</v>
      </c>
      <c r="R51" t="s">
        <v>9125</v>
      </c>
      <c r="S51" t="s">
        <v>9058</v>
      </c>
      <c r="T51" t="s">
        <v>9061</v>
      </c>
    </row>
    <row r="52" spans="1:20" x14ac:dyDescent="0.25">
      <c r="A52" t="s">
        <v>9128</v>
      </c>
      <c r="B52">
        <v>-7.26</v>
      </c>
      <c r="C52">
        <v>65.5</v>
      </c>
      <c r="D52">
        <v>26.483333330000001</v>
      </c>
      <c r="E52">
        <v>24.291666670000001</v>
      </c>
      <c r="F52">
        <v>28.356666669999999</v>
      </c>
      <c r="G52">
        <v>1.44</v>
      </c>
      <c r="H52">
        <v>0.93333333299999999</v>
      </c>
      <c r="I52">
        <v>1.9183333330000001</v>
      </c>
      <c r="J52">
        <v>4713.8033329999998</v>
      </c>
      <c r="K52">
        <v>4270.9583329999996</v>
      </c>
      <c r="L52">
        <v>5291.1666670000004</v>
      </c>
      <c r="M52">
        <v>23.97</v>
      </c>
      <c r="N52">
        <v>23.175000000000001</v>
      </c>
      <c r="O52">
        <v>24.71833333</v>
      </c>
      <c r="Q52" t="s">
        <v>268</v>
      </c>
      <c r="R52" t="s">
        <v>9129</v>
      </c>
      <c r="S52" t="s">
        <v>9058</v>
      </c>
      <c r="T52" t="s">
        <v>9061</v>
      </c>
    </row>
    <row r="53" spans="1:20" x14ac:dyDescent="0.25">
      <c r="A53" t="s">
        <v>6155</v>
      </c>
      <c r="B53">
        <v>-3.29</v>
      </c>
      <c r="C53">
        <v>19</v>
      </c>
      <c r="D53">
        <v>26.695</v>
      </c>
      <c r="E53">
        <v>24.786666669999999</v>
      </c>
      <c r="F53">
        <v>28.33666667</v>
      </c>
      <c r="G53">
        <v>1.4983333329999999</v>
      </c>
      <c r="H53">
        <v>0.76666666699999997</v>
      </c>
      <c r="I53">
        <v>2.0950000000000002</v>
      </c>
      <c r="J53">
        <v>4456.0983329999999</v>
      </c>
      <c r="K53">
        <v>3687.520833</v>
      </c>
      <c r="L53">
        <v>5491.0625</v>
      </c>
      <c r="M53">
        <v>22.98</v>
      </c>
      <c r="N53">
        <v>22.515000000000001</v>
      </c>
      <c r="O53">
        <v>23.516666669999999</v>
      </c>
      <c r="Q53" t="s">
        <v>268</v>
      </c>
      <c r="R53" t="s">
        <v>9130</v>
      </c>
      <c r="S53" t="s">
        <v>9065</v>
      </c>
      <c r="T53" t="s">
        <v>9066</v>
      </c>
    </row>
    <row r="54" spans="1:20" x14ac:dyDescent="0.25">
      <c r="A54" t="s">
        <v>9131</v>
      </c>
      <c r="B54">
        <v>-3.29</v>
      </c>
      <c r="C54">
        <v>20.5</v>
      </c>
      <c r="D54">
        <v>27.335000000000001</v>
      </c>
      <c r="E54">
        <v>25.416666670000001</v>
      </c>
      <c r="F54">
        <v>29.01</v>
      </c>
      <c r="G54">
        <v>1.4475</v>
      </c>
      <c r="H54">
        <v>0.85666666700000005</v>
      </c>
      <c r="I54">
        <v>1.925</v>
      </c>
      <c r="J54">
        <v>4693.3141670000005</v>
      </c>
      <c r="K54">
        <v>4101.6666670000004</v>
      </c>
      <c r="L54">
        <v>5392.8541670000004</v>
      </c>
      <c r="M54">
        <v>23.549166670000002</v>
      </c>
      <c r="N54">
        <v>22.966666669999999</v>
      </c>
      <c r="O54">
        <v>24.158333330000001</v>
      </c>
      <c r="Q54" t="s">
        <v>268</v>
      </c>
      <c r="R54" t="s">
        <v>9130</v>
      </c>
      <c r="S54" t="s">
        <v>9058</v>
      </c>
      <c r="T54" t="s">
        <v>9061</v>
      </c>
    </row>
    <row r="55" spans="1:20" x14ac:dyDescent="0.25">
      <c r="A55" t="s">
        <v>9132</v>
      </c>
      <c r="B55">
        <v>-3.04</v>
      </c>
      <c r="C55">
        <v>80.5</v>
      </c>
      <c r="D55">
        <v>26.603333330000002</v>
      </c>
      <c r="E55">
        <v>24.083333329999999</v>
      </c>
      <c r="F55">
        <v>28.916666670000001</v>
      </c>
      <c r="G55">
        <v>1.4066666670000001</v>
      </c>
      <c r="H55">
        <v>0</v>
      </c>
      <c r="I55">
        <v>2.483333333</v>
      </c>
      <c r="J55">
        <v>5113.0958330000003</v>
      </c>
      <c r="K55">
        <v>4388.1875</v>
      </c>
      <c r="L55">
        <v>5948.1666670000004</v>
      </c>
      <c r="M55">
        <v>22.555833329999999</v>
      </c>
      <c r="N55">
        <v>21.658333330000001</v>
      </c>
      <c r="O55">
        <v>23.743333329999999</v>
      </c>
      <c r="Q55" t="s">
        <v>268</v>
      </c>
      <c r="R55" t="s">
        <v>9133</v>
      </c>
      <c r="S55" t="s">
        <v>9058</v>
      </c>
      <c r="T55" t="s">
        <v>9059</v>
      </c>
    </row>
    <row r="56" spans="1:20" x14ac:dyDescent="0.25">
      <c r="A56" t="s">
        <v>9134</v>
      </c>
      <c r="B56">
        <v>-3.04</v>
      </c>
      <c r="C56">
        <v>80.5</v>
      </c>
      <c r="D56">
        <v>26.524999999999999</v>
      </c>
      <c r="E56">
        <v>24.05</v>
      </c>
      <c r="F56">
        <v>28.833333329999999</v>
      </c>
      <c r="G56">
        <v>1.5625</v>
      </c>
      <c r="H56">
        <v>0.323333333</v>
      </c>
      <c r="I56">
        <v>2.443333333</v>
      </c>
      <c r="J56">
        <v>4695.3833329999998</v>
      </c>
      <c r="K56">
        <v>4073.8125</v>
      </c>
      <c r="L56">
        <v>5473.4375</v>
      </c>
      <c r="M56">
        <v>22.464166670000001</v>
      </c>
      <c r="N56">
        <v>22</v>
      </c>
      <c r="O56">
        <v>23.083333329999999</v>
      </c>
      <c r="Q56" t="s">
        <v>268</v>
      </c>
      <c r="R56" t="s">
        <v>9133</v>
      </c>
      <c r="S56" t="s">
        <v>9058</v>
      </c>
      <c r="T56" t="s">
        <v>9061</v>
      </c>
    </row>
    <row r="57" spans="1:20" x14ac:dyDescent="0.25">
      <c r="A57" t="s">
        <v>6167</v>
      </c>
      <c r="B57">
        <v>-3.1</v>
      </c>
      <c r="C57">
        <v>67</v>
      </c>
      <c r="D57">
        <v>27.275833330000001</v>
      </c>
      <c r="E57">
        <v>25.24666667</v>
      </c>
      <c r="F57">
        <v>29.123333330000001</v>
      </c>
      <c r="G57">
        <v>1.4025000000000001</v>
      </c>
      <c r="H57">
        <v>0.67500000000000004</v>
      </c>
      <c r="I57">
        <v>1.9750000000000001</v>
      </c>
      <c r="J57">
        <v>4711.8183330000002</v>
      </c>
      <c r="K57">
        <v>3808.395833</v>
      </c>
      <c r="L57">
        <v>5834.2083329999996</v>
      </c>
      <c r="M57">
        <v>23.357500000000002</v>
      </c>
      <c r="N57">
        <v>22.655000000000001</v>
      </c>
      <c r="O57">
        <v>24.15</v>
      </c>
      <c r="Q57" t="s">
        <v>268</v>
      </c>
      <c r="R57" t="s">
        <v>9135</v>
      </c>
      <c r="S57" t="s">
        <v>9065</v>
      </c>
      <c r="T57" t="s">
        <v>9066</v>
      </c>
    </row>
    <row r="58" spans="1:20" x14ac:dyDescent="0.25">
      <c r="A58" t="s">
        <v>9136</v>
      </c>
      <c r="B58">
        <v>-3.15</v>
      </c>
      <c r="C58">
        <v>81.400000000000006</v>
      </c>
      <c r="D58">
        <v>27.272500000000001</v>
      </c>
      <c r="E58">
        <v>25.423333329999998</v>
      </c>
      <c r="F58">
        <v>29.1</v>
      </c>
      <c r="G58">
        <v>1.7908333329999999</v>
      </c>
      <c r="H58">
        <v>0.96499999999999997</v>
      </c>
      <c r="I58">
        <v>2.4624999999999999</v>
      </c>
      <c r="J58">
        <v>5249.8366669999996</v>
      </c>
      <c r="K58">
        <v>4657.8958329999996</v>
      </c>
      <c r="L58">
        <v>6057.9583329999996</v>
      </c>
      <c r="M58">
        <v>23.200833329999998</v>
      </c>
      <c r="N58">
        <v>22.681666669999998</v>
      </c>
      <c r="O58">
        <v>23.868333329999999</v>
      </c>
      <c r="Q58" t="s">
        <v>268</v>
      </c>
      <c r="R58" t="s">
        <v>9137</v>
      </c>
      <c r="S58" t="s">
        <v>9058</v>
      </c>
      <c r="T58" t="s">
        <v>9059</v>
      </c>
    </row>
    <row r="59" spans="1:20" x14ac:dyDescent="0.25">
      <c r="A59" t="s">
        <v>9138</v>
      </c>
      <c r="B59">
        <v>-3.15</v>
      </c>
      <c r="C59">
        <v>81.400000000000006</v>
      </c>
      <c r="D59">
        <v>27.252500000000001</v>
      </c>
      <c r="E59">
        <v>25.324999999999999</v>
      </c>
      <c r="F59">
        <v>28.916666670000001</v>
      </c>
      <c r="G59">
        <v>1.7875000000000001</v>
      </c>
      <c r="H59">
        <v>1.0416666670000001</v>
      </c>
      <c r="I59">
        <v>2.3083333330000002</v>
      </c>
      <c r="J59">
        <v>4726.3266670000003</v>
      </c>
      <c r="K59">
        <v>4114.0625</v>
      </c>
      <c r="L59">
        <v>5458.9791670000004</v>
      </c>
      <c r="M59">
        <v>23.536666669999999</v>
      </c>
      <c r="N59">
        <v>23.05</v>
      </c>
      <c r="O59">
        <v>24.18333333</v>
      </c>
      <c r="Q59" t="s">
        <v>268</v>
      </c>
      <c r="R59" t="s">
        <v>9137</v>
      </c>
      <c r="S59" t="s">
        <v>9058</v>
      </c>
      <c r="T59" t="s">
        <v>9061</v>
      </c>
    </row>
    <row r="60" spans="1:20" x14ac:dyDescent="0.25">
      <c r="A60" t="s">
        <v>9139</v>
      </c>
      <c r="B60">
        <v>-3.13</v>
      </c>
      <c r="C60">
        <v>68.5</v>
      </c>
      <c r="D60">
        <v>27.53</v>
      </c>
      <c r="E60">
        <v>25.506666670000001</v>
      </c>
      <c r="F60">
        <v>29.341666669999999</v>
      </c>
      <c r="G60">
        <v>1.380833333</v>
      </c>
      <c r="H60">
        <v>0.85</v>
      </c>
      <c r="I60">
        <v>1.8</v>
      </c>
      <c r="J60">
        <v>4740.3225000000002</v>
      </c>
      <c r="K60">
        <v>4136.3541670000004</v>
      </c>
      <c r="L60">
        <v>5483.2291670000004</v>
      </c>
      <c r="M60">
        <v>22.96833333</v>
      </c>
      <c r="N60">
        <v>22.4</v>
      </c>
      <c r="O60">
        <v>23.608333330000001</v>
      </c>
      <c r="Q60" t="s">
        <v>268</v>
      </c>
      <c r="R60" t="s">
        <v>9140</v>
      </c>
      <c r="S60" t="s">
        <v>9058</v>
      </c>
      <c r="T60" t="s">
        <v>9061</v>
      </c>
    </row>
    <row r="61" spans="1:20" x14ac:dyDescent="0.25">
      <c r="A61" t="s">
        <v>9141</v>
      </c>
      <c r="B61">
        <v>-5.81</v>
      </c>
      <c r="C61">
        <v>53</v>
      </c>
      <c r="D61">
        <v>25.958333329999999</v>
      </c>
      <c r="E61">
        <v>22.626666669999999</v>
      </c>
      <c r="F61">
        <v>29.52</v>
      </c>
      <c r="G61">
        <v>0.85750000000000004</v>
      </c>
      <c r="H61">
        <v>0.05</v>
      </c>
      <c r="I61">
        <v>1.329166667</v>
      </c>
      <c r="J61">
        <v>5113.8783329999997</v>
      </c>
      <c r="K61">
        <v>4468.2083329999996</v>
      </c>
      <c r="L61">
        <v>5895.8333329999996</v>
      </c>
      <c r="M61">
        <v>23.09416667</v>
      </c>
      <c r="N61">
        <v>21.76166667</v>
      </c>
      <c r="O61">
        <v>24.675000000000001</v>
      </c>
      <c r="Q61" t="s">
        <v>268</v>
      </c>
      <c r="R61" t="s">
        <v>9142</v>
      </c>
      <c r="S61" t="s">
        <v>9058</v>
      </c>
      <c r="T61" t="s">
        <v>9059</v>
      </c>
    </row>
    <row r="62" spans="1:20" x14ac:dyDescent="0.25">
      <c r="A62" t="s">
        <v>9143</v>
      </c>
      <c r="B62">
        <v>-5.81</v>
      </c>
      <c r="C62">
        <v>53</v>
      </c>
      <c r="D62">
        <v>26.751666669999999</v>
      </c>
      <c r="E62">
        <v>24.256666670000001</v>
      </c>
      <c r="F62">
        <v>29.24666667</v>
      </c>
      <c r="G62">
        <v>1.2516666670000001</v>
      </c>
      <c r="H62">
        <v>0.63333333300000005</v>
      </c>
      <c r="I62">
        <v>1.75</v>
      </c>
      <c r="J62">
        <v>4595.6416669999999</v>
      </c>
      <c r="K62">
        <v>4066.145833</v>
      </c>
      <c r="L62">
        <v>5199.4375</v>
      </c>
      <c r="M62">
        <v>23.754999999999999</v>
      </c>
      <c r="N62">
        <v>23.108333330000001</v>
      </c>
      <c r="O62">
        <v>24.483333330000001</v>
      </c>
      <c r="Q62" t="s">
        <v>268</v>
      </c>
      <c r="R62" t="s">
        <v>9142</v>
      </c>
      <c r="S62" t="s">
        <v>9058</v>
      </c>
      <c r="T62" t="s">
        <v>9061</v>
      </c>
    </row>
    <row r="63" spans="1:20" x14ac:dyDescent="0.25">
      <c r="A63" t="s">
        <v>6163</v>
      </c>
      <c r="B63">
        <v>-3.4</v>
      </c>
      <c r="C63">
        <v>35</v>
      </c>
      <c r="D63">
        <v>26.56666667</v>
      </c>
      <c r="E63">
        <v>24.33</v>
      </c>
      <c r="F63">
        <v>28.668333329999999</v>
      </c>
      <c r="G63">
        <v>0.70083333299999995</v>
      </c>
      <c r="H63">
        <v>0</v>
      </c>
      <c r="I63">
        <v>1.26</v>
      </c>
      <c r="J63">
        <v>4537.9775</v>
      </c>
      <c r="K63">
        <v>3901.395833</v>
      </c>
      <c r="L63">
        <v>5393.7916670000004</v>
      </c>
      <c r="M63">
        <v>23.725000000000001</v>
      </c>
      <c r="N63">
        <v>22.55833333</v>
      </c>
      <c r="O63">
        <v>24.704999999999998</v>
      </c>
      <c r="Q63" t="s">
        <v>268</v>
      </c>
      <c r="R63" t="s">
        <v>9144</v>
      </c>
      <c r="S63" t="s">
        <v>9065</v>
      </c>
      <c r="T63" t="s">
        <v>9066</v>
      </c>
    </row>
    <row r="64" spans="1:20" x14ac:dyDescent="0.25">
      <c r="A64" t="s">
        <v>9145</v>
      </c>
      <c r="B64">
        <v>-3.4</v>
      </c>
      <c r="C64">
        <v>36.5</v>
      </c>
      <c r="D64">
        <v>26.824999999999999</v>
      </c>
      <c r="E64">
        <v>24.68333333</v>
      </c>
      <c r="F64">
        <v>28.803333330000001</v>
      </c>
      <c r="G64">
        <v>0.99083333299999998</v>
      </c>
      <c r="H64">
        <v>0.56666666700000001</v>
      </c>
      <c r="I64">
        <v>1.316666667</v>
      </c>
      <c r="J64">
        <v>4622.3141670000005</v>
      </c>
      <c r="K64">
        <v>4035.75</v>
      </c>
      <c r="L64">
        <v>5304.9375</v>
      </c>
      <c r="M64">
        <v>24.21166667</v>
      </c>
      <c r="N64">
        <v>23.583333329999999</v>
      </c>
      <c r="O64">
        <v>24.793333329999999</v>
      </c>
      <c r="Q64" t="s">
        <v>268</v>
      </c>
      <c r="R64" t="s">
        <v>9144</v>
      </c>
      <c r="S64" t="s">
        <v>9058</v>
      </c>
      <c r="T64" t="s">
        <v>9061</v>
      </c>
    </row>
    <row r="65" spans="1:20" x14ac:dyDescent="0.25">
      <c r="A65" t="s">
        <v>6160</v>
      </c>
      <c r="B65">
        <v>-2.64</v>
      </c>
      <c r="C65">
        <v>35</v>
      </c>
      <c r="D65">
        <v>27.483333330000001</v>
      </c>
      <c r="E65">
        <v>25.681666669999998</v>
      </c>
      <c r="F65">
        <v>29.213333330000001</v>
      </c>
      <c r="G65">
        <v>1.243333333</v>
      </c>
      <c r="H65">
        <v>0.42333333299999998</v>
      </c>
      <c r="I65">
        <v>1.9450000000000001</v>
      </c>
      <c r="J65">
        <v>4958.1175000000003</v>
      </c>
      <c r="K65">
        <v>4198.4375</v>
      </c>
      <c r="L65">
        <v>5843.7916670000004</v>
      </c>
      <c r="M65">
        <v>23.419166669999999</v>
      </c>
      <c r="N65">
        <v>22.866666670000001</v>
      </c>
      <c r="O65">
        <v>24.016666669999999</v>
      </c>
      <c r="Q65" t="s">
        <v>268</v>
      </c>
      <c r="R65" t="s">
        <v>9146</v>
      </c>
      <c r="S65" t="s">
        <v>9065</v>
      </c>
      <c r="T65" t="s">
        <v>9066</v>
      </c>
    </row>
    <row r="66" spans="1:20" x14ac:dyDescent="0.25">
      <c r="A66" t="s">
        <v>9147</v>
      </c>
      <c r="B66">
        <v>-2.64</v>
      </c>
      <c r="C66">
        <v>36.5</v>
      </c>
      <c r="D66">
        <v>27.258333329999999</v>
      </c>
      <c r="E66">
        <v>25.46166667</v>
      </c>
      <c r="F66">
        <v>29.13666667</v>
      </c>
      <c r="G66">
        <v>0.83833333300000001</v>
      </c>
      <c r="H66">
        <v>0.32500000000000001</v>
      </c>
      <c r="I66">
        <v>1.4</v>
      </c>
      <c r="J66">
        <v>5132.0291669999997</v>
      </c>
      <c r="K66">
        <v>4406.8125</v>
      </c>
      <c r="L66">
        <v>5958.4166670000004</v>
      </c>
      <c r="M66">
        <v>24.260833330000001</v>
      </c>
      <c r="N66">
        <v>23.75</v>
      </c>
      <c r="O66">
        <v>25.03</v>
      </c>
      <c r="Q66" t="s">
        <v>268</v>
      </c>
      <c r="R66" t="s">
        <v>9146</v>
      </c>
      <c r="S66" t="s">
        <v>9058</v>
      </c>
      <c r="T66" t="s">
        <v>9059</v>
      </c>
    </row>
    <row r="67" spans="1:20" x14ac:dyDescent="0.25">
      <c r="A67" t="s">
        <v>9148</v>
      </c>
      <c r="B67">
        <v>-2.64</v>
      </c>
      <c r="C67">
        <v>36.5</v>
      </c>
      <c r="D67">
        <v>27.57416667</v>
      </c>
      <c r="E67">
        <v>25.771666669999998</v>
      </c>
      <c r="F67">
        <v>29.208333329999999</v>
      </c>
      <c r="G67">
        <v>0.96666666700000003</v>
      </c>
      <c r="H67">
        <v>0.14000000000000001</v>
      </c>
      <c r="I67">
        <v>1.5916666669999999</v>
      </c>
      <c r="J67">
        <v>4645.2358329999997</v>
      </c>
      <c r="K67">
        <v>4080.083333</v>
      </c>
      <c r="L67">
        <v>5298.6666670000004</v>
      </c>
      <c r="M67">
        <v>24.095833330000001</v>
      </c>
      <c r="N67">
        <v>23.591666669999999</v>
      </c>
      <c r="O67">
        <v>24.65</v>
      </c>
      <c r="Q67" t="s">
        <v>268</v>
      </c>
      <c r="R67" t="s">
        <v>9146</v>
      </c>
      <c r="S67" t="s">
        <v>9058</v>
      </c>
      <c r="T67" t="s">
        <v>9061</v>
      </c>
    </row>
    <row r="68" spans="1:20" x14ac:dyDescent="0.25">
      <c r="A68" t="s">
        <v>6176</v>
      </c>
      <c r="B68">
        <v>-2.06</v>
      </c>
      <c r="C68">
        <v>92</v>
      </c>
      <c r="D68">
        <v>26.64</v>
      </c>
      <c r="E68">
        <v>23.99</v>
      </c>
      <c r="F68">
        <v>29.15666667</v>
      </c>
      <c r="G68">
        <v>0.76666666699999997</v>
      </c>
      <c r="H68">
        <v>0.05</v>
      </c>
      <c r="I68">
        <v>1.3533333329999999</v>
      </c>
      <c r="J68">
        <v>4129.955833</v>
      </c>
      <c r="K68">
        <v>3515.625</v>
      </c>
      <c r="L68">
        <v>4879.1041670000004</v>
      </c>
      <c r="M68">
        <v>22.734999999999999</v>
      </c>
      <c r="N68">
        <v>22.04666667</v>
      </c>
      <c r="O68">
        <v>23.524999999999999</v>
      </c>
      <c r="Q68" t="s">
        <v>268</v>
      </c>
      <c r="R68" t="s">
        <v>9149</v>
      </c>
      <c r="S68" t="s">
        <v>9065</v>
      </c>
      <c r="T68" t="s">
        <v>9066</v>
      </c>
    </row>
    <row r="69" spans="1:20" x14ac:dyDescent="0.25">
      <c r="A69" t="s">
        <v>9150</v>
      </c>
      <c r="B69">
        <v>-2.06</v>
      </c>
      <c r="C69">
        <v>93.5</v>
      </c>
      <c r="D69">
        <v>26.499166670000001</v>
      </c>
      <c r="E69">
        <v>23.99</v>
      </c>
      <c r="F69">
        <v>28.848333329999999</v>
      </c>
      <c r="G69">
        <v>0.81916666699999996</v>
      </c>
      <c r="H69">
        <v>0.2</v>
      </c>
      <c r="I69">
        <v>1.3</v>
      </c>
      <c r="J69">
        <v>4750.5291669999997</v>
      </c>
      <c r="K69">
        <v>4175.875</v>
      </c>
      <c r="L69">
        <v>5419.875</v>
      </c>
      <c r="M69">
        <v>22.999166670000001</v>
      </c>
      <c r="N69">
        <v>22.431666669999998</v>
      </c>
      <c r="O69">
        <v>23.59333333</v>
      </c>
      <c r="Q69" t="s">
        <v>268</v>
      </c>
      <c r="R69" t="s">
        <v>9149</v>
      </c>
      <c r="S69" t="s">
        <v>9058</v>
      </c>
      <c r="T69" t="s">
        <v>9061</v>
      </c>
    </row>
    <row r="70" spans="1:20" x14ac:dyDescent="0.25">
      <c r="A70" t="s">
        <v>9151</v>
      </c>
      <c r="B70">
        <v>-2.4300000000000002</v>
      </c>
      <c r="C70">
        <v>60.5</v>
      </c>
      <c r="D70">
        <v>26.041666670000001</v>
      </c>
      <c r="E70">
        <v>23.641666669999999</v>
      </c>
      <c r="F70">
        <v>28.228333330000002</v>
      </c>
      <c r="G70">
        <v>0.85166666700000004</v>
      </c>
      <c r="H70">
        <v>0.20833333300000001</v>
      </c>
      <c r="I70">
        <v>1.326666667</v>
      </c>
      <c r="J70">
        <v>4641.7924999999996</v>
      </c>
      <c r="K70">
        <v>4131.0833329999996</v>
      </c>
      <c r="L70">
        <v>5318.0208329999996</v>
      </c>
      <c r="M70">
        <v>23.262499999999999</v>
      </c>
      <c r="N70">
        <v>22.64833333</v>
      </c>
      <c r="O70">
        <v>23.885000000000002</v>
      </c>
      <c r="Q70" t="s">
        <v>268</v>
      </c>
      <c r="R70" t="s">
        <v>9152</v>
      </c>
      <c r="S70" t="s">
        <v>9058</v>
      </c>
      <c r="T70" t="s">
        <v>9061</v>
      </c>
    </row>
    <row r="71" spans="1:20" x14ac:dyDescent="0.25">
      <c r="A71" t="s">
        <v>9153</v>
      </c>
      <c r="B71">
        <v>-0.15</v>
      </c>
      <c r="C71">
        <v>79</v>
      </c>
      <c r="D71">
        <v>25.862500000000001</v>
      </c>
      <c r="E71">
        <v>22.221666670000001</v>
      </c>
      <c r="F71">
        <v>29.651666670000001</v>
      </c>
      <c r="G71">
        <v>0.78666666699999999</v>
      </c>
      <c r="H71">
        <v>8.3333332999999996E-2</v>
      </c>
      <c r="I71">
        <v>1.2749999999999999</v>
      </c>
      <c r="J71">
        <v>5118.6866669999999</v>
      </c>
      <c r="K71">
        <v>4532.5625</v>
      </c>
      <c r="L71">
        <v>5908.7083329999996</v>
      </c>
      <c r="M71">
        <v>23.048333329999998</v>
      </c>
      <c r="N71">
        <v>21.68</v>
      </c>
      <c r="O71">
        <v>24.8</v>
      </c>
      <c r="Q71" t="s">
        <v>268</v>
      </c>
      <c r="R71" t="s">
        <v>9154</v>
      </c>
      <c r="S71" t="s">
        <v>9058</v>
      </c>
      <c r="T71" t="s">
        <v>9059</v>
      </c>
    </row>
    <row r="72" spans="1:20" x14ac:dyDescent="0.25">
      <c r="A72" t="s">
        <v>9155</v>
      </c>
      <c r="B72">
        <v>-0.15</v>
      </c>
      <c r="C72">
        <v>79</v>
      </c>
      <c r="D72">
        <v>26.418333329999999</v>
      </c>
      <c r="E72">
        <v>23.833333329999999</v>
      </c>
      <c r="F72">
        <v>28.594999999999999</v>
      </c>
      <c r="G72">
        <v>1.2591666669999999</v>
      </c>
      <c r="H72">
        <v>0.74166666699999995</v>
      </c>
      <c r="I72">
        <v>1.62</v>
      </c>
      <c r="J72">
        <v>4579.47</v>
      </c>
      <c r="K72">
        <v>4021.5</v>
      </c>
      <c r="L72">
        <v>5227.0416670000004</v>
      </c>
      <c r="M72">
        <v>23.713333330000001</v>
      </c>
      <c r="N72">
        <v>23.05833333</v>
      </c>
      <c r="O72">
        <v>24.291666670000001</v>
      </c>
      <c r="Q72" t="s">
        <v>268</v>
      </c>
      <c r="R72" t="s">
        <v>9154</v>
      </c>
      <c r="S72" t="s">
        <v>9058</v>
      </c>
      <c r="T72" t="s">
        <v>9061</v>
      </c>
    </row>
    <row r="73" spans="1:20" x14ac:dyDescent="0.25">
      <c r="A73" t="s">
        <v>9156</v>
      </c>
      <c r="B73">
        <v>-4.26</v>
      </c>
      <c r="C73">
        <v>85</v>
      </c>
      <c r="D73">
        <v>25.706666670000001</v>
      </c>
      <c r="E73">
        <v>23.158333330000001</v>
      </c>
      <c r="F73">
        <v>28.249166670000001</v>
      </c>
      <c r="G73">
        <v>1.1233333329999999</v>
      </c>
      <c r="H73">
        <v>0.16666666699999999</v>
      </c>
      <c r="I73">
        <v>1.7791666669999999</v>
      </c>
      <c r="J73">
        <v>4757.896667</v>
      </c>
      <c r="K73">
        <v>4122.5416670000004</v>
      </c>
      <c r="L73">
        <v>5579.7083329999996</v>
      </c>
      <c r="M73">
        <v>22.605</v>
      </c>
      <c r="N73">
        <v>21.583333329999999</v>
      </c>
      <c r="O73">
        <v>23.901666670000001</v>
      </c>
      <c r="Q73" t="s">
        <v>268</v>
      </c>
      <c r="R73" t="s">
        <v>9157</v>
      </c>
      <c r="S73" t="s">
        <v>9058</v>
      </c>
      <c r="T73" t="s">
        <v>9059</v>
      </c>
    </row>
    <row r="74" spans="1:20" x14ac:dyDescent="0.25">
      <c r="A74" t="s">
        <v>9158</v>
      </c>
      <c r="B74">
        <v>-4.26</v>
      </c>
      <c r="C74">
        <v>85</v>
      </c>
      <c r="D74">
        <v>26.008333329999999</v>
      </c>
      <c r="E74">
        <v>23.856666669999999</v>
      </c>
      <c r="F74">
        <v>28</v>
      </c>
      <c r="G74">
        <v>1.350833333</v>
      </c>
      <c r="H74">
        <v>0.86666666699999995</v>
      </c>
      <c r="I74">
        <v>1.8666666670000001</v>
      </c>
      <c r="J74">
        <v>4465.6758330000002</v>
      </c>
      <c r="K74">
        <v>3878.1875</v>
      </c>
      <c r="L74">
        <v>5190.5416670000004</v>
      </c>
      <c r="M74">
        <v>23.55083333</v>
      </c>
      <c r="N74">
        <v>22.95</v>
      </c>
      <c r="O74">
        <v>24.184999999999999</v>
      </c>
      <c r="Q74" t="s">
        <v>268</v>
      </c>
      <c r="R74" t="s">
        <v>9157</v>
      </c>
      <c r="S74" t="s">
        <v>9058</v>
      </c>
      <c r="T74" t="s">
        <v>9061</v>
      </c>
    </row>
    <row r="75" spans="1:20" x14ac:dyDescent="0.25">
      <c r="A75" t="s">
        <v>9159</v>
      </c>
      <c r="B75">
        <v>-3.38</v>
      </c>
      <c r="C75">
        <v>56.1</v>
      </c>
      <c r="D75">
        <v>26.35</v>
      </c>
      <c r="E75">
        <v>23.606666669999999</v>
      </c>
      <c r="F75">
        <v>29.135000000000002</v>
      </c>
      <c r="G75">
        <v>0.98583333299999998</v>
      </c>
      <c r="H75">
        <v>0.15666666700000001</v>
      </c>
      <c r="I75">
        <v>1.4708333330000001</v>
      </c>
      <c r="J75">
        <v>5197.6116670000001</v>
      </c>
      <c r="K75">
        <v>4576.2291670000004</v>
      </c>
      <c r="L75">
        <v>6083.4791670000004</v>
      </c>
      <c r="M75">
        <v>23.552499999999998</v>
      </c>
      <c r="N75">
        <v>22.708333329999999</v>
      </c>
      <c r="O75">
        <v>24.533333330000001</v>
      </c>
      <c r="Q75" t="s">
        <v>268</v>
      </c>
      <c r="R75" t="s">
        <v>9160</v>
      </c>
      <c r="S75" t="s">
        <v>9058</v>
      </c>
      <c r="T75" t="s">
        <v>9059</v>
      </c>
    </row>
    <row r="76" spans="1:20" x14ac:dyDescent="0.25">
      <c r="A76" t="s">
        <v>9161</v>
      </c>
      <c r="B76">
        <v>-3.38</v>
      </c>
      <c r="C76">
        <v>56.1</v>
      </c>
      <c r="D76">
        <v>26.885000000000002</v>
      </c>
      <c r="E76">
        <v>24.303333330000001</v>
      </c>
      <c r="F76">
        <v>29.418333329999999</v>
      </c>
      <c r="G76">
        <v>1.2324999999999999</v>
      </c>
      <c r="H76">
        <v>0.38166666700000001</v>
      </c>
      <c r="I76">
        <v>1.858333333</v>
      </c>
      <c r="J76">
        <v>4636.7808329999998</v>
      </c>
      <c r="K76">
        <v>4085.604167</v>
      </c>
      <c r="L76">
        <v>5278.3958329999996</v>
      </c>
      <c r="M76">
        <v>24.047499999999999</v>
      </c>
      <c r="N76">
        <v>23.274999999999999</v>
      </c>
      <c r="O76">
        <v>24.908333330000001</v>
      </c>
      <c r="Q76" t="s">
        <v>268</v>
      </c>
      <c r="R76" t="s">
        <v>9160</v>
      </c>
      <c r="S76" t="s">
        <v>9058</v>
      </c>
      <c r="T76" t="s">
        <v>9061</v>
      </c>
    </row>
    <row r="77" spans="1:20" x14ac:dyDescent="0.25">
      <c r="A77" t="s">
        <v>9162</v>
      </c>
      <c r="B77">
        <v>-2.5299999999999998</v>
      </c>
      <c r="C77">
        <v>18.5</v>
      </c>
      <c r="D77">
        <v>27.4725</v>
      </c>
      <c r="E77">
        <v>25.241666670000001</v>
      </c>
      <c r="F77">
        <v>29.56</v>
      </c>
      <c r="G77">
        <v>0.90916666700000004</v>
      </c>
      <c r="H77">
        <v>0.3</v>
      </c>
      <c r="I77">
        <v>1.395</v>
      </c>
      <c r="J77">
        <v>4696.5766670000003</v>
      </c>
      <c r="K77">
        <v>4158.5833329999996</v>
      </c>
      <c r="L77">
        <v>5364.9583329999996</v>
      </c>
      <c r="M77">
        <v>23.592500000000001</v>
      </c>
      <c r="N77">
        <v>23.081666670000001</v>
      </c>
      <c r="O77">
        <v>24.151666670000001</v>
      </c>
      <c r="Q77" t="s">
        <v>268</v>
      </c>
      <c r="R77" t="s">
        <v>9163</v>
      </c>
      <c r="S77" t="s">
        <v>9058</v>
      </c>
      <c r="T77" t="s">
        <v>9061</v>
      </c>
    </row>
    <row r="78" spans="1:20" x14ac:dyDescent="0.25">
      <c r="A78" t="s">
        <v>6170</v>
      </c>
      <c r="B78">
        <v>-2.5299999999999998</v>
      </c>
      <c r="C78">
        <v>17</v>
      </c>
      <c r="D78">
        <v>27.454999999999998</v>
      </c>
      <c r="E78">
        <v>25.056666669999998</v>
      </c>
      <c r="F78">
        <v>29.818333330000002</v>
      </c>
      <c r="G78">
        <v>1.140833333</v>
      </c>
      <c r="H78">
        <v>0.26666666700000002</v>
      </c>
      <c r="I78">
        <v>1.9083333330000001</v>
      </c>
      <c r="J78">
        <v>4859.5074999999997</v>
      </c>
      <c r="K78">
        <v>4175.1041670000004</v>
      </c>
      <c r="L78">
        <v>5719.0833329999996</v>
      </c>
      <c r="M78">
        <v>23.21833333</v>
      </c>
      <c r="N78">
        <v>22.43333333</v>
      </c>
      <c r="O78">
        <v>23.87</v>
      </c>
      <c r="Q78" t="s">
        <v>268</v>
      </c>
      <c r="R78" t="s">
        <v>9164</v>
      </c>
      <c r="S78" t="s">
        <v>9065</v>
      </c>
      <c r="T78" t="s">
        <v>9066</v>
      </c>
    </row>
    <row r="79" spans="1:20" x14ac:dyDescent="0.25">
      <c r="A79" t="s">
        <v>9165</v>
      </c>
      <c r="B79">
        <v>2.0699999999999998</v>
      </c>
      <c r="C79">
        <v>10</v>
      </c>
      <c r="D79">
        <v>26.614999999999998</v>
      </c>
      <c r="E79">
        <v>24.40666667</v>
      </c>
      <c r="F79">
        <v>28.56666667</v>
      </c>
      <c r="G79">
        <v>2.903333333</v>
      </c>
      <c r="H79">
        <v>2.1233333330000002</v>
      </c>
      <c r="I79">
        <v>3.516666667</v>
      </c>
      <c r="J79">
        <v>4764.4283329999998</v>
      </c>
      <c r="K79">
        <v>4303.0416670000004</v>
      </c>
      <c r="L79">
        <v>5330.4375</v>
      </c>
      <c r="M79">
        <v>23.723333329999999</v>
      </c>
      <c r="N79">
        <v>22.931666669999998</v>
      </c>
      <c r="O79">
        <v>24.483333330000001</v>
      </c>
      <c r="Q79" t="s">
        <v>279</v>
      </c>
      <c r="R79" t="s">
        <v>9166</v>
      </c>
      <c r="S79" t="s">
        <v>9058</v>
      </c>
      <c r="T79" t="s">
        <v>9061</v>
      </c>
    </row>
    <row r="80" spans="1:20" x14ac:dyDescent="0.25">
      <c r="A80" t="s">
        <v>6186</v>
      </c>
      <c r="B80">
        <v>0.04</v>
      </c>
      <c r="C80">
        <v>15</v>
      </c>
      <c r="D80">
        <v>25.77416667</v>
      </c>
      <c r="E80">
        <v>23.306666669999998</v>
      </c>
      <c r="F80">
        <v>28.16333333</v>
      </c>
      <c r="G80">
        <v>1.255833333</v>
      </c>
      <c r="H80">
        <v>0.59166666700000003</v>
      </c>
      <c r="I80">
        <v>1.816666667</v>
      </c>
      <c r="J80">
        <v>4096.5641670000005</v>
      </c>
      <c r="K80">
        <v>3600.791667</v>
      </c>
      <c r="L80">
        <v>4668.3125</v>
      </c>
      <c r="M80">
        <v>22.535833329999999</v>
      </c>
      <c r="N80">
        <v>21.06666667</v>
      </c>
      <c r="O80">
        <v>24.03833333</v>
      </c>
      <c r="Q80" t="s">
        <v>279</v>
      </c>
      <c r="R80" t="s">
        <v>9167</v>
      </c>
      <c r="S80" t="s">
        <v>9065</v>
      </c>
      <c r="T80" t="s">
        <v>9066</v>
      </c>
    </row>
    <row r="81" spans="1:20" x14ac:dyDescent="0.25">
      <c r="A81" t="s">
        <v>9168</v>
      </c>
      <c r="B81">
        <v>0.05</v>
      </c>
      <c r="C81">
        <v>17.100000000000001</v>
      </c>
      <c r="D81">
        <v>28.1525</v>
      </c>
      <c r="E81">
        <v>25.5</v>
      </c>
      <c r="F81">
        <v>31</v>
      </c>
      <c r="G81">
        <v>2.9933333329999998</v>
      </c>
      <c r="H81">
        <v>1.7583333329999999</v>
      </c>
      <c r="I81">
        <v>4.0583333330000002</v>
      </c>
      <c r="J81">
        <v>5646.0508330000002</v>
      </c>
      <c r="K81">
        <v>5166.5416670000004</v>
      </c>
      <c r="L81">
        <v>6282.9583329999996</v>
      </c>
      <c r="M81">
        <v>24.38666667</v>
      </c>
      <c r="N81">
        <v>23.833333329999999</v>
      </c>
      <c r="O81">
        <v>24.833333329999999</v>
      </c>
      <c r="Q81" t="s">
        <v>279</v>
      </c>
      <c r="R81" t="s">
        <v>9167</v>
      </c>
      <c r="S81" t="s">
        <v>9058</v>
      </c>
      <c r="T81" t="s">
        <v>9059</v>
      </c>
    </row>
    <row r="82" spans="1:20" x14ac:dyDescent="0.25">
      <c r="A82" t="s">
        <v>9169</v>
      </c>
      <c r="B82">
        <v>-0.05</v>
      </c>
      <c r="C82">
        <v>17.100000000000001</v>
      </c>
      <c r="D82">
        <v>28.26583333</v>
      </c>
      <c r="E82">
        <v>25.666666670000001</v>
      </c>
      <c r="F82">
        <v>30.958333329999999</v>
      </c>
      <c r="G82">
        <v>2.8250000000000002</v>
      </c>
      <c r="H82">
        <v>1.5649999999999999</v>
      </c>
      <c r="I82">
        <v>4.0250000000000004</v>
      </c>
      <c r="J82">
        <v>4823.6083330000001</v>
      </c>
      <c r="K82">
        <v>4395.375</v>
      </c>
      <c r="L82">
        <v>5417.2708329999996</v>
      </c>
      <c r="M82">
        <v>24.702500000000001</v>
      </c>
      <c r="N82">
        <v>24.18333333</v>
      </c>
      <c r="O82">
        <v>25.333333329999999</v>
      </c>
      <c r="Q82" t="s">
        <v>279</v>
      </c>
      <c r="R82" t="s">
        <v>9170</v>
      </c>
      <c r="S82" t="s">
        <v>9058</v>
      </c>
      <c r="T82" t="s">
        <v>9061</v>
      </c>
    </row>
    <row r="83" spans="1:20" x14ac:dyDescent="0.25">
      <c r="A83" t="s">
        <v>9171</v>
      </c>
      <c r="B83">
        <v>-0.89</v>
      </c>
      <c r="C83">
        <v>206.3</v>
      </c>
      <c r="D83">
        <v>26.674166670000002</v>
      </c>
      <c r="E83">
        <v>24.196666669999999</v>
      </c>
      <c r="F83">
        <v>28.858333330000001</v>
      </c>
      <c r="G83">
        <v>2.159166667</v>
      </c>
      <c r="H83">
        <v>1.641666667</v>
      </c>
      <c r="I83">
        <v>2.6583333329999999</v>
      </c>
      <c r="J83">
        <v>4817.6850000000004</v>
      </c>
      <c r="K83">
        <v>4405.1875</v>
      </c>
      <c r="L83">
        <v>5435.4791670000004</v>
      </c>
      <c r="M83">
        <v>23.144166670000001</v>
      </c>
      <c r="N83">
        <v>22.366666670000001</v>
      </c>
      <c r="O83">
        <v>23.818333330000002</v>
      </c>
      <c r="Q83" t="s">
        <v>279</v>
      </c>
      <c r="R83" t="s">
        <v>9172</v>
      </c>
      <c r="S83" t="s">
        <v>9058</v>
      </c>
      <c r="T83" t="s">
        <v>9061</v>
      </c>
    </row>
    <row r="84" spans="1:20" x14ac:dyDescent="0.25">
      <c r="A84" t="s">
        <v>6188</v>
      </c>
      <c r="B84">
        <v>3.81</v>
      </c>
      <c r="C84">
        <v>21</v>
      </c>
      <c r="D84">
        <v>25.557500000000001</v>
      </c>
      <c r="E84">
        <v>22.931666669999998</v>
      </c>
      <c r="F84">
        <v>28.21833333</v>
      </c>
      <c r="G84">
        <v>1.048333333</v>
      </c>
      <c r="H84">
        <v>0.45</v>
      </c>
      <c r="I84">
        <v>1.5333333330000001</v>
      </c>
      <c r="J84">
        <v>4312.0741669999998</v>
      </c>
      <c r="K84">
        <v>3790.25</v>
      </c>
      <c r="L84">
        <v>4894.375</v>
      </c>
      <c r="M84">
        <v>22.614999999999998</v>
      </c>
      <c r="N84">
        <v>21.966666669999999</v>
      </c>
      <c r="O84">
        <v>23.285</v>
      </c>
      <c r="Q84" t="s">
        <v>279</v>
      </c>
      <c r="R84" t="s">
        <v>9173</v>
      </c>
      <c r="S84" t="s">
        <v>9065</v>
      </c>
      <c r="T84" t="s">
        <v>9066</v>
      </c>
    </row>
    <row r="85" spans="1:20" x14ac:dyDescent="0.25">
      <c r="A85" t="s">
        <v>9174</v>
      </c>
      <c r="B85">
        <v>3.85</v>
      </c>
      <c r="C85">
        <v>19.2</v>
      </c>
      <c r="D85">
        <v>26.59416667</v>
      </c>
      <c r="E85">
        <v>23.53833333</v>
      </c>
      <c r="F85">
        <v>29.803333330000001</v>
      </c>
      <c r="G85">
        <v>1.2424999999999999</v>
      </c>
      <c r="H85">
        <v>0.30833333299999999</v>
      </c>
      <c r="I85">
        <v>2.2000000000000002</v>
      </c>
      <c r="J85">
        <v>4970.7883330000004</v>
      </c>
      <c r="K85">
        <v>4330.1666670000004</v>
      </c>
      <c r="L85">
        <v>5694.4375</v>
      </c>
      <c r="M85">
        <v>24.055</v>
      </c>
      <c r="N85">
        <v>22.28</v>
      </c>
      <c r="O85">
        <v>26.17166667</v>
      </c>
      <c r="Q85" t="s">
        <v>279</v>
      </c>
      <c r="R85" t="s">
        <v>9175</v>
      </c>
      <c r="S85" t="s">
        <v>9058</v>
      </c>
      <c r="T85" t="s">
        <v>9059</v>
      </c>
    </row>
    <row r="86" spans="1:20" x14ac:dyDescent="0.25">
      <c r="A86" t="s">
        <v>9176</v>
      </c>
      <c r="B86">
        <v>3.85</v>
      </c>
      <c r="C86">
        <v>19.2</v>
      </c>
      <c r="D86">
        <v>26.334166669999998</v>
      </c>
      <c r="E86">
        <v>24.083333329999999</v>
      </c>
      <c r="F86">
        <v>28.612500000000001</v>
      </c>
      <c r="G86">
        <v>2.17</v>
      </c>
      <c r="H86">
        <v>1.3983333330000001</v>
      </c>
      <c r="I86">
        <v>2.6833333330000002</v>
      </c>
      <c r="J86">
        <v>4555.8333329999996</v>
      </c>
      <c r="K86">
        <v>4090.645833</v>
      </c>
      <c r="L86">
        <v>5138.8541670000004</v>
      </c>
      <c r="M86">
        <v>23.322500000000002</v>
      </c>
      <c r="N86">
        <v>22.798333329999998</v>
      </c>
      <c r="O86">
        <v>23.94166667</v>
      </c>
      <c r="Q86" t="s">
        <v>279</v>
      </c>
      <c r="R86" t="s">
        <v>9175</v>
      </c>
      <c r="S86" t="s">
        <v>9058</v>
      </c>
      <c r="T86" t="s">
        <v>9061</v>
      </c>
    </row>
    <row r="87" spans="1:20" x14ac:dyDescent="0.25">
      <c r="A87" t="s">
        <v>6185</v>
      </c>
      <c r="B87">
        <v>0.7</v>
      </c>
      <c r="C87">
        <v>77</v>
      </c>
      <c r="D87">
        <v>25.77416667</v>
      </c>
      <c r="E87">
        <v>23.306666669999998</v>
      </c>
      <c r="F87">
        <v>28.16333333</v>
      </c>
      <c r="G87">
        <v>1.255833333</v>
      </c>
      <c r="H87">
        <v>0.59166666700000003</v>
      </c>
      <c r="I87">
        <v>1.816666667</v>
      </c>
      <c r="J87">
        <v>4096.4508329999999</v>
      </c>
      <c r="K87">
        <v>3600.4375</v>
      </c>
      <c r="L87">
        <v>4668.5833329999996</v>
      </c>
      <c r="M87">
        <v>22.536666669999999</v>
      </c>
      <c r="N87">
        <v>21.06666667</v>
      </c>
      <c r="O87">
        <v>24.03833333</v>
      </c>
      <c r="Q87" t="s">
        <v>279</v>
      </c>
      <c r="R87" t="s">
        <v>9177</v>
      </c>
      <c r="S87" t="s">
        <v>9065</v>
      </c>
      <c r="T87" t="s">
        <v>9066</v>
      </c>
    </row>
    <row r="88" spans="1:20" x14ac:dyDescent="0.25">
      <c r="A88" t="s">
        <v>6183</v>
      </c>
      <c r="B88">
        <v>1.5</v>
      </c>
      <c r="C88">
        <v>21</v>
      </c>
      <c r="D88">
        <v>25.987500000000001</v>
      </c>
      <c r="E88">
        <v>23.331666670000001</v>
      </c>
      <c r="F88">
        <v>28.484999999999999</v>
      </c>
      <c r="G88">
        <v>2.0758333329999998</v>
      </c>
      <c r="H88">
        <v>0.88333333300000005</v>
      </c>
      <c r="I88">
        <v>3.1383333329999998</v>
      </c>
      <c r="J88">
        <v>4437.9666669999997</v>
      </c>
      <c r="K88">
        <v>3813.229167</v>
      </c>
      <c r="L88">
        <v>5157.3958329999996</v>
      </c>
      <c r="M88">
        <v>22.58</v>
      </c>
      <c r="N88">
        <v>22.016666669999999</v>
      </c>
      <c r="O88">
        <v>23.234999999999999</v>
      </c>
      <c r="Q88" t="s">
        <v>279</v>
      </c>
      <c r="R88" t="s">
        <v>9178</v>
      </c>
      <c r="S88" t="s">
        <v>9065</v>
      </c>
      <c r="T88" t="s">
        <v>9066</v>
      </c>
    </row>
    <row r="89" spans="1:20" x14ac:dyDescent="0.25">
      <c r="A89" t="s">
        <v>9179</v>
      </c>
      <c r="B89">
        <v>-17.96</v>
      </c>
      <c r="C89">
        <v>26.5</v>
      </c>
      <c r="D89">
        <v>25.519166670000001</v>
      </c>
      <c r="E89">
        <v>24.983333330000001</v>
      </c>
      <c r="F89">
        <v>26.074999999999999</v>
      </c>
      <c r="G89">
        <v>5.8425000000000002</v>
      </c>
      <c r="H89">
        <v>4.3566666669999998</v>
      </c>
      <c r="I89">
        <v>7.278333333</v>
      </c>
      <c r="J89">
        <v>5663.6149999999998</v>
      </c>
      <c r="K89">
        <v>5286.3958329999996</v>
      </c>
      <c r="L89">
        <v>6310.4375</v>
      </c>
      <c r="M89">
        <v>17.321666669999999</v>
      </c>
      <c r="N89">
        <v>16.748333330000001</v>
      </c>
      <c r="O89">
        <v>18.25</v>
      </c>
      <c r="Q89" t="s">
        <v>289</v>
      </c>
      <c r="R89" t="s">
        <v>9180</v>
      </c>
      <c r="S89" t="s">
        <v>9058</v>
      </c>
      <c r="T89" t="s">
        <v>9061</v>
      </c>
    </row>
    <row r="90" spans="1:20" x14ac:dyDescent="0.25">
      <c r="A90" t="s">
        <v>9181</v>
      </c>
      <c r="B90">
        <v>-13.02</v>
      </c>
      <c r="C90">
        <v>408.5</v>
      </c>
      <c r="D90">
        <v>23.11</v>
      </c>
      <c r="E90">
        <v>20.90666667</v>
      </c>
      <c r="F90">
        <v>25.13</v>
      </c>
      <c r="G90">
        <v>0.93916666699999996</v>
      </c>
      <c r="H90">
        <v>0.15833333299999999</v>
      </c>
      <c r="I90">
        <v>1.0024999999999999</v>
      </c>
      <c r="J90">
        <v>4828.481667</v>
      </c>
      <c r="K90">
        <v>4422.2083329999996</v>
      </c>
      <c r="L90">
        <v>5368.5833329999996</v>
      </c>
      <c r="M90">
        <v>19.06583333</v>
      </c>
      <c r="N90">
        <v>18.356666669999999</v>
      </c>
      <c r="O90">
        <v>19.934999999999999</v>
      </c>
      <c r="Q90" t="s">
        <v>289</v>
      </c>
      <c r="R90" t="s">
        <v>9182</v>
      </c>
      <c r="S90" t="s">
        <v>9058</v>
      </c>
      <c r="T90" t="s">
        <v>9061</v>
      </c>
    </row>
    <row r="91" spans="1:20" x14ac:dyDescent="0.25">
      <c r="A91" t="s">
        <v>6202</v>
      </c>
      <c r="B91">
        <v>-13.01</v>
      </c>
      <c r="C91">
        <v>407</v>
      </c>
      <c r="D91">
        <v>23.19</v>
      </c>
      <c r="E91">
        <v>21.016666669999999</v>
      </c>
      <c r="F91">
        <v>25.263333329999998</v>
      </c>
      <c r="G91">
        <v>3.0383333330000002</v>
      </c>
      <c r="H91">
        <v>1.905</v>
      </c>
      <c r="I91">
        <v>4.068333333</v>
      </c>
      <c r="J91">
        <v>5081.0466669999996</v>
      </c>
      <c r="K91">
        <v>4426.8125</v>
      </c>
      <c r="L91">
        <v>5886.8125</v>
      </c>
      <c r="M91">
        <v>19.26166667</v>
      </c>
      <c r="N91">
        <v>18.548333329999998</v>
      </c>
      <c r="O91">
        <v>20.168333329999999</v>
      </c>
      <c r="Q91" t="s">
        <v>289</v>
      </c>
      <c r="R91" t="s">
        <v>9183</v>
      </c>
      <c r="S91" t="s">
        <v>9065</v>
      </c>
      <c r="T91" t="s">
        <v>9066</v>
      </c>
    </row>
    <row r="92" spans="1:20" x14ac:dyDescent="0.25">
      <c r="A92" t="s">
        <v>9184</v>
      </c>
      <c r="B92">
        <v>-11.08</v>
      </c>
      <c r="C92">
        <v>404.5</v>
      </c>
      <c r="D92">
        <v>27.950833329999998</v>
      </c>
      <c r="E92">
        <v>24.28166667</v>
      </c>
      <c r="F92">
        <v>31.62833333</v>
      </c>
      <c r="G92">
        <v>1.860833333</v>
      </c>
      <c r="H92">
        <v>0.9</v>
      </c>
      <c r="I92">
        <v>2.6683333330000001</v>
      </c>
      <c r="J92">
        <v>6031.3</v>
      </c>
      <c r="K92">
        <v>5671.2291670000004</v>
      </c>
      <c r="L92">
        <v>6665.75</v>
      </c>
      <c r="M92">
        <v>17.927499999999998</v>
      </c>
      <c r="N92">
        <v>16.565000000000001</v>
      </c>
      <c r="O92">
        <v>19.484999999999999</v>
      </c>
      <c r="Q92" t="s">
        <v>289</v>
      </c>
      <c r="R92" t="s">
        <v>9185</v>
      </c>
      <c r="S92" t="s">
        <v>9058</v>
      </c>
      <c r="T92" t="s">
        <v>9061</v>
      </c>
    </row>
    <row r="93" spans="1:20" x14ac:dyDescent="0.25">
      <c r="A93" t="s">
        <v>9186</v>
      </c>
      <c r="B93">
        <v>-11.08</v>
      </c>
      <c r="C93">
        <v>402</v>
      </c>
      <c r="D93">
        <v>27.89833333</v>
      </c>
      <c r="E93">
        <v>25.631666670000001</v>
      </c>
      <c r="F93">
        <v>30.23</v>
      </c>
      <c r="G93">
        <v>2.8141666669999998</v>
      </c>
      <c r="H93">
        <v>1.7066666669999999</v>
      </c>
      <c r="I93">
        <v>3.8833333329999999</v>
      </c>
      <c r="J93">
        <v>6283.4925000000003</v>
      </c>
      <c r="K93">
        <v>5786.625</v>
      </c>
      <c r="L93">
        <v>7019.7083329999996</v>
      </c>
      <c r="M93">
        <v>17.46166667</v>
      </c>
      <c r="N93">
        <v>16.205833330000001</v>
      </c>
      <c r="O93">
        <v>18.811666670000001</v>
      </c>
      <c r="Q93" t="s">
        <v>289</v>
      </c>
      <c r="R93" t="s">
        <v>9187</v>
      </c>
      <c r="S93" t="s">
        <v>9058</v>
      </c>
      <c r="T93" t="s">
        <v>9059</v>
      </c>
    </row>
    <row r="94" spans="1:20" x14ac:dyDescent="0.25">
      <c r="A94" t="s">
        <v>9188</v>
      </c>
      <c r="B94">
        <v>-11.08</v>
      </c>
      <c r="C94">
        <v>402</v>
      </c>
      <c r="D94">
        <v>27.358333330000001</v>
      </c>
      <c r="E94">
        <v>24.29666667</v>
      </c>
      <c r="F94">
        <v>30.213333330000001</v>
      </c>
      <c r="G94">
        <v>2.5208333330000001</v>
      </c>
      <c r="H94">
        <v>1.7816666670000001</v>
      </c>
      <c r="I94">
        <v>3.233333333</v>
      </c>
      <c r="J94">
        <v>6009.1191669999998</v>
      </c>
      <c r="K94">
        <v>5618.2708329999996</v>
      </c>
      <c r="L94">
        <v>6680.3125</v>
      </c>
      <c r="M94">
        <v>17.190000000000001</v>
      </c>
      <c r="N94">
        <v>15.67166667</v>
      </c>
      <c r="O94">
        <v>18.768333330000001</v>
      </c>
      <c r="Q94" t="s">
        <v>289</v>
      </c>
      <c r="R94" t="s">
        <v>9187</v>
      </c>
      <c r="S94" t="s">
        <v>9058</v>
      </c>
      <c r="T94" t="s">
        <v>9061</v>
      </c>
    </row>
    <row r="95" spans="1:20" x14ac:dyDescent="0.25">
      <c r="A95" t="s">
        <v>6220</v>
      </c>
      <c r="B95">
        <v>-11.08</v>
      </c>
      <c r="C95">
        <v>403</v>
      </c>
      <c r="D95">
        <v>26.799166670000002</v>
      </c>
      <c r="E95">
        <v>23.454999999999998</v>
      </c>
      <c r="F95">
        <v>30.164999999999999</v>
      </c>
      <c r="G95">
        <v>1.7191666670000001</v>
      </c>
      <c r="H95">
        <v>0.85</v>
      </c>
      <c r="I95">
        <v>2.4416666669999998</v>
      </c>
      <c r="J95">
        <v>6048.5533329999998</v>
      </c>
      <c r="K95">
        <v>5638</v>
      </c>
      <c r="L95">
        <v>6756.6666670000004</v>
      </c>
      <c r="M95">
        <v>17.215</v>
      </c>
      <c r="N95">
        <v>15.79666667</v>
      </c>
      <c r="O95">
        <v>18.826666670000002</v>
      </c>
      <c r="Q95" t="s">
        <v>289</v>
      </c>
      <c r="R95" t="s">
        <v>9189</v>
      </c>
      <c r="S95" t="s">
        <v>9065</v>
      </c>
      <c r="T95" t="s">
        <v>9066</v>
      </c>
    </row>
    <row r="96" spans="1:20" x14ac:dyDescent="0.25">
      <c r="A96" t="s">
        <v>6209</v>
      </c>
      <c r="B96">
        <v>-12.15</v>
      </c>
      <c r="C96">
        <v>470</v>
      </c>
      <c r="D96">
        <v>25.1175</v>
      </c>
      <c r="E96">
        <v>21.221666670000001</v>
      </c>
      <c r="F96">
        <v>29.315000000000001</v>
      </c>
      <c r="G96">
        <v>1.6641666669999999</v>
      </c>
      <c r="H96">
        <v>0.8</v>
      </c>
      <c r="I96">
        <v>2.358333333</v>
      </c>
      <c r="J96">
        <v>5694.665</v>
      </c>
      <c r="K96">
        <v>5229.6458329999996</v>
      </c>
      <c r="L96">
        <v>6414.4166670000004</v>
      </c>
      <c r="M96">
        <v>15.5975</v>
      </c>
      <c r="N96">
        <v>14.445833329999999</v>
      </c>
      <c r="O96">
        <v>16.975000000000001</v>
      </c>
      <c r="Q96" t="s">
        <v>289</v>
      </c>
      <c r="R96" t="s">
        <v>9190</v>
      </c>
      <c r="S96" t="s">
        <v>9065</v>
      </c>
      <c r="T96" t="s">
        <v>9066</v>
      </c>
    </row>
    <row r="97" spans="1:20" x14ac:dyDescent="0.25">
      <c r="A97" t="s">
        <v>9191</v>
      </c>
      <c r="B97">
        <v>-12.15</v>
      </c>
      <c r="C97">
        <v>471.9</v>
      </c>
      <c r="D97">
        <v>26.118333329999999</v>
      </c>
      <c r="E97">
        <v>23.31666667</v>
      </c>
      <c r="F97">
        <v>28.97666667</v>
      </c>
      <c r="G97">
        <v>1.7933333330000001</v>
      </c>
      <c r="H97">
        <v>1.0649999999999999</v>
      </c>
      <c r="I97">
        <v>2.4350000000000001</v>
      </c>
      <c r="J97">
        <v>6116.55</v>
      </c>
      <c r="K97">
        <v>5534.6666670000004</v>
      </c>
      <c r="L97">
        <v>6923.9791670000004</v>
      </c>
      <c r="M97">
        <v>17.714166670000001</v>
      </c>
      <c r="N97">
        <v>16.466666669999999</v>
      </c>
      <c r="O97">
        <v>19.076666670000002</v>
      </c>
      <c r="Q97" t="s">
        <v>289</v>
      </c>
      <c r="R97" t="s">
        <v>9190</v>
      </c>
      <c r="S97" t="s">
        <v>9058</v>
      </c>
      <c r="T97" t="s">
        <v>9059</v>
      </c>
    </row>
    <row r="98" spans="1:20" x14ac:dyDescent="0.25">
      <c r="A98" t="s">
        <v>9192</v>
      </c>
      <c r="B98">
        <v>-12.15</v>
      </c>
      <c r="C98">
        <v>471.9</v>
      </c>
      <c r="D98">
        <v>25.770833329999999</v>
      </c>
      <c r="E98">
        <v>22.258333329999999</v>
      </c>
      <c r="F98">
        <v>29.451666670000002</v>
      </c>
      <c r="G98">
        <v>1.494166667</v>
      </c>
      <c r="H98">
        <v>0.83833333300000001</v>
      </c>
      <c r="I98">
        <v>1.96</v>
      </c>
      <c r="J98">
        <v>5792.294167</v>
      </c>
      <c r="K98">
        <v>5424.6666670000004</v>
      </c>
      <c r="L98">
        <v>6396.4375</v>
      </c>
      <c r="M98">
        <v>17.47666667</v>
      </c>
      <c r="N98">
        <v>16.065000000000001</v>
      </c>
      <c r="O98">
        <v>18.951666670000002</v>
      </c>
      <c r="Q98" t="s">
        <v>289</v>
      </c>
      <c r="R98" t="s">
        <v>9190</v>
      </c>
      <c r="S98" t="s">
        <v>9058</v>
      </c>
      <c r="T98" t="s">
        <v>9061</v>
      </c>
    </row>
    <row r="99" spans="1:20" x14ac:dyDescent="0.25">
      <c r="A99" t="s">
        <v>6228</v>
      </c>
      <c r="B99">
        <v>-16.09</v>
      </c>
      <c r="C99">
        <v>88</v>
      </c>
      <c r="D99">
        <v>23.791666670000001</v>
      </c>
      <c r="E99">
        <v>21.061666670000001</v>
      </c>
      <c r="F99">
        <v>26.688333329999999</v>
      </c>
      <c r="G99">
        <v>1.6475</v>
      </c>
      <c r="H99">
        <v>0.7</v>
      </c>
      <c r="I99">
        <v>2.4683333329999999</v>
      </c>
      <c r="J99">
        <v>5070.9799999999996</v>
      </c>
      <c r="K99">
        <v>4389.1666670000004</v>
      </c>
      <c r="L99">
        <v>5917.8333329999996</v>
      </c>
      <c r="M99">
        <v>20.607500000000002</v>
      </c>
      <c r="N99">
        <v>19.673333329999998</v>
      </c>
      <c r="O99">
        <v>21.693333330000002</v>
      </c>
      <c r="Q99" t="s">
        <v>289</v>
      </c>
      <c r="R99" t="s">
        <v>9193</v>
      </c>
      <c r="S99" t="s">
        <v>9065</v>
      </c>
      <c r="T99" t="s">
        <v>9066</v>
      </c>
    </row>
    <row r="100" spans="1:20" x14ac:dyDescent="0.25">
      <c r="A100" t="s">
        <v>9194</v>
      </c>
      <c r="B100">
        <v>-16.079999999999998</v>
      </c>
      <c r="C100">
        <v>89.5</v>
      </c>
      <c r="D100">
        <v>23.76583333</v>
      </c>
      <c r="E100">
        <v>21.17</v>
      </c>
      <c r="F100">
        <v>26.50416667</v>
      </c>
      <c r="G100">
        <v>1.8883333330000001</v>
      </c>
      <c r="H100">
        <v>0.94166666700000001</v>
      </c>
      <c r="I100">
        <v>2.6666666669999999</v>
      </c>
      <c r="J100">
        <v>4970.0683330000002</v>
      </c>
      <c r="K100">
        <v>4610.0833329999996</v>
      </c>
      <c r="L100">
        <v>5564.0208329999996</v>
      </c>
      <c r="M100">
        <v>20.232500000000002</v>
      </c>
      <c r="N100">
        <v>19.333333329999999</v>
      </c>
      <c r="O100">
        <v>21.22666667</v>
      </c>
      <c r="Q100" t="s">
        <v>289</v>
      </c>
      <c r="R100" t="s">
        <v>9193</v>
      </c>
      <c r="S100" t="s">
        <v>9058</v>
      </c>
      <c r="T100" t="s">
        <v>9061</v>
      </c>
    </row>
    <row r="101" spans="1:20" x14ac:dyDescent="0.25">
      <c r="A101" t="s">
        <v>6234</v>
      </c>
      <c r="B101">
        <v>-13.26</v>
      </c>
      <c r="C101">
        <v>440</v>
      </c>
      <c r="D101">
        <v>26.25416667</v>
      </c>
      <c r="E101">
        <v>22.765000000000001</v>
      </c>
      <c r="F101">
        <v>29.688333329999999</v>
      </c>
      <c r="G101">
        <v>1.5516666670000001</v>
      </c>
      <c r="H101">
        <v>0.94</v>
      </c>
      <c r="I101">
        <v>2.1183333329999998</v>
      </c>
      <c r="J101">
        <v>5671.4833330000001</v>
      </c>
      <c r="K101">
        <v>5095.2083329999996</v>
      </c>
      <c r="L101">
        <v>6417.3541670000004</v>
      </c>
      <c r="M101">
        <v>15.15583333</v>
      </c>
      <c r="N101">
        <v>13.061666669999999</v>
      </c>
      <c r="O101">
        <v>17.52</v>
      </c>
      <c r="Q101" t="s">
        <v>289</v>
      </c>
      <c r="R101" t="s">
        <v>9195</v>
      </c>
      <c r="S101" t="s">
        <v>9065</v>
      </c>
      <c r="T101" t="s">
        <v>9066</v>
      </c>
    </row>
    <row r="102" spans="1:20" x14ac:dyDescent="0.25">
      <c r="A102" t="s">
        <v>9196</v>
      </c>
      <c r="B102">
        <v>-13.26</v>
      </c>
      <c r="C102">
        <v>441.5</v>
      </c>
      <c r="D102">
        <v>25.78083333</v>
      </c>
      <c r="E102">
        <v>21.44</v>
      </c>
      <c r="F102">
        <v>30.118333329999999</v>
      </c>
      <c r="G102">
        <v>2.0291666670000001</v>
      </c>
      <c r="H102">
        <v>1.006666667</v>
      </c>
      <c r="I102">
        <v>2.8666666670000001</v>
      </c>
      <c r="J102">
        <v>6193.7624999999998</v>
      </c>
      <c r="K102">
        <v>5782.1875</v>
      </c>
      <c r="L102">
        <v>6875.0833329999996</v>
      </c>
      <c r="M102">
        <v>16.85166667</v>
      </c>
      <c r="N102">
        <v>15.23833333</v>
      </c>
      <c r="O102">
        <v>18.616666670000001</v>
      </c>
      <c r="Q102" t="s">
        <v>289</v>
      </c>
      <c r="R102" t="s">
        <v>9195</v>
      </c>
      <c r="S102" t="s">
        <v>9058</v>
      </c>
      <c r="T102" t="s">
        <v>9059</v>
      </c>
    </row>
    <row r="103" spans="1:20" x14ac:dyDescent="0.25">
      <c r="A103" t="s">
        <v>9197</v>
      </c>
      <c r="B103">
        <v>-13.26</v>
      </c>
      <c r="C103">
        <v>441.5</v>
      </c>
      <c r="D103">
        <v>27.425000000000001</v>
      </c>
      <c r="E103">
        <v>23.803333330000001</v>
      </c>
      <c r="F103">
        <v>30.91416667</v>
      </c>
      <c r="G103">
        <v>1.839166667</v>
      </c>
      <c r="H103">
        <v>0.97499999999999998</v>
      </c>
      <c r="I103">
        <v>2.57</v>
      </c>
      <c r="J103">
        <v>5836.2974999999997</v>
      </c>
      <c r="K103">
        <v>5345.8125</v>
      </c>
      <c r="L103">
        <v>6545.7916670000004</v>
      </c>
      <c r="M103">
        <v>17.076666670000002</v>
      </c>
      <c r="N103">
        <v>15.55833333</v>
      </c>
      <c r="O103">
        <v>18.71166667</v>
      </c>
      <c r="Q103" t="s">
        <v>289</v>
      </c>
      <c r="R103" t="s">
        <v>9195</v>
      </c>
      <c r="S103" t="s">
        <v>9058</v>
      </c>
      <c r="T103" t="s">
        <v>9061</v>
      </c>
    </row>
    <row r="104" spans="1:20" x14ac:dyDescent="0.25">
      <c r="A104" t="s">
        <v>6213</v>
      </c>
      <c r="B104">
        <v>-14.18</v>
      </c>
      <c r="C104">
        <v>470</v>
      </c>
      <c r="D104">
        <v>25.175000000000001</v>
      </c>
      <c r="E104">
        <v>22.62833333</v>
      </c>
      <c r="F104">
        <v>27.71833333</v>
      </c>
      <c r="G104">
        <v>1.4366666669999999</v>
      </c>
      <c r="H104">
        <v>0.59166666700000003</v>
      </c>
      <c r="I104">
        <v>2.1749999999999998</v>
      </c>
      <c r="J104">
        <v>5275.0766670000003</v>
      </c>
      <c r="K104">
        <v>4368.1041670000004</v>
      </c>
      <c r="L104">
        <v>6420.9375</v>
      </c>
      <c r="M104">
        <v>18.044166669999999</v>
      </c>
      <c r="N104">
        <v>16.760000000000002</v>
      </c>
      <c r="O104">
        <v>19.46166667</v>
      </c>
      <c r="Q104" t="s">
        <v>289</v>
      </c>
      <c r="R104" t="s">
        <v>9198</v>
      </c>
      <c r="S104" t="s">
        <v>9065</v>
      </c>
      <c r="T104" t="s">
        <v>9066</v>
      </c>
    </row>
    <row r="105" spans="1:20" x14ac:dyDescent="0.25">
      <c r="A105" t="s">
        <v>9199</v>
      </c>
      <c r="B105">
        <v>-14.18</v>
      </c>
      <c r="C105">
        <v>471.5</v>
      </c>
      <c r="D105">
        <v>25.26166667</v>
      </c>
      <c r="E105">
        <v>21.954999999999998</v>
      </c>
      <c r="F105">
        <v>28.46</v>
      </c>
      <c r="G105">
        <v>1.6033333329999999</v>
      </c>
      <c r="H105">
        <v>0.625</v>
      </c>
      <c r="I105">
        <v>2.4266666670000001</v>
      </c>
      <c r="J105">
        <v>5415.8641669999997</v>
      </c>
      <c r="K105">
        <v>4651.8958329999996</v>
      </c>
      <c r="L105">
        <v>6371.0416670000004</v>
      </c>
      <c r="M105">
        <v>16.263333329999998</v>
      </c>
      <c r="N105">
        <v>14.766666669999999</v>
      </c>
      <c r="O105">
        <v>17.966666669999999</v>
      </c>
      <c r="Q105" t="s">
        <v>289</v>
      </c>
      <c r="R105" t="s">
        <v>9198</v>
      </c>
      <c r="S105" t="s">
        <v>9058</v>
      </c>
      <c r="T105" t="s">
        <v>9061</v>
      </c>
    </row>
    <row r="106" spans="1:20" x14ac:dyDescent="0.25">
      <c r="A106" t="s">
        <v>9200</v>
      </c>
      <c r="B106">
        <v>-10.72</v>
      </c>
      <c r="C106">
        <v>503.5</v>
      </c>
      <c r="D106">
        <v>26.658333330000001</v>
      </c>
      <c r="E106">
        <v>23.24666667</v>
      </c>
      <c r="F106">
        <v>30.2</v>
      </c>
      <c r="G106">
        <v>1.1791666670000001</v>
      </c>
      <c r="H106">
        <v>0.47499999999999998</v>
      </c>
      <c r="I106">
        <v>1.568333333</v>
      </c>
      <c r="J106">
        <v>6006.5858330000001</v>
      </c>
      <c r="K106">
        <v>5670.2291670000004</v>
      </c>
      <c r="L106">
        <v>6549.875</v>
      </c>
      <c r="M106">
        <v>16.306666669999998</v>
      </c>
      <c r="N106">
        <v>14.765000000000001</v>
      </c>
      <c r="O106">
        <v>18.158333330000001</v>
      </c>
      <c r="Q106" t="s">
        <v>289</v>
      </c>
      <c r="R106" t="s">
        <v>9201</v>
      </c>
      <c r="S106" t="s">
        <v>9058</v>
      </c>
      <c r="T106" t="s">
        <v>9061</v>
      </c>
    </row>
    <row r="107" spans="1:20" x14ac:dyDescent="0.25">
      <c r="A107" t="s">
        <v>6238</v>
      </c>
      <c r="B107">
        <v>-10.72</v>
      </c>
      <c r="C107">
        <v>502</v>
      </c>
      <c r="D107">
        <v>25.455833330000001</v>
      </c>
      <c r="E107">
        <v>21.912500000000001</v>
      </c>
      <c r="F107">
        <v>29.214166670000001</v>
      </c>
      <c r="G107">
        <v>1.9950000000000001</v>
      </c>
      <c r="H107">
        <v>0.79166666699999999</v>
      </c>
      <c r="I107">
        <v>3.0516666670000001</v>
      </c>
      <c r="J107">
        <v>5549.9125000000004</v>
      </c>
      <c r="K107">
        <v>5031.8333329999996</v>
      </c>
      <c r="L107">
        <v>6321</v>
      </c>
      <c r="M107">
        <v>16.952500000000001</v>
      </c>
      <c r="N107">
        <v>15.55</v>
      </c>
      <c r="O107">
        <v>18.574999999999999</v>
      </c>
      <c r="Q107" t="s">
        <v>289</v>
      </c>
      <c r="R107" t="s">
        <v>9202</v>
      </c>
      <c r="S107" t="s">
        <v>9065</v>
      </c>
      <c r="T107" t="s">
        <v>9066</v>
      </c>
    </row>
    <row r="108" spans="1:20" x14ac:dyDescent="0.25">
      <c r="A108" t="s">
        <v>9203</v>
      </c>
      <c r="B108">
        <v>-14.05</v>
      </c>
      <c r="C108">
        <v>882</v>
      </c>
      <c r="D108">
        <v>22.959166669999998</v>
      </c>
      <c r="E108">
        <v>20.896666669999998</v>
      </c>
      <c r="F108">
        <v>24.911666669999999</v>
      </c>
      <c r="G108">
        <v>2.9566666669999999</v>
      </c>
      <c r="H108">
        <v>1.931666667</v>
      </c>
      <c r="I108">
        <v>3.8033333329999999</v>
      </c>
      <c r="J108">
        <v>6212.6625000000004</v>
      </c>
      <c r="K108">
        <v>5632.6041670000004</v>
      </c>
      <c r="L108">
        <v>6971.5208329999996</v>
      </c>
      <c r="M108">
        <v>15.49416667</v>
      </c>
      <c r="N108">
        <v>14.1625</v>
      </c>
      <c r="O108">
        <v>17.083333329999999</v>
      </c>
      <c r="Q108" t="s">
        <v>289</v>
      </c>
      <c r="R108" t="s">
        <v>9204</v>
      </c>
      <c r="S108" t="s">
        <v>9058</v>
      </c>
      <c r="T108" t="s">
        <v>9059</v>
      </c>
    </row>
    <row r="109" spans="1:20" x14ac:dyDescent="0.25">
      <c r="A109" t="s">
        <v>9205</v>
      </c>
      <c r="B109">
        <v>-14.05</v>
      </c>
      <c r="C109">
        <v>882</v>
      </c>
      <c r="D109">
        <v>23.07416667</v>
      </c>
      <c r="E109">
        <v>20.58583333</v>
      </c>
      <c r="F109">
        <v>25.146666669999998</v>
      </c>
      <c r="G109">
        <v>2.9458333329999999</v>
      </c>
      <c r="H109">
        <v>1.316666667</v>
      </c>
      <c r="I109">
        <v>4.2450000000000001</v>
      </c>
      <c r="J109">
        <v>5891.1583330000003</v>
      </c>
      <c r="K109">
        <v>5341.8125</v>
      </c>
      <c r="L109">
        <v>6618.7083329999996</v>
      </c>
      <c r="M109">
        <v>15.6075</v>
      </c>
      <c r="N109">
        <v>14.24</v>
      </c>
      <c r="O109">
        <v>17.208333329999999</v>
      </c>
      <c r="Q109" t="s">
        <v>289</v>
      </c>
      <c r="R109" t="s">
        <v>9204</v>
      </c>
      <c r="S109" t="s">
        <v>9058</v>
      </c>
      <c r="T109" t="s">
        <v>9061</v>
      </c>
    </row>
    <row r="110" spans="1:20" x14ac:dyDescent="0.25">
      <c r="A110" t="s">
        <v>9206</v>
      </c>
      <c r="B110">
        <v>-15.67</v>
      </c>
      <c r="C110">
        <v>5</v>
      </c>
      <c r="D110">
        <v>24.93</v>
      </c>
      <c r="E110">
        <v>23.6</v>
      </c>
      <c r="F110">
        <v>26.318333330000002</v>
      </c>
      <c r="G110">
        <v>3.1883333330000001</v>
      </c>
      <c r="H110">
        <v>2.2166666670000001</v>
      </c>
      <c r="I110">
        <v>4.0916666670000001</v>
      </c>
      <c r="J110">
        <v>5313.8783329999997</v>
      </c>
      <c r="K110">
        <v>4899.3333329999996</v>
      </c>
      <c r="L110">
        <v>5865.9166670000004</v>
      </c>
      <c r="M110">
        <v>21.5625</v>
      </c>
      <c r="N110">
        <v>20.831666670000001</v>
      </c>
      <c r="O110">
        <v>22.393333330000001</v>
      </c>
      <c r="Q110" t="s">
        <v>289</v>
      </c>
      <c r="R110" t="s">
        <v>9207</v>
      </c>
      <c r="S110" t="s">
        <v>9058</v>
      </c>
      <c r="T110" t="s">
        <v>9061</v>
      </c>
    </row>
    <row r="111" spans="1:20" x14ac:dyDescent="0.25">
      <c r="A111" t="s">
        <v>6201</v>
      </c>
      <c r="B111">
        <v>-17.73</v>
      </c>
      <c r="C111">
        <v>3</v>
      </c>
      <c r="D111">
        <v>25.03166667</v>
      </c>
      <c r="E111">
        <v>23.274999999999999</v>
      </c>
      <c r="F111">
        <v>26.901666670000001</v>
      </c>
      <c r="G111">
        <v>2.4491666670000001</v>
      </c>
      <c r="H111">
        <v>1.2416666670000001</v>
      </c>
      <c r="I111">
        <v>3.5358333329999998</v>
      </c>
      <c r="J111">
        <v>5223.2416670000002</v>
      </c>
      <c r="K111">
        <v>4604.9375</v>
      </c>
      <c r="L111">
        <v>6127.6041670000004</v>
      </c>
      <c r="M111">
        <v>21.13666667</v>
      </c>
      <c r="N111">
        <v>20.423333329999998</v>
      </c>
      <c r="O111">
        <v>21.958333329999999</v>
      </c>
      <c r="Q111" t="s">
        <v>289</v>
      </c>
      <c r="R111" t="s">
        <v>9208</v>
      </c>
      <c r="S111" t="s">
        <v>9065</v>
      </c>
      <c r="T111" t="s">
        <v>9066</v>
      </c>
    </row>
    <row r="112" spans="1:20" x14ac:dyDescent="0.25">
      <c r="A112" t="s">
        <v>9209</v>
      </c>
      <c r="B112">
        <v>-17.73</v>
      </c>
      <c r="C112">
        <v>4.4000000000000004</v>
      </c>
      <c r="D112">
        <v>25.03</v>
      </c>
      <c r="E112">
        <v>23.766666669999999</v>
      </c>
      <c r="F112">
        <v>26.37</v>
      </c>
      <c r="G112">
        <v>2.1241666669999999</v>
      </c>
      <c r="H112">
        <v>1.0649999999999999</v>
      </c>
      <c r="I112">
        <v>3.0416666669999999</v>
      </c>
      <c r="J112">
        <v>5411.9174999999996</v>
      </c>
      <c r="K112">
        <v>4597.3125</v>
      </c>
      <c r="L112">
        <v>6462.6875</v>
      </c>
      <c r="M112">
        <v>21.524999999999999</v>
      </c>
      <c r="N112">
        <v>20.80833333</v>
      </c>
      <c r="O112">
        <v>22.393333330000001</v>
      </c>
      <c r="Q112" t="s">
        <v>289</v>
      </c>
      <c r="R112" t="s">
        <v>9210</v>
      </c>
      <c r="S112" t="s">
        <v>9058</v>
      </c>
      <c r="T112" t="s">
        <v>9059</v>
      </c>
    </row>
    <row r="113" spans="1:20" x14ac:dyDescent="0.25">
      <c r="A113" t="s">
        <v>9211</v>
      </c>
      <c r="B113">
        <v>-17.73</v>
      </c>
      <c r="C113">
        <v>4.4000000000000004</v>
      </c>
      <c r="D113">
        <v>25.12</v>
      </c>
      <c r="E113">
        <v>23.864999999999998</v>
      </c>
      <c r="F113">
        <v>26.42</v>
      </c>
      <c r="G113">
        <v>3.2833333329999999</v>
      </c>
      <c r="H113">
        <v>2.0833333330000001</v>
      </c>
      <c r="I113">
        <v>4.3616666669999997</v>
      </c>
      <c r="J113">
        <v>5018.7049999999999</v>
      </c>
      <c r="K113">
        <v>4482</v>
      </c>
      <c r="L113">
        <v>5768.7083329999996</v>
      </c>
      <c r="M113">
        <v>21.446666669999999</v>
      </c>
      <c r="N113">
        <v>20.723333329999999</v>
      </c>
      <c r="O113">
        <v>22.375</v>
      </c>
      <c r="Q113" t="s">
        <v>289</v>
      </c>
      <c r="R113" t="s">
        <v>9210</v>
      </c>
      <c r="S113" t="s">
        <v>9058</v>
      </c>
      <c r="T113" t="s">
        <v>9061</v>
      </c>
    </row>
    <row r="114" spans="1:20" x14ac:dyDescent="0.25">
      <c r="A114" t="s">
        <v>9212</v>
      </c>
      <c r="B114">
        <v>-11.08</v>
      </c>
      <c r="C114">
        <v>464</v>
      </c>
      <c r="D114">
        <v>26.29666667</v>
      </c>
      <c r="E114">
        <v>23.848333329999999</v>
      </c>
      <c r="F114">
        <v>28.543333329999999</v>
      </c>
      <c r="G114">
        <v>3.0274999999999999</v>
      </c>
      <c r="H114">
        <v>2.09</v>
      </c>
      <c r="I114">
        <v>3.8166666669999998</v>
      </c>
      <c r="J114">
        <v>5656.4241670000001</v>
      </c>
      <c r="K114">
        <v>4830.0416670000004</v>
      </c>
      <c r="L114">
        <v>6630.0416670000004</v>
      </c>
      <c r="M114">
        <v>19.268333330000001</v>
      </c>
      <c r="N114">
        <v>17.658333330000001</v>
      </c>
      <c r="O114">
        <v>21.02</v>
      </c>
      <c r="Q114" t="s">
        <v>289</v>
      </c>
      <c r="R114" t="s">
        <v>9213</v>
      </c>
      <c r="S114" t="s">
        <v>9058</v>
      </c>
      <c r="T114" t="s">
        <v>9059</v>
      </c>
    </row>
    <row r="115" spans="1:20" x14ac:dyDescent="0.25">
      <c r="A115" t="s">
        <v>9214</v>
      </c>
      <c r="B115">
        <v>-11.08</v>
      </c>
      <c r="C115">
        <v>464</v>
      </c>
      <c r="D115">
        <v>25.883333329999999</v>
      </c>
      <c r="E115">
        <v>23.15</v>
      </c>
      <c r="F115">
        <v>28.27</v>
      </c>
      <c r="G115">
        <v>3.0216666669999999</v>
      </c>
      <c r="H115">
        <v>2.233333333</v>
      </c>
      <c r="I115">
        <v>3.7250000000000001</v>
      </c>
      <c r="J115">
        <v>5145.7616669999998</v>
      </c>
      <c r="K115">
        <v>4645.1458329999996</v>
      </c>
      <c r="L115">
        <v>5753.5</v>
      </c>
      <c r="M115">
        <v>19.641666669999999</v>
      </c>
      <c r="N115">
        <v>18.475000000000001</v>
      </c>
      <c r="O115">
        <v>20.920833330000001</v>
      </c>
      <c r="Q115" t="s">
        <v>289</v>
      </c>
      <c r="R115" t="s">
        <v>9213</v>
      </c>
      <c r="S115" t="s">
        <v>9058</v>
      </c>
      <c r="T115" t="s">
        <v>9061</v>
      </c>
    </row>
    <row r="116" spans="1:20" x14ac:dyDescent="0.25">
      <c r="A116" t="s">
        <v>6195</v>
      </c>
      <c r="B116">
        <v>-11.81</v>
      </c>
      <c r="C116">
        <v>14</v>
      </c>
      <c r="D116">
        <v>25.94083333</v>
      </c>
      <c r="E116">
        <v>24.31666667</v>
      </c>
      <c r="F116">
        <v>27.861666670000002</v>
      </c>
      <c r="G116">
        <v>2.3958333330000001</v>
      </c>
      <c r="H116">
        <v>1.183333333</v>
      </c>
      <c r="I116">
        <v>3.5833333330000001</v>
      </c>
      <c r="J116">
        <v>5594.9766669999999</v>
      </c>
      <c r="K116">
        <v>5116.2291670000004</v>
      </c>
      <c r="L116">
        <v>6290.5625</v>
      </c>
      <c r="M116">
        <v>21.65666667</v>
      </c>
      <c r="N116">
        <v>21.03166667</v>
      </c>
      <c r="O116">
        <v>22.335000000000001</v>
      </c>
      <c r="Q116" t="s">
        <v>289</v>
      </c>
      <c r="R116" t="s">
        <v>9215</v>
      </c>
      <c r="S116" t="s">
        <v>9065</v>
      </c>
      <c r="T116" t="s">
        <v>9066</v>
      </c>
    </row>
    <row r="117" spans="1:20" x14ac:dyDescent="0.25">
      <c r="A117" t="s">
        <v>9216</v>
      </c>
      <c r="B117">
        <v>-11.82</v>
      </c>
      <c r="C117">
        <v>15.5</v>
      </c>
      <c r="D117">
        <v>25.82833333</v>
      </c>
      <c r="E117">
        <v>24.55</v>
      </c>
      <c r="F117">
        <v>27.335000000000001</v>
      </c>
      <c r="G117">
        <v>3.7341666670000002</v>
      </c>
      <c r="H117">
        <v>2.7583333329999999</v>
      </c>
      <c r="I117">
        <v>4.7583333330000004</v>
      </c>
      <c r="J117">
        <v>5525.0083329999998</v>
      </c>
      <c r="K117">
        <v>5191.0208329999996</v>
      </c>
      <c r="L117">
        <v>6043.2083329999996</v>
      </c>
      <c r="M117">
        <v>22.791666670000001</v>
      </c>
      <c r="N117">
        <v>22.18333333</v>
      </c>
      <c r="O117">
        <v>23.44166667</v>
      </c>
      <c r="Q117" t="s">
        <v>289</v>
      </c>
      <c r="R117" t="s">
        <v>9215</v>
      </c>
      <c r="S117" t="s">
        <v>9058</v>
      </c>
      <c r="T117" t="s">
        <v>9061</v>
      </c>
    </row>
    <row r="118" spans="1:20" x14ac:dyDescent="0.25">
      <c r="A118" t="s">
        <v>6250</v>
      </c>
      <c r="B118">
        <v>-13.33</v>
      </c>
      <c r="C118">
        <v>549</v>
      </c>
      <c r="D118">
        <v>23.827500000000001</v>
      </c>
      <c r="E118">
        <v>19.713333330000001</v>
      </c>
      <c r="F118">
        <v>28.09416667</v>
      </c>
      <c r="G118">
        <v>1.463333333</v>
      </c>
      <c r="H118">
        <v>0.79833333299999998</v>
      </c>
      <c r="I118">
        <v>1.993333333</v>
      </c>
      <c r="J118">
        <v>5661.6841670000003</v>
      </c>
      <c r="K118">
        <v>5054.5833329999996</v>
      </c>
      <c r="L118">
        <v>6393.2916670000004</v>
      </c>
      <c r="M118">
        <v>15.623333329999999</v>
      </c>
      <c r="N118">
        <v>14.28083333</v>
      </c>
      <c r="O118">
        <v>17.26166667</v>
      </c>
      <c r="Q118" t="s">
        <v>289</v>
      </c>
      <c r="R118" t="s">
        <v>9217</v>
      </c>
      <c r="S118" t="s">
        <v>9065</v>
      </c>
      <c r="T118" t="s">
        <v>9066</v>
      </c>
    </row>
    <row r="119" spans="1:20" x14ac:dyDescent="0.25">
      <c r="A119" t="s">
        <v>9218</v>
      </c>
      <c r="B119">
        <v>-13.33</v>
      </c>
      <c r="C119">
        <v>550.5</v>
      </c>
      <c r="D119">
        <v>24.858333330000001</v>
      </c>
      <c r="E119">
        <v>21.05</v>
      </c>
      <c r="F119">
        <v>28.785</v>
      </c>
      <c r="G119">
        <v>1.78</v>
      </c>
      <c r="H119">
        <v>1.1499999999999999</v>
      </c>
      <c r="I119">
        <v>2.326666667</v>
      </c>
      <c r="J119">
        <v>5730.3941670000004</v>
      </c>
      <c r="K119">
        <v>5240.8958329999996</v>
      </c>
      <c r="L119">
        <v>6445.5208329999996</v>
      </c>
      <c r="M119">
        <v>17.590833329999999</v>
      </c>
      <c r="N119">
        <v>16.258333329999999</v>
      </c>
      <c r="O119">
        <v>19.126666669999999</v>
      </c>
      <c r="Q119" t="s">
        <v>289</v>
      </c>
      <c r="R119" t="s">
        <v>9217</v>
      </c>
      <c r="S119" t="s">
        <v>9058</v>
      </c>
      <c r="T119" t="s">
        <v>9061</v>
      </c>
    </row>
    <row r="120" spans="1:20" x14ac:dyDescent="0.25">
      <c r="A120" t="s">
        <v>6241</v>
      </c>
      <c r="B120">
        <v>-12.67</v>
      </c>
      <c r="C120">
        <v>226</v>
      </c>
      <c r="D120">
        <v>23.93333333</v>
      </c>
      <c r="E120">
        <v>21.66333333</v>
      </c>
      <c r="F120">
        <v>26.23833333</v>
      </c>
      <c r="G120">
        <v>2.9175</v>
      </c>
      <c r="H120">
        <v>1.9083333330000001</v>
      </c>
      <c r="I120">
        <v>3.9083333329999999</v>
      </c>
      <c r="J120">
        <v>4897.915</v>
      </c>
      <c r="K120">
        <v>4268.4583329999996</v>
      </c>
      <c r="L120">
        <v>5663.75</v>
      </c>
      <c r="M120">
        <v>19.814166669999999</v>
      </c>
      <c r="N120">
        <v>19.081666670000001</v>
      </c>
      <c r="O120">
        <v>20.69166667</v>
      </c>
      <c r="Q120" t="s">
        <v>289</v>
      </c>
      <c r="R120" t="s">
        <v>9219</v>
      </c>
      <c r="S120" t="s">
        <v>9065</v>
      </c>
      <c r="T120" t="s">
        <v>9066</v>
      </c>
    </row>
    <row r="121" spans="1:20" x14ac:dyDescent="0.25">
      <c r="A121" t="s">
        <v>9220</v>
      </c>
      <c r="B121">
        <v>-12.67</v>
      </c>
      <c r="C121">
        <v>227.4</v>
      </c>
      <c r="D121">
        <v>24.224166669999999</v>
      </c>
      <c r="E121">
        <v>21.896666669999998</v>
      </c>
      <c r="F121">
        <v>26.395</v>
      </c>
      <c r="G121">
        <v>2.5533333329999999</v>
      </c>
      <c r="H121">
        <v>1.4566666669999999</v>
      </c>
      <c r="I121">
        <v>3.5183333330000002</v>
      </c>
      <c r="J121">
        <v>4981.981667</v>
      </c>
      <c r="K121">
        <v>4543.5625</v>
      </c>
      <c r="L121">
        <v>5572.9375</v>
      </c>
      <c r="M121">
        <v>20.256666670000001</v>
      </c>
      <c r="N121">
        <v>19.491666670000001</v>
      </c>
      <c r="O121">
        <v>21.283333330000001</v>
      </c>
      <c r="Q121" t="s">
        <v>289</v>
      </c>
      <c r="R121" t="s">
        <v>9219</v>
      </c>
      <c r="S121" t="s">
        <v>9058</v>
      </c>
      <c r="T121" t="s">
        <v>9061</v>
      </c>
    </row>
    <row r="122" spans="1:20" x14ac:dyDescent="0.25">
      <c r="A122" t="s">
        <v>6327</v>
      </c>
      <c r="B122">
        <v>-10.46</v>
      </c>
      <c r="C122">
        <v>637</v>
      </c>
      <c r="D122">
        <v>23.848333329999999</v>
      </c>
      <c r="E122">
        <v>20.8</v>
      </c>
      <c r="F122">
        <v>26.978333330000002</v>
      </c>
      <c r="G122">
        <v>2.4500000000000002</v>
      </c>
      <c r="H122">
        <v>1.3833333329999999</v>
      </c>
      <c r="I122">
        <v>3.4083333329999999</v>
      </c>
      <c r="J122">
        <v>5151.7150000000001</v>
      </c>
      <c r="K122">
        <v>4394.2916670000004</v>
      </c>
      <c r="L122">
        <v>5959.6041670000004</v>
      </c>
      <c r="M122">
        <v>16.39833333</v>
      </c>
      <c r="N122">
        <v>15.005000000000001</v>
      </c>
      <c r="O122">
        <v>18.033333330000001</v>
      </c>
      <c r="Q122" t="s">
        <v>289</v>
      </c>
      <c r="R122" t="s">
        <v>9221</v>
      </c>
      <c r="S122" t="s">
        <v>9065</v>
      </c>
      <c r="T122" t="s">
        <v>9066</v>
      </c>
    </row>
    <row r="123" spans="1:20" x14ac:dyDescent="0.25">
      <c r="A123" t="s">
        <v>9222</v>
      </c>
      <c r="B123">
        <v>-10.45</v>
      </c>
      <c r="C123">
        <v>638.5</v>
      </c>
      <c r="D123">
        <v>24.31</v>
      </c>
      <c r="E123">
        <v>21.108333330000001</v>
      </c>
      <c r="F123">
        <v>27.551666669999999</v>
      </c>
      <c r="G123">
        <v>2.5266666670000002</v>
      </c>
      <c r="H123">
        <v>1.483333333</v>
      </c>
      <c r="I123">
        <v>3.4916666670000001</v>
      </c>
      <c r="J123">
        <v>5817.2458329999999</v>
      </c>
      <c r="K123">
        <v>5301.5625</v>
      </c>
      <c r="L123">
        <v>6510.8958329999996</v>
      </c>
      <c r="M123">
        <v>14.0525</v>
      </c>
      <c r="N123">
        <v>12.348333330000001</v>
      </c>
      <c r="O123">
        <v>16.083333329999999</v>
      </c>
      <c r="Q123" t="s">
        <v>289</v>
      </c>
      <c r="R123" t="s">
        <v>9221</v>
      </c>
      <c r="S123" t="s">
        <v>9058</v>
      </c>
      <c r="T123" t="s">
        <v>9061</v>
      </c>
    </row>
    <row r="124" spans="1:20" x14ac:dyDescent="0.25">
      <c r="A124" t="s">
        <v>6219</v>
      </c>
      <c r="B124">
        <v>-10.54</v>
      </c>
      <c r="C124">
        <v>432</v>
      </c>
      <c r="D124">
        <v>24.127500000000001</v>
      </c>
      <c r="E124">
        <v>21.331666670000001</v>
      </c>
      <c r="F124">
        <v>26.821666669999999</v>
      </c>
      <c r="G124">
        <v>3.2766666670000002</v>
      </c>
      <c r="H124">
        <v>2.2749999999999999</v>
      </c>
      <c r="I124">
        <v>4.1666666670000003</v>
      </c>
      <c r="J124">
        <v>5106.1533330000002</v>
      </c>
      <c r="K124">
        <v>4451.4791670000004</v>
      </c>
      <c r="L124">
        <v>5827.4791670000004</v>
      </c>
      <c r="M124">
        <v>18.34</v>
      </c>
      <c r="N124">
        <v>17.356666669999999</v>
      </c>
      <c r="O124">
        <v>19.583333329999999</v>
      </c>
      <c r="Q124" t="s">
        <v>289</v>
      </c>
      <c r="R124" t="s">
        <v>9223</v>
      </c>
      <c r="S124" t="s">
        <v>9065</v>
      </c>
      <c r="T124" t="s">
        <v>9066</v>
      </c>
    </row>
    <row r="125" spans="1:20" x14ac:dyDescent="0.25">
      <c r="A125" t="s">
        <v>9224</v>
      </c>
      <c r="B125">
        <v>-10.53</v>
      </c>
      <c r="C125">
        <v>433.5</v>
      </c>
      <c r="D125">
        <v>24.811666670000001</v>
      </c>
      <c r="E125">
        <v>21.723333329999999</v>
      </c>
      <c r="F125">
        <v>27.68</v>
      </c>
      <c r="G125">
        <v>3.24</v>
      </c>
      <c r="H125">
        <v>2.3233333329999999</v>
      </c>
      <c r="I125">
        <v>4.0608333329999997</v>
      </c>
      <c r="J125">
        <v>5248.6350000000002</v>
      </c>
      <c r="K125">
        <v>4656</v>
      </c>
      <c r="L125">
        <v>5880.8125</v>
      </c>
      <c r="M125">
        <v>18.269166670000001</v>
      </c>
      <c r="N125">
        <v>17.190000000000001</v>
      </c>
      <c r="O125">
        <v>19.643333330000001</v>
      </c>
      <c r="Q125" t="s">
        <v>289</v>
      </c>
      <c r="R125" t="s">
        <v>9223</v>
      </c>
      <c r="S125" t="s">
        <v>9058</v>
      </c>
      <c r="T125" t="s">
        <v>9061</v>
      </c>
    </row>
    <row r="126" spans="1:20" x14ac:dyDescent="0.25">
      <c r="A126" t="s">
        <v>6200</v>
      </c>
      <c r="B126">
        <v>-12.27</v>
      </c>
      <c r="C126">
        <v>231</v>
      </c>
      <c r="D126">
        <v>24.611666670000002</v>
      </c>
      <c r="E126">
        <v>22.123333330000001</v>
      </c>
      <c r="F126">
        <v>27.09333333</v>
      </c>
      <c r="G126">
        <v>2.5083333329999999</v>
      </c>
      <c r="H126">
        <v>1.473333333</v>
      </c>
      <c r="I126">
        <v>3.451666667</v>
      </c>
      <c r="J126">
        <v>4745.9324999999999</v>
      </c>
      <c r="K126">
        <v>4153.25</v>
      </c>
      <c r="L126">
        <v>5388.5</v>
      </c>
      <c r="M126">
        <v>19.918333329999999</v>
      </c>
      <c r="N126">
        <v>19.13</v>
      </c>
      <c r="O126">
        <v>20.94166667</v>
      </c>
      <c r="Q126" t="s">
        <v>289</v>
      </c>
      <c r="R126" t="s">
        <v>9225</v>
      </c>
      <c r="S126" t="s">
        <v>9065</v>
      </c>
      <c r="T126" t="s">
        <v>9066</v>
      </c>
    </row>
    <row r="127" spans="1:20" x14ac:dyDescent="0.25">
      <c r="A127" t="s">
        <v>9226</v>
      </c>
      <c r="B127">
        <v>-12.18</v>
      </c>
      <c r="C127">
        <v>232.5</v>
      </c>
      <c r="D127">
        <v>25.010833330000001</v>
      </c>
      <c r="E127">
        <v>22.346666670000001</v>
      </c>
      <c r="F127">
        <v>27.5</v>
      </c>
      <c r="G127">
        <v>2.590833333</v>
      </c>
      <c r="H127">
        <v>1.65</v>
      </c>
      <c r="I127">
        <v>3.483333333</v>
      </c>
      <c r="J127">
        <v>5035.1683329999996</v>
      </c>
      <c r="K127">
        <v>4568.3125</v>
      </c>
      <c r="L127">
        <v>5539.1458329999996</v>
      </c>
      <c r="M127">
        <v>19.250833329999999</v>
      </c>
      <c r="N127">
        <v>18.364999999999998</v>
      </c>
      <c r="O127">
        <v>20.388333329999998</v>
      </c>
      <c r="Q127" t="s">
        <v>289</v>
      </c>
      <c r="R127" t="s">
        <v>9225</v>
      </c>
      <c r="S127" t="s">
        <v>9058</v>
      </c>
      <c r="T127" t="s">
        <v>9061</v>
      </c>
    </row>
    <row r="128" spans="1:20" x14ac:dyDescent="0.25">
      <c r="A128" t="s">
        <v>9227</v>
      </c>
      <c r="B128">
        <v>-14.2</v>
      </c>
      <c r="C128">
        <v>552.5</v>
      </c>
      <c r="D128">
        <v>25.721666670000001</v>
      </c>
      <c r="E128">
        <v>22.79</v>
      </c>
      <c r="F128">
        <v>28.46833333</v>
      </c>
      <c r="G128">
        <v>3.79</v>
      </c>
      <c r="H128">
        <v>2.516666667</v>
      </c>
      <c r="I128">
        <v>4.8633333329999999</v>
      </c>
      <c r="J128">
        <v>5863.2183329999998</v>
      </c>
      <c r="K128">
        <v>5431.8541670000004</v>
      </c>
      <c r="L128">
        <v>6549.875</v>
      </c>
      <c r="M128">
        <v>14.53083333</v>
      </c>
      <c r="N128">
        <v>12.846666669999999</v>
      </c>
      <c r="O128">
        <v>16.504999999999999</v>
      </c>
      <c r="Q128" t="s">
        <v>289</v>
      </c>
      <c r="R128" t="s">
        <v>9228</v>
      </c>
      <c r="S128" t="s">
        <v>9058</v>
      </c>
      <c r="T128" t="s">
        <v>9061</v>
      </c>
    </row>
    <row r="129" spans="1:20" x14ac:dyDescent="0.25">
      <c r="A129" t="s">
        <v>6242</v>
      </c>
      <c r="B129">
        <v>-14.21</v>
      </c>
      <c r="C129">
        <v>551</v>
      </c>
      <c r="D129">
        <v>25.66416667</v>
      </c>
      <c r="E129">
        <v>22.754999999999999</v>
      </c>
      <c r="F129">
        <v>28.311666670000001</v>
      </c>
      <c r="G129">
        <v>3.2408333329999999</v>
      </c>
      <c r="H129">
        <v>2.0833333330000001</v>
      </c>
      <c r="I129">
        <v>4.266666667</v>
      </c>
      <c r="J129">
        <v>5949.2083329999996</v>
      </c>
      <c r="K129">
        <v>5401.9583329999996</v>
      </c>
      <c r="L129">
        <v>6806.0416670000004</v>
      </c>
      <c r="M129">
        <v>16.160833329999999</v>
      </c>
      <c r="N129">
        <v>14.615</v>
      </c>
      <c r="O129">
        <v>18.024999999999999</v>
      </c>
      <c r="Q129" t="s">
        <v>289</v>
      </c>
      <c r="R129" t="s">
        <v>9229</v>
      </c>
      <c r="S129" t="s">
        <v>9065</v>
      </c>
      <c r="T129" t="s">
        <v>9066</v>
      </c>
    </row>
    <row r="130" spans="1:20" x14ac:dyDescent="0.25">
      <c r="A130" t="s">
        <v>6236</v>
      </c>
      <c r="B130">
        <v>-12.19</v>
      </c>
      <c r="C130">
        <v>430</v>
      </c>
      <c r="D130">
        <v>26.733333330000001</v>
      </c>
      <c r="E130">
        <v>23.295000000000002</v>
      </c>
      <c r="F130">
        <v>30.14083333</v>
      </c>
      <c r="G130">
        <v>2.2266666669999999</v>
      </c>
      <c r="H130">
        <v>1.1399999999999999</v>
      </c>
      <c r="I130">
        <v>3.0833333330000001</v>
      </c>
      <c r="J130">
        <v>5806.0591670000003</v>
      </c>
      <c r="K130">
        <v>5342.8541670000004</v>
      </c>
      <c r="L130">
        <v>6476.3541670000004</v>
      </c>
      <c r="M130">
        <v>15.93166667</v>
      </c>
      <c r="N130">
        <v>14.321666670000001</v>
      </c>
      <c r="O130">
        <v>17.866666670000001</v>
      </c>
      <c r="Q130" t="s">
        <v>289</v>
      </c>
      <c r="R130" t="s">
        <v>9230</v>
      </c>
      <c r="S130" t="s">
        <v>9065</v>
      </c>
      <c r="T130" t="s">
        <v>9066</v>
      </c>
    </row>
    <row r="131" spans="1:20" x14ac:dyDescent="0.25">
      <c r="A131" t="s">
        <v>9231</v>
      </c>
      <c r="B131">
        <v>-12.2</v>
      </c>
      <c r="C131">
        <v>431.5</v>
      </c>
      <c r="D131">
        <v>27.614166669999999</v>
      </c>
      <c r="E131">
        <v>23.904166669999999</v>
      </c>
      <c r="F131">
        <v>31.29</v>
      </c>
      <c r="G131">
        <v>1.951666667</v>
      </c>
      <c r="H131">
        <v>0.74</v>
      </c>
      <c r="I131">
        <v>2.9249999999999998</v>
      </c>
      <c r="J131">
        <v>6013.4908329999998</v>
      </c>
      <c r="K131">
        <v>5724.6458329999996</v>
      </c>
      <c r="L131">
        <v>6640.7916670000004</v>
      </c>
      <c r="M131">
        <v>15.27333333</v>
      </c>
      <c r="N131">
        <v>13.48416667</v>
      </c>
      <c r="O131">
        <v>17.375</v>
      </c>
      <c r="Q131" t="s">
        <v>289</v>
      </c>
      <c r="R131" t="s">
        <v>9230</v>
      </c>
      <c r="S131" t="s">
        <v>9058</v>
      </c>
      <c r="T131" t="s">
        <v>9061</v>
      </c>
    </row>
    <row r="132" spans="1:20" x14ac:dyDescent="0.25">
      <c r="A132" t="s">
        <v>9232</v>
      </c>
      <c r="B132">
        <v>-14.82</v>
      </c>
      <c r="C132">
        <v>4.5999999999999996</v>
      </c>
      <c r="D132">
        <v>25.285833329999999</v>
      </c>
      <c r="E132">
        <v>23.44166667</v>
      </c>
      <c r="F132">
        <v>27.251666669999999</v>
      </c>
      <c r="G132">
        <v>3.3433333329999999</v>
      </c>
      <c r="H132">
        <v>2.3208333329999999</v>
      </c>
      <c r="I132">
        <v>4.1833333330000002</v>
      </c>
      <c r="J132">
        <v>5651.0325000000003</v>
      </c>
      <c r="K132">
        <v>4904.0416670000004</v>
      </c>
      <c r="L132">
        <v>6564.5</v>
      </c>
      <c r="M132">
        <v>21.614999999999998</v>
      </c>
      <c r="N132">
        <v>20.89833333</v>
      </c>
      <c r="O132">
        <v>22.366666670000001</v>
      </c>
      <c r="Q132" t="s">
        <v>289</v>
      </c>
      <c r="R132" t="s">
        <v>9233</v>
      </c>
      <c r="S132" t="s">
        <v>9058</v>
      </c>
      <c r="T132" t="s">
        <v>9059</v>
      </c>
    </row>
    <row r="133" spans="1:20" x14ac:dyDescent="0.25">
      <c r="A133" t="s">
        <v>9234</v>
      </c>
      <c r="B133">
        <v>-14.82</v>
      </c>
      <c r="C133">
        <v>4.5999999999999996</v>
      </c>
      <c r="D133">
        <v>25.576666670000002</v>
      </c>
      <c r="E133">
        <v>23.77</v>
      </c>
      <c r="F133">
        <v>27.270833329999999</v>
      </c>
      <c r="G133">
        <v>3.37</v>
      </c>
      <c r="H133">
        <v>2.3125</v>
      </c>
      <c r="I133">
        <v>4.2941666669999998</v>
      </c>
      <c r="J133">
        <v>5168.6608329999999</v>
      </c>
      <c r="K133">
        <v>4751.4791670000004</v>
      </c>
      <c r="L133">
        <v>5729.6041670000004</v>
      </c>
      <c r="M133">
        <v>22.000833329999999</v>
      </c>
      <c r="N133">
        <v>21.181666669999998</v>
      </c>
      <c r="O133">
        <v>22.81666667</v>
      </c>
      <c r="Q133" t="s">
        <v>289</v>
      </c>
      <c r="R133" t="s">
        <v>9233</v>
      </c>
      <c r="S133" t="s">
        <v>9058</v>
      </c>
      <c r="T133" t="s">
        <v>9061</v>
      </c>
    </row>
    <row r="134" spans="1:20" x14ac:dyDescent="0.25">
      <c r="A134" t="s">
        <v>6227</v>
      </c>
      <c r="B134">
        <v>-14.79</v>
      </c>
      <c r="C134">
        <v>78</v>
      </c>
      <c r="D134">
        <v>23.458333329999999</v>
      </c>
      <c r="E134">
        <v>21.396666669999998</v>
      </c>
      <c r="F134">
        <v>25.594999999999999</v>
      </c>
      <c r="G134">
        <v>2.0074999999999998</v>
      </c>
      <c r="H134">
        <v>1.1883333330000001</v>
      </c>
      <c r="I134">
        <v>2.76</v>
      </c>
      <c r="J134">
        <v>4864.4166670000004</v>
      </c>
      <c r="K134">
        <v>4177.0208329999996</v>
      </c>
      <c r="L134">
        <v>5720.1666670000004</v>
      </c>
      <c r="M134">
        <v>20.605</v>
      </c>
      <c r="N134">
        <v>19.824999999999999</v>
      </c>
      <c r="O134">
        <v>21.501666669999999</v>
      </c>
      <c r="Q134" t="s">
        <v>289</v>
      </c>
      <c r="R134" t="s">
        <v>9235</v>
      </c>
      <c r="S134" t="s">
        <v>9065</v>
      </c>
      <c r="T134" t="s">
        <v>9066</v>
      </c>
    </row>
    <row r="135" spans="1:20" x14ac:dyDescent="0.25">
      <c r="A135" t="s">
        <v>9236</v>
      </c>
      <c r="B135">
        <v>-14.65</v>
      </c>
      <c r="C135">
        <v>79.5</v>
      </c>
      <c r="D135">
        <v>23.97</v>
      </c>
      <c r="E135">
        <v>21.77333333</v>
      </c>
      <c r="F135">
        <v>26.233333330000001</v>
      </c>
      <c r="G135">
        <v>2.2974999999999999</v>
      </c>
      <c r="H135">
        <v>1.425</v>
      </c>
      <c r="I135">
        <v>3.085</v>
      </c>
      <c r="J135">
        <v>4968.6116670000001</v>
      </c>
      <c r="K135">
        <v>4542.25</v>
      </c>
      <c r="L135">
        <v>5580</v>
      </c>
      <c r="M135">
        <v>20.943333330000002</v>
      </c>
      <c r="N135">
        <v>20.206666670000001</v>
      </c>
      <c r="O135">
        <v>21.70333333</v>
      </c>
      <c r="Q135" t="s">
        <v>289</v>
      </c>
      <c r="R135" t="s">
        <v>9235</v>
      </c>
      <c r="S135" t="s">
        <v>9058</v>
      </c>
      <c r="T135" t="s">
        <v>9061</v>
      </c>
    </row>
    <row r="136" spans="1:20" x14ac:dyDescent="0.25">
      <c r="A136" t="s">
        <v>6199</v>
      </c>
      <c r="B136">
        <v>-14.14</v>
      </c>
      <c r="C136">
        <v>135</v>
      </c>
      <c r="D136">
        <v>24.573333330000001</v>
      </c>
      <c r="E136">
        <v>21.739166669999999</v>
      </c>
      <c r="F136">
        <v>27.258333329999999</v>
      </c>
      <c r="G136">
        <v>1.484166667</v>
      </c>
      <c r="H136">
        <v>0.61666666699999995</v>
      </c>
      <c r="I136">
        <v>2.1766666670000001</v>
      </c>
      <c r="J136">
        <v>5111.7366670000001</v>
      </c>
      <c r="K136">
        <v>4480.5208329999996</v>
      </c>
      <c r="L136">
        <v>5893.5625</v>
      </c>
      <c r="M136">
        <v>20.598333329999999</v>
      </c>
      <c r="N136">
        <v>19.850000000000001</v>
      </c>
      <c r="O136">
        <v>21.475000000000001</v>
      </c>
      <c r="Q136" t="s">
        <v>289</v>
      </c>
      <c r="R136" t="s">
        <v>9237</v>
      </c>
      <c r="S136" t="s">
        <v>9065</v>
      </c>
      <c r="T136" t="s">
        <v>9066</v>
      </c>
    </row>
    <row r="137" spans="1:20" x14ac:dyDescent="0.25">
      <c r="A137" t="s">
        <v>9238</v>
      </c>
      <c r="B137">
        <v>-14.17</v>
      </c>
      <c r="C137">
        <v>126.5</v>
      </c>
      <c r="D137">
        <v>24.020833329999999</v>
      </c>
      <c r="E137">
        <v>21.28083333</v>
      </c>
      <c r="F137">
        <v>26.701666670000002</v>
      </c>
      <c r="G137">
        <v>1.473333333</v>
      </c>
      <c r="H137">
        <v>0.64166666699999997</v>
      </c>
      <c r="I137">
        <v>2.1016666669999999</v>
      </c>
      <c r="J137">
        <v>4686.58</v>
      </c>
      <c r="K137">
        <v>4329.25</v>
      </c>
      <c r="L137">
        <v>5191.5833329999996</v>
      </c>
      <c r="M137">
        <v>19.569166670000001</v>
      </c>
      <c r="N137">
        <v>18.684999999999999</v>
      </c>
      <c r="O137">
        <v>20.66</v>
      </c>
      <c r="Q137" t="s">
        <v>289</v>
      </c>
      <c r="R137" t="s">
        <v>9237</v>
      </c>
      <c r="S137" t="s">
        <v>9058</v>
      </c>
      <c r="T137" t="s">
        <v>9061</v>
      </c>
    </row>
    <row r="138" spans="1:20" x14ac:dyDescent="0.25">
      <c r="A138" t="s">
        <v>9239</v>
      </c>
      <c r="B138">
        <v>-11.3</v>
      </c>
      <c r="C138">
        <v>756.5</v>
      </c>
      <c r="D138">
        <v>24.478333330000002</v>
      </c>
      <c r="E138">
        <v>21.37166667</v>
      </c>
      <c r="F138">
        <v>27.33666667</v>
      </c>
      <c r="G138">
        <v>3.0233333330000001</v>
      </c>
      <c r="H138">
        <v>1.891666667</v>
      </c>
      <c r="I138">
        <v>4.0999999999999996</v>
      </c>
      <c r="J138">
        <v>6488.165833</v>
      </c>
      <c r="K138">
        <v>6018.6875</v>
      </c>
      <c r="L138">
        <v>7165.4791670000004</v>
      </c>
      <c r="M138">
        <v>15.59333333</v>
      </c>
      <c r="N138">
        <v>14.141666669999999</v>
      </c>
      <c r="O138">
        <v>17.318333330000002</v>
      </c>
      <c r="Q138" t="s">
        <v>289</v>
      </c>
      <c r="R138" t="s">
        <v>9240</v>
      </c>
      <c r="S138" t="s">
        <v>9058</v>
      </c>
      <c r="T138" t="s">
        <v>9059</v>
      </c>
    </row>
    <row r="139" spans="1:20" x14ac:dyDescent="0.25">
      <c r="A139" t="s">
        <v>9241</v>
      </c>
      <c r="B139">
        <v>-11.3</v>
      </c>
      <c r="C139">
        <v>756.5</v>
      </c>
      <c r="D139">
        <v>24.14</v>
      </c>
      <c r="E139">
        <v>20.841666669999999</v>
      </c>
      <c r="F139">
        <v>27.22666667</v>
      </c>
      <c r="G139">
        <v>3.048333333</v>
      </c>
      <c r="H139">
        <v>1.983333333</v>
      </c>
      <c r="I139">
        <v>3.94</v>
      </c>
      <c r="J139">
        <v>5840.4241670000001</v>
      </c>
      <c r="K139">
        <v>5182.7083329999996</v>
      </c>
      <c r="L139">
        <v>6693.375</v>
      </c>
      <c r="M139">
        <v>15.903333330000001</v>
      </c>
      <c r="N139">
        <v>14.66333333</v>
      </c>
      <c r="O139">
        <v>17.561666670000001</v>
      </c>
      <c r="Q139" t="s">
        <v>289</v>
      </c>
      <c r="R139" t="s">
        <v>9240</v>
      </c>
      <c r="S139" t="s">
        <v>9058</v>
      </c>
      <c r="T139" t="s">
        <v>9061</v>
      </c>
    </row>
    <row r="140" spans="1:20" x14ac:dyDescent="0.25">
      <c r="A140" t="s">
        <v>6205</v>
      </c>
      <c r="B140">
        <v>-11.33</v>
      </c>
      <c r="C140">
        <v>755</v>
      </c>
      <c r="D140">
        <v>23.951666670000002</v>
      </c>
      <c r="E140">
        <v>20.664999999999999</v>
      </c>
      <c r="F140">
        <v>27.13</v>
      </c>
      <c r="G140">
        <v>2.5866666669999998</v>
      </c>
      <c r="H140">
        <v>1.8</v>
      </c>
      <c r="I140">
        <v>3.3250000000000002</v>
      </c>
      <c r="J140">
        <v>5819.955833</v>
      </c>
      <c r="K140">
        <v>5130.3541670000004</v>
      </c>
      <c r="L140">
        <v>6630.8125</v>
      </c>
      <c r="M140">
        <v>16.35166667</v>
      </c>
      <c r="N140">
        <v>14.89</v>
      </c>
      <c r="O140">
        <v>17.96</v>
      </c>
      <c r="Q140" t="s">
        <v>289</v>
      </c>
      <c r="R140" t="s">
        <v>9242</v>
      </c>
      <c r="S140" t="s">
        <v>9065</v>
      </c>
      <c r="T140" t="s">
        <v>9066</v>
      </c>
    </row>
    <row r="141" spans="1:20" x14ac:dyDescent="0.25">
      <c r="A141" t="s">
        <v>6232</v>
      </c>
      <c r="B141">
        <v>-12.53</v>
      </c>
      <c r="C141">
        <v>250</v>
      </c>
      <c r="D141">
        <v>24.9375</v>
      </c>
      <c r="E141">
        <v>22.241666670000001</v>
      </c>
      <c r="F141">
        <v>27.70333333</v>
      </c>
      <c r="G141">
        <v>2.1891666669999998</v>
      </c>
      <c r="H141">
        <v>1.066666667</v>
      </c>
      <c r="I141">
        <v>3.1349999999999998</v>
      </c>
      <c r="J141">
        <v>4811.1533330000002</v>
      </c>
      <c r="K141">
        <v>4145.8333329999996</v>
      </c>
      <c r="L141">
        <v>5531.5208329999996</v>
      </c>
      <c r="M141">
        <v>19.409166670000001</v>
      </c>
      <c r="N141">
        <v>18.400833330000001</v>
      </c>
      <c r="O141">
        <v>20.643333330000001</v>
      </c>
      <c r="Q141" t="s">
        <v>289</v>
      </c>
      <c r="R141" t="s">
        <v>9243</v>
      </c>
      <c r="S141" t="s">
        <v>9065</v>
      </c>
      <c r="T141" t="s">
        <v>9066</v>
      </c>
    </row>
    <row r="142" spans="1:20" x14ac:dyDescent="0.25">
      <c r="A142" t="s">
        <v>9244</v>
      </c>
      <c r="B142">
        <v>-12.52</v>
      </c>
      <c r="C142">
        <v>251.4</v>
      </c>
      <c r="D142">
        <v>25.60916667</v>
      </c>
      <c r="E142">
        <v>22.70333333</v>
      </c>
      <c r="F142">
        <v>28.40666667</v>
      </c>
      <c r="G142">
        <v>2.3050000000000002</v>
      </c>
      <c r="H142">
        <v>1.306666667</v>
      </c>
      <c r="I142">
        <v>3.141666667</v>
      </c>
      <c r="J142">
        <v>4961.8766670000005</v>
      </c>
      <c r="K142">
        <v>4368.9375</v>
      </c>
      <c r="L142">
        <v>5598.6666670000004</v>
      </c>
      <c r="M142">
        <v>19.510000000000002</v>
      </c>
      <c r="N142">
        <v>18.536666669999999</v>
      </c>
      <c r="O142">
        <v>20.675000000000001</v>
      </c>
      <c r="Q142" t="s">
        <v>289</v>
      </c>
      <c r="R142" t="s">
        <v>9245</v>
      </c>
      <c r="S142" t="s">
        <v>9058</v>
      </c>
      <c r="T142" t="s">
        <v>9061</v>
      </c>
    </row>
    <row r="143" spans="1:20" x14ac:dyDescent="0.25">
      <c r="A143" t="s">
        <v>6239</v>
      </c>
      <c r="B143">
        <v>-15.24</v>
      </c>
      <c r="C143">
        <v>279</v>
      </c>
      <c r="D143">
        <v>24.688333329999999</v>
      </c>
      <c r="E143">
        <v>21.83</v>
      </c>
      <c r="F143">
        <v>27.57833333</v>
      </c>
      <c r="G143">
        <v>2.1375000000000002</v>
      </c>
      <c r="H143">
        <v>1.0833333329999999</v>
      </c>
      <c r="I143">
        <v>2.9766666669999999</v>
      </c>
      <c r="J143">
        <v>5105.6091669999996</v>
      </c>
      <c r="K143">
        <v>4407.3541670000004</v>
      </c>
      <c r="L143">
        <v>5929.875</v>
      </c>
      <c r="M143">
        <v>19.178333330000001</v>
      </c>
      <c r="N143">
        <v>18.15666667</v>
      </c>
      <c r="O143">
        <v>20.526666670000001</v>
      </c>
      <c r="Q143" t="s">
        <v>289</v>
      </c>
      <c r="R143" t="s">
        <v>9246</v>
      </c>
      <c r="S143" t="s">
        <v>9065</v>
      </c>
      <c r="T143" t="s">
        <v>9066</v>
      </c>
    </row>
    <row r="144" spans="1:20" x14ac:dyDescent="0.25">
      <c r="A144" t="s">
        <v>9247</v>
      </c>
      <c r="B144">
        <v>-15.25</v>
      </c>
      <c r="C144">
        <v>270.5</v>
      </c>
      <c r="D144">
        <v>24.150833330000001</v>
      </c>
      <c r="E144">
        <v>21.361666670000002</v>
      </c>
      <c r="F144">
        <v>26.911666669999999</v>
      </c>
      <c r="G144">
        <v>2.0833333330000001</v>
      </c>
      <c r="H144">
        <v>1.191666667</v>
      </c>
      <c r="I144">
        <v>2.826666667</v>
      </c>
      <c r="J144">
        <v>4787.978333</v>
      </c>
      <c r="K144">
        <v>4154.3958329999996</v>
      </c>
      <c r="L144">
        <v>5598.125</v>
      </c>
      <c r="M144">
        <v>18.395</v>
      </c>
      <c r="N144">
        <v>17.454999999999998</v>
      </c>
      <c r="O144">
        <v>19.611666670000002</v>
      </c>
      <c r="Q144" t="s">
        <v>289</v>
      </c>
      <c r="R144" t="s">
        <v>9246</v>
      </c>
      <c r="S144" t="s">
        <v>9058</v>
      </c>
      <c r="T144" t="s">
        <v>9061</v>
      </c>
    </row>
    <row r="145" spans="1:20" x14ac:dyDescent="0.25">
      <c r="A145" t="s">
        <v>6271</v>
      </c>
      <c r="B145">
        <v>-13.53</v>
      </c>
      <c r="C145">
        <v>756</v>
      </c>
      <c r="D145">
        <v>21.071666669999999</v>
      </c>
      <c r="E145">
        <v>18.641666669999999</v>
      </c>
      <c r="F145">
        <v>23.33</v>
      </c>
      <c r="G145">
        <v>2.665</v>
      </c>
      <c r="H145">
        <v>1.891666667</v>
      </c>
      <c r="I145">
        <v>3.3933333330000002</v>
      </c>
      <c r="J145">
        <v>4683.7358329999997</v>
      </c>
      <c r="K145">
        <v>3900.333333</v>
      </c>
      <c r="L145">
        <v>5573.3958329999996</v>
      </c>
      <c r="M145">
        <v>17.42166667</v>
      </c>
      <c r="N145">
        <v>16.666666670000001</v>
      </c>
      <c r="O145">
        <v>18.375</v>
      </c>
      <c r="Q145" t="s">
        <v>289</v>
      </c>
      <c r="R145" t="s">
        <v>9248</v>
      </c>
      <c r="S145" t="s">
        <v>9065</v>
      </c>
      <c r="T145" t="s">
        <v>9066</v>
      </c>
    </row>
    <row r="146" spans="1:20" x14ac:dyDescent="0.25">
      <c r="A146" t="s">
        <v>9249</v>
      </c>
      <c r="B146">
        <v>-13.53</v>
      </c>
      <c r="C146">
        <v>757.1</v>
      </c>
      <c r="D146">
        <v>21.155000000000001</v>
      </c>
      <c r="E146">
        <v>18.563333329999999</v>
      </c>
      <c r="F146">
        <v>23.676666669999999</v>
      </c>
      <c r="G146">
        <v>2.1641666669999999</v>
      </c>
      <c r="H146">
        <v>1.3833333329999999</v>
      </c>
      <c r="I146">
        <v>2.9783333330000001</v>
      </c>
      <c r="J146">
        <v>4831.3616670000001</v>
      </c>
      <c r="K146">
        <v>4335.0208329999996</v>
      </c>
      <c r="L146">
        <v>5510.2083329999996</v>
      </c>
      <c r="M146">
        <v>16.268333330000001</v>
      </c>
      <c r="N146">
        <v>16.141666669999999</v>
      </c>
      <c r="O146">
        <v>17.993333329999999</v>
      </c>
      <c r="Q146" t="s">
        <v>289</v>
      </c>
      <c r="R146" t="s">
        <v>9248</v>
      </c>
      <c r="S146" t="s">
        <v>9058</v>
      </c>
      <c r="T146" t="s">
        <v>9061</v>
      </c>
    </row>
    <row r="147" spans="1:20" x14ac:dyDescent="0.25">
      <c r="A147" t="s">
        <v>6243</v>
      </c>
      <c r="B147">
        <v>-11.21</v>
      </c>
      <c r="C147">
        <v>453</v>
      </c>
      <c r="D147">
        <v>24.366666670000001</v>
      </c>
      <c r="E147">
        <v>21.776666670000001</v>
      </c>
      <c r="F147">
        <v>26.99666667</v>
      </c>
      <c r="G147">
        <v>1.83</v>
      </c>
      <c r="H147">
        <v>1.016666667</v>
      </c>
      <c r="I147">
        <v>2.5099999999999998</v>
      </c>
      <c r="J147">
        <v>4814.3525</v>
      </c>
      <c r="K147">
        <v>4146.375</v>
      </c>
      <c r="L147">
        <v>5525.1666670000004</v>
      </c>
      <c r="M147">
        <v>18.08583333</v>
      </c>
      <c r="N147">
        <v>17.112500000000001</v>
      </c>
      <c r="O147">
        <v>19.326666670000002</v>
      </c>
      <c r="Q147" t="s">
        <v>289</v>
      </c>
      <c r="R147" t="s">
        <v>9250</v>
      </c>
      <c r="S147" t="s">
        <v>9065</v>
      </c>
      <c r="T147" t="s">
        <v>9066</v>
      </c>
    </row>
    <row r="148" spans="1:20" x14ac:dyDescent="0.25">
      <c r="A148" t="s">
        <v>9251</v>
      </c>
      <c r="B148">
        <v>-11.18</v>
      </c>
      <c r="C148">
        <v>473</v>
      </c>
      <c r="D148">
        <v>24.3125</v>
      </c>
      <c r="E148">
        <v>21.491666670000001</v>
      </c>
      <c r="F148">
        <v>27.25333333</v>
      </c>
      <c r="G148">
        <v>2.2066666669999999</v>
      </c>
      <c r="H148">
        <v>1.35</v>
      </c>
      <c r="I148">
        <v>2.8766666669999998</v>
      </c>
      <c r="J148">
        <v>5518.4475000000002</v>
      </c>
      <c r="K148">
        <v>4735.3958329999996</v>
      </c>
      <c r="L148">
        <v>6359.0625</v>
      </c>
      <c r="M148">
        <v>16.827500000000001</v>
      </c>
      <c r="N148">
        <v>15.615</v>
      </c>
      <c r="O148">
        <v>18.243333329999999</v>
      </c>
      <c r="Q148" t="s">
        <v>289</v>
      </c>
      <c r="R148" t="s">
        <v>9250</v>
      </c>
      <c r="S148" t="s">
        <v>9058</v>
      </c>
      <c r="T148" t="s">
        <v>9059</v>
      </c>
    </row>
    <row r="149" spans="1:20" x14ac:dyDescent="0.25">
      <c r="A149" t="s">
        <v>9252</v>
      </c>
      <c r="B149">
        <v>-11.18</v>
      </c>
      <c r="C149">
        <v>473</v>
      </c>
      <c r="D149">
        <v>23.68333333</v>
      </c>
      <c r="E149">
        <v>21.088333330000001</v>
      </c>
      <c r="F149">
        <v>26.068333330000002</v>
      </c>
      <c r="G149">
        <v>2.766666667</v>
      </c>
      <c r="H149">
        <v>2.0249999999999999</v>
      </c>
      <c r="I149">
        <v>3.41</v>
      </c>
      <c r="J149">
        <v>5077.1858329999995</v>
      </c>
      <c r="K149">
        <v>4439.3125</v>
      </c>
      <c r="L149">
        <v>5784.4583329999996</v>
      </c>
      <c r="M149">
        <v>18.5825</v>
      </c>
      <c r="N149">
        <v>17.731666669999999</v>
      </c>
      <c r="O149">
        <v>19.666666670000001</v>
      </c>
      <c r="Q149" t="s">
        <v>289</v>
      </c>
      <c r="R149" t="s">
        <v>9250</v>
      </c>
      <c r="S149" t="s">
        <v>9058</v>
      </c>
      <c r="T149" t="s">
        <v>9061</v>
      </c>
    </row>
    <row r="150" spans="1:20" x14ac:dyDescent="0.25">
      <c r="A150" t="s">
        <v>6207</v>
      </c>
      <c r="B150">
        <v>-12.56</v>
      </c>
      <c r="C150">
        <v>439</v>
      </c>
      <c r="D150">
        <v>24.8675</v>
      </c>
      <c r="E150">
        <v>22.17166667</v>
      </c>
      <c r="F150">
        <v>27.471666670000001</v>
      </c>
      <c r="G150">
        <v>1.169166667</v>
      </c>
      <c r="H150">
        <v>0.323333333</v>
      </c>
      <c r="I150">
        <v>1.808333333</v>
      </c>
      <c r="J150">
        <v>4619.5316670000002</v>
      </c>
      <c r="K150">
        <v>3875.458333</v>
      </c>
      <c r="L150">
        <v>5431.5</v>
      </c>
      <c r="M150">
        <v>18.05833333</v>
      </c>
      <c r="N150">
        <v>16.883333329999999</v>
      </c>
      <c r="O150">
        <v>19.502500000000001</v>
      </c>
      <c r="Q150" t="s">
        <v>289</v>
      </c>
      <c r="R150" t="s">
        <v>9253</v>
      </c>
      <c r="S150" t="s">
        <v>9065</v>
      </c>
      <c r="T150" t="s">
        <v>9066</v>
      </c>
    </row>
    <row r="151" spans="1:20" x14ac:dyDescent="0.25">
      <c r="A151" t="s">
        <v>9254</v>
      </c>
      <c r="B151">
        <v>-12.56</v>
      </c>
      <c r="C151">
        <v>440.5</v>
      </c>
      <c r="D151">
        <v>24.66333333</v>
      </c>
      <c r="E151">
        <v>22.46166667</v>
      </c>
      <c r="F151">
        <v>26.85</v>
      </c>
      <c r="G151">
        <v>0.859166667</v>
      </c>
      <c r="H151">
        <v>0.05</v>
      </c>
      <c r="I151">
        <v>1.526666667</v>
      </c>
      <c r="J151">
        <v>5313.2124999999996</v>
      </c>
      <c r="K151">
        <v>4627.4166670000004</v>
      </c>
      <c r="L151">
        <v>6144.3333329999996</v>
      </c>
      <c r="M151">
        <v>18.866666670000001</v>
      </c>
      <c r="N151">
        <v>18</v>
      </c>
      <c r="O151">
        <v>19.903333329999999</v>
      </c>
      <c r="Q151" t="s">
        <v>289</v>
      </c>
      <c r="R151" t="s">
        <v>9253</v>
      </c>
      <c r="S151" t="s">
        <v>9058</v>
      </c>
      <c r="T151" t="s">
        <v>9059</v>
      </c>
    </row>
    <row r="152" spans="1:20" x14ac:dyDescent="0.25">
      <c r="A152" t="s">
        <v>9255</v>
      </c>
      <c r="B152">
        <v>-12.56</v>
      </c>
      <c r="C152">
        <v>440.5</v>
      </c>
      <c r="D152">
        <v>23.660833329999999</v>
      </c>
      <c r="E152">
        <v>20.591666669999999</v>
      </c>
      <c r="F152">
        <v>26.388333329999998</v>
      </c>
      <c r="G152">
        <v>1.7208333330000001</v>
      </c>
      <c r="H152">
        <v>1.0833333329999999</v>
      </c>
      <c r="I152">
        <v>2.2850000000000001</v>
      </c>
      <c r="J152">
        <v>5036.1858329999995</v>
      </c>
      <c r="K152">
        <v>4370.5416670000004</v>
      </c>
      <c r="L152">
        <v>5775.2916670000004</v>
      </c>
      <c r="M152">
        <v>17.71833333</v>
      </c>
      <c r="N152">
        <v>16.625</v>
      </c>
      <c r="O152">
        <v>18.908333330000001</v>
      </c>
      <c r="Q152" t="s">
        <v>289</v>
      </c>
      <c r="R152" t="s">
        <v>9253</v>
      </c>
      <c r="S152" t="s">
        <v>9058</v>
      </c>
      <c r="T152" t="s">
        <v>9061</v>
      </c>
    </row>
    <row r="153" spans="1:20" x14ac:dyDescent="0.25">
      <c r="A153" t="s">
        <v>9256</v>
      </c>
      <c r="B153">
        <v>-12.15</v>
      </c>
      <c r="C153">
        <v>755.5</v>
      </c>
      <c r="D153">
        <v>23.99666667</v>
      </c>
      <c r="E153">
        <v>20.355</v>
      </c>
      <c r="F153">
        <v>27.7225</v>
      </c>
      <c r="G153">
        <v>2.409166667</v>
      </c>
      <c r="H153">
        <v>1.33</v>
      </c>
      <c r="I153">
        <v>3.358333333</v>
      </c>
      <c r="J153">
        <v>5708.0366670000003</v>
      </c>
      <c r="K153">
        <v>5263.3125</v>
      </c>
      <c r="L153">
        <v>6267.6458329999996</v>
      </c>
      <c r="M153">
        <v>16.089166670000001</v>
      </c>
      <c r="N153">
        <v>14.84166667</v>
      </c>
      <c r="O153">
        <v>17.495000000000001</v>
      </c>
      <c r="Q153" t="s">
        <v>289</v>
      </c>
      <c r="R153" t="s">
        <v>9257</v>
      </c>
      <c r="S153" t="s">
        <v>9058</v>
      </c>
      <c r="T153" t="s">
        <v>9061</v>
      </c>
    </row>
    <row r="154" spans="1:20" x14ac:dyDescent="0.25">
      <c r="A154" t="s">
        <v>6218</v>
      </c>
      <c r="B154">
        <v>-12.14</v>
      </c>
      <c r="C154">
        <v>380</v>
      </c>
      <c r="D154">
        <v>24.06583333</v>
      </c>
      <c r="E154">
        <v>21.45333333</v>
      </c>
      <c r="F154">
        <v>26.686666670000001</v>
      </c>
      <c r="G154">
        <v>2.7833333329999999</v>
      </c>
      <c r="H154">
        <v>1.516666667</v>
      </c>
      <c r="I154">
        <v>3.85</v>
      </c>
      <c r="J154">
        <v>4824.57</v>
      </c>
      <c r="K154">
        <v>4152.3541670000004</v>
      </c>
      <c r="L154">
        <v>5537.4375</v>
      </c>
      <c r="M154">
        <v>18.55</v>
      </c>
      <c r="N154">
        <v>17.606666669999999</v>
      </c>
      <c r="O154">
        <v>19.805</v>
      </c>
      <c r="Q154" t="s">
        <v>289</v>
      </c>
      <c r="R154" t="s">
        <v>9258</v>
      </c>
      <c r="S154" t="s">
        <v>9065</v>
      </c>
      <c r="T154" t="s">
        <v>9066</v>
      </c>
    </row>
    <row r="155" spans="1:20" x14ac:dyDescent="0.25">
      <c r="A155" t="s">
        <v>9259</v>
      </c>
      <c r="B155">
        <v>-12.12</v>
      </c>
      <c r="C155">
        <v>381.5</v>
      </c>
      <c r="D155">
        <v>24.665833330000002</v>
      </c>
      <c r="E155">
        <v>21.786666669999999</v>
      </c>
      <c r="F155">
        <v>27.483333330000001</v>
      </c>
      <c r="G155">
        <v>2.7149999999999999</v>
      </c>
      <c r="H155">
        <v>1.558333333</v>
      </c>
      <c r="I155">
        <v>3.65</v>
      </c>
      <c r="J155">
        <v>4866.5124999999998</v>
      </c>
      <c r="K155">
        <v>4251.4583329999996</v>
      </c>
      <c r="L155">
        <v>5474.3541670000004</v>
      </c>
      <c r="M155">
        <v>18.43</v>
      </c>
      <c r="N155">
        <v>17.545000000000002</v>
      </c>
      <c r="O155">
        <v>19.643333330000001</v>
      </c>
      <c r="Q155" t="s">
        <v>289</v>
      </c>
      <c r="R155" t="s">
        <v>9258</v>
      </c>
      <c r="S155" t="s">
        <v>9058</v>
      </c>
      <c r="T155" t="s">
        <v>9061</v>
      </c>
    </row>
    <row r="156" spans="1:20" x14ac:dyDescent="0.25">
      <c r="A156" t="s">
        <v>6246</v>
      </c>
      <c r="B156">
        <v>-13.91</v>
      </c>
      <c r="C156">
        <v>10</v>
      </c>
      <c r="D156">
        <v>25.677499999999998</v>
      </c>
      <c r="E156">
        <v>24.114999999999998</v>
      </c>
      <c r="F156">
        <v>27.36333333</v>
      </c>
      <c r="G156">
        <v>2.23</v>
      </c>
      <c r="H156">
        <v>1.433333333</v>
      </c>
      <c r="I156">
        <v>3.0416666669999999</v>
      </c>
      <c r="J156">
        <v>5484.8149999999996</v>
      </c>
      <c r="K156">
        <v>4885.8125</v>
      </c>
      <c r="L156">
        <v>6309.25</v>
      </c>
      <c r="M156">
        <v>21.810833330000001</v>
      </c>
      <c r="N156">
        <v>21.175000000000001</v>
      </c>
      <c r="O156">
        <v>22.475000000000001</v>
      </c>
      <c r="Q156" t="s">
        <v>289</v>
      </c>
      <c r="R156" t="s">
        <v>9260</v>
      </c>
      <c r="S156" t="s">
        <v>9065</v>
      </c>
      <c r="T156" t="s">
        <v>9066</v>
      </c>
    </row>
    <row r="157" spans="1:20" x14ac:dyDescent="0.25">
      <c r="A157" t="s">
        <v>9261</v>
      </c>
      <c r="B157">
        <v>-13.91</v>
      </c>
      <c r="C157">
        <v>11.5</v>
      </c>
      <c r="D157">
        <v>25.41</v>
      </c>
      <c r="E157">
        <v>23.833333329999999</v>
      </c>
      <c r="F157">
        <v>27.1</v>
      </c>
      <c r="G157">
        <v>2.2583333329999999</v>
      </c>
      <c r="H157">
        <v>1.4</v>
      </c>
      <c r="I157">
        <v>3.0666666669999998</v>
      </c>
      <c r="J157">
        <v>5274.6424999999999</v>
      </c>
      <c r="K157">
        <v>4965.3333329999996</v>
      </c>
      <c r="L157">
        <v>5809.75</v>
      </c>
      <c r="M157">
        <v>21.24666667</v>
      </c>
      <c r="N157">
        <v>20.866666670000001</v>
      </c>
      <c r="O157">
        <v>22.608333330000001</v>
      </c>
      <c r="Q157" t="s">
        <v>289</v>
      </c>
      <c r="R157" t="s">
        <v>9260</v>
      </c>
      <c r="S157" t="s">
        <v>9058</v>
      </c>
      <c r="T157" t="s">
        <v>9061</v>
      </c>
    </row>
    <row r="158" spans="1:20" x14ac:dyDescent="0.25">
      <c r="A158" t="s">
        <v>6087</v>
      </c>
      <c r="B158">
        <v>-9.41</v>
      </c>
      <c r="C158">
        <v>253</v>
      </c>
      <c r="D158">
        <v>26.334166669999998</v>
      </c>
      <c r="E158">
        <v>23.228333330000002</v>
      </c>
      <c r="F158">
        <v>29.405000000000001</v>
      </c>
      <c r="G158">
        <v>4.2766666669999998</v>
      </c>
      <c r="H158">
        <v>3.088333333</v>
      </c>
      <c r="I158">
        <v>5.3333333329999997</v>
      </c>
      <c r="J158">
        <v>5451.9708330000003</v>
      </c>
      <c r="K158">
        <v>4992.8541670000004</v>
      </c>
      <c r="L158">
        <v>6127.7291670000004</v>
      </c>
      <c r="M158">
        <v>18.026666670000001</v>
      </c>
      <c r="N158">
        <v>16.675000000000001</v>
      </c>
      <c r="O158">
        <v>19.600000000000001</v>
      </c>
      <c r="Q158" t="s">
        <v>289</v>
      </c>
      <c r="R158" t="s">
        <v>9262</v>
      </c>
      <c r="S158" t="s">
        <v>9065</v>
      </c>
      <c r="T158" t="s">
        <v>9066</v>
      </c>
    </row>
    <row r="159" spans="1:20" x14ac:dyDescent="0.25">
      <c r="A159" t="s">
        <v>9263</v>
      </c>
      <c r="B159">
        <v>-9.4</v>
      </c>
      <c r="C159">
        <v>269.10000000000002</v>
      </c>
      <c r="D159">
        <v>26.75333333</v>
      </c>
      <c r="E159">
        <v>23.647500000000001</v>
      </c>
      <c r="F159">
        <v>30.118333329999999</v>
      </c>
      <c r="G159">
        <v>3.806666667</v>
      </c>
      <c r="H159">
        <v>2.7316666669999998</v>
      </c>
      <c r="I159">
        <v>4.7083333329999997</v>
      </c>
      <c r="J159">
        <v>6161.9541669999999</v>
      </c>
      <c r="K159">
        <v>5538.6458329999996</v>
      </c>
      <c r="L159">
        <v>6975.0208329999996</v>
      </c>
      <c r="M159">
        <v>18.830833330000001</v>
      </c>
      <c r="N159">
        <v>17.154166669999999</v>
      </c>
      <c r="O159">
        <v>20.516666669999999</v>
      </c>
      <c r="Q159" t="s">
        <v>289</v>
      </c>
      <c r="R159" t="s">
        <v>9264</v>
      </c>
      <c r="S159" t="s">
        <v>9058</v>
      </c>
      <c r="T159" t="s">
        <v>9059</v>
      </c>
    </row>
    <row r="160" spans="1:20" x14ac:dyDescent="0.25">
      <c r="A160" t="s">
        <v>9265</v>
      </c>
      <c r="B160">
        <v>-9.4</v>
      </c>
      <c r="C160">
        <v>269.10000000000002</v>
      </c>
      <c r="D160">
        <v>26.887499999999999</v>
      </c>
      <c r="E160">
        <v>23.37833333</v>
      </c>
      <c r="F160">
        <v>30.297499999999999</v>
      </c>
      <c r="G160">
        <v>3.8275000000000001</v>
      </c>
      <c r="H160">
        <v>2.8650000000000002</v>
      </c>
      <c r="I160">
        <v>4.6916666669999998</v>
      </c>
      <c r="J160">
        <v>5454.1374999999998</v>
      </c>
      <c r="K160">
        <v>4920.5</v>
      </c>
      <c r="L160">
        <v>6129.6041670000004</v>
      </c>
      <c r="M160">
        <v>19.521666669999998</v>
      </c>
      <c r="N160">
        <v>18.354166670000001</v>
      </c>
      <c r="O160">
        <v>21.016666669999999</v>
      </c>
      <c r="Q160" t="s">
        <v>289</v>
      </c>
      <c r="R160" t="s">
        <v>9264</v>
      </c>
      <c r="S160" t="s">
        <v>9058</v>
      </c>
      <c r="T160" t="s">
        <v>9061</v>
      </c>
    </row>
    <row r="161" spans="1:20" x14ac:dyDescent="0.25">
      <c r="A161" t="s">
        <v>6193</v>
      </c>
      <c r="B161">
        <v>-13.16</v>
      </c>
      <c r="C161">
        <v>1290</v>
      </c>
      <c r="D161">
        <v>19.806666669999998</v>
      </c>
      <c r="E161">
        <v>17.48833333</v>
      </c>
      <c r="F161">
        <v>21.88666667</v>
      </c>
      <c r="G161">
        <v>2.375</v>
      </c>
      <c r="H161">
        <v>1.516666667</v>
      </c>
      <c r="I161">
        <v>3.15</v>
      </c>
      <c r="J161">
        <v>5133.7066670000004</v>
      </c>
      <c r="K161">
        <v>4143.4791670000004</v>
      </c>
      <c r="L161">
        <v>6282.6041670000004</v>
      </c>
      <c r="M161">
        <v>14.43083333</v>
      </c>
      <c r="N161">
        <v>13.391666669999999</v>
      </c>
      <c r="O161">
        <v>15.74333333</v>
      </c>
      <c r="Q161" t="s">
        <v>289</v>
      </c>
      <c r="R161" t="s">
        <v>9266</v>
      </c>
      <c r="S161" t="s">
        <v>9065</v>
      </c>
      <c r="T161" t="s">
        <v>9066</v>
      </c>
    </row>
    <row r="162" spans="1:20" x14ac:dyDescent="0.25">
      <c r="A162" t="s">
        <v>9267</v>
      </c>
      <c r="B162">
        <v>-13.15</v>
      </c>
      <c r="C162">
        <v>1291.5</v>
      </c>
      <c r="D162">
        <v>19.861666670000002</v>
      </c>
      <c r="E162">
        <v>17.341666669999999</v>
      </c>
      <c r="F162">
        <v>22.116666670000001</v>
      </c>
      <c r="G162">
        <v>2.443333333</v>
      </c>
      <c r="H162">
        <v>1.536666667</v>
      </c>
      <c r="I162">
        <v>3.278333333</v>
      </c>
      <c r="J162">
        <v>5506.6133330000002</v>
      </c>
      <c r="K162">
        <v>4882.9791670000004</v>
      </c>
      <c r="L162">
        <v>6249.7708329999996</v>
      </c>
      <c r="M162">
        <v>13.385833330000001</v>
      </c>
      <c r="N162">
        <v>12.345000000000001</v>
      </c>
      <c r="O162">
        <v>14.78833333</v>
      </c>
      <c r="Q162" t="s">
        <v>289</v>
      </c>
      <c r="R162" t="s">
        <v>9266</v>
      </c>
      <c r="S162" t="s">
        <v>9058</v>
      </c>
      <c r="T162" t="s">
        <v>9061</v>
      </c>
    </row>
    <row r="163" spans="1:20" x14ac:dyDescent="0.25">
      <c r="A163" t="s">
        <v>9268</v>
      </c>
      <c r="B163">
        <v>-16.39</v>
      </c>
      <c r="C163">
        <v>86.5</v>
      </c>
      <c r="D163">
        <v>23.669166669999999</v>
      </c>
      <c r="E163">
        <v>21.27333333</v>
      </c>
      <c r="F163">
        <v>26.091666669999999</v>
      </c>
      <c r="G163">
        <v>1.393333333</v>
      </c>
      <c r="H163">
        <v>0.51666666699999997</v>
      </c>
      <c r="I163">
        <v>2.1583333329999999</v>
      </c>
      <c r="J163">
        <v>4960.9633329999997</v>
      </c>
      <c r="K163">
        <v>4542.0833329999996</v>
      </c>
      <c r="L163">
        <v>5645.8541670000004</v>
      </c>
      <c r="M163">
        <v>20.480833329999999</v>
      </c>
      <c r="N163">
        <v>19.614999999999998</v>
      </c>
      <c r="O163">
        <v>21.4</v>
      </c>
      <c r="Q163" t="s">
        <v>289</v>
      </c>
      <c r="R163" t="s">
        <v>9269</v>
      </c>
      <c r="S163" t="s">
        <v>9058</v>
      </c>
      <c r="T163" t="s">
        <v>9061</v>
      </c>
    </row>
    <row r="164" spans="1:20" x14ac:dyDescent="0.25">
      <c r="A164" t="s">
        <v>6281</v>
      </c>
      <c r="B164">
        <v>-16.39</v>
      </c>
      <c r="C164">
        <v>85</v>
      </c>
      <c r="D164">
        <v>23.750833329999999</v>
      </c>
      <c r="E164">
        <v>21.391666669999999</v>
      </c>
      <c r="F164">
        <v>26.254999999999999</v>
      </c>
      <c r="G164">
        <v>1.4591666670000001</v>
      </c>
      <c r="H164">
        <v>0.55000000000000004</v>
      </c>
      <c r="I164">
        <v>2.2183333329999999</v>
      </c>
      <c r="J164">
        <v>4792.3958329999996</v>
      </c>
      <c r="K164">
        <v>4125.3125</v>
      </c>
      <c r="L164">
        <v>5628.375</v>
      </c>
      <c r="M164">
        <v>21.155000000000001</v>
      </c>
      <c r="N164">
        <v>20.216666669999999</v>
      </c>
      <c r="O164">
        <v>22.216666669999999</v>
      </c>
      <c r="Q164" t="s">
        <v>289</v>
      </c>
      <c r="R164" t="s">
        <v>9270</v>
      </c>
      <c r="S164" t="s">
        <v>9065</v>
      </c>
      <c r="T164" t="s">
        <v>9066</v>
      </c>
    </row>
    <row r="165" spans="1:20" x14ac:dyDescent="0.25">
      <c r="A165" t="s">
        <v>9271</v>
      </c>
      <c r="B165">
        <v>-16.440000000000001</v>
      </c>
      <c r="C165">
        <v>51.2</v>
      </c>
      <c r="D165">
        <v>24.208333329999999</v>
      </c>
      <c r="E165">
        <v>22.44166667</v>
      </c>
      <c r="F165">
        <v>26.041666670000001</v>
      </c>
      <c r="G165">
        <v>3.1966666670000001</v>
      </c>
      <c r="H165">
        <v>1.891666667</v>
      </c>
      <c r="I165">
        <v>4.1916666669999998</v>
      </c>
      <c r="J165">
        <v>5492.5050000000001</v>
      </c>
      <c r="K165">
        <v>4793.2916670000004</v>
      </c>
      <c r="L165">
        <v>6397.8958329999996</v>
      </c>
      <c r="M165">
        <v>21.228333330000002</v>
      </c>
      <c r="N165">
        <v>20.483333330000001</v>
      </c>
      <c r="O165">
        <v>22.001666669999999</v>
      </c>
      <c r="Q165" t="s">
        <v>289</v>
      </c>
      <c r="R165" t="s">
        <v>9272</v>
      </c>
      <c r="S165" t="s">
        <v>9058</v>
      </c>
      <c r="T165" t="s">
        <v>9059</v>
      </c>
    </row>
    <row r="166" spans="1:20" x14ac:dyDescent="0.25">
      <c r="A166" t="s">
        <v>9273</v>
      </c>
      <c r="B166">
        <v>-16.440000000000001</v>
      </c>
      <c r="C166">
        <v>51.2</v>
      </c>
      <c r="D166">
        <v>24.395</v>
      </c>
      <c r="E166">
        <v>22.633333329999999</v>
      </c>
      <c r="F166">
        <v>26.25</v>
      </c>
      <c r="G166">
        <v>3.2408333329999999</v>
      </c>
      <c r="H166">
        <v>2.0125000000000002</v>
      </c>
      <c r="I166">
        <v>4.2750000000000004</v>
      </c>
      <c r="J166">
        <v>5074.4416670000001</v>
      </c>
      <c r="K166">
        <v>4607.125</v>
      </c>
      <c r="L166">
        <v>5710.6875</v>
      </c>
      <c r="M166">
        <v>21.388333329999998</v>
      </c>
      <c r="N166">
        <v>20.658333330000001</v>
      </c>
      <c r="O166">
        <v>22.133333329999999</v>
      </c>
      <c r="Q166" t="s">
        <v>289</v>
      </c>
      <c r="R166" t="s">
        <v>9272</v>
      </c>
      <c r="S166" t="s">
        <v>9058</v>
      </c>
      <c r="T166" t="s">
        <v>9061</v>
      </c>
    </row>
    <row r="167" spans="1:20" x14ac:dyDescent="0.25">
      <c r="A167" t="s">
        <v>6253</v>
      </c>
      <c r="B167">
        <v>-10.98</v>
      </c>
      <c r="C167">
        <v>315</v>
      </c>
      <c r="D167">
        <v>26.14</v>
      </c>
      <c r="E167">
        <v>23.013333329999998</v>
      </c>
      <c r="F167">
        <v>29.178333330000001</v>
      </c>
      <c r="G167">
        <v>3.19</v>
      </c>
      <c r="H167">
        <v>2.048333333</v>
      </c>
      <c r="I167">
        <v>4.1475</v>
      </c>
      <c r="J167">
        <v>5076.5924999999997</v>
      </c>
      <c r="K167">
        <v>4442.7708329999996</v>
      </c>
      <c r="L167">
        <v>5835.3125</v>
      </c>
      <c r="M167">
        <v>18.1325</v>
      </c>
      <c r="N167">
        <v>16.911666669999999</v>
      </c>
      <c r="O167">
        <v>19.7</v>
      </c>
      <c r="Q167" t="s">
        <v>289</v>
      </c>
      <c r="R167" t="s">
        <v>9274</v>
      </c>
      <c r="S167" t="s">
        <v>9065</v>
      </c>
      <c r="T167" t="s">
        <v>9066</v>
      </c>
    </row>
    <row r="168" spans="1:20" x14ac:dyDescent="0.25">
      <c r="A168" t="s">
        <v>9275</v>
      </c>
      <c r="B168">
        <v>-10.98</v>
      </c>
      <c r="C168">
        <v>316.5</v>
      </c>
      <c r="D168">
        <v>25.892499999999998</v>
      </c>
      <c r="E168">
        <v>22.591666669999999</v>
      </c>
      <c r="F168">
        <v>29.008333329999999</v>
      </c>
      <c r="G168">
        <v>3.1383333329999998</v>
      </c>
      <c r="H168">
        <v>2.1316666670000002</v>
      </c>
      <c r="I168">
        <v>3.9916666670000001</v>
      </c>
      <c r="J168">
        <v>5086.4233329999997</v>
      </c>
      <c r="K168">
        <v>4531.6666670000004</v>
      </c>
      <c r="L168">
        <v>5641.8541670000004</v>
      </c>
      <c r="M168">
        <v>17.411666669999999</v>
      </c>
      <c r="N168">
        <v>15.86333333</v>
      </c>
      <c r="O168">
        <v>19.26166667</v>
      </c>
      <c r="Q168" t="s">
        <v>289</v>
      </c>
      <c r="R168" t="s">
        <v>9274</v>
      </c>
      <c r="S168" t="s">
        <v>9058</v>
      </c>
      <c r="T168" t="s">
        <v>9061</v>
      </c>
    </row>
    <row r="169" spans="1:20" x14ac:dyDescent="0.25">
      <c r="A169" t="s">
        <v>9276</v>
      </c>
      <c r="B169">
        <v>-9.6199999999999992</v>
      </c>
      <c r="C169">
        <v>402.5</v>
      </c>
      <c r="D169">
        <v>27.670833330000001</v>
      </c>
      <c r="E169">
        <v>25.885000000000002</v>
      </c>
      <c r="F169">
        <v>29.603333330000002</v>
      </c>
      <c r="G169">
        <v>3.3033333329999999</v>
      </c>
      <c r="H169">
        <v>1.5316666670000001</v>
      </c>
      <c r="I169">
        <v>5.2616666670000001</v>
      </c>
      <c r="J169">
        <v>6537.2133329999997</v>
      </c>
      <c r="K169">
        <v>6182.7083329999996</v>
      </c>
      <c r="L169">
        <v>7126.9166670000004</v>
      </c>
      <c r="M169">
        <v>20.063333329999999</v>
      </c>
      <c r="N169">
        <v>18.846666670000001</v>
      </c>
      <c r="O169">
        <v>21.333333329999999</v>
      </c>
      <c r="Q169" t="s">
        <v>289</v>
      </c>
      <c r="R169" t="s">
        <v>9277</v>
      </c>
      <c r="S169" t="s">
        <v>9058</v>
      </c>
      <c r="T169" t="s">
        <v>9059</v>
      </c>
    </row>
    <row r="170" spans="1:20" x14ac:dyDescent="0.25">
      <c r="A170" t="s">
        <v>9278</v>
      </c>
      <c r="B170">
        <v>-9.6199999999999992</v>
      </c>
      <c r="C170">
        <v>402.5</v>
      </c>
      <c r="D170">
        <v>27.135833330000001</v>
      </c>
      <c r="E170">
        <v>24.888333329999998</v>
      </c>
      <c r="F170">
        <v>29.268333330000001</v>
      </c>
      <c r="G170">
        <v>3.1575000000000002</v>
      </c>
      <c r="H170">
        <v>1.8983333330000001</v>
      </c>
      <c r="I170">
        <v>4.2433333329999998</v>
      </c>
      <c r="J170">
        <v>6005.3233330000003</v>
      </c>
      <c r="K170">
        <v>5477.5416670000004</v>
      </c>
      <c r="L170">
        <v>6730.0833329999996</v>
      </c>
      <c r="M170">
        <v>18.270833329999999</v>
      </c>
      <c r="N170">
        <v>17.016666669999999</v>
      </c>
      <c r="O170">
        <v>19.67166667</v>
      </c>
      <c r="Q170" t="s">
        <v>289</v>
      </c>
      <c r="R170" t="s">
        <v>9277</v>
      </c>
      <c r="S170" t="s">
        <v>9058</v>
      </c>
      <c r="T170" t="s">
        <v>9061</v>
      </c>
    </row>
    <row r="171" spans="1:20" x14ac:dyDescent="0.25">
      <c r="A171" t="s">
        <v>6334</v>
      </c>
      <c r="B171">
        <v>-9.6199999999999992</v>
      </c>
      <c r="C171">
        <v>401</v>
      </c>
      <c r="D171">
        <v>26.81666667</v>
      </c>
      <c r="E171">
        <v>24.723333329999999</v>
      </c>
      <c r="F171">
        <v>28.971666670000001</v>
      </c>
      <c r="G171">
        <v>2.409166667</v>
      </c>
      <c r="H171">
        <v>1.4166666670000001</v>
      </c>
      <c r="I171">
        <v>3.3416666670000001</v>
      </c>
      <c r="J171">
        <v>5709.1608329999999</v>
      </c>
      <c r="K171">
        <v>5190</v>
      </c>
      <c r="L171">
        <v>6485.5208329999996</v>
      </c>
      <c r="M171">
        <v>18.537500000000001</v>
      </c>
      <c r="N171">
        <v>17.5</v>
      </c>
      <c r="O171">
        <v>19.81666667</v>
      </c>
      <c r="Q171" t="s">
        <v>289</v>
      </c>
      <c r="R171" t="s">
        <v>9279</v>
      </c>
      <c r="S171" t="s">
        <v>9065</v>
      </c>
      <c r="T171" t="s">
        <v>9066</v>
      </c>
    </row>
    <row r="172" spans="1:20" x14ac:dyDescent="0.25">
      <c r="A172" t="s">
        <v>9280</v>
      </c>
      <c r="B172">
        <v>-12.91</v>
      </c>
      <c r="C172">
        <v>19.5</v>
      </c>
      <c r="D172">
        <v>26.46166667</v>
      </c>
      <c r="E172">
        <v>25.44166667</v>
      </c>
      <c r="F172">
        <v>27.71833333</v>
      </c>
      <c r="G172">
        <v>4.4375</v>
      </c>
      <c r="H172">
        <v>3.4041666670000001</v>
      </c>
      <c r="I172">
        <v>5.5833333329999997</v>
      </c>
      <c r="J172">
        <v>5775.1274999999996</v>
      </c>
      <c r="K172">
        <v>5097.2916670000004</v>
      </c>
      <c r="L172">
        <v>6651.1041670000004</v>
      </c>
      <c r="M172">
        <v>21.82416667</v>
      </c>
      <c r="N172">
        <v>21.024999999999999</v>
      </c>
      <c r="O172">
        <v>22.56666667</v>
      </c>
      <c r="Q172" t="s">
        <v>289</v>
      </c>
      <c r="R172" t="s">
        <v>9281</v>
      </c>
      <c r="S172" t="s">
        <v>9058</v>
      </c>
      <c r="T172" t="s">
        <v>9059</v>
      </c>
    </row>
    <row r="173" spans="1:20" x14ac:dyDescent="0.25">
      <c r="A173" t="s">
        <v>9282</v>
      </c>
      <c r="B173">
        <v>-12.91</v>
      </c>
      <c r="C173">
        <v>19.5</v>
      </c>
      <c r="D173">
        <v>26.452500000000001</v>
      </c>
      <c r="E173">
        <v>25.4</v>
      </c>
      <c r="F173">
        <v>27.841666669999999</v>
      </c>
      <c r="G173">
        <v>4.2916666670000003</v>
      </c>
      <c r="H173">
        <v>3.2991666670000002</v>
      </c>
      <c r="I173">
        <v>5.4916666669999996</v>
      </c>
      <c r="J173">
        <v>5633.2650000000003</v>
      </c>
      <c r="K173">
        <v>5242.9375</v>
      </c>
      <c r="L173">
        <v>6244.2291670000004</v>
      </c>
      <c r="M173">
        <v>21.9</v>
      </c>
      <c r="N173">
        <v>21.168333329999999</v>
      </c>
      <c r="O173">
        <v>22.69166667</v>
      </c>
      <c r="Q173" t="s">
        <v>289</v>
      </c>
      <c r="R173" t="s">
        <v>9281</v>
      </c>
      <c r="S173" t="s">
        <v>9058</v>
      </c>
      <c r="T173" t="s">
        <v>9061</v>
      </c>
    </row>
    <row r="174" spans="1:20" x14ac:dyDescent="0.25">
      <c r="A174" t="s">
        <v>6245</v>
      </c>
      <c r="B174">
        <v>-12.97</v>
      </c>
      <c r="C174">
        <v>51</v>
      </c>
      <c r="D174">
        <v>25.8675</v>
      </c>
      <c r="E174">
        <v>24.456666670000001</v>
      </c>
      <c r="F174">
        <v>27.26166667</v>
      </c>
      <c r="G174">
        <v>1.2733333330000001</v>
      </c>
      <c r="H174">
        <v>0.52333333299999996</v>
      </c>
      <c r="I174">
        <v>1.8833333329999999</v>
      </c>
      <c r="J174">
        <v>5291.5083329999998</v>
      </c>
      <c r="K174">
        <v>4459.5208329999996</v>
      </c>
      <c r="L174">
        <v>6277.4375</v>
      </c>
      <c r="M174">
        <v>21.594999999999999</v>
      </c>
      <c r="N174">
        <v>21.033333330000001</v>
      </c>
      <c r="O174">
        <v>22.18333333</v>
      </c>
      <c r="Q174" t="s">
        <v>289</v>
      </c>
      <c r="R174" t="s">
        <v>9283</v>
      </c>
      <c r="S174" t="s">
        <v>9065</v>
      </c>
      <c r="T174" t="s">
        <v>9066</v>
      </c>
    </row>
    <row r="175" spans="1:20" x14ac:dyDescent="0.25">
      <c r="A175" t="s">
        <v>9284</v>
      </c>
      <c r="B175">
        <v>-13.01</v>
      </c>
      <c r="C175">
        <v>52.9</v>
      </c>
      <c r="D175">
        <v>25.811666670000001</v>
      </c>
      <c r="E175">
        <v>24.478333330000002</v>
      </c>
      <c r="F175">
        <v>27.076666670000002</v>
      </c>
      <c r="G175">
        <v>1.649166667</v>
      </c>
      <c r="H175">
        <v>1.058333333</v>
      </c>
      <c r="I175">
        <v>2.085</v>
      </c>
      <c r="J175">
        <v>5670.6916670000001</v>
      </c>
      <c r="K175">
        <v>5347.875</v>
      </c>
      <c r="L175">
        <v>6168.25</v>
      </c>
      <c r="M175">
        <v>21.291666670000001</v>
      </c>
      <c r="N175">
        <v>20.591666669999999</v>
      </c>
      <c r="O175">
        <v>22</v>
      </c>
      <c r="Q175" t="s">
        <v>289</v>
      </c>
      <c r="R175" t="s">
        <v>9283</v>
      </c>
      <c r="S175" t="s">
        <v>9058</v>
      </c>
      <c r="T175" t="s">
        <v>9061</v>
      </c>
    </row>
    <row r="176" spans="1:20" x14ac:dyDescent="0.25">
      <c r="A176" t="s">
        <v>6287</v>
      </c>
      <c r="B176">
        <v>-11.01</v>
      </c>
      <c r="C176">
        <v>450</v>
      </c>
      <c r="D176">
        <v>26.063333329999999</v>
      </c>
      <c r="E176">
        <v>22.1675</v>
      </c>
      <c r="F176">
        <v>30.076666670000002</v>
      </c>
      <c r="G176">
        <v>1.6766666670000001</v>
      </c>
      <c r="H176">
        <v>0.89166666699999997</v>
      </c>
      <c r="I176">
        <v>2.3416666670000001</v>
      </c>
      <c r="J176">
        <v>5881.9766669999999</v>
      </c>
      <c r="K176">
        <v>5468.2916670000004</v>
      </c>
      <c r="L176">
        <v>6536.0416670000004</v>
      </c>
      <c r="M176">
        <v>16.322500000000002</v>
      </c>
      <c r="N176">
        <v>14.748333329999999</v>
      </c>
      <c r="O176">
        <v>18.243333329999999</v>
      </c>
      <c r="Q176" t="s">
        <v>289</v>
      </c>
      <c r="R176" t="s">
        <v>9285</v>
      </c>
      <c r="S176" t="s">
        <v>9065</v>
      </c>
      <c r="T176" t="s">
        <v>9066</v>
      </c>
    </row>
    <row r="177" spans="1:20" x14ac:dyDescent="0.25">
      <c r="A177" t="s">
        <v>9286</v>
      </c>
      <c r="B177">
        <v>-11.02</v>
      </c>
      <c r="C177">
        <v>451.5</v>
      </c>
      <c r="D177">
        <v>26.78166667</v>
      </c>
      <c r="E177">
        <v>23.15666667</v>
      </c>
      <c r="F177">
        <v>30.501666669999999</v>
      </c>
      <c r="G177">
        <v>1.9650000000000001</v>
      </c>
      <c r="H177">
        <v>1.27</v>
      </c>
      <c r="I177">
        <v>2.576666667</v>
      </c>
      <c r="J177">
        <v>5950.12</v>
      </c>
      <c r="K177">
        <v>5712.4166670000004</v>
      </c>
      <c r="L177">
        <v>6490.8958329999996</v>
      </c>
      <c r="M177">
        <v>16.01583333</v>
      </c>
      <c r="N177">
        <v>14.5625</v>
      </c>
      <c r="O177">
        <v>17.66</v>
      </c>
      <c r="Q177" t="s">
        <v>289</v>
      </c>
      <c r="R177" t="s">
        <v>9285</v>
      </c>
      <c r="S177" t="s">
        <v>9058</v>
      </c>
      <c r="T177" t="s">
        <v>9061</v>
      </c>
    </row>
    <row r="178" spans="1:20" x14ac:dyDescent="0.25">
      <c r="A178" t="s">
        <v>6208</v>
      </c>
      <c r="B178">
        <v>-10.44</v>
      </c>
      <c r="C178">
        <v>548</v>
      </c>
      <c r="D178">
        <v>23.875</v>
      </c>
      <c r="E178">
        <v>21.016666669999999</v>
      </c>
      <c r="F178">
        <v>26.535</v>
      </c>
      <c r="G178">
        <v>3.1441666669999999</v>
      </c>
      <c r="H178">
        <v>2.1316666670000002</v>
      </c>
      <c r="I178">
        <v>4.0641666670000003</v>
      </c>
      <c r="J178">
        <v>5154.2883330000004</v>
      </c>
      <c r="K178">
        <v>4394.1666670000004</v>
      </c>
      <c r="L178">
        <v>5960.6458329999996</v>
      </c>
      <c r="M178">
        <v>17.30833333</v>
      </c>
      <c r="N178">
        <v>16.153333329999999</v>
      </c>
      <c r="O178">
        <v>18.75</v>
      </c>
      <c r="Q178" t="s">
        <v>289</v>
      </c>
      <c r="R178" t="s">
        <v>9287</v>
      </c>
      <c r="S178" t="s">
        <v>9065</v>
      </c>
      <c r="T178" t="s">
        <v>9066</v>
      </c>
    </row>
    <row r="179" spans="1:20" x14ac:dyDescent="0.25">
      <c r="A179" t="s">
        <v>9288</v>
      </c>
      <c r="B179">
        <v>-10.47</v>
      </c>
      <c r="C179">
        <v>549.5</v>
      </c>
      <c r="D179">
        <v>24.215</v>
      </c>
      <c r="E179">
        <v>21.44166667</v>
      </c>
      <c r="F179">
        <v>26.905000000000001</v>
      </c>
      <c r="G179">
        <v>3.059166667</v>
      </c>
      <c r="H179">
        <v>2.2250000000000001</v>
      </c>
      <c r="I179">
        <v>3.8108333330000002</v>
      </c>
      <c r="J179">
        <v>5307.2558330000002</v>
      </c>
      <c r="K179">
        <v>4548.8541670000004</v>
      </c>
      <c r="L179">
        <v>6064.3958329999996</v>
      </c>
      <c r="M179">
        <v>17.664999999999999</v>
      </c>
      <c r="N179">
        <v>16.631666670000001</v>
      </c>
      <c r="O179">
        <v>18.984999999999999</v>
      </c>
      <c r="Q179" t="s">
        <v>289</v>
      </c>
      <c r="R179" t="s">
        <v>9289</v>
      </c>
      <c r="S179" t="s">
        <v>9058</v>
      </c>
      <c r="T179" t="s">
        <v>9061</v>
      </c>
    </row>
    <row r="180" spans="1:20" x14ac:dyDescent="0.25">
      <c r="A180" t="s">
        <v>6198</v>
      </c>
      <c r="B180">
        <v>-11.66</v>
      </c>
      <c r="C180">
        <v>339</v>
      </c>
      <c r="D180">
        <v>24.162500000000001</v>
      </c>
      <c r="E180">
        <v>21.508333329999999</v>
      </c>
      <c r="F180">
        <v>26.723333329999999</v>
      </c>
      <c r="G180">
        <v>2.8533333330000001</v>
      </c>
      <c r="H180">
        <v>1.9083333330000001</v>
      </c>
      <c r="I180">
        <v>3.7166666670000001</v>
      </c>
      <c r="J180">
        <v>5025.8525</v>
      </c>
      <c r="K180">
        <v>4317.1875</v>
      </c>
      <c r="L180">
        <v>5774.875</v>
      </c>
      <c r="M180">
        <v>19.03916667</v>
      </c>
      <c r="N180">
        <v>18.223333329999999</v>
      </c>
      <c r="O180">
        <v>20.22</v>
      </c>
      <c r="Q180" t="s">
        <v>289</v>
      </c>
      <c r="R180" t="s">
        <v>9290</v>
      </c>
      <c r="S180" t="s">
        <v>9065</v>
      </c>
      <c r="T180" t="s">
        <v>9066</v>
      </c>
    </row>
    <row r="181" spans="1:20" x14ac:dyDescent="0.25">
      <c r="A181" t="s">
        <v>9291</v>
      </c>
      <c r="B181">
        <v>-11.67</v>
      </c>
      <c r="C181">
        <v>340.5</v>
      </c>
      <c r="D181">
        <v>24.819166670000001</v>
      </c>
      <c r="E181">
        <v>21.975000000000001</v>
      </c>
      <c r="F181">
        <v>27.474166669999999</v>
      </c>
      <c r="G181">
        <v>2.9991666669999999</v>
      </c>
      <c r="H181">
        <v>2.1150000000000002</v>
      </c>
      <c r="I181">
        <v>3.835</v>
      </c>
      <c r="J181">
        <v>5086.7483329999995</v>
      </c>
      <c r="K181">
        <v>4605.4583329999996</v>
      </c>
      <c r="L181">
        <v>5634.125</v>
      </c>
      <c r="M181">
        <v>18.958333329999999</v>
      </c>
      <c r="N181">
        <v>18.048333329999998</v>
      </c>
      <c r="O181">
        <v>20.170833330000001</v>
      </c>
      <c r="Q181" t="s">
        <v>289</v>
      </c>
      <c r="R181" t="s">
        <v>9290</v>
      </c>
      <c r="S181" t="s">
        <v>9058</v>
      </c>
      <c r="T181" t="s">
        <v>9061</v>
      </c>
    </row>
    <row r="182" spans="1:20" x14ac:dyDescent="0.25">
      <c r="A182" t="s">
        <v>6254</v>
      </c>
      <c r="B182">
        <v>-9.83</v>
      </c>
      <c r="C182">
        <v>453</v>
      </c>
      <c r="D182">
        <v>25.420833330000001</v>
      </c>
      <c r="E182">
        <v>22.388333329999998</v>
      </c>
      <c r="F182">
        <v>28.41</v>
      </c>
      <c r="G182">
        <v>3.409166667</v>
      </c>
      <c r="H182">
        <v>2.375</v>
      </c>
      <c r="I182">
        <v>4.4333333330000002</v>
      </c>
      <c r="J182">
        <v>5364.0391669999999</v>
      </c>
      <c r="K182">
        <v>4810.3958329999996</v>
      </c>
      <c r="L182">
        <v>5966.875</v>
      </c>
      <c r="M182">
        <v>17.577500000000001</v>
      </c>
      <c r="N182">
        <v>16.448333330000001</v>
      </c>
      <c r="O182">
        <v>19.035</v>
      </c>
      <c r="Q182" t="s">
        <v>289</v>
      </c>
      <c r="R182" t="s">
        <v>9292</v>
      </c>
      <c r="S182" t="s">
        <v>9065</v>
      </c>
      <c r="T182" t="s">
        <v>9066</v>
      </c>
    </row>
    <row r="183" spans="1:20" x14ac:dyDescent="0.25">
      <c r="A183" t="s">
        <v>9293</v>
      </c>
      <c r="B183">
        <v>-9.83</v>
      </c>
      <c r="C183">
        <v>454.5</v>
      </c>
      <c r="D183">
        <v>25.68333333</v>
      </c>
      <c r="E183">
        <v>22.388333329999998</v>
      </c>
      <c r="F183">
        <v>28.795000000000002</v>
      </c>
      <c r="G183">
        <v>4.170833333</v>
      </c>
      <c r="H183">
        <v>3.2633333329999998</v>
      </c>
      <c r="I183">
        <v>5.085</v>
      </c>
      <c r="J183">
        <v>5381.0424999999996</v>
      </c>
      <c r="K183">
        <v>4669.6041670000004</v>
      </c>
      <c r="L183">
        <v>6286.75</v>
      </c>
      <c r="M183">
        <v>17.680833329999999</v>
      </c>
      <c r="N183">
        <v>16.591666669999999</v>
      </c>
      <c r="O183">
        <v>19.059999999999999</v>
      </c>
      <c r="Q183" t="s">
        <v>289</v>
      </c>
      <c r="R183" t="s">
        <v>9292</v>
      </c>
      <c r="S183" t="s">
        <v>9058</v>
      </c>
      <c r="T183" t="s">
        <v>9061</v>
      </c>
    </row>
    <row r="184" spans="1:20" x14ac:dyDescent="0.25">
      <c r="A184" t="s">
        <v>6214</v>
      </c>
      <c r="B184">
        <v>-15.28</v>
      </c>
      <c r="C184">
        <v>82</v>
      </c>
      <c r="D184">
        <v>24.16</v>
      </c>
      <c r="E184">
        <v>22.02333333</v>
      </c>
      <c r="F184">
        <v>26.44</v>
      </c>
      <c r="G184">
        <v>1.3875</v>
      </c>
      <c r="H184">
        <v>0.61666666699999995</v>
      </c>
      <c r="I184">
        <v>2.1</v>
      </c>
      <c r="J184">
        <v>4836.7666669999999</v>
      </c>
      <c r="K184">
        <v>4160.8958329999996</v>
      </c>
      <c r="L184">
        <v>5720.4166670000004</v>
      </c>
      <c r="M184">
        <v>21.293333329999999</v>
      </c>
      <c r="N184">
        <v>20.516666669999999</v>
      </c>
      <c r="O184">
        <v>22.11</v>
      </c>
      <c r="Q184" t="s">
        <v>289</v>
      </c>
      <c r="R184" t="s">
        <v>9294</v>
      </c>
      <c r="S184" t="s">
        <v>9065</v>
      </c>
      <c r="T184" t="s">
        <v>9066</v>
      </c>
    </row>
    <row r="185" spans="1:20" x14ac:dyDescent="0.25">
      <c r="A185" t="s">
        <v>6215</v>
      </c>
      <c r="B185">
        <v>-13.37</v>
      </c>
      <c r="C185">
        <v>39</v>
      </c>
      <c r="D185">
        <v>24.213333330000001</v>
      </c>
      <c r="E185">
        <v>21.823333330000001</v>
      </c>
      <c r="F185">
        <v>26.835000000000001</v>
      </c>
      <c r="G185">
        <v>1.78</v>
      </c>
      <c r="H185">
        <v>0.81666666700000001</v>
      </c>
      <c r="I185">
        <v>2.7250000000000001</v>
      </c>
      <c r="J185">
        <v>5286.7174999999997</v>
      </c>
      <c r="K185">
        <v>4655.625</v>
      </c>
      <c r="L185">
        <v>6116.6666670000004</v>
      </c>
      <c r="M185">
        <v>21.215</v>
      </c>
      <c r="N185">
        <v>20.454999999999998</v>
      </c>
      <c r="O185">
        <v>22.07833333</v>
      </c>
      <c r="Q185" t="s">
        <v>289</v>
      </c>
      <c r="R185" t="s">
        <v>9295</v>
      </c>
      <c r="S185" t="s">
        <v>9065</v>
      </c>
      <c r="T185" t="s">
        <v>9066</v>
      </c>
    </row>
    <row r="186" spans="1:20" x14ac:dyDescent="0.25">
      <c r="A186" t="s">
        <v>9296</v>
      </c>
      <c r="B186">
        <v>-14.86</v>
      </c>
      <c r="C186">
        <v>913.8</v>
      </c>
      <c r="D186">
        <v>20.986666670000002</v>
      </c>
      <c r="E186">
        <v>18.28</v>
      </c>
      <c r="F186">
        <v>23.46</v>
      </c>
      <c r="G186">
        <v>3.3508333330000002</v>
      </c>
      <c r="H186">
        <v>2.1333333329999999</v>
      </c>
      <c r="I186">
        <v>4.5933333330000004</v>
      </c>
      <c r="J186">
        <v>5625.8208329999998</v>
      </c>
      <c r="K186">
        <v>4793.5625</v>
      </c>
      <c r="L186">
        <v>6477.1666670000004</v>
      </c>
      <c r="M186">
        <v>16.730833329999999</v>
      </c>
      <c r="N186">
        <v>15.553333329999999</v>
      </c>
      <c r="O186">
        <v>18.016666669999999</v>
      </c>
      <c r="Q186" t="s">
        <v>289</v>
      </c>
      <c r="R186" t="s">
        <v>9297</v>
      </c>
      <c r="S186" t="s">
        <v>9058</v>
      </c>
      <c r="T186" t="s">
        <v>9059</v>
      </c>
    </row>
    <row r="187" spans="1:20" x14ac:dyDescent="0.25">
      <c r="A187" t="s">
        <v>9298</v>
      </c>
      <c r="B187">
        <v>-14.86</v>
      </c>
      <c r="C187">
        <v>913.8</v>
      </c>
      <c r="D187">
        <v>21.50333333</v>
      </c>
      <c r="E187">
        <v>18.673333329999998</v>
      </c>
      <c r="F187">
        <v>24.1875</v>
      </c>
      <c r="G187">
        <v>3.4733333329999998</v>
      </c>
      <c r="H187">
        <v>2.5333333329999999</v>
      </c>
      <c r="I187">
        <v>4.4083333329999999</v>
      </c>
      <c r="J187">
        <v>5136.0208329999996</v>
      </c>
      <c r="K187">
        <v>4375.7291670000004</v>
      </c>
      <c r="L187">
        <v>6212.1041670000004</v>
      </c>
      <c r="M187">
        <v>16.473333329999999</v>
      </c>
      <c r="N187">
        <v>15.28333333</v>
      </c>
      <c r="O187">
        <v>17.71916667</v>
      </c>
      <c r="Q187" t="s">
        <v>289</v>
      </c>
      <c r="R187" t="s">
        <v>9297</v>
      </c>
      <c r="S187" t="s">
        <v>9058</v>
      </c>
      <c r="T187" t="s">
        <v>9061</v>
      </c>
    </row>
    <row r="188" spans="1:20" x14ac:dyDescent="0.25">
      <c r="A188" t="s">
        <v>6206</v>
      </c>
      <c r="B188">
        <v>-14.87</v>
      </c>
      <c r="C188">
        <v>870</v>
      </c>
      <c r="D188">
        <v>20.605833329999999</v>
      </c>
      <c r="E188">
        <v>18.052499999999998</v>
      </c>
      <c r="F188">
        <v>23.089166670000001</v>
      </c>
      <c r="G188">
        <v>2.5316666670000001</v>
      </c>
      <c r="H188">
        <v>1.75</v>
      </c>
      <c r="I188">
        <v>3.2749999999999999</v>
      </c>
      <c r="J188">
        <v>6034.6633330000004</v>
      </c>
      <c r="K188">
        <v>5004.5833329999996</v>
      </c>
      <c r="L188">
        <v>7179.0833329999996</v>
      </c>
      <c r="M188">
        <v>16.571666669999999</v>
      </c>
      <c r="N188">
        <v>15.706666670000001</v>
      </c>
      <c r="O188">
        <v>17.616666670000001</v>
      </c>
      <c r="Q188" t="s">
        <v>289</v>
      </c>
      <c r="R188" t="s">
        <v>9299</v>
      </c>
      <c r="S188" t="s">
        <v>9065</v>
      </c>
      <c r="T188" t="s">
        <v>9066</v>
      </c>
    </row>
    <row r="189" spans="1:20" x14ac:dyDescent="0.25">
      <c r="A189" t="s">
        <v>9300</v>
      </c>
      <c r="B189">
        <v>-14.88</v>
      </c>
      <c r="C189">
        <v>874</v>
      </c>
      <c r="D189">
        <v>20.938333329999999</v>
      </c>
      <c r="E189">
        <v>18.208333329999999</v>
      </c>
      <c r="F189">
        <v>23.58666667</v>
      </c>
      <c r="G189">
        <v>2.4024999999999999</v>
      </c>
      <c r="H189">
        <v>1.7083333329999999</v>
      </c>
      <c r="I189">
        <v>3.06</v>
      </c>
      <c r="J189">
        <v>5122.4575000000004</v>
      </c>
      <c r="K189">
        <v>4396.8958329999996</v>
      </c>
      <c r="L189">
        <v>6111.1041670000004</v>
      </c>
      <c r="M189">
        <v>16.945833329999999</v>
      </c>
      <c r="N189">
        <v>15.965</v>
      </c>
      <c r="O189">
        <v>18.083333329999999</v>
      </c>
      <c r="Q189" t="s">
        <v>289</v>
      </c>
      <c r="R189" t="s">
        <v>9301</v>
      </c>
      <c r="S189" t="s">
        <v>9058</v>
      </c>
      <c r="T189" t="s">
        <v>9061</v>
      </c>
    </row>
    <row r="190" spans="1:20" x14ac:dyDescent="0.25">
      <c r="A190" t="s">
        <v>6403</v>
      </c>
      <c r="B190">
        <v>-3.12</v>
      </c>
      <c r="C190">
        <v>76</v>
      </c>
      <c r="D190">
        <v>26.61333333</v>
      </c>
      <c r="E190">
        <v>24.004999999999999</v>
      </c>
      <c r="F190">
        <v>29.22</v>
      </c>
      <c r="G190">
        <v>3.2658333329999998</v>
      </c>
      <c r="H190">
        <v>2.0416666669999999</v>
      </c>
      <c r="I190">
        <v>4.4333333330000002</v>
      </c>
      <c r="J190">
        <v>5558.2666669999999</v>
      </c>
      <c r="K190">
        <v>4991.9583329999996</v>
      </c>
      <c r="L190">
        <v>6253.7708329999996</v>
      </c>
      <c r="M190">
        <v>21.966666669999999</v>
      </c>
      <c r="N190">
        <v>21.456666670000001</v>
      </c>
      <c r="O190">
        <v>22.7</v>
      </c>
      <c r="Q190" t="s">
        <v>300</v>
      </c>
      <c r="R190" t="s">
        <v>9302</v>
      </c>
      <c r="S190" t="s">
        <v>9065</v>
      </c>
      <c r="T190" t="s">
        <v>9066</v>
      </c>
    </row>
    <row r="191" spans="1:20" x14ac:dyDescent="0.25">
      <c r="A191" t="s">
        <v>9303</v>
      </c>
      <c r="B191">
        <v>-3.12</v>
      </c>
      <c r="C191">
        <v>77.5</v>
      </c>
      <c r="D191">
        <v>27.070833329999999</v>
      </c>
      <c r="E191">
        <v>24.608333330000001</v>
      </c>
      <c r="F191">
        <v>29.596666670000001</v>
      </c>
      <c r="G191">
        <v>3.0416666669999999</v>
      </c>
      <c r="H191">
        <v>2.108333333</v>
      </c>
      <c r="I191">
        <v>3.9016666670000002</v>
      </c>
      <c r="J191">
        <v>5562.4416670000001</v>
      </c>
      <c r="K191">
        <v>5076.5625</v>
      </c>
      <c r="L191">
        <v>6179.3125</v>
      </c>
      <c r="M191">
        <v>22.028333329999999</v>
      </c>
      <c r="N191">
        <v>21.333333329999999</v>
      </c>
      <c r="O191">
        <v>22.926666669999999</v>
      </c>
      <c r="Q191" t="s">
        <v>300</v>
      </c>
      <c r="R191" t="s">
        <v>9302</v>
      </c>
      <c r="S191" t="s">
        <v>9058</v>
      </c>
      <c r="T191" t="s">
        <v>9061</v>
      </c>
    </row>
    <row r="192" spans="1:20" x14ac:dyDescent="0.25">
      <c r="A192" t="s">
        <v>6401</v>
      </c>
      <c r="B192">
        <v>-7.3</v>
      </c>
      <c r="C192">
        <v>409</v>
      </c>
      <c r="D192">
        <v>25.590833329999999</v>
      </c>
      <c r="E192">
        <v>22.841666669999999</v>
      </c>
      <c r="F192">
        <v>28.428333330000001</v>
      </c>
      <c r="G192">
        <v>1.6</v>
      </c>
      <c r="H192">
        <v>0.89166666699999997</v>
      </c>
      <c r="I192">
        <v>2.2166666670000001</v>
      </c>
      <c r="J192">
        <v>5687.7825000000003</v>
      </c>
      <c r="K192">
        <v>5197.5625</v>
      </c>
      <c r="L192">
        <v>6377</v>
      </c>
      <c r="M192">
        <v>18.479166670000001</v>
      </c>
      <c r="N192">
        <v>17.350000000000001</v>
      </c>
      <c r="O192">
        <v>19.801666669999999</v>
      </c>
      <c r="Q192" t="s">
        <v>300</v>
      </c>
      <c r="R192" t="s">
        <v>9304</v>
      </c>
      <c r="S192" t="s">
        <v>9065</v>
      </c>
      <c r="T192" t="s">
        <v>9066</v>
      </c>
    </row>
    <row r="193" spans="1:20" x14ac:dyDescent="0.25">
      <c r="A193" t="s">
        <v>9305</v>
      </c>
      <c r="B193">
        <v>-7.32</v>
      </c>
      <c r="C193">
        <v>410.5</v>
      </c>
      <c r="D193">
        <v>27.214166670000001</v>
      </c>
      <c r="E193">
        <v>24.91333333</v>
      </c>
      <c r="F193">
        <v>29.645</v>
      </c>
      <c r="G193">
        <v>1.2183333329999999</v>
      </c>
      <c r="H193">
        <v>0.625</v>
      </c>
      <c r="I193">
        <v>1.6850000000000001</v>
      </c>
      <c r="J193">
        <v>6374.97</v>
      </c>
      <c r="K193">
        <v>5895.125</v>
      </c>
      <c r="L193">
        <v>7046.9166670000004</v>
      </c>
      <c r="M193">
        <v>19.33666667</v>
      </c>
      <c r="N193">
        <v>18.02333333</v>
      </c>
      <c r="O193">
        <v>20.614166669999999</v>
      </c>
      <c r="Q193" t="s">
        <v>300</v>
      </c>
      <c r="R193" t="s">
        <v>9304</v>
      </c>
      <c r="S193" t="s">
        <v>9058</v>
      </c>
      <c r="T193" t="s">
        <v>9059</v>
      </c>
    </row>
    <row r="194" spans="1:20" x14ac:dyDescent="0.25">
      <c r="A194" t="s">
        <v>9306</v>
      </c>
      <c r="B194">
        <v>-7.32</v>
      </c>
      <c r="C194">
        <v>410.5</v>
      </c>
      <c r="D194">
        <v>26.233333330000001</v>
      </c>
      <c r="E194">
        <v>23.338333330000001</v>
      </c>
      <c r="F194">
        <v>29.01</v>
      </c>
      <c r="G194">
        <v>1.996666667</v>
      </c>
      <c r="H194">
        <v>1.066666667</v>
      </c>
      <c r="I194">
        <v>2.7850000000000001</v>
      </c>
      <c r="J194">
        <v>5711.86</v>
      </c>
      <c r="K194">
        <v>5165.9791670000004</v>
      </c>
      <c r="L194">
        <v>6416</v>
      </c>
      <c r="M194">
        <v>17.950833329999998</v>
      </c>
      <c r="N194">
        <v>16.706666670000001</v>
      </c>
      <c r="O194">
        <v>19.389166670000002</v>
      </c>
      <c r="Q194" t="s">
        <v>300</v>
      </c>
      <c r="R194" t="s">
        <v>9304</v>
      </c>
      <c r="S194" t="s">
        <v>9058</v>
      </c>
      <c r="T194" t="s">
        <v>9061</v>
      </c>
    </row>
    <row r="195" spans="1:20" x14ac:dyDescent="0.25">
      <c r="A195" t="s">
        <v>9307</v>
      </c>
      <c r="B195">
        <v>-7.08</v>
      </c>
      <c r="C195">
        <v>573.5</v>
      </c>
      <c r="D195">
        <v>26.1</v>
      </c>
      <c r="E195">
        <v>23.24666667</v>
      </c>
      <c r="F195">
        <v>28.90666667</v>
      </c>
      <c r="G195">
        <v>2.5308333329999999</v>
      </c>
      <c r="H195">
        <v>1.8833333329999999</v>
      </c>
      <c r="I195">
        <v>3.1583333329999999</v>
      </c>
      <c r="J195">
        <v>5776.7049999999999</v>
      </c>
      <c r="K195">
        <v>5220.8541670000004</v>
      </c>
      <c r="L195">
        <v>6422.5208329999996</v>
      </c>
      <c r="M195">
        <v>18.159166670000001</v>
      </c>
      <c r="N195">
        <v>16.475000000000001</v>
      </c>
      <c r="O195">
        <v>19.983333330000001</v>
      </c>
      <c r="Q195" t="s">
        <v>300</v>
      </c>
      <c r="R195" t="s">
        <v>9308</v>
      </c>
      <c r="S195" t="s">
        <v>9058</v>
      </c>
      <c r="T195" t="s">
        <v>9061</v>
      </c>
    </row>
    <row r="196" spans="1:20" x14ac:dyDescent="0.25">
      <c r="A196" t="s">
        <v>6405</v>
      </c>
      <c r="B196">
        <v>-7.08</v>
      </c>
      <c r="C196">
        <v>572</v>
      </c>
      <c r="D196">
        <v>24.86333333</v>
      </c>
      <c r="E196">
        <v>21.983333330000001</v>
      </c>
      <c r="F196">
        <v>27.736666670000002</v>
      </c>
      <c r="G196">
        <v>2.3125</v>
      </c>
      <c r="H196">
        <v>1.2583333329999999</v>
      </c>
      <c r="I196">
        <v>3.2766666670000002</v>
      </c>
      <c r="J196">
        <v>5449.3916669999999</v>
      </c>
      <c r="K196">
        <v>4926</v>
      </c>
      <c r="L196">
        <v>6119.9791670000004</v>
      </c>
      <c r="M196">
        <v>17.326666670000002</v>
      </c>
      <c r="N196">
        <v>16.074999999999999</v>
      </c>
      <c r="O196">
        <v>18.733333330000001</v>
      </c>
      <c r="Q196" t="s">
        <v>300</v>
      </c>
      <c r="R196" t="s">
        <v>9309</v>
      </c>
      <c r="S196" t="s">
        <v>9065</v>
      </c>
      <c r="T196" t="s">
        <v>9066</v>
      </c>
    </row>
    <row r="197" spans="1:20" x14ac:dyDescent="0.25">
      <c r="A197" t="s">
        <v>6412</v>
      </c>
      <c r="B197">
        <v>-5.19</v>
      </c>
      <c r="C197">
        <v>291</v>
      </c>
      <c r="D197">
        <v>27.106666669999999</v>
      </c>
      <c r="E197">
        <v>24.094999999999999</v>
      </c>
      <c r="F197">
        <v>30.131666670000001</v>
      </c>
      <c r="G197">
        <v>2.1383333329999998</v>
      </c>
      <c r="H197">
        <v>1.325</v>
      </c>
      <c r="I197">
        <v>2.85</v>
      </c>
      <c r="J197">
        <v>5351.71</v>
      </c>
      <c r="K197">
        <v>4803.5</v>
      </c>
      <c r="L197">
        <v>6051</v>
      </c>
      <c r="M197">
        <v>18.803333330000001</v>
      </c>
      <c r="N197">
        <v>17.498333330000001</v>
      </c>
      <c r="O197">
        <v>20.234999999999999</v>
      </c>
      <c r="Q197" t="s">
        <v>300</v>
      </c>
      <c r="R197" t="s">
        <v>9310</v>
      </c>
      <c r="S197" t="s">
        <v>9065</v>
      </c>
      <c r="T197" t="s">
        <v>9066</v>
      </c>
    </row>
    <row r="198" spans="1:20" x14ac:dyDescent="0.25">
      <c r="A198" t="s">
        <v>9311</v>
      </c>
      <c r="B198">
        <v>-5.19</v>
      </c>
      <c r="C198">
        <v>292.5</v>
      </c>
      <c r="D198">
        <v>28.360833329999998</v>
      </c>
      <c r="E198">
        <v>25.473333329999999</v>
      </c>
      <c r="F198">
        <v>31.335000000000001</v>
      </c>
      <c r="G198">
        <v>2.5583333330000002</v>
      </c>
      <c r="H198">
        <v>1.6983333329999999</v>
      </c>
      <c r="I198">
        <v>3.3666666670000001</v>
      </c>
      <c r="J198">
        <v>6112.9291670000002</v>
      </c>
      <c r="K198">
        <v>5603.7916670000004</v>
      </c>
      <c r="L198">
        <v>6744.7291670000004</v>
      </c>
      <c r="M198">
        <v>17.929166670000001</v>
      </c>
      <c r="N198">
        <v>16.556666669999998</v>
      </c>
      <c r="O198">
        <v>19.516666669999999</v>
      </c>
      <c r="Q198" t="s">
        <v>300</v>
      </c>
      <c r="R198" t="s">
        <v>9310</v>
      </c>
      <c r="S198" t="s">
        <v>9058</v>
      </c>
      <c r="T198" t="s">
        <v>9059</v>
      </c>
    </row>
    <row r="199" spans="1:20" x14ac:dyDescent="0.25">
      <c r="A199" t="s">
        <v>9312</v>
      </c>
      <c r="B199">
        <v>-5.19</v>
      </c>
      <c r="C199">
        <v>292.5</v>
      </c>
      <c r="D199">
        <v>27.819166670000001</v>
      </c>
      <c r="E199">
        <v>24.805</v>
      </c>
      <c r="F199">
        <v>30.78833333</v>
      </c>
      <c r="G199">
        <v>2.8516666669999999</v>
      </c>
      <c r="H199">
        <v>1.8958333329999999</v>
      </c>
      <c r="I199">
        <v>3.7183333329999999</v>
      </c>
      <c r="J199">
        <v>5913.2433330000003</v>
      </c>
      <c r="K199">
        <v>5501.9375</v>
      </c>
      <c r="L199">
        <v>6511.9166670000004</v>
      </c>
      <c r="M199">
        <v>18.73416667</v>
      </c>
      <c r="N199">
        <v>17.673333329999998</v>
      </c>
      <c r="O199">
        <v>20.026666670000001</v>
      </c>
      <c r="Q199" t="s">
        <v>300</v>
      </c>
      <c r="R199" t="s">
        <v>9310</v>
      </c>
      <c r="S199" t="s">
        <v>9058</v>
      </c>
      <c r="T199" t="s">
        <v>9061</v>
      </c>
    </row>
    <row r="200" spans="1:20" x14ac:dyDescent="0.25">
      <c r="A200" t="s">
        <v>6410</v>
      </c>
      <c r="B200">
        <v>-3.8</v>
      </c>
      <c r="C200">
        <v>41</v>
      </c>
      <c r="D200">
        <v>26.654166669999999</v>
      </c>
      <c r="E200">
        <v>25.073333330000001</v>
      </c>
      <c r="F200">
        <v>28.33666667</v>
      </c>
      <c r="G200">
        <v>2.2400000000000002</v>
      </c>
      <c r="H200">
        <v>1.25</v>
      </c>
      <c r="I200">
        <v>3.1666666669999999</v>
      </c>
      <c r="J200">
        <v>4933.4008329999997</v>
      </c>
      <c r="K200">
        <v>4326.4375</v>
      </c>
      <c r="L200">
        <v>5729.25</v>
      </c>
      <c r="M200">
        <v>21.8325</v>
      </c>
      <c r="N200">
        <v>21.356666669999999</v>
      </c>
      <c r="O200">
        <v>22.408333330000001</v>
      </c>
      <c r="Q200" t="s">
        <v>300</v>
      </c>
      <c r="R200" t="s">
        <v>9313</v>
      </c>
      <c r="S200" t="s">
        <v>9065</v>
      </c>
      <c r="T200" t="s">
        <v>9066</v>
      </c>
    </row>
    <row r="201" spans="1:20" x14ac:dyDescent="0.25">
      <c r="A201" t="s">
        <v>9314</v>
      </c>
      <c r="B201">
        <v>-3.78</v>
      </c>
      <c r="C201">
        <v>25</v>
      </c>
      <c r="D201">
        <v>27.173333329999998</v>
      </c>
      <c r="E201">
        <v>26.033333330000001</v>
      </c>
      <c r="F201">
        <v>28.44</v>
      </c>
      <c r="G201">
        <v>5.1791666669999996</v>
      </c>
      <c r="H201">
        <v>3.65</v>
      </c>
      <c r="I201">
        <v>6.4450000000000003</v>
      </c>
      <c r="J201">
        <v>6190.3416669999997</v>
      </c>
      <c r="K201">
        <v>5718.9791670000004</v>
      </c>
      <c r="L201">
        <v>6841.0833329999996</v>
      </c>
      <c r="M201">
        <v>21.876666669999999</v>
      </c>
      <c r="N201">
        <v>21.283333330000001</v>
      </c>
      <c r="O201">
        <v>22.684999999999999</v>
      </c>
      <c r="Q201" t="s">
        <v>300</v>
      </c>
      <c r="R201" t="s">
        <v>9315</v>
      </c>
      <c r="S201" t="s">
        <v>9058</v>
      </c>
      <c r="T201" t="s">
        <v>9059</v>
      </c>
    </row>
    <row r="202" spans="1:20" x14ac:dyDescent="0.25">
      <c r="A202" t="s">
        <v>9316</v>
      </c>
      <c r="B202">
        <v>-3.78</v>
      </c>
      <c r="C202">
        <v>25</v>
      </c>
      <c r="D202">
        <v>27.116666670000001</v>
      </c>
      <c r="E202">
        <v>25.864999999999998</v>
      </c>
      <c r="F202">
        <v>28.574999999999999</v>
      </c>
      <c r="G202">
        <v>5.1441666670000004</v>
      </c>
      <c r="H202">
        <v>3.6833333330000002</v>
      </c>
      <c r="I202">
        <v>6.5266666669999998</v>
      </c>
      <c r="J202">
        <v>5767.353333</v>
      </c>
      <c r="K202">
        <v>5220.0833329999996</v>
      </c>
      <c r="L202">
        <v>6359.0833329999996</v>
      </c>
      <c r="M202">
        <v>21.764166670000002</v>
      </c>
      <c r="N202">
        <v>21.208333329999999</v>
      </c>
      <c r="O202">
        <v>22.55833333</v>
      </c>
      <c r="Q202" t="s">
        <v>300</v>
      </c>
      <c r="R202" t="s">
        <v>9315</v>
      </c>
      <c r="S202" t="s">
        <v>9058</v>
      </c>
      <c r="T202" t="s">
        <v>9061</v>
      </c>
    </row>
    <row r="203" spans="1:20" x14ac:dyDescent="0.25">
      <c r="A203" t="s">
        <v>9317</v>
      </c>
      <c r="B203">
        <v>-3.77</v>
      </c>
      <c r="C203">
        <v>42.5</v>
      </c>
      <c r="D203">
        <v>27.263333329999998</v>
      </c>
      <c r="E203">
        <v>25.641666669999999</v>
      </c>
      <c r="F203">
        <v>29.036666669999999</v>
      </c>
      <c r="G203">
        <v>2.8475000000000001</v>
      </c>
      <c r="H203">
        <v>1.973333333</v>
      </c>
      <c r="I203">
        <v>3.6766666670000001</v>
      </c>
      <c r="J203">
        <v>5736.9041669999997</v>
      </c>
      <c r="K203">
        <v>5320.3958329999996</v>
      </c>
      <c r="L203">
        <v>6355.4375</v>
      </c>
      <c r="M203">
        <v>21.554166670000001</v>
      </c>
      <c r="N203">
        <v>20.895833329999999</v>
      </c>
      <c r="O203">
        <v>22.391666669999999</v>
      </c>
      <c r="Q203" t="s">
        <v>300</v>
      </c>
      <c r="R203" t="s">
        <v>9318</v>
      </c>
      <c r="S203" t="s">
        <v>9058</v>
      </c>
      <c r="T203" t="s">
        <v>9061</v>
      </c>
    </row>
    <row r="204" spans="1:20" x14ac:dyDescent="0.25">
      <c r="A204" t="s">
        <v>9319</v>
      </c>
      <c r="B204">
        <v>-4.26</v>
      </c>
      <c r="C204">
        <v>871.5</v>
      </c>
      <c r="D204">
        <v>23.19166667</v>
      </c>
      <c r="E204">
        <v>20.88</v>
      </c>
      <c r="F204">
        <v>25.341666669999999</v>
      </c>
      <c r="G204">
        <v>2.8975</v>
      </c>
      <c r="H204">
        <v>2.0833333330000001</v>
      </c>
      <c r="I204">
        <v>3.6516666670000002</v>
      </c>
      <c r="J204">
        <v>5612.6025</v>
      </c>
      <c r="K204">
        <v>5156.9166670000004</v>
      </c>
      <c r="L204">
        <v>6304.625</v>
      </c>
      <c r="M204">
        <v>19.615833330000001</v>
      </c>
      <c r="N204">
        <v>18.841666669999999</v>
      </c>
      <c r="O204">
        <v>20.55833333</v>
      </c>
      <c r="Q204" t="s">
        <v>300</v>
      </c>
      <c r="R204" t="s">
        <v>9320</v>
      </c>
      <c r="S204" t="s">
        <v>9058</v>
      </c>
      <c r="T204" t="s">
        <v>9061</v>
      </c>
    </row>
    <row r="205" spans="1:20" x14ac:dyDescent="0.25">
      <c r="A205" t="s">
        <v>6402</v>
      </c>
      <c r="B205">
        <v>-4.26</v>
      </c>
      <c r="C205">
        <v>38</v>
      </c>
      <c r="D205">
        <v>20.69083333</v>
      </c>
      <c r="E205">
        <v>19.358333330000001</v>
      </c>
      <c r="F205">
        <v>21.875</v>
      </c>
      <c r="G205">
        <v>3.1266666669999998</v>
      </c>
      <c r="H205">
        <v>2.266666667</v>
      </c>
      <c r="I205">
        <v>3.9066666670000001</v>
      </c>
      <c r="J205">
        <v>3915.6133329999998</v>
      </c>
      <c r="K205">
        <v>3096.8125</v>
      </c>
      <c r="L205">
        <v>4699.3333329999996</v>
      </c>
      <c r="M205">
        <v>18.664999999999999</v>
      </c>
      <c r="N205">
        <v>18.2</v>
      </c>
      <c r="O205">
        <v>19.269166670000001</v>
      </c>
      <c r="Q205" t="s">
        <v>300</v>
      </c>
      <c r="R205" t="s">
        <v>9321</v>
      </c>
      <c r="S205" t="s">
        <v>9065</v>
      </c>
      <c r="T205" t="s">
        <v>9066</v>
      </c>
    </row>
    <row r="206" spans="1:20" x14ac:dyDescent="0.25">
      <c r="A206" t="s">
        <v>6404</v>
      </c>
      <c r="B206">
        <v>-6.36</v>
      </c>
      <c r="C206">
        <v>233</v>
      </c>
      <c r="D206">
        <v>27.025833330000001</v>
      </c>
      <c r="E206">
        <v>24.31666667</v>
      </c>
      <c r="F206">
        <v>29.661666669999999</v>
      </c>
      <c r="G206">
        <v>2.5724999999999998</v>
      </c>
      <c r="H206">
        <v>1.608333333</v>
      </c>
      <c r="I206">
        <v>3.4</v>
      </c>
      <c r="J206">
        <v>5796.5308329999998</v>
      </c>
      <c r="K206">
        <v>5187.4791670000004</v>
      </c>
      <c r="L206">
        <v>6574.2708329999996</v>
      </c>
      <c r="M206">
        <v>18.685833330000001</v>
      </c>
      <c r="N206">
        <v>17.28166667</v>
      </c>
      <c r="O206">
        <v>20.324999999999999</v>
      </c>
      <c r="Q206" t="s">
        <v>300</v>
      </c>
      <c r="R206" t="s">
        <v>9322</v>
      </c>
      <c r="S206" t="s">
        <v>9065</v>
      </c>
      <c r="T206" t="s">
        <v>9066</v>
      </c>
    </row>
    <row r="207" spans="1:20" x14ac:dyDescent="0.25">
      <c r="A207" t="s">
        <v>9323</v>
      </c>
      <c r="B207">
        <v>-6.37</v>
      </c>
      <c r="C207">
        <v>234.5</v>
      </c>
      <c r="D207">
        <v>27.849166669999999</v>
      </c>
      <c r="E207">
        <v>24.89833333</v>
      </c>
      <c r="F207">
        <v>30.87833333</v>
      </c>
      <c r="G207">
        <v>2.6949999999999998</v>
      </c>
      <c r="H207">
        <v>1.7066666669999999</v>
      </c>
      <c r="I207">
        <v>3.5433333330000001</v>
      </c>
      <c r="J207">
        <v>5884.7425000000003</v>
      </c>
      <c r="K207">
        <v>5383.6875</v>
      </c>
      <c r="L207">
        <v>6541.2291670000004</v>
      </c>
      <c r="M207">
        <v>17.430833329999999</v>
      </c>
      <c r="N207">
        <v>15.765000000000001</v>
      </c>
      <c r="O207">
        <v>19.366666670000001</v>
      </c>
      <c r="Q207" t="s">
        <v>300</v>
      </c>
      <c r="R207" t="s">
        <v>9322</v>
      </c>
      <c r="S207" t="s">
        <v>9058</v>
      </c>
      <c r="T207" t="s">
        <v>9061</v>
      </c>
    </row>
    <row r="208" spans="1:20" x14ac:dyDescent="0.25">
      <c r="A208" t="s">
        <v>6408</v>
      </c>
      <c r="B208">
        <v>-3.48</v>
      </c>
      <c r="C208">
        <v>102</v>
      </c>
      <c r="D208">
        <v>26.89083333</v>
      </c>
      <c r="E208">
        <v>25.074999999999999</v>
      </c>
      <c r="F208">
        <v>28.70333333</v>
      </c>
      <c r="G208">
        <v>3.3883333329999998</v>
      </c>
      <c r="H208">
        <v>2.4816666669999998</v>
      </c>
      <c r="I208">
        <v>4.1958333330000004</v>
      </c>
      <c r="J208">
        <v>5104.3916669999999</v>
      </c>
      <c r="K208">
        <v>4427.1458329999996</v>
      </c>
      <c r="L208">
        <v>5840.6875</v>
      </c>
      <c r="M208">
        <v>21.342500000000001</v>
      </c>
      <c r="N208">
        <v>20.696666669999999</v>
      </c>
      <c r="O208">
        <v>22.233333330000001</v>
      </c>
      <c r="Q208" t="s">
        <v>300</v>
      </c>
      <c r="R208" t="s">
        <v>9324</v>
      </c>
      <c r="S208" t="s">
        <v>9065</v>
      </c>
      <c r="T208" t="s">
        <v>9066</v>
      </c>
    </row>
    <row r="209" spans="1:20" x14ac:dyDescent="0.25">
      <c r="A209" t="s">
        <v>6423</v>
      </c>
      <c r="B209">
        <v>-5.91</v>
      </c>
      <c r="C209">
        <v>184</v>
      </c>
      <c r="D209">
        <v>27.7775</v>
      </c>
      <c r="E209">
        <v>24.833333329999999</v>
      </c>
      <c r="F209">
        <v>30.82</v>
      </c>
      <c r="G209">
        <v>2.7233333329999998</v>
      </c>
      <c r="H209">
        <v>1.7</v>
      </c>
      <c r="I209">
        <v>3.6</v>
      </c>
      <c r="J209">
        <v>5416.8641669999997</v>
      </c>
      <c r="K209">
        <v>4913.2916670000004</v>
      </c>
      <c r="L209">
        <v>6091.4166670000004</v>
      </c>
      <c r="M209">
        <v>19.89083333</v>
      </c>
      <c r="N209">
        <v>18.606666669999999</v>
      </c>
      <c r="O209">
        <v>21.366666670000001</v>
      </c>
      <c r="Q209" t="s">
        <v>300</v>
      </c>
      <c r="R209" t="s">
        <v>9325</v>
      </c>
      <c r="S209" t="s">
        <v>9065</v>
      </c>
      <c r="T209" t="s">
        <v>9066</v>
      </c>
    </row>
    <row r="210" spans="1:20" x14ac:dyDescent="0.25">
      <c r="A210" t="s">
        <v>9326</v>
      </c>
      <c r="B210">
        <v>-5.91</v>
      </c>
      <c r="C210">
        <v>185.5</v>
      </c>
      <c r="D210">
        <v>29.0425</v>
      </c>
      <c r="E210">
        <v>25.686666670000001</v>
      </c>
      <c r="F210">
        <v>32.526666669999997</v>
      </c>
      <c r="G210">
        <v>2.5983333329999998</v>
      </c>
      <c r="H210">
        <v>1.608333333</v>
      </c>
      <c r="I210">
        <v>3.45</v>
      </c>
      <c r="J210">
        <v>5952.6674999999996</v>
      </c>
      <c r="K210">
        <v>5512.3958329999996</v>
      </c>
      <c r="L210">
        <v>6517.8125</v>
      </c>
      <c r="M210">
        <v>17.91416667</v>
      </c>
      <c r="N210">
        <v>16.114999999999998</v>
      </c>
      <c r="O210">
        <v>19.99666667</v>
      </c>
      <c r="Q210" t="s">
        <v>300</v>
      </c>
      <c r="R210" t="s">
        <v>9325</v>
      </c>
      <c r="S210" t="s">
        <v>9058</v>
      </c>
      <c r="T210" t="s">
        <v>9061</v>
      </c>
    </row>
    <row r="211" spans="1:20" x14ac:dyDescent="0.25">
      <c r="A211" t="s">
        <v>6411</v>
      </c>
      <c r="B211">
        <v>-4.79</v>
      </c>
      <c r="C211">
        <v>12</v>
      </c>
      <c r="D211">
        <v>27.25333333</v>
      </c>
      <c r="E211">
        <v>24.754999999999999</v>
      </c>
      <c r="F211">
        <v>29.911666669999999</v>
      </c>
      <c r="G211">
        <v>3.025833333</v>
      </c>
      <c r="H211">
        <v>1.8316666669999999</v>
      </c>
      <c r="I211">
        <v>4.1283333329999996</v>
      </c>
      <c r="J211">
        <v>5756.4366669999999</v>
      </c>
      <c r="K211">
        <v>5201.2916670000004</v>
      </c>
      <c r="L211">
        <v>6483.1875</v>
      </c>
      <c r="M211">
        <v>20.846666670000001</v>
      </c>
      <c r="N211">
        <v>19.96</v>
      </c>
      <c r="O211">
        <v>22.07</v>
      </c>
      <c r="Q211" t="s">
        <v>300</v>
      </c>
      <c r="R211" t="s">
        <v>9327</v>
      </c>
      <c r="S211" t="s">
        <v>9065</v>
      </c>
      <c r="T211" t="s">
        <v>9066</v>
      </c>
    </row>
    <row r="212" spans="1:20" x14ac:dyDescent="0.25">
      <c r="A212" t="s">
        <v>9328</v>
      </c>
      <c r="B212">
        <v>-4.78</v>
      </c>
      <c r="C212">
        <v>13.5</v>
      </c>
      <c r="D212">
        <v>27.858333330000001</v>
      </c>
      <c r="E212">
        <v>25.258333329999999</v>
      </c>
      <c r="F212">
        <v>30.541666670000001</v>
      </c>
      <c r="G212">
        <v>2.3591666670000002</v>
      </c>
      <c r="H212">
        <v>1.165</v>
      </c>
      <c r="I212">
        <v>3.2766666670000002</v>
      </c>
      <c r="J212">
        <v>5892.7466670000003</v>
      </c>
      <c r="K212">
        <v>5542.2708329999996</v>
      </c>
      <c r="L212">
        <v>6510.4166670000004</v>
      </c>
      <c r="M212">
        <v>20.706666670000001</v>
      </c>
      <c r="N212">
        <v>19.704166669999999</v>
      </c>
      <c r="O212">
        <v>21.934999999999999</v>
      </c>
      <c r="Q212" t="s">
        <v>300</v>
      </c>
      <c r="R212" t="s">
        <v>9329</v>
      </c>
      <c r="S212" t="s">
        <v>9058</v>
      </c>
      <c r="T212" t="s">
        <v>9061</v>
      </c>
    </row>
    <row r="213" spans="1:20" x14ac:dyDescent="0.25">
      <c r="A213" t="s">
        <v>6407</v>
      </c>
      <c r="B213">
        <v>-5.1100000000000003</v>
      </c>
      <c r="C213">
        <v>44</v>
      </c>
      <c r="D213">
        <v>27.135000000000002</v>
      </c>
      <c r="E213">
        <v>24.33666667</v>
      </c>
      <c r="F213">
        <v>30.073333330000001</v>
      </c>
      <c r="G213">
        <v>2.1241666669999999</v>
      </c>
      <c r="H213">
        <v>1.006666667</v>
      </c>
      <c r="I213">
        <v>3.1183333329999998</v>
      </c>
      <c r="J213">
        <v>5712.6758330000002</v>
      </c>
      <c r="K213">
        <v>5155.2083329999996</v>
      </c>
      <c r="L213">
        <v>6432.2916670000004</v>
      </c>
      <c r="M213">
        <v>20.662500000000001</v>
      </c>
      <c r="N213">
        <v>19.633333329999999</v>
      </c>
      <c r="O213">
        <v>21.993333329999999</v>
      </c>
      <c r="Q213" t="s">
        <v>300</v>
      </c>
      <c r="R213" t="s">
        <v>9330</v>
      </c>
      <c r="S213" t="s">
        <v>9065</v>
      </c>
      <c r="T213" t="s">
        <v>9066</v>
      </c>
    </row>
    <row r="214" spans="1:20" x14ac:dyDescent="0.25">
      <c r="A214" t="s">
        <v>9331</v>
      </c>
      <c r="B214">
        <v>-5.2</v>
      </c>
      <c r="C214">
        <v>219.5</v>
      </c>
      <c r="D214">
        <v>27.759166669999999</v>
      </c>
      <c r="E214">
        <v>25.206666670000001</v>
      </c>
      <c r="F214">
        <v>30.42</v>
      </c>
      <c r="G214">
        <v>3.0150000000000001</v>
      </c>
      <c r="H214">
        <v>2.0833333330000001</v>
      </c>
      <c r="I214">
        <v>3.7749999999999999</v>
      </c>
      <c r="J214">
        <v>6240.1558329999998</v>
      </c>
      <c r="K214">
        <v>5792.5833329999996</v>
      </c>
      <c r="L214">
        <v>6878.4166670000004</v>
      </c>
      <c r="M214">
        <v>18.87833333</v>
      </c>
      <c r="N214">
        <v>17.506666670000001</v>
      </c>
      <c r="O214">
        <v>20.403333329999999</v>
      </c>
      <c r="Q214" t="s">
        <v>300</v>
      </c>
      <c r="R214" t="s">
        <v>9332</v>
      </c>
      <c r="S214" t="s">
        <v>9058</v>
      </c>
      <c r="T214" t="s">
        <v>9059</v>
      </c>
    </row>
    <row r="215" spans="1:20" x14ac:dyDescent="0.25">
      <c r="A215" t="s">
        <v>9333</v>
      </c>
      <c r="B215">
        <v>-5.2</v>
      </c>
      <c r="C215">
        <v>219.5</v>
      </c>
      <c r="D215">
        <v>27.634166669999999</v>
      </c>
      <c r="E215">
        <v>24.498333330000001</v>
      </c>
      <c r="F215">
        <v>30.564166669999999</v>
      </c>
      <c r="G215">
        <v>3.35</v>
      </c>
      <c r="H215">
        <v>2.5083333329999999</v>
      </c>
      <c r="I215">
        <v>4.1025</v>
      </c>
      <c r="J215">
        <v>5847.3950000000004</v>
      </c>
      <c r="K215">
        <v>5420.0625</v>
      </c>
      <c r="L215">
        <v>6452.7708329999996</v>
      </c>
      <c r="M215">
        <v>19.40583333</v>
      </c>
      <c r="N215">
        <v>17.925000000000001</v>
      </c>
      <c r="O215">
        <v>21.16</v>
      </c>
      <c r="Q215" t="s">
        <v>300</v>
      </c>
      <c r="R215" t="s">
        <v>9332</v>
      </c>
      <c r="S215" t="s">
        <v>9058</v>
      </c>
      <c r="T215" t="s">
        <v>9061</v>
      </c>
    </row>
    <row r="216" spans="1:20" x14ac:dyDescent="0.25">
      <c r="A216" t="s">
        <v>6415</v>
      </c>
      <c r="B216">
        <v>-5.2</v>
      </c>
      <c r="C216">
        <v>80</v>
      </c>
      <c r="D216">
        <v>26.435833330000001</v>
      </c>
      <c r="E216">
        <v>23.698333330000001</v>
      </c>
      <c r="F216">
        <v>29.286666669999999</v>
      </c>
      <c r="G216">
        <v>2.3641666670000001</v>
      </c>
      <c r="H216">
        <v>1.4</v>
      </c>
      <c r="I216">
        <v>3.233333333</v>
      </c>
      <c r="J216">
        <v>5352.6458329999996</v>
      </c>
      <c r="K216">
        <v>4782.2708329999996</v>
      </c>
      <c r="L216">
        <v>6046.5833329999996</v>
      </c>
      <c r="M216">
        <v>19.755833330000002</v>
      </c>
      <c r="N216">
        <v>18.61333333</v>
      </c>
      <c r="O216">
        <v>21.137499999999999</v>
      </c>
      <c r="Q216" t="s">
        <v>300</v>
      </c>
      <c r="R216" t="s">
        <v>9334</v>
      </c>
      <c r="S216" t="s">
        <v>9065</v>
      </c>
      <c r="T216" t="s">
        <v>9066</v>
      </c>
    </row>
    <row r="217" spans="1:20" x14ac:dyDescent="0.25">
      <c r="A217" t="s">
        <v>9335</v>
      </c>
      <c r="B217">
        <v>-3.7</v>
      </c>
      <c r="C217">
        <v>65.5</v>
      </c>
      <c r="D217">
        <v>28.197500000000002</v>
      </c>
      <c r="E217">
        <v>25.725000000000001</v>
      </c>
      <c r="F217">
        <v>30.745000000000001</v>
      </c>
      <c r="G217">
        <v>2.025833333</v>
      </c>
      <c r="H217">
        <v>1.1499999999999999</v>
      </c>
      <c r="I217">
        <v>2.65</v>
      </c>
      <c r="J217">
        <v>5844.2591670000002</v>
      </c>
      <c r="K217">
        <v>5248.125</v>
      </c>
      <c r="L217">
        <v>6574.1458329999996</v>
      </c>
      <c r="M217">
        <v>19.79666667</v>
      </c>
      <c r="N217">
        <v>18.660833329999999</v>
      </c>
      <c r="O217">
        <v>21.412500000000001</v>
      </c>
      <c r="Q217" t="s">
        <v>300</v>
      </c>
      <c r="R217" t="s">
        <v>9336</v>
      </c>
      <c r="S217" t="s">
        <v>9058</v>
      </c>
      <c r="T217" t="s">
        <v>9059</v>
      </c>
    </row>
    <row r="218" spans="1:20" x14ac:dyDescent="0.25">
      <c r="A218" t="s">
        <v>9337</v>
      </c>
      <c r="B218">
        <v>-3.7</v>
      </c>
      <c r="C218">
        <v>65.5</v>
      </c>
      <c r="D218">
        <v>27.49666667</v>
      </c>
      <c r="E218">
        <v>24.52333333</v>
      </c>
      <c r="F218">
        <v>30.27</v>
      </c>
      <c r="G218">
        <v>1.86</v>
      </c>
      <c r="H218">
        <v>0.95</v>
      </c>
      <c r="I218">
        <v>2.52</v>
      </c>
      <c r="J218">
        <v>5780.1883330000001</v>
      </c>
      <c r="K218">
        <v>5400.4166670000004</v>
      </c>
      <c r="L218">
        <v>6296.625</v>
      </c>
      <c r="M218">
        <v>20.736666670000002</v>
      </c>
      <c r="N218">
        <v>19.766666669999999</v>
      </c>
      <c r="O218">
        <v>21.94166667</v>
      </c>
      <c r="Q218" t="s">
        <v>300</v>
      </c>
      <c r="R218" t="s">
        <v>9336</v>
      </c>
      <c r="S218" t="s">
        <v>9058</v>
      </c>
      <c r="T218" t="s">
        <v>9061</v>
      </c>
    </row>
    <row r="219" spans="1:20" x14ac:dyDescent="0.25">
      <c r="A219" t="s">
        <v>6413</v>
      </c>
      <c r="B219">
        <v>-6.02</v>
      </c>
      <c r="C219">
        <v>415</v>
      </c>
      <c r="D219">
        <v>26.192499999999999</v>
      </c>
      <c r="E219">
        <v>23.206666670000001</v>
      </c>
      <c r="F219">
        <v>29.255833330000002</v>
      </c>
      <c r="G219">
        <v>2.778333333</v>
      </c>
      <c r="H219">
        <v>1.483333333</v>
      </c>
      <c r="I219">
        <v>3.9866666670000002</v>
      </c>
      <c r="J219">
        <v>5552.9008329999997</v>
      </c>
      <c r="K219">
        <v>5099.5208329999996</v>
      </c>
      <c r="L219">
        <v>6229.625</v>
      </c>
      <c r="M219">
        <v>17.040833330000002</v>
      </c>
      <c r="N219">
        <v>15.45</v>
      </c>
      <c r="O219">
        <v>18.918333329999999</v>
      </c>
      <c r="Q219" t="s">
        <v>300</v>
      </c>
      <c r="R219" t="s">
        <v>9338</v>
      </c>
      <c r="S219" t="s">
        <v>9065</v>
      </c>
      <c r="T219" t="s">
        <v>9066</v>
      </c>
    </row>
    <row r="220" spans="1:20" x14ac:dyDescent="0.25">
      <c r="A220" t="s">
        <v>9339</v>
      </c>
      <c r="B220">
        <v>-6.02</v>
      </c>
      <c r="C220">
        <v>416.5</v>
      </c>
      <c r="D220">
        <v>28.205833330000001</v>
      </c>
      <c r="E220">
        <v>26.153333329999999</v>
      </c>
      <c r="F220">
        <v>30.23</v>
      </c>
      <c r="G220">
        <v>3.105</v>
      </c>
      <c r="H220">
        <v>2.0433333330000001</v>
      </c>
      <c r="I220">
        <v>4.05</v>
      </c>
      <c r="J220">
        <v>6105.0833329999996</v>
      </c>
      <c r="K220">
        <v>5559.9791670000004</v>
      </c>
      <c r="L220">
        <v>6819.875</v>
      </c>
      <c r="M220">
        <v>17.53833333</v>
      </c>
      <c r="N220">
        <v>16.29</v>
      </c>
      <c r="O220">
        <v>18.926666669999999</v>
      </c>
      <c r="Q220" t="s">
        <v>300</v>
      </c>
      <c r="R220" t="s">
        <v>9338</v>
      </c>
      <c r="S220" t="s">
        <v>9058</v>
      </c>
      <c r="T220" t="s">
        <v>9059</v>
      </c>
    </row>
    <row r="221" spans="1:20" x14ac:dyDescent="0.25">
      <c r="A221" t="s">
        <v>9340</v>
      </c>
      <c r="B221">
        <v>-6.02</v>
      </c>
      <c r="C221">
        <v>416.5</v>
      </c>
      <c r="D221">
        <v>26.857500000000002</v>
      </c>
      <c r="E221">
        <v>23.914999999999999</v>
      </c>
      <c r="F221">
        <v>29.654166669999999</v>
      </c>
      <c r="G221">
        <v>3.4458333329999999</v>
      </c>
      <c r="H221">
        <v>2.4816666669999998</v>
      </c>
      <c r="I221">
        <v>4.3099999999999996</v>
      </c>
      <c r="J221">
        <v>5816.6241669999999</v>
      </c>
      <c r="K221">
        <v>5400.8125</v>
      </c>
      <c r="L221">
        <v>6476.875</v>
      </c>
      <c r="M221">
        <v>18.41416667</v>
      </c>
      <c r="N221">
        <v>17.331666670000001</v>
      </c>
      <c r="O221">
        <v>19.670000000000002</v>
      </c>
      <c r="Q221" t="s">
        <v>300</v>
      </c>
      <c r="R221" t="s">
        <v>9338</v>
      </c>
      <c r="S221" t="s">
        <v>9058</v>
      </c>
      <c r="T221" t="s">
        <v>9061</v>
      </c>
    </row>
    <row r="222" spans="1:20" x14ac:dyDescent="0.25">
      <c r="A222" t="s">
        <v>9341</v>
      </c>
      <c r="B222">
        <v>-15.6</v>
      </c>
      <c r="C222">
        <v>1201.5</v>
      </c>
      <c r="D222">
        <v>21.456666670000001</v>
      </c>
      <c r="E222">
        <v>17.87</v>
      </c>
      <c r="F222">
        <v>25.506666670000001</v>
      </c>
      <c r="G222">
        <v>1.8374999999999999</v>
      </c>
      <c r="H222">
        <v>1.0916666669999999</v>
      </c>
      <c r="I222">
        <v>2.4750000000000001</v>
      </c>
      <c r="J222">
        <v>5631.8108329999995</v>
      </c>
      <c r="K222">
        <v>5142.7291670000004</v>
      </c>
      <c r="L222">
        <v>6246.4166670000004</v>
      </c>
      <c r="M222">
        <v>14.28083333</v>
      </c>
      <c r="N222">
        <v>12.864166669999999</v>
      </c>
      <c r="O222">
        <v>15.92166667</v>
      </c>
      <c r="Q222" t="s">
        <v>309</v>
      </c>
      <c r="R222" t="s">
        <v>9342</v>
      </c>
      <c r="S222" t="s">
        <v>9058</v>
      </c>
      <c r="T222" t="s">
        <v>9061</v>
      </c>
    </row>
    <row r="223" spans="1:20" x14ac:dyDescent="0.25">
      <c r="A223" t="s">
        <v>9343</v>
      </c>
      <c r="B223">
        <v>-15.86</v>
      </c>
      <c r="C223">
        <v>1060.4000000000001</v>
      </c>
      <c r="D223">
        <v>21.76583333</v>
      </c>
      <c r="E223">
        <v>18.524999999999999</v>
      </c>
      <c r="F223">
        <v>25.005833330000002</v>
      </c>
      <c r="G223">
        <v>2.4275000000000002</v>
      </c>
      <c r="H223">
        <v>0.86499999999999999</v>
      </c>
      <c r="I223">
        <v>3.6</v>
      </c>
      <c r="J223">
        <v>5562.7508330000001</v>
      </c>
      <c r="K223">
        <v>4881.9375</v>
      </c>
      <c r="L223">
        <v>6382.9166670000004</v>
      </c>
      <c r="M223">
        <v>13.92416667</v>
      </c>
      <c r="N223">
        <v>12.3025</v>
      </c>
      <c r="O223">
        <v>15.8</v>
      </c>
      <c r="Q223" t="s">
        <v>309</v>
      </c>
      <c r="R223" t="s">
        <v>9344</v>
      </c>
      <c r="S223" t="s">
        <v>9058</v>
      </c>
      <c r="T223" t="s">
        <v>9059</v>
      </c>
    </row>
    <row r="224" spans="1:20" x14ac:dyDescent="0.25">
      <c r="A224" t="s">
        <v>9345</v>
      </c>
      <c r="B224">
        <v>-15.86</v>
      </c>
      <c r="C224">
        <v>1060.4000000000001</v>
      </c>
      <c r="D224">
        <v>21.975000000000001</v>
      </c>
      <c r="E224">
        <v>18.673333329999998</v>
      </c>
      <c r="F224">
        <v>25.241666670000001</v>
      </c>
      <c r="G224">
        <v>2.528333333</v>
      </c>
      <c r="H224">
        <v>1.2083333329999999</v>
      </c>
      <c r="I224">
        <v>3.641666667</v>
      </c>
      <c r="J224">
        <v>5453.7383330000002</v>
      </c>
      <c r="K224">
        <v>4848.3125</v>
      </c>
      <c r="L224">
        <v>6184.4791670000004</v>
      </c>
      <c r="M224">
        <v>14.314166670000001</v>
      </c>
      <c r="N224">
        <v>12.91416667</v>
      </c>
      <c r="O224">
        <v>16.07</v>
      </c>
      <c r="Q224" t="s">
        <v>309</v>
      </c>
      <c r="R224" t="s">
        <v>9344</v>
      </c>
      <c r="S224" t="s">
        <v>9058</v>
      </c>
      <c r="T224" t="s">
        <v>9061</v>
      </c>
    </row>
    <row r="225" spans="1:20" x14ac:dyDescent="0.25">
      <c r="A225" t="s">
        <v>6452</v>
      </c>
      <c r="B225">
        <v>-15.78</v>
      </c>
      <c r="C225">
        <v>1160</v>
      </c>
      <c r="D225">
        <v>21.091666669999999</v>
      </c>
      <c r="E225">
        <v>18.407499999999999</v>
      </c>
      <c r="F225">
        <v>23.695</v>
      </c>
      <c r="G225">
        <v>2.4624999999999999</v>
      </c>
      <c r="H225">
        <v>1.5083333329999999</v>
      </c>
      <c r="I225">
        <v>3.3683333329999998</v>
      </c>
      <c r="J225">
        <v>5055.0083329999998</v>
      </c>
      <c r="K225">
        <v>4424.4583329999996</v>
      </c>
      <c r="L225">
        <v>5936.8541670000004</v>
      </c>
      <c r="M225">
        <v>13.93333333</v>
      </c>
      <c r="N225">
        <v>12.608333330000001</v>
      </c>
      <c r="O225">
        <v>15.56</v>
      </c>
      <c r="Q225" t="s">
        <v>309</v>
      </c>
      <c r="R225" t="s">
        <v>9346</v>
      </c>
      <c r="S225" t="s">
        <v>9065</v>
      </c>
      <c r="T225" t="s">
        <v>9066</v>
      </c>
    </row>
    <row r="226" spans="1:20" x14ac:dyDescent="0.25">
      <c r="A226" t="s">
        <v>9347</v>
      </c>
      <c r="B226">
        <v>-15.79</v>
      </c>
      <c r="C226">
        <v>1161</v>
      </c>
      <c r="D226">
        <v>21.53</v>
      </c>
      <c r="E226">
        <v>18.748333330000001</v>
      </c>
      <c r="F226">
        <v>24.34</v>
      </c>
      <c r="G226">
        <v>2.161666667</v>
      </c>
      <c r="H226">
        <v>1.3666666670000001</v>
      </c>
      <c r="I226">
        <v>2.858333333</v>
      </c>
      <c r="J226">
        <v>5537.2308329999996</v>
      </c>
      <c r="K226">
        <v>5127.7083329999996</v>
      </c>
      <c r="L226">
        <v>6228.375</v>
      </c>
      <c r="M226">
        <v>13.852499999999999</v>
      </c>
      <c r="N226">
        <v>12.64</v>
      </c>
      <c r="O226">
        <v>15.175000000000001</v>
      </c>
      <c r="Q226" t="s">
        <v>309</v>
      </c>
      <c r="R226" t="s">
        <v>9346</v>
      </c>
      <c r="S226" t="s">
        <v>9058</v>
      </c>
      <c r="T226" t="s">
        <v>9061</v>
      </c>
    </row>
    <row r="227" spans="1:20" x14ac:dyDescent="0.25">
      <c r="A227" t="s">
        <v>6511</v>
      </c>
      <c r="B227">
        <v>-15.53</v>
      </c>
      <c r="C227">
        <v>1200</v>
      </c>
      <c r="D227">
        <v>20.96</v>
      </c>
      <c r="E227">
        <v>17.95</v>
      </c>
      <c r="F227">
        <v>24.30083333</v>
      </c>
      <c r="G227">
        <v>2.005833333</v>
      </c>
      <c r="H227">
        <v>1.1883333330000001</v>
      </c>
      <c r="I227">
        <v>2.7166666670000001</v>
      </c>
      <c r="J227">
        <v>5073.8241669999998</v>
      </c>
      <c r="K227">
        <v>4396.125</v>
      </c>
      <c r="L227">
        <v>5896.7708329999996</v>
      </c>
      <c r="M227">
        <v>15.53833333</v>
      </c>
      <c r="N227">
        <v>14.338333329999999</v>
      </c>
      <c r="O227">
        <v>17.041666670000001</v>
      </c>
      <c r="Q227" t="s">
        <v>309</v>
      </c>
      <c r="R227" t="s">
        <v>9348</v>
      </c>
      <c r="S227" t="s">
        <v>9065</v>
      </c>
      <c r="T227" t="s">
        <v>9066</v>
      </c>
    </row>
    <row r="228" spans="1:20" x14ac:dyDescent="0.25">
      <c r="A228" t="s">
        <v>6458</v>
      </c>
      <c r="B228">
        <v>-20.76</v>
      </c>
      <c r="C228">
        <v>138</v>
      </c>
      <c r="D228">
        <v>23.96166667</v>
      </c>
      <c r="E228">
        <v>20.54666667</v>
      </c>
      <c r="F228">
        <v>27.20333333</v>
      </c>
      <c r="G228">
        <v>1.4691666670000001</v>
      </c>
      <c r="H228">
        <v>0.63333333300000005</v>
      </c>
      <c r="I228">
        <v>2.108333333</v>
      </c>
      <c r="J228">
        <v>5318.2108330000001</v>
      </c>
      <c r="K228">
        <v>4569.6666670000004</v>
      </c>
      <c r="L228">
        <v>6374.5208329999996</v>
      </c>
      <c r="M228">
        <v>18.070833329999999</v>
      </c>
      <c r="N228">
        <v>16.92166667</v>
      </c>
      <c r="O228">
        <v>19.416666670000001</v>
      </c>
      <c r="Q228" t="s">
        <v>317</v>
      </c>
      <c r="R228" t="s">
        <v>9349</v>
      </c>
      <c r="S228" t="s">
        <v>9065</v>
      </c>
      <c r="T228" t="s">
        <v>9066</v>
      </c>
    </row>
    <row r="229" spans="1:20" x14ac:dyDescent="0.25">
      <c r="A229" t="s">
        <v>9350</v>
      </c>
      <c r="B229">
        <v>-20.75</v>
      </c>
      <c r="C229">
        <v>139.5</v>
      </c>
      <c r="D229">
        <v>23.619166669999998</v>
      </c>
      <c r="E229">
        <v>20.231666669999999</v>
      </c>
      <c r="F229">
        <v>26.641666669999999</v>
      </c>
      <c r="G229">
        <v>1.4</v>
      </c>
      <c r="H229">
        <v>0.69166666700000001</v>
      </c>
      <c r="I229">
        <v>1.943333333</v>
      </c>
      <c r="J229">
        <v>4831.2033330000004</v>
      </c>
      <c r="K229">
        <v>4010.583333</v>
      </c>
      <c r="L229">
        <v>5915.6666670000004</v>
      </c>
      <c r="M229">
        <v>17.786666669999999</v>
      </c>
      <c r="N229">
        <v>16.616666670000001</v>
      </c>
      <c r="O229">
        <v>19.20333333</v>
      </c>
      <c r="Q229" t="s">
        <v>317</v>
      </c>
      <c r="R229" t="s">
        <v>9349</v>
      </c>
      <c r="S229" t="s">
        <v>9058</v>
      </c>
      <c r="T229" t="s">
        <v>9061</v>
      </c>
    </row>
    <row r="230" spans="1:20" x14ac:dyDescent="0.25">
      <c r="A230" t="s">
        <v>6460</v>
      </c>
      <c r="B230">
        <v>-20.64</v>
      </c>
      <c r="C230">
        <v>35</v>
      </c>
      <c r="D230">
        <v>23.590833329999999</v>
      </c>
      <c r="E230">
        <v>20.928333330000001</v>
      </c>
      <c r="F230">
        <v>25.778333329999999</v>
      </c>
      <c r="G230">
        <v>1.840833333</v>
      </c>
      <c r="H230">
        <v>1.0916666669999999</v>
      </c>
      <c r="I230">
        <v>2.4166666669999999</v>
      </c>
      <c r="J230">
        <v>4197.9933330000003</v>
      </c>
      <c r="K230">
        <v>2912.583333</v>
      </c>
      <c r="L230">
        <v>5515.7708329999996</v>
      </c>
      <c r="M230">
        <v>18.97583333</v>
      </c>
      <c r="N230">
        <v>17.883333329999999</v>
      </c>
      <c r="O230">
        <v>20.166666670000001</v>
      </c>
      <c r="Q230" t="s">
        <v>317</v>
      </c>
      <c r="R230" t="s">
        <v>9351</v>
      </c>
      <c r="S230" t="s">
        <v>9065</v>
      </c>
      <c r="T230" t="s">
        <v>9066</v>
      </c>
    </row>
    <row r="231" spans="1:20" x14ac:dyDescent="0.25">
      <c r="A231" t="s">
        <v>9352</v>
      </c>
      <c r="B231">
        <v>-20.63</v>
      </c>
      <c r="C231">
        <v>36.5</v>
      </c>
      <c r="D231">
        <v>23.454999999999998</v>
      </c>
      <c r="E231">
        <v>20.813333329999999</v>
      </c>
      <c r="F231">
        <v>25.783333330000001</v>
      </c>
      <c r="G231">
        <v>1.9991666669999999</v>
      </c>
      <c r="H231">
        <v>1.266666667</v>
      </c>
      <c r="I231">
        <v>2.5666666669999998</v>
      </c>
      <c r="J231">
        <v>5099.6616670000003</v>
      </c>
      <c r="K231">
        <v>4323.0208329999996</v>
      </c>
      <c r="L231">
        <v>5996.5</v>
      </c>
      <c r="M231">
        <v>18.494166669999998</v>
      </c>
      <c r="N231">
        <v>17.43333333</v>
      </c>
      <c r="O231">
        <v>19.725000000000001</v>
      </c>
      <c r="Q231" t="s">
        <v>317</v>
      </c>
      <c r="R231" t="s">
        <v>9351</v>
      </c>
      <c r="S231" t="s">
        <v>9058</v>
      </c>
      <c r="T231" t="s">
        <v>9061</v>
      </c>
    </row>
    <row r="232" spans="1:20" x14ac:dyDescent="0.25">
      <c r="A232" t="s">
        <v>6480</v>
      </c>
      <c r="B232">
        <v>-19.39</v>
      </c>
      <c r="C232">
        <v>40</v>
      </c>
      <c r="D232">
        <v>24.283333330000001</v>
      </c>
      <c r="E232">
        <v>22.108333330000001</v>
      </c>
      <c r="F232">
        <v>26.295000000000002</v>
      </c>
      <c r="G232">
        <v>2.909166667</v>
      </c>
      <c r="H232">
        <v>1.5916666669999999</v>
      </c>
      <c r="I232">
        <v>4.0891666669999998</v>
      </c>
      <c r="J232">
        <v>4942.1358330000003</v>
      </c>
      <c r="K232">
        <v>4134.5208329999996</v>
      </c>
      <c r="L232">
        <v>5961.5416670000004</v>
      </c>
      <c r="M232">
        <v>20.016666669999999</v>
      </c>
      <c r="N232">
        <v>19.204999999999998</v>
      </c>
      <c r="O232">
        <v>21.091666669999999</v>
      </c>
      <c r="Q232" t="s">
        <v>317</v>
      </c>
      <c r="R232" t="s">
        <v>9353</v>
      </c>
      <c r="S232" t="s">
        <v>9065</v>
      </c>
      <c r="T232" t="s">
        <v>9066</v>
      </c>
    </row>
    <row r="233" spans="1:20" x14ac:dyDescent="0.25">
      <c r="A233" t="s">
        <v>9354</v>
      </c>
      <c r="B233">
        <v>-19.36</v>
      </c>
      <c r="C233">
        <v>41.5</v>
      </c>
      <c r="D233">
        <v>24.28166667</v>
      </c>
      <c r="E233">
        <v>22.29666667</v>
      </c>
      <c r="F233">
        <v>26.27</v>
      </c>
      <c r="G233">
        <v>1.421666667</v>
      </c>
      <c r="H233">
        <v>0.93833333299999999</v>
      </c>
      <c r="I233">
        <v>1.766666667</v>
      </c>
      <c r="J233">
        <v>5101.7233329999999</v>
      </c>
      <c r="K233">
        <v>4119.7291670000004</v>
      </c>
      <c r="L233">
        <v>6176.0625</v>
      </c>
      <c r="M233">
        <v>21.07833333</v>
      </c>
      <c r="N233">
        <v>20.071666669999999</v>
      </c>
      <c r="O233">
        <v>22.258333329999999</v>
      </c>
      <c r="Q233" t="s">
        <v>317</v>
      </c>
      <c r="R233" t="s">
        <v>9355</v>
      </c>
      <c r="S233" t="s">
        <v>9058</v>
      </c>
      <c r="T233" t="s">
        <v>9059</v>
      </c>
    </row>
    <row r="234" spans="1:20" x14ac:dyDescent="0.25">
      <c r="A234" t="s">
        <v>9356</v>
      </c>
      <c r="B234">
        <v>-19.36</v>
      </c>
      <c r="C234">
        <v>41.5</v>
      </c>
      <c r="D234">
        <v>24.383333329999999</v>
      </c>
      <c r="E234">
        <v>22.131666670000001</v>
      </c>
      <c r="F234">
        <v>26.33666667</v>
      </c>
      <c r="G234">
        <v>2.8541666669999999</v>
      </c>
      <c r="H234">
        <v>1.7050000000000001</v>
      </c>
      <c r="I234">
        <v>3.8666666670000001</v>
      </c>
      <c r="J234">
        <v>4966.2566669999997</v>
      </c>
      <c r="K234">
        <v>4443.2291670000004</v>
      </c>
      <c r="L234">
        <v>5794.7708329999996</v>
      </c>
      <c r="M234">
        <v>19.85083333</v>
      </c>
      <c r="N234">
        <v>18.766666669999999</v>
      </c>
      <c r="O234">
        <v>21.091666669999999</v>
      </c>
      <c r="Q234" t="s">
        <v>317</v>
      </c>
      <c r="R234" t="s">
        <v>9355</v>
      </c>
      <c r="S234" t="s">
        <v>9058</v>
      </c>
      <c r="T234" t="s">
        <v>9061</v>
      </c>
    </row>
    <row r="235" spans="1:20" x14ac:dyDescent="0.25">
      <c r="A235" t="s">
        <v>6468</v>
      </c>
      <c r="B235">
        <v>-18.7</v>
      </c>
      <c r="C235">
        <v>154</v>
      </c>
      <c r="D235">
        <v>24.269166670000001</v>
      </c>
      <c r="E235">
        <v>21.431666669999998</v>
      </c>
      <c r="F235">
        <v>26.984999999999999</v>
      </c>
      <c r="G235">
        <v>2.0983333329999998</v>
      </c>
      <c r="H235">
        <v>1.108333333</v>
      </c>
      <c r="I235">
        <v>2.8416666670000001</v>
      </c>
      <c r="J235">
        <v>4871.3383329999997</v>
      </c>
      <c r="K235">
        <v>4123.1666670000004</v>
      </c>
      <c r="L235">
        <v>5845.6458329999996</v>
      </c>
      <c r="M235">
        <v>19.59333333</v>
      </c>
      <c r="N235">
        <v>18.56666667</v>
      </c>
      <c r="O235">
        <v>20.751666669999999</v>
      </c>
      <c r="Q235" t="s">
        <v>317</v>
      </c>
      <c r="R235" t="s">
        <v>9357</v>
      </c>
      <c r="S235" t="s">
        <v>9065</v>
      </c>
      <c r="T235" t="s">
        <v>9066</v>
      </c>
    </row>
    <row r="236" spans="1:20" x14ac:dyDescent="0.25">
      <c r="A236" t="s">
        <v>9358</v>
      </c>
      <c r="B236">
        <v>-18.7</v>
      </c>
      <c r="C236">
        <v>155.5</v>
      </c>
      <c r="D236">
        <v>23.982500000000002</v>
      </c>
      <c r="E236">
        <v>21.106666669999999</v>
      </c>
      <c r="F236">
        <v>26.58666667</v>
      </c>
      <c r="G236">
        <v>2.2291666669999999</v>
      </c>
      <c r="H236">
        <v>1.2</v>
      </c>
      <c r="I236">
        <v>3.0249999999999999</v>
      </c>
      <c r="J236">
        <v>4770.3258329999999</v>
      </c>
      <c r="K236">
        <v>4147.0625</v>
      </c>
      <c r="L236">
        <v>5565.1458329999996</v>
      </c>
      <c r="M236">
        <v>18.670833330000001</v>
      </c>
      <c r="N236">
        <v>17.598333329999999</v>
      </c>
      <c r="O236">
        <v>19.977499999999999</v>
      </c>
      <c r="Q236" t="s">
        <v>317</v>
      </c>
      <c r="R236" t="s">
        <v>9357</v>
      </c>
      <c r="S236" t="s">
        <v>9058</v>
      </c>
      <c r="T236" t="s">
        <v>9061</v>
      </c>
    </row>
    <row r="237" spans="1:20" x14ac:dyDescent="0.25">
      <c r="A237" t="s">
        <v>6463</v>
      </c>
      <c r="B237">
        <v>-21.1</v>
      </c>
      <c r="C237">
        <v>80</v>
      </c>
      <c r="D237">
        <v>23.984999999999999</v>
      </c>
      <c r="E237">
        <v>21.723333329999999</v>
      </c>
      <c r="F237">
        <v>25.958333329999999</v>
      </c>
      <c r="G237">
        <v>3.3216666670000001</v>
      </c>
      <c r="H237">
        <v>1.825</v>
      </c>
      <c r="I237">
        <v>4.4933333329999998</v>
      </c>
      <c r="J237">
        <v>4803.6091669999996</v>
      </c>
      <c r="K237">
        <v>3719.020833</v>
      </c>
      <c r="L237">
        <v>5988.3125</v>
      </c>
      <c r="M237">
        <v>19.72</v>
      </c>
      <c r="N237">
        <v>18.741666670000001</v>
      </c>
      <c r="O237">
        <v>20.80833333</v>
      </c>
      <c r="Q237" t="s">
        <v>317</v>
      </c>
      <c r="R237" t="s">
        <v>9359</v>
      </c>
      <c r="S237" t="s">
        <v>9065</v>
      </c>
      <c r="T237" t="s">
        <v>9066</v>
      </c>
    </row>
    <row r="238" spans="1:20" x14ac:dyDescent="0.25">
      <c r="A238" t="s">
        <v>9360</v>
      </c>
      <c r="B238">
        <v>-21.1</v>
      </c>
      <c r="C238">
        <v>81.5</v>
      </c>
      <c r="D238">
        <v>23.786666669999999</v>
      </c>
      <c r="E238">
        <v>21.506666670000001</v>
      </c>
      <c r="F238">
        <v>25.733333330000001</v>
      </c>
      <c r="G238">
        <v>3.3233333329999999</v>
      </c>
      <c r="H238">
        <v>1.923333333</v>
      </c>
      <c r="I238">
        <v>4.4683333330000004</v>
      </c>
      <c r="J238">
        <v>5018.9391670000005</v>
      </c>
      <c r="K238">
        <v>4220.1458329999996</v>
      </c>
      <c r="L238">
        <v>6039.5833329999996</v>
      </c>
      <c r="M238">
        <v>19.3475</v>
      </c>
      <c r="N238">
        <v>18.116666670000001</v>
      </c>
      <c r="O238">
        <v>20.728333330000002</v>
      </c>
      <c r="Q238" t="s">
        <v>317</v>
      </c>
      <c r="R238" t="s">
        <v>9359</v>
      </c>
      <c r="S238" t="s">
        <v>9058</v>
      </c>
      <c r="T238" t="s">
        <v>9061</v>
      </c>
    </row>
    <row r="239" spans="1:20" x14ac:dyDescent="0.25">
      <c r="A239" t="s">
        <v>6454</v>
      </c>
      <c r="B239">
        <v>-19.989999999999998</v>
      </c>
      <c r="C239">
        <v>998</v>
      </c>
      <c r="D239">
        <v>18.594999999999999</v>
      </c>
      <c r="E239">
        <v>16.565000000000001</v>
      </c>
      <c r="F239">
        <v>20.3</v>
      </c>
      <c r="G239">
        <v>2.2316666669999998</v>
      </c>
      <c r="H239">
        <v>1.1583333330000001</v>
      </c>
      <c r="I239">
        <v>3.0583333330000002</v>
      </c>
      <c r="J239">
        <v>4610.1933330000002</v>
      </c>
      <c r="K239">
        <v>3310.583333</v>
      </c>
      <c r="L239">
        <v>5903.4791670000004</v>
      </c>
      <c r="M239">
        <v>16.672499999999999</v>
      </c>
      <c r="N239">
        <v>15.74</v>
      </c>
      <c r="O239">
        <v>17.676666669999999</v>
      </c>
      <c r="Q239" t="s">
        <v>317</v>
      </c>
      <c r="R239" t="s">
        <v>9361</v>
      </c>
      <c r="S239" t="s">
        <v>9065</v>
      </c>
      <c r="T239" t="s">
        <v>9066</v>
      </c>
    </row>
    <row r="240" spans="1:20" x14ac:dyDescent="0.25">
      <c r="A240" t="s">
        <v>9362</v>
      </c>
      <c r="B240">
        <v>-19.98</v>
      </c>
      <c r="C240">
        <v>989.5</v>
      </c>
      <c r="D240">
        <v>19.10916667</v>
      </c>
      <c r="E240">
        <v>16.770833329999999</v>
      </c>
      <c r="F240">
        <v>21.089166670000001</v>
      </c>
      <c r="G240">
        <v>1.819166667</v>
      </c>
      <c r="H240">
        <v>0.95499999999999996</v>
      </c>
      <c r="I240">
        <v>2.5</v>
      </c>
      <c r="J240">
        <v>4797.5666670000001</v>
      </c>
      <c r="K240">
        <v>4160.2083329999996</v>
      </c>
      <c r="L240">
        <v>5669.1041670000004</v>
      </c>
      <c r="M240">
        <v>14.19916667</v>
      </c>
      <c r="N240">
        <v>9.8533333330000001</v>
      </c>
      <c r="O240">
        <v>17.458333329999999</v>
      </c>
      <c r="Q240" t="s">
        <v>317</v>
      </c>
      <c r="R240" t="s">
        <v>9363</v>
      </c>
      <c r="S240" t="s">
        <v>9058</v>
      </c>
      <c r="T240" t="s">
        <v>9061</v>
      </c>
    </row>
    <row r="241" spans="1:20" x14ac:dyDescent="0.25">
      <c r="A241" t="s">
        <v>6473</v>
      </c>
      <c r="B241">
        <v>-18.72</v>
      </c>
      <c r="C241">
        <v>39</v>
      </c>
      <c r="D241">
        <v>23.869166669999998</v>
      </c>
      <c r="E241">
        <v>21.548333329999998</v>
      </c>
      <c r="F241">
        <v>26.28</v>
      </c>
      <c r="G241">
        <v>2.451666667</v>
      </c>
      <c r="H241">
        <v>1.246666667</v>
      </c>
      <c r="I241">
        <v>3.5583333330000002</v>
      </c>
      <c r="J241">
        <v>5228.84</v>
      </c>
      <c r="K241">
        <v>4524.375</v>
      </c>
      <c r="L241">
        <v>6183</v>
      </c>
      <c r="M241">
        <v>20.205833330000001</v>
      </c>
      <c r="N241">
        <v>19.291666670000001</v>
      </c>
      <c r="O241">
        <v>21.216666669999999</v>
      </c>
      <c r="Q241" t="s">
        <v>317</v>
      </c>
      <c r="R241" t="s">
        <v>9364</v>
      </c>
      <c r="S241" t="s">
        <v>9065</v>
      </c>
      <c r="T241" t="s">
        <v>9066</v>
      </c>
    </row>
    <row r="242" spans="1:20" x14ac:dyDescent="0.25">
      <c r="A242" t="s">
        <v>9365</v>
      </c>
      <c r="B242">
        <v>-18.71</v>
      </c>
      <c r="C242">
        <v>40.5</v>
      </c>
      <c r="D242">
        <v>24.471666670000001</v>
      </c>
      <c r="E242">
        <v>22.67166667</v>
      </c>
      <c r="F242">
        <v>26.151666670000001</v>
      </c>
      <c r="G242">
        <v>3.5649999999999999</v>
      </c>
      <c r="H242">
        <v>2.5249999999999999</v>
      </c>
      <c r="I242">
        <v>4.5650000000000004</v>
      </c>
      <c r="J242">
        <v>5319.335</v>
      </c>
      <c r="K242">
        <v>4859.9583329999996</v>
      </c>
      <c r="L242">
        <v>6095.7291670000004</v>
      </c>
      <c r="M242">
        <v>20.622499999999999</v>
      </c>
      <c r="N242">
        <v>19.725000000000001</v>
      </c>
      <c r="O242">
        <v>21.684999999999999</v>
      </c>
      <c r="Q242" t="s">
        <v>317</v>
      </c>
      <c r="R242" t="s">
        <v>9364</v>
      </c>
      <c r="S242" t="s">
        <v>9058</v>
      </c>
      <c r="T242" t="s">
        <v>9061</v>
      </c>
    </row>
    <row r="243" spans="1:20" x14ac:dyDescent="0.25">
      <c r="A243" t="s">
        <v>9366</v>
      </c>
      <c r="B243">
        <v>-20.5</v>
      </c>
      <c r="C243">
        <v>5</v>
      </c>
      <c r="D243">
        <v>24.584166669999998</v>
      </c>
      <c r="E243">
        <v>23.774999999999999</v>
      </c>
      <c r="F243">
        <v>25.358333330000001</v>
      </c>
      <c r="G243">
        <v>5.3983333330000001</v>
      </c>
      <c r="H243">
        <v>3.9049999999999998</v>
      </c>
      <c r="I243">
        <v>6.835</v>
      </c>
      <c r="J243">
        <v>5631.2425000000003</v>
      </c>
      <c r="K243">
        <v>5225.3333329999996</v>
      </c>
      <c r="L243">
        <v>6142.5625</v>
      </c>
      <c r="M243">
        <v>20.12</v>
      </c>
      <c r="N243">
        <v>19.14833333</v>
      </c>
      <c r="O243">
        <v>21.24583333</v>
      </c>
      <c r="Q243" t="s">
        <v>317</v>
      </c>
      <c r="R243" t="s">
        <v>9367</v>
      </c>
      <c r="S243" t="s">
        <v>9058</v>
      </c>
      <c r="T243" t="s">
        <v>9061</v>
      </c>
    </row>
    <row r="244" spans="1:20" x14ac:dyDescent="0.25">
      <c r="A244" t="s">
        <v>9368</v>
      </c>
      <c r="B244">
        <v>-20.260000000000002</v>
      </c>
      <c r="C244">
        <v>3.4</v>
      </c>
      <c r="D244">
        <v>25.03</v>
      </c>
      <c r="E244">
        <v>22.905000000000001</v>
      </c>
      <c r="F244">
        <v>26.901666670000001</v>
      </c>
      <c r="G244">
        <v>3.9958333330000002</v>
      </c>
      <c r="H244">
        <v>2.1749999999999998</v>
      </c>
      <c r="I244">
        <v>5.6733333330000004</v>
      </c>
      <c r="J244">
        <v>5224.6350000000002</v>
      </c>
      <c r="K244">
        <v>4132.9375</v>
      </c>
      <c r="L244">
        <v>6433.7083329999996</v>
      </c>
      <c r="M244">
        <v>20.42166667</v>
      </c>
      <c r="N244">
        <v>19.32833333</v>
      </c>
      <c r="O244">
        <v>21.668333329999999</v>
      </c>
      <c r="Q244" t="s">
        <v>317</v>
      </c>
      <c r="R244" t="s">
        <v>9369</v>
      </c>
      <c r="S244" t="s">
        <v>9058</v>
      </c>
      <c r="T244" t="s">
        <v>9059</v>
      </c>
    </row>
    <row r="245" spans="1:20" x14ac:dyDescent="0.25">
      <c r="A245" t="s">
        <v>9370</v>
      </c>
      <c r="B245">
        <v>-20.260000000000002</v>
      </c>
      <c r="C245">
        <v>3.4</v>
      </c>
      <c r="D245">
        <v>24.785833329999999</v>
      </c>
      <c r="E245">
        <v>22.725000000000001</v>
      </c>
      <c r="F245">
        <v>26.576666670000002</v>
      </c>
      <c r="G245">
        <v>3.7875000000000001</v>
      </c>
      <c r="H245">
        <v>1.9750000000000001</v>
      </c>
      <c r="I245">
        <v>5.3416666670000001</v>
      </c>
      <c r="J245">
        <v>5123.3808330000002</v>
      </c>
      <c r="K245">
        <v>4598.4375</v>
      </c>
      <c r="L245">
        <v>5948.375</v>
      </c>
      <c r="M245">
        <v>20.084166669999998</v>
      </c>
      <c r="N245">
        <v>18.821666669999999</v>
      </c>
      <c r="O245">
        <v>21.301666669999999</v>
      </c>
      <c r="Q245" t="s">
        <v>317</v>
      </c>
      <c r="R245" t="s">
        <v>9369</v>
      </c>
      <c r="S245" t="s">
        <v>9058</v>
      </c>
      <c r="T245" t="s">
        <v>9061</v>
      </c>
    </row>
    <row r="246" spans="1:20" x14ac:dyDescent="0.25">
      <c r="A246" t="s">
        <v>6471</v>
      </c>
      <c r="B246">
        <v>-20.32</v>
      </c>
      <c r="C246">
        <v>9</v>
      </c>
      <c r="D246">
        <v>24.4025</v>
      </c>
      <c r="E246">
        <v>21.88666667</v>
      </c>
      <c r="F246">
        <v>26.61333333</v>
      </c>
      <c r="G246">
        <v>2.045833333</v>
      </c>
      <c r="H246">
        <v>1.125</v>
      </c>
      <c r="I246">
        <v>2.8933333330000002</v>
      </c>
      <c r="J246">
        <v>5134.9125000000004</v>
      </c>
      <c r="K246">
        <v>4315.6666670000004</v>
      </c>
      <c r="L246">
        <v>6317.1458329999996</v>
      </c>
      <c r="M246">
        <v>19.805</v>
      </c>
      <c r="N246">
        <v>18.948333330000001</v>
      </c>
      <c r="O246">
        <v>20.918333329999999</v>
      </c>
      <c r="Q246" t="s">
        <v>317</v>
      </c>
      <c r="R246" t="s">
        <v>9371</v>
      </c>
      <c r="S246" t="s">
        <v>9065</v>
      </c>
      <c r="T246" t="s">
        <v>9066</v>
      </c>
    </row>
    <row r="247" spans="1:20" x14ac:dyDescent="0.25">
      <c r="A247" t="s">
        <v>9372</v>
      </c>
      <c r="B247">
        <v>-20.32</v>
      </c>
      <c r="C247">
        <v>10.5</v>
      </c>
      <c r="D247">
        <v>24.365833330000001</v>
      </c>
      <c r="E247">
        <v>22.254999999999999</v>
      </c>
      <c r="F247">
        <v>26.234999999999999</v>
      </c>
      <c r="G247">
        <v>2.36</v>
      </c>
      <c r="H247">
        <v>1.433333333</v>
      </c>
      <c r="I247">
        <v>3.2183333329999999</v>
      </c>
      <c r="J247">
        <v>5055.3725000000004</v>
      </c>
      <c r="K247">
        <v>4375.8958329999996</v>
      </c>
      <c r="L247">
        <v>5951.9791670000004</v>
      </c>
      <c r="M247">
        <v>19.825833329999998</v>
      </c>
      <c r="N247">
        <v>18.866666670000001</v>
      </c>
      <c r="O247">
        <v>20.991666670000001</v>
      </c>
      <c r="Q247" t="s">
        <v>317</v>
      </c>
      <c r="R247" t="s">
        <v>9371</v>
      </c>
      <c r="S247" t="s">
        <v>9058</v>
      </c>
      <c r="T247" t="s">
        <v>9061</v>
      </c>
    </row>
    <row r="248" spans="1:20" x14ac:dyDescent="0.25">
      <c r="A248" t="s">
        <v>6518</v>
      </c>
      <c r="B248">
        <v>-14.13</v>
      </c>
      <c r="C248">
        <v>1260</v>
      </c>
      <c r="D248">
        <v>20.59</v>
      </c>
      <c r="E248">
        <v>17.822500000000002</v>
      </c>
      <c r="F248">
        <v>23.451666670000002</v>
      </c>
      <c r="G248">
        <v>2.0666666669999998</v>
      </c>
      <c r="H248">
        <v>0.62333333300000004</v>
      </c>
      <c r="I248">
        <v>3.2083333330000001</v>
      </c>
      <c r="J248">
        <v>5122.4708330000003</v>
      </c>
      <c r="K248">
        <v>4556.0416670000004</v>
      </c>
      <c r="L248">
        <v>5854.125</v>
      </c>
      <c r="M248">
        <v>13.651666669999999</v>
      </c>
      <c r="N248">
        <v>12.414999999999999</v>
      </c>
      <c r="O248">
        <v>15.051666669999999</v>
      </c>
      <c r="Q248" t="s">
        <v>322</v>
      </c>
      <c r="R248" t="s">
        <v>9373</v>
      </c>
      <c r="S248" t="s">
        <v>9065</v>
      </c>
      <c r="T248" t="s">
        <v>9066</v>
      </c>
    </row>
    <row r="249" spans="1:20" x14ac:dyDescent="0.25">
      <c r="A249" t="s">
        <v>9374</v>
      </c>
      <c r="B249">
        <v>-14.13</v>
      </c>
      <c r="C249">
        <v>1261.5</v>
      </c>
      <c r="D249">
        <v>20.860833329999998</v>
      </c>
      <c r="E249">
        <v>17.9925</v>
      </c>
      <c r="F249">
        <v>23.633333329999999</v>
      </c>
      <c r="G249">
        <v>1.8941666669999999</v>
      </c>
      <c r="H249">
        <v>0.54166666699999999</v>
      </c>
      <c r="I249">
        <v>2.9049999999999998</v>
      </c>
      <c r="J249">
        <v>5676.8258329999999</v>
      </c>
      <c r="K249">
        <v>5186.5208329999996</v>
      </c>
      <c r="L249">
        <v>6321.6458329999996</v>
      </c>
      <c r="M249">
        <v>7.5549999999999997</v>
      </c>
      <c r="N249">
        <v>2.829166667</v>
      </c>
      <c r="O249">
        <v>14.15416667</v>
      </c>
      <c r="Q249" t="s">
        <v>322</v>
      </c>
      <c r="R249" t="s">
        <v>9373</v>
      </c>
      <c r="S249" t="s">
        <v>9058</v>
      </c>
      <c r="T249" t="s">
        <v>9061</v>
      </c>
    </row>
    <row r="250" spans="1:20" x14ac:dyDescent="0.25">
      <c r="A250" t="s">
        <v>9375</v>
      </c>
      <c r="B250">
        <v>-16.23</v>
      </c>
      <c r="C250">
        <v>1136.3</v>
      </c>
      <c r="D250">
        <v>22.138333329999998</v>
      </c>
      <c r="E250">
        <v>19.206666670000001</v>
      </c>
      <c r="F250">
        <v>24.9375</v>
      </c>
      <c r="G250">
        <v>2.829166667</v>
      </c>
      <c r="H250">
        <v>1.830833333</v>
      </c>
      <c r="I250">
        <v>3.6666666669999999</v>
      </c>
      <c r="J250">
        <v>5592.0541670000002</v>
      </c>
      <c r="K250">
        <v>4952.1875</v>
      </c>
      <c r="L250">
        <v>6365.75</v>
      </c>
      <c r="M250">
        <v>14.775</v>
      </c>
      <c r="N250">
        <v>13.44166667</v>
      </c>
      <c r="O250">
        <v>16.383333329999999</v>
      </c>
      <c r="Q250" t="s">
        <v>322</v>
      </c>
      <c r="R250" t="s">
        <v>9376</v>
      </c>
      <c r="S250" t="s">
        <v>9058</v>
      </c>
      <c r="T250" t="s">
        <v>9059</v>
      </c>
    </row>
    <row r="251" spans="1:20" x14ac:dyDescent="0.25">
      <c r="A251" t="s">
        <v>9377</v>
      </c>
      <c r="B251">
        <v>-16.23</v>
      </c>
      <c r="C251">
        <v>1136.3</v>
      </c>
      <c r="D251">
        <v>22.12833333</v>
      </c>
      <c r="E251">
        <v>19.060833330000001</v>
      </c>
      <c r="F251">
        <v>25.166666670000001</v>
      </c>
      <c r="G251">
        <v>2.6741666670000002</v>
      </c>
      <c r="H251">
        <v>1.6583333330000001</v>
      </c>
      <c r="I251">
        <v>3.5041666669999998</v>
      </c>
      <c r="J251">
        <v>5491.5574999999999</v>
      </c>
      <c r="K251">
        <v>5038</v>
      </c>
      <c r="L251">
        <v>6189.3958329999996</v>
      </c>
      <c r="M251">
        <v>14.2125</v>
      </c>
      <c r="N251">
        <v>12.7875</v>
      </c>
      <c r="O251">
        <v>15.96666667</v>
      </c>
      <c r="Q251" t="s">
        <v>322</v>
      </c>
      <c r="R251" t="s">
        <v>9376</v>
      </c>
      <c r="S251" t="s">
        <v>9058</v>
      </c>
      <c r="T251" t="s">
        <v>9061</v>
      </c>
    </row>
    <row r="252" spans="1:20" x14ac:dyDescent="0.25">
      <c r="A252" t="s">
        <v>6528</v>
      </c>
      <c r="B252">
        <v>-15.9</v>
      </c>
      <c r="C252">
        <v>347</v>
      </c>
      <c r="D252">
        <v>25.794166669999999</v>
      </c>
      <c r="E252">
        <v>22.346666670000001</v>
      </c>
      <c r="F252">
        <v>29.21833333</v>
      </c>
      <c r="G252">
        <v>1.1100000000000001</v>
      </c>
      <c r="H252">
        <v>0.35</v>
      </c>
      <c r="I252">
        <v>1.6666666670000001</v>
      </c>
      <c r="J252">
        <v>5017.8891670000003</v>
      </c>
      <c r="K252">
        <v>4463.9583329999996</v>
      </c>
      <c r="L252">
        <v>5801.3958329999996</v>
      </c>
      <c r="M252">
        <v>19.03083333</v>
      </c>
      <c r="N252">
        <v>18.05</v>
      </c>
      <c r="O252">
        <v>20.341666669999999</v>
      </c>
      <c r="Q252" t="s">
        <v>322</v>
      </c>
      <c r="R252" t="s">
        <v>9378</v>
      </c>
      <c r="S252" t="s">
        <v>9065</v>
      </c>
      <c r="T252" t="s">
        <v>9066</v>
      </c>
    </row>
    <row r="253" spans="1:20" x14ac:dyDescent="0.25">
      <c r="A253" t="s">
        <v>9379</v>
      </c>
      <c r="B253">
        <v>-15.9</v>
      </c>
      <c r="C253">
        <v>348.5</v>
      </c>
      <c r="D253">
        <v>27.2775</v>
      </c>
      <c r="E253">
        <v>24.498333330000001</v>
      </c>
      <c r="F253">
        <v>29.914999999999999</v>
      </c>
      <c r="G253">
        <v>0.58250000000000002</v>
      </c>
      <c r="H253">
        <v>0.2</v>
      </c>
      <c r="I253">
        <v>0.84166666700000003</v>
      </c>
      <c r="J253">
        <v>5657.4308330000003</v>
      </c>
      <c r="K253">
        <v>5183.8125</v>
      </c>
      <c r="L253">
        <v>6327.1041670000004</v>
      </c>
      <c r="M253">
        <v>19.482500000000002</v>
      </c>
      <c r="N253">
        <v>18.164999999999999</v>
      </c>
      <c r="O253">
        <v>20.92166667</v>
      </c>
      <c r="Q253" t="s">
        <v>322</v>
      </c>
      <c r="R253" t="s">
        <v>9380</v>
      </c>
      <c r="S253" t="s">
        <v>9058</v>
      </c>
      <c r="T253" t="s">
        <v>9059</v>
      </c>
    </row>
    <row r="254" spans="1:20" x14ac:dyDescent="0.25">
      <c r="A254" t="s">
        <v>9381</v>
      </c>
      <c r="B254">
        <v>-15.9</v>
      </c>
      <c r="C254">
        <v>348.5</v>
      </c>
      <c r="D254">
        <v>26.235833329999998</v>
      </c>
      <c r="E254">
        <v>23.05833333</v>
      </c>
      <c r="F254">
        <v>29.198333330000001</v>
      </c>
      <c r="G254">
        <v>0.84</v>
      </c>
      <c r="H254">
        <v>0.18333333299999999</v>
      </c>
      <c r="I254">
        <v>1.2250000000000001</v>
      </c>
      <c r="J254">
        <v>5460.1791670000002</v>
      </c>
      <c r="K254">
        <v>5033.8541670000004</v>
      </c>
      <c r="L254">
        <v>6176.6875</v>
      </c>
      <c r="M254">
        <v>18.732500000000002</v>
      </c>
      <c r="N254">
        <v>17.425000000000001</v>
      </c>
      <c r="O254">
        <v>20.12</v>
      </c>
      <c r="Q254" t="s">
        <v>322</v>
      </c>
      <c r="R254" t="s">
        <v>9380</v>
      </c>
      <c r="S254" t="s">
        <v>9058</v>
      </c>
      <c r="T254" t="s">
        <v>9061</v>
      </c>
    </row>
    <row r="255" spans="1:20" x14ac:dyDescent="0.25">
      <c r="A255" t="s">
        <v>6529</v>
      </c>
      <c r="B255">
        <v>-16.96</v>
      </c>
      <c r="C255">
        <v>737</v>
      </c>
      <c r="D255">
        <v>23.255833330000002</v>
      </c>
      <c r="E255">
        <v>20.081666670000001</v>
      </c>
      <c r="F255">
        <v>26.458333329999999</v>
      </c>
      <c r="G255">
        <v>1.683333333</v>
      </c>
      <c r="H255">
        <v>0.7</v>
      </c>
      <c r="I255">
        <v>2.4533333329999998</v>
      </c>
      <c r="J255">
        <v>5027.5683330000002</v>
      </c>
      <c r="K255">
        <v>4414.9583329999996</v>
      </c>
      <c r="L255">
        <v>5809.125</v>
      </c>
      <c r="M255">
        <v>15.45916667</v>
      </c>
      <c r="N255">
        <v>14.23</v>
      </c>
      <c r="O255">
        <v>16.96166667</v>
      </c>
      <c r="Q255" t="s">
        <v>322</v>
      </c>
      <c r="R255" t="s">
        <v>9382</v>
      </c>
      <c r="S255" t="s">
        <v>9065</v>
      </c>
      <c r="T255" t="s">
        <v>9066</v>
      </c>
    </row>
    <row r="256" spans="1:20" x14ac:dyDescent="0.25">
      <c r="A256" t="s">
        <v>9383</v>
      </c>
      <c r="B256">
        <v>-16.97</v>
      </c>
      <c r="C256">
        <v>738.5</v>
      </c>
      <c r="D256">
        <v>23.84333333</v>
      </c>
      <c r="E256">
        <v>20.28833333</v>
      </c>
      <c r="F256">
        <v>27.471666670000001</v>
      </c>
      <c r="G256">
        <v>1.596666667</v>
      </c>
      <c r="H256">
        <v>0.84166666700000003</v>
      </c>
      <c r="I256">
        <v>2.1349999999999998</v>
      </c>
      <c r="J256">
        <v>5402.9641670000001</v>
      </c>
      <c r="K256">
        <v>4881.8125</v>
      </c>
      <c r="L256">
        <v>6061.6041670000004</v>
      </c>
      <c r="M256">
        <v>15.2775</v>
      </c>
      <c r="N256">
        <v>13.80583333</v>
      </c>
      <c r="O256">
        <v>17.010000000000002</v>
      </c>
      <c r="Q256" t="s">
        <v>322</v>
      </c>
      <c r="R256" t="s">
        <v>9384</v>
      </c>
      <c r="S256" t="s">
        <v>9058</v>
      </c>
      <c r="T256" t="s">
        <v>9061</v>
      </c>
    </row>
    <row r="257" spans="1:20" x14ac:dyDescent="0.25">
      <c r="A257" t="s">
        <v>6523</v>
      </c>
      <c r="B257">
        <v>-18.16</v>
      </c>
      <c r="C257">
        <v>890</v>
      </c>
      <c r="D257">
        <v>22.5075</v>
      </c>
      <c r="E257">
        <v>19.57833333</v>
      </c>
      <c r="F257">
        <v>25.293333329999999</v>
      </c>
      <c r="G257">
        <v>2.0425</v>
      </c>
      <c r="H257">
        <v>1.2250000000000001</v>
      </c>
      <c r="I257">
        <v>2.7433333329999998</v>
      </c>
      <c r="J257">
        <v>5027.8249999999998</v>
      </c>
      <c r="K257">
        <v>4328</v>
      </c>
      <c r="L257">
        <v>5927.2291670000004</v>
      </c>
      <c r="M257">
        <v>14.48833333</v>
      </c>
      <c r="N257">
        <v>13.03166667</v>
      </c>
      <c r="O257">
        <v>16.133333329999999</v>
      </c>
      <c r="Q257" t="s">
        <v>322</v>
      </c>
      <c r="R257" t="s">
        <v>9385</v>
      </c>
      <c r="S257" t="s">
        <v>9065</v>
      </c>
      <c r="T257" t="s">
        <v>9066</v>
      </c>
    </row>
    <row r="258" spans="1:20" x14ac:dyDescent="0.25">
      <c r="A258" t="s">
        <v>9386</v>
      </c>
      <c r="B258">
        <v>-18.18</v>
      </c>
      <c r="C258">
        <v>891.5</v>
      </c>
      <c r="D258">
        <v>24.299166670000002</v>
      </c>
      <c r="E258">
        <v>21.80833333</v>
      </c>
      <c r="F258">
        <v>26.63</v>
      </c>
      <c r="G258">
        <v>1.934166667</v>
      </c>
      <c r="H258">
        <v>1.19</v>
      </c>
      <c r="I258">
        <v>2.5266666670000002</v>
      </c>
      <c r="J258">
        <v>5672.0583329999999</v>
      </c>
      <c r="K258">
        <v>5088.5416670000004</v>
      </c>
      <c r="L258">
        <v>6539.0833329999996</v>
      </c>
      <c r="M258">
        <v>16.3325</v>
      </c>
      <c r="N258">
        <v>15.147500000000001</v>
      </c>
      <c r="O258">
        <v>17.841666669999999</v>
      </c>
      <c r="Q258" t="s">
        <v>322</v>
      </c>
      <c r="R258" t="s">
        <v>9385</v>
      </c>
      <c r="S258" t="s">
        <v>9058</v>
      </c>
      <c r="T258" t="s">
        <v>9059</v>
      </c>
    </row>
    <row r="259" spans="1:20" x14ac:dyDescent="0.25">
      <c r="A259" t="s">
        <v>9387</v>
      </c>
      <c r="B259">
        <v>-18.18</v>
      </c>
      <c r="C259">
        <v>891.5</v>
      </c>
      <c r="D259">
        <v>23.4375</v>
      </c>
      <c r="E259">
        <v>20.684999999999999</v>
      </c>
      <c r="F259">
        <v>25.981666669999999</v>
      </c>
      <c r="G259">
        <v>1.8541666670000001</v>
      </c>
      <c r="H259">
        <v>1.231666667</v>
      </c>
      <c r="I259">
        <v>2.4683333329999999</v>
      </c>
      <c r="J259">
        <v>5454.1966670000002</v>
      </c>
      <c r="K259">
        <v>4868.4583329999996</v>
      </c>
      <c r="L259">
        <v>6206.0625</v>
      </c>
      <c r="M259">
        <v>16.02416667</v>
      </c>
      <c r="N259">
        <v>14.785</v>
      </c>
      <c r="O259">
        <v>17.383333329999999</v>
      </c>
      <c r="Q259" t="s">
        <v>322</v>
      </c>
      <c r="R259" t="s">
        <v>9385</v>
      </c>
      <c r="S259" t="s">
        <v>9058</v>
      </c>
      <c r="T259" t="s">
        <v>9061</v>
      </c>
    </row>
    <row r="260" spans="1:20" x14ac:dyDescent="0.25">
      <c r="A260" t="s">
        <v>6559</v>
      </c>
      <c r="B260">
        <v>-16.79</v>
      </c>
      <c r="C260">
        <v>1202</v>
      </c>
      <c r="D260">
        <v>20.731666669999999</v>
      </c>
      <c r="E260">
        <v>18.43</v>
      </c>
      <c r="F260">
        <v>23.00333333</v>
      </c>
      <c r="G260">
        <v>2.0633333330000001</v>
      </c>
      <c r="H260">
        <v>1.115</v>
      </c>
      <c r="I260">
        <v>2.8833333329999999</v>
      </c>
      <c r="J260">
        <v>4922.0458330000001</v>
      </c>
      <c r="K260">
        <v>4206.7708329999996</v>
      </c>
      <c r="L260">
        <v>5799.5</v>
      </c>
      <c r="M260">
        <v>15.02083333</v>
      </c>
      <c r="N260">
        <v>13.858333330000001</v>
      </c>
      <c r="O260">
        <v>16.445833329999999</v>
      </c>
      <c r="Q260" t="s">
        <v>322</v>
      </c>
      <c r="R260" t="s">
        <v>9388</v>
      </c>
      <c r="S260" t="s">
        <v>9065</v>
      </c>
      <c r="T260" t="s">
        <v>9066</v>
      </c>
    </row>
    <row r="261" spans="1:20" x14ac:dyDescent="0.25">
      <c r="A261" t="s">
        <v>9389</v>
      </c>
      <c r="B261">
        <v>-16.78</v>
      </c>
      <c r="C261">
        <v>1203.5</v>
      </c>
      <c r="D261">
        <v>21.424166670000002</v>
      </c>
      <c r="E261">
        <v>18.73833333</v>
      </c>
      <c r="F261">
        <v>24.09333333</v>
      </c>
      <c r="G261">
        <v>1.431666667</v>
      </c>
      <c r="H261">
        <v>0.73166666700000005</v>
      </c>
      <c r="I261">
        <v>1.951666667</v>
      </c>
      <c r="J261">
        <v>5595.4358329999995</v>
      </c>
      <c r="K261">
        <v>5180.5</v>
      </c>
      <c r="L261">
        <v>6243.9583329999996</v>
      </c>
      <c r="M261">
        <v>13.04</v>
      </c>
      <c r="N261">
        <v>11.606666669999999</v>
      </c>
      <c r="O261">
        <v>14.61</v>
      </c>
      <c r="Q261" t="s">
        <v>322</v>
      </c>
      <c r="R261" t="s">
        <v>9388</v>
      </c>
      <c r="S261" t="s">
        <v>9058</v>
      </c>
      <c r="T261" t="s">
        <v>9061</v>
      </c>
    </row>
    <row r="262" spans="1:20" x14ac:dyDescent="0.25">
      <c r="A262" t="s">
        <v>6531</v>
      </c>
      <c r="B262">
        <v>-15.32</v>
      </c>
      <c r="C262">
        <v>667</v>
      </c>
      <c r="D262">
        <v>24.53833333</v>
      </c>
      <c r="E262">
        <v>21.423333329999998</v>
      </c>
      <c r="F262">
        <v>27.57</v>
      </c>
      <c r="G262">
        <v>1.2350000000000001</v>
      </c>
      <c r="H262">
        <v>0.26666666700000002</v>
      </c>
      <c r="I262">
        <v>1.885</v>
      </c>
      <c r="J262">
        <v>5220.209167</v>
      </c>
      <c r="K262">
        <v>4679.2291670000004</v>
      </c>
      <c r="L262">
        <v>5919.75</v>
      </c>
      <c r="M262">
        <v>15.14916667</v>
      </c>
      <c r="N262">
        <v>13.856666669999999</v>
      </c>
      <c r="O262">
        <v>16.583333329999999</v>
      </c>
      <c r="Q262" t="s">
        <v>322</v>
      </c>
      <c r="R262" t="s">
        <v>9390</v>
      </c>
      <c r="S262" t="s">
        <v>9065</v>
      </c>
      <c r="T262" t="s">
        <v>9066</v>
      </c>
    </row>
    <row r="263" spans="1:20" x14ac:dyDescent="0.25">
      <c r="A263" t="s">
        <v>9391</v>
      </c>
      <c r="B263">
        <v>-15.22</v>
      </c>
      <c r="C263">
        <v>668.5</v>
      </c>
      <c r="D263">
        <v>24.823333330000001</v>
      </c>
      <c r="E263">
        <v>21.658333330000001</v>
      </c>
      <c r="F263">
        <v>27.801666669999999</v>
      </c>
      <c r="G263">
        <v>1.2424999999999999</v>
      </c>
      <c r="H263">
        <v>0.43333333299999999</v>
      </c>
      <c r="I263">
        <v>1.8116666669999999</v>
      </c>
      <c r="J263">
        <v>5567.1383329999999</v>
      </c>
      <c r="K263">
        <v>5184.4583329999996</v>
      </c>
      <c r="L263">
        <v>6234.8125</v>
      </c>
      <c r="M263">
        <v>15.50583333</v>
      </c>
      <c r="N263">
        <v>14.14</v>
      </c>
      <c r="O263">
        <v>17.139166670000002</v>
      </c>
      <c r="Q263" t="s">
        <v>322</v>
      </c>
      <c r="R263" t="s">
        <v>9390</v>
      </c>
      <c r="S263" t="s">
        <v>9058</v>
      </c>
      <c r="T263" t="s">
        <v>9061</v>
      </c>
    </row>
    <row r="264" spans="1:20" x14ac:dyDescent="0.25">
      <c r="A264" t="s">
        <v>9392</v>
      </c>
      <c r="B264">
        <v>-16.63</v>
      </c>
      <c r="C264">
        <v>746.8</v>
      </c>
      <c r="D264">
        <v>24.195833329999999</v>
      </c>
      <c r="E264">
        <v>20.583333329999999</v>
      </c>
      <c r="F264">
        <v>27.993333329999999</v>
      </c>
      <c r="G264">
        <v>2.3733333330000002</v>
      </c>
      <c r="H264">
        <v>1.0833333329999999</v>
      </c>
      <c r="I264">
        <v>3.2416666670000001</v>
      </c>
      <c r="J264">
        <v>5669.8558329999996</v>
      </c>
      <c r="K264">
        <v>5055.2083329999996</v>
      </c>
      <c r="L264">
        <v>6481.6875</v>
      </c>
      <c r="M264">
        <v>15.97916667</v>
      </c>
      <c r="N264">
        <v>14.71666667</v>
      </c>
      <c r="O264">
        <v>17.725000000000001</v>
      </c>
      <c r="Q264" t="s">
        <v>322</v>
      </c>
      <c r="R264" t="s">
        <v>9393</v>
      </c>
      <c r="S264" t="s">
        <v>9058</v>
      </c>
      <c r="T264" t="s">
        <v>9059</v>
      </c>
    </row>
    <row r="265" spans="1:20" x14ac:dyDescent="0.25">
      <c r="A265" t="s">
        <v>9394</v>
      </c>
      <c r="B265">
        <v>-16.63</v>
      </c>
      <c r="C265">
        <v>746.8</v>
      </c>
      <c r="D265">
        <v>24.270833329999999</v>
      </c>
      <c r="E265">
        <v>20.666666670000001</v>
      </c>
      <c r="F265">
        <v>27.916666670000001</v>
      </c>
      <c r="G265">
        <v>2.4950000000000001</v>
      </c>
      <c r="H265">
        <v>1.25</v>
      </c>
      <c r="I265">
        <v>3.3666666670000001</v>
      </c>
      <c r="J265">
        <v>5520.6491669999996</v>
      </c>
      <c r="K265">
        <v>5066.6875</v>
      </c>
      <c r="L265">
        <v>6215.625</v>
      </c>
      <c r="M265">
        <v>16.02</v>
      </c>
      <c r="N265">
        <v>14.75</v>
      </c>
      <c r="O265">
        <v>17.666666670000001</v>
      </c>
      <c r="Q265" t="s">
        <v>322</v>
      </c>
      <c r="R265" t="s">
        <v>9393</v>
      </c>
      <c r="S265" t="s">
        <v>9058</v>
      </c>
      <c r="T265" t="s">
        <v>9061</v>
      </c>
    </row>
    <row r="266" spans="1:20" x14ac:dyDescent="0.25">
      <c r="A266" t="s">
        <v>6548</v>
      </c>
      <c r="B266">
        <v>-15.37</v>
      </c>
      <c r="C266">
        <v>770</v>
      </c>
      <c r="D266">
        <v>23.237500000000001</v>
      </c>
      <c r="E266">
        <v>19.454999999999998</v>
      </c>
      <c r="F266">
        <v>27.305833329999999</v>
      </c>
      <c r="G266">
        <v>1.409166667</v>
      </c>
      <c r="H266">
        <v>0.47333333300000002</v>
      </c>
      <c r="I266">
        <v>2.0433333330000001</v>
      </c>
      <c r="J266">
        <v>5069.6983330000003</v>
      </c>
      <c r="K266">
        <v>4542.7083329999996</v>
      </c>
      <c r="L266">
        <v>5749.3958329999996</v>
      </c>
      <c r="M266">
        <v>15.5875</v>
      </c>
      <c r="N266">
        <v>14.324999999999999</v>
      </c>
      <c r="O266">
        <v>17.091666669999999</v>
      </c>
      <c r="Q266" t="s">
        <v>322</v>
      </c>
      <c r="R266" t="s">
        <v>9395</v>
      </c>
      <c r="S266" t="s">
        <v>9065</v>
      </c>
      <c r="T266" t="s">
        <v>9066</v>
      </c>
    </row>
    <row r="267" spans="1:20" x14ac:dyDescent="0.25">
      <c r="A267" t="s">
        <v>9396</v>
      </c>
      <c r="B267">
        <v>-16.670000000000002</v>
      </c>
      <c r="C267">
        <v>771.5</v>
      </c>
      <c r="D267">
        <v>25.392499999999998</v>
      </c>
      <c r="E267">
        <v>22.664999999999999</v>
      </c>
      <c r="F267">
        <v>28.096666670000001</v>
      </c>
      <c r="G267">
        <v>1.4183333330000001</v>
      </c>
      <c r="H267">
        <v>0.698333333</v>
      </c>
      <c r="I267">
        <v>1.993333333</v>
      </c>
      <c r="J267">
        <v>5679.5708329999998</v>
      </c>
      <c r="K267">
        <v>5123.8125</v>
      </c>
      <c r="L267">
        <v>6427.2083329999996</v>
      </c>
      <c r="M267">
        <v>16.08583333</v>
      </c>
      <c r="N267">
        <v>14.90833333</v>
      </c>
      <c r="O267">
        <v>17.570833329999999</v>
      </c>
      <c r="Q267" t="s">
        <v>322</v>
      </c>
      <c r="R267" t="s">
        <v>9397</v>
      </c>
      <c r="S267" t="s">
        <v>9058</v>
      </c>
      <c r="T267" t="s">
        <v>9059</v>
      </c>
    </row>
    <row r="268" spans="1:20" x14ac:dyDescent="0.25">
      <c r="A268" t="s">
        <v>9398</v>
      </c>
      <c r="B268">
        <v>-16.670000000000002</v>
      </c>
      <c r="C268">
        <v>771.5</v>
      </c>
      <c r="D268">
        <v>24.14916667</v>
      </c>
      <c r="E268">
        <v>20.805</v>
      </c>
      <c r="F268">
        <v>27.46166667</v>
      </c>
      <c r="G268">
        <v>1.764166667</v>
      </c>
      <c r="H268">
        <v>1.141666667</v>
      </c>
      <c r="I268">
        <v>2.2749999999999999</v>
      </c>
      <c r="J268">
        <v>5474.9133330000004</v>
      </c>
      <c r="K268">
        <v>5013.8333329999996</v>
      </c>
      <c r="L268">
        <v>6108.25</v>
      </c>
      <c r="M268">
        <v>15.62</v>
      </c>
      <c r="N268">
        <v>14.255000000000001</v>
      </c>
      <c r="O268">
        <v>17.149999999999999</v>
      </c>
      <c r="Q268" t="s">
        <v>322</v>
      </c>
      <c r="R268" t="s">
        <v>9397</v>
      </c>
      <c r="S268" t="s">
        <v>9058</v>
      </c>
      <c r="T268" t="s">
        <v>9061</v>
      </c>
    </row>
    <row r="269" spans="1:20" x14ac:dyDescent="0.25">
      <c r="A269" t="s">
        <v>6509</v>
      </c>
      <c r="B269">
        <v>-15.93</v>
      </c>
      <c r="C269">
        <v>512</v>
      </c>
      <c r="D269">
        <v>24.98</v>
      </c>
      <c r="E269">
        <v>21.68333333</v>
      </c>
      <c r="F269">
        <v>28.276666670000001</v>
      </c>
      <c r="G269">
        <v>1.2108333330000001</v>
      </c>
      <c r="H269">
        <v>0.35</v>
      </c>
      <c r="I269">
        <v>1.81</v>
      </c>
      <c r="J269">
        <v>5076.4025000000001</v>
      </c>
      <c r="K269">
        <v>4435.9375</v>
      </c>
      <c r="L269">
        <v>5924.6875</v>
      </c>
      <c r="M269">
        <v>18.304166670000001</v>
      </c>
      <c r="N269">
        <v>17.16333333</v>
      </c>
      <c r="O269">
        <v>19.668333329999999</v>
      </c>
      <c r="Q269" t="s">
        <v>322</v>
      </c>
      <c r="R269" t="s">
        <v>9399</v>
      </c>
      <c r="S269" t="s">
        <v>9065</v>
      </c>
      <c r="T269" t="s">
        <v>9066</v>
      </c>
    </row>
    <row r="270" spans="1:20" x14ac:dyDescent="0.25">
      <c r="A270" t="s">
        <v>9400</v>
      </c>
      <c r="B270">
        <v>-15.94</v>
      </c>
      <c r="C270">
        <v>513.5</v>
      </c>
      <c r="D270">
        <v>26.569166670000001</v>
      </c>
      <c r="E270">
        <v>23.873333330000001</v>
      </c>
      <c r="F270">
        <v>29.236666670000002</v>
      </c>
      <c r="G270">
        <v>2.338333333</v>
      </c>
      <c r="H270">
        <v>1.5316666670000001</v>
      </c>
      <c r="I270">
        <v>3.2250000000000001</v>
      </c>
      <c r="J270">
        <v>5734.7533329999997</v>
      </c>
      <c r="K270">
        <v>5189.7916670000004</v>
      </c>
      <c r="L270">
        <v>6439.4583329999996</v>
      </c>
      <c r="M270">
        <v>17.89083333</v>
      </c>
      <c r="N270">
        <v>16.690000000000001</v>
      </c>
      <c r="O270">
        <v>19.271666669999998</v>
      </c>
      <c r="Q270" t="s">
        <v>322</v>
      </c>
      <c r="R270" t="s">
        <v>9401</v>
      </c>
      <c r="S270" t="s">
        <v>9058</v>
      </c>
      <c r="T270" t="s">
        <v>9059</v>
      </c>
    </row>
    <row r="271" spans="1:20" x14ac:dyDescent="0.25">
      <c r="A271" t="s">
        <v>9402</v>
      </c>
      <c r="B271">
        <v>-15.94</v>
      </c>
      <c r="C271">
        <v>513.5</v>
      </c>
      <c r="D271">
        <v>25.487500000000001</v>
      </c>
      <c r="E271">
        <v>22.383333329999999</v>
      </c>
      <c r="F271">
        <v>28.45333333</v>
      </c>
      <c r="G271">
        <v>1.9075</v>
      </c>
      <c r="H271">
        <v>1.098333333</v>
      </c>
      <c r="I271">
        <v>2.576666667</v>
      </c>
      <c r="J271">
        <v>5424.56</v>
      </c>
      <c r="K271">
        <v>4823.6666670000004</v>
      </c>
      <c r="L271">
        <v>6172.5</v>
      </c>
      <c r="M271">
        <v>16.795833330000001</v>
      </c>
      <c r="N271">
        <v>15.275</v>
      </c>
      <c r="O271">
        <v>18.559999999999999</v>
      </c>
      <c r="Q271" t="s">
        <v>322</v>
      </c>
      <c r="R271" t="s">
        <v>9401</v>
      </c>
      <c r="S271" t="s">
        <v>9058</v>
      </c>
      <c r="T271" t="s">
        <v>9061</v>
      </c>
    </row>
    <row r="272" spans="1:20" x14ac:dyDescent="0.25">
      <c r="A272" t="s">
        <v>6516</v>
      </c>
      <c r="B272">
        <v>-14.95</v>
      </c>
      <c r="C272">
        <v>522</v>
      </c>
      <c r="D272">
        <v>23.90666667</v>
      </c>
      <c r="E272">
        <v>19.855</v>
      </c>
      <c r="F272">
        <v>28.09333333</v>
      </c>
      <c r="G272">
        <v>1.3558333330000001</v>
      </c>
      <c r="H272">
        <v>0.46666666699999998</v>
      </c>
      <c r="I272">
        <v>1.9350000000000001</v>
      </c>
      <c r="J272">
        <v>4721.5508330000002</v>
      </c>
      <c r="K272">
        <v>4136.9166670000004</v>
      </c>
      <c r="L272">
        <v>5420.6458329999996</v>
      </c>
      <c r="M272">
        <v>16.834166669999998</v>
      </c>
      <c r="N272">
        <v>15.77083333</v>
      </c>
      <c r="O272">
        <v>18.05833333</v>
      </c>
      <c r="Q272" t="s">
        <v>322</v>
      </c>
      <c r="R272" t="s">
        <v>9403</v>
      </c>
      <c r="S272" t="s">
        <v>9065</v>
      </c>
      <c r="T272" t="s">
        <v>9066</v>
      </c>
    </row>
    <row r="273" spans="1:20" x14ac:dyDescent="0.25">
      <c r="A273" t="s">
        <v>9404</v>
      </c>
      <c r="B273">
        <v>-14.98</v>
      </c>
      <c r="C273">
        <v>523.5</v>
      </c>
      <c r="D273">
        <v>24.195</v>
      </c>
      <c r="E273">
        <v>20.114999999999998</v>
      </c>
      <c r="F273">
        <v>28.39083333</v>
      </c>
      <c r="G273">
        <v>0.47416666699999999</v>
      </c>
      <c r="H273">
        <v>1.6666667E-2</v>
      </c>
      <c r="I273">
        <v>0.65833333299999997</v>
      </c>
      <c r="J273">
        <v>5532.5283330000002</v>
      </c>
      <c r="K273">
        <v>5073.625</v>
      </c>
      <c r="L273">
        <v>6181.125</v>
      </c>
      <c r="M273">
        <v>17.03</v>
      </c>
      <c r="N273">
        <v>15.78833333</v>
      </c>
      <c r="O273">
        <v>18.528333329999999</v>
      </c>
      <c r="Q273" t="s">
        <v>322</v>
      </c>
      <c r="R273" t="s">
        <v>9403</v>
      </c>
      <c r="S273" t="s">
        <v>9058</v>
      </c>
      <c r="T273" t="s">
        <v>9061</v>
      </c>
    </row>
    <row r="274" spans="1:20" x14ac:dyDescent="0.25">
      <c r="A274" t="s">
        <v>6536</v>
      </c>
      <c r="B274">
        <v>-18.41</v>
      </c>
      <c r="C274">
        <v>488</v>
      </c>
      <c r="D274">
        <v>23.923333329999998</v>
      </c>
      <c r="E274">
        <v>20.69166667</v>
      </c>
      <c r="F274">
        <v>27.12166667</v>
      </c>
      <c r="G274">
        <v>1.895</v>
      </c>
      <c r="H274">
        <v>0.68333333299999999</v>
      </c>
      <c r="I274">
        <v>2.7933333330000001</v>
      </c>
      <c r="J274">
        <v>5095.2391669999997</v>
      </c>
      <c r="K274">
        <v>4338.0625</v>
      </c>
      <c r="L274">
        <v>5983.5625</v>
      </c>
      <c r="M274">
        <v>18.135833330000001</v>
      </c>
      <c r="N274">
        <v>17.064166669999999</v>
      </c>
      <c r="O274">
        <v>19.483333330000001</v>
      </c>
      <c r="Q274" t="s">
        <v>322</v>
      </c>
      <c r="R274" t="s">
        <v>9405</v>
      </c>
      <c r="S274" t="s">
        <v>9065</v>
      </c>
      <c r="T274" t="s">
        <v>9066</v>
      </c>
    </row>
    <row r="275" spans="1:20" x14ac:dyDescent="0.25">
      <c r="A275" t="s">
        <v>9406</v>
      </c>
      <c r="B275">
        <v>-18.420000000000002</v>
      </c>
      <c r="C275">
        <v>489.5</v>
      </c>
      <c r="D275">
        <v>24.8825</v>
      </c>
      <c r="E275">
        <v>21.40666667</v>
      </c>
      <c r="F275">
        <v>28.31666667</v>
      </c>
      <c r="G275">
        <v>0.85833333300000003</v>
      </c>
      <c r="H275">
        <v>0.3</v>
      </c>
      <c r="I275">
        <v>1.1950000000000001</v>
      </c>
      <c r="J275">
        <v>5404.9641670000001</v>
      </c>
      <c r="K275">
        <v>4945.4791670000004</v>
      </c>
      <c r="L275">
        <v>6124.0208329999996</v>
      </c>
      <c r="M275">
        <v>16.708333329999999</v>
      </c>
      <c r="N275">
        <v>15.31</v>
      </c>
      <c r="O275">
        <v>18.458333329999999</v>
      </c>
      <c r="Q275" t="s">
        <v>322</v>
      </c>
      <c r="R275" t="s">
        <v>9405</v>
      </c>
      <c r="S275" t="s">
        <v>9058</v>
      </c>
      <c r="T275" t="s">
        <v>9061</v>
      </c>
    </row>
    <row r="276" spans="1:20" x14ac:dyDescent="0.25">
      <c r="A276" t="s">
        <v>6568</v>
      </c>
      <c r="B276">
        <v>-17.88</v>
      </c>
      <c r="C276">
        <v>582</v>
      </c>
      <c r="D276">
        <v>22.420833330000001</v>
      </c>
      <c r="E276">
        <v>18.748333330000001</v>
      </c>
      <c r="F276">
        <v>26.114999999999998</v>
      </c>
      <c r="G276">
        <v>1.59</v>
      </c>
      <c r="H276">
        <v>0.26500000000000001</v>
      </c>
      <c r="I276">
        <v>2.5916666670000001</v>
      </c>
      <c r="J276">
        <v>5222.9358329999995</v>
      </c>
      <c r="K276">
        <v>4587.7708329999996</v>
      </c>
      <c r="L276">
        <v>6095.0416670000004</v>
      </c>
      <c r="M276">
        <v>16.0975</v>
      </c>
      <c r="N276">
        <v>14.88833333</v>
      </c>
      <c r="O276">
        <v>17.616666670000001</v>
      </c>
      <c r="Q276" t="s">
        <v>322</v>
      </c>
      <c r="R276" t="s">
        <v>9407</v>
      </c>
      <c r="S276" t="s">
        <v>9065</v>
      </c>
      <c r="T276" t="s">
        <v>9066</v>
      </c>
    </row>
    <row r="277" spans="1:20" x14ac:dyDescent="0.25">
      <c r="A277" t="s">
        <v>9408</v>
      </c>
      <c r="B277">
        <v>-17.88</v>
      </c>
      <c r="C277">
        <v>704</v>
      </c>
      <c r="D277">
        <v>23.41333333</v>
      </c>
      <c r="E277">
        <v>19.631666670000001</v>
      </c>
      <c r="F277">
        <v>27.155000000000001</v>
      </c>
      <c r="G277">
        <v>1.7416666670000001</v>
      </c>
      <c r="H277">
        <v>0.75</v>
      </c>
      <c r="I277">
        <v>2.516666667</v>
      </c>
      <c r="J277">
        <v>5467.7483329999995</v>
      </c>
      <c r="K277">
        <v>4920.3958329999996</v>
      </c>
      <c r="L277">
        <v>6099.0416670000004</v>
      </c>
      <c r="M277">
        <v>15.2525</v>
      </c>
      <c r="N277">
        <v>13.61333333</v>
      </c>
      <c r="O277">
        <v>16.94166667</v>
      </c>
      <c r="Q277" t="s">
        <v>322</v>
      </c>
      <c r="R277" t="s">
        <v>9407</v>
      </c>
      <c r="S277" t="s">
        <v>9058</v>
      </c>
      <c r="T277" t="s">
        <v>9061</v>
      </c>
    </row>
    <row r="278" spans="1:20" x14ac:dyDescent="0.25">
      <c r="A278" t="s">
        <v>6508</v>
      </c>
      <c r="B278">
        <v>-16.25</v>
      </c>
      <c r="C278">
        <v>958</v>
      </c>
      <c r="D278">
        <v>21.98833333</v>
      </c>
      <c r="E278">
        <v>19.264166670000002</v>
      </c>
      <c r="F278">
        <v>24.594999999999999</v>
      </c>
      <c r="G278">
        <v>2.5866666669999998</v>
      </c>
      <c r="H278">
        <v>1.683333333</v>
      </c>
      <c r="I278">
        <v>3.326666667</v>
      </c>
      <c r="J278">
        <v>5125.3249999999998</v>
      </c>
      <c r="K278">
        <v>4462.1666670000004</v>
      </c>
      <c r="L278">
        <v>5966.5416670000004</v>
      </c>
      <c r="M278">
        <v>15.87083333</v>
      </c>
      <c r="N278">
        <v>14.74</v>
      </c>
      <c r="O278">
        <v>17.3</v>
      </c>
      <c r="Q278" t="s">
        <v>322</v>
      </c>
      <c r="R278" t="s">
        <v>9409</v>
      </c>
      <c r="S278" t="s">
        <v>9065</v>
      </c>
      <c r="T278" t="s">
        <v>9066</v>
      </c>
    </row>
    <row r="279" spans="1:20" x14ac:dyDescent="0.25">
      <c r="A279" t="s">
        <v>9410</v>
      </c>
      <c r="B279">
        <v>-16.27</v>
      </c>
      <c r="C279">
        <v>959.5</v>
      </c>
      <c r="D279">
        <v>22.54666667</v>
      </c>
      <c r="E279">
        <v>19.48</v>
      </c>
      <c r="F279">
        <v>25.583333329999999</v>
      </c>
      <c r="G279">
        <v>2.3991666669999998</v>
      </c>
      <c r="H279">
        <v>1.5416666670000001</v>
      </c>
      <c r="I279">
        <v>3.1583333329999999</v>
      </c>
      <c r="J279">
        <v>5572.2183329999998</v>
      </c>
      <c r="K279">
        <v>5193.4375</v>
      </c>
      <c r="L279">
        <v>6209.4166670000004</v>
      </c>
      <c r="M279">
        <v>14.16583333</v>
      </c>
      <c r="N279">
        <v>12.84</v>
      </c>
      <c r="O279">
        <v>15.641666669999999</v>
      </c>
      <c r="Q279" t="s">
        <v>322</v>
      </c>
      <c r="R279" t="s">
        <v>9409</v>
      </c>
      <c r="S279" t="s">
        <v>9058</v>
      </c>
      <c r="T279" t="s">
        <v>9061</v>
      </c>
    </row>
    <row r="280" spans="1:20" x14ac:dyDescent="0.25">
      <c r="A280" t="s">
        <v>6573</v>
      </c>
      <c r="B280">
        <v>-17.57</v>
      </c>
      <c r="C280">
        <v>706</v>
      </c>
      <c r="D280">
        <v>22.377500000000001</v>
      </c>
      <c r="E280">
        <v>18.99583333</v>
      </c>
      <c r="F280">
        <v>25.87</v>
      </c>
      <c r="G280">
        <v>1.371666667</v>
      </c>
      <c r="H280">
        <v>0.17333333300000001</v>
      </c>
      <c r="I280">
        <v>2.2250000000000001</v>
      </c>
      <c r="J280">
        <v>4921.0758329999999</v>
      </c>
      <c r="K280">
        <v>4163.9166670000004</v>
      </c>
      <c r="L280">
        <v>5838.5833329999996</v>
      </c>
      <c r="M280">
        <v>17.399999999999999</v>
      </c>
      <c r="N280">
        <v>16.315000000000001</v>
      </c>
      <c r="O280">
        <v>18.668333329999999</v>
      </c>
      <c r="Q280" t="s">
        <v>322</v>
      </c>
      <c r="R280" t="s">
        <v>9411</v>
      </c>
      <c r="S280" t="s">
        <v>9065</v>
      </c>
      <c r="T280" t="s">
        <v>9066</v>
      </c>
    </row>
    <row r="281" spans="1:20" x14ac:dyDescent="0.25">
      <c r="A281" t="s">
        <v>9412</v>
      </c>
      <c r="B281">
        <v>-17.57</v>
      </c>
      <c r="C281">
        <v>707.5</v>
      </c>
      <c r="D281">
        <v>23.064166669999999</v>
      </c>
      <c r="E281">
        <v>19.919166669999999</v>
      </c>
      <c r="F281">
        <v>26.355</v>
      </c>
      <c r="G281">
        <v>1.7949999999999999</v>
      </c>
      <c r="H281">
        <v>1.05</v>
      </c>
      <c r="I281">
        <v>2.37</v>
      </c>
      <c r="J281">
        <v>5461.7</v>
      </c>
      <c r="K281">
        <v>4957.8333329999996</v>
      </c>
      <c r="L281">
        <v>6138.3958329999996</v>
      </c>
      <c r="M281">
        <v>15.7925</v>
      </c>
      <c r="N281">
        <v>14.69166667</v>
      </c>
      <c r="O281">
        <v>17.108333330000001</v>
      </c>
      <c r="Q281" t="s">
        <v>322</v>
      </c>
      <c r="R281" t="s">
        <v>9411</v>
      </c>
      <c r="S281" t="s">
        <v>9058</v>
      </c>
      <c r="T281" t="s">
        <v>9061</v>
      </c>
    </row>
    <row r="282" spans="1:20" x14ac:dyDescent="0.25">
      <c r="A282" t="s">
        <v>6550</v>
      </c>
      <c r="B282">
        <v>-13.5</v>
      </c>
      <c r="C282">
        <v>1253</v>
      </c>
      <c r="D282">
        <v>24.964166670000001</v>
      </c>
      <c r="E282">
        <v>22.03833333</v>
      </c>
      <c r="F282">
        <v>27.75333333</v>
      </c>
      <c r="G282">
        <v>0.58250000000000002</v>
      </c>
      <c r="H282">
        <v>0.25</v>
      </c>
      <c r="I282">
        <v>0.76666666699999997</v>
      </c>
      <c r="J282">
        <v>5350.9075000000003</v>
      </c>
      <c r="K282">
        <v>4734.25</v>
      </c>
      <c r="L282">
        <v>6185.7916670000004</v>
      </c>
      <c r="M282">
        <v>17.693333330000002</v>
      </c>
      <c r="N282">
        <v>16.52333333</v>
      </c>
      <c r="O282">
        <v>19.158333330000001</v>
      </c>
      <c r="Q282" t="s">
        <v>322</v>
      </c>
      <c r="R282" t="s">
        <v>9413</v>
      </c>
      <c r="S282" t="s">
        <v>9065</v>
      </c>
      <c r="T282" t="s">
        <v>9066</v>
      </c>
    </row>
    <row r="283" spans="1:20" x14ac:dyDescent="0.25">
      <c r="A283" t="s">
        <v>9414</v>
      </c>
      <c r="B283">
        <v>-13.25</v>
      </c>
      <c r="C283">
        <v>1254.5</v>
      </c>
      <c r="D283">
        <v>25.78</v>
      </c>
      <c r="E283">
        <v>22.55833333</v>
      </c>
      <c r="F283">
        <v>28.964166670000001</v>
      </c>
      <c r="G283">
        <v>1.660833333</v>
      </c>
      <c r="H283">
        <v>0.82499999999999996</v>
      </c>
      <c r="I283">
        <v>2.3083333330000002</v>
      </c>
      <c r="J283">
        <v>5688.9449999999997</v>
      </c>
      <c r="K283">
        <v>5290.3541670000004</v>
      </c>
      <c r="L283">
        <v>6298.7708329999996</v>
      </c>
      <c r="M283">
        <v>15.86833333</v>
      </c>
      <c r="N283">
        <v>14.436666669999999</v>
      </c>
      <c r="O283">
        <v>17.411666669999999</v>
      </c>
      <c r="Q283" t="s">
        <v>322</v>
      </c>
      <c r="R283" t="s">
        <v>9413</v>
      </c>
      <c r="S283" t="s">
        <v>9058</v>
      </c>
      <c r="T283" t="s">
        <v>9061</v>
      </c>
    </row>
    <row r="284" spans="1:20" x14ac:dyDescent="0.25">
      <c r="A284" t="s">
        <v>6513</v>
      </c>
      <c r="B284">
        <v>-17.73</v>
      </c>
      <c r="C284">
        <v>771</v>
      </c>
      <c r="D284">
        <v>22.38666667</v>
      </c>
      <c r="E284">
        <v>18.875</v>
      </c>
      <c r="F284">
        <v>26.138333329999998</v>
      </c>
      <c r="G284">
        <v>1.7675000000000001</v>
      </c>
      <c r="H284">
        <v>2.5000000000000001E-2</v>
      </c>
      <c r="I284">
        <v>3.1783333329999999</v>
      </c>
      <c r="J284">
        <v>5328.3666670000002</v>
      </c>
      <c r="K284">
        <v>4807.6458329999996</v>
      </c>
      <c r="L284">
        <v>5994.8958329999996</v>
      </c>
      <c r="M284">
        <v>15.3025</v>
      </c>
      <c r="N284">
        <v>14.115</v>
      </c>
      <c r="O284">
        <v>16.508333329999999</v>
      </c>
      <c r="Q284" t="s">
        <v>322</v>
      </c>
      <c r="R284" t="s">
        <v>9415</v>
      </c>
      <c r="S284" t="s">
        <v>9065</v>
      </c>
      <c r="T284" t="s">
        <v>9066</v>
      </c>
    </row>
    <row r="285" spans="1:20" x14ac:dyDescent="0.25">
      <c r="A285" t="s">
        <v>9416</v>
      </c>
      <c r="B285">
        <v>-17.72</v>
      </c>
      <c r="C285">
        <v>772.9</v>
      </c>
      <c r="D285">
        <v>23.233333330000001</v>
      </c>
      <c r="E285">
        <v>19.436666670000001</v>
      </c>
      <c r="F285">
        <v>27.305</v>
      </c>
      <c r="G285">
        <v>1.5608333329999999</v>
      </c>
      <c r="H285">
        <v>0.27250000000000002</v>
      </c>
      <c r="I285">
        <v>2.516666667</v>
      </c>
      <c r="J285">
        <v>5488.63</v>
      </c>
      <c r="K285">
        <v>4980.4791670000004</v>
      </c>
      <c r="L285">
        <v>6206.875</v>
      </c>
      <c r="M285">
        <v>14.88666667</v>
      </c>
      <c r="N285">
        <v>13.53333333</v>
      </c>
      <c r="O285">
        <v>16.675000000000001</v>
      </c>
      <c r="Q285" t="s">
        <v>322</v>
      </c>
      <c r="R285" t="s">
        <v>9415</v>
      </c>
      <c r="S285" t="s">
        <v>9058</v>
      </c>
      <c r="T285" t="s">
        <v>9061</v>
      </c>
    </row>
    <row r="286" spans="1:20" x14ac:dyDescent="0.25">
      <c r="A286" t="s">
        <v>6521</v>
      </c>
      <c r="B286">
        <v>-14.47</v>
      </c>
      <c r="C286">
        <v>583</v>
      </c>
      <c r="D286">
        <v>24.31666667</v>
      </c>
      <c r="E286">
        <v>21.3</v>
      </c>
      <c r="F286">
        <v>27.271666669999998</v>
      </c>
      <c r="G286">
        <v>1.964166667</v>
      </c>
      <c r="H286">
        <v>1.0249999999999999</v>
      </c>
      <c r="I286">
        <v>2.6833333330000002</v>
      </c>
      <c r="J286">
        <v>5255.8774999999996</v>
      </c>
      <c r="K286">
        <v>4745.75</v>
      </c>
      <c r="L286">
        <v>5924.3125</v>
      </c>
      <c r="M286">
        <v>15.85916667</v>
      </c>
      <c r="N286">
        <v>14.50666667</v>
      </c>
      <c r="O286">
        <v>17.286666669999999</v>
      </c>
      <c r="Q286" t="s">
        <v>322</v>
      </c>
      <c r="R286" t="s">
        <v>9417</v>
      </c>
      <c r="S286" t="s">
        <v>9065</v>
      </c>
      <c r="T286" t="s">
        <v>9066</v>
      </c>
    </row>
    <row r="287" spans="1:20" x14ac:dyDescent="0.25">
      <c r="A287" t="s">
        <v>6507</v>
      </c>
      <c r="B287">
        <v>-16.96</v>
      </c>
      <c r="C287">
        <v>678</v>
      </c>
      <c r="D287">
        <v>24.001666669999999</v>
      </c>
      <c r="E287">
        <v>20.77333333</v>
      </c>
      <c r="F287">
        <v>27.184999999999999</v>
      </c>
      <c r="G287">
        <v>1.6158333330000001</v>
      </c>
      <c r="H287">
        <v>0.68333333299999999</v>
      </c>
      <c r="I287">
        <v>2.3166666669999998</v>
      </c>
      <c r="J287">
        <v>4993.33</v>
      </c>
      <c r="K287">
        <v>4473.4583329999996</v>
      </c>
      <c r="L287">
        <v>5742.1666670000004</v>
      </c>
      <c r="M287">
        <v>15.579166669999999</v>
      </c>
      <c r="N287">
        <v>14.27166667</v>
      </c>
      <c r="O287">
        <v>17.018333330000001</v>
      </c>
      <c r="Q287" t="s">
        <v>322</v>
      </c>
      <c r="R287" t="s">
        <v>9418</v>
      </c>
      <c r="S287" t="s">
        <v>9065</v>
      </c>
      <c r="T287" t="s">
        <v>9066</v>
      </c>
    </row>
    <row r="288" spans="1:20" x14ac:dyDescent="0.25">
      <c r="A288" t="s">
        <v>9419</v>
      </c>
      <c r="B288">
        <v>-16.96</v>
      </c>
      <c r="C288">
        <v>679.5</v>
      </c>
      <c r="D288">
        <v>24.51583333</v>
      </c>
      <c r="E288">
        <v>21.355</v>
      </c>
      <c r="F288">
        <v>27.848333329999999</v>
      </c>
      <c r="G288">
        <v>0.97166666700000004</v>
      </c>
      <c r="H288">
        <v>0.17333333300000001</v>
      </c>
      <c r="I288">
        <v>1.56</v>
      </c>
      <c r="J288">
        <v>5504.9941669999998</v>
      </c>
      <c r="K288">
        <v>5025.0208329999996</v>
      </c>
      <c r="L288">
        <v>6212.6458329999996</v>
      </c>
      <c r="M288">
        <v>15.31833333</v>
      </c>
      <c r="N288">
        <v>14.13166667</v>
      </c>
      <c r="O288">
        <v>16.95333333</v>
      </c>
      <c r="Q288" t="s">
        <v>322</v>
      </c>
      <c r="R288" t="s">
        <v>9418</v>
      </c>
      <c r="S288" t="s">
        <v>9058</v>
      </c>
      <c r="T288" t="s">
        <v>9061</v>
      </c>
    </row>
    <row r="289" spans="1:20" x14ac:dyDescent="0.25">
      <c r="A289" t="s">
        <v>6533</v>
      </c>
      <c r="B289">
        <v>-17.309999999999999</v>
      </c>
      <c r="C289">
        <v>752</v>
      </c>
      <c r="D289">
        <v>22.947500000000002</v>
      </c>
      <c r="E289">
        <v>19.696666669999999</v>
      </c>
      <c r="F289">
        <v>26.32</v>
      </c>
      <c r="G289">
        <v>1.2791666669999999</v>
      </c>
      <c r="H289">
        <v>0.241666667</v>
      </c>
      <c r="I289">
        <v>2.0133333329999998</v>
      </c>
      <c r="J289">
        <v>5263.5974999999999</v>
      </c>
      <c r="K289">
        <v>4542.8333329999996</v>
      </c>
      <c r="L289">
        <v>6163.4583329999996</v>
      </c>
      <c r="M289">
        <v>16.675000000000001</v>
      </c>
      <c r="N289">
        <v>15.623333329999999</v>
      </c>
      <c r="O289">
        <v>18.063333329999999</v>
      </c>
      <c r="Q289" t="s">
        <v>322</v>
      </c>
      <c r="R289" t="s">
        <v>9420</v>
      </c>
      <c r="S289" t="s">
        <v>9065</v>
      </c>
      <c r="T289" t="s">
        <v>9066</v>
      </c>
    </row>
    <row r="290" spans="1:20" x14ac:dyDescent="0.25">
      <c r="A290" t="s">
        <v>9421</v>
      </c>
      <c r="B290">
        <v>-17.3</v>
      </c>
      <c r="C290">
        <v>753.5</v>
      </c>
      <c r="D290">
        <v>23.500833329999999</v>
      </c>
      <c r="E290">
        <v>19.765000000000001</v>
      </c>
      <c r="F290">
        <v>27.25333333</v>
      </c>
      <c r="G290">
        <v>0.60333333300000003</v>
      </c>
      <c r="H290">
        <v>8.3333330000000001E-3</v>
      </c>
      <c r="I290">
        <v>0.91666666699999999</v>
      </c>
      <c r="J290">
        <v>5535.1424999999999</v>
      </c>
      <c r="K290">
        <v>5086.2083329999996</v>
      </c>
      <c r="L290">
        <v>6187.125</v>
      </c>
      <c r="M290">
        <v>15.096666669999999</v>
      </c>
      <c r="N290">
        <v>13.573333330000001</v>
      </c>
      <c r="O290">
        <v>16.815000000000001</v>
      </c>
      <c r="Q290" t="s">
        <v>322</v>
      </c>
      <c r="R290" t="s">
        <v>9420</v>
      </c>
      <c r="S290" t="s">
        <v>9058</v>
      </c>
      <c r="T290" t="s">
        <v>9061</v>
      </c>
    </row>
    <row r="291" spans="1:20" x14ac:dyDescent="0.25">
      <c r="A291" t="s">
        <v>6520</v>
      </c>
      <c r="B291">
        <v>-14.09</v>
      </c>
      <c r="C291">
        <v>834</v>
      </c>
      <c r="D291">
        <v>24.447500000000002</v>
      </c>
      <c r="E291">
        <v>21.643333330000001</v>
      </c>
      <c r="F291">
        <v>27.17</v>
      </c>
      <c r="G291">
        <v>2.1625000000000001</v>
      </c>
      <c r="H291">
        <v>1.371666667</v>
      </c>
      <c r="I291">
        <v>2.9016666670000002</v>
      </c>
      <c r="J291">
        <v>5367.3424999999997</v>
      </c>
      <c r="K291">
        <v>4635.5208329999996</v>
      </c>
      <c r="L291">
        <v>6193.3958329999996</v>
      </c>
      <c r="M291">
        <v>15.536666670000001</v>
      </c>
      <c r="N291">
        <v>13.856666669999999</v>
      </c>
      <c r="O291">
        <v>17.50416667</v>
      </c>
      <c r="Q291" t="s">
        <v>322</v>
      </c>
      <c r="R291" t="s">
        <v>9422</v>
      </c>
      <c r="S291" t="s">
        <v>9065</v>
      </c>
      <c r="T291" t="s">
        <v>9066</v>
      </c>
    </row>
    <row r="292" spans="1:20" x14ac:dyDescent="0.25">
      <c r="A292" t="s">
        <v>9423</v>
      </c>
      <c r="B292">
        <v>-14.09</v>
      </c>
      <c r="C292">
        <v>835.5</v>
      </c>
      <c r="D292">
        <v>25.2225</v>
      </c>
      <c r="E292">
        <v>22.85</v>
      </c>
      <c r="F292">
        <v>27.493333329999999</v>
      </c>
      <c r="G292">
        <v>2.0233333330000001</v>
      </c>
      <c r="H292">
        <v>0.86499999999999999</v>
      </c>
      <c r="I292">
        <v>2.9683333329999999</v>
      </c>
      <c r="J292">
        <v>5832.55</v>
      </c>
      <c r="K292">
        <v>5323.6041670000004</v>
      </c>
      <c r="L292">
        <v>6472.2708329999996</v>
      </c>
      <c r="M292">
        <v>15.49</v>
      </c>
      <c r="N292">
        <v>14.15</v>
      </c>
      <c r="O292">
        <v>16.983333330000001</v>
      </c>
      <c r="Q292" t="s">
        <v>322</v>
      </c>
      <c r="R292" t="s">
        <v>9422</v>
      </c>
      <c r="S292" t="s">
        <v>9058</v>
      </c>
      <c r="T292" t="s">
        <v>9059</v>
      </c>
    </row>
    <row r="293" spans="1:20" x14ac:dyDescent="0.25">
      <c r="A293" t="s">
        <v>9424</v>
      </c>
      <c r="B293">
        <v>-14.09</v>
      </c>
      <c r="C293">
        <v>835.5</v>
      </c>
      <c r="D293">
        <v>24.6325</v>
      </c>
      <c r="E293">
        <v>21.74</v>
      </c>
      <c r="F293">
        <v>27.335000000000001</v>
      </c>
      <c r="G293">
        <v>1.9483333329999999</v>
      </c>
      <c r="H293">
        <v>1.05</v>
      </c>
      <c r="I293">
        <v>2.6583333329999999</v>
      </c>
      <c r="J293">
        <v>5680.3016669999997</v>
      </c>
      <c r="K293">
        <v>5095.4166670000004</v>
      </c>
      <c r="L293">
        <v>6303.625</v>
      </c>
      <c r="M293">
        <v>15.01166667</v>
      </c>
      <c r="N293">
        <v>13.606666669999999</v>
      </c>
      <c r="O293">
        <v>16.811666670000001</v>
      </c>
      <c r="Q293" t="s">
        <v>322</v>
      </c>
      <c r="R293" t="s">
        <v>9422</v>
      </c>
      <c r="S293" t="s">
        <v>9058</v>
      </c>
      <c r="T293" t="s">
        <v>9061</v>
      </c>
    </row>
    <row r="294" spans="1:20" x14ac:dyDescent="0.25">
      <c r="A294" t="s">
        <v>6526</v>
      </c>
      <c r="B294">
        <v>-17.8</v>
      </c>
      <c r="C294">
        <v>782</v>
      </c>
      <c r="D294">
        <v>22.804166670000001</v>
      </c>
      <c r="E294">
        <v>19.75</v>
      </c>
      <c r="F294">
        <v>25.83</v>
      </c>
      <c r="G294">
        <v>2.0758333329999998</v>
      </c>
      <c r="H294">
        <v>1.1333333329999999</v>
      </c>
      <c r="I294">
        <v>2.8666666670000001</v>
      </c>
      <c r="J294">
        <v>5007.1000000000004</v>
      </c>
      <c r="K294">
        <v>4479.6041670000004</v>
      </c>
      <c r="L294">
        <v>5759.8333329999996</v>
      </c>
      <c r="M294">
        <v>15.1975</v>
      </c>
      <c r="N294">
        <v>13.79166667</v>
      </c>
      <c r="O294">
        <v>16.783333330000001</v>
      </c>
      <c r="Q294" t="s">
        <v>322</v>
      </c>
      <c r="R294" t="s">
        <v>9425</v>
      </c>
      <c r="S294" t="s">
        <v>9065</v>
      </c>
      <c r="T294" t="s">
        <v>9066</v>
      </c>
    </row>
    <row r="295" spans="1:20" x14ac:dyDescent="0.25">
      <c r="A295" t="s">
        <v>9426</v>
      </c>
      <c r="B295">
        <v>-17.79</v>
      </c>
      <c r="C295">
        <v>783.5</v>
      </c>
      <c r="D295">
        <v>23.734999999999999</v>
      </c>
      <c r="E295">
        <v>21.13</v>
      </c>
      <c r="F295">
        <v>26.301666669999999</v>
      </c>
      <c r="G295">
        <v>1.65</v>
      </c>
      <c r="H295">
        <v>0.72499999999999998</v>
      </c>
      <c r="I295">
        <v>2.41</v>
      </c>
      <c r="J295">
        <v>5551.6125000000002</v>
      </c>
      <c r="K295">
        <v>4929.6666670000004</v>
      </c>
      <c r="L295">
        <v>6370.0625</v>
      </c>
      <c r="M295">
        <v>16.580833330000001</v>
      </c>
      <c r="N295">
        <v>14.983333330000001</v>
      </c>
      <c r="O295">
        <v>18.341666669999999</v>
      </c>
      <c r="Q295" t="s">
        <v>322</v>
      </c>
      <c r="R295" t="s">
        <v>9425</v>
      </c>
      <c r="S295" t="s">
        <v>9058</v>
      </c>
      <c r="T295" t="s">
        <v>9059</v>
      </c>
    </row>
    <row r="296" spans="1:20" x14ac:dyDescent="0.25">
      <c r="A296" t="s">
        <v>9427</v>
      </c>
      <c r="B296">
        <v>-17.79</v>
      </c>
      <c r="C296">
        <v>783.5</v>
      </c>
      <c r="D296">
        <v>23.548333329999998</v>
      </c>
      <c r="E296">
        <v>20.439166669999999</v>
      </c>
      <c r="F296">
        <v>26.638333329999998</v>
      </c>
      <c r="G296">
        <v>1.879166667</v>
      </c>
      <c r="H296">
        <v>1.1558333329999999</v>
      </c>
      <c r="I296">
        <v>2.4350000000000001</v>
      </c>
      <c r="J296">
        <v>5487.1258330000001</v>
      </c>
      <c r="K296">
        <v>4951.8958329999996</v>
      </c>
      <c r="L296">
        <v>6195.0625</v>
      </c>
      <c r="M296">
        <v>15.599166670000001</v>
      </c>
      <c r="N296">
        <v>14.38833333</v>
      </c>
      <c r="O296">
        <v>16.869166669999998</v>
      </c>
      <c r="Q296" t="s">
        <v>322</v>
      </c>
      <c r="R296" t="s">
        <v>9425</v>
      </c>
      <c r="S296" t="s">
        <v>9058</v>
      </c>
      <c r="T296" t="s">
        <v>9061</v>
      </c>
    </row>
    <row r="297" spans="1:20" x14ac:dyDescent="0.25">
      <c r="A297" t="s">
        <v>6541</v>
      </c>
      <c r="B297">
        <v>-18.989999999999998</v>
      </c>
      <c r="C297">
        <v>489</v>
      </c>
      <c r="D297">
        <v>23.991666670000001</v>
      </c>
      <c r="E297">
        <v>20.905000000000001</v>
      </c>
      <c r="F297">
        <v>27.053333330000001</v>
      </c>
      <c r="G297">
        <v>2.1033333330000001</v>
      </c>
      <c r="H297">
        <v>0.33333333300000001</v>
      </c>
      <c r="I297">
        <v>3.4133333330000002</v>
      </c>
      <c r="J297">
        <v>4851.03</v>
      </c>
      <c r="K297">
        <v>4125.2916670000004</v>
      </c>
      <c r="L297">
        <v>5733.5625</v>
      </c>
      <c r="M297">
        <v>17.767499999999998</v>
      </c>
      <c r="N297">
        <v>16.506666670000001</v>
      </c>
      <c r="O297">
        <v>19.301666669999999</v>
      </c>
      <c r="Q297" t="s">
        <v>322</v>
      </c>
      <c r="R297" t="s">
        <v>9428</v>
      </c>
      <c r="S297" t="s">
        <v>9065</v>
      </c>
      <c r="T297" t="s">
        <v>9066</v>
      </c>
    </row>
    <row r="298" spans="1:20" x14ac:dyDescent="0.25">
      <c r="A298" t="s">
        <v>9429</v>
      </c>
      <c r="B298">
        <v>-18.97</v>
      </c>
      <c r="C298">
        <v>490</v>
      </c>
      <c r="D298">
        <v>25.053333330000001</v>
      </c>
      <c r="E298">
        <v>21.725000000000001</v>
      </c>
      <c r="F298">
        <v>28.416666670000001</v>
      </c>
      <c r="G298">
        <v>1.518333333</v>
      </c>
      <c r="H298">
        <v>0.63166666699999996</v>
      </c>
      <c r="I298">
        <v>2.141666667</v>
      </c>
      <c r="J298">
        <v>5589.5516669999997</v>
      </c>
      <c r="K298">
        <v>5213.6666670000004</v>
      </c>
      <c r="L298">
        <v>6296.5416670000004</v>
      </c>
      <c r="M298">
        <v>15.987500000000001</v>
      </c>
      <c r="N298">
        <v>14.505000000000001</v>
      </c>
      <c r="O298">
        <v>18.019166670000001</v>
      </c>
      <c r="Q298" t="s">
        <v>322</v>
      </c>
      <c r="R298" t="s">
        <v>9428</v>
      </c>
      <c r="S298" t="s">
        <v>9058</v>
      </c>
      <c r="T298" t="s">
        <v>9061</v>
      </c>
    </row>
    <row r="299" spans="1:20" x14ac:dyDescent="0.25">
      <c r="A299" t="s">
        <v>9430</v>
      </c>
      <c r="B299">
        <v>-16.68</v>
      </c>
      <c r="C299">
        <v>950.5</v>
      </c>
      <c r="D299">
        <v>22.420833330000001</v>
      </c>
      <c r="E299">
        <v>19.07833333</v>
      </c>
      <c r="F299">
        <v>25.786666669999999</v>
      </c>
      <c r="G299">
        <v>1.1575</v>
      </c>
      <c r="H299">
        <v>0.53333333299999997</v>
      </c>
      <c r="I299">
        <v>1.61</v>
      </c>
      <c r="J299">
        <v>5595.7341669999996</v>
      </c>
      <c r="K299">
        <v>5187.4583329999996</v>
      </c>
      <c r="L299">
        <v>6258.25</v>
      </c>
      <c r="M299">
        <v>14.49</v>
      </c>
      <c r="N299">
        <v>13.09416667</v>
      </c>
      <c r="O299">
        <v>16.2</v>
      </c>
      <c r="Q299" t="s">
        <v>322</v>
      </c>
      <c r="R299" t="s">
        <v>9431</v>
      </c>
      <c r="S299" t="s">
        <v>9058</v>
      </c>
      <c r="T299" t="s">
        <v>9061</v>
      </c>
    </row>
    <row r="300" spans="1:20" x14ac:dyDescent="0.25">
      <c r="A300" t="s">
        <v>9432</v>
      </c>
      <c r="B300">
        <v>-9.11</v>
      </c>
      <c r="C300">
        <v>282.5</v>
      </c>
      <c r="D300">
        <v>26.787500000000001</v>
      </c>
      <c r="E300">
        <v>23.256666670000001</v>
      </c>
      <c r="F300">
        <v>30.471666670000001</v>
      </c>
      <c r="G300">
        <v>1.4550000000000001</v>
      </c>
      <c r="H300">
        <v>0.69166666700000001</v>
      </c>
      <c r="I300">
        <v>2.0833333330000001</v>
      </c>
      <c r="J300">
        <v>5767.7366670000001</v>
      </c>
      <c r="K300">
        <v>5352.7291670000004</v>
      </c>
      <c r="L300">
        <v>6328.3125</v>
      </c>
      <c r="M300">
        <v>18.12833333</v>
      </c>
      <c r="N300">
        <v>16.923333329999998</v>
      </c>
      <c r="O300">
        <v>19.559999999999999</v>
      </c>
      <c r="Q300" t="s">
        <v>328</v>
      </c>
      <c r="R300" t="s">
        <v>9433</v>
      </c>
      <c r="S300" t="s">
        <v>9058</v>
      </c>
      <c r="T300" t="s">
        <v>9061</v>
      </c>
    </row>
    <row r="301" spans="1:20" x14ac:dyDescent="0.25">
      <c r="A301" t="s">
        <v>6645</v>
      </c>
      <c r="B301">
        <v>-9.11</v>
      </c>
      <c r="C301">
        <v>281</v>
      </c>
      <c r="D301">
        <v>25.744166669999998</v>
      </c>
      <c r="E301">
        <v>22.265000000000001</v>
      </c>
      <c r="F301">
        <v>29.155000000000001</v>
      </c>
      <c r="G301">
        <v>0.91583333300000003</v>
      </c>
      <c r="H301">
        <v>6.6666666999999999E-2</v>
      </c>
      <c r="I301">
        <v>1.55</v>
      </c>
      <c r="J301">
        <v>4818.143333</v>
      </c>
      <c r="K301">
        <v>4106.5833329999996</v>
      </c>
      <c r="L301">
        <v>5708.0208329999996</v>
      </c>
      <c r="M301">
        <v>19.84</v>
      </c>
      <c r="N301">
        <v>18.914999999999999</v>
      </c>
      <c r="O301">
        <v>20.984999999999999</v>
      </c>
      <c r="Q301" t="s">
        <v>328</v>
      </c>
      <c r="R301" t="s">
        <v>9434</v>
      </c>
      <c r="S301" t="s">
        <v>9065</v>
      </c>
      <c r="T301" t="s">
        <v>9066</v>
      </c>
    </row>
    <row r="302" spans="1:20" x14ac:dyDescent="0.25">
      <c r="A302" t="s">
        <v>6640</v>
      </c>
      <c r="B302">
        <v>-4.24</v>
      </c>
      <c r="C302">
        <v>28</v>
      </c>
      <c r="D302">
        <v>27.270833329999999</v>
      </c>
      <c r="E302">
        <v>24.49</v>
      </c>
      <c r="F302">
        <v>30.21166667</v>
      </c>
      <c r="G302">
        <v>1.3374999999999999</v>
      </c>
      <c r="H302">
        <v>0.43333333299999999</v>
      </c>
      <c r="I302">
        <v>2.0533333329999999</v>
      </c>
      <c r="J302">
        <v>4976.7124999999996</v>
      </c>
      <c r="K302">
        <v>4563.5416670000004</v>
      </c>
      <c r="L302">
        <v>5547.9583329999996</v>
      </c>
      <c r="M302">
        <v>21.9025</v>
      </c>
      <c r="N302">
        <v>21.04</v>
      </c>
      <c r="O302">
        <v>22.93333333</v>
      </c>
      <c r="Q302" t="s">
        <v>328</v>
      </c>
      <c r="R302" t="s">
        <v>9435</v>
      </c>
      <c r="S302" t="s">
        <v>9065</v>
      </c>
      <c r="T302" t="s">
        <v>9066</v>
      </c>
    </row>
    <row r="303" spans="1:20" x14ac:dyDescent="0.25">
      <c r="A303" t="s">
        <v>9436</v>
      </c>
      <c r="B303">
        <v>-4.25</v>
      </c>
      <c r="C303">
        <v>29.5</v>
      </c>
      <c r="D303">
        <v>28.74583333</v>
      </c>
      <c r="E303">
        <v>26.438333329999999</v>
      </c>
      <c r="F303">
        <v>31.234999999999999</v>
      </c>
      <c r="G303">
        <v>1.2408333330000001</v>
      </c>
      <c r="H303">
        <v>0.491666667</v>
      </c>
      <c r="I303">
        <v>1.743333333</v>
      </c>
      <c r="J303">
        <v>5854.455833</v>
      </c>
      <c r="K303">
        <v>5447.625</v>
      </c>
      <c r="L303">
        <v>6455.8958329999996</v>
      </c>
      <c r="M303">
        <v>23.07833333</v>
      </c>
      <c r="N303">
        <v>22.313333329999999</v>
      </c>
      <c r="O303">
        <v>24</v>
      </c>
      <c r="Q303" t="s">
        <v>328</v>
      </c>
      <c r="R303" t="s">
        <v>9435</v>
      </c>
      <c r="S303" t="s">
        <v>9058</v>
      </c>
      <c r="T303" t="s">
        <v>9059</v>
      </c>
    </row>
    <row r="304" spans="1:20" x14ac:dyDescent="0.25">
      <c r="A304" t="s">
        <v>9437</v>
      </c>
      <c r="B304">
        <v>-4.25</v>
      </c>
      <c r="C304">
        <v>29.5</v>
      </c>
      <c r="D304">
        <v>27.94166667</v>
      </c>
      <c r="E304">
        <v>25.364999999999998</v>
      </c>
      <c r="F304">
        <v>30.344999999999999</v>
      </c>
      <c r="G304">
        <v>1.6791666670000001</v>
      </c>
      <c r="H304">
        <v>1.0149999999999999</v>
      </c>
      <c r="I304">
        <v>2.2416666670000001</v>
      </c>
      <c r="J304">
        <v>5288.1083330000001</v>
      </c>
      <c r="K304">
        <v>4888.4791670000004</v>
      </c>
      <c r="L304">
        <v>5897.8958329999996</v>
      </c>
      <c r="M304">
        <v>22.766666669999999</v>
      </c>
      <c r="N304">
        <v>21.966666669999999</v>
      </c>
      <c r="O304">
        <v>23.66</v>
      </c>
      <c r="Q304" t="s">
        <v>328</v>
      </c>
      <c r="R304" t="s">
        <v>9435</v>
      </c>
      <c r="S304" t="s">
        <v>9058</v>
      </c>
      <c r="T304" t="s">
        <v>9061</v>
      </c>
    </row>
    <row r="305" spans="1:20" x14ac:dyDescent="0.25">
      <c r="A305" t="s">
        <v>6650</v>
      </c>
      <c r="B305">
        <v>-7.46</v>
      </c>
      <c r="C305">
        <v>254</v>
      </c>
      <c r="D305">
        <v>25.945833329999999</v>
      </c>
      <c r="E305">
        <v>22.706666670000001</v>
      </c>
      <c r="F305">
        <v>29.196666669999999</v>
      </c>
      <c r="G305">
        <v>1.598333333</v>
      </c>
      <c r="H305">
        <v>0.30499999999999999</v>
      </c>
      <c r="I305">
        <v>2.4916666670000001</v>
      </c>
      <c r="J305">
        <v>5269.7833330000003</v>
      </c>
      <c r="K305">
        <v>4643.8333329999996</v>
      </c>
      <c r="L305">
        <v>6094.0416670000004</v>
      </c>
      <c r="M305">
        <v>20.248333330000001</v>
      </c>
      <c r="N305">
        <v>19.43333333</v>
      </c>
      <c r="O305">
        <v>21.241666670000001</v>
      </c>
      <c r="Q305" t="s">
        <v>328</v>
      </c>
      <c r="R305" t="s">
        <v>9438</v>
      </c>
      <c r="S305" t="s">
        <v>9065</v>
      </c>
      <c r="T305" t="s">
        <v>9066</v>
      </c>
    </row>
    <row r="306" spans="1:20" x14ac:dyDescent="0.25">
      <c r="A306" t="s">
        <v>9439</v>
      </c>
      <c r="B306">
        <v>-7.05</v>
      </c>
      <c r="C306">
        <v>225.5</v>
      </c>
      <c r="D306">
        <v>26.795833330000001</v>
      </c>
      <c r="E306">
        <v>23.081666670000001</v>
      </c>
      <c r="F306">
        <v>30.6</v>
      </c>
      <c r="G306">
        <v>1.181666667</v>
      </c>
      <c r="H306">
        <v>0.258333333</v>
      </c>
      <c r="I306">
        <v>1.835</v>
      </c>
      <c r="J306">
        <v>5661.4441669999997</v>
      </c>
      <c r="K306">
        <v>5175.5416670000004</v>
      </c>
      <c r="L306">
        <v>6311.1041670000004</v>
      </c>
      <c r="M306">
        <v>18.690000000000001</v>
      </c>
      <c r="N306">
        <v>17.416666670000001</v>
      </c>
      <c r="O306">
        <v>20.100000000000001</v>
      </c>
      <c r="Q306" t="s">
        <v>328</v>
      </c>
      <c r="R306" t="s">
        <v>9438</v>
      </c>
      <c r="S306" t="s">
        <v>9058</v>
      </c>
      <c r="T306" t="s">
        <v>9061</v>
      </c>
    </row>
    <row r="307" spans="1:20" x14ac:dyDescent="0.25">
      <c r="A307" t="s">
        <v>6654</v>
      </c>
      <c r="B307">
        <v>-5.51</v>
      </c>
      <c r="C307">
        <v>153</v>
      </c>
      <c r="D307">
        <v>26.28166667</v>
      </c>
      <c r="E307">
        <v>23.341666669999999</v>
      </c>
      <c r="F307">
        <v>29.23833333</v>
      </c>
      <c r="G307">
        <v>1.3975</v>
      </c>
      <c r="H307">
        <v>0.61083333299999998</v>
      </c>
      <c r="I307">
        <v>2.028333333</v>
      </c>
      <c r="J307">
        <v>4955.4316669999998</v>
      </c>
      <c r="K307">
        <v>4376.6875</v>
      </c>
      <c r="L307">
        <v>5667.3541670000004</v>
      </c>
      <c r="M307">
        <v>21.12083333</v>
      </c>
      <c r="N307">
        <v>20.373333330000001</v>
      </c>
      <c r="O307">
        <v>21.97666667</v>
      </c>
      <c r="Q307" t="s">
        <v>328</v>
      </c>
      <c r="R307" t="s">
        <v>9440</v>
      </c>
      <c r="S307" t="s">
        <v>9065</v>
      </c>
      <c r="T307" t="s">
        <v>9066</v>
      </c>
    </row>
    <row r="308" spans="1:20" x14ac:dyDescent="0.25">
      <c r="A308" t="s">
        <v>9441</v>
      </c>
      <c r="B308">
        <v>-5.51</v>
      </c>
      <c r="C308">
        <v>154.5</v>
      </c>
      <c r="D308">
        <v>27.674166670000002</v>
      </c>
      <c r="E308">
        <v>25.091666669999999</v>
      </c>
      <c r="F308">
        <v>30.248333330000001</v>
      </c>
      <c r="G308">
        <v>1.2091666670000001</v>
      </c>
      <c r="H308">
        <v>0.45666666700000003</v>
      </c>
      <c r="I308">
        <v>1.7</v>
      </c>
      <c r="J308">
        <v>5812.1625000000004</v>
      </c>
      <c r="K308">
        <v>5458.9791670000004</v>
      </c>
      <c r="L308">
        <v>6374.5416670000004</v>
      </c>
      <c r="M308">
        <v>20.939166669999999</v>
      </c>
      <c r="N308">
        <v>19.84</v>
      </c>
      <c r="O308">
        <v>22.051666669999999</v>
      </c>
      <c r="Q308" t="s">
        <v>328</v>
      </c>
      <c r="R308" t="s">
        <v>9440</v>
      </c>
      <c r="S308" t="s">
        <v>9058</v>
      </c>
      <c r="T308" t="s">
        <v>9059</v>
      </c>
    </row>
    <row r="309" spans="1:20" x14ac:dyDescent="0.25">
      <c r="A309" t="s">
        <v>9442</v>
      </c>
      <c r="B309">
        <v>-5.51</v>
      </c>
      <c r="C309">
        <v>154.5</v>
      </c>
      <c r="D309">
        <v>27.30833333</v>
      </c>
      <c r="E309">
        <v>24.265000000000001</v>
      </c>
      <c r="F309">
        <v>30.189166669999999</v>
      </c>
      <c r="G309">
        <v>1.5325</v>
      </c>
      <c r="H309">
        <v>0.84166666700000003</v>
      </c>
      <c r="I309">
        <v>2.1</v>
      </c>
      <c r="J309">
        <v>5266.85</v>
      </c>
      <c r="K309">
        <v>4805.0833329999996</v>
      </c>
      <c r="L309">
        <v>5868.3125</v>
      </c>
      <c r="M309">
        <v>20.776666670000001</v>
      </c>
      <c r="N309">
        <v>19.783333330000001</v>
      </c>
      <c r="O309">
        <v>21.978333330000002</v>
      </c>
      <c r="Q309" t="s">
        <v>328</v>
      </c>
      <c r="R309" t="s">
        <v>9440</v>
      </c>
      <c r="S309" t="s">
        <v>9058</v>
      </c>
      <c r="T309" t="s">
        <v>9061</v>
      </c>
    </row>
    <row r="310" spans="1:20" x14ac:dyDescent="0.25">
      <c r="A310" t="s">
        <v>6643</v>
      </c>
      <c r="B310">
        <v>-4.32</v>
      </c>
      <c r="C310">
        <v>175</v>
      </c>
      <c r="D310">
        <v>26.19083333</v>
      </c>
      <c r="E310">
        <v>23.62</v>
      </c>
      <c r="F310">
        <v>28.844999999999999</v>
      </c>
      <c r="G310">
        <v>2.2091666669999999</v>
      </c>
      <c r="H310">
        <v>1.108333333</v>
      </c>
      <c r="I310">
        <v>3.1166666670000001</v>
      </c>
      <c r="J310">
        <v>4608.8100000000004</v>
      </c>
      <c r="K310">
        <v>4119.6666670000004</v>
      </c>
      <c r="L310">
        <v>5121.4375</v>
      </c>
      <c r="M310">
        <v>20.89833333</v>
      </c>
      <c r="N310">
        <v>20.225000000000001</v>
      </c>
      <c r="O310">
        <v>21.695</v>
      </c>
      <c r="Q310" t="s">
        <v>328</v>
      </c>
      <c r="R310" t="s">
        <v>9443</v>
      </c>
      <c r="S310" t="s">
        <v>9065</v>
      </c>
      <c r="T310" t="s">
        <v>9066</v>
      </c>
    </row>
    <row r="311" spans="1:20" x14ac:dyDescent="0.25">
      <c r="A311" t="s">
        <v>9444</v>
      </c>
      <c r="B311">
        <v>-4.32</v>
      </c>
      <c r="C311">
        <v>176.5</v>
      </c>
      <c r="D311">
        <v>26.754999999999999</v>
      </c>
      <c r="E311">
        <v>23.94166667</v>
      </c>
      <c r="F311">
        <v>29.678333330000001</v>
      </c>
      <c r="G311">
        <v>2.128333333</v>
      </c>
      <c r="H311">
        <v>1.2483333329999999</v>
      </c>
      <c r="I311">
        <v>2.891666667</v>
      </c>
      <c r="J311">
        <v>5069.3708329999999</v>
      </c>
      <c r="K311">
        <v>4573.4375</v>
      </c>
      <c r="L311">
        <v>5589.75</v>
      </c>
      <c r="M311">
        <v>20.40666667</v>
      </c>
      <c r="N311">
        <v>19.047499999999999</v>
      </c>
      <c r="O311">
        <v>21.87083333</v>
      </c>
      <c r="Q311" t="s">
        <v>328</v>
      </c>
      <c r="R311" t="s">
        <v>9443</v>
      </c>
      <c r="S311" t="s">
        <v>9058</v>
      </c>
      <c r="T311" t="s">
        <v>9061</v>
      </c>
    </row>
    <row r="312" spans="1:20" x14ac:dyDescent="0.25">
      <c r="A312" t="s">
        <v>6675</v>
      </c>
      <c r="B312">
        <v>-7.34</v>
      </c>
      <c r="C312">
        <v>192</v>
      </c>
      <c r="D312">
        <v>26.576666670000002</v>
      </c>
      <c r="E312">
        <v>23.7</v>
      </c>
      <c r="F312">
        <v>29.414999999999999</v>
      </c>
      <c r="G312">
        <v>0.99333333300000004</v>
      </c>
      <c r="H312">
        <v>2.5000000000000001E-2</v>
      </c>
      <c r="I312">
        <v>1.7250000000000001</v>
      </c>
      <c r="J312">
        <v>4889.4016670000001</v>
      </c>
      <c r="K312">
        <v>4362.8333329999996</v>
      </c>
      <c r="L312">
        <v>5623.3541670000004</v>
      </c>
      <c r="M312">
        <v>20.875833329999999</v>
      </c>
      <c r="N312">
        <v>19.956666670000001</v>
      </c>
      <c r="O312">
        <v>21.868333329999999</v>
      </c>
      <c r="Q312" t="s">
        <v>328</v>
      </c>
      <c r="R312" t="s">
        <v>9445</v>
      </c>
      <c r="S312" t="s">
        <v>9065</v>
      </c>
      <c r="T312" t="s">
        <v>9066</v>
      </c>
    </row>
    <row r="313" spans="1:20" x14ac:dyDescent="0.25">
      <c r="A313" t="s">
        <v>9446</v>
      </c>
      <c r="B313">
        <v>-7.34</v>
      </c>
      <c r="C313">
        <v>193.5</v>
      </c>
      <c r="D313">
        <v>28.348333329999999</v>
      </c>
      <c r="E313">
        <v>26.356666669999999</v>
      </c>
      <c r="F313">
        <v>30.396666669999998</v>
      </c>
      <c r="G313">
        <v>1.5733333329999999</v>
      </c>
      <c r="H313">
        <v>0.875</v>
      </c>
      <c r="I313">
        <v>2.108333333</v>
      </c>
      <c r="J313">
        <v>5676.8891670000003</v>
      </c>
      <c r="K313">
        <v>5246.9375</v>
      </c>
      <c r="L313">
        <v>6336.8958329999996</v>
      </c>
      <c r="M313">
        <v>22.06666667</v>
      </c>
      <c r="N313">
        <v>21.19166667</v>
      </c>
      <c r="O313">
        <v>22.928333330000001</v>
      </c>
      <c r="Q313" t="s">
        <v>328</v>
      </c>
      <c r="R313" t="s">
        <v>9445</v>
      </c>
      <c r="S313" t="s">
        <v>9058</v>
      </c>
      <c r="T313" t="s">
        <v>9059</v>
      </c>
    </row>
    <row r="314" spans="1:20" x14ac:dyDescent="0.25">
      <c r="A314" t="s">
        <v>9447</v>
      </c>
      <c r="B314">
        <v>-7.34</v>
      </c>
      <c r="C314">
        <v>193.5</v>
      </c>
      <c r="D314">
        <v>27.36</v>
      </c>
      <c r="E314">
        <v>24.563333329999999</v>
      </c>
      <c r="F314">
        <v>29.965</v>
      </c>
      <c r="G314">
        <v>1.471666667</v>
      </c>
      <c r="H314">
        <v>0.90833333299999997</v>
      </c>
      <c r="I314">
        <v>1.8833333329999999</v>
      </c>
      <c r="J314">
        <v>5373.3683330000003</v>
      </c>
      <c r="K314">
        <v>4946.6458329999996</v>
      </c>
      <c r="L314">
        <v>5905.8125</v>
      </c>
      <c r="M314">
        <v>20.954999999999998</v>
      </c>
      <c r="N314">
        <v>20.091666669999999</v>
      </c>
      <c r="O314">
        <v>21.96</v>
      </c>
      <c r="Q314" t="s">
        <v>328</v>
      </c>
      <c r="R314" t="s">
        <v>9445</v>
      </c>
      <c r="S314" t="s">
        <v>9058</v>
      </c>
      <c r="T314" t="s">
        <v>9061</v>
      </c>
    </row>
    <row r="315" spans="1:20" x14ac:dyDescent="0.25">
      <c r="A315" t="s">
        <v>9448</v>
      </c>
      <c r="B315">
        <v>-7.32</v>
      </c>
      <c r="C315">
        <v>172.2</v>
      </c>
      <c r="D315">
        <v>25.072500000000002</v>
      </c>
      <c r="E315">
        <v>19.695</v>
      </c>
      <c r="F315">
        <v>30.82</v>
      </c>
      <c r="G315">
        <v>1.4325000000000001</v>
      </c>
      <c r="H315">
        <v>0.75</v>
      </c>
      <c r="I315">
        <v>1.9266666670000001</v>
      </c>
      <c r="J315">
        <v>5620.0358329999999</v>
      </c>
      <c r="K315">
        <v>5129.2083329999996</v>
      </c>
      <c r="L315">
        <v>6285.375</v>
      </c>
      <c r="M315">
        <v>21.008333329999999</v>
      </c>
      <c r="N315">
        <v>18.735833329999998</v>
      </c>
      <c r="O315">
        <v>23.733333330000001</v>
      </c>
      <c r="Q315" t="s">
        <v>328</v>
      </c>
      <c r="R315" t="s">
        <v>9449</v>
      </c>
      <c r="S315" t="s">
        <v>9058</v>
      </c>
      <c r="T315" t="s">
        <v>9059</v>
      </c>
    </row>
    <row r="316" spans="1:20" x14ac:dyDescent="0.25">
      <c r="A316" t="s">
        <v>9450</v>
      </c>
      <c r="B316">
        <v>-7.32</v>
      </c>
      <c r="C316">
        <v>172.2</v>
      </c>
      <c r="D316">
        <v>27.66333333</v>
      </c>
      <c r="E316">
        <v>24.208333329999999</v>
      </c>
      <c r="F316">
        <v>31.26583333</v>
      </c>
      <c r="G316">
        <v>1.663333333</v>
      </c>
      <c r="H316">
        <v>1.1483333330000001</v>
      </c>
      <c r="I316">
        <v>2.0950000000000002</v>
      </c>
      <c r="J316">
        <v>5401.36</v>
      </c>
      <c r="K316">
        <v>4981.6666670000004</v>
      </c>
      <c r="L316">
        <v>5961.625</v>
      </c>
      <c r="M316">
        <v>21.251666669999999</v>
      </c>
      <c r="N316">
        <v>20.2</v>
      </c>
      <c r="O316">
        <v>22.375</v>
      </c>
      <c r="Q316" t="s">
        <v>328</v>
      </c>
      <c r="R316" t="s">
        <v>9449</v>
      </c>
      <c r="S316" t="s">
        <v>9058</v>
      </c>
      <c r="T316" t="s">
        <v>9061</v>
      </c>
    </row>
    <row r="317" spans="1:20" x14ac:dyDescent="0.25">
      <c r="A317" t="s">
        <v>6638</v>
      </c>
      <c r="B317">
        <v>-4.82</v>
      </c>
      <c r="C317">
        <v>76</v>
      </c>
      <c r="D317">
        <v>26.374166670000001</v>
      </c>
      <c r="E317">
        <v>23.293333329999999</v>
      </c>
      <c r="F317">
        <v>29.73</v>
      </c>
      <c r="G317">
        <v>1.1341666669999999</v>
      </c>
      <c r="H317">
        <v>0.43333333299999999</v>
      </c>
      <c r="I317">
        <v>1.7166666669999999</v>
      </c>
      <c r="J317">
        <v>5127.7916670000004</v>
      </c>
      <c r="K317">
        <v>4589.5833329999996</v>
      </c>
      <c r="L317">
        <v>5793.25</v>
      </c>
      <c r="M317">
        <v>21.3675</v>
      </c>
      <c r="N317">
        <v>20.177499999999998</v>
      </c>
      <c r="O317">
        <v>22.483333330000001</v>
      </c>
      <c r="Q317" t="s">
        <v>328</v>
      </c>
      <c r="R317" t="s">
        <v>9451</v>
      </c>
      <c r="S317" t="s">
        <v>9065</v>
      </c>
      <c r="T317" t="s">
        <v>9066</v>
      </c>
    </row>
    <row r="318" spans="1:20" x14ac:dyDescent="0.25">
      <c r="A318" t="s">
        <v>9452</v>
      </c>
      <c r="B318">
        <v>-4.87</v>
      </c>
      <c r="C318">
        <v>77.5</v>
      </c>
      <c r="D318">
        <v>29.085000000000001</v>
      </c>
      <c r="E318">
        <v>26.98</v>
      </c>
      <c r="F318">
        <v>31.23833333</v>
      </c>
      <c r="G318">
        <v>1.0974999999999999</v>
      </c>
      <c r="H318">
        <v>0</v>
      </c>
      <c r="I318">
        <v>1.9750000000000001</v>
      </c>
      <c r="J318">
        <v>5983.4433330000002</v>
      </c>
      <c r="K318">
        <v>5557.8541670000004</v>
      </c>
      <c r="L318">
        <v>6491.5416670000004</v>
      </c>
      <c r="M318">
        <v>21.71833333</v>
      </c>
      <c r="N318">
        <v>20.765000000000001</v>
      </c>
      <c r="O318">
        <v>22.751666669999999</v>
      </c>
      <c r="Q318" t="s">
        <v>328</v>
      </c>
      <c r="R318" t="s">
        <v>9451</v>
      </c>
      <c r="S318" t="s">
        <v>9058</v>
      </c>
      <c r="T318" t="s">
        <v>9059</v>
      </c>
    </row>
    <row r="319" spans="1:20" x14ac:dyDescent="0.25">
      <c r="A319" t="s">
        <v>9453</v>
      </c>
      <c r="B319">
        <v>-4.87</v>
      </c>
      <c r="C319">
        <v>77.5</v>
      </c>
      <c r="D319">
        <v>27.985833329999998</v>
      </c>
      <c r="E319">
        <v>25.258333329999999</v>
      </c>
      <c r="F319">
        <v>30.403333329999999</v>
      </c>
      <c r="G319">
        <v>1.8049999999999999</v>
      </c>
      <c r="H319">
        <v>1.141666667</v>
      </c>
      <c r="I319">
        <v>2.3666666670000001</v>
      </c>
      <c r="J319">
        <v>5426.8575000000001</v>
      </c>
      <c r="K319">
        <v>4995.8958329999996</v>
      </c>
      <c r="L319">
        <v>6009.8958329999996</v>
      </c>
      <c r="M319">
        <v>21.445</v>
      </c>
      <c r="N319">
        <v>20.37166667</v>
      </c>
      <c r="O319">
        <v>22.684999999999999</v>
      </c>
      <c r="Q319" t="s">
        <v>328</v>
      </c>
      <c r="R319" t="s">
        <v>9451</v>
      </c>
      <c r="S319" t="s">
        <v>9058</v>
      </c>
      <c r="T319" t="s">
        <v>9061</v>
      </c>
    </row>
    <row r="320" spans="1:20" x14ac:dyDescent="0.25">
      <c r="A320" t="s">
        <v>6634</v>
      </c>
      <c r="B320">
        <v>-3.74</v>
      </c>
      <c r="C320">
        <v>91</v>
      </c>
      <c r="D320">
        <v>26.888333329999998</v>
      </c>
      <c r="E320">
        <v>23.971666670000001</v>
      </c>
      <c r="F320">
        <v>29.86333333</v>
      </c>
      <c r="G320">
        <v>1.755833333</v>
      </c>
      <c r="H320">
        <v>1.056666667</v>
      </c>
      <c r="I320">
        <v>2.3416666670000001</v>
      </c>
      <c r="J320">
        <v>5339.4258330000002</v>
      </c>
      <c r="K320">
        <v>4864.8541670000004</v>
      </c>
      <c r="L320">
        <v>6007.8541670000004</v>
      </c>
      <c r="M320">
        <v>21.464166670000001</v>
      </c>
      <c r="N320">
        <v>20.716666669999999</v>
      </c>
      <c r="O320">
        <v>22.383333329999999</v>
      </c>
      <c r="Q320" t="s">
        <v>328</v>
      </c>
      <c r="R320" t="s">
        <v>9454</v>
      </c>
      <c r="S320" t="s">
        <v>9065</v>
      </c>
      <c r="T320" t="s">
        <v>9066</v>
      </c>
    </row>
    <row r="321" spans="1:20" x14ac:dyDescent="0.25">
      <c r="A321" t="s">
        <v>9455</v>
      </c>
      <c r="B321">
        <v>-3.73</v>
      </c>
      <c r="C321">
        <v>92.5</v>
      </c>
      <c r="D321">
        <v>27.78916667</v>
      </c>
      <c r="E321">
        <v>24.856666669999999</v>
      </c>
      <c r="F321">
        <v>30.853333330000002</v>
      </c>
      <c r="G321">
        <v>2.0408333330000001</v>
      </c>
      <c r="H321">
        <v>1.3</v>
      </c>
      <c r="I321">
        <v>2.6850000000000001</v>
      </c>
      <c r="J321">
        <v>5376.2691670000004</v>
      </c>
      <c r="K321">
        <v>4867.6458329999996</v>
      </c>
      <c r="L321">
        <v>5980.2083329999996</v>
      </c>
      <c r="M321">
        <v>21.412500000000001</v>
      </c>
      <c r="N321">
        <v>20.44166667</v>
      </c>
      <c r="O321">
        <v>22.6</v>
      </c>
      <c r="Q321" t="s">
        <v>328</v>
      </c>
      <c r="R321" t="s">
        <v>9454</v>
      </c>
      <c r="S321" t="s">
        <v>9058</v>
      </c>
      <c r="T321" t="s">
        <v>9061</v>
      </c>
    </row>
    <row r="322" spans="1:20" x14ac:dyDescent="0.25">
      <c r="A322" t="s">
        <v>6668</v>
      </c>
      <c r="B322">
        <v>-6.03</v>
      </c>
      <c r="C322">
        <v>179</v>
      </c>
      <c r="D322">
        <v>26.052499999999998</v>
      </c>
      <c r="E322">
        <v>22.89</v>
      </c>
      <c r="F322">
        <v>29.295000000000002</v>
      </c>
      <c r="G322">
        <v>1.153333333</v>
      </c>
      <c r="H322">
        <v>0.17499999999999999</v>
      </c>
      <c r="I322">
        <v>1.885</v>
      </c>
      <c r="J322">
        <v>4765.3091670000003</v>
      </c>
      <c r="K322">
        <v>4264.875</v>
      </c>
      <c r="L322">
        <v>5468.25</v>
      </c>
      <c r="M322">
        <v>20.794166669999999</v>
      </c>
      <c r="N322">
        <v>19.981666669999999</v>
      </c>
      <c r="O322">
        <v>21.693333330000002</v>
      </c>
      <c r="Q322" t="s">
        <v>328</v>
      </c>
      <c r="R322" t="s">
        <v>9456</v>
      </c>
      <c r="S322" t="s">
        <v>9065</v>
      </c>
      <c r="T322" t="s">
        <v>9066</v>
      </c>
    </row>
    <row r="323" spans="1:20" x14ac:dyDescent="0.25">
      <c r="A323" t="s">
        <v>9457</v>
      </c>
      <c r="B323">
        <v>-6.03</v>
      </c>
      <c r="C323">
        <v>180.5</v>
      </c>
      <c r="D323">
        <v>27.077500000000001</v>
      </c>
      <c r="E323">
        <v>23.866666670000001</v>
      </c>
      <c r="F323">
        <v>30.263333329999998</v>
      </c>
      <c r="G323">
        <v>1.308333333</v>
      </c>
      <c r="H323">
        <v>0.41666666699999999</v>
      </c>
      <c r="I323">
        <v>2</v>
      </c>
      <c r="J323">
        <v>5340.4133330000004</v>
      </c>
      <c r="K323">
        <v>4935.2083329999996</v>
      </c>
      <c r="L323">
        <v>5905.25</v>
      </c>
      <c r="M323">
        <v>19.1675</v>
      </c>
      <c r="N323">
        <v>18.100000000000001</v>
      </c>
      <c r="O323">
        <v>20.418333329999999</v>
      </c>
      <c r="Q323" t="s">
        <v>328</v>
      </c>
      <c r="R323" t="s">
        <v>9456</v>
      </c>
      <c r="S323" t="s">
        <v>9058</v>
      </c>
      <c r="T323" t="s">
        <v>9061</v>
      </c>
    </row>
    <row r="324" spans="1:20" x14ac:dyDescent="0.25">
      <c r="A324" t="s">
        <v>6672</v>
      </c>
      <c r="B324">
        <v>-6.65</v>
      </c>
      <c r="C324">
        <v>180</v>
      </c>
      <c r="D324">
        <v>25.84333333</v>
      </c>
      <c r="E324">
        <v>22.241666670000001</v>
      </c>
      <c r="F324">
        <v>29.646666669999998</v>
      </c>
      <c r="G324">
        <v>1.329166667</v>
      </c>
      <c r="H324">
        <v>0.05</v>
      </c>
      <c r="I324">
        <v>2.1583333329999999</v>
      </c>
      <c r="J324">
        <v>4974.9183329999996</v>
      </c>
      <c r="K324">
        <v>4480.8333329999996</v>
      </c>
      <c r="L324">
        <v>5682.5416670000004</v>
      </c>
      <c r="M324">
        <v>20.574999999999999</v>
      </c>
      <c r="N324">
        <v>19.548333329999998</v>
      </c>
      <c r="O324">
        <v>21.743333329999999</v>
      </c>
      <c r="Q324" t="s">
        <v>328</v>
      </c>
      <c r="R324" t="s">
        <v>9458</v>
      </c>
      <c r="S324" t="s">
        <v>9065</v>
      </c>
      <c r="T324" t="s">
        <v>9066</v>
      </c>
    </row>
    <row r="325" spans="1:20" x14ac:dyDescent="0.25">
      <c r="A325" t="s">
        <v>9459</v>
      </c>
      <c r="B325">
        <v>-6.65</v>
      </c>
      <c r="C325">
        <v>181.5</v>
      </c>
      <c r="D325">
        <v>26.364999999999998</v>
      </c>
      <c r="E325">
        <v>22.855833329999999</v>
      </c>
      <c r="F325">
        <v>29.991666670000001</v>
      </c>
      <c r="G325">
        <v>1.180833333</v>
      </c>
      <c r="H325">
        <v>0.366666667</v>
      </c>
      <c r="I325">
        <v>1.8016666670000001</v>
      </c>
      <c r="J325">
        <v>5256.06</v>
      </c>
      <c r="K325">
        <v>4878.1875</v>
      </c>
      <c r="L325">
        <v>5845.9166670000004</v>
      </c>
      <c r="M325">
        <v>20.74666667</v>
      </c>
      <c r="N325">
        <v>19.739999999999998</v>
      </c>
      <c r="O325">
        <v>21.795000000000002</v>
      </c>
      <c r="Q325" t="s">
        <v>328</v>
      </c>
      <c r="R325" t="s">
        <v>9458</v>
      </c>
      <c r="S325" t="s">
        <v>9058</v>
      </c>
      <c r="T325" t="s">
        <v>9061</v>
      </c>
    </row>
    <row r="326" spans="1:20" x14ac:dyDescent="0.25">
      <c r="A326" t="s">
        <v>6655</v>
      </c>
      <c r="B326">
        <v>-2.59</v>
      </c>
      <c r="C326">
        <v>0</v>
      </c>
      <c r="D326">
        <v>27.494166669999998</v>
      </c>
      <c r="E326">
        <v>26.373333330000001</v>
      </c>
      <c r="F326">
        <v>28.688333329999999</v>
      </c>
      <c r="G326">
        <v>3.2850000000000001</v>
      </c>
      <c r="H326">
        <v>2.5833333330000001</v>
      </c>
      <c r="I326">
        <v>3.9750000000000001</v>
      </c>
      <c r="J326">
        <v>5140.0924999999997</v>
      </c>
      <c r="K326">
        <v>4602.4375</v>
      </c>
      <c r="L326">
        <v>5902.8541670000004</v>
      </c>
      <c r="M326">
        <v>23.17166667</v>
      </c>
      <c r="N326">
        <v>22.81666667</v>
      </c>
      <c r="O326">
        <v>23.583333329999999</v>
      </c>
      <c r="Q326" t="s">
        <v>328</v>
      </c>
      <c r="R326" t="s">
        <v>9460</v>
      </c>
      <c r="S326" t="s">
        <v>9065</v>
      </c>
      <c r="T326" t="s">
        <v>9066</v>
      </c>
    </row>
    <row r="327" spans="1:20" x14ac:dyDescent="0.25">
      <c r="A327" t="s">
        <v>6697</v>
      </c>
      <c r="B327">
        <v>-2.27</v>
      </c>
      <c r="C327">
        <v>0</v>
      </c>
      <c r="D327">
        <v>27.352499999999999</v>
      </c>
      <c r="E327">
        <v>26.258333329999999</v>
      </c>
      <c r="F327">
        <v>28.493333329999999</v>
      </c>
      <c r="G327">
        <v>3.2833333329999999</v>
      </c>
      <c r="H327">
        <v>2.6633333330000002</v>
      </c>
      <c r="I327">
        <v>3.9166666669999999</v>
      </c>
      <c r="J327">
        <v>5499.0283330000002</v>
      </c>
      <c r="K327">
        <v>4902.1666670000004</v>
      </c>
      <c r="L327">
        <v>6330.0208329999996</v>
      </c>
      <c r="M327">
        <v>23.032499999999999</v>
      </c>
      <c r="N327">
        <v>22.698333330000001</v>
      </c>
      <c r="O327">
        <v>23.416666670000001</v>
      </c>
      <c r="Q327" t="s">
        <v>328</v>
      </c>
      <c r="R327" t="s">
        <v>9461</v>
      </c>
      <c r="S327" t="s">
        <v>9065</v>
      </c>
      <c r="T327" t="s">
        <v>9066</v>
      </c>
    </row>
    <row r="328" spans="1:20" x14ac:dyDescent="0.25">
      <c r="A328" t="s">
        <v>6649</v>
      </c>
      <c r="B328">
        <v>-5.82</v>
      </c>
      <c r="C328">
        <v>230</v>
      </c>
      <c r="D328">
        <v>26.125</v>
      </c>
      <c r="E328">
        <v>23.15666667</v>
      </c>
      <c r="F328">
        <v>29.013333329999998</v>
      </c>
      <c r="G328">
        <v>1.5625</v>
      </c>
      <c r="H328">
        <v>0.75</v>
      </c>
      <c r="I328">
        <v>2.2599999999999998</v>
      </c>
      <c r="J328">
        <v>4780.67</v>
      </c>
      <c r="K328">
        <v>4346.4791670000004</v>
      </c>
      <c r="L328">
        <v>5459.5833329999996</v>
      </c>
      <c r="M328">
        <v>20.733333330000001</v>
      </c>
      <c r="N328">
        <v>20.033333330000001</v>
      </c>
      <c r="O328">
        <v>21.551666669999999</v>
      </c>
      <c r="Q328" t="s">
        <v>328</v>
      </c>
      <c r="R328" t="s">
        <v>9462</v>
      </c>
      <c r="S328" t="s">
        <v>9065</v>
      </c>
      <c r="T328" t="s">
        <v>9066</v>
      </c>
    </row>
    <row r="329" spans="1:20" x14ac:dyDescent="0.25">
      <c r="A329" t="s">
        <v>9463</v>
      </c>
      <c r="B329">
        <v>-5.82</v>
      </c>
      <c r="C329">
        <v>231.5</v>
      </c>
      <c r="D329">
        <v>27.36</v>
      </c>
      <c r="E329">
        <v>24.46833333</v>
      </c>
      <c r="F329">
        <v>30.028333329999999</v>
      </c>
      <c r="G329">
        <v>1.9566666669999999</v>
      </c>
      <c r="H329">
        <v>1.391666667</v>
      </c>
      <c r="I329">
        <v>2.4333333330000002</v>
      </c>
      <c r="J329">
        <v>5324.8183330000002</v>
      </c>
      <c r="K329">
        <v>4809.4583329999996</v>
      </c>
      <c r="L329">
        <v>5964.6041670000004</v>
      </c>
      <c r="M329">
        <v>20.040833330000002</v>
      </c>
      <c r="N329">
        <v>19.006666670000001</v>
      </c>
      <c r="O329">
        <v>21.216666669999999</v>
      </c>
      <c r="Q329" t="s">
        <v>328</v>
      </c>
      <c r="R329" t="s">
        <v>9462</v>
      </c>
      <c r="S329" t="s">
        <v>9058</v>
      </c>
      <c r="T329" t="s">
        <v>9061</v>
      </c>
    </row>
    <row r="330" spans="1:20" x14ac:dyDescent="0.25">
      <c r="A330" t="s">
        <v>9464</v>
      </c>
      <c r="B330">
        <v>-5.53</v>
      </c>
      <c r="C330">
        <v>131.4</v>
      </c>
      <c r="D330">
        <v>27.709166669999998</v>
      </c>
      <c r="E330">
        <v>24.491666670000001</v>
      </c>
      <c r="F330">
        <v>30.916666670000001</v>
      </c>
      <c r="G330">
        <v>1.6758333329999999</v>
      </c>
      <c r="H330">
        <v>0.48333333299999998</v>
      </c>
      <c r="I330">
        <v>2.5449999999999999</v>
      </c>
      <c r="J330">
        <v>5485.73</v>
      </c>
      <c r="K330">
        <v>4951.8958329999996</v>
      </c>
      <c r="L330">
        <v>6199.8958329999996</v>
      </c>
      <c r="M330">
        <v>22.555</v>
      </c>
      <c r="N330">
        <v>21.813333329999999</v>
      </c>
      <c r="O330">
        <v>23.391666669999999</v>
      </c>
      <c r="Q330" t="s">
        <v>328</v>
      </c>
      <c r="R330" t="s">
        <v>9465</v>
      </c>
      <c r="S330" t="s">
        <v>9058</v>
      </c>
      <c r="T330" t="s">
        <v>9059</v>
      </c>
    </row>
    <row r="331" spans="1:20" x14ac:dyDescent="0.25">
      <c r="A331" t="s">
        <v>9466</v>
      </c>
      <c r="B331">
        <v>-5.53</v>
      </c>
      <c r="C331">
        <v>131.4</v>
      </c>
      <c r="D331">
        <v>27.69916667</v>
      </c>
      <c r="E331">
        <v>24.416666670000001</v>
      </c>
      <c r="F331">
        <v>31</v>
      </c>
      <c r="G331">
        <v>1.7350000000000001</v>
      </c>
      <c r="H331">
        <v>0.49833333299999999</v>
      </c>
      <c r="I331">
        <v>2.6850000000000001</v>
      </c>
      <c r="J331">
        <v>5306.9608330000001</v>
      </c>
      <c r="K331">
        <v>4869.375</v>
      </c>
      <c r="L331">
        <v>5894.625</v>
      </c>
      <c r="M331">
        <v>22.293333329999999</v>
      </c>
      <c r="N331">
        <v>21.475000000000001</v>
      </c>
      <c r="O331">
        <v>23.22666667</v>
      </c>
      <c r="Q331" t="s">
        <v>328</v>
      </c>
      <c r="R331" t="s">
        <v>9465</v>
      </c>
      <c r="S331" t="s">
        <v>9058</v>
      </c>
      <c r="T331" t="s">
        <v>9061</v>
      </c>
    </row>
    <row r="332" spans="1:20" x14ac:dyDescent="0.25">
      <c r="A332" t="s">
        <v>6669</v>
      </c>
      <c r="B332">
        <v>-5.56</v>
      </c>
      <c r="C332">
        <v>126</v>
      </c>
      <c r="D332">
        <v>26.885000000000002</v>
      </c>
      <c r="E332">
        <v>23.891666669999999</v>
      </c>
      <c r="F332">
        <v>29.914999999999999</v>
      </c>
      <c r="G332">
        <v>1.25</v>
      </c>
      <c r="H332">
        <v>7.3333333000000001E-2</v>
      </c>
      <c r="I332">
        <v>2.0233333330000001</v>
      </c>
      <c r="J332">
        <v>4739.6991669999998</v>
      </c>
      <c r="K332">
        <v>4294.6666670000004</v>
      </c>
      <c r="L332">
        <v>5359.0416670000004</v>
      </c>
      <c r="M332">
        <v>21.30083333</v>
      </c>
      <c r="N332">
        <v>20.623333330000001</v>
      </c>
      <c r="O332">
        <v>22.133333329999999</v>
      </c>
      <c r="Q332" t="s">
        <v>328</v>
      </c>
      <c r="R332" t="s">
        <v>9467</v>
      </c>
      <c r="S332" t="s">
        <v>9065</v>
      </c>
      <c r="T332" t="s">
        <v>9066</v>
      </c>
    </row>
    <row r="333" spans="1:20" x14ac:dyDescent="0.25">
      <c r="A333" t="s">
        <v>9468</v>
      </c>
      <c r="B333">
        <v>-5.56</v>
      </c>
      <c r="C333">
        <v>127.5</v>
      </c>
      <c r="D333">
        <v>27.344999999999999</v>
      </c>
      <c r="E333">
        <v>24.081666670000001</v>
      </c>
      <c r="F333">
        <v>30.785</v>
      </c>
      <c r="G333">
        <v>0.72499999999999998</v>
      </c>
      <c r="H333">
        <v>1.6666667E-2</v>
      </c>
      <c r="I333">
        <v>1.266666667</v>
      </c>
      <c r="J333">
        <v>5283.6925000000001</v>
      </c>
      <c r="K333">
        <v>4844.25</v>
      </c>
      <c r="L333">
        <v>5839.5833329999996</v>
      </c>
      <c r="M333">
        <v>20.29666667</v>
      </c>
      <c r="N333">
        <v>19.085000000000001</v>
      </c>
      <c r="O333">
        <v>21.568333330000002</v>
      </c>
      <c r="Q333" t="s">
        <v>328</v>
      </c>
      <c r="R333" t="s">
        <v>9467</v>
      </c>
      <c r="S333" t="s">
        <v>9058</v>
      </c>
      <c r="T333" t="s">
        <v>9061</v>
      </c>
    </row>
    <row r="334" spans="1:20" x14ac:dyDescent="0.25">
      <c r="A334" t="s">
        <v>9469</v>
      </c>
      <c r="B334">
        <v>-2.6</v>
      </c>
      <c r="C334">
        <v>1.6</v>
      </c>
      <c r="D334">
        <v>27.35</v>
      </c>
      <c r="E334">
        <v>26.166666670000001</v>
      </c>
      <c r="F334">
        <v>28.526666670000001</v>
      </c>
      <c r="G334">
        <v>2.7491666669999999</v>
      </c>
      <c r="H334">
        <v>2.0666666669999998</v>
      </c>
      <c r="I334">
        <v>3.3933333330000002</v>
      </c>
      <c r="J334">
        <v>5499.2291670000004</v>
      </c>
      <c r="K334">
        <v>5061.4166670000004</v>
      </c>
      <c r="L334">
        <v>6004</v>
      </c>
      <c r="M334">
        <v>22.229166670000001</v>
      </c>
      <c r="N334">
        <v>21.831666670000001</v>
      </c>
      <c r="O334">
        <v>22.76</v>
      </c>
      <c r="Q334" t="s">
        <v>328</v>
      </c>
      <c r="R334" t="s">
        <v>9470</v>
      </c>
      <c r="S334" t="s">
        <v>9058</v>
      </c>
      <c r="T334" t="s">
        <v>9061</v>
      </c>
    </row>
    <row r="335" spans="1:20" x14ac:dyDescent="0.25">
      <c r="A335" t="s">
        <v>9471</v>
      </c>
      <c r="B335">
        <v>-2.58</v>
      </c>
      <c r="C335">
        <v>54.3</v>
      </c>
      <c r="D335">
        <v>27.479166670000001</v>
      </c>
      <c r="E335">
        <v>25.74</v>
      </c>
      <c r="F335">
        <v>29.15</v>
      </c>
      <c r="G335">
        <v>4.1941666670000002</v>
      </c>
      <c r="H335">
        <v>2.7566666670000002</v>
      </c>
      <c r="I335">
        <v>5.3833333330000004</v>
      </c>
      <c r="J335">
        <v>5391.1391670000003</v>
      </c>
      <c r="K335">
        <v>4873.6666670000004</v>
      </c>
      <c r="L335">
        <v>6076.6458329999996</v>
      </c>
      <c r="M335">
        <v>22.619166669999998</v>
      </c>
      <c r="N335">
        <v>22.19166667</v>
      </c>
      <c r="O335">
        <v>23.09333333</v>
      </c>
      <c r="Q335" t="s">
        <v>328</v>
      </c>
      <c r="R335" t="s">
        <v>9472</v>
      </c>
      <c r="S335" t="s">
        <v>9058</v>
      </c>
      <c r="T335" t="s">
        <v>9059</v>
      </c>
    </row>
    <row r="336" spans="1:20" x14ac:dyDescent="0.25">
      <c r="A336" t="s">
        <v>9473</v>
      </c>
      <c r="B336">
        <v>-2.58</v>
      </c>
      <c r="C336">
        <v>54.3</v>
      </c>
      <c r="D336">
        <v>27.571666669999999</v>
      </c>
      <c r="E336">
        <v>26.03166667</v>
      </c>
      <c r="F336">
        <v>29.18333333</v>
      </c>
      <c r="G336">
        <v>4.1183333329999998</v>
      </c>
      <c r="H336">
        <v>2.8149999999999999</v>
      </c>
      <c r="I336">
        <v>5.3166666669999998</v>
      </c>
      <c r="J336">
        <v>5402.21</v>
      </c>
      <c r="K336">
        <v>5006.4583329999996</v>
      </c>
      <c r="L336">
        <v>5851.4583329999996</v>
      </c>
      <c r="M336">
        <v>22.284166670000001</v>
      </c>
      <c r="N336">
        <v>21.839166670000001</v>
      </c>
      <c r="O336">
        <v>22.80833333</v>
      </c>
      <c r="Q336" t="s">
        <v>328</v>
      </c>
      <c r="R336" t="s">
        <v>9472</v>
      </c>
      <c r="S336" t="s">
        <v>9058</v>
      </c>
      <c r="T336" t="s">
        <v>9061</v>
      </c>
    </row>
    <row r="337" spans="1:20" x14ac:dyDescent="0.25">
      <c r="A337" t="s">
        <v>6636</v>
      </c>
      <c r="B337">
        <v>-2.5299999999999998</v>
      </c>
      <c r="C337">
        <v>56</v>
      </c>
      <c r="D337">
        <v>26.749166670000001</v>
      </c>
      <c r="E337">
        <v>24.981666669999999</v>
      </c>
      <c r="F337">
        <v>28.56</v>
      </c>
      <c r="G337">
        <v>2.0874999999999999</v>
      </c>
      <c r="H337">
        <v>1.1983333329999999</v>
      </c>
      <c r="I337">
        <v>2.9616666669999998</v>
      </c>
      <c r="J337">
        <v>5154.2658330000004</v>
      </c>
      <c r="K337">
        <v>4637.3125</v>
      </c>
      <c r="L337">
        <v>5823.7291670000004</v>
      </c>
      <c r="M337">
        <v>23.249166670000001</v>
      </c>
      <c r="N337">
        <v>22.873333330000001</v>
      </c>
      <c r="O337">
        <v>23.701666670000002</v>
      </c>
      <c r="Q337" t="s">
        <v>328</v>
      </c>
      <c r="R337" t="s">
        <v>9474</v>
      </c>
      <c r="S337" t="s">
        <v>9065</v>
      </c>
      <c r="T337" t="s">
        <v>9066</v>
      </c>
    </row>
    <row r="338" spans="1:20" x14ac:dyDescent="0.25">
      <c r="A338" t="s">
        <v>9475</v>
      </c>
      <c r="B338">
        <v>-2.5299999999999998</v>
      </c>
      <c r="C338">
        <v>57.5</v>
      </c>
      <c r="D338">
        <v>26.952500000000001</v>
      </c>
      <c r="E338">
        <v>25.5</v>
      </c>
      <c r="F338">
        <v>28.443333330000002</v>
      </c>
      <c r="G338">
        <v>2.3083333330000002</v>
      </c>
      <c r="H338">
        <v>1.4583333329999999</v>
      </c>
      <c r="I338">
        <v>3.1166666670000001</v>
      </c>
      <c r="J338">
        <v>5327.4408329999997</v>
      </c>
      <c r="K338">
        <v>4941.375</v>
      </c>
      <c r="L338">
        <v>5822.8541670000004</v>
      </c>
      <c r="M338">
        <v>23.25</v>
      </c>
      <c r="N338">
        <v>22.858333330000001</v>
      </c>
      <c r="O338">
        <v>23.716666669999999</v>
      </c>
      <c r="Q338" t="s">
        <v>328</v>
      </c>
      <c r="R338" t="s">
        <v>9474</v>
      </c>
      <c r="S338" t="s">
        <v>9058</v>
      </c>
      <c r="T338" t="s">
        <v>9061</v>
      </c>
    </row>
    <row r="339" spans="1:20" x14ac:dyDescent="0.25">
      <c r="A339" t="s">
        <v>9476</v>
      </c>
      <c r="B339">
        <v>-1.66</v>
      </c>
      <c r="C339">
        <v>42.5</v>
      </c>
      <c r="D339">
        <v>27.272500000000001</v>
      </c>
      <c r="E339">
        <v>25.78</v>
      </c>
      <c r="F339">
        <v>28.66</v>
      </c>
      <c r="G339">
        <v>2.2266666669999999</v>
      </c>
      <c r="H339">
        <v>0.79166666699999999</v>
      </c>
      <c r="I339">
        <v>3.4024999999999999</v>
      </c>
      <c r="J339">
        <v>5230.0866669999996</v>
      </c>
      <c r="K339">
        <v>4577.6666670000004</v>
      </c>
      <c r="L339">
        <v>5965.7916670000004</v>
      </c>
      <c r="M339">
        <v>23.44</v>
      </c>
      <c r="N339">
        <v>22.966666669999999</v>
      </c>
      <c r="O339">
        <v>23.958333329999999</v>
      </c>
      <c r="Q339" t="s">
        <v>328</v>
      </c>
      <c r="R339" t="s">
        <v>9477</v>
      </c>
      <c r="S339" t="s">
        <v>9058</v>
      </c>
      <c r="T339" t="s">
        <v>9059</v>
      </c>
    </row>
    <row r="340" spans="1:20" x14ac:dyDescent="0.25">
      <c r="A340" t="s">
        <v>9478</v>
      </c>
      <c r="B340">
        <v>-1.66</v>
      </c>
      <c r="C340">
        <v>42.5</v>
      </c>
      <c r="D340">
        <v>26.958333329999999</v>
      </c>
      <c r="E340">
        <v>24.981666669999999</v>
      </c>
      <c r="F340">
        <v>28.793333329999999</v>
      </c>
      <c r="G340">
        <v>2.7549999999999999</v>
      </c>
      <c r="H340">
        <v>2.0416666669999999</v>
      </c>
      <c r="I340">
        <v>3.3666666670000001</v>
      </c>
      <c r="J340">
        <v>4978.8133330000001</v>
      </c>
      <c r="K340">
        <v>4553.9166670000004</v>
      </c>
      <c r="L340">
        <v>5515.3958329999996</v>
      </c>
      <c r="M340">
        <v>23.256666670000001</v>
      </c>
      <c r="N340">
        <v>22.766666669999999</v>
      </c>
      <c r="O340">
        <v>23.824999999999999</v>
      </c>
      <c r="Q340" t="s">
        <v>328</v>
      </c>
      <c r="R340" t="s">
        <v>9477</v>
      </c>
      <c r="S340" t="s">
        <v>9058</v>
      </c>
      <c r="T340" t="s">
        <v>9061</v>
      </c>
    </row>
    <row r="341" spans="1:20" x14ac:dyDescent="0.25">
      <c r="A341" t="s">
        <v>6647</v>
      </c>
      <c r="B341">
        <v>-1.66</v>
      </c>
      <c r="C341">
        <v>41</v>
      </c>
      <c r="D341">
        <v>26.52</v>
      </c>
      <c r="E341">
        <v>24.813333329999999</v>
      </c>
      <c r="F341">
        <v>28.181666669999998</v>
      </c>
      <c r="G341">
        <v>2.8283333329999998</v>
      </c>
      <c r="H341">
        <v>1.9083333330000001</v>
      </c>
      <c r="I341">
        <v>3.6749999999999998</v>
      </c>
      <c r="J341">
        <v>4634.0583329999999</v>
      </c>
      <c r="K341">
        <v>3955.729167</v>
      </c>
      <c r="L341">
        <v>5419.75</v>
      </c>
      <c r="M341">
        <v>22.981666669999999</v>
      </c>
      <c r="N341">
        <v>22.56666667</v>
      </c>
      <c r="O341">
        <v>23.483333330000001</v>
      </c>
      <c r="Q341" t="s">
        <v>328</v>
      </c>
      <c r="R341" t="s">
        <v>9479</v>
      </c>
      <c r="S341" t="s">
        <v>9065</v>
      </c>
      <c r="T341" t="s">
        <v>9066</v>
      </c>
    </row>
    <row r="342" spans="1:20" x14ac:dyDescent="0.25">
      <c r="A342" t="s">
        <v>6252</v>
      </c>
      <c r="B342">
        <v>-15.75</v>
      </c>
      <c r="C342">
        <v>740</v>
      </c>
      <c r="D342">
        <v>21.403333329999999</v>
      </c>
      <c r="E342">
        <v>18.414999999999999</v>
      </c>
      <c r="F342">
        <v>24.49</v>
      </c>
      <c r="G342">
        <v>1.9783333329999999</v>
      </c>
      <c r="H342">
        <v>0.491666667</v>
      </c>
      <c r="I342">
        <v>3.1766666670000001</v>
      </c>
      <c r="J342">
        <v>4954.7124999999996</v>
      </c>
      <c r="K342">
        <v>4123.9791670000004</v>
      </c>
      <c r="L342">
        <v>5994.1041670000004</v>
      </c>
      <c r="M342">
        <v>16.089166670000001</v>
      </c>
      <c r="N342">
        <v>14.78</v>
      </c>
      <c r="O342">
        <v>17.733333330000001</v>
      </c>
      <c r="Q342" t="s">
        <v>333</v>
      </c>
      <c r="R342" t="s">
        <v>9480</v>
      </c>
      <c r="S342" t="s">
        <v>9065</v>
      </c>
      <c r="T342" t="s">
        <v>9066</v>
      </c>
    </row>
    <row r="343" spans="1:20" x14ac:dyDescent="0.25">
      <c r="A343" t="s">
        <v>9481</v>
      </c>
      <c r="B343">
        <v>-15.75</v>
      </c>
      <c r="C343">
        <v>751.5</v>
      </c>
      <c r="D343">
        <v>21.439166669999999</v>
      </c>
      <c r="E343">
        <v>18.295000000000002</v>
      </c>
      <c r="F343">
        <v>24.856666669999999</v>
      </c>
      <c r="G343">
        <v>2.2174999999999998</v>
      </c>
      <c r="H343">
        <v>0.8</v>
      </c>
      <c r="I343">
        <v>3.3833333329999999</v>
      </c>
      <c r="J343">
        <v>5152.0775000000003</v>
      </c>
      <c r="K343">
        <v>4417.375</v>
      </c>
      <c r="L343">
        <v>6102.5833329999996</v>
      </c>
      <c r="M343">
        <v>15.230833329999999</v>
      </c>
      <c r="N343">
        <v>13.74666667</v>
      </c>
      <c r="O343">
        <v>16.95</v>
      </c>
      <c r="Q343" t="s">
        <v>333</v>
      </c>
      <c r="R343" t="s">
        <v>9480</v>
      </c>
      <c r="S343" t="s">
        <v>9058</v>
      </c>
      <c r="T343" t="s">
        <v>9061</v>
      </c>
    </row>
    <row r="344" spans="1:20" x14ac:dyDescent="0.25">
      <c r="A344" t="s">
        <v>6465</v>
      </c>
      <c r="B344">
        <v>-19.5</v>
      </c>
      <c r="C344">
        <v>84</v>
      </c>
      <c r="D344">
        <v>24.68333333</v>
      </c>
      <c r="E344">
        <v>21.923333329999998</v>
      </c>
      <c r="F344">
        <v>27.305</v>
      </c>
      <c r="G344">
        <v>1.984166667</v>
      </c>
      <c r="H344">
        <v>0.45</v>
      </c>
      <c r="I344">
        <v>3.0616666669999999</v>
      </c>
      <c r="J344">
        <v>5411.7624999999998</v>
      </c>
      <c r="K344">
        <v>4578.0833329999996</v>
      </c>
      <c r="L344">
        <v>6510.375</v>
      </c>
      <c r="M344">
        <v>18.864999999999998</v>
      </c>
      <c r="N344">
        <v>17.858333330000001</v>
      </c>
      <c r="O344">
        <v>20.06666667</v>
      </c>
      <c r="Q344" t="s">
        <v>333</v>
      </c>
      <c r="R344" t="s">
        <v>9482</v>
      </c>
      <c r="S344" t="s">
        <v>9065</v>
      </c>
      <c r="T344" t="s">
        <v>9066</v>
      </c>
    </row>
    <row r="345" spans="1:20" x14ac:dyDescent="0.25">
      <c r="A345" t="s">
        <v>9483</v>
      </c>
      <c r="B345">
        <v>-19.5</v>
      </c>
      <c r="C345">
        <v>194.5</v>
      </c>
      <c r="D345">
        <v>25.99</v>
      </c>
      <c r="E345">
        <v>23.231666669999999</v>
      </c>
      <c r="F345">
        <v>28.574999999999999</v>
      </c>
      <c r="G345">
        <v>1.3558333330000001</v>
      </c>
      <c r="H345">
        <v>0.96666666700000003</v>
      </c>
      <c r="I345">
        <v>1.558333333</v>
      </c>
      <c r="J345">
        <v>5079.2583329999998</v>
      </c>
      <c r="K345">
        <v>4183</v>
      </c>
      <c r="L345">
        <v>6077.1041670000004</v>
      </c>
      <c r="M345">
        <v>20.19916667</v>
      </c>
      <c r="N345">
        <v>19.074999999999999</v>
      </c>
      <c r="O345">
        <v>21.268333330000001</v>
      </c>
      <c r="Q345" t="s">
        <v>333</v>
      </c>
      <c r="R345" t="s">
        <v>9482</v>
      </c>
      <c r="S345" t="s">
        <v>9058</v>
      </c>
      <c r="T345" t="s">
        <v>9059</v>
      </c>
    </row>
    <row r="346" spans="1:20" x14ac:dyDescent="0.25">
      <c r="A346" t="s">
        <v>9484</v>
      </c>
      <c r="B346">
        <v>-19.5</v>
      </c>
      <c r="C346">
        <v>194.5</v>
      </c>
      <c r="D346">
        <v>24.57416667</v>
      </c>
      <c r="E346">
        <v>21.463333330000001</v>
      </c>
      <c r="F346">
        <v>27.19</v>
      </c>
      <c r="G346">
        <v>1.4983333329999999</v>
      </c>
      <c r="H346">
        <v>0.99166666699999995</v>
      </c>
      <c r="I346">
        <v>1.9</v>
      </c>
      <c r="J346">
        <v>4802.5966669999998</v>
      </c>
      <c r="K346">
        <v>4031.083333</v>
      </c>
      <c r="L346">
        <v>5730.4791670000004</v>
      </c>
      <c r="M346">
        <v>19.15666667</v>
      </c>
      <c r="N346">
        <v>18.074999999999999</v>
      </c>
      <c r="O346">
        <v>20.393333330000001</v>
      </c>
      <c r="Q346" t="s">
        <v>333</v>
      </c>
      <c r="R346" t="s">
        <v>9482</v>
      </c>
      <c r="S346" t="s">
        <v>9058</v>
      </c>
      <c r="T346" t="s">
        <v>9061</v>
      </c>
    </row>
    <row r="347" spans="1:20" x14ac:dyDescent="0.25">
      <c r="A347" t="s">
        <v>6295</v>
      </c>
      <c r="B347">
        <v>-16.18</v>
      </c>
      <c r="C347">
        <v>208</v>
      </c>
      <c r="D347">
        <v>25.23</v>
      </c>
      <c r="E347">
        <v>22.416666670000001</v>
      </c>
      <c r="F347">
        <v>27.90666667</v>
      </c>
      <c r="G347">
        <v>1.3725000000000001</v>
      </c>
      <c r="H347">
        <v>0.306666667</v>
      </c>
      <c r="I347">
        <v>2.1666666669999999</v>
      </c>
      <c r="J347">
        <v>5281.0266670000001</v>
      </c>
      <c r="K347">
        <v>4446.75</v>
      </c>
      <c r="L347">
        <v>6296.375</v>
      </c>
      <c r="M347">
        <v>18.829999999999998</v>
      </c>
      <c r="N347">
        <v>17.833333329999999</v>
      </c>
      <c r="O347">
        <v>20.20333333</v>
      </c>
      <c r="Q347" t="s">
        <v>333</v>
      </c>
      <c r="R347" t="s">
        <v>9485</v>
      </c>
      <c r="S347" t="s">
        <v>9065</v>
      </c>
      <c r="T347" t="s">
        <v>9066</v>
      </c>
    </row>
    <row r="348" spans="1:20" x14ac:dyDescent="0.25">
      <c r="A348" t="s">
        <v>9486</v>
      </c>
      <c r="B348">
        <v>-16.170000000000002</v>
      </c>
      <c r="C348">
        <v>209.5</v>
      </c>
      <c r="D348">
        <v>25.317499999999999</v>
      </c>
      <c r="E348">
        <v>22.563333329999999</v>
      </c>
      <c r="F348">
        <v>28.047499999999999</v>
      </c>
      <c r="G348">
        <v>1.4775</v>
      </c>
      <c r="H348">
        <v>0.61666666699999995</v>
      </c>
      <c r="I348">
        <v>2.16</v>
      </c>
      <c r="J348">
        <v>4834.1541669999997</v>
      </c>
      <c r="K348">
        <v>4219.0833329999996</v>
      </c>
      <c r="L348">
        <v>5683.0416670000004</v>
      </c>
      <c r="M348">
        <v>18.575833329999998</v>
      </c>
      <c r="N348">
        <v>17.094999999999999</v>
      </c>
      <c r="O348">
        <v>20.21083333</v>
      </c>
      <c r="Q348" t="s">
        <v>333</v>
      </c>
      <c r="R348" t="s">
        <v>9485</v>
      </c>
      <c r="S348" t="s">
        <v>9058</v>
      </c>
      <c r="T348" t="s">
        <v>9061</v>
      </c>
    </row>
    <row r="349" spans="1:20" x14ac:dyDescent="0.25">
      <c r="A349" t="s">
        <v>9487</v>
      </c>
      <c r="B349">
        <v>-10.07</v>
      </c>
      <c r="C349">
        <v>295.5</v>
      </c>
      <c r="D349">
        <v>25.498333330000001</v>
      </c>
      <c r="E349">
        <v>22.208333329999999</v>
      </c>
      <c r="F349">
        <v>29.141666669999999</v>
      </c>
      <c r="G349">
        <v>1.391666667</v>
      </c>
      <c r="H349">
        <v>0.74166666699999995</v>
      </c>
      <c r="I349">
        <v>1.9083333330000001</v>
      </c>
      <c r="J349">
        <v>5233.5608329999995</v>
      </c>
      <c r="K349">
        <v>4776.1041670000004</v>
      </c>
      <c r="L349">
        <v>5847.0416670000004</v>
      </c>
      <c r="M349">
        <v>20.783333330000001</v>
      </c>
      <c r="N349">
        <v>19.66333333</v>
      </c>
      <c r="O349">
        <v>21.951666670000002</v>
      </c>
      <c r="Q349" t="s">
        <v>333</v>
      </c>
      <c r="R349" t="s">
        <v>9488</v>
      </c>
      <c r="S349" t="s">
        <v>9058</v>
      </c>
      <c r="T349" t="s">
        <v>9061</v>
      </c>
    </row>
    <row r="350" spans="1:20" x14ac:dyDescent="0.25">
      <c r="A350" t="s">
        <v>9489</v>
      </c>
      <c r="B350">
        <v>-16.87</v>
      </c>
      <c r="C350">
        <v>284</v>
      </c>
      <c r="D350">
        <v>26.661666669999999</v>
      </c>
      <c r="E350">
        <v>24.081666670000001</v>
      </c>
      <c r="F350">
        <v>29.126666669999999</v>
      </c>
      <c r="G350">
        <v>1.1875</v>
      </c>
      <c r="H350">
        <v>0.55833333299999999</v>
      </c>
      <c r="I350">
        <v>1.6666666670000001</v>
      </c>
      <c r="J350">
        <v>5451.0591670000003</v>
      </c>
      <c r="K350">
        <v>4600.5625</v>
      </c>
      <c r="L350">
        <v>6405.1458329999996</v>
      </c>
      <c r="M350">
        <v>17.845833330000001</v>
      </c>
      <c r="N350">
        <v>16.426666669999999</v>
      </c>
      <c r="O350">
        <v>19.399999999999999</v>
      </c>
      <c r="Q350" t="s">
        <v>333</v>
      </c>
      <c r="R350" t="s">
        <v>9490</v>
      </c>
      <c r="S350" t="s">
        <v>9058</v>
      </c>
      <c r="T350" t="s">
        <v>9059</v>
      </c>
    </row>
    <row r="351" spans="1:20" x14ac:dyDescent="0.25">
      <c r="A351" t="s">
        <v>9491</v>
      </c>
      <c r="B351">
        <v>-16.87</v>
      </c>
      <c r="C351">
        <v>284</v>
      </c>
      <c r="D351">
        <v>25.045833330000001</v>
      </c>
      <c r="E351">
        <v>21.6875</v>
      </c>
      <c r="F351">
        <v>28.088333330000001</v>
      </c>
      <c r="G351">
        <v>1.0874999999999999</v>
      </c>
      <c r="H351">
        <v>0.385833333</v>
      </c>
      <c r="I351">
        <v>1.645</v>
      </c>
      <c r="J351">
        <v>5264.4383330000001</v>
      </c>
      <c r="K351">
        <v>4567.1666670000004</v>
      </c>
      <c r="L351">
        <v>6321.0416670000004</v>
      </c>
      <c r="M351">
        <v>17.279166669999999</v>
      </c>
      <c r="N351">
        <v>15.95</v>
      </c>
      <c r="O351">
        <v>18.66333333</v>
      </c>
      <c r="Q351" t="s">
        <v>333</v>
      </c>
      <c r="R351" t="s">
        <v>9490</v>
      </c>
      <c r="S351" t="s">
        <v>9058</v>
      </c>
      <c r="T351" t="s">
        <v>9061</v>
      </c>
    </row>
    <row r="352" spans="1:20" x14ac:dyDescent="0.25">
      <c r="A352" t="s">
        <v>6832</v>
      </c>
      <c r="B352">
        <v>-19.59</v>
      </c>
      <c r="C352">
        <v>1020</v>
      </c>
      <c r="D352">
        <v>21.414999999999999</v>
      </c>
      <c r="E352">
        <v>18.565000000000001</v>
      </c>
      <c r="F352">
        <v>24.20333333</v>
      </c>
      <c r="G352">
        <v>2.4683333329999999</v>
      </c>
      <c r="H352">
        <v>1.5316666670000001</v>
      </c>
      <c r="I352">
        <v>3.3416666670000001</v>
      </c>
      <c r="J352">
        <v>5768.7141670000001</v>
      </c>
      <c r="K352">
        <v>5216.5416670000004</v>
      </c>
      <c r="L352">
        <v>6730.0416670000004</v>
      </c>
      <c r="M352">
        <v>13.53916667</v>
      </c>
      <c r="N352">
        <v>12.14</v>
      </c>
      <c r="O352">
        <v>15.16666667</v>
      </c>
      <c r="Q352" t="s">
        <v>333</v>
      </c>
      <c r="R352" t="s">
        <v>9492</v>
      </c>
      <c r="S352" t="s">
        <v>9065</v>
      </c>
      <c r="T352" t="s">
        <v>9066</v>
      </c>
    </row>
    <row r="353" spans="1:20" x14ac:dyDescent="0.25">
      <c r="A353" t="s">
        <v>9493</v>
      </c>
      <c r="B353">
        <v>-19.600000000000001</v>
      </c>
      <c r="C353">
        <v>1021.5</v>
      </c>
      <c r="D353">
        <v>22.02</v>
      </c>
      <c r="E353">
        <v>19.30833333</v>
      </c>
      <c r="F353">
        <v>24.678333330000001</v>
      </c>
      <c r="G353">
        <v>2.4266666670000001</v>
      </c>
      <c r="H353">
        <v>1.54</v>
      </c>
      <c r="I353">
        <v>3.1683333330000001</v>
      </c>
      <c r="J353">
        <v>5548.1216670000003</v>
      </c>
      <c r="K353">
        <v>4946.5833329999996</v>
      </c>
      <c r="L353">
        <v>6292.9583329999996</v>
      </c>
      <c r="M353">
        <v>14.221666669999999</v>
      </c>
      <c r="N353">
        <v>12.5975</v>
      </c>
      <c r="O353">
        <v>15.983333330000001</v>
      </c>
      <c r="Q353" t="s">
        <v>333</v>
      </c>
      <c r="R353" t="s">
        <v>9492</v>
      </c>
      <c r="S353" t="s">
        <v>9058</v>
      </c>
      <c r="T353" t="s">
        <v>9059</v>
      </c>
    </row>
    <row r="354" spans="1:20" x14ac:dyDescent="0.25">
      <c r="A354" t="s">
        <v>9494</v>
      </c>
      <c r="B354">
        <v>-19.600000000000001</v>
      </c>
      <c r="C354">
        <v>1021.5</v>
      </c>
      <c r="D354">
        <v>21.56</v>
      </c>
      <c r="E354">
        <v>18.616666670000001</v>
      </c>
      <c r="F354">
        <v>24.35916667</v>
      </c>
      <c r="G354">
        <v>2.4391666669999998</v>
      </c>
      <c r="H354">
        <v>1.54</v>
      </c>
      <c r="I354">
        <v>3.2416666670000001</v>
      </c>
      <c r="J354">
        <v>5176.1424999999999</v>
      </c>
      <c r="K354">
        <v>4437.1041670000004</v>
      </c>
      <c r="L354">
        <v>6013.2291670000004</v>
      </c>
      <c r="M354">
        <v>14.057499999999999</v>
      </c>
      <c r="N354">
        <v>12.65</v>
      </c>
      <c r="O354">
        <v>15.80833333</v>
      </c>
      <c r="Q354" t="s">
        <v>333</v>
      </c>
      <c r="R354" t="s">
        <v>9492</v>
      </c>
      <c r="S354" t="s">
        <v>9058</v>
      </c>
      <c r="T354" t="s">
        <v>9061</v>
      </c>
    </row>
    <row r="355" spans="1:20" x14ac:dyDescent="0.25">
      <c r="A355" t="s">
        <v>9495</v>
      </c>
      <c r="B355">
        <v>-15.9</v>
      </c>
      <c r="C355">
        <v>519</v>
      </c>
      <c r="D355">
        <v>26.766666669999999</v>
      </c>
      <c r="E355">
        <v>24.231666669999999</v>
      </c>
      <c r="F355">
        <v>29.375</v>
      </c>
      <c r="G355">
        <v>1.2716666670000001</v>
      </c>
      <c r="H355">
        <v>0.54166666699999999</v>
      </c>
      <c r="I355">
        <v>1.8016666670000001</v>
      </c>
      <c r="J355">
        <v>5903.5775000000003</v>
      </c>
      <c r="K355">
        <v>5518.4791670000004</v>
      </c>
      <c r="L355">
        <v>6560.4375</v>
      </c>
      <c r="M355">
        <v>17.689166669999999</v>
      </c>
      <c r="N355">
        <v>16.52333333</v>
      </c>
      <c r="O355">
        <v>19.043333329999999</v>
      </c>
      <c r="Q355" t="s">
        <v>333</v>
      </c>
      <c r="R355" t="s">
        <v>9496</v>
      </c>
      <c r="S355" t="s">
        <v>9058</v>
      </c>
      <c r="T355" t="s">
        <v>9059</v>
      </c>
    </row>
    <row r="356" spans="1:20" x14ac:dyDescent="0.25">
      <c r="A356" t="s">
        <v>9497</v>
      </c>
      <c r="B356">
        <v>-15.9</v>
      </c>
      <c r="C356">
        <v>519</v>
      </c>
      <c r="D356">
        <v>25.01166667</v>
      </c>
      <c r="E356">
        <v>21.87166667</v>
      </c>
      <c r="F356">
        <v>27.93333333</v>
      </c>
      <c r="G356">
        <v>1.110833333</v>
      </c>
      <c r="H356">
        <v>0.45</v>
      </c>
      <c r="I356">
        <v>1.6166666670000001</v>
      </c>
      <c r="J356">
        <v>5645.1241669999999</v>
      </c>
      <c r="K356">
        <v>5112.4791670000004</v>
      </c>
      <c r="L356">
        <v>6347.7083329999996</v>
      </c>
      <c r="M356">
        <v>16.758333329999999</v>
      </c>
      <c r="N356">
        <v>15.25666667</v>
      </c>
      <c r="O356">
        <v>18.55833333</v>
      </c>
      <c r="Q356" t="s">
        <v>333</v>
      </c>
      <c r="R356" t="s">
        <v>9496</v>
      </c>
      <c r="S356" t="s">
        <v>9058</v>
      </c>
      <c r="T356" t="s">
        <v>9061</v>
      </c>
    </row>
    <row r="357" spans="1:20" x14ac:dyDescent="0.25">
      <c r="A357" t="s">
        <v>9498</v>
      </c>
      <c r="B357">
        <v>-20</v>
      </c>
      <c r="C357">
        <v>661</v>
      </c>
      <c r="D357">
        <v>22.193333330000002</v>
      </c>
      <c r="E357">
        <v>19.381666670000001</v>
      </c>
      <c r="F357">
        <v>24.948333330000001</v>
      </c>
      <c r="G357">
        <v>1.4475</v>
      </c>
      <c r="H357">
        <v>0.76666666699999997</v>
      </c>
      <c r="I357">
        <v>1.96</v>
      </c>
      <c r="J357">
        <v>5269.5091670000002</v>
      </c>
      <c r="K357">
        <v>4609.8958329999996</v>
      </c>
      <c r="L357">
        <v>6239.2083329999996</v>
      </c>
      <c r="M357">
        <v>17.2925</v>
      </c>
      <c r="N357">
        <v>16.24666667</v>
      </c>
      <c r="O357">
        <v>18.543333329999999</v>
      </c>
      <c r="Q357" t="s">
        <v>333</v>
      </c>
      <c r="R357" t="s">
        <v>9499</v>
      </c>
      <c r="S357" t="s">
        <v>9058</v>
      </c>
      <c r="T357" t="s">
        <v>9059</v>
      </c>
    </row>
    <row r="358" spans="1:20" x14ac:dyDescent="0.25">
      <c r="A358" t="s">
        <v>9500</v>
      </c>
      <c r="B358">
        <v>-20</v>
      </c>
      <c r="C358">
        <v>661</v>
      </c>
      <c r="D358">
        <v>21.713333330000001</v>
      </c>
      <c r="E358">
        <v>19.06666667</v>
      </c>
      <c r="F358">
        <v>24.01</v>
      </c>
      <c r="G358">
        <v>1.2350000000000001</v>
      </c>
      <c r="H358">
        <v>0.65833333299999997</v>
      </c>
      <c r="I358">
        <v>1.6583333330000001</v>
      </c>
      <c r="J358">
        <v>5184.0950000000003</v>
      </c>
      <c r="K358">
        <v>4390.1041670000004</v>
      </c>
      <c r="L358">
        <v>6164.8541670000004</v>
      </c>
      <c r="M358">
        <v>16.669166669999999</v>
      </c>
      <c r="N358">
        <v>15.33</v>
      </c>
      <c r="O358">
        <v>18.153333329999999</v>
      </c>
      <c r="Q358" t="s">
        <v>333</v>
      </c>
      <c r="R358" t="s">
        <v>9499</v>
      </c>
      <c r="S358" t="s">
        <v>9058</v>
      </c>
      <c r="T358" t="s">
        <v>9061</v>
      </c>
    </row>
    <row r="359" spans="1:20" x14ac:dyDescent="0.25">
      <c r="A359" t="s">
        <v>9501</v>
      </c>
      <c r="B359">
        <v>-21.27</v>
      </c>
      <c r="C359">
        <v>1114.7</v>
      </c>
      <c r="D359">
        <v>18.29666667</v>
      </c>
      <c r="E359">
        <v>15.1625</v>
      </c>
      <c r="F359">
        <v>21.36</v>
      </c>
      <c r="G359">
        <v>2.2574999999999998</v>
      </c>
      <c r="H359">
        <v>1.183333333</v>
      </c>
      <c r="I359">
        <v>3.2316666669999998</v>
      </c>
      <c r="J359">
        <v>4516.4575000000004</v>
      </c>
      <c r="K359">
        <v>3561.833333</v>
      </c>
      <c r="L359">
        <v>5468.2708329999996</v>
      </c>
      <c r="M359">
        <v>13.98666667</v>
      </c>
      <c r="N359">
        <v>12.54</v>
      </c>
      <c r="O359">
        <v>15.801666669999999</v>
      </c>
      <c r="Q359" t="s">
        <v>333</v>
      </c>
      <c r="R359" t="s">
        <v>9502</v>
      </c>
      <c r="S359" t="s">
        <v>9058</v>
      </c>
      <c r="T359" t="s">
        <v>9059</v>
      </c>
    </row>
    <row r="360" spans="1:20" x14ac:dyDescent="0.25">
      <c r="A360" t="s">
        <v>9503</v>
      </c>
      <c r="B360">
        <v>-21.27</v>
      </c>
      <c r="C360">
        <v>1114.7</v>
      </c>
      <c r="D360">
        <v>18.831666670000001</v>
      </c>
      <c r="E360">
        <v>16.029166669999999</v>
      </c>
      <c r="F360">
        <v>21.59333333</v>
      </c>
      <c r="G360">
        <v>2.2650000000000001</v>
      </c>
      <c r="H360">
        <v>1.4066666670000001</v>
      </c>
      <c r="I360">
        <v>3.068333333</v>
      </c>
      <c r="J360">
        <v>4962.1350000000002</v>
      </c>
      <c r="K360">
        <v>4432.5833329999996</v>
      </c>
      <c r="L360">
        <v>5846.8333329999996</v>
      </c>
      <c r="M360">
        <v>14.36</v>
      </c>
      <c r="N360">
        <v>13.1</v>
      </c>
      <c r="O360">
        <v>15.84333333</v>
      </c>
      <c r="Q360" t="s">
        <v>333</v>
      </c>
      <c r="R360" t="s">
        <v>9502</v>
      </c>
      <c r="S360" t="s">
        <v>9058</v>
      </c>
      <c r="T360" t="s">
        <v>9061</v>
      </c>
    </row>
    <row r="361" spans="1:20" x14ac:dyDescent="0.25">
      <c r="A361" t="s">
        <v>9504</v>
      </c>
      <c r="B361">
        <v>-21.22</v>
      </c>
      <c r="C361">
        <v>1156.5</v>
      </c>
      <c r="D361">
        <v>18.873333330000001</v>
      </c>
      <c r="E361">
        <v>16.00416667</v>
      </c>
      <c r="F361">
        <v>21.5625</v>
      </c>
      <c r="G361">
        <v>0.66333333299999997</v>
      </c>
      <c r="H361">
        <v>0.35833333299999998</v>
      </c>
      <c r="I361">
        <v>0.875</v>
      </c>
      <c r="J361">
        <v>5009.1966670000002</v>
      </c>
      <c r="K361">
        <v>4277.2291670000004</v>
      </c>
      <c r="L361">
        <v>5870.0833329999996</v>
      </c>
      <c r="M361">
        <v>10.2875</v>
      </c>
      <c r="N361">
        <v>9.1733333330000004</v>
      </c>
      <c r="O361">
        <v>12.10166667</v>
      </c>
      <c r="Q361" t="s">
        <v>333</v>
      </c>
      <c r="R361" t="s">
        <v>9505</v>
      </c>
      <c r="S361" t="s">
        <v>9058</v>
      </c>
      <c r="T361" t="s">
        <v>9061</v>
      </c>
    </row>
    <row r="362" spans="1:20" x14ac:dyDescent="0.25">
      <c r="A362" t="s">
        <v>9506</v>
      </c>
      <c r="B362">
        <v>-19.829999999999998</v>
      </c>
      <c r="C362">
        <v>827</v>
      </c>
      <c r="D362">
        <v>20.896666669999998</v>
      </c>
      <c r="E362">
        <v>18.27333333</v>
      </c>
      <c r="F362">
        <v>23.361666670000002</v>
      </c>
      <c r="G362">
        <v>2.7891666669999999</v>
      </c>
      <c r="H362">
        <v>1.673333333</v>
      </c>
      <c r="I362">
        <v>3.7349999999999999</v>
      </c>
      <c r="J362">
        <v>5443.4416670000001</v>
      </c>
      <c r="K362">
        <v>4744.9583329999996</v>
      </c>
      <c r="L362">
        <v>6318.7291670000004</v>
      </c>
      <c r="M362">
        <v>14.95916667</v>
      </c>
      <c r="N362">
        <v>13.70833333</v>
      </c>
      <c r="O362">
        <v>16.411666669999999</v>
      </c>
      <c r="Q362" t="s">
        <v>333</v>
      </c>
      <c r="R362" t="s">
        <v>9507</v>
      </c>
      <c r="S362" t="s">
        <v>9058</v>
      </c>
      <c r="T362" t="s">
        <v>9059</v>
      </c>
    </row>
    <row r="363" spans="1:20" x14ac:dyDescent="0.25">
      <c r="A363" t="s">
        <v>9508</v>
      </c>
      <c r="B363">
        <v>-19.829999999999998</v>
      </c>
      <c r="C363">
        <v>827</v>
      </c>
      <c r="D363">
        <v>21.241666670000001</v>
      </c>
      <c r="E363">
        <v>18.515000000000001</v>
      </c>
      <c r="F363">
        <v>23.815000000000001</v>
      </c>
      <c r="G363">
        <v>2.8258333329999998</v>
      </c>
      <c r="H363">
        <v>1.8</v>
      </c>
      <c r="I363">
        <v>3.733333333</v>
      </c>
      <c r="J363">
        <v>5310.3166670000001</v>
      </c>
      <c r="K363">
        <v>4702.1666670000004</v>
      </c>
      <c r="L363">
        <v>6109.5833329999996</v>
      </c>
      <c r="M363">
        <v>14.435</v>
      </c>
      <c r="N363">
        <v>13.17333333</v>
      </c>
      <c r="O363">
        <v>15.928333329999999</v>
      </c>
      <c r="Q363" t="s">
        <v>333</v>
      </c>
      <c r="R363" t="s">
        <v>9507</v>
      </c>
      <c r="S363" t="s">
        <v>9058</v>
      </c>
      <c r="T363" t="s">
        <v>9061</v>
      </c>
    </row>
    <row r="364" spans="1:20" x14ac:dyDescent="0.25">
      <c r="A364" t="s">
        <v>9509</v>
      </c>
      <c r="B364">
        <v>-19.63</v>
      </c>
      <c r="C364">
        <v>827.5</v>
      </c>
      <c r="D364">
        <v>21.144166670000001</v>
      </c>
      <c r="E364">
        <v>18.333333329999999</v>
      </c>
      <c r="F364">
        <v>24.051666669999999</v>
      </c>
      <c r="G364">
        <v>3.0133333329999998</v>
      </c>
      <c r="H364">
        <v>1.7583333329999999</v>
      </c>
      <c r="I364">
        <v>4.0183333330000002</v>
      </c>
      <c r="J364">
        <v>5300.58</v>
      </c>
      <c r="K364">
        <v>4620.7916670000004</v>
      </c>
      <c r="L364">
        <v>6122.5208329999996</v>
      </c>
      <c r="M364">
        <v>15.54166667</v>
      </c>
      <c r="N364">
        <v>14.25</v>
      </c>
      <c r="O364">
        <v>16.916666670000001</v>
      </c>
      <c r="Q364" t="s">
        <v>333</v>
      </c>
      <c r="R364" t="s">
        <v>9510</v>
      </c>
      <c r="S364" t="s">
        <v>9058</v>
      </c>
      <c r="T364" t="s">
        <v>9059</v>
      </c>
    </row>
    <row r="365" spans="1:20" x14ac:dyDescent="0.25">
      <c r="A365" t="s">
        <v>9511</v>
      </c>
      <c r="B365">
        <v>-19.63</v>
      </c>
      <c r="C365">
        <v>827.5</v>
      </c>
      <c r="D365">
        <v>21.201666670000002</v>
      </c>
      <c r="E365">
        <v>18.083333329999999</v>
      </c>
      <c r="F365">
        <v>24.083333329999999</v>
      </c>
      <c r="G365">
        <v>2.8591666670000002</v>
      </c>
      <c r="H365">
        <v>1.756666667</v>
      </c>
      <c r="I365">
        <v>3.8833333329999999</v>
      </c>
      <c r="J365">
        <v>5362.1783329999998</v>
      </c>
      <c r="K365">
        <v>4816</v>
      </c>
      <c r="L365">
        <v>6174.3541670000004</v>
      </c>
      <c r="M365">
        <v>14.90583333</v>
      </c>
      <c r="N365">
        <v>13.5</v>
      </c>
      <c r="O365">
        <v>16.583333329999999</v>
      </c>
      <c r="Q365" t="s">
        <v>333</v>
      </c>
      <c r="R365" t="s">
        <v>9510</v>
      </c>
      <c r="S365" t="s">
        <v>9058</v>
      </c>
      <c r="T365" t="s">
        <v>9061</v>
      </c>
    </row>
    <row r="366" spans="1:20" x14ac:dyDescent="0.25">
      <c r="A366" t="s">
        <v>9512</v>
      </c>
      <c r="B366">
        <v>-19.850000000000001</v>
      </c>
      <c r="C366">
        <v>789.1</v>
      </c>
      <c r="D366">
        <v>22.036666669999999</v>
      </c>
      <c r="E366">
        <v>19</v>
      </c>
      <c r="F366">
        <v>25</v>
      </c>
      <c r="G366">
        <v>2.5133333329999998</v>
      </c>
      <c r="H366">
        <v>1.55</v>
      </c>
      <c r="I366">
        <v>3.4125000000000001</v>
      </c>
      <c r="J366">
        <v>5447.5</v>
      </c>
      <c r="K366">
        <v>4746</v>
      </c>
      <c r="L366">
        <v>6408.8541670000004</v>
      </c>
      <c r="M366">
        <v>14.647500000000001</v>
      </c>
      <c r="N366">
        <v>13.241666670000001</v>
      </c>
      <c r="O366">
        <v>16.291666670000001</v>
      </c>
      <c r="Q366" t="s">
        <v>333</v>
      </c>
      <c r="R366" t="s">
        <v>9513</v>
      </c>
      <c r="S366" t="s">
        <v>9058</v>
      </c>
      <c r="T366" t="s">
        <v>9059</v>
      </c>
    </row>
    <row r="367" spans="1:20" x14ac:dyDescent="0.25">
      <c r="A367" t="s">
        <v>9514</v>
      </c>
      <c r="B367">
        <v>-19.850000000000001</v>
      </c>
      <c r="C367">
        <v>789.1</v>
      </c>
      <c r="D367">
        <v>22.079166669999999</v>
      </c>
      <c r="E367">
        <v>19.108333330000001</v>
      </c>
      <c r="F367">
        <v>25.166666670000001</v>
      </c>
      <c r="G367">
        <v>2.5783333329999998</v>
      </c>
      <c r="H367">
        <v>1.6</v>
      </c>
      <c r="I367">
        <v>3.505833333</v>
      </c>
      <c r="J367">
        <v>5251.978333</v>
      </c>
      <c r="K367">
        <v>4419.7708329999996</v>
      </c>
      <c r="L367">
        <v>6136.5208329999996</v>
      </c>
      <c r="M367">
        <v>14.525833329999999</v>
      </c>
      <c r="N367">
        <v>13.26416667</v>
      </c>
      <c r="O367">
        <v>15.987500000000001</v>
      </c>
      <c r="Q367" t="s">
        <v>333</v>
      </c>
      <c r="R367" t="s">
        <v>9513</v>
      </c>
      <c r="S367" t="s">
        <v>9058</v>
      </c>
      <c r="T367" t="s">
        <v>9061</v>
      </c>
    </row>
    <row r="368" spans="1:20" x14ac:dyDescent="0.25">
      <c r="A368" t="s">
        <v>9515</v>
      </c>
      <c r="B368">
        <v>-19.88</v>
      </c>
      <c r="C368">
        <v>870.5</v>
      </c>
      <c r="D368">
        <v>21.795833330000001</v>
      </c>
      <c r="E368">
        <v>18.998333330000001</v>
      </c>
      <c r="F368">
        <v>24.32833333</v>
      </c>
      <c r="G368">
        <v>2.0249999999999999</v>
      </c>
      <c r="H368">
        <v>1.35</v>
      </c>
      <c r="I368">
        <v>2.65</v>
      </c>
      <c r="J368">
        <v>5286.14</v>
      </c>
      <c r="K368">
        <v>4658.2291670000004</v>
      </c>
      <c r="L368">
        <v>6083.25</v>
      </c>
      <c r="M368">
        <v>14.445833329999999</v>
      </c>
      <c r="N368">
        <v>13.14833333</v>
      </c>
      <c r="O368">
        <v>16.018333330000001</v>
      </c>
      <c r="Q368" t="s">
        <v>333</v>
      </c>
      <c r="R368" t="s">
        <v>9516</v>
      </c>
      <c r="S368" t="s">
        <v>9058</v>
      </c>
      <c r="T368" t="s">
        <v>9061</v>
      </c>
    </row>
    <row r="369" spans="1:20" x14ac:dyDescent="0.25">
      <c r="A369" t="s">
        <v>6838</v>
      </c>
      <c r="B369">
        <v>-19.82</v>
      </c>
      <c r="C369">
        <v>869</v>
      </c>
      <c r="D369">
        <v>21.76</v>
      </c>
      <c r="E369">
        <v>19.098333329999999</v>
      </c>
      <c r="F369">
        <v>24.305</v>
      </c>
      <c r="G369">
        <v>2.2425000000000002</v>
      </c>
      <c r="H369">
        <v>1.4083333330000001</v>
      </c>
      <c r="I369">
        <v>3.0433333330000001</v>
      </c>
      <c r="J369">
        <v>5260.0533329999998</v>
      </c>
      <c r="K369">
        <v>4626.2083329999996</v>
      </c>
      <c r="L369">
        <v>6094.4791670000004</v>
      </c>
      <c r="M369">
        <v>15.16583333</v>
      </c>
      <c r="N369">
        <v>14.098333330000001</v>
      </c>
      <c r="O369">
        <v>16.484999999999999</v>
      </c>
      <c r="Q369" t="s">
        <v>333</v>
      </c>
      <c r="R369" t="s">
        <v>9517</v>
      </c>
      <c r="S369" t="s">
        <v>9065</v>
      </c>
      <c r="T369" t="s">
        <v>9066</v>
      </c>
    </row>
    <row r="370" spans="1:20" x14ac:dyDescent="0.25">
      <c r="A370" t="s">
        <v>9518</v>
      </c>
      <c r="B370">
        <v>-19.91</v>
      </c>
      <c r="C370">
        <v>927.8</v>
      </c>
      <c r="D370">
        <v>21.86</v>
      </c>
      <c r="E370">
        <v>18.588333330000001</v>
      </c>
      <c r="F370">
        <v>25.151666670000001</v>
      </c>
      <c r="G370">
        <v>2.7616666670000001</v>
      </c>
      <c r="H370">
        <v>1.5233333330000001</v>
      </c>
      <c r="I370">
        <v>3.693333333</v>
      </c>
      <c r="J370">
        <v>5470.9425000000001</v>
      </c>
      <c r="K370">
        <v>4719.0208329999996</v>
      </c>
      <c r="L370">
        <v>6382.6041670000004</v>
      </c>
      <c r="M370">
        <v>15.161666670000001</v>
      </c>
      <c r="N370">
        <v>13.58666667</v>
      </c>
      <c r="O370">
        <v>16.936666670000001</v>
      </c>
      <c r="Q370" t="s">
        <v>333</v>
      </c>
      <c r="R370" t="s">
        <v>9519</v>
      </c>
      <c r="S370" t="s">
        <v>9058</v>
      </c>
      <c r="T370" t="s">
        <v>9059</v>
      </c>
    </row>
    <row r="371" spans="1:20" x14ac:dyDescent="0.25">
      <c r="A371" t="s">
        <v>9520</v>
      </c>
      <c r="B371">
        <v>-19.91</v>
      </c>
      <c r="C371">
        <v>927.8</v>
      </c>
      <c r="D371">
        <v>21.630833330000002</v>
      </c>
      <c r="E371">
        <v>18.250833329999999</v>
      </c>
      <c r="F371">
        <v>24.96</v>
      </c>
      <c r="G371">
        <v>2.7691666669999999</v>
      </c>
      <c r="H371">
        <v>1.79</v>
      </c>
      <c r="I371">
        <v>3.5625</v>
      </c>
      <c r="J371">
        <v>5215.5791669999999</v>
      </c>
      <c r="K371">
        <v>4482.0208329999996</v>
      </c>
      <c r="L371">
        <v>6164.7708329999996</v>
      </c>
      <c r="M371">
        <v>15.19083333</v>
      </c>
      <c r="N371">
        <v>13.95833333</v>
      </c>
      <c r="O371">
        <v>16.533333330000001</v>
      </c>
      <c r="Q371" t="s">
        <v>333</v>
      </c>
      <c r="R371" t="s">
        <v>9519</v>
      </c>
      <c r="S371" t="s">
        <v>9058</v>
      </c>
      <c r="T371" t="s">
        <v>9061</v>
      </c>
    </row>
    <row r="372" spans="1:20" x14ac:dyDescent="0.25">
      <c r="A372" t="s">
        <v>6539</v>
      </c>
      <c r="B372">
        <v>-15.62</v>
      </c>
      <c r="C372">
        <v>894</v>
      </c>
      <c r="D372">
        <v>22.290833330000002</v>
      </c>
      <c r="E372">
        <v>19.846666670000001</v>
      </c>
      <c r="F372">
        <v>24.591666669999999</v>
      </c>
      <c r="G372">
        <v>2.4616666669999998</v>
      </c>
      <c r="H372">
        <v>1.558333333</v>
      </c>
      <c r="I372">
        <v>3.3416666670000001</v>
      </c>
      <c r="J372">
        <v>5323.6049999999996</v>
      </c>
      <c r="K372">
        <v>4654.125</v>
      </c>
      <c r="L372">
        <v>6110.2083329999996</v>
      </c>
      <c r="M372">
        <v>16.303333330000001</v>
      </c>
      <c r="N372">
        <v>15.065</v>
      </c>
      <c r="O372">
        <v>17.809999999999999</v>
      </c>
      <c r="Q372" t="s">
        <v>333</v>
      </c>
      <c r="R372" t="s">
        <v>9521</v>
      </c>
      <c r="S372" t="s">
        <v>9065</v>
      </c>
      <c r="T372" t="s">
        <v>9066</v>
      </c>
    </row>
    <row r="373" spans="1:20" x14ac:dyDescent="0.25">
      <c r="A373" t="s">
        <v>9522</v>
      </c>
      <c r="B373">
        <v>-15.52</v>
      </c>
      <c r="C373">
        <v>895.5</v>
      </c>
      <c r="D373">
        <v>23.16333333</v>
      </c>
      <c r="E373">
        <v>20.164999999999999</v>
      </c>
      <c r="F373">
        <v>25.926666669999999</v>
      </c>
      <c r="G373">
        <v>2.4491666670000001</v>
      </c>
      <c r="H373">
        <v>1.4866666669999999</v>
      </c>
      <c r="I373">
        <v>3.358333333</v>
      </c>
      <c r="J373">
        <v>5610.9241670000001</v>
      </c>
      <c r="K373">
        <v>5078.1041670000004</v>
      </c>
      <c r="L373">
        <v>6274.5416670000004</v>
      </c>
      <c r="M373">
        <v>14.95166667</v>
      </c>
      <c r="N373">
        <v>13.487500000000001</v>
      </c>
      <c r="O373">
        <v>16.616666670000001</v>
      </c>
      <c r="Q373" t="s">
        <v>333</v>
      </c>
      <c r="R373" t="s">
        <v>9521</v>
      </c>
      <c r="S373" t="s">
        <v>9058</v>
      </c>
      <c r="T373" t="s">
        <v>9061</v>
      </c>
    </row>
    <row r="374" spans="1:20" x14ac:dyDescent="0.25">
      <c r="A374" t="s">
        <v>6823</v>
      </c>
      <c r="B374">
        <v>-21.92</v>
      </c>
      <c r="C374">
        <v>1150</v>
      </c>
      <c r="D374">
        <v>17.885000000000002</v>
      </c>
      <c r="E374">
        <v>14.248333329999999</v>
      </c>
      <c r="F374">
        <v>21.630833330000002</v>
      </c>
      <c r="G374">
        <v>1.0116666670000001</v>
      </c>
      <c r="H374">
        <v>8.3333332999999996E-2</v>
      </c>
      <c r="I374">
        <v>1.7266666669999999</v>
      </c>
      <c r="J374">
        <v>4749.625</v>
      </c>
      <c r="K374">
        <v>3984.208333</v>
      </c>
      <c r="L374">
        <v>5632.9583329999996</v>
      </c>
      <c r="M374">
        <v>13.634166670000001</v>
      </c>
      <c r="N374">
        <v>12.008333329999999</v>
      </c>
      <c r="O374">
        <v>15.358333330000001</v>
      </c>
      <c r="Q374" t="s">
        <v>333</v>
      </c>
      <c r="R374" t="s">
        <v>9523</v>
      </c>
      <c r="S374" t="s">
        <v>9065</v>
      </c>
      <c r="T374" t="s">
        <v>9066</v>
      </c>
    </row>
    <row r="375" spans="1:20" x14ac:dyDescent="0.25">
      <c r="A375" t="s">
        <v>9524</v>
      </c>
      <c r="B375">
        <v>-21.92</v>
      </c>
      <c r="C375">
        <v>1151.5</v>
      </c>
      <c r="D375">
        <v>16.904166669999999</v>
      </c>
      <c r="E375">
        <v>13.2325</v>
      </c>
      <c r="F375">
        <v>21.216666669999999</v>
      </c>
      <c r="G375">
        <v>1.5733333329999999</v>
      </c>
      <c r="H375">
        <v>0.58333333300000001</v>
      </c>
      <c r="I375">
        <v>2.2416666670000001</v>
      </c>
      <c r="J375">
        <v>5070.2583329999998</v>
      </c>
      <c r="K375">
        <v>4485.7916670000004</v>
      </c>
      <c r="L375">
        <v>5802.5625</v>
      </c>
      <c r="M375">
        <v>13.2125</v>
      </c>
      <c r="N375">
        <v>11.42333333</v>
      </c>
      <c r="O375">
        <v>15.676666669999999</v>
      </c>
      <c r="Q375" t="s">
        <v>333</v>
      </c>
      <c r="R375" t="s">
        <v>9523</v>
      </c>
      <c r="S375" t="s">
        <v>9058</v>
      </c>
      <c r="T375" t="s">
        <v>9059</v>
      </c>
    </row>
    <row r="376" spans="1:20" x14ac:dyDescent="0.25">
      <c r="A376" t="s">
        <v>9525</v>
      </c>
      <c r="B376">
        <v>-21.92</v>
      </c>
      <c r="C376">
        <v>1151.5</v>
      </c>
      <c r="D376">
        <v>18.740833330000001</v>
      </c>
      <c r="E376">
        <v>15.525</v>
      </c>
      <c r="F376">
        <v>22.05833333</v>
      </c>
      <c r="G376">
        <v>1.5608333329999999</v>
      </c>
      <c r="H376">
        <v>0.70833333300000001</v>
      </c>
      <c r="I376">
        <v>2.2366666670000002</v>
      </c>
      <c r="J376">
        <v>5033.57</v>
      </c>
      <c r="K376">
        <v>4381.2291670000004</v>
      </c>
      <c r="L376">
        <v>5866.4583329999996</v>
      </c>
      <c r="M376">
        <v>13.86916667</v>
      </c>
      <c r="N376">
        <v>12.498333329999999</v>
      </c>
      <c r="O376">
        <v>15.608333330000001</v>
      </c>
      <c r="Q376" t="s">
        <v>333</v>
      </c>
      <c r="R376" t="s">
        <v>9523</v>
      </c>
      <c r="S376" t="s">
        <v>9058</v>
      </c>
      <c r="T376" t="s">
        <v>9061</v>
      </c>
    </row>
    <row r="377" spans="1:20" x14ac:dyDescent="0.25">
      <c r="A377" t="s">
        <v>6800</v>
      </c>
      <c r="B377">
        <v>-17.690000000000001</v>
      </c>
      <c r="C377">
        <v>932</v>
      </c>
      <c r="D377">
        <v>20.09333333</v>
      </c>
      <c r="E377">
        <v>17.471666670000001</v>
      </c>
      <c r="F377">
        <v>22.596666670000001</v>
      </c>
      <c r="G377">
        <v>1.931666667</v>
      </c>
      <c r="H377">
        <v>0.26500000000000001</v>
      </c>
      <c r="I377">
        <v>3.1183333329999998</v>
      </c>
      <c r="J377">
        <v>4800.4324999999999</v>
      </c>
      <c r="K377">
        <v>3842.5625</v>
      </c>
      <c r="L377">
        <v>5827.7708329999996</v>
      </c>
      <c r="M377">
        <v>15.9975</v>
      </c>
      <c r="N377">
        <v>14.94</v>
      </c>
      <c r="O377">
        <v>17.216666669999999</v>
      </c>
      <c r="Q377" t="s">
        <v>333</v>
      </c>
      <c r="R377" t="s">
        <v>9526</v>
      </c>
      <c r="S377" t="s">
        <v>9065</v>
      </c>
      <c r="T377" t="s">
        <v>9066</v>
      </c>
    </row>
    <row r="378" spans="1:20" x14ac:dyDescent="0.25">
      <c r="A378" t="s">
        <v>9527</v>
      </c>
      <c r="B378">
        <v>-17.7</v>
      </c>
      <c r="C378">
        <v>933.5</v>
      </c>
      <c r="D378">
        <v>20.373333330000001</v>
      </c>
      <c r="E378">
        <v>17.574999999999999</v>
      </c>
      <c r="F378">
        <v>22.993333329999999</v>
      </c>
      <c r="G378">
        <v>1.9650000000000001</v>
      </c>
      <c r="H378">
        <v>0.92333333299999998</v>
      </c>
      <c r="I378">
        <v>2.8683333329999998</v>
      </c>
      <c r="J378">
        <v>5102.2825000000003</v>
      </c>
      <c r="K378">
        <v>4269.75</v>
      </c>
      <c r="L378">
        <v>6139.3541670000004</v>
      </c>
      <c r="M378">
        <v>15.262499999999999</v>
      </c>
      <c r="N378">
        <v>14.225</v>
      </c>
      <c r="O378">
        <v>16.510000000000002</v>
      </c>
      <c r="Q378" t="s">
        <v>333</v>
      </c>
      <c r="R378" t="s">
        <v>9526</v>
      </c>
      <c r="S378" t="s">
        <v>9058</v>
      </c>
      <c r="T378" t="s">
        <v>9061</v>
      </c>
    </row>
    <row r="379" spans="1:20" x14ac:dyDescent="0.25">
      <c r="A379" t="s">
        <v>9528</v>
      </c>
      <c r="B379">
        <v>-19.53</v>
      </c>
      <c r="C379">
        <v>548.5</v>
      </c>
      <c r="D379">
        <v>24.603333330000002</v>
      </c>
      <c r="E379">
        <v>20.963333330000001</v>
      </c>
      <c r="F379">
        <v>28.320833329999999</v>
      </c>
      <c r="G379">
        <v>2.0333333329999999</v>
      </c>
      <c r="H379">
        <v>1.2166666669999999</v>
      </c>
      <c r="I379">
        <v>2.6683333330000001</v>
      </c>
      <c r="J379">
        <v>5486.1733329999997</v>
      </c>
      <c r="K379">
        <v>5069.5416670000004</v>
      </c>
      <c r="L379">
        <v>6233.8125</v>
      </c>
      <c r="M379">
        <v>15.45916667</v>
      </c>
      <c r="N379">
        <v>13.71166667</v>
      </c>
      <c r="O379">
        <v>17.337499999999999</v>
      </c>
      <c r="Q379" t="s">
        <v>333</v>
      </c>
      <c r="R379" t="s">
        <v>9529</v>
      </c>
      <c r="S379" t="s">
        <v>9058</v>
      </c>
      <c r="T379" t="s">
        <v>9061</v>
      </c>
    </row>
    <row r="380" spans="1:20" x14ac:dyDescent="0.25">
      <c r="A380" t="s">
        <v>6478</v>
      </c>
      <c r="B380">
        <v>-20.73</v>
      </c>
      <c r="C380">
        <v>399</v>
      </c>
      <c r="D380">
        <v>22.04666667</v>
      </c>
      <c r="E380">
        <v>18.79</v>
      </c>
      <c r="F380">
        <v>25.061666670000001</v>
      </c>
      <c r="G380">
        <v>0.448333333</v>
      </c>
      <c r="H380">
        <v>0</v>
      </c>
      <c r="I380">
        <v>0.83333333300000001</v>
      </c>
      <c r="J380">
        <v>4319.1025</v>
      </c>
      <c r="K380">
        <v>3260.291667</v>
      </c>
      <c r="L380">
        <v>5444.375</v>
      </c>
      <c r="M380">
        <v>16.364999999999998</v>
      </c>
      <c r="N380">
        <v>15.365</v>
      </c>
      <c r="O380">
        <v>17.524999999999999</v>
      </c>
      <c r="Q380" t="s">
        <v>333</v>
      </c>
      <c r="R380" t="s">
        <v>9530</v>
      </c>
      <c r="S380" t="s">
        <v>9065</v>
      </c>
      <c r="T380" t="s">
        <v>9066</v>
      </c>
    </row>
    <row r="381" spans="1:20" x14ac:dyDescent="0.25">
      <c r="A381" t="s">
        <v>6819</v>
      </c>
      <c r="B381">
        <v>-19.79</v>
      </c>
      <c r="C381">
        <v>615</v>
      </c>
      <c r="D381">
        <v>21.785</v>
      </c>
      <c r="E381">
        <v>19.125</v>
      </c>
      <c r="F381">
        <v>24.395</v>
      </c>
      <c r="G381">
        <v>1.360833333</v>
      </c>
      <c r="H381">
        <v>0.35666666699999999</v>
      </c>
      <c r="I381">
        <v>2.1749999999999998</v>
      </c>
      <c r="J381">
        <v>4886.2958330000001</v>
      </c>
      <c r="K381">
        <v>3791.125</v>
      </c>
      <c r="L381">
        <v>5980</v>
      </c>
      <c r="M381">
        <v>17.2225</v>
      </c>
      <c r="N381">
        <v>16.125</v>
      </c>
      <c r="O381">
        <v>18.451666670000002</v>
      </c>
      <c r="Q381" t="s">
        <v>333</v>
      </c>
      <c r="R381" t="s">
        <v>9531</v>
      </c>
      <c r="S381" t="s">
        <v>9065</v>
      </c>
      <c r="T381" t="s">
        <v>9066</v>
      </c>
    </row>
    <row r="382" spans="1:20" x14ac:dyDescent="0.25">
      <c r="A382" t="s">
        <v>9532</v>
      </c>
      <c r="B382">
        <v>-19.8</v>
      </c>
      <c r="C382">
        <v>616.5</v>
      </c>
      <c r="D382">
        <v>22.85083333</v>
      </c>
      <c r="E382">
        <v>20.448333330000001</v>
      </c>
      <c r="F382">
        <v>25.076666670000002</v>
      </c>
      <c r="G382">
        <v>1.721666667</v>
      </c>
      <c r="H382">
        <v>1.0083333329999999</v>
      </c>
      <c r="I382">
        <v>2.36</v>
      </c>
      <c r="J382">
        <v>4727.6000000000004</v>
      </c>
      <c r="K382">
        <v>3787.9375</v>
      </c>
      <c r="L382">
        <v>5774.1666670000004</v>
      </c>
      <c r="M382">
        <v>17.887499999999999</v>
      </c>
      <c r="N382">
        <v>16.82833333</v>
      </c>
      <c r="O382">
        <v>19.100000000000001</v>
      </c>
      <c r="Q382" t="s">
        <v>333</v>
      </c>
      <c r="R382" t="s">
        <v>9533</v>
      </c>
      <c r="S382" t="s">
        <v>9058</v>
      </c>
      <c r="T382" t="s">
        <v>9059</v>
      </c>
    </row>
    <row r="383" spans="1:20" x14ac:dyDescent="0.25">
      <c r="A383" t="s">
        <v>9534</v>
      </c>
      <c r="B383">
        <v>-19.8</v>
      </c>
      <c r="C383">
        <v>616.5</v>
      </c>
      <c r="D383">
        <v>22.894166670000001</v>
      </c>
      <c r="E383">
        <v>20.206666670000001</v>
      </c>
      <c r="F383">
        <v>25.414999999999999</v>
      </c>
      <c r="G383">
        <v>1.684166667</v>
      </c>
      <c r="H383">
        <v>1.0816666669999999</v>
      </c>
      <c r="I383">
        <v>2.2416666670000001</v>
      </c>
      <c r="J383">
        <v>4898.5783330000004</v>
      </c>
      <c r="K383">
        <v>4207.9166670000004</v>
      </c>
      <c r="L383">
        <v>5829.4375</v>
      </c>
      <c r="M383">
        <v>17.619166669999998</v>
      </c>
      <c r="N383">
        <v>16.53166667</v>
      </c>
      <c r="O383">
        <v>18.84333333</v>
      </c>
      <c r="Q383" t="s">
        <v>333</v>
      </c>
      <c r="R383" t="s">
        <v>9533</v>
      </c>
      <c r="S383" t="s">
        <v>9058</v>
      </c>
      <c r="T383" t="s">
        <v>9061</v>
      </c>
    </row>
    <row r="384" spans="1:20" x14ac:dyDescent="0.25">
      <c r="A384" t="s">
        <v>6866</v>
      </c>
      <c r="B384">
        <v>-15.31</v>
      </c>
      <c r="C384">
        <v>880</v>
      </c>
      <c r="D384">
        <v>22.709166669999998</v>
      </c>
      <c r="E384">
        <v>19.823333330000001</v>
      </c>
      <c r="F384">
        <v>25.526666670000001</v>
      </c>
      <c r="G384">
        <v>2.9108333329999998</v>
      </c>
      <c r="H384">
        <v>2.016666667</v>
      </c>
      <c r="I384">
        <v>3.6833333330000002</v>
      </c>
      <c r="J384">
        <v>5430.0716670000002</v>
      </c>
      <c r="K384">
        <v>4639.6875</v>
      </c>
      <c r="L384">
        <v>6304.0416670000004</v>
      </c>
      <c r="M384">
        <v>15.96916667</v>
      </c>
      <c r="N384">
        <v>14.570833329999999</v>
      </c>
      <c r="O384">
        <v>17.695</v>
      </c>
      <c r="Q384" t="s">
        <v>333</v>
      </c>
      <c r="R384" t="s">
        <v>9535</v>
      </c>
      <c r="S384" t="s">
        <v>9065</v>
      </c>
      <c r="T384" t="s">
        <v>9066</v>
      </c>
    </row>
    <row r="385" spans="1:20" x14ac:dyDescent="0.25">
      <c r="A385" t="s">
        <v>9536</v>
      </c>
      <c r="B385">
        <v>-15.3</v>
      </c>
      <c r="C385">
        <v>881.5</v>
      </c>
      <c r="D385">
        <v>23.48416667</v>
      </c>
      <c r="E385">
        <v>20.425000000000001</v>
      </c>
      <c r="F385">
        <v>26.51166667</v>
      </c>
      <c r="G385">
        <v>2.8075000000000001</v>
      </c>
      <c r="H385">
        <v>1.9583333329999999</v>
      </c>
      <c r="I385">
        <v>3.51</v>
      </c>
      <c r="J385">
        <v>5635.0366670000003</v>
      </c>
      <c r="K385">
        <v>5195.1041670000004</v>
      </c>
      <c r="L385">
        <v>6313.5833329999996</v>
      </c>
      <c r="M385">
        <v>14.286666670000001</v>
      </c>
      <c r="N385">
        <v>12.6625</v>
      </c>
      <c r="O385">
        <v>16.10166667</v>
      </c>
      <c r="Q385" t="s">
        <v>333</v>
      </c>
      <c r="R385" t="s">
        <v>9535</v>
      </c>
      <c r="S385" t="s">
        <v>9058</v>
      </c>
      <c r="T385" t="s">
        <v>9061</v>
      </c>
    </row>
    <row r="386" spans="1:20" x14ac:dyDescent="0.25">
      <c r="A386" t="s">
        <v>6802</v>
      </c>
      <c r="B386">
        <v>-19.989999999999998</v>
      </c>
      <c r="C386">
        <v>568</v>
      </c>
      <c r="D386">
        <v>22.78083333</v>
      </c>
      <c r="E386">
        <v>19.278333329999999</v>
      </c>
      <c r="F386">
        <v>26.29666667</v>
      </c>
      <c r="G386">
        <v>2.2383333329999999</v>
      </c>
      <c r="H386">
        <v>1.2749999999999999</v>
      </c>
      <c r="I386">
        <v>3.0666666669999998</v>
      </c>
      <c r="J386">
        <v>4828.5508330000002</v>
      </c>
      <c r="K386">
        <v>4020.604167</v>
      </c>
      <c r="L386">
        <v>5792.875</v>
      </c>
      <c r="M386">
        <v>15.93333333</v>
      </c>
      <c r="N386">
        <v>14.56666667</v>
      </c>
      <c r="O386">
        <v>17.666666670000001</v>
      </c>
      <c r="Q386" t="s">
        <v>333</v>
      </c>
      <c r="R386" t="s">
        <v>9537</v>
      </c>
      <c r="S386" t="s">
        <v>9065</v>
      </c>
      <c r="T386" t="s">
        <v>9066</v>
      </c>
    </row>
    <row r="387" spans="1:20" x14ac:dyDescent="0.25">
      <c r="A387" t="s">
        <v>9538</v>
      </c>
      <c r="B387">
        <v>-19.989999999999998</v>
      </c>
      <c r="C387">
        <v>569.5</v>
      </c>
      <c r="D387">
        <v>23.831666670000001</v>
      </c>
      <c r="E387">
        <v>20.190000000000001</v>
      </c>
      <c r="F387">
        <v>27.706666670000001</v>
      </c>
      <c r="G387">
        <v>1.8858333329999999</v>
      </c>
      <c r="H387">
        <v>0.84583333299999997</v>
      </c>
      <c r="I387">
        <v>2.701666667</v>
      </c>
      <c r="J387">
        <v>5490.5558330000003</v>
      </c>
      <c r="K387">
        <v>5096.6458329999996</v>
      </c>
      <c r="L387">
        <v>6218.25</v>
      </c>
      <c r="M387">
        <v>15.7925</v>
      </c>
      <c r="N387">
        <v>14.231666669999999</v>
      </c>
      <c r="O387">
        <v>17.484999999999999</v>
      </c>
      <c r="Q387" t="s">
        <v>333</v>
      </c>
      <c r="R387" t="s">
        <v>9537</v>
      </c>
      <c r="S387" t="s">
        <v>9058</v>
      </c>
      <c r="T387" t="s">
        <v>9061</v>
      </c>
    </row>
    <row r="388" spans="1:20" x14ac:dyDescent="0.25">
      <c r="A388" t="s">
        <v>6828</v>
      </c>
      <c r="B388">
        <v>-18.760000000000002</v>
      </c>
      <c r="C388">
        <v>670</v>
      </c>
      <c r="D388">
        <v>22.855833329999999</v>
      </c>
      <c r="E388">
        <v>19.57833333</v>
      </c>
      <c r="F388">
        <v>26.186666670000001</v>
      </c>
      <c r="G388">
        <v>1.7391666670000001</v>
      </c>
      <c r="H388">
        <v>0.89</v>
      </c>
      <c r="I388">
        <v>2.4166666669999999</v>
      </c>
      <c r="J388">
        <v>5516.03</v>
      </c>
      <c r="K388">
        <v>4850.4166670000004</v>
      </c>
      <c r="L388">
        <v>6383.4791670000004</v>
      </c>
      <c r="M388">
        <v>16.664999999999999</v>
      </c>
      <c r="N388">
        <v>15.43083333</v>
      </c>
      <c r="O388">
        <v>18.118333329999999</v>
      </c>
      <c r="Q388" t="s">
        <v>333</v>
      </c>
      <c r="R388" t="s">
        <v>9539</v>
      </c>
      <c r="S388" t="s">
        <v>9065</v>
      </c>
      <c r="T388" t="s">
        <v>9066</v>
      </c>
    </row>
    <row r="389" spans="1:20" x14ac:dyDescent="0.25">
      <c r="A389" t="s">
        <v>9540</v>
      </c>
      <c r="B389">
        <v>-18.75</v>
      </c>
      <c r="C389">
        <v>671.5</v>
      </c>
      <c r="D389">
        <v>23.22</v>
      </c>
      <c r="E389">
        <v>19.68333333</v>
      </c>
      <c r="F389">
        <v>26.78166667</v>
      </c>
      <c r="G389">
        <v>1.7516666670000001</v>
      </c>
      <c r="H389">
        <v>0.76666666699999997</v>
      </c>
      <c r="I389">
        <v>2.5016666669999998</v>
      </c>
      <c r="J389">
        <v>5587.6483330000001</v>
      </c>
      <c r="K389">
        <v>5044.6458329999996</v>
      </c>
      <c r="L389">
        <v>6269.8541670000004</v>
      </c>
      <c r="M389">
        <v>15.01</v>
      </c>
      <c r="N389">
        <v>13.581666670000001</v>
      </c>
      <c r="O389">
        <v>16.676666669999999</v>
      </c>
      <c r="Q389" t="s">
        <v>333</v>
      </c>
      <c r="R389" t="s">
        <v>9541</v>
      </c>
      <c r="S389" t="s">
        <v>9058</v>
      </c>
      <c r="T389" t="s">
        <v>9061</v>
      </c>
    </row>
    <row r="390" spans="1:20" x14ac:dyDescent="0.25">
      <c r="A390" t="s">
        <v>6821</v>
      </c>
      <c r="B390">
        <v>-18.23</v>
      </c>
      <c r="C390">
        <v>1356</v>
      </c>
      <c r="D390">
        <v>18.6325</v>
      </c>
      <c r="E390">
        <v>16.41416667</v>
      </c>
      <c r="F390">
        <v>20.535</v>
      </c>
      <c r="G390">
        <v>3.0083333329999999</v>
      </c>
      <c r="H390">
        <v>2.0249999999999999</v>
      </c>
      <c r="I390">
        <v>3.8374999999999999</v>
      </c>
      <c r="J390">
        <v>4810.2341669999996</v>
      </c>
      <c r="K390">
        <v>3853</v>
      </c>
      <c r="L390">
        <v>5829.4166670000004</v>
      </c>
      <c r="M390">
        <v>14.41</v>
      </c>
      <c r="N390">
        <v>13.4</v>
      </c>
      <c r="O390">
        <v>15.733333330000001</v>
      </c>
      <c r="Q390" t="s">
        <v>333</v>
      </c>
      <c r="R390" t="s">
        <v>9542</v>
      </c>
      <c r="S390" t="s">
        <v>9065</v>
      </c>
      <c r="T390" t="s">
        <v>9066</v>
      </c>
    </row>
    <row r="391" spans="1:20" x14ac:dyDescent="0.25">
      <c r="A391" t="s">
        <v>9543</v>
      </c>
      <c r="B391">
        <v>-18.23</v>
      </c>
      <c r="C391">
        <v>1357.5</v>
      </c>
      <c r="D391">
        <v>19.43333333</v>
      </c>
      <c r="E391">
        <v>17.190000000000001</v>
      </c>
      <c r="F391">
        <v>21.478333330000002</v>
      </c>
      <c r="G391">
        <v>1.983333333</v>
      </c>
      <c r="H391">
        <v>0.99833333300000004</v>
      </c>
      <c r="I391">
        <v>2.8333333330000001</v>
      </c>
      <c r="J391">
        <v>5265.7574999999997</v>
      </c>
      <c r="K391">
        <v>4444.7916670000004</v>
      </c>
      <c r="L391">
        <v>6254.3125</v>
      </c>
      <c r="M391">
        <v>14.286666670000001</v>
      </c>
      <c r="N391">
        <v>13.065</v>
      </c>
      <c r="O391">
        <v>15.668333329999999</v>
      </c>
      <c r="Q391" t="s">
        <v>333</v>
      </c>
      <c r="R391" t="s">
        <v>9542</v>
      </c>
      <c r="S391" t="s">
        <v>9058</v>
      </c>
      <c r="T391" t="s">
        <v>9059</v>
      </c>
    </row>
    <row r="392" spans="1:20" x14ac:dyDescent="0.25">
      <c r="A392" t="s">
        <v>9544</v>
      </c>
      <c r="B392">
        <v>-18.23</v>
      </c>
      <c r="C392">
        <v>1357.5</v>
      </c>
      <c r="D392">
        <v>19.081666670000001</v>
      </c>
      <c r="E392">
        <v>16.806666669999998</v>
      </c>
      <c r="F392">
        <v>21.22666667</v>
      </c>
      <c r="G392">
        <v>2.2599999999999998</v>
      </c>
      <c r="H392">
        <v>1.4066666670000001</v>
      </c>
      <c r="I392">
        <v>3.01</v>
      </c>
      <c r="J392">
        <v>5197.2033330000004</v>
      </c>
      <c r="K392">
        <v>4496.8333329999996</v>
      </c>
      <c r="L392">
        <v>6133.9166670000004</v>
      </c>
      <c r="M392">
        <v>14.025</v>
      </c>
      <c r="N392">
        <v>12.922499999999999</v>
      </c>
      <c r="O392">
        <v>15.4</v>
      </c>
      <c r="Q392" t="s">
        <v>333</v>
      </c>
      <c r="R392" t="s">
        <v>9542</v>
      </c>
      <c r="S392" t="s">
        <v>9058</v>
      </c>
      <c r="T392" t="s">
        <v>9061</v>
      </c>
    </row>
    <row r="393" spans="1:20" x14ac:dyDescent="0.25">
      <c r="A393" t="s">
        <v>6795</v>
      </c>
      <c r="B393">
        <v>-19.46</v>
      </c>
      <c r="C393">
        <v>722</v>
      </c>
      <c r="D393">
        <v>21.99583333</v>
      </c>
      <c r="E393">
        <v>18.79</v>
      </c>
      <c r="F393">
        <v>25.045000000000002</v>
      </c>
      <c r="G393">
        <v>2.224166667</v>
      </c>
      <c r="H393">
        <v>1.39</v>
      </c>
      <c r="I393">
        <v>2.9183333330000001</v>
      </c>
      <c r="J393">
        <v>5112.5150000000003</v>
      </c>
      <c r="K393">
        <v>4502.25</v>
      </c>
      <c r="L393">
        <v>6018.3541670000004</v>
      </c>
      <c r="M393">
        <v>15.205</v>
      </c>
      <c r="N393">
        <v>13.85</v>
      </c>
      <c r="O393">
        <v>16.776666670000001</v>
      </c>
      <c r="Q393" t="s">
        <v>333</v>
      </c>
      <c r="R393" t="s">
        <v>9545</v>
      </c>
      <c r="S393" t="s">
        <v>9065</v>
      </c>
      <c r="T393" t="s">
        <v>9066</v>
      </c>
    </row>
    <row r="394" spans="1:20" x14ac:dyDescent="0.25">
      <c r="A394" t="s">
        <v>6293</v>
      </c>
      <c r="B394">
        <v>-14.92</v>
      </c>
      <c r="C394">
        <v>570</v>
      </c>
      <c r="D394">
        <v>25.03</v>
      </c>
      <c r="E394">
        <v>22.05</v>
      </c>
      <c r="F394">
        <v>28.001666669999999</v>
      </c>
      <c r="G394">
        <v>2.2716666669999999</v>
      </c>
      <c r="H394">
        <v>1.2166666669999999</v>
      </c>
      <c r="I394">
        <v>3.201666667</v>
      </c>
      <c r="J394">
        <v>5662.38</v>
      </c>
      <c r="K394">
        <v>5032.7083329999996</v>
      </c>
      <c r="L394">
        <v>6503.3958329999996</v>
      </c>
      <c r="M394">
        <v>15.87916667</v>
      </c>
      <c r="N394">
        <v>14.38833333</v>
      </c>
      <c r="O394">
        <v>17.743333329999999</v>
      </c>
      <c r="Q394" t="s">
        <v>333</v>
      </c>
      <c r="R394" t="s">
        <v>9546</v>
      </c>
      <c r="S394" t="s">
        <v>9065</v>
      </c>
      <c r="T394" t="s">
        <v>9066</v>
      </c>
    </row>
    <row r="395" spans="1:20" x14ac:dyDescent="0.25">
      <c r="A395" t="s">
        <v>9547</v>
      </c>
      <c r="B395">
        <v>-14.91</v>
      </c>
      <c r="C395">
        <v>571.5</v>
      </c>
      <c r="D395">
        <v>25.224166669999999</v>
      </c>
      <c r="E395">
        <v>21.934999999999999</v>
      </c>
      <c r="F395">
        <v>28.25333333</v>
      </c>
      <c r="G395">
        <v>2.8208333329999999</v>
      </c>
      <c r="H395">
        <v>1.798333333</v>
      </c>
      <c r="I395">
        <v>3.8</v>
      </c>
      <c r="J395">
        <v>5709.5424999999996</v>
      </c>
      <c r="K395">
        <v>5089.4375</v>
      </c>
      <c r="L395">
        <v>6578.1041670000004</v>
      </c>
      <c r="M395">
        <v>14.858333330000001</v>
      </c>
      <c r="N395">
        <v>13.202500000000001</v>
      </c>
      <c r="O395">
        <v>16.785</v>
      </c>
      <c r="Q395" t="s">
        <v>333</v>
      </c>
      <c r="R395" t="s">
        <v>9546</v>
      </c>
      <c r="S395" t="s">
        <v>9058</v>
      </c>
      <c r="T395" t="s">
        <v>9061</v>
      </c>
    </row>
    <row r="396" spans="1:20" x14ac:dyDescent="0.25">
      <c r="A396" t="s">
        <v>6879</v>
      </c>
      <c r="B396">
        <v>-19.89</v>
      </c>
      <c r="C396">
        <v>742</v>
      </c>
      <c r="D396">
        <v>20.212499999999999</v>
      </c>
      <c r="E396">
        <v>16.159166670000001</v>
      </c>
      <c r="F396">
        <v>24.513333329999998</v>
      </c>
      <c r="G396">
        <v>0.80916666699999995</v>
      </c>
      <c r="H396">
        <v>8.3333330000000001E-3</v>
      </c>
      <c r="I396">
        <v>1.483333333</v>
      </c>
      <c r="J396">
        <v>5623.04</v>
      </c>
      <c r="K396">
        <v>4954.7083329999996</v>
      </c>
      <c r="L396">
        <v>6590.9166670000004</v>
      </c>
      <c r="M396">
        <v>14.418333329999999</v>
      </c>
      <c r="N396">
        <v>12.92333333</v>
      </c>
      <c r="O396">
        <v>16.043333329999999</v>
      </c>
      <c r="Q396" t="s">
        <v>333</v>
      </c>
      <c r="R396" t="s">
        <v>9548</v>
      </c>
      <c r="S396" t="s">
        <v>9065</v>
      </c>
      <c r="T396" t="s">
        <v>9066</v>
      </c>
    </row>
    <row r="397" spans="1:20" x14ac:dyDescent="0.25">
      <c r="A397" t="s">
        <v>9549</v>
      </c>
      <c r="B397">
        <v>-19.88</v>
      </c>
      <c r="C397">
        <v>743.5</v>
      </c>
      <c r="D397">
        <v>21.198333330000001</v>
      </c>
      <c r="E397">
        <v>17.17166667</v>
      </c>
      <c r="F397">
        <v>25.285</v>
      </c>
      <c r="G397">
        <v>0.96750000000000003</v>
      </c>
      <c r="H397">
        <v>0.26666666700000002</v>
      </c>
      <c r="I397">
        <v>1.52</v>
      </c>
      <c r="J397">
        <v>5309.0883329999997</v>
      </c>
      <c r="K397">
        <v>4655.0208329999996</v>
      </c>
      <c r="L397">
        <v>6155.625</v>
      </c>
      <c r="M397">
        <v>15.49666667</v>
      </c>
      <c r="N397">
        <v>14.225</v>
      </c>
      <c r="O397">
        <v>17.01166667</v>
      </c>
      <c r="Q397" t="s">
        <v>333</v>
      </c>
      <c r="R397" t="s">
        <v>9548</v>
      </c>
      <c r="S397" t="s">
        <v>9058</v>
      </c>
      <c r="T397" t="s">
        <v>9061</v>
      </c>
    </row>
    <row r="398" spans="1:20" x14ac:dyDescent="0.25">
      <c r="A398" t="s">
        <v>6803</v>
      </c>
      <c r="B398">
        <v>-20.46</v>
      </c>
      <c r="C398">
        <v>878</v>
      </c>
      <c r="D398">
        <v>20.936666670000001</v>
      </c>
      <c r="E398">
        <v>17.947500000000002</v>
      </c>
      <c r="F398">
        <v>23.88</v>
      </c>
      <c r="G398">
        <v>1.878333333</v>
      </c>
      <c r="H398">
        <v>0.64583333300000001</v>
      </c>
      <c r="I398">
        <v>2.82</v>
      </c>
      <c r="J398">
        <v>4925.5858330000001</v>
      </c>
      <c r="K398">
        <v>4183.875</v>
      </c>
      <c r="L398">
        <v>5894.7083329999996</v>
      </c>
      <c r="M398">
        <v>14.723333330000001</v>
      </c>
      <c r="N398">
        <v>13.414999999999999</v>
      </c>
      <c r="O398">
        <v>16.21</v>
      </c>
      <c r="Q398" t="s">
        <v>333</v>
      </c>
      <c r="R398" t="s">
        <v>9550</v>
      </c>
      <c r="S398" t="s">
        <v>9065</v>
      </c>
      <c r="T398" t="s">
        <v>9066</v>
      </c>
    </row>
    <row r="399" spans="1:20" x14ac:dyDescent="0.25">
      <c r="A399" t="s">
        <v>9551</v>
      </c>
      <c r="B399">
        <v>-20.45</v>
      </c>
      <c r="C399">
        <v>879.5</v>
      </c>
      <c r="D399">
        <v>21.515000000000001</v>
      </c>
      <c r="E399">
        <v>18.274999999999999</v>
      </c>
      <c r="F399">
        <v>24.8</v>
      </c>
      <c r="G399">
        <v>1.650833333</v>
      </c>
      <c r="H399">
        <v>0.45833333300000001</v>
      </c>
      <c r="I399">
        <v>2.5516666670000001</v>
      </c>
      <c r="J399">
        <v>5298.6125000000002</v>
      </c>
      <c r="K399">
        <v>4567.5833329999996</v>
      </c>
      <c r="L399">
        <v>6107.1458329999996</v>
      </c>
      <c r="M399">
        <v>14.52</v>
      </c>
      <c r="N399">
        <v>13.09</v>
      </c>
      <c r="O399">
        <v>16.166666670000001</v>
      </c>
      <c r="Q399" t="s">
        <v>333</v>
      </c>
      <c r="R399" t="s">
        <v>9550</v>
      </c>
      <c r="S399" t="s">
        <v>9058</v>
      </c>
      <c r="T399" t="s">
        <v>9061</v>
      </c>
    </row>
    <row r="400" spans="1:20" x14ac:dyDescent="0.25">
      <c r="A400" t="s">
        <v>9552</v>
      </c>
      <c r="B400">
        <v>-20.03</v>
      </c>
      <c r="C400">
        <v>543</v>
      </c>
      <c r="D400">
        <v>25.713333330000001</v>
      </c>
      <c r="E400">
        <v>23.008333329999999</v>
      </c>
      <c r="F400">
        <v>28.356666669999999</v>
      </c>
      <c r="G400">
        <v>1.608333333</v>
      </c>
      <c r="H400">
        <v>0.95833333300000001</v>
      </c>
      <c r="I400">
        <v>2.2116666669999998</v>
      </c>
      <c r="J400">
        <v>5342.8033329999998</v>
      </c>
      <c r="K400">
        <v>4643.4375</v>
      </c>
      <c r="L400">
        <v>6206</v>
      </c>
      <c r="M400">
        <v>17.324999999999999</v>
      </c>
      <c r="N400">
        <v>15.805</v>
      </c>
      <c r="O400">
        <v>18.804166670000001</v>
      </c>
      <c r="Q400" t="s">
        <v>333</v>
      </c>
      <c r="R400" t="s">
        <v>9553</v>
      </c>
      <c r="S400" t="s">
        <v>9058</v>
      </c>
      <c r="T400" t="s">
        <v>9059</v>
      </c>
    </row>
    <row r="401" spans="1:20" x14ac:dyDescent="0.25">
      <c r="A401" t="s">
        <v>9554</v>
      </c>
      <c r="B401">
        <v>-20.03</v>
      </c>
      <c r="C401">
        <v>543</v>
      </c>
      <c r="D401">
        <v>24.32</v>
      </c>
      <c r="E401">
        <v>21.463333330000001</v>
      </c>
      <c r="F401">
        <v>26.908333330000001</v>
      </c>
      <c r="G401">
        <v>2.0041666669999998</v>
      </c>
      <c r="H401">
        <v>1.35</v>
      </c>
      <c r="I401">
        <v>2.5833333330000001</v>
      </c>
      <c r="J401">
        <v>5296.8424999999997</v>
      </c>
      <c r="K401">
        <v>4649.6041670000004</v>
      </c>
      <c r="L401">
        <v>6121.4166670000004</v>
      </c>
      <c r="M401">
        <v>17.201666670000002</v>
      </c>
      <c r="N401">
        <v>15.873333329999999</v>
      </c>
      <c r="O401">
        <v>18.68333333</v>
      </c>
      <c r="Q401" t="s">
        <v>333</v>
      </c>
      <c r="R401" t="s">
        <v>9553</v>
      </c>
      <c r="S401" t="s">
        <v>9058</v>
      </c>
      <c r="T401" t="s">
        <v>9061</v>
      </c>
    </row>
    <row r="402" spans="1:20" x14ac:dyDescent="0.25">
      <c r="A402" t="s">
        <v>6814</v>
      </c>
      <c r="B402">
        <v>-18.850000000000001</v>
      </c>
      <c r="C402">
        <v>263</v>
      </c>
      <c r="D402">
        <v>24.05083333</v>
      </c>
      <c r="E402">
        <v>21.248333330000001</v>
      </c>
      <c r="F402">
        <v>26.736666670000002</v>
      </c>
      <c r="G402">
        <v>1.4650000000000001</v>
      </c>
      <c r="H402">
        <v>0.57499999999999996</v>
      </c>
      <c r="I402">
        <v>2.11</v>
      </c>
      <c r="J402">
        <v>5041.8725000000004</v>
      </c>
      <c r="K402">
        <v>4122.6458329999996</v>
      </c>
      <c r="L402">
        <v>6046.8333329999996</v>
      </c>
      <c r="M402">
        <v>18.689166669999999</v>
      </c>
      <c r="N402">
        <v>17.570833329999999</v>
      </c>
      <c r="O402">
        <v>19.866666670000001</v>
      </c>
      <c r="Q402" t="s">
        <v>333</v>
      </c>
      <c r="R402" t="s">
        <v>9555</v>
      </c>
      <c r="S402" t="s">
        <v>9065</v>
      </c>
      <c r="T402" t="s">
        <v>9066</v>
      </c>
    </row>
    <row r="403" spans="1:20" x14ac:dyDescent="0.25">
      <c r="A403" t="s">
        <v>9556</v>
      </c>
      <c r="B403">
        <v>-18.78</v>
      </c>
      <c r="C403">
        <v>264.5</v>
      </c>
      <c r="D403">
        <v>24.443333330000002</v>
      </c>
      <c r="E403">
        <v>21.4</v>
      </c>
      <c r="F403">
        <v>27.344999999999999</v>
      </c>
      <c r="G403">
        <v>1.7066666669999999</v>
      </c>
      <c r="H403">
        <v>0.81666666700000001</v>
      </c>
      <c r="I403">
        <v>2.3933333330000002</v>
      </c>
      <c r="J403">
        <v>4850.8266670000003</v>
      </c>
      <c r="K403">
        <v>3931.5</v>
      </c>
      <c r="L403">
        <v>5888.2916670000004</v>
      </c>
      <c r="M403">
        <v>17.520833329999999</v>
      </c>
      <c r="N403">
        <v>16.391666669999999</v>
      </c>
      <c r="O403">
        <v>18.895</v>
      </c>
      <c r="Q403" t="s">
        <v>333</v>
      </c>
      <c r="R403" t="s">
        <v>9557</v>
      </c>
      <c r="S403" t="s">
        <v>9058</v>
      </c>
      <c r="T403" t="s">
        <v>9061</v>
      </c>
    </row>
    <row r="404" spans="1:20" x14ac:dyDescent="0.25">
      <c r="A404" t="s">
        <v>9558</v>
      </c>
      <c r="B404">
        <v>-18.78</v>
      </c>
      <c r="C404">
        <v>861.5</v>
      </c>
      <c r="D404">
        <v>20.96166667</v>
      </c>
      <c r="E404">
        <v>17.971666670000001</v>
      </c>
      <c r="F404">
        <v>23.56</v>
      </c>
      <c r="G404">
        <v>1.6233333329999999</v>
      </c>
      <c r="H404">
        <v>0.88</v>
      </c>
      <c r="I404">
        <v>2.2250000000000001</v>
      </c>
      <c r="J404">
        <v>4975.9858329999997</v>
      </c>
      <c r="K404">
        <v>4159.3125</v>
      </c>
      <c r="L404">
        <v>6077.4375</v>
      </c>
      <c r="M404">
        <v>15.686666669999999</v>
      </c>
      <c r="N404">
        <v>14.481666669999999</v>
      </c>
      <c r="O404">
        <v>17.083333329999999</v>
      </c>
      <c r="Q404" t="s">
        <v>333</v>
      </c>
      <c r="R404" t="s">
        <v>9559</v>
      </c>
      <c r="S404" t="s">
        <v>9058</v>
      </c>
      <c r="T404" t="s">
        <v>9061</v>
      </c>
    </row>
    <row r="405" spans="1:20" x14ac:dyDescent="0.25">
      <c r="A405" t="s">
        <v>6989</v>
      </c>
      <c r="B405">
        <v>-17.77</v>
      </c>
      <c r="C405">
        <v>616</v>
      </c>
      <c r="D405">
        <v>21.14</v>
      </c>
      <c r="E405">
        <v>18.356666669999999</v>
      </c>
      <c r="F405">
        <v>23.998333330000001</v>
      </c>
      <c r="G405">
        <v>2.6850000000000001</v>
      </c>
      <c r="H405">
        <v>1.65</v>
      </c>
      <c r="I405">
        <v>3.5666666669999998</v>
      </c>
      <c r="J405">
        <v>5205.9891669999997</v>
      </c>
      <c r="K405">
        <v>4361.6458329999996</v>
      </c>
      <c r="L405">
        <v>6130.1666670000004</v>
      </c>
      <c r="M405">
        <v>15.900833329999999</v>
      </c>
      <c r="N405">
        <v>14.748333329999999</v>
      </c>
      <c r="O405">
        <v>17.309999999999999</v>
      </c>
      <c r="Q405" t="s">
        <v>333</v>
      </c>
      <c r="R405" t="s">
        <v>9560</v>
      </c>
      <c r="S405" t="s">
        <v>9065</v>
      </c>
      <c r="T405" t="s">
        <v>9066</v>
      </c>
    </row>
    <row r="406" spans="1:20" x14ac:dyDescent="0.25">
      <c r="A406" t="s">
        <v>9561</v>
      </c>
      <c r="B406">
        <v>-17.57</v>
      </c>
      <c r="C406">
        <v>1001.5</v>
      </c>
      <c r="D406">
        <v>21.981666669999999</v>
      </c>
      <c r="E406">
        <v>18.923333329999998</v>
      </c>
      <c r="F406">
        <v>25.085000000000001</v>
      </c>
      <c r="G406">
        <v>1.326666667</v>
      </c>
      <c r="H406">
        <v>0.29166666699999999</v>
      </c>
      <c r="I406">
        <v>2.2000000000000002</v>
      </c>
      <c r="J406">
        <v>5543.7741669999996</v>
      </c>
      <c r="K406">
        <v>5054.1666670000004</v>
      </c>
      <c r="L406">
        <v>6325.2291670000004</v>
      </c>
      <c r="M406">
        <v>14.87166667</v>
      </c>
      <c r="N406">
        <v>13.588333329999999</v>
      </c>
      <c r="O406">
        <v>16.35166667</v>
      </c>
      <c r="Q406" t="s">
        <v>333</v>
      </c>
      <c r="R406" t="s">
        <v>9562</v>
      </c>
      <c r="S406" t="s">
        <v>9058</v>
      </c>
      <c r="T406" t="s">
        <v>9061</v>
      </c>
    </row>
    <row r="407" spans="1:20" x14ac:dyDescent="0.25">
      <c r="A407" t="s">
        <v>9563</v>
      </c>
      <c r="B407">
        <v>-20.03</v>
      </c>
      <c r="C407">
        <v>1209.5</v>
      </c>
      <c r="D407">
        <v>20.2</v>
      </c>
      <c r="E407">
        <v>17.55</v>
      </c>
      <c r="F407">
        <v>22.768333330000001</v>
      </c>
      <c r="G407">
        <v>3.1074999999999999</v>
      </c>
      <c r="H407">
        <v>1.9466666669999999</v>
      </c>
      <c r="I407">
        <v>4.1833333330000002</v>
      </c>
      <c r="J407">
        <v>5253.2025000000003</v>
      </c>
      <c r="K407">
        <v>4628.7916670000004</v>
      </c>
      <c r="L407">
        <v>6047.1666670000004</v>
      </c>
      <c r="M407">
        <v>13.975</v>
      </c>
      <c r="N407">
        <v>12.72</v>
      </c>
      <c r="O407">
        <v>15.494999999999999</v>
      </c>
      <c r="Q407" t="s">
        <v>333</v>
      </c>
      <c r="R407" t="s">
        <v>9564</v>
      </c>
      <c r="S407" t="s">
        <v>9058</v>
      </c>
      <c r="T407" t="s">
        <v>9061</v>
      </c>
    </row>
    <row r="408" spans="1:20" x14ac:dyDescent="0.25">
      <c r="A408" t="s">
        <v>6849</v>
      </c>
      <c r="B408">
        <v>-20.03</v>
      </c>
      <c r="C408">
        <v>1208</v>
      </c>
      <c r="D408">
        <v>19.965</v>
      </c>
      <c r="E408">
        <v>17.673333329999998</v>
      </c>
      <c r="F408">
        <v>22.061666670000001</v>
      </c>
      <c r="G408">
        <v>3.7608333329999999</v>
      </c>
      <c r="H408">
        <v>2.298333333</v>
      </c>
      <c r="I408">
        <v>5.0433333329999996</v>
      </c>
      <c r="J408">
        <v>4937.5483329999997</v>
      </c>
      <c r="K408">
        <v>4110.875</v>
      </c>
      <c r="L408">
        <v>5867.6458329999996</v>
      </c>
      <c r="M408">
        <v>14.695833329999999</v>
      </c>
      <c r="N408">
        <v>13.623333329999999</v>
      </c>
      <c r="O408">
        <v>16</v>
      </c>
      <c r="Q408" t="s">
        <v>333</v>
      </c>
      <c r="R408" t="s">
        <v>9565</v>
      </c>
      <c r="S408" t="s">
        <v>9065</v>
      </c>
      <c r="T408" t="s">
        <v>9066</v>
      </c>
    </row>
    <row r="409" spans="1:20" x14ac:dyDescent="0.25">
      <c r="A409" t="s">
        <v>6805</v>
      </c>
      <c r="B409">
        <v>-16.34</v>
      </c>
      <c r="C409">
        <v>266</v>
      </c>
      <c r="D409">
        <v>25.229166670000001</v>
      </c>
      <c r="E409">
        <v>22.17</v>
      </c>
      <c r="F409">
        <v>28.105</v>
      </c>
      <c r="G409">
        <v>1.6566666670000001</v>
      </c>
      <c r="H409">
        <v>0.74583333299999999</v>
      </c>
      <c r="I409">
        <v>2.4216666670000002</v>
      </c>
      <c r="J409">
        <v>5249.625</v>
      </c>
      <c r="K409">
        <v>4440.6458329999996</v>
      </c>
      <c r="L409">
        <v>6282.8958329999996</v>
      </c>
      <c r="M409">
        <v>17.545000000000002</v>
      </c>
      <c r="N409">
        <v>16.29</v>
      </c>
      <c r="O409">
        <v>19.074999999999999</v>
      </c>
      <c r="Q409" t="s">
        <v>333</v>
      </c>
      <c r="R409" t="s">
        <v>9566</v>
      </c>
      <c r="S409" t="s">
        <v>9065</v>
      </c>
      <c r="T409" t="s">
        <v>9066</v>
      </c>
    </row>
    <row r="410" spans="1:20" x14ac:dyDescent="0.25">
      <c r="A410" t="s">
        <v>9567</v>
      </c>
      <c r="B410">
        <v>-16.579999999999998</v>
      </c>
      <c r="C410">
        <v>267.5</v>
      </c>
      <c r="D410">
        <v>25.331666670000001</v>
      </c>
      <c r="E410">
        <v>22.3125</v>
      </c>
      <c r="F410">
        <v>28.284166670000001</v>
      </c>
      <c r="G410">
        <v>1.516666667</v>
      </c>
      <c r="H410">
        <v>0.78749999999999998</v>
      </c>
      <c r="I410">
        <v>2.1433333330000002</v>
      </c>
      <c r="J410">
        <v>5075.959167</v>
      </c>
      <c r="K410">
        <v>4322.625</v>
      </c>
      <c r="L410">
        <v>6113.7708329999996</v>
      </c>
      <c r="M410">
        <v>16.905000000000001</v>
      </c>
      <c r="N410">
        <v>15.734999999999999</v>
      </c>
      <c r="O410">
        <v>18.301666669999999</v>
      </c>
      <c r="Q410" t="s">
        <v>333</v>
      </c>
      <c r="R410" t="s">
        <v>9566</v>
      </c>
      <c r="S410" t="s">
        <v>9058</v>
      </c>
      <c r="T410" t="s">
        <v>9061</v>
      </c>
    </row>
    <row r="411" spans="1:20" x14ac:dyDescent="0.25">
      <c r="A411" t="s">
        <v>6566</v>
      </c>
      <c r="B411">
        <v>-18.97</v>
      </c>
      <c r="C411">
        <v>560</v>
      </c>
      <c r="D411">
        <v>23.27</v>
      </c>
      <c r="E411">
        <v>19.533333330000001</v>
      </c>
      <c r="F411">
        <v>27.175000000000001</v>
      </c>
      <c r="G411">
        <v>1.701666667</v>
      </c>
      <c r="H411">
        <v>0.63749999999999996</v>
      </c>
      <c r="I411">
        <v>2.4683333329999999</v>
      </c>
      <c r="J411">
        <v>4978.2124999999996</v>
      </c>
      <c r="K411">
        <v>4286.4375</v>
      </c>
      <c r="L411">
        <v>5850.9166670000004</v>
      </c>
      <c r="M411">
        <v>16.330833330000001</v>
      </c>
      <c r="N411">
        <v>15.1225</v>
      </c>
      <c r="O411">
        <v>17.8</v>
      </c>
      <c r="Q411" t="s">
        <v>333</v>
      </c>
      <c r="R411" t="s">
        <v>9568</v>
      </c>
      <c r="S411" t="s">
        <v>9065</v>
      </c>
      <c r="T411" t="s">
        <v>9066</v>
      </c>
    </row>
    <row r="412" spans="1:20" x14ac:dyDescent="0.25">
      <c r="A412" t="s">
        <v>9569</v>
      </c>
      <c r="B412">
        <v>-18.95</v>
      </c>
      <c r="C412">
        <v>561.5</v>
      </c>
      <c r="D412">
        <v>24.162500000000001</v>
      </c>
      <c r="E412">
        <v>20.466666669999999</v>
      </c>
      <c r="F412">
        <v>28.001666669999999</v>
      </c>
      <c r="G412">
        <v>1.62</v>
      </c>
      <c r="H412">
        <v>0.60833333300000003</v>
      </c>
      <c r="I412">
        <v>2.3833333329999999</v>
      </c>
      <c r="J412">
        <v>5446.6833329999999</v>
      </c>
      <c r="K412">
        <v>4984.8541670000004</v>
      </c>
      <c r="L412">
        <v>6183.6666670000004</v>
      </c>
      <c r="M412">
        <v>16.445</v>
      </c>
      <c r="N412">
        <v>14.65666667</v>
      </c>
      <c r="O412">
        <v>18.49666667</v>
      </c>
      <c r="Q412" t="s">
        <v>333</v>
      </c>
      <c r="R412" t="s">
        <v>9568</v>
      </c>
      <c r="S412" t="s">
        <v>9058</v>
      </c>
      <c r="T412" t="s">
        <v>9061</v>
      </c>
    </row>
    <row r="413" spans="1:20" x14ac:dyDescent="0.25">
      <c r="A413" t="s">
        <v>9570</v>
      </c>
      <c r="B413">
        <v>-15.43</v>
      </c>
      <c r="C413">
        <v>474</v>
      </c>
      <c r="D413">
        <v>25.841666669999999</v>
      </c>
      <c r="E413">
        <v>22.838333330000001</v>
      </c>
      <c r="F413">
        <v>28.793333329999999</v>
      </c>
      <c r="G413">
        <v>2.1883333330000001</v>
      </c>
      <c r="H413">
        <v>1.29</v>
      </c>
      <c r="I413">
        <v>3.0016666669999998</v>
      </c>
      <c r="J413">
        <v>5957.103333</v>
      </c>
      <c r="K413">
        <v>5453.25</v>
      </c>
      <c r="L413">
        <v>6738.1666670000004</v>
      </c>
      <c r="M413">
        <v>17.236666670000002</v>
      </c>
      <c r="N413">
        <v>15.84166667</v>
      </c>
      <c r="O413">
        <v>18.809999999999999</v>
      </c>
      <c r="Q413" t="s">
        <v>333</v>
      </c>
      <c r="R413" t="s">
        <v>9571</v>
      </c>
      <c r="S413" t="s">
        <v>9058</v>
      </c>
      <c r="T413" t="s">
        <v>9059</v>
      </c>
    </row>
    <row r="414" spans="1:20" x14ac:dyDescent="0.25">
      <c r="A414" t="s">
        <v>9572</v>
      </c>
      <c r="B414">
        <v>-15.43</v>
      </c>
      <c r="C414">
        <v>474</v>
      </c>
      <c r="D414">
        <v>25.38</v>
      </c>
      <c r="E414">
        <v>22.42</v>
      </c>
      <c r="F414">
        <v>28.028333329999999</v>
      </c>
      <c r="G414">
        <v>2.0916666670000001</v>
      </c>
      <c r="H414">
        <v>1.308333333</v>
      </c>
      <c r="I414">
        <v>2.835</v>
      </c>
      <c r="J414">
        <v>5729.6274999999996</v>
      </c>
      <c r="K414">
        <v>5210.625</v>
      </c>
      <c r="L414">
        <v>6485.8958329999996</v>
      </c>
      <c r="M414">
        <v>16.444166670000001</v>
      </c>
      <c r="N414">
        <v>14.92333333</v>
      </c>
      <c r="O414">
        <v>18.158333330000001</v>
      </c>
      <c r="Q414" t="s">
        <v>333</v>
      </c>
      <c r="R414" t="s">
        <v>9571</v>
      </c>
      <c r="S414" t="s">
        <v>9058</v>
      </c>
      <c r="T414" t="s">
        <v>9061</v>
      </c>
    </row>
    <row r="415" spans="1:20" x14ac:dyDescent="0.25">
      <c r="A415" t="s">
        <v>6870</v>
      </c>
      <c r="B415">
        <v>-17.78</v>
      </c>
      <c r="C415">
        <v>870</v>
      </c>
      <c r="D415">
        <v>22.456666670000001</v>
      </c>
      <c r="E415">
        <v>19.84</v>
      </c>
      <c r="F415">
        <v>24.995000000000001</v>
      </c>
      <c r="G415">
        <v>2.6116666670000002</v>
      </c>
      <c r="H415">
        <v>1.6983333329999999</v>
      </c>
      <c r="I415">
        <v>3.45</v>
      </c>
      <c r="J415">
        <v>5350.2433330000003</v>
      </c>
      <c r="K415">
        <v>4643.4791670000004</v>
      </c>
      <c r="L415">
        <v>6277.1666670000004</v>
      </c>
      <c r="M415">
        <v>15.6675</v>
      </c>
      <c r="N415">
        <v>14.487500000000001</v>
      </c>
      <c r="O415">
        <v>17.204166669999999</v>
      </c>
      <c r="Q415" t="s">
        <v>333</v>
      </c>
      <c r="R415" t="s">
        <v>9573</v>
      </c>
      <c r="S415" t="s">
        <v>9065</v>
      </c>
      <c r="T415" t="s">
        <v>9066</v>
      </c>
    </row>
    <row r="416" spans="1:20" x14ac:dyDescent="0.25">
      <c r="A416" t="s">
        <v>9574</v>
      </c>
      <c r="B416">
        <v>-17.78</v>
      </c>
      <c r="C416">
        <v>871.5</v>
      </c>
      <c r="D416">
        <v>23.034166670000001</v>
      </c>
      <c r="E416">
        <v>20.124166670000001</v>
      </c>
      <c r="F416">
        <v>25.803333330000001</v>
      </c>
      <c r="G416">
        <v>2.1833333330000002</v>
      </c>
      <c r="H416">
        <v>1.3</v>
      </c>
      <c r="I416">
        <v>2.9249999999999998</v>
      </c>
      <c r="J416">
        <v>5597.7124999999996</v>
      </c>
      <c r="K416">
        <v>5141.2291670000004</v>
      </c>
      <c r="L416">
        <v>6300.8125</v>
      </c>
      <c r="M416">
        <v>13.4625</v>
      </c>
      <c r="N416">
        <v>11.856666669999999</v>
      </c>
      <c r="O416">
        <v>15.34333333</v>
      </c>
      <c r="Q416" t="s">
        <v>333</v>
      </c>
      <c r="R416" t="s">
        <v>9573</v>
      </c>
      <c r="S416" t="s">
        <v>9058</v>
      </c>
      <c r="T416" t="s">
        <v>9061</v>
      </c>
    </row>
    <row r="417" spans="1:20" x14ac:dyDescent="0.25">
      <c r="A417" t="s">
        <v>9575</v>
      </c>
      <c r="B417">
        <v>-21.79</v>
      </c>
      <c r="C417">
        <v>911</v>
      </c>
      <c r="D417">
        <v>19.911666669999999</v>
      </c>
      <c r="E417">
        <v>17.033333330000001</v>
      </c>
      <c r="F417">
        <v>22.721666670000001</v>
      </c>
      <c r="G417">
        <v>3.1291666669999998</v>
      </c>
      <c r="H417">
        <v>1.9916666670000001</v>
      </c>
      <c r="I417">
        <v>4.0875000000000004</v>
      </c>
      <c r="J417">
        <v>4680.1866669999999</v>
      </c>
      <c r="K417">
        <v>3811.145833</v>
      </c>
      <c r="L417">
        <v>5643.9583329999996</v>
      </c>
      <c r="M417">
        <v>15.7875</v>
      </c>
      <c r="N417">
        <v>14.35</v>
      </c>
      <c r="O417">
        <v>17.45</v>
      </c>
      <c r="Q417" t="s">
        <v>333</v>
      </c>
      <c r="R417" t="s">
        <v>9576</v>
      </c>
      <c r="S417" t="s">
        <v>9058</v>
      </c>
      <c r="T417" t="s">
        <v>9059</v>
      </c>
    </row>
    <row r="418" spans="1:20" x14ac:dyDescent="0.25">
      <c r="A418" t="s">
        <v>9577</v>
      </c>
      <c r="B418">
        <v>-21.79</v>
      </c>
      <c r="C418">
        <v>911</v>
      </c>
      <c r="D418">
        <v>20.20333333</v>
      </c>
      <c r="E418">
        <v>17.721666670000001</v>
      </c>
      <c r="F418">
        <v>22.454166669999999</v>
      </c>
      <c r="G418">
        <v>2.4733333329999998</v>
      </c>
      <c r="H418">
        <v>1.3833333329999999</v>
      </c>
      <c r="I418">
        <v>3.4166666669999999</v>
      </c>
      <c r="J418">
        <v>4656.3458330000003</v>
      </c>
      <c r="K418">
        <v>3734.666667</v>
      </c>
      <c r="L418">
        <v>5722.125</v>
      </c>
      <c r="M418">
        <v>16.5</v>
      </c>
      <c r="N418">
        <v>15.475</v>
      </c>
      <c r="O418">
        <v>17.751666669999999</v>
      </c>
      <c r="Q418" t="s">
        <v>333</v>
      </c>
      <c r="R418" t="s">
        <v>9576</v>
      </c>
      <c r="S418" t="s">
        <v>9058</v>
      </c>
      <c r="T418" t="s">
        <v>9061</v>
      </c>
    </row>
    <row r="419" spans="1:20" x14ac:dyDescent="0.25">
      <c r="A419" t="s">
        <v>6829</v>
      </c>
      <c r="B419">
        <v>-21.76</v>
      </c>
      <c r="C419">
        <v>950</v>
      </c>
      <c r="D419">
        <v>18.608333330000001</v>
      </c>
      <c r="E419">
        <v>16.15666667</v>
      </c>
      <c r="F419">
        <v>20.694166670000001</v>
      </c>
      <c r="G419">
        <v>2.9249999999999998</v>
      </c>
      <c r="H419">
        <v>2.0716666670000001</v>
      </c>
      <c r="I419">
        <v>3.6833333330000002</v>
      </c>
      <c r="J419">
        <v>4218.5874999999996</v>
      </c>
      <c r="K419">
        <v>2973.75</v>
      </c>
      <c r="L419">
        <v>5511.2916670000004</v>
      </c>
      <c r="M419">
        <v>15.1075</v>
      </c>
      <c r="N419">
        <v>14.00666667</v>
      </c>
      <c r="O419">
        <v>16.385000000000002</v>
      </c>
      <c r="Q419" t="s">
        <v>333</v>
      </c>
      <c r="R419" t="s">
        <v>9578</v>
      </c>
      <c r="S419" t="s">
        <v>9065</v>
      </c>
      <c r="T419" t="s">
        <v>9066</v>
      </c>
    </row>
    <row r="420" spans="1:20" x14ac:dyDescent="0.25">
      <c r="A420" t="s">
        <v>9579</v>
      </c>
      <c r="B420">
        <v>-21.77</v>
      </c>
      <c r="C420">
        <v>951.5</v>
      </c>
      <c r="D420">
        <v>19.54</v>
      </c>
      <c r="E420">
        <v>17.044166669999999</v>
      </c>
      <c r="F420">
        <v>21.734999999999999</v>
      </c>
      <c r="G420">
        <v>2.4133333330000002</v>
      </c>
      <c r="H420">
        <v>1.4083333330000001</v>
      </c>
      <c r="I420">
        <v>3.193333333</v>
      </c>
      <c r="J420">
        <v>4788.2291670000004</v>
      </c>
      <c r="K420">
        <v>4056.833333</v>
      </c>
      <c r="L420">
        <v>5740.3333329999996</v>
      </c>
      <c r="M420">
        <v>15.47916667</v>
      </c>
      <c r="N420">
        <v>14.4</v>
      </c>
      <c r="O420">
        <v>16.676666669999999</v>
      </c>
      <c r="Q420" t="s">
        <v>333</v>
      </c>
      <c r="R420" t="s">
        <v>9580</v>
      </c>
      <c r="S420" t="s">
        <v>9058</v>
      </c>
      <c r="T420" t="s">
        <v>9061</v>
      </c>
    </row>
    <row r="421" spans="1:20" x14ac:dyDescent="0.25">
      <c r="A421" t="s">
        <v>9581</v>
      </c>
      <c r="B421">
        <v>-19.649999999999999</v>
      </c>
      <c r="C421">
        <v>852</v>
      </c>
      <c r="D421">
        <v>21.612500000000001</v>
      </c>
      <c r="E421">
        <v>18.579166669999999</v>
      </c>
      <c r="F421">
        <v>24.58666667</v>
      </c>
      <c r="G421">
        <v>3.3058333329999998</v>
      </c>
      <c r="H421">
        <v>2.483333333</v>
      </c>
      <c r="I421">
        <v>4.125</v>
      </c>
      <c r="J421">
        <v>5433.0483329999997</v>
      </c>
      <c r="K421">
        <v>4636.4791670000004</v>
      </c>
      <c r="L421">
        <v>6371.375</v>
      </c>
      <c r="M421">
        <v>14.935</v>
      </c>
      <c r="N421">
        <v>13.78166667</v>
      </c>
      <c r="O421">
        <v>16.60166667</v>
      </c>
      <c r="Q421" t="s">
        <v>333</v>
      </c>
      <c r="R421" t="s">
        <v>9582</v>
      </c>
      <c r="S421" t="s">
        <v>9058</v>
      </c>
      <c r="T421" t="s">
        <v>9059</v>
      </c>
    </row>
    <row r="422" spans="1:20" x14ac:dyDescent="0.25">
      <c r="A422" t="s">
        <v>9583</v>
      </c>
      <c r="B422">
        <v>-19.649999999999999</v>
      </c>
      <c r="C422">
        <v>852</v>
      </c>
      <c r="D422">
        <v>21.927499999999998</v>
      </c>
      <c r="E422">
        <v>18.844999999999999</v>
      </c>
      <c r="F422">
        <v>25</v>
      </c>
      <c r="G422">
        <v>3.0649999999999999</v>
      </c>
      <c r="H422">
        <v>2.1233333330000002</v>
      </c>
      <c r="I422">
        <v>3.9</v>
      </c>
      <c r="J422">
        <v>5246.6549999999997</v>
      </c>
      <c r="K422">
        <v>4499.5416670000004</v>
      </c>
      <c r="L422">
        <v>6189.0833329999996</v>
      </c>
      <c r="M422">
        <v>15.192500000000001</v>
      </c>
      <c r="N422">
        <v>13.95833333</v>
      </c>
      <c r="O422">
        <v>16.768333330000001</v>
      </c>
      <c r="Q422" t="s">
        <v>333</v>
      </c>
      <c r="R422" t="s">
        <v>9582</v>
      </c>
      <c r="S422" t="s">
        <v>9058</v>
      </c>
      <c r="T422" t="s">
        <v>9061</v>
      </c>
    </row>
    <row r="423" spans="1:20" x14ac:dyDescent="0.25">
      <c r="A423" t="s">
        <v>9584</v>
      </c>
      <c r="B423">
        <v>-21.23</v>
      </c>
      <c r="C423">
        <v>919</v>
      </c>
      <c r="D423">
        <v>22.17166667</v>
      </c>
      <c r="E423">
        <v>19.508333329999999</v>
      </c>
      <c r="F423">
        <v>24.754999999999999</v>
      </c>
      <c r="G423">
        <v>2.0191666669999999</v>
      </c>
      <c r="H423">
        <v>1.1141666670000001</v>
      </c>
      <c r="I423">
        <v>2.8016666670000001</v>
      </c>
      <c r="J423">
        <v>5719.3816669999997</v>
      </c>
      <c r="K423">
        <v>5400.1458329999996</v>
      </c>
      <c r="L423">
        <v>6347.2708329999996</v>
      </c>
      <c r="M423">
        <v>15.83333333</v>
      </c>
      <c r="N423">
        <v>14.616666670000001</v>
      </c>
      <c r="O423">
        <v>17.291666670000001</v>
      </c>
      <c r="Q423" t="s">
        <v>333</v>
      </c>
      <c r="R423" t="s">
        <v>9585</v>
      </c>
      <c r="S423" t="s">
        <v>9058</v>
      </c>
      <c r="T423" t="s">
        <v>9059</v>
      </c>
    </row>
    <row r="424" spans="1:20" x14ac:dyDescent="0.25">
      <c r="A424" t="s">
        <v>9586</v>
      </c>
      <c r="B424">
        <v>-21.23</v>
      </c>
      <c r="C424">
        <v>919</v>
      </c>
      <c r="D424">
        <v>20.73833333</v>
      </c>
      <c r="E424">
        <v>17.791666670000001</v>
      </c>
      <c r="F424">
        <v>23.46</v>
      </c>
      <c r="G424">
        <v>2.2941666669999998</v>
      </c>
      <c r="H424">
        <v>1.5333333330000001</v>
      </c>
      <c r="I424">
        <v>2.911666667</v>
      </c>
      <c r="J424">
        <v>5136.6383329999999</v>
      </c>
      <c r="K424">
        <v>4589.8541670000004</v>
      </c>
      <c r="L424">
        <v>5885.1041670000004</v>
      </c>
      <c r="M424">
        <v>15.05666667</v>
      </c>
      <c r="N424">
        <v>13.84</v>
      </c>
      <c r="O424">
        <v>16.434999999999999</v>
      </c>
      <c r="Q424" t="s">
        <v>333</v>
      </c>
      <c r="R424" t="s">
        <v>9585</v>
      </c>
      <c r="S424" t="s">
        <v>9058</v>
      </c>
      <c r="T424" t="s">
        <v>9061</v>
      </c>
    </row>
    <row r="425" spans="1:20" x14ac:dyDescent="0.25">
      <c r="A425" t="s">
        <v>9587</v>
      </c>
      <c r="B425">
        <v>-20.27</v>
      </c>
      <c r="C425">
        <v>837.5</v>
      </c>
      <c r="D425">
        <v>20.032499999999999</v>
      </c>
      <c r="E425">
        <v>17.399999999999999</v>
      </c>
      <c r="F425">
        <v>22.56666667</v>
      </c>
      <c r="G425">
        <v>1.9375</v>
      </c>
      <c r="H425">
        <v>0.92333333299999998</v>
      </c>
      <c r="I425">
        <v>2.77</v>
      </c>
      <c r="J425">
        <v>4790.9425000000001</v>
      </c>
      <c r="K425">
        <v>3973.895833</v>
      </c>
      <c r="L425">
        <v>5811.9375</v>
      </c>
      <c r="M425">
        <v>15.385</v>
      </c>
      <c r="N425">
        <v>14.27333333</v>
      </c>
      <c r="O425">
        <v>16.678333330000001</v>
      </c>
      <c r="Q425" t="s">
        <v>333</v>
      </c>
      <c r="R425" t="s">
        <v>9588</v>
      </c>
      <c r="S425" t="s">
        <v>9058</v>
      </c>
      <c r="T425" t="s">
        <v>9061</v>
      </c>
    </row>
    <row r="426" spans="1:20" x14ac:dyDescent="0.25">
      <c r="A426" t="s">
        <v>6456</v>
      </c>
      <c r="B426">
        <v>-18.78</v>
      </c>
      <c r="C426">
        <v>214</v>
      </c>
      <c r="D426">
        <v>24.27333333</v>
      </c>
      <c r="E426">
        <v>21.521666669999998</v>
      </c>
      <c r="F426">
        <v>26.931666669999998</v>
      </c>
      <c r="G426">
        <v>0.69916666699999996</v>
      </c>
      <c r="H426">
        <v>0.116666667</v>
      </c>
      <c r="I426">
        <v>1.1666666670000001</v>
      </c>
      <c r="J426">
        <v>4979.3125</v>
      </c>
      <c r="K426">
        <v>4210.6041670000004</v>
      </c>
      <c r="L426">
        <v>5992.2916670000004</v>
      </c>
      <c r="M426">
        <v>18.662500000000001</v>
      </c>
      <c r="N426">
        <v>17.64</v>
      </c>
      <c r="O426">
        <v>19.866666670000001</v>
      </c>
      <c r="Q426" t="s">
        <v>333</v>
      </c>
      <c r="R426" t="s">
        <v>9589</v>
      </c>
      <c r="S426" t="s">
        <v>9065</v>
      </c>
      <c r="T426" t="s">
        <v>9066</v>
      </c>
    </row>
    <row r="427" spans="1:20" x14ac:dyDescent="0.25">
      <c r="A427" t="s">
        <v>9590</v>
      </c>
      <c r="B427">
        <v>-18.78</v>
      </c>
      <c r="C427">
        <v>271.5</v>
      </c>
      <c r="D427">
        <v>24.099166669999999</v>
      </c>
      <c r="E427">
        <v>21.330833330000001</v>
      </c>
      <c r="F427">
        <v>26.701666670000002</v>
      </c>
      <c r="G427">
        <v>1.0449999999999999</v>
      </c>
      <c r="H427">
        <v>0.45</v>
      </c>
      <c r="I427">
        <v>1.516666667</v>
      </c>
      <c r="J427">
        <v>4741.9633329999997</v>
      </c>
      <c r="K427">
        <v>3984.666667</v>
      </c>
      <c r="L427">
        <v>5694.7916670000004</v>
      </c>
      <c r="M427">
        <v>17.41</v>
      </c>
      <c r="N427">
        <v>16.239999999999998</v>
      </c>
      <c r="O427">
        <v>18.899999999999999</v>
      </c>
      <c r="Q427" t="s">
        <v>333</v>
      </c>
      <c r="R427" t="s">
        <v>9589</v>
      </c>
      <c r="S427" t="s">
        <v>9058</v>
      </c>
      <c r="T427" t="s">
        <v>9061</v>
      </c>
    </row>
    <row r="428" spans="1:20" x14ac:dyDescent="0.25">
      <c r="A428" t="s">
        <v>6881</v>
      </c>
      <c r="B428">
        <v>-22.31</v>
      </c>
      <c r="C428">
        <v>1276</v>
      </c>
      <c r="D428">
        <v>16.269166670000001</v>
      </c>
      <c r="E428">
        <v>13.18333333</v>
      </c>
      <c r="F428">
        <v>19.571666669999999</v>
      </c>
      <c r="G428">
        <v>0.85250000000000004</v>
      </c>
      <c r="H428">
        <v>7.4999999999999997E-2</v>
      </c>
      <c r="I428">
        <v>1.4950000000000001</v>
      </c>
      <c r="J428">
        <v>4533.8066669999998</v>
      </c>
      <c r="K428">
        <v>3475.9375</v>
      </c>
      <c r="L428">
        <v>5695.8958329999996</v>
      </c>
      <c r="M428">
        <v>13.00416667</v>
      </c>
      <c r="N428">
        <v>11.59</v>
      </c>
      <c r="O428">
        <v>14.57666667</v>
      </c>
      <c r="Q428" t="s">
        <v>333</v>
      </c>
      <c r="R428" t="s">
        <v>9591</v>
      </c>
      <c r="S428" t="s">
        <v>9065</v>
      </c>
      <c r="T428" t="s">
        <v>9066</v>
      </c>
    </row>
    <row r="429" spans="1:20" x14ac:dyDescent="0.25">
      <c r="A429" t="s">
        <v>9592</v>
      </c>
      <c r="B429">
        <v>-22.32</v>
      </c>
      <c r="C429">
        <v>1277.5</v>
      </c>
      <c r="D429">
        <v>16.951666670000002</v>
      </c>
      <c r="E429">
        <v>13.266666669999999</v>
      </c>
      <c r="F429">
        <v>20.86</v>
      </c>
      <c r="G429">
        <v>0.68416666699999995</v>
      </c>
      <c r="H429">
        <v>0.05</v>
      </c>
      <c r="I429">
        <v>1.2416666670000001</v>
      </c>
      <c r="J429">
        <v>5040.2449999999999</v>
      </c>
      <c r="K429">
        <v>4448.2291670000004</v>
      </c>
      <c r="L429">
        <v>5944.8541670000004</v>
      </c>
      <c r="M429">
        <v>12.926666669999999</v>
      </c>
      <c r="N429">
        <v>11.4025</v>
      </c>
      <c r="O429">
        <v>14.653333330000001</v>
      </c>
      <c r="Q429" t="s">
        <v>333</v>
      </c>
      <c r="R429" t="s">
        <v>9593</v>
      </c>
      <c r="S429" t="s">
        <v>9058</v>
      </c>
      <c r="T429" t="s">
        <v>9061</v>
      </c>
    </row>
    <row r="430" spans="1:20" x14ac:dyDescent="0.25">
      <c r="A430" t="s">
        <v>6909</v>
      </c>
      <c r="B430">
        <v>-15.09</v>
      </c>
      <c r="C430">
        <v>460</v>
      </c>
      <c r="D430">
        <v>24.846666670000001</v>
      </c>
      <c r="E430">
        <v>21.162500000000001</v>
      </c>
      <c r="F430">
        <v>28.446666669999999</v>
      </c>
      <c r="G430">
        <v>1.129166667</v>
      </c>
      <c r="H430">
        <v>0.28166666699999998</v>
      </c>
      <c r="I430">
        <v>1.743333333</v>
      </c>
      <c r="J430">
        <v>5691.0358329999999</v>
      </c>
      <c r="K430">
        <v>5087.25</v>
      </c>
      <c r="L430">
        <v>6503.4166670000004</v>
      </c>
      <c r="M430">
        <v>17.324999999999999</v>
      </c>
      <c r="N430">
        <v>15.99</v>
      </c>
      <c r="O430">
        <v>18.94166667</v>
      </c>
      <c r="Q430" t="s">
        <v>333</v>
      </c>
      <c r="R430" t="s">
        <v>9594</v>
      </c>
      <c r="S430" t="s">
        <v>9065</v>
      </c>
      <c r="T430" t="s">
        <v>9066</v>
      </c>
    </row>
    <row r="431" spans="1:20" x14ac:dyDescent="0.25">
      <c r="A431" t="s">
        <v>9595</v>
      </c>
      <c r="B431">
        <v>-15.09</v>
      </c>
      <c r="C431">
        <v>461.5</v>
      </c>
      <c r="D431">
        <v>25.307500000000001</v>
      </c>
      <c r="E431">
        <v>21.64</v>
      </c>
      <c r="F431">
        <v>29.068333330000002</v>
      </c>
      <c r="G431">
        <v>1.3941666669999999</v>
      </c>
      <c r="H431">
        <v>0.6</v>
      </c>
      <c r="I431">
        <v>2.0350000000000001</v>
      </c>
      <c r="J431">
        <v>5822.6316669999997</v>
      </c>
      <c r="K431">
        <v>5305.625</v>
      </c>
      <c r="L431">
        <v>6577.8333329999996</v>
      </c>
      <c r="M431">
        <v>15.55</v>
      </c>
      <c r="N431">
        <v>13.983333330000001</v>
      </c>
      <c r="O431">
        <v>17.32</v>
      </c>
      <c r="Q431" t="s">
        <v>333</v>
      </c>
      <c r="R431" t="s">
        <v>9594</v>
      </c>
      <c r="S431" t="s">
        <v>9058</v>
      </c>
      <c r="T431" t="s">
        <v>9061</v>
      </c>
    </row>
    <row r="432" spans="1:20" x14ac:dyDescent="0.25">
      <c r="A432" t="s">
        <v>6258</v>
      </c>
      <c r="B432">
        <v>-14.42</v>
      </c>
      <c r="C432">
        <v>512</v>
      </c>
      <c r="D432">
        <v>23.739166669999999</v>
      </c>
      <c r="E432">
        <v>19.670000000000002</v>
      </c>
      <c r="F432">
        <v>28.25333333</v>
      </c>
      <c r="G432">
        <v>1.4708333330000001</v>
      </c>
      <c r="H432">
        <v>0.45833333300000001</v>
      </c>
      <c r="I432">
        <v>2.2083333330000001</v>
      </c>
      <c r="J432">
        <v>5677.8133330000001</v>
      </c>
      <c r="K432">
        <v>5096.1666670000004</v>
      </c>
      <c r="L432">
        <v>6518.8541670000004</v>
      </c>
      <c r="M432">
        <v>16.930833329999999</v>
      </c>
      <c r="N432">
        <v>15.508333329999999</v>
      </c>
      <c r="O432">
        <v>18.56666667</v>
      </c>
      <c r="Q432" t="s">
        <v>333</v>
      </c>
      <c r="R432" t="s">
        <v>9596</v>
      </c>
      <c r="S432" t="s">
        <v>9065</v>
      </c>
      <c r="T432" t="s">
        <v>9066</v>
      </c>
    </row>
    <row r="433" spans="1:20" x14ac:dyDescent="0.25">
      <c r="A433" t="s">
        <v>9597</v>
      </c>
      <c r="B433">
        <v>-14.4</v>
      </c>
      <c r="C433">
        <v>513.5</v>
      </c>
      <c r="D433">
        <v>24.44916667</v>
      </c>
      <c r="E433">
        <v>20.223333329999999</v>
      </c>
      <c r="F433">
        <v>29.096666670000001</v>
      </c>
      <c r="G433">
        <v>1.9366666669999999</v>
      </c>
      <c r="H433">
        <v>0.989166667</v>
      </c>
      <c r="I433">
        <v>2.68</v>
      </c>
      <c r="J433">
        <v>5723.7224999999999</v>
      </c>
      <c r="K433">
        <v>5260.1666670000004</v>
      </c>
      <c r="L433">
        <v>6478.375</v>
      </c>
      <c r="M433">
        <v>15.29</v>
      </c>
      <c r="N433">
        <v>13.57583333</v>
      </c>
      <c r="O433">
        <v>17.285</v>
      </c>
      <c r="Q433" t="s">
        <v>333</v>
      </c>
      <c r="R433" t="s">
        <v>9596</v>
      </c>
      <c r="S433" t="s">
        <v>9058</v>
      </c>
      <c r="T433" t="s">
        <v>9061</v>
      </c>
    </row>
    <row r="434" spans="1:20" x14ac:dyDescent="0.25">
      <c r="A434" t="s">
        <v>9598</v>
      </c>
      <c r="B434">
        <v>-15.08</v>
      </c>
      <c r="C434">
        <v>603</v>
      </c>
      <c r="D434">
        <v>26.419166669999999</v>
      </c>
      <c r="E434">
        <v>24.131666670000001</v>
      </c>
      <c r="F434">
        <v>28.50333333</v>
      </c>
      <c r="G434">
        <v>2.8941666669999999</v>
      </c>
      <c r="H434">
        <v>1.836666667</v>
      </c>
      <c r="I434">
        <v>3.9</v>
      </c>
      <c r="J434">
        <v>5970.4016670000001</v>
      </c>
      <c r="K434">
        <v>5440.4791670000004</v>
      </c>
      <c r="L434">
        <v>6676.25</v>
      </c>
      <c r="M434">
        <v>16.34</v>
      </c>
      <c r="N434">
        <v>14.85333333</v>
      </c>
      <c r="O434">
        <v>18.010000000000002</v>
      </c>
      <c r="Q434" t="s">
        <v>333</v>
      </c>
      <c r="R434" t="s">
        <v>9599</v>
      </c>
      <c r="S434" t="s">
        <v>9058</v>
      </c>
      <c r="T434" t="s">
        <v>9059</v>
      </c>
    </row>
    <row r="435" spans="1:20" x14ac:dyDescent="0.25">
      <c r="A435" t="s">
        <v>9600</v>
      </c>
      <c r="B435">
        <v>-15.08</v>
      </c>
      <c r="C435">
        <v>603</v>
      </c>
      <c r="D435">
        <v>24.127500000000001</v>
      </c>
      <c r="E435">
        <v>20.153333329999999</v>
      </c>
      <c r="F435">
        <v>27.716666669999999</v>
      </c>
      <c r="G435">
        <v>2.6183333329999998</v>
      </c>
      <c r="H435">
        <v>1.69</v>
      </c>
      <c r="I435">
        <v>3.5266666670000002</v>
      </c>
      <c r="J435">
        <v>5691.0858330000001</v>
      </c>
      <c r="K435">
        <v>5028.375</v>
      </c>
      <c r="L435">
        <v>6582.3541670000004</v>
      </c>
      <c r="M435">
        <v>15.633333329999999</v>
      </c>
      <c r="N435">
        <v>14.248333329999999</v>
      </c>
      <c r="O435">
        <v>17.193333330000002</v>
      </c>
      <c r="Q435" t="s">
        <v>333</v>
      </c>
      <c r="R435" t="s">
        <v>9599</v>
      </c>
      <c r="S435" t="s">
        <v>9058</v>
      </c>
      <c r="T435" t="s">
        <v>9061</v>
      </c>
    </row>
    <row r="436" spans="1:20" x14ac:dyDescent="0.25">
      <c r="A436" t="s">
        <v>9601</v>
      </c>
      <c r="B436">
        <v>-22.87</v>
      </c>
      <c r="C436">
        <v>661.5</v>
      </c>
      <c r="D436">
        <v>15.891666669999999</v>
      </c>
      <c r="E436">
        <v>12.929166670000001</v>
      </c>
      <c r="F436">
        <v>19.12833333</v>
      </c>
      <c r="G436">
        <v>1.425</v>
      </c>
      <c r="H436">
        <v>0.66666666699999999</v>
      </c>
      <c r="I436">
        <v>2.0350000000000001</v>
      </c>
      <c r="J436">
        <v>4940.0541670000002</v>
      </c>
      <c r="K436">
        <v>4227.8333329999996</v>
      </c>
      <c r="L436">
        <v>5852.7708329999996</v>
      </c>
      <c r="M436">
        <v>12.13666667</v>
      </c>
      <c r="N436">
        <v>10.77166667</v>
      </c>
      <c r="O436">
        <v>13.801666669999999</v>
      </c>
      <c r="Q436" t="s">
        <v>333</v>
      </c>
      <c r="R436" t="s">
        <v>9602</v>
      </c>
      <c r="S436" t="s">
        <v>9058</v>
      </c>
      <c r="T436" t="s">
        <v>9061</v>
      </c>
    </row>
    <row r="437" spans="1:20" x14ac:dyDescent="0.25">
      <c r="A437" t="s">
        <v>6861</v>
      </c>
      <c r="B437">
        <v>-22.86</v>
      </c>
      <c r="C437">
        <v>1500</v>
      </c>
      <c r="D437">
        <v>15.28833333</v>
      </c>
      <c r="E437">
        <v>12.5</v>
      </c>
      <c r="F437">
        <v>17.982500000000002</v>
      </c>
      <c r="G437">
        <v>1.5291666669999999</v>
      </c>
      <c r="H437">
        <v>0.79833333299999998</v>
      </c>
      <c r="I437">
        <v>2.1</v>
      </c>
      <c r="J437">
        <v>4490.5691669999997</v>
      </c>
      <c r="K437">
        <v>3582.375</v>
      </c>
      <c r="L437">
        <v>5563.3125</v>
      </c>
      <c r="M437">
        <v>11.80916667</v>
      </c>
      <c r="N437">
        <v>10.338333329999999</v>
      </c>
      <c r="O437">
        <v>13.501666670000001</v>
      </c>
      <c r="Q437" t="s">
        <v>333</v>
      </c>
      <c r="R437" t="s">
        <v>9603</v>
      </c>
      <c r="S437" t="s">
        <v>9065</v>
      </c>
      <c r="T437" t="s">
        <v>9066</v>
      </c>
    </row>
    <row r="438" spans="1:20" x14ac:dyDescent="0.25">
      <c r="A438" t="s">
        <v>9604</v>
      </c>
      <c r="B438">
        <v>-16.71</v>
      </c>
      <c r="C438">
        <v>647.79999999999995</v>
      </c>
      <c r="D438">
        <v>23.868333329999999</v>
      </c>
      <c r="E438">
        <v>20.3</v>
      </c>
      <c r="F438">
        <v>27.528333329999999</v>
      </c>
      <c r="G438">
        <v>1.995833333</v>
      </c>
      <c r="H438">
        <v>0.95833333300000001</v>
      </c>
      <c r="I438">
        <v>2.9249999999999998</v>
      </c>
      <c r="J438">
        <v>5767.3774999999996</v>
      </c>
      <c r="K438">
        <v>5216.1458329999996</v>
      </c>
      <c r="L438">
        <v>6637.6041670000004</v>
      </c>
      <c r="M438">
        <v>15.3225</v>
      </c>
      <c r="N438">
        <v>13.88166667</v>
      </c>
      <c r="O438">
        <v>17.03916667</v>
      </c>
      <c r="Q438" t="s">
        <v>333</v>
      </c>
      <c r="R438" t="s">
        <v>9605</v>
      </c>
      <c r="S438" t="s">
        <v>9058</v>
      </c>
      <c r="T438" t="s">
        <v>9059</v>
      </c>
    </row>
    <row r="439" spans="1:20" x14ac:dyDescent="0.25">
      <c r="A439" t="s">
        <v>9606</v>
      </c>
      <c r="B439">
        <v>-16.71</v>
      </c>
      <c r="C439">
        <v>647.79999999999995</v>
      </c>
      <c r="D439">
        <v>23.860833329999998</v>
      </c>
      <c r="E439">
        <v>20.361666670000002</v>
      </c>
      <c r="F439">
        <v>27.25416667</v>
      </c>
      <c r="G439">
        <v>1.7849999999999999</v>
      </c>
      <c r="H439">
        <v>0.76416666700000002</v>
      </c>
      <c r="I439">
        <v>2.641666667</v>
      </c>
      <c r="J439">
        <v>5587.7275</v>
      </c>
      <c r="K439">
        <v>5049.625</v>
      </c>
      <c r="L439">
        <v>6340.0625</v>
      </c>
      <c r="M439">
        <v>14.919166669999999</v>
      </c>
      <c r="N439">
        <v>13.27333333</v>
      </c>
      <c r="O439">
        <v>16.733333330000001</v>
      </c>
      <c r="Q439" t="s">
        <v>333</v>
      </c>
      <c r="R439" t="s">
        <v>9605</v>
      </c>
      <c r="S439" t="s">
        <v>9058</v>
      </c>
      <c r="T439" t="s">
        <v>9061</v>
      </c>
    </row>
    <row r="440" spans="1:20" x14ac:dyDescent="0.25">
      <c r="A440" t="s">
        <v>6853</v>
      </c>
      <c r="B440">
        <v>-16.739999999999998</v>
      </c>
      <c r="C440">
        <v>646</v>
      </c>
      <c r="D440">
        <v>23.679166670000001</v>
      </c>
      <c r="E440">
        <v>20.015000000000001</v>
      </c>
      <c r="F440">
        <v>27.355</v>
      </c>
      <c r="G440">
        <v>2.2083333330000001</v>
      </c>
      <c r="H440">
        <v>1.231666667</v>
      </c>
      <c r="I440">
        <v>3.0583333330000002</v>
      </c>
      <c r="J440">
        <v>4617.165</v>
      </c>
      <c r="K440">
        <v>4065.916667</v>
      </c>
      <c r="L440">
        <v>5318.1458329999996</v>
      </c>
      <c r="M440">
        <v>15.008333329999999</v>
      </c>
      <c r="N440">
        <v>13.545833330000001</v>
      </c>
      <c r="O440">
        <v>16.633333329999999</v>
      </c>
      <c r="Q440" t="s">
        <v>333</v>
      </c>
      <c r="R440" t="s">
        <v>9607</v>
      </c>
      <c r="S440" t="s">
        <v>9065</v>
      </c>
      <c r="T440" t="s">
        <v>9066</v>
      </c>
    </row>
    <row r="441" spans="1:20" x14ac:dyDescent="0.25">
      <c r="A441" t="s">
        <v>6827</v>
      </c>
      <c r="B441">
        <v>-21.13</v>
      </c>
      <c r="C441">
        <v>297</v>
      </c>
      <c r="D441">
        <v>23.264166670000002</v>
      </c>
      <c r="E441">
        <v>20.46166667</v>
      </c>
      <c r="F441">
        <v>25.81</v>
      </c>
      <c r="G441">
        <v>1.4983333329999999</v>
      </c>
      <c r="H441">
        <v>0.17333333300000001</v>
      </c>
      <c r="I441">
        <v>2.31</v>
      </c>
      <c r="J441">
        <v>4634.4750000000004</v>
      </c>
      <c r="K441">
        <v>3721.729167</v>
      </c>
      <c r="L441">
        <v>5676.9375</v>
      </c>
      <c r="M441">
        <v>18.893333330000001</v>
      </c>
      <c r="N441">
        <v>17.856666669999999</v>
      </c>
      <c r="O441">
        <v>20.033333330000001</v>
      </c>
      <c r="Q441" t="s">
        <v>333</v>
      </c>
      <c r="R441" t="s">
        <v>9608</v>
      </c>
      <c r="S441" t="s">
        <v>9065</v>
      </c>
      <c r="T441" t="s">
        <v>9066</v>
      </c>
    </row>
    <row r="442" spans="1:20" x14ac:dyDescent="0.25">
      <c r="A442" t="s">
        <v>9609</v>
      </c>
      <c r="B442">
        <v>-21.1</v>
      </c>
      <c r="C442">
        <v>271.5</v>
      </c>
      <c r="D442">
        <v>23.076666670000002</v>
      </c>
      <c r="E442">
        <v>19.93333333</v>
      </c>
      <c r="F442">
        <v>25.920833330000001</v>
      </c>
      <c r="G442">
        <v>0.82750000000000001</v>
      </c>
      <c r="H442">
        <v>0.23833333300000001</v>
      </c>
      <c r="I442">
        <v>1.203333333</v>
      </c>
      <c r="J442">
        <v>4844.0233330000001</v>
      </c>
      <c r="K442">
        <v>4101.5416670000004</v>
      </c>
      <c r="L442">
        <v>5835.5833329999996</v>
      </c>
      <c r="M442">
        <v>17.849166669999999</v>
      </c>
      <c r="N442">
        <v>16.73833333</v>
      </c>
      <c r="O442">
        <v>19.091666669999999</v>
      </c>
      <c r="Q442" t="s">
        <v>333</v>
      </c>
      <c r="R442" t="s">
        <v>9608</v>
      </c>
      <c r="S442" t="s">
        <v>9058</v>
      </c>
      <c r="T442" t="s">
        <v>9061</v>
      </c>
    </row>
    <row r="443" spans="1:20" x14ac:dyDescent="0.25">
      <c r="A443" t="s">
        <v>6848</v>
      </c>
      <c r="B443">
        <v>-20.52</v>
      </c>
      <c r="C443">
        <v>1061</v>
      </c>
      <c r="D443">
        <v>19.688333329999999</v>
      </c>
      <c r="E443">
        <v>17.103333330000002</v>
      </c>
      <c r="F443">
        <v>22.035</v>
      </c>
      <c r="G443">
        <v>1.620833333</v>
      </c>
      <c r="H443">
        <v>0.15</v>
      </c>
      <c r="I443">
        <v>2.6916666669999998</v>
      </c>
      <c r="J443">
        <v>4375.3941670000004</v>
      </c>
      <c r="K443">
        <v>3517.791667</v>
      </c>
      <c r="L443">
        <v>5384.4166670000004</v>
      </c>
      <c r="M443">
        <v>15.7075</v>
      </c>
      <c r="N443">
        <v>14.65666667</v>
      </c>
      <c r="O443">
        <v>16.908333330000001</v>
      </c>
      <c r="Q443" t="s">
        <v>333</v>
      </c>
      <c r="R443" t="s">
        <v>9610</v>
      </c>
      <c r="S443" t="s">
        <v>9065</v>
      </c>
      <c r="T443" t="s">
        <v>9066</v>
      </c>
    </row>
    <row r="444" spans="1:20" x14ac:dyDescent="0.25">
      <c r="A444" t="s">
        <v>9611</v>
      </c>
      <c r="B444">
        <v>-20.55</v>
      </c>
      <c r="C444">
        <v>1062.5</v>
      </c>
      <c r="D444">
        <v>19.790833330000002</v>
      </c>
      <c r="E444">
        <v>16.88</v>
      </c>
      <c r="F444">
        <v>22.339166670000001</v>
      </c>
      <c r="G444">
        <v>2.1425000000000001</v>
      </c>
      <c r="H444">
        <v>1.4808333330000001</v>
      </c>
      <c r="I444">
        <v>2.766666667</v>
      </c>
      <c r="J444">
        <v>4946.1575000000003</v>
      </c>
      <c r="K444">
        <v>4187.7916670000004</v>
      </c>
      <c r="L444">
        <v>5905.6041670000004</v>
      </c>
      <c r="M444">
        <v>14.59333333</v>
      </c>
      <c r="N444">
        <v>13.41666667</v>
      </c>
      <c r="O444">
        <v>16</v>
      </c>
      <c r="Q444" t="s">
        <v>333</v>
      </c>
      <c r="R444" t="s">
        <v>9610</v>
      </c>
      <c r="S444" t="s">
        <v>9058</v>
      </c>
      <c r="T444" t="s">
        <v>9061</v>
      </c>
    </row>
    <row r="445" spans="1:20" x14ac:dyDescent="0.25">
      <c r="A445" t="s">
        <v>9612</v>
      </c>
      <c r="B445">
        <v>-17.22</v>
      </c>
      <c r="C445">
        <v>711</v>
      </c>
      <c r="D445">
        <v>24.704166669999999</v>
      </c>
      <c r="E445">
        <v>22.323333330000001</v>
      </c>
      <c r="F445">
        <v>26.951666670000002</v>
      </c>
      <c r="G445">
        <v>2.2766666670000002</v>
      </c>
      <c r="H445">
        <v>1.1666666670000001</v>
      </c>
      <c r="I445">
        <v>3.2516666669999998</v>
      </c>
      <c r="J445">
        <v>5666.0825000000004</v>
      </c>
      <c r="K445">
        <v>5015.5625</v>
      </c>
      <c r="L445">
        <v>6465.7708329999996</v>
      </c>
      <c r="M445">
        <v>17.32</v>
      </c>
      <c r="N445">
        <v>16.131666670000001</v>
      </c>
      <c r="O445">
        <v>18.70333333</v>
      </c>
      <c r="Q445" t="s">
        <v>333</v>
      </c>
      <c r="R445" t="s">
        <v>9613</v>
      </c>
      <c r="S445" t="s">
        <v>9058</v>
      </c>
      <c r="T445" t="s">
        <v>9059</v>
      </c>
    </row>
    <row r="446" spans="1:20" x14ac:dyDescent="0.25">
      <c r="A446" t="s">
        <v>9614</v>
      </c>
      <c r="B446">
        <v>-17.22</v>
      </c>
      <c r="C446">
        <v>711</v>
      </c>
      <c r="D446">
        <v>23.74666667</v>
      </c>
      <c r="E446">
        <v>21.02333333</v>
      </c>
      <c r="F446">
        <v>26.22</v>
      </c>
      <c r="G446">
        <v>2.2458333330000002</v>
      </c>
      <c r="H446">
        <v>1.375</v>
      </c>
      <c r="I446">
        <v>2.9933333329999998</v>
      </c>
      <c r="J446">
        <v>5519.8708329999999</v>
      </c>
      <c r="K446">
        <v>4913.9166670000004</v>
      </c>
      <c r="L446">
        <v>6303.3333329999996</v>
      </c>
      <c r="M446">
        <v>16.69916667</v>
      </c>
      <c r="N446">
        <v>15.3125</v>
      </c>
      <c r="O446">
        <v>18.21</v>
      </c>
      <c r="Q446" t="s">
        <v>333</v>
      </c>
      <c r="R446" t="s">
        <v>9613</v>
      </c>
      <c r="S446" t="s">
        <v>9058</v>
      </c>
      <c r="T446" t="s">
        <v>9061</v>
      </c>
    </row>
    <row r="447" spans="1:20" x14ac:dyDescent="0.25">
      <c r="A447" t="s">
        <v>6837</v>
      </c>
      <c r="B447">
        <v>-22.39</v>
      </c>
      <c r="C447">
        <v>1040</v>
      </c>
      <c r="D447">
        <v>18.304166670000001</v>
      </c>
      <c r="E447">
        <v>15.39</v>
      </c>
      <c r="F447">
        <v>21.15</v>
      </c>
      <c r="G447">
        <v>1.9750000000000001</v>
      </c>
      <c r="H447">
        <v>0.45833333300000001</v>
      </c>
      <c r="I447">
        <v>3.1766666670000001</v>
      </c>
      <c r="J447">
        <v>4903.5766670000003</v>
      </c>
      <c r="K447">
        <v>4086.645833</v>
      </c>
      <c r="L447">
        <v>5956.7708329999996</v>
      </c>
      <c r="M447">
        <v>14.005000000000001</v>
      </c>
      <c r="N447">
        <v>12.79833333</v>
      </c>
      <c r="O447">
        <v>15.4</v>
      </c>
      <c r="Q447" t="s">
        <v>333</v>
      </c>
      <c r="R447" t="s">
        <v>9615</v>
      </c>
      <c r="S447" t="s">
        <v>9065</v>
      </c>
      <c r="T447" t="s">
        <v>9066</v>
      </c>
    </row>
    <row r="448" spans="1:20" x14ac:dyDescent="0.25">
      <c r="A448" t="s">
        <v>9616</v>
      </c>
      <c r="B448">
        <v>-22.4</v>
      </c>
      <c r="C448">
        <v>1041.5</v>
      </c>
      <c r="D448">
        <v>19.10166667</v>
      </c>
      <c r="E448">
        <v>15.689166670000001</v>
      </c>
      <c r="F448">
        <v>22.409166670000001</v>
      </c>
      <c r="G448">
        <v>1.9875</v>
      </c>
      <c r="H448">
        <v>0.55000000000000004</v>
      </c>
      <c r="I448">
        <v>3.12</v>
      </c>
      <c r="J448">
        <v>4935.76</v>
      </c>
      <c r="K448">
        <v>4352</v>
      </c>
      <c r="L448">
        <v>5777.0208329999996</v>
      </c>
      <c r="M448">
        <v>13.864166669999999</v>
      </c>
      <c r="N448">
        <v>12.49</v>
      </c>
      <c r="O448">
        <v>15.375</v>
      </c>
      <c r="Q448" t="s">
        <v>333</v>
      </c>
      <c r="R448" t="s">
        <v>9617</v>
      </c>
      <c r="S448" t="s">
        <v>9058</v>
      </c>
      <c r="T448" t="s">
        <v>9061</v>
      </c>
    </row>
    <row r="449" spans="1:20" x14ac:dyDescent="0.25">
      <c r="A449" t="s">
        <v>6815</v>
      </c>
      <c r="B449">
        <v>-20.75</v>
      </c>
      <c r="C449">
        <v>875</v>
      </c>
      <c r="D449">
        <v>20.682500000000001</v>
      </c>
      <c r="E449">
        <v>17.29666667</v>
      </c>
      <c r="F449">
        <v>24.071666669999999</v>
      </c>
      <c r="G449">
        <v>1.82</v>
      </c>
      <c r="H449">
        <v>0.67500000000000004</v>
      </c>
      <c r="I449">
        <v>2.7250000000000001</v>
      </c>
      <c r="J449">
        <v>5020.5200000000004</v>
      </c>
      <c r="K449">
        <v>4165.6875</v>
      </c>
      <c r="L449">
        <v>5984.1875</v>
      </c>
      <c r="M449">
        <v>15.239166669999999</v>
      </c>
      <c r="N449">
        <v>13.883333329999999</v>
      </c>
      <c r="O449">
        <v>16.760000000000002</v>
      </c>
      <c r="Q449" t="s">
        <v>333</v>
      </c>
      <c r="R449" t="s">
        <v>9618</v>
      </c>
      <c r="S449" t="s">
        <v>9065</v>
      </c>
      <c r="T449" t="s">
        <v>9066</v>
      </c>
    </row>
    <row r="450" spans="1:20" x14ac:dyDescent="0.25">
      <c r="A450" t="s">
        <v>9619</v>
      </c>
      <c r="B450">
        <v>-20.75</v>
      </c>
      <c r="C450">
        <v>785.5</v>
      </c>
      <c r="D450">
        <v>21.548333329999998</v>
      </c>
      <c r="E450">
        <v>18.071666669999999</v>
      </c>
      <c r="F450">
        <v>25.243333329999999</v>
      </c>
      <c r="G450">
        <v>1.7891666669999999</v>
      </c>
      <c r="H450">
        <v>0.86666666699999995</v>
      </c>
      <c r="I450">
        <v>2.503333333</v>
      </c>
      <c r="J450">
        <v>5403.22</v>
      </c>
      <c r="K450">
        <v>4910.125</v>
      </c>
      <c r="L450">
        <v>6146.0833329999996</v>
      </c>
      <c r="M450">
        <v>14.69416667</v>
      </c>
      <c r="N450">
        <v>13.29166667</v>
      </c>
      <c r="O450">
        <v>16.399999999999999</v>
      </c>
      <c r="Q450" t="s">
        <v>333</v>
      </c>
      <c r="R450" t="s">
        <v>9618</v>
      </c>
      <c r="S450" t="s">
        <v>9058</v>
      </c>
      <c r="T450" t="s">
        <v>9061</v>
      </c>
    </row>
    <row r="451" spans="1:20" x14ac:dyDescent="0.25">
      <c r="A451" t="s">
        <v>9620</v>
      </c>
      <c r="B451">
        <v>-18.600000000000001</v>
      </c>
      <c r="C451">
        <v>940</v>
      </c>
      <c r="D451">
        <v>22.721666670000001</v>
      </c>
      <c r="E451">
        <v>20.283333330000001</v>
      </c>
      <c r="F451">
        <v>25.073333330000001</v>
      </c>
      <c r="G451">
        <v>1.7649999999999999</v>
      </c>
      <c r="H451">
        <v>1.05</v>
      </c>
      <c r="I451">
        <v>2.3083333330000002</v>
      </c>
      <c r="J451">
        <v>5456.5550000000003</v>
      </c>
      <c r="K451">
        <v>4841.7083329999996</v>
      </c>
      <c r="L451">
        <v>6220.0416670000004</v>
      </c>
      <c r="M451">
        <v>16.087499999999999</v>
      </c>
      <c r="N451">
        <v>14.95833333</v>
      </c>
      <c r="O451">
        <v>17.493333329999999</v>
      </c>
      <c r="Q451" t="s">
        <v>333</v>
      </c>
      <c r="R451" t="s">
        <v>9621</v>
      </c>
      <c r="S451" t="s">
        <v>9058</v>
      </c>
      <c r="T451" t="s">
        <v>9059</v>
      </c>
    </row>
    <row r="452" spans="1:20" x14ac:dyDescent="0.25">
      <c r="A452" t="s">
        <v>9622</v>
      </c>
      <c r="B452">
        <v>-18.600000000000001</v>
      </c>
      <c r="C452">
        <v>940</v>
      </c>
      <c r="D452">
        <v>21.895833329999999</v>
      </c>
      <c r="E452">
        <v>19.18</v>
      </c>
      <c r="F452">
        <v>24.443333330000002</v>
      </c>
      <c r="G452">
        <v>1.723333333</v>
      </c>
      <c r="H452">
        <v>1.1166666670000001</v>
      </c>
      <c r="I452">
        <v>2.1916666669999998</v>
      </c>
      <c r="J452">
        <v>5278.1175000000003</v>
      </c>
      <c r="K452">
        <v>4727.1875</v>
      </c>
      <c r="L452">
        <v>6062.5416670000004</v>
      </c>
      <c r="M452">
        <v>15.89916667</v>
      </c>
      <c r="N452">
        <v>14.778333330000001</v>
      </c>
      <c r="O452">
        <v>17.35166667</v>
      </c>
      <c r="Q452" t="s">
        <v>333</v>
      </c>
      <c r="R452" t="s">
        <v>9621</v>
      </c>
      <c r="S452" t="s">
        <v>9058</v>
      </c>
      <c r="T452" t="s">
        <v>9061</v>
      </c>
    </row>
    <row r="453" spans="1:20" x14ac:dyDescent="0.25">
      <c r="A453" t="s">
        <v>6794</v>
      </c>
      <c r="B453">
        <v>-18.940000000000001</v>
      </c>
      <c r="C453">
        <v>976</v>
      </c>
      <c r="D453">
        <v>20.331666670000001</v>
      </c>
      <c r="E453">
        <v>16.912500000000001</v>
      </c>
      <c r="F453">
        <v>23.791666670000001</v>
      </c>
      <c r="G453">
        <v>1.703333333</v>
      </c>
      <c r="H453">
        <v>0.5</v>
      </c>
      <c r="I453">
        <v>2.6349999999999998</v>
      </c>
      <c r="J453">
        <v>5018.6175000000003</v>
      </c>
      <c r="K453">
        <v>4295.6458329999996</v>
      </c>
      <c r="L453">
        <v>5922.5</v>
      </c>
      <c r="M453">
        <v>14.185</v>
      </c>
      <c r="N453">
        <v>12.824999999999999</v>
      </c>
      <c r="O453">
        <v>15.838333329999999</v>
      </c>
      <c r="Q453" t="s">
        <v>333</v>
      </c>
      <c r="R453" t="s">
        <v>9623</v>
      </c>
      <c r="S453" t="s">
        <v>9065</v>
      </c>
      <c r="T453" t="s">
        <v>9066</v>
      </c>
    </row>
    <row r="454" spans="1:20" x14ac:dyDescent="0.25">
      <c r="A454" t="s">
        <v>9624</v>
      </c>
      <c r="B454">
        <v>-19</v>
      </c>
      <c r="C454">
        <v>964.5</v>
      </c>
      <c r="D454">
        <v>20.87916667</v>
      </c>
      <c r="E454">
        <v>17.074999999999999</v>
      </c>
      <c r="F454">
        <v>25.11333333</v>
      </c>
      <c r="G454">
        <v>0.93583333300000004</v>
      </c>
      <c r="H454">
        <v>9.1666666999999993E-2</v>
      </c>
      <c r="I454">
        <v>1.5125</v>
      </c>
      <c r="J454">
        <v>5375.830833</v>
      </c>
      <c r="K454">
        <v>4759.7916670000004</v>
      </c>
      <c r="L454">
        <v>6186.7083329999996</v>
      </c>
      <c r="M454">
        <v>14.38166667</v>
      </c>
      <c r="N454">
        <v>13.015000000000001</v>
      </c>
      <c r="O454">
        <v>15.835000000000001</v>
      </c>
      <c r="Q454" t="s">
        <v>333</v>
      </c>
      <c r="R454" t="s">
        <v>9623</v>
      </c>
      <c r="S454" t="s">
        <v>9058</v>
      </c>
      <c r="T454" t="s">
        <v>9061</v>
      </c>
    </row>
    <row r="455" spans="1:20" x14ac:dyDescent="0.25">
      <c r="A455" t="s">
        <v>9625</v>
      </c>
      <c r="B455">
        <v>-16</v>
      </c>
      <c r="C455">
        <v>649</v>
      </c>
      <c r="D455">
        <v>23.68</v>
      </c>
      <c r="E455">
        <v>21.341666669999999</v>
      </c>
      <c r="F455">
        <v>25.881666670000001</v>
      </c>
      <c r="G455">
        <v>1.2091666670000001</v>
      </c>
      <c r="H455">
        <v>0.74166666699999995</v>
      </c>
      <c r="I455">
        <v>1.55</v>
      </c>
      <c r="J455">
        <v>5302.3508330000004</v>
      </c>
      <c r="K455">
        <v>4475.8333329999996</v>
      </c>
      <c r="L455">
        <v>6362.1458329999996</v>
      </c>
      <c r="M455">
        <v>17.260833330000001</v>
      </c>
      <c r="N455">
        <v>16.19166667</v>
      </c>
      <c r="O455">
        <v>18.536666669999999</v>
      </c>
      <c r="Q455" t="s">
        <v>333</v>
      </c>
      <c r="R455" t="s">
        <v>9626</v>
      </c>
      <c r="S455" t="s">
        <v>9058</v>
      </c>
      <c r="T455" t="s">
        <v>9059</v>
      </c>
    </row>
    <row r="456" spans="1:20" x14ac:dyDescent="0.25">
      <c r="A456" t="s">
        <v>9627</v>
      </c>
      <c r="B456">
        <v>-16</v>
      </c>
      <c r="C456">
        <v>649</v>
      </c>
      <c r="D456">
        <v>22.427499999999998</v>
      </c>
      <c r="E456">
        <v>19.465</v>
      </c>
      <c r="F456">
        <v>25.135000000000002</v>
      </c>
      <c r="G456">
        <v>1.71</v>
      </c>
      <c r="H456">
        <v>1.0083333329999999</v>
      </c>
      <c r="I456">
        <v>2.375</v>
      </c>
      <c r="J456">
        <v>5111.9141669999999</v>
      </c>
      <c r="K456">
        <v>4443.5833329999996</v>
      </c>
      <c r="L456">
        <v>5973.8958329999996</v>
      </c>
      <c r="M456">
        <v>17.09333333</v>
      </c>
      <c r="N456">
        <v>15.991666670000001</v>
      </c>
      <c r="O456">
        <v>18.31666667</v>
      </c>
      <c r="Q456" t="s">
        <v>333</v>
      </c>
      <c r="R456" t="s">
        <v>9626</v>
      </c>
      <c r="S456" t="s">
        <v>9058</v>
      </c>
      <c r="T456" t="s">
        <v>9061</v>
      </c>
    </row>
    <row r="457" spans="1:20" x14ac:dyDescent="0.25">
      <c r="A457" t="s">
        <v>9628</v>
      </c>
      <c r="B457">
        <v>-17.25</v>
      </c>
      <c r="C457">
        <v>504.5</v>
      </c>
      <c r="D457">
        <v>24.62083333</v>
      </c>
      <c r="E457">
        <v>21.004999999999999</v>
      </c>
      <c r="F457">
        <v>28.373333330000001</v>
      </c>
      <c r="G457">
        <v>1.335</v>
      </c>
      <c r="H457">
        <v>0.66666666699999999</v>
      </c>
      <c r="I457">
        <v>1.825</v>
      </c>
      <c r="J457">
        <v>5623.0783330000004</v>
      </c>
      <c r="K457">
        <v>5161.4166670000004</v>
      </c>
      <c r="L457">
        <v>6349.5833329999996</v>
      </c>
      <c r="M457">
        <v>16.17583333</v>
      </c>
      <c r="N457">
        <v>14.805</v>
      </c>
      <c r="O457">
        <v>17.77</v>
      </c>
      <c r="Q457" t="s">
        <v>333</v>
      </c>
      <c r="R457" t="s">
        <v>9629</v>
      </c>
      <c r="S457" t="s">
        <v>9058</v>
      </c>
      <c r="T457" t="s">
        <v>9061</v>
      </c>
    </row>
    <row r="458" spans="1:20" x14ac:dyDescent="0.25">
      <c r="A458" t="s">
        <v>9630</v>
      </c>
      <c r="B458">
        <v>-17.329999999999998</v>
      </c>
      <c r="C458">
        <v>505</v>
      </c>
      <c r="D458">
        <v>25.83583333</v>
      </c>
      <c r="E458">
        <v>23.16</v>
      </c>
      <c r="F458">
        <v>28.428333330000001</v>
      </c>
      <c r="G458">
        <v>1.84</v>
      </c>
      <c r="H458">
        <v>1.108333333</v>
      </c>
      <c r="I458">
        <v>2.4366666669999999</v>
      </c>
      <c r="J458">
        <v>5679.8641669999997</v>
      </c>
      <c r="K458">
        <v>5181.5625</v>
      </c>
      <c r="L458">
        <v>6462.2916670000004</v>
      </c>
      <c r="M458">
        <v>18.4375</v>
      </c>
      <c r="N458">
        <v>17.31666667</v>
      </c>
      <c r="O458">
        <v>19.596666670000001</v>
      </c>
      <c r="Q458" t="s">
        <v>333</v>
      </c>
      <c r="R458" t="s">
        <v>9631</v>
      </c>
      <c r="S458" t="s">
        <v>9058</v>
      </c>
      <c r="T458" t="s">
        <v>9059</v>
      </c>
    </row>
    <row r="459" spans="1:20" x14ac:dyDescent="0.25">
      <c r="A459" t="s">
        <v>9632</v>
      </c>
      <c r="B459">
        <v>-17.329999999999998</v>
      </c>
      <c r="C459">
        <v>505</v>
      </c>
      <c r="D459">
        <v>25.015000000000001</v>
      </c>
      <c r="E459">
        <v>22.016666669999999</v>
      </c>
      <c r="F459">
        <v>27.765000000000001</v>
      </c>
      <c r="G459">
        <v>1.721666667</v>
      </c>
      <c r="H459">
        <v>0.97333333300000002</v>
      </c>
      <c r="I459">
        <v>2.36</v>
      </c>
      <c r="J459">
        <v>5567.93</v>
      </c>
      <c r="K459">
        <v>4874.4583329999996</v>
      </c>
      <c r="L459">
        <v>6419.5833329999996</v>
      </c>
      <c r="M459">
        <v>16.905000000000001</v>
      </c>
      <c r="N459">
        <v>15.37083333</v>
      </c>
      <c r="O459">
        <v>18.641666669999999</v>
      </c>
      <c r="Q459" t="s">
        <v>333</v>
      </c>
      <c r="R459" t="s">
        <v>9631</v>
      </c>
      <c r="S459" t="s">
        <v>9058</v>
      </c>
      <c r="T459" t="s">
        <v>9061</v>
      </c>
    </row>
    <row r="460" spans="1:20" x14ac:dyDescent="0.25">
      <c r="A460" t="s">
        <v>6875</v>
      </c>
      <c r="B460">
        <v>-17.34</v>
      </c>
      <c r="C460">
        <v>489</v>
      </c>
      <c r="D460">
        <v>23.73833333</v>
      </c>
      <c r="E460">
        <v>20.54666667</v>
      </c>
      <c r="F460">
        <v>26.965</v>
      </c>
      <c r="G460">
        <v>1.380833333</v>
      </c>
      <c r="H460">
        <v>0.44166666700000001</v>
      </c>
      <c r="I460">
        <v>2.02</v>
      </c>
      <c r="J460">
        <v>5669.728333</v>
      </c>
      <c r="K460">
        <v>5047.375</v>
      </c>
      <c r="L460">
        <v>6568.3541670000004</v>
      </c>
      <c r="M460">
        <v>17.33583333</v>
      </c>
      <c r="N460">
        <v>16.133333329999999</v>
      </c>
      <c r="O460">
        <v>18.768333330000001</v>
      </c>
      <c r="Q460" t="s">
        <v>333</v>
      </c>
      <c r="R460" t="s">
        <v>9633</v>
      </c>
      <c r="S460" t="s">
        <v>9065</v>
      </c>
      <c r="T460" t="s">
        <v>9066</v>
      </c>
    </row>
    <row r="461" spans="1:20" x14ac:dyDescent="0.25">
      <c r="A461" t="s">
        <v>9634</v>
      </c>
      <c r="B461">
        <v>-21.84</v>
      </c>
      <c r="C461">
        <v>1260.3</v>
      </c>
      <c r="D461">
        <v>17.7225</v>
      </c>
      <c r="E461">
        <v>13.147500000000001</v>
      </c>
      <c r="F461">
        <v>22.989166669999999</v>
      </c>
      <c r="G461">
        <v>2.1633333330000002</v>
      </c>
      <c r="H461">
        <v>1.0333333330000001</v>
      </c>
      <c r="I461">
        <v>3.0750000000000002</v>
      </c>
      <c r="J461">
        <v>4925.0716670000002</v>
      </c>
      <c r="K461">
        <v>4351.0208329999996</v>
      </c>
      <c r="L461">
        <v>5693.5416670000004</v>
      </c>
      <c r="M461">
        <v>14.276666669999999</v>
      </c>
      <c r="N461">
        <v>11.660833330000001</v>
      </c>
      <c r="O461">
        <v>17.403333329999999</v>
      </c>
      <c r="Q461" t="s">
        <v>333</v>
      </c>
      <c r="R461" t="s">
        <v>9635</v>
      </c>
      <c r="S461" t="s">
        <v>9058</v>
      </c>
      <c r="T461" t="s">
        <v>9059</v>
      </c>
    </row>
    <row r="462" spans="1:20" x14ac:dyDescent="0.25">
      <c r="A462" t="s">
        <v>9636</v>
      </c>
      <c r="B462">
        <v>-21.84</v>
      </c>
      <c r="C462">
        <v>1260.3</v>
      </c>
      <c r="D462">
        <v>19.735833329999998</v>
      </c>
      <c r="E462">
        <v>16.646666669999998</v>
      </c>
      <c r="F462">
        <v>23.016666669999999</v>
      </c>
      <c r="G462">
        <v>2.1141666670000001</v>
      </c>
      <c r="H462">
        <v>1.358333333</v>
      </c>
      <c r="I462">
        <v>2.8416666670000001</v>
      </c>
      <c r="J462">
        <v>5152.4708330000003</v>
      </c>
      <c r="K462">
        <v>4498.2083329999996</v>
      </c>
      <c r="L462">
        <v>5940.8958329999996</v>
      </c>
      <c r="M462">
        <v>14.73833333</v>
      </c>
      <c r="N462">
        <v>13.145</v>
      </c>
      <c r="O462">
        <v>16.61</v>
      </c>
      <c r="Q462" t="s">
        <v>333</v>
      </c>
      <c r="R462" t="s">
        <v>9635</v>
      </c>
      <c r="S462" t="s">
        <v>9058</v>
      </c>
      <c r="T462" t="s">
        <v>9061</v>
      </c>
    </row>
    <row r="463" spans="1:20" x14ac:dyDescent="0.25">
      <c r="A463" t="s">
        <v>6993</v>
      </c>
      <c r="B463">
        <v>-15.72</v>
      </c>
      <c r="C463">
        <v>853</v>
      </c>
      <c r="D463">
        <v>21.590833329999999</v>
      </c>
      <c r="E463">
        <v>18.6875</v>
      </c>
      <c r="F463">
        <v>24.368333329999999</v>
      </c>
      <c r="G463">
        <v>2.4108333329999998</v>
      </c>
      <c r="H463">
        <v>1.433333333</v>
      </c>
      <c r="I463">
        <v>3.3</v>
      </c>
      <c r="J463">
        <v>4951.6291670000001</v>
      </c>
      <c r="K463">
        <v>4134.1666670000004</v>
      </c>
      <c r="L463">
        <v>5955.7708329999996</v>
      </c>
      <c r="M463">
        <v>16.004999999999999</v>
      </c>
      <c r="N463">
        <v>13.891666669999999</v>
      </c>
      <c r="O463">
        <v>18.03166667</v>
      </c>
      <c r="Q463" t="s">
        <v>333</v>
      </c>
      <c r="R463" t="s">
        <v>9637</v>
      </c>
      <c r="S463" t="s">
        <v>9065</v>
      </c>
      <c r="T463" t="s">
        <v>9066</v>
      </c>
    </row>
    <row r="464" spans="1:20" x14ac:dyDescent="0.25">
      <c r="A464" t="s">
        <v>9638</v>
      </c>
      <c r="B464">
        <v>-15.72</v>
      </c>
      <c r="C464">
        <v>854.5</v>
      </c>
      <c r="D464">
        <v>21.669166669999999</v>
      </c>
      <c r="E464">
        <v>18.39</v>
      </c>
      <c r="F464">
        <v>24.823333330000001</v>
      </c>
      <c r="G464">
        <v>1.99</v>
      </c>
      <c r="H464">
        <v>1.058333333</v>
      </c>
      <c r="I464">
        <v>2.7083333330000001</v>
      </c>
      <c r="J464">
        <v>5488.0083329999998</v>
      </c>
      <c r="K464">
        <v>4812.8333329999996</v>
      </c>
      <c r="L464">
        <v>6309.8541670000004</v>
      </c>
      <c r="M464">
        <v>15.4275</v>
      </c>
      <c r="N464">
        <v>14.20333333</v>
      </c>
      <c r="O464">
        <v>16.983333330000001</v>
      </c>
      <c r="Q464" t="s">
        <v>333</v>
      </c>
      <c r="R464" t="s">
        <v>9637</v>
      </c>
      <c r="S464" t="s">
        <v>9058</v>
      </c>
      <c r="T464" t="s">
        <v>9061</v>
      </c>
    </row>
    <row r="465" spans="1:20" x14ac:dyDescent="0.25">
      <c r="A465" t="s">
        <v>6927</v>
      </c>
      <c r="B465">
        <v>-19.86</v>
      </c>
      <c r="C465">
        <v>912</v>
      </c>
      <c r="D465">
        <v>21.805</v>
      </c>
      <c r="E465">
        <v>18.641666669999999</v>
      </c>
      <c r="F465">
        <v>25.106666669999999</v>
      </c>
      <c r="G465">
        <v>2.3475000000000001</v>
      </c>
      <c r="H465">
        <v>1.325</v>
      </c>
      <c r="I465">
        <v>3.1949999999999998</v>
      </c>
      <c r="J465">
        <v>5296.9616669999996</v>
      </c>
      <c r="K465">
        <v>4761.4375</v>
      </c>
      <c r="L465">
        <v>6116.2708329999996</v>
      </c>
      <c r="M465">
        <v>14.1425</v>
      </c>
      <c r="N465">
        <v>12.86333333</v>
      </c>
      <c r="O465">
        <v>15.59333333</v>
      </c>
      <c r="Q465" t="s">
        <v>333</v>
      </c>
      <c r="R465" t="s">
        <v>9639</v>
      </c>
      <c r="S465" t="s">
        <v>9065</v>
      </c>
      <c r="T465" t="s">
        <v>9066</v>
      </c>
    </row>
    <row r="466" spans="1:20" x14ac:dyDescent="0.25">
      <c r="A466" t="s">
        <v>9640</v>
      </c>
      <c r="B466">
        <v>-19.88</v>
      </c>
      <c r="C466">
        <v>913.5</v>
      </c>
      <c r="D466">
        <v>22.079166669999999</v>
      </c>
      <c r="E466">
        <v>18.938333329999999</v>
      </c>
      <c r="F466">
        <v>25.36</v>
      </c>
      <c r="G466">
        <v>1.9275</v>
      </c>
      <c r="H466">
        <v>1.075</v>
      </c>
      <c r="I466">
        <v>2.61</v>
      </c>
      <c r="J466">
        <v>5385.2658330000004</v>
      </c>
      <c r="K466">
        <v>4798.1458329999996</v>
      </c>
      <c r="L466">
        <v>6094.4583329999996</v>
      </c>
      <c r="M466">
        <v>14.3</v>
      </c>
      <c r="N466">
        <v>13.073333330000001</v>
      </c>
      <c r="O466">
        <v>15.97666667</v>
      </c>
      <c r="Q466" t="s">
        <v>333</v>
      </c>
      <c r="R466" t="s">
        <v>9639</v>
      </c>
      <c r="S466" t="s">
        <v>9058</v>
      </c>
      <c r="T466" t="s">
        <v>9061</v>
      </c>
    </row>
    <row r="467" spans="1:20" x14ac:dyDescent="0.25">
      <c r="A467" t="s">
        <v>6830</v>
      </c>
      <c r="B467">
        <v>-16.170000000000002</v>
      </c>
      <c r="C467">
        <v>495</v>
      </c>
      <c r="D467">
        <v>23.284166670000001</v>
      </c>
      <c r="E467">
        <v>20.036666669999999</v>
      </c>
      <c r="F467">
        <v>26.653333329999999</v>
      </c>
      <c r="G467">
        <v>1.085</v>
      </c>
      <c r="H467">
        <v>0</v>
      </c>
      <c r="I467">
        <v>1.96</v>
      </c>
      <c r="J467">
        <v>5170.794167</v>
      </c>
      <c r="K467">
        <v>4248.8333329999996</v>
      </c>
      <c r="L467">
        <v>6289.9791670000004</v>
      </c>
      <c r="M467">
        <v>17.012499999999999</v>
      </c>
      <c r="N467">
        <v>15.741666670000001</v>
      </c>
      <c r="O467">
        <v>18.51166667</v>
      </c>
      <c r="Q467" t="s">
        <v>333</v>
      </c>
      <c r="R467" t="s">
        <v>9641</v>
      </c>
      <c r="S467" t="s">
        <v>9065</v>
      </c>
      <c r="T467" t="s">
        <v>9066</v>
      </c>
    </row>
    <row r="468" spans="1:20" x14ac:dyDescent="0.25">
      <c r="A468" t="s">
        <v>9642</v>
      </c>
      <c r="B468">
        <v>-16.16</v>
      </c>
      <c r="C468">
        <v>496.5</v>
      </c>
      <c r="D468">
        <v>23.94916667</v>
      </c>
      <c r="E468">
        <v>20.614999999999998</v>
      </c>
      <c r="F468">
        <v>27.168333329999999</v>
      </c>
      <c r="G468">
        <v>1.5425</v>
      </c>
      <c r="H468">
        <v>0.59166666700000003</v>
      </c>
      <c r="I468">
        <v>2.2833333329999999</v>
      </c>
      <c r="J468">
        <v>5264.1166670000002</v>
      </c>
      <c r="K468">
        <v>4485.4583329999996</v>
      </c>
      <c r="L468">
        <v>6337.375</v>
      </c>
      <c r="M468">
        <v>15.7225</v>
      </c>
      <c r="N468">
        <v>14.20833333</v>
      </c>
      <c r="O468">
        <v>17.55</v>
      </c>
      <c r="Q468" t="s">
        <v>333</v>
      </c>
      <c r="R468" t="s">
        <v>9641</v>
      </c>
      <c r="S468" t="s">
        <v>9058</v>
      </c>
      <c r="T468" t="s">
        <v>9061</v>
      </c>
    </row>
    <row r="469" spans="1:20" x14ac:dyDescent="0.25">
      <c r="A469" t="s">
        <v>6813</v>
      </c>
      <c r="B469">
        <v>-21.14</v>
      </c>
      <c r="C469">
        <v>991</v>
      </c>
      <c r="D469">
        <v>19.372499999999999</v>
      </c>
      <c r="E469">
        <v>16.414999999999999</v>
      </c>
      <c r="F469">
        <v>22.388333329999998</v>
      </c>
      <c r="G469">
        <v>2.4758333330000002</v>
      </c>
      <c r="H469">
        <v>1.253333333</v>
      </c>
      <c r="I469">
        <v>3.4666666670000001</v>
      </c>
      <c r="J469">
        <v>4657.1016669999999</v>
      </c>
      <c r="K469">
        <v>3772.708333</v>
      </c>
      <c r="L469">
        <v>5668.625</v>
      </c>
      <c r="M469">
        <v>14.85416667</v>
      </c>
      <c r="N469">
        <v>13.596666669999999</v>
      </c>
      <c r="O469">
        <v>16.393333330000001</v>
      </c>
      <c r="Q469" t="s">
        <v>333</v>
      </c>
      <c r="R469" t="s">
        <v>9643</v>
      </c>
      <c r="S469" t="s">
        <v>9065</v>
      </c>
      <c r="T469" t="s">
        <v>9066</v>
      </c>
    </row>
    <row r="470" spans="1:20" x14ac:dyDescent="0.25">
      <c r="A470" t="s">
        <v>9644</v>
      </c>
      <c r="B470">
        <v>-21.13</v>
      </c>
      <c r="C470">
        <v>992.5</v>
      </c>
      <c r="D470">
        <v>19.84</v>
      </c>
      <c r="E470">
        <v>16.686666670000001</v>
      </c>
      <c r="F470">
        <v>22.876666669999999</v>
      </c>
      <c r="G470">
        <v>2.3883333329999998</v>
      </c>
      <c r="H470">
        <v>1.4666666669999999</v>
      </c>
      <c r="I470">
        <v>3.16</v>
      </c>
      <c r="J470">
        <v>4951.0533329999998</v>
      </c>
      <c r="K470">
        <v>4244.7916670000004</v>
      </c>
      <c r="L470">
        <v>5849.6041670000004</v>
      </c>
      <c r="M470">
        <v>14.311666669999999</v>
      </c>
      <c r="N470">
        <v>12.99333333</v>
      </c>
      <c r="O470">
        <v>15.72</v>
      </c>
      <c r="Q470" t="s">
        <v>333</v>
      </c>
      <c r="R470" t="s">
        <v>9645</v>
      </c>
      <c r="S470" t="s">
        <v>9058</v>
      </c>
      <c r="T470" t="s">
        <v>9061</v>
      </c>
    </row>
    <row r="471" spans="1:20" x14ac:dyDescent="0.25">
      <c r="A471" t="s">
        <v>6872</v>
      </c>
      <c r="B471">
        <v>-16.37</v>
      </c>
      <c r="C471">
        <v>460</v>
      </c>
      <c r="D471">
        <v>24.032499999999999</v>
      </c>
      <c r="E471">
        <v>20.6</v>
      </c>
      <c r="F471">
        <v>27.684999999999999</v>
      </c>
      <c r="G471">
        <v>1.355</v>
      </c>
      <c r="H471">
        <v>0.63333333300000005</v>
      </c>
      <c r="I471">
        <v>1.9083333330000001</v>
      </c>
      <c r="J471">
        <v>5638.2849999999999</v>
      </c>
      <c r="K471">
        <v>5033.4166670000004</v>
      </c>
      <c r="L471">
        <v>6506.1041670000004</v>
      </c>
      <c r="M471">
        <v>18.443333330000002</v>
      </c>
      <c r="N471">
        <v>17.1875</v>
      </c>
      <c r="O471">
        <v>19.91333333</v>
      </c>
      <c r="Q471" t="s">
        <v>333</v>
      </c>
      <c r="R471" t="s">
        <v>9646</v>
      </c>
      <c r="S471" t="s">
        <v>9065</v>
      </c>
      <c r="T471" t="s">
        <v>9066</v>
      </c>
    </row>
    <row r="472" spans="1:20" x14ac:dyDescent="0.25">
      <c r="A472" t="s">
        <v>9647</v>
      </c>
      <c r="B472">
        <v>-16.37</v>
      </c>
      <c r="C472">
        <v>461.5</v>
      </c>
      <c r="D472">
        <v>24.963333330000001</v>
      </c>
      <c r="E472">
        <v>20.521666669999998</v>
      </c>
      <c r="F472">
        <v>29.86</v>
      </c>
      <c r="G472">
        <v>1.2725</v>
      </c>
      <c r="H472">
        <v>0.34</v>
      </c>
      <c r="I472">
        <v>1.95</v>
      </c>
      <c r="J472">
        <v>5626.7574999999997</v>
      </c>
      <c r="K472">
        <v>5126.6666670000004</v>
      </c>
      <c r="L472">
        <v>6376.6875</v>
      </c>
      <c r="M472">
        <v>16.848333329999999</v>
      </c>
      <c r="N472">
        <v>15.241666670000001</v>
      </c>
      <c r="O472">
        <v>18.625</v>
      </c>
      <c r="Q472" t="s">
        <v>333</v>
      </c>
      <c r="R472" t="s">
        <v>9646</v>
      </c>
      <c r="S472" t="s">
        <v>9058</v>
      </c>
      <c r="T472" t="s">
        <v>9061</v>
      </c>
    </row>
    <row r="473" spans="1:20" x14ac:dyDescent="0.25">
      <c r="A473" t="s">
        <v>6290</v>
      </c>
      <c r="B473">
        <v>-17.78</v>
      </c>
      <c r="C473">
        <v>208</v>
      </c>
      <c r="D473">
        <v>23.26166667</v>
      </c>
      <c r="E473">
        <v>20.633333329999999</v>
      </c>
      <c r="F473">
        <v>25.76166667</v>
      </c>
      <c r="G473">
        <v>2.650833333</v>
      </c>
      <c r="H473">
        <v>1.4066666670000001</v>
      </c>
      <c r="I473">
        <v>3.7166666670000001</v>
      </c>
      <c r="J473">
        <v>4793.1991669999998</v>
      </c>
      <c r="K473">
        <v>4007.895833</v>
      </c>
      <c r="L473">
        <v>5678.75</v>
      </c>
      <c r="M473">
        <v>19.19916667</v>
      </c>
      <c r="N473">
        <v>18.3</v>
      </c>
      <c r="O473">
        <v>20.3</v>
      </c>
      <c r="Q473" t="s">
        <v>333</v>
      </c>
      <c r="R473" t="s">
        <v>9648</v>
      </c>
      <c r="S473" t="s">
        <v>9065</v>
      </c>
      <c r="T473" t="s">
        <v>9066</v>
      </c>
    </row>
    <row r="474" spans="1:20" x14ac:dyDescent="0.25">
      <c r="A474" t="s">
        <v>9649</v>
      </c>
      <c r="B474">
        <v>-17.8</v>
      </c>
      <c r="C474">
        <v>209.5</v>
      </c>
      <c r="D474">
        <v>23.94166667</v>
      </c>
      <c r="E474">
        <v>21.348333329999999</v>
      </c>
      <c r="F474">
        <v>26.41333333</v>
      </c>
      <c r="G474">
        <v>2.7883333330000002</v>
      </c>
      <c r="H474">
        <v>1.665</v>
      </c>
      <c r="I474">
        <v>3.7516666669999998</v>
      </c>
      <c r="J474">
        <v>4783.9683329999998</v>
      </c>
      <c r="K474">
        <v>3961.666667</v>
      </c>
      <c r="L474">
        <v>5717.5</v>
      </c>
      <c r="M474">
        <v>19.05</v>
      </c>
      <c r="N474">
        <v>18.13</v>
      </c>
      <c r="O474">
        <v>20.240833330000001</v>
      </c>
      <c r="Q474" t="s">
        <v>333</v>
      </c>
      <c r="R474" t="s">
        <v>9648</v>
      </c>
      <c r="S474" t="s">
        <v>9058</v>
      </c>
      <c r="T474" t="s">
        <v>9061</v>
      </c>
    </row>
    <row r="475" spans="1:20" x14ac:dyDescent="0.25">
      <c r="A475" t="s">
        <v>6835</v>
      </c>
      <c r="B475">
        <v>-17.86</v>
      </c>
      <c r="C475">
        <v>475</v>
      </c>
      <c r="D475">
        <v>22.391666669999999</v>
      </c>
      <c r="E475">
        <v>19.90666667</v>
      </c>
      <c r="F475">
        <v>24.743333329999999</v>
      </c>
      <c r="G475">
        <v>1.6383333330000001</v>
      </c>
      <c r="H475">
        <v>0.66500000000000004</v>
      </c>
      <c r="I475">
        <v>2.4333333330000002</v>
      </c>
      <c r="J475">
        <v>4651.1450000000004</v>
      </c>
      <c r="K475">
        <v>3733.520833</v>
      </c>
      <c r="L475">
        <v>5703.6666670000004</v>
      </c>
      <c r="M475">
        <v>17.78</v>
      </c>
      <c r="N475">
        <v>16.736666670000002</v>
      </c>
      <c r="O475">
        <v>19.041666670000001</v>
      </c>
      <c r="Q475" t="s">
        <v>333</v>
      </c>
      <c r="R475" t="s">
        <v>9650</v>
      </c>
      <c r="S475" t="s">
        <v>9065</v>
      </c>
      <c r="T475" t="s">
        <v>9066</v>
      </c>
    </row>
    <row r="476" spans="1:20" x14ac:dyDescent="0.25">
      <c r="A476" t="s">
        <v>9651</v>
      </c>
      <c r="B476">
        <v>-17.89</v>
      </c>
      <c r="C476">
        <v>476.5</v>
      </c>
      <c r="D476">
        <v>23.090833329999999</v>
      </c>
      <c r="E476">
        <v>20.321666669999999</v>
      </c>
      <c r="F476">
        <v>25.56666667</v>
      </c>
      <c r="G476">
        <v>1.8049999999999999</v>
      </c>
      <c r="H476">
        <v>0.98166666700000005</v>
      </c>
      <c r="I476">
        <v>2.5099999999999998</v>
      </c>
      <c r="J476">
        <v>4884.8874999999998</v>
      </c>
      <c r="K476">
        <v>4063.4375</v>
      </c>
      <c r="L476">
        <v>5928.2916670000004</v>
      </c>
      <c r="M476">
        <v>17.16</v>
      </c>
      <c r="N476">
        <v>16.072500000000002</v>
      </c>
      <c r="O476">
        <v>18.537500000000001</v>
      </c>
      <c r="Q476" t="s">
        <v>333</v>
      </c>
      <c r="R476" t="s">
        <v>9652</v>
      </c>
      <c r="S476" t="s">
        <v>9058</v>
      </c>
      <c r="T476" t="s">
        <v>9061</v>
      </c>
    </row>
    <row r="477" spans="1:20" x14ac:dyDescent="0.25">
      <c r="A477" t="s">
        <v>6798</v>
      </c>
      <c r="B477">
        <v>-19.579999999999998</v>
      </c>
      <c r="C477">
        <v>333</v>
      </c>
      <c r="D477">
        <v>22.846666670000001</v>
      </c>
      <c r="E477">
        <v>20.625</v>
      </c>
      <c r="F477">
        <v>24.795000000000002</v>
      </c>
      <c r="G477">
        <v>1.135</v>
      </c>
      <c r="H477">
        <v>0.44166666700000001</v>
      </c>
      <c r="I477">
        <v>1.733333333</v>
      </c>
      <c r="J477">
        <v>4319.4858329999997</v>
      </c>
      <c r="K477">
        <v>3295.3125</v>
      </c>
      <c r="L477">
        <v>5367.9791670000004</v>
      </c>
      <c r="M477">
        <v>17.231666669999999</v>
      </c>
      <c r="N477">
        <v>16.175000000000001</v>
      </c>
      <c r="O477">
        <v>18.383333329999999</v>
      </c>
      <c r="Q477" t="s">
        <v>333</v>
      </c>
      <c r="R477" t="s">
        <v>9653</v>
      </c>
      <c r="S477" t="s">
        <v>9065</v>
      </c>
      <c r="T477" t="s">
        <v>9066</v>
      </c>
    </row>
    <row r="478" spans="1:20" x14ac:dyDescent="0.25">
      <c r="A478" t="s">
        <v>9654</v>
      </c>
      <c r="B478">
        <v>-19.579999999999998</v>
      </c>
      <c r="C478">
        <v>334.5</v>
      </c>
      <c r="D478">
        <v>22.537500000000001</v>
      </c>
      <c r="E478">
        <v>20.048333329999998</v>
      </c>
      <c r="F478">
        <v>24.818333330000002</v>
      </c>
      <c r="G478">
        <v>0.92416666700000005</v>
      </c>
      <c r="H478">
        <v>0.32500000000000001</v>
      </c>
      <c r="I478">
        <v>1.41</v>
      </c>
      <c r="J478">
        <v>4870.1333329999998</v>
      </c>
      <c r="K478">
        <v>3958.145833</v>
      </c>
      <c r="L478">
        <v>5964.8541670000004</v>
      </c>
      <c r="M478">
        <v>16.509166669999999</v>
      </c>
      <c r="N478">
        <v>15.373333329999999</v>
      </c>
      <c r="O478">
        <v>17.778333329999999</v>
      </c>
      <c r="Q478" t="s">
        <v>333</v>
      </c>
      <c r="R478" t="s">
        <v>9653</v>
      </c>
      <c r="S478" t="s">
        <v>9058</v>
      </c>
      <c r="T478" t="s">
        <v>9061</v>
      </c>
    </row>
    <row r="479" spans="1:20" x14ac:dyDescent="0.25">
      <c r="A479" t="s">
        <v>6851</v>
      </c>
      <c r="B479">
        <v>-18.21</v>
      </c>
      <c r="C479">
        <v>921</v>
      </c>
      <c r="D479">
        <v>21.977499999999999</v>
      </c>
      <c r="E479">
        <v>19.541666670000001</v>
      </c>
      <c r="F479">
        <v>24.168333329999999</v>
      </c>
      <c r="G479">
        <v>2.6775000000000002</v>
      </c>
      <c r="H479">
        <v>1.9166666670000001</v>
      </c>
      <c r="I479">
        <v>3.375</v>
      </c>
      <c r="J479">
        <v>5289.4366669999999</v>
      </c>
      <c r="K479">
        <v>4606.8333329999996</v>
      </c>
      <c r="L479">
        <v>6226.9166670000004</v>
      </c>
      <c r="M479">
        <v>16.126666669999999</v>
      </c>
      <c r="N479">
        <v>14.983333330000001</v>
      </c>
      <c r="O479">
        <v>17.616666670000001</v>
      </c>
      <c r="Q479" t="s">
        <v>333</v>
      </c>
      <c r="R479" t="s">
        <v>9655</v>
      </c>
      <c r="S479" t="s">
        <v>9065</v>
      </c>
      <c r="T479" t="s">
        <v>9066</v>
      </c>
    </row>
    <row r="480" spans="1:20" x14ac:dyDescent="0.25">
      <c r="A480" t="s">
        <v>9656</v>
      </c>
      <c r="B480">
        <v>-18.2</v>
      </c>
      <c r="C480">
        <v>922.5</v>
      </c>
      <c r="D480">
        <v>22.48</v>
      </c>
      <c r="E480">
        <v>19.637499999999999</v>
      </c>
      <c r="F480">
        <v>25.12166667</v>
      </c>
      <c r="G480">
        <v>2.4058333329999999</v>
      </c>
      <c r="H480">
        <v>1.575</v>
      </c>
      <c r="I480">
        <v>3.1683333330000001</v>
      </c>
      <c r="J480">
        <v>5569.5225</v>
      </c>
      <c r="K480">
        <v>5031.0416670000004</v>
      </c>
      <c r="L480">
        <v>6343.1666670000004</v>
      </c>
      <c r="M480">
        <v>14.17333333</v>
      </c>
      <c r="N480">
        <v>12.570833329999999</v>
      </c>
      <c r="O480">
        <v>15.926666669999999</v>
      </c>
      <c r="Q480" t="s">
        <v>333</v>
      </c>
      <c r="R480" t="s">
        <v>9655</v>
      </c>
      <c r="S480" t="s">
        <v>9058</v>
      </c>
      <c r="T480" t="s">
        <v>9061</v>
      </c>
    </row>
    <row r="481" spans="1:20" x14ac:dyDescent="0.25">
      <c r="A481" t="s">
        <v>9657</v>
      </c>
      <c r="B481">
        <v>-19.77</v>
      </c>
      <c r="C481">
        <v>809.2</v>
      </c>
      <c r="D481">
        <v>23.1525</v>
      </c>
      <c r="E481">
        <v>20.19166667</v>
      </c>
      <c r="F481">
        <v>26.125</v>
      </c>
      <c r="G481">
        <v>3.3483333329999998</v>
      </c>
      <c r="H481">
        <v>2.3483333329999998</v>
      </c>
      <c r="I481">
        <v>4.2191666669999996</v>
      </c>
      <c r="J481">
        <v>5389.3024999999998</v>
      </c>
      <c r="K481">
        <v>4803.9583329999996</v>
      </c>
      <c r="L481">
        <v>6142.7083329999996</v>
      </c>
      <c r="M481">
        <v>14.664999999999999</v>
      </c>
      <c r="N481">
        <v>12.83333333</v>
      </c>
      <c r="O481">
        <v>16.666666670000001</v>
      </c>
      <c r="Q481" t="s">
        <v>333</v>
      </c>
      <c r="R481" t="s">
        <v>9658</v>
      </c>
      <c r="S481" t="s">
        <v>9058</v>
      </c>
      <c r="T481" t="s">
        <v>9059</v>
      </c>
    </row>
    <row r="482" spans="1:20" x14ac:dyDescent="0.25">
      <c r="A482" t="s">
        <v>9659</v>
      </c>
      <c r="B482">
        <v>-19.77</v>
      </c>
      <c r="C482">
        <v>809.2</v>
      </c>
      <c r="D482">
        <v>23.274999999999999</v>
      </c>
      <c r="E482">
        <v>20.30833333</v>
      </c>
      <c r="F482">
        <v>26.176666669999999</v>
      </c>
      <c r="G482">
        <v>3.2149999999999999</v>
      </c>
      <c r="H482">
        <v>2.25</v>
      </c>
      <c r="I482">
        <v>3.9849999999999999</v>
      </c>
      <c r="J482">
        <v>5401.5325000000003</v>
      </c>
      <c r="K482">
        <v>4885.0833329999996</v>
      </c>
      <c r="L482">
        <v>6155.1666670000004</v>
      </c>
      <c r="M482">
        <v>15.125833330000001</v>
      </c>
      <c r="N482">
        <v>13.615</v>
      </c>
      <c r="O482">
        <v>17.166666670000001</v>
      </c>
      <c r="Q482" t="s">
        <v>333</v>
      </c>
      <c r="R482" t="s">
        <v>9658</v>
      </c>
      <c r="S482" t="s">
        <v>9058</v>
      </c>
      <c r="T482" t="s">
        <v>9061</v>
      </c>
    </row>
    <row r="483" spans="1:20" x14ac:dyDescent="0.25">
      <c r="A483" t="s">
        <v>9660</v>
      </c>
      <c r="B483">
        <v>-18.89</v>
      </c>
      <c r="C483">
        <v>943</v>
      </c>
      <c r="D483">
        <v>22.182500000000001</v>
      </c>
      <c r="E483">
        <v>19.083333329999999</v>
      </c>
      <c r="F483">
        <v>25.125</v>
      </c>
      <c r="G483">
        <v>3.6724999999999999</v>
      </c>
      <c r="H483">
        <v>2.5499999999999998</v>
      </c>
      <c r="I483">
        <v>4.5750000000000002</v>
      </c>
      <c r="J483">
        <v>5534.8391670000001</v>
      </c>
      <c r="K483">
        <v>5122.125</v>
      </c>
      <c r="L483">
        <v>6259.4166670000004</v>
      </c>
      <c r="M483">
        <v>14.96916667</v>
      </c>
      <c r="N483">
        <v>13.5</v>
      </c>
      <c r="O483">
        <v>16.689166669999999</v>
      </c>
      <c r="Q483" t="s">
        <v>333</v>
      </c>
      <c r="R483" t="s">
        <v>9661</v>
      </c>
      <c r="S483" t="s">
        <v>9058</v>
      </c>
      <c r="T483" t="s">
        <v>9059</v>
      </c>
    </row>
    <row r="484" spans="1:20" x14ac:dyDescent="0.25">
      <c r="A484" t="s">
        <v>9662</v>
      </c>
      <c r="B484">
        <v>-18.88</v>
      </c>
      <c r="C484">
        <v>943</v>
      </c>
      <c r="D484">
        <v>22.192499999999999</v>
      </c>
      <c r="E484">
        <v>19.169166669999999</v>
      </c>
      <c r="F484">
        <v>25.20333333</v>
      </c>
      <c r="G484">
        <v>3.838333333</v>
      </c>
      <c r="H484">
        <v>2.7250000000000001</v>
      </c>
      <c r="I484">
        <v>4.7233333330000002</v>
      </c>
      <c r="J484">
        <v>5455.0474999999997</v>
      </c>
      <c r="K484">
        <v>4953.6875</v>
      </c>
      <c r="L484">
        <v>6243.6666670000004</v>
      </c>
      <c r="M484">
        <v>14.32583333</v>
      </c>
      <c r="N484">
        <v>13.125</v>
      </c>
      <c r="O484">
        <v>16.4025</v>
      </c>
      <c r="Q484" t="s">
        <v>333</v>
      </c>
      <c r="R484" t="s">
        <v>9661</v>
      </c>
      <c r="S484" t="s">
        <v>9058</v>
      </c>
      <c r="T484" t="s">
        <v>9061</v>
      </c>
    </row>
    <row r="485" spans="1:20" x14ac:dyDescent="0.25">
      <c r="A485" t="s">
        <v>6831</v>
      </c>
      <c r="B485">
        <v>-18.920000000000002</v>
      </c>
      <c r="C485">
        <v>869</v>
      </c>
      <c r="D485">
        <v>22.950833329999998</v>
      </c>
      <c r="E485">
        <v>20.021666669999998</v>
      </c>
      <c r="F485">
        <v>25.9025</v>
      </c>
      <c r="G485">
        <v>2.0350000000000001</v>
      </c>
      <c r="H485">
        <v>1.2066666669999999</v>
      </c>
      <c r="I485">
        <v>2.7916666669999999</v>
      </c>
      <c r="J485">
        <v>6160.665</v>
      </c>
      <c r="K485">
        <v>5721.2291670000004</v>
      </c>
      <c r="L485">
        <v>6871.625</v>
      </c>
      <c r="M485">
        <v>13.73</v>
      </c>
      <c r="N485">
        <v>12.403333330000001</v>
      </c>
      <c r="O485">
        <v>15.20833333</v>
      </c>
      <c r="Q485" t="s">
        <v>333</v>
      </c>
      <c r="R485" t="s">
        <v>9663</v>
      </c>
      <c r="S485" t="s">
        <v>9065</v>
      </c>
      <c r="T485" t="s">
        <v>9066</v>
      </c>
    </row>
    <row r="486" spans="1:20" x14ac:dyDescent="0.25">
      <c r="A486" t="s">
        <v>9664</v>
      </c>
      <c r="B486">
        <v>-18.920000000000002</v>
      </c>
      <c r="C486">
        <v>870.5</v>
      </c>
      <c r="D486">
        <v>23.241666670000001</v>
      </c>
      <c r="E486">
        <v>20.364999999999998</v>
      </c>
      <c r="F486">
        <v>26.139166670000002</v>
      </c>
      <c r="G486">
        <v>2.0716666670000001</v>
      </c>
      <c r="H486">
        <v>1.3233333329999999</v>
      </c>
      <c r="I486">
        <v>2.7250000000000001</v>
      </c>
      <c r="J486">
        <v>5413.1975000000002</v>
      </c>
      <c r="K486">
        <v>4822.4583329999996</v>
      </c>
      <c r="L486">
        <v>6191.0416670000004</v>
      </c>
      <c r="M486">
        <v>14.63083333</v>
      </c>
      <c r="N486">
        <v>13.095000000000001</v>
      </c>
      <c r="O486">
        <v>16.676666669999999</v>
      </c>
      <c r="Q486" t="s">
        <v>333</v>
      </c>
      <c r="R486" t="s">
        <v>9663</v>
      </c>
      <c r="S486" t="s">
        <v>9058</v>
      </c>
      <c r="T486" t="s">
        <v>9061</v>
      </c>
    </row>
    <row r="487" spans="1:20" x14ac:dyDescent="0.25">
      <c r="A487" t="s">
        <v>9665</v>
      </c>
      <c r="B487">
        <v>-16.55</v>
      </c>
      <c r="C487">
        <v>632.5</v>
      </c>
      <c r="D487">
        <v>23.869166669999998</v>
      </c>
      <c r="E487">
        <v>20.765000000000001</v>
      </c>
      <c r="F487">
        <v>26.951666670000002</v>
      </c>
      <c r="G487">
        <v>1.6775</v>
      </c>
      <c r="H487">
        <v>0.90833333299999997</v>
      </c>
      <c r="I487">
        <v>2.266666667</v>
      </c>
      <c r="J487">
        <v>5490.6366669999998</v>
      </c>
      <c r="K487">
        <v>4960.8958329999996</v>
      </c>
      <c r="L487">
        <v>6266.6041670000004</v>
      </c>
      <c r="M487">
        <v>16.010000000000002</v>
      </c>
      <c r="N487">
        <v>14.88166667</v>
      </c>
      <c r="O487">
        <v>17.28833333</v>
      </c>
      <c r="Q487" t="s">
        <v>333</v>
      </c>
      <c r="R487" t="s">
        <v>9666</v>
      </c>
      <c r="S487" t="s">
        <v>9058</v>
      </c>
      <c r="T487" t="s">
        <v>9061</v>
      </c>
    </row>
    <row r="488" spans="1:20" x14ac:dyDescent="0.25">
      <c r="A488" t="s">
        <v>6864</v>
      </c>
      <c r="B488">
        <v>-16.36</v>
      </c>
      <c r="C488">
        <v>631</v>
      </c>
      <c r="D488">
        <v>23.443333330000002</v>
      </c>
      <c r="E488">
        <v>20.215</v>
      </c>
      <c r="F488">
        <v>26.646666669999998</v>
      </c>
      <c r="G488">
        <v>1.6875</v>
      </c>
      <c r="H488">
        <v>0.931666667</v>
      </c>
      <c r="I488">
        <v>2.326666667</v>
      </c>
      <c r="J488">
        <v>5394.6716669999996</v>
      </c>
      <c r="K488">
        <v>4808.625</v>
      </c>
      <c r="L488">
        <v>6251.7916670000004</v>
      </c>
      <c r="M488">
        <v>17.040833330000002</v>
      </c>
      <c r="N488">
        <v>15.92333333</v>
      </c>
      <c r="O488">
        <v>18.445</v>
      </c>
      <c r="Q488" t="s">
        <v>333</v>
      </c>
      <c r="R488" t="s">
        <v>9667</v>
      </c>
      <c r="S488" t="s">
        <v>9065</v>
      </c>
      <c r="T488" t="s">
        <v>9066</v>
      </c>
    </row>
    <row r="489" spans="1:20" x14ac:dyDescent="0.25">
      <c r="A489" t="s">
        <v>6811</v>
      </c>
      <c r="B489">
        <v>-21.55</v>
      </c>
      <c r="C489">
        <v>955</v>
      </c>
      <c r="D489">
        <v>19.563333329999999</v>
      </c>
      <c r="E489">
        <v>16.574999999999999</v>
      </c>
      <c r="F489">
        <v>22.38666667</v>
      </c>
      <c r="G489">
        <v>1.8425</v>
      </c>
      <c r="H489">
        <v>1.066666667</v>
      </c>
      <c r="I489">
        <v>2.4933333329999998</v>
      </c>
      <c r="J489">
        <v>4752.6324999999997</v>
      </c>
      <c r="K489">
        <v>3978.416667</v>
      </c>
      <c r="L489">
        <v>5728.5833329999996</v>
      </c>
      <c r="M489">
        <v>14.160833330000001</v>
      </c>
      <c r="N489">
        <v>12.76333333</v>
      </c>
      <c r="O489">
        <v>15.79166667</v>
      </c>
      <c r="Q489" t="s">
        <v>333</v>
      </c>
      <c r="R489" t="s">
        <v>9668</v>
      </c>
      <c r="S489" t="s">
        <v>9065</v>
      </c>
      <c r="T489" t="s">
        <v>9066</v>
      </c>
    </row>
    <row r="490" spans="1:20" x14ac:dyDescent="0.25">
      <c r="A490" t="s">
        <v>9669</v>
      </c>
      <c r="B490">
        <v>-21.57</v>
      </c>
      <c r="C490">
        <v>926.5</v>
      </c>
      <c r="D490">
        <v>20.329166669999999</v>
      </c>
      <c r="E490">
        <v>17.213333330000001</v>
      </c>
      <c r="F490">
        <v>23.495000000000001</v>
      </c>
      <c r="G490">
        <v>1.7791666669999999</v>
      </c>
      <c r="H490">
        <v>0.99166666699999995</v>
      </c>
      <c r="I490">
        <v>2.4333333330000002</v>
      </c>
      <c r="J490">
        <v>5170.4316669999998</v>
      </c>
      <c r="K490">
        <v>4479.6041670000004</v>
      </c>
      <c r="L490">
        <v>6017.9583329999996</v>
      </c>
      <c r="M490">
        <v>13.805</v>
      </c>
      <c r="N490">
        <v>12.29</v>
      </c>
      <c r="O490">
        <v>15.585000000000001</v>
      </c>
      <c r="Q490" t="s">
        <v>333</v>
      </c>
      <c r="R490" t="s">
        <v>9668</v>
      </c>
      <c r="S490" t="s">
        <v>9058</v>
      </c>
      <c r="T490" t="s">
        <v>9061</v>
      </c>
    </row>
    <row r="491" spans="1:20" x14ac:dyDescent="0.25">
      <c r="A491" t="s">
        <v>6797</v>
      </c>
      <c r="B491">
        <v>-20.75</v>
      </c>
      <c r="C491">
        <v>712</v>
      </c>
      <c r="D491">
        <v>20.005833330000002</v>
      </c>
      <c r="E491">
        <v>17.311666670000001</v>
      </c>
      <c r="F491">
        <v>22.65666667</v>
      </c>
      <c r="G491">
        <v>0.859166667</v>
      </c>
      <c r="H491">
        <v>2.5000000000000001E-2</v>
      </c>
      <c r="I491">
        <v>1.443333333</v>
      </c>
      <c r="J491">
        <v>4310.580833</v>
      </c>
      <c r="K491">
        <v>3412.145833</v>
      </c>
      <c r="L491">
        <v>5265.125</v>
      </c>
      <c r="M491">
        <v>16.055</v>
      </c>
      <c r="N491">
        <v>14.79666667</v>
      </c>
      <c r="O491">
        <v>17.35166667</v>
      </c>
      <c r="Q491" t="s">
        <v>333</v>
      </c>
      <c r="R491" t="s">
        <v>9670</v>
      </c>
      <c r="S491" t="s">
        <v>9065</v>
      </c>
      <c r="T491" t="s">
        <v>9066</v>
      </c>
    </row>
    <row r="492" spans="1:20" x14ac:dyDescent="0.25">
      <c r="A492" t="s">
        <v>9671</v>
      </c>
      <c r="B492">
        <v>-20.77</v>
      </c>
      <c r="C492">
        <v>713.7</v>
      </c>
      <c r="D492">
        <v>20.52333333</v>
      </c>
      <c r="E492">
        <v>17.38</v>
      </c>
      <c r="F492">
        <v>23.66416667</v>
      </c>
      <c r="G492">
        <v>0.77666666699999998</v>
      </c>
      <c r="H492">
        <v>0.05</v>
      </c>
      <c r="I492">
        <v>1.318333333</v>
      </c>
      <c r="J492">
        <v>4856.8183330000002</v>
      </c>
      <c r="K492">
        <v>3989.354167</v>
      </c>
      <c r="L492">
        <v>5872.3125</v>
      </c>
      <c r="M492">
        <v>16.451666670000002</v>
      </c>
      <c r="N492">
        <v>15.36166667</v>
      </c>
      <c r="O492">
        <v>17.695</v>
      </c>
      <c r="Q492" t="s">
        <v>333</v>
      </c>
      <c r="R492" t="s">
        <v>9672</v>
      </c>
      <c r="S492" t="s">
        <v>9058</v>
      </c>
      <c r="T492" t="s">
        <v>9061</v>
      </c>
    </row>
    <row r="493" spans="1:20" x14ac:dyDescent="0.25">
      <c r="A493" t="s">
        <v>9673</v>
      </c>
      <c r="B493">
        <v>-20.420000000000002</v>
      </c>
      <c r="C493">
        <v>339.5</v>
      </c>
      <c r="D493">
        <v>24.53166667</v>
      </c>
      <c r="E493">
        <v>20.529166669999999</v>
      </c>
      <c r="F493">
        <v>28.66</v>
      </c>
      <c r="G493">
        <v>1.285833333</v>
      </c>
      <c r="H493">
        <v>0.42499999999999999</v>
      </c>
      <c r="I493">
        <v>1.901666667</v>
      </c>
      <c r="J493">
        <v>5359.4575000000004</v>
      </c>
      <c r="K493">
        <v>4910.9583329999996</v>
      </c>
      <c r="L493">
        <v>6108.625</v>
      </c>
      <c r="M493">
        <v>17.209166669999998</v>
      </c>
      <c r="N493">
        <v>15.856666669999999</v>
      </c>
      <c r="O493">
        <v>19.125</v>
      </c>
      <c r="Q493" t="s">
        <v>336</v>
      </c>
      <c r="R493" t="s">
        <v>9674</v>
      </c>
      <c r="S493" t="s">
        <v>9058</v>
      </c>
      <c r="T493" t="s">
        <v>9061</v>
      </c>
    </row>
    <row r="494" spans="1:20" x14ac:dyDescent="0.25">
      <c r="A494" t="s">
        <v>7255</v>
      </c>
      <c r="B494">
        <v>-23</v>
      </c>
      <c r="C494">
        <v>431</v>
      </c>
      <c r="D494">
        <v>21.942499999999999</v>
      </c>
      <c r="E494">
        <v>18.303333330000001</v>
      </c>
      <c r="F494">
        <v>25.48833333</v>
      </c>
      <c r="G494">
        <v>2.2033333329999998</v>
      </c>
      <c r="H494">
        <v>1.0833333329999999</v>
      </c>
      <c r="I494">
        <v>3.0750000000000002</v>
      </c>
      <c r="J494">
        <v>4898.8591669999996</v>
      </c>
      <c r="K494">
        <v>4214.1666670000004</v>
      </c>
      <c r="L494">
        <v>5979.5208329999996</v>
      </c>
      <c r="M494">
        <v>15.83333333</v>
      </c>
      <c r="N494">
        <v>13.96666667</v>
      </c>
      <c r="O494">
        <v>18.108333330000001</v>
      </c>
      <c r="Q494" t="s">
        <v>336</v>
      </c>
      <c r="R494" t="s">
        <v>9675</v>
      </c>
      <c r="S494" t="s">
        <v>9065</v>
      </c>
      <c r="T494" t="s">
        <v>9066</v>
      </c>
    </row>
    <row r="495" spans="1:20" x14ac:dyDescent="0.25">
      <c r="A495" t="s">
        <v>9676</v>
      </c>
      <c r="B495">
        <v>-23</v>
      </c>
      <c r="C495">
        <v>432.5</v>
      </c>
      <c r="D495">
        <v>22.392499999999998</v>
      </c>
      <c r="E495">
        <v>18.54</v>
      </c>
      <c r="F495">
        <v>26.135000000000002</v>
      </c>
      <c r="G495">
        <v>1.4675</v>
      </c>
      <c r="H495">
        <v>0.29166666699999999</v>
      </c>
      <c r="I495">
        <v>2.3199999999999998</v>
      </c>
      <c r="J495">
        <v>5261.9733329999999</v>
      </c>
      <c r="K495">
        <v>4692.6041670000004</v>
      </c>
      <c r="L495">
        <v>6078.6458329999996</v>
      </c>
      <c r="M495">
        <v>15.500833330000001</v>
      </c>
      <c r="N495">
        <v>13.346666669999999</v>
      </c>
      <c r="O495">
        <v>18.076666670000002</v>
      </c>
      <c r="Q495" t="s">
        <v>336</v>
      </c>
      <c r="R495" t="s">
        <v>9675</v>
      </c>
      <c r="S495" t="s">
        <v>9058</v>
      </c>
      <c r="T495" t="s">
        <v>9061</v>
      </c>
    </row>
    <row r="496" spans="1:20" x14ac:dyDescent="0.25">
      <c r="A496" t="s">
        <v>9677</v>
      </c>
      <c r="B496">
        <v>-20.48</v>
      </c>
      <c r="C496">
        <v>156.5</v>
      </c>
      <c r="D496">
        <v>25.46916667</v>
      </c>
      <c r="E496">
        <v>21.945</v>
      </c>
      <c r="F496">
        <v>29.201666670000002</v>
      </c>
      <c r="G496">
        <v>1.3841666669999999</v>
      </c>
      <c r="H496">
        <v>0.45833333300000001</v>
      </c>
      <c r="I496">
        <v>2.0433333330000001</v>
      </c>
      <c r="J496">
        <v>5353.8516669999999</v>
      </c>
      <c r="K496">
        <v>4948.9166670000004</v>
      </c>
      <c r="L496">
        <v>6114.0416670000004</v>
      </c>
      <c r="M496">
        <v>17.844999999999999</v>
      </c>
      <c r="N496">
        <v>16.30833333</v>
      </c>
      <c r="O496">
        <v>19.82833333</v>
      </c>
      <c r="Q496" t="s">
        <v>336</v>
      </c>
      <c r="R496" t="s">
        <v>9678</v>
      </c>
      <c r="S496" t="s">
        <v>9058</v>
      </c>
      <c r="T496" t="s">
        <v>9061</v>
      </c>
    </row>
    <row r="497" spans="1:20" x14ac:dyDescent="0.25">
      <c r="A497" t="s">
        <v>9679</v>
      </c>
      <c r="B497">
        <v>-20.45</v>
      </c>
      <c r="C497">
        <v>531.5</v>
      </c>
      <c r="D497">
        <v>24.232500000000002</v>
      </c>
      <c r="E497">
        <v>21.385000000000002</v>
      </c>
      <c r="F497">
        <v>27.326666670000002</v>
      </c>
      <c r="G497">
        <v>2.87</v>
      </c>
      <c r="H497">
        <v>1.8666666670000001</v>
      </c>
      <c r="I497">
        <v>3.786666667</v>
      </c>
      <c r="J497">
        <v>5356.6083330000001</v>
      </c>
      <c r="K497">
        <v>4881.3125</v>
      </c>
      <c r="L497">
        <v>6077.7083329999996</v>
      </c>
      <c r="M497">
        <v>16.675000000000001</v>
      </c>
      <c r="N497">
        <v>14.97083333</v>
      </c>
      <c r="O497">
        <v>18.725000000000001</v>
      </c>
      <c r="Q497" t="s">
        <v>336</v>
      </c>
      <c r="R497" t="s">
        <v>9680</v>
      </c>
      <c r="S497" t="s">
        <v>9058</v>
      </c>
      <c r="T497" t="s">
        <v>9061</v>
      </c>
    </row>
    <row r="498" spans="1:20" x14ac:dyDescent="0.25">
      <c r="A498" t="s">
        <v>9681</v>
      </c>
      <c r="B498">
        <v>-20.47</v>
      </c>
      <c r="C498">
        <v>558.70000000000005</v>
      </c>
      <c r="D498">
        <v>23.963333330000001</v>
      </c>
      <c r="E498">
        <v>20.75</v>
      </c>
      <c r="F498">
        <v>27.37916667</v>
      </c>
      <c r="G498">
        <v>4.4358333329999997</v>
      </c>
      <c r="H498">
        <v>3.141666667</v>
      </c>
      <c r="I498">
        <v>5.6583333329999999</v>
      </c>
      <c r="J498">
        <v>5498.205833</v>
      </c>
      <c r="K498">
        <v>4840.1458329999996</v>
      </c>
      <c r="L498">
        <v>6515.4583329999996</v>
      </c>
      <c r="M498">
        <v>16.445</v>
      </c>
      <c r="N498">
        <v>15.00666667</v>
      </c>
      <c r="O498">
        <v>18.484999999999999</v>
      </c>
      <c r="Q498" t="s">
        <v>336</v>
      </c>
      <c r="R498" t="s">
        <v>9682</v>
      </c>
      <c r="S498" t="s">
        <v>9058</v>
      </c>
      <c r="T498" t="s">
        <v>9059</v>
      </c>
    </row>
    <row r="499" spans="1:20" x14ac:dyDescent="0.25">
      <c r="A499" t="s">
        <v>9683</v>
      </c>
      <c r="B499">
        <v>-20.47</v>
      </c>
      <c r="C499">
        <v>558.70000000000005</v>
      </c>
      <c r="D499">
        <v>23.71916667</v>
      </c>
      <c r="E499">
        <v>20.791666670000001</v>
      </c>
      <c r="F499">
        <v>26.964166670000001</v>
      </c>
      <c r="G499">
        <v>3.994166667</v>
      </c>
      <c r="H499">
        <v>2.516666667</v>
      </c>
      <c r="I499">
        <v>5.2191666669999996</v>
      </c>
      <c r="J499">
        <v>5253.3450000000003</v>
      </c>
      <c r="K499">
        <v>4804.7916670000004</v>
      </c>
      <c r="L499">
        <v>6043.8333329999996</v>
      </c>
      <c r="M499">
        <v>16.431666669999998</v>
      </c>
      <c r="N499">
        <v>14.72666667</v>
      </c>
      <c r="O499">
        <v>18.533333330000001</v>
      </c>
      <c r="Q499" t="s">
        <v>336</v>
      </c>
      <c r="R499" t="s">
        <v>9682</v>
      </c>
      <c r="S499" t="s">
        <v>9058</v>
      </c>
      <c r="T499" t="s">
        <v>9061</v>
      </c>
    </row>
    <row r="500" spans="1:20" x14ac:dyDescent="0.25">
      <c r="A500" t="s">
        <v>7263</v>
      </c>
      <c r="B500">
        <v>-20.440000000000001</v>
      </c>
      <c r="C500">
        <v>530</v>
      </c>
      <c r="D500">
        <v>23.447500000000002</v>
      </c>
      <c r="E500">
        <v>20.206666670000001</v>
      </c>
      <c r="F500">
        <v>26.645</v>
      </c>
      <c r="G500">
        <v>3.4550000000000001</v>
      </c>
      <c r="H500">
        <v>2.4133333330000002</v>
      </c>
      <c r="I500">
        <v>4.3391666669999998</v>
      </c>
      <c r="J500">
        <v>4967.3833329999998</v>
      </c>
      <c r="K500">
        <v>4275.7708329999996</v>
      </c>
      <c r="L500">
        <v>5924.0416670000004</v>
      </c>
      <c r="M500">
        <v>15.797499999999999</v>
      </c>
      <c r="N500">
        <v>14.05666667</v>
      </c>
      <c r="O500">
        <v>17.696666669999999</v>
      </c>
      <c r="Q500" t="s">
        <v>336</v>
      </c>
      <c r="R500" t="s">
        <v>9684</v>
      </c>
      <c r="S500" t="s">
        <v>9065</v>
      </c>
      <c r="T500" t="s">
        <v>9066</v>
      </c>
    </row>
    <row r="501" spans="1:20" x14ac:dyDescent="0.25">
      <c r="A501" t="s">
        <v>9685</v>
      </c>
      <c r="B501">
        <v>-19.12</v>
      </c>
      <c r="C501">
        <v>517.5</v>
      </c>
      <c r="D501">
        <v>24.372499999999999</v>
      </c>
      <c r="E501">
        <v>20.623333330000001</v>
      </c>
      <c r="F501">
        <v>28.201666670000002</v>
      </c>
      <c r="G501">
        <v>1.3208333329999999</v>
      </c>
      <c r="H501">
        <v>0.42499999999999999</v>
      </c>
      <c r="I501">
        <v>1.943333333</v>
      </c>
      <c r="J501">
        <v>5456.6666670000004</v>
      </c>
      <c r="K501">
        <v>5064.375</v>
      </c>
      <c r="L501">
        <v>6135.8125</v>
      </c>
      <c r="M501">
        <v>16.165833330000002</v>
      </c>
      <c r="N501">
        <v>14.715</v>
      </c>
      <c r="O501">
        <v>18.122499999999999</v>
      </c>
      <c r="Q501" t="s">
        <v>336</v>
      </c>
      <c r="R501" t="s">
        <v>9686</v>
      </c>
      <c r="S501" t="s">
        <v>9058</v>
      </c>
      <c r="T501" t="s">
        <v>9061</v>
      </c>
    </row>
    <row r="502" spans="1:20" x14ac:dyDescent="0.25">
      <c r="A502" t="s">
        <v>6527</v>
      </c>
      <c r="B502">
        <v>-18.79</v>
      </c>
      <c r="C502">
        <v>818</v>
      </c>
      <c r="D502">
        <v>22.395833329999999</v>
      </c>
      <c r="E502">
        <v>19.48833333</v>
      </c>
      <c r="F502">
        <v>25.36333333</v>
      </c>
      <c r="G502">
        <v>2.1941666670000002</v>
      </c>
      <c r="H502">
        <v>1.1983333329999999</v>
      </c>
      <c r="I502">
        <v>3.016666667</v>
      </c>
      <c r="J502">
        <v>5004.8708329999999</v>
      </c>
      <c r="K502">
        <v>4207.9166670000004</v>
      </c>
      <c r="L502">
        <v>5933.0625</v>
      </c>
      <c r="M502">
        <v>15.95833333</v>
      </c>
      <c r="N502">
        <v>14.147500000000001</v>
      </c>
      <c r="O502">
        <v>17.826666670000002</v>
      </c>
      <c r="Q502" t="s">
        <v>336</v>
      </c>
      <c r="R502" t="s">
        <v>9687</v>
      </c>
      <c r="S502" t="s">
        <v>9065</v>
      </c>
      <c r="T502" t="s">
        <v>9066</v>
      </c>
    </row>
    <row r="503" spans="1:20" x14ac:dyDescent="0.25">
      <c r="A503" t="s">
        <v>9688</v>
      </c>
      <c r="B503">
        <v>-18.8</v>
      </c>
      <c r="C503">
        <v>819.5</v>
      </c>
      <c r="D503">
        <v>23.159166670000001</v>
      </c>
      <c r="E503">
        <v>20.05</v>
      </c>
      <c r="F503">
        <v>26.376666669999999</v>
      </c>
      <c r="G503">
        <v>2.2075</v>
      </c>
      <c r="H503">
        <v>1.306666667</v>
      </c>
      <c r="I503">
        <v>2.9333333330000002</v>
      </c>
      <c r="J503">
        <v>5337.3433329999998</v>
      </c>
      <c r="K503">
        <v>4781.125</v>
      </c>
      <c r="L503">
        <v>6057.1666670000004</v>
      </c>
      <c r="M503">
        <v>15.766666669999999</v>
      </c>
      <c r="N503">
        <v>14.487500000000001</v>
      </c>
      <c r="O503">
        <v>17.436666670000001</v>
      </c>
      <c r="Q503" t="s">
        <v>336</v>
      </c>
      <c r="R503" t="s">
        <v>9687</v>
      </c>
      <c r="S503" t="s">
        <v>9058</v>
      </c>
      <c r="T503" t="s">
        <v>9061</v>
      </c>
    </row>
    <row r="504" spans="1:20" x14ac:dyDescent="0.25">
      <c r="A504" t="s">
        <v>9689</v>
      </c>
      <c r="B504">
        <v>-19</v>
      </c>
      <c r="C504">
        <v>127.5</v>
      </c>
      <c r="D504">
        <v>26.380833330000002</v>
      </c>
      <c r="E504">
        <v>23.364999999999998</v>
      </c>
      <c r="F504">
        <v>29.323333330000001</v>
      </c>
      <c r="G504">
        <v>1.23</v>
      </c>
      <c r="H504">
        <v>0.383333333</v>
      </c>
      <c r="I504">
        <v>1.683333333</v>
      </c>
      <c r="J504">
        <v>5295.0816670000004</v>
      </c>
      <c r="K504">
        <v>4839.25</v>
      </c>
      <c r="L504">
        <v>6033.5208329999996</v>
      </c>
      <c r="M504">
        <v>18.7</v>
      </c>
      <c r="N504">
        <v>17.23</v>
      </c>
      <c r="O504">
        <v>20.916666670000001</v>
      </c>
      <c r="Q504" t="s">
        <v>336</v>
      </c>
      <c r="R504" t="s">
        <v>9690</v>
      </c>
      <c r="S504" t="s">
        <v>9058</v>
      </c>
      <c r="T504" t="s">
        <v>9061</v>
      </c>
    </row>
    <row r="505" spans="1:20" x14ac:dyDescent="0.25">
      <c r="A505" t="s">
        <v>7267</v>
      </c>
      <c r="B505">
        <v>-19.010000000000002</v>
      </c>
      <c r="C505">
        <v>126</v>
      </c>
      <c r="D505">
        <v>25.922499999999999</v>
      </c>
      <c r="E505">
        <v>22.896666669999998</v>
      </c>
      <c r="F505">
        <v>28.881666670000001</v>
      </c>
      <c r="G505">
        <v>2.1383333329999998</v>
      </c>
      <c r="H505">
        <v>1.24</v>
      </c>
      <c r="I505">
        <v>2.875</v>
      </c>
      <c r="J505">
        <v>5239.0166669999999</v>
      </c>
      <c r="K505">
        <v>4693.5625</v>
      </c>
      <c r="L505">
        <v>6056.125</v>
      </c>
      <c r="M505">
        <v>18.59333333</v>
      </c>
      <c r="N505">
        <v>16.616666670000001</v>
      </c>
      <c r="O505">
        <v>21.166666670000001</v>
      </c>
      <c r="Q505" t="s">
        <v>336</v>
      </c>
      <c r="R505" t="s">
        <v>9691</v>
      </c>
      <c r="S505" t="s">
        <v>9065</v>
      </c>
      <c r="T505" t="s">
        <v>9066</v>
      </c>
    </row>
    <row r="506" spans="1:20" x14ac:dyDescent="0.25">
      <c r="A506" t="s">
        <v>9692</v>
      </c>
      <c r="B506">
        <v>-19.010000000000002</v>
      </c>
      <c r="C506">
        <v>140.5</v>
      </c>
      <c r="D506">
        <v>25.7775</v>
      </c>
      <c r="E506">
        <v>22.724166669999999</v>
      </c>
      <c r="F506">
        <v>28.908333330000001</v>
      </c>
      <c r="G506">
        <v>2.9141666669999999</v>
      </c>
      <c r="H506">
        <v>1.6983333329999999</v>
      </c>
      <c r="I506">
        <v>3.8433333329999999</v>
      </c>
      <c r="J506">
        <v>5489.1774999999998</v>
      </c>
      <c r="K506">
        <v>4873.5208329999996</v>
      </c>
      <c r="L506">
        <v>6444.0833329999996</v>
      </c>
      <c r="M506">
        <v>19.70333333</v>
      </c>
      <c r="N506">
        <v>18.088333330000001</v>
      </c>
      <c r="O506">
        <v>21.785</v>
      </c>
      <c r="Q506" t="s">
        <v>336</v>
      </c>
      <c r="R506" t="s">
        <v>9691</v>
      </c>
      <c r="S506" t="s">
        <v>9058</v>
      </c>
      <c r="T506" t="s">
        <v>9059</v>
      </c>
    </row>
    <row r="507" spans="1:20" x14ac:dyDescent="0.25">
      <c r="A507" t="s">
        <v>9693</v>
      </c>
      <c r="B507">
        <v>-19.010000000000002</v>
      </c>
      <c r="C507">
        <v>140.5</v>
      </c>
      <c r="D507">
        <v>25.87166667</v>
      </c>
      <c r="E507">
        <v>22.813333329999999</v>
      </c>
      <c r="F507">
        <v>28.93333333</v>
      </c>
      <c r="G507">
        <v>2.9075000000000002</v>
      </c>
      <c r="H507">
        <v>1.808333333</v>
      </c>
      <c r="I507">
        <v>3.786666667</v>
      </c>
      <c r="J507">
        <v>5217.5366670000003</v>
      </c>
      <c r="K507">
        <v>4738.0625</v>
      </c>
      <c r="L507">
        <v>6041.7291670000004</v>
      </c>
      <c r="M507">
        <v>19.383333329999999</v>
      </c>
      <c r="N507">
        <v>17.850000000000001</v>
      </c>
      <c r="O507">
        <v>21.55</v>
      </c>
      <c r="Q507" t="s">
        <v>336</v>
      </c>
      <c r="R507" t="s">
        <v>9691</v>
      </c>
      <c r="S507" t="s">
        <v>9058</v>
      </c>
      <c r="T507" t="s">
        <v>9061</v>
      </c>
    </row>
    <row r="508" spans="1:20" x14ac:dyDescent="0.25">
      <c r="A508" t="s">
        <v>7273</v>
      </c>
      <c r="B508">
        <v>-18.3</v>
      </c>
      <c r="C508">
        <v>252</v>
      </c>
      <c r="D508">
        <v>24.724166669999999</v>
      </c>
      <c r="E508">
        <v>21.127500000000001</v>
      </c>
      <c r="F508">
        <v>28.29666667</v>
      </c>
      <c r="G508">
        <v>1.2675000000000001</v>
      </c>
      <c r="H508">
        <v>0.39166666700000002</v>
      </c>
      <c r="I508">
        <v>1.835</v>
      </c>
      <c r="J508">
        <v>5322.7541670000001</v>
      </c>
      <c r="K508">
        <v>4795.6041670000004</v>
      </c>
      <c r="L508">
        <v>6203.2083329999996</v>
      </c>
      <c r="M508">
        <v>18.745000000000001</v>
      </c>
      <c r="N508">
        <v>16.86333333</v>
      </c>
      <c r="O508">
        <v>20.676666669999999</v>
      </c>
      <c r="Q508" t="s">
        <v>336</v>
      </c>
      <c r="R508" t="s">
        <v>9694</v>
      </c>
      <c r="S508" t="s">
        <v>9065</v>
      </c>
      <c r="T508" t="s">
        <v>9066</v>
      </c>
    </row>
    <row r="509" spans="1:20" x14ac:dyDescent="0.25">
      <c r="A509" t="s">
        <v>7276</v>
      </c>
      <c r="B509">
        <v>-22.22</v>
      </c>
      <c r="C509">
        <v>469</v>
      </c>
      <c r="D509">
        <v>22.685833330000001</v>
      </c>
      <c r="E509">
        <v>19.420000000000002</v>
      </c>
      <c r="F509">
        <v>25.876666669999999</v>
      </c>
      <c r="G509">
        <v>2.4491666670000001</v>
      </c>
      <c r="H509">
        <v>1.566666667</v>
      </c>
      <c r="I509">
        <v>3.2183333329999999</v>
      </c>
      <c r="J509">
        <v>4983.6499999999996</v>
      </c>
      <c r="K509">
        <v>4087.270833</v>
      </c>
      <c r="L509">
        <v>6116.9166670000004</v>
      </c>
      <c r="M509">
        <v>15.920833330000001</v>
      </c>
      <c r="N509">
        <v>14.096666669999999</v>
      </c>
      <c r="O509">
        <v>18.013333329999998</v>
      </c>
      <c r="Q509" t="s">
        <v>336</v>
      </c>
      <c r="R509" t="s">
        <v>9695</v>
      </c>
      <c r="S509" t="s">
        <v>9065</v>
      </c>
      <c r="T509" t="s">
        <v>9066</v>
      </c>
    </row>
    <row r="510" spans="1:20" x14ac:dyDescent="0.25">
      <c r="A510" t="s">
        <v>9696</v>
      </c>
      <c r="B510">
        <v>-22.2</v>
      </c>
      <c r="C510">
        <v>470.5</v>
      </c>
      <c r="D510">
        <v>23.276666670000001</v>
      </c>
      <c r="E510">
        <v>19.766666669999999</v>
      </c>
      <c r="F510">
        <v>26.696666669999999</v>
      </c>
      <c r="G510">
        <v>2.1441666669999999</v>
      </c>
      <c r="H510">
        <v>1.2649999999999999</v>
      </c>
      <c r="I510">
        <v>2.818333333</v>
      </c>
      <c r="J510">
        <v>5369.0166669999999</v>
      </c>
      <c r="K510">
        <v>4821.2083329999996</v>
      </c>
      <c r="L510">
        <v>6114.9583329999996</v>
      </c>
      <c r="M510">
        <v>15.9825</v>
      </c>
      <c r="N510">
        <v>14.170833330000001</v>
      </c>
      <c r="O510">
        <v>18.21</v>
      </c>
      <c r="Q510" t="s">
        <v>336</v>
      </c>
      <c r="R510" t="s">
        <v>9697</v>
      </c>
      <c r="S510" t="s">
        <v>9058</v>
      </c>
      <c r="T510" t="s">
        <v>9061</v>
      </c>
    </row>
    <row r="511" spans="1:20" x14ac:dyDescent="0.25">
      <c r="A511" t="s">
        <v>9698</v>
      </c>
      <c r="B511">
        <v>-23.45</v>
      </c>
      <c r="C511">
        <v>337.5</v>
      </c>
      <c r="D511">
        <v>22.842500000000001</v>
      </c>
      <c r="E511">
        <v>19.405000000000001</v>
      </c>
      <c r="F511">
        <v>26.118333329999999</v>
      </c>
      <c r="G511">
        <v>1.653333333</v>
      </c>
      <c r="H511">
        <v>0.57499999999999996</v>
      </c>
      <c r="I511">
        <v>2.5266666670000002</v>
      </c>
      <c r="J511">
        <v>5190.5833329999996</v>
      </c>
      <c r="K511">
        <v>4404.5416670000004</v>
      </c>
      <c r="L511">
        <v>6195.1041670000004</v>
      </c>
      <c r="M511">
        <v>16.385000000000002</v>
      </c>
      <c r="N511">
        <v>14.50666667</v>
      </c>
      <c r="O511">
        <v>18.545000000000002</v>
      </c>
      <c r="Q511" t="s">
        <v>336</v>
      </c>
      <c r="R511" t="s">
        <v>9699</v>
      </c>
      <c r="S511" t="s">
        <v>9058</v>
      </c>
      <c r="T511" t="s">
        <v>9061</v>
      </c>
    </row>
    <row r="512" spans="1:20" x14ac:dyDescent="0.25">
      <c r="A512" t="s">
        <v>7258</v>
      </c>
      <c r="B512">
        <v>-22.31</v>
      </c>
      <c r="C512">
        <v>373</v>
      </c>
      <c r="D512">
        <v>23.696666669999999</v>
      </c>
      <c r="E512">
        <v>20.5</v>
      </c>
      <c r="F512">
        <v>26.658333330000001</v>
      </c>
      <c r="G512">
        <v>2.8341666669999999</v>
      </c>
      <c r="H512">
        <v>1.7816666670000001</v>
      </c>
      <c r="I512">
        <v>3.6266666669999998</v>
      </c>
      <c r="J512">
        <v>5107.8516669999999</v>
      </c>
      <c r="K512">
        <v>4423.5833329999996</v>
      </c>
      <c r="L512">
        <v>6091.1875</v>
      </c>
      <c r="M512">
        <v>16.25333333</v>
      </c>
      <c r="N512">
        <v>14.67</v>
      </c>
      <c r="O512">
        <v>18.285</v>
      </c>
      <c r="Q512" t="s">
        <v>336</v>
      </c>
      <c r="R512" t="s">
        <v>9700</v>
      </c>
      <c r="S512" t="s">
        <v>9065</v>
      </c>
      <c r="T512" t="s">
        <v>9066</v>
      </c>
    </row>
    <row r="513" spans="1:20" x14ac:dyDescent="0.25">
      <c r="A513" t="s">
        <v>9701</v>
      </c>
      <c r="B513">
        <v>-22.3</v>
      </c>
      <c r="C513">
        <v>374.8</v>
      </c>
      <c r="D513">
        <v>22.75416667</v>
      </c>
      <c r="E513">
        <v>18.986666670000002</v>
      </c>
      <c r="F513">
        <v>26.39916667</v>
      </c>
      <c r="G513">
        <v>2.3108333330000002</v>
      </c>
      <c r="H513">
        <v>1.2</v>
      </c>
      <c r="I513">
        <v>3.1333333329999999</v>
      </c>
      <c r="J513">
        <v>5639.2275</v>
      </c>
      <c r="K513">
        <v>5274.375</v>
      </c>
      <c r="L513">
        <v>6203.1666670000004</v>
      </c>
      <c r="M513">
        <v>17.10083333</v>
      </c>
      <c r="N513">
        <v>15.23666667</v>
      </c>
      <c r="O513">
        <v>19.184999999999999</v>
      </c>
      <c r="Q513" t="s">
        <v>336</v>
      </c>
      <c r="R513" t="s">
        <v>9700</v>
      </c>
      <c r="S513" t="s">
        <v>9058</v>
      </c>
      <c r="T513" t="s">
        <v>9059</v>
      </c>
    </row>
    <row r="514" spans="1:20" x14ac:dyDescent="0.25">
      <c r="A514" t="s">
        <v>9702</v>
      </c>
      <c r="B514">
        <v>-22.3</v>
      </c>
      <c r="C514">
        <v>374.8</v>
      </c>
      <c r="D514">
        <v>24.170833330000001</v>
      </c>
      <c r="E514">
        <v>20.772500000000001</v>
      </c>
      <c r="F514">
        <v>27.35916667</v>
      </c>
      <c r="G514">
        <v>2.5208333330000001</v>
      </c>
      <c r="H514">
        <v>1.7066666669999999</v>
      </c>
      <c r="I514">
        <v>3.2</v>
      </c>
      <c r="J514">
        <v>5241.9841669999996</v>
      </c>
      <c r="K514">
        <v>4605.875</v>
      </c>
      <c r="L514">
        <v>6077.7916670000004</v>
      </c>
      <c r="M514">
        <v>16.557500000000001</v>
      </c>
      <c r="N514">
        <v>14.82833333</v>
      </c>
      <c r="O514">
        <v>18.52</v>
      </c>
      <c r="Q514" t="s">
        <v>336</v>
      </c>
      <c r="R514" t="s">
        <v>9700</v>
      </c>
      <c r="S514" t="s">
        <v>9058</v>
      </c>
      <c r="T514" t="s">
        <v>9061</v>
      </c>
    </row>
    <row r="515" spans="1:20" x14ac:dyDescent="0.25">
      <c r="A515" t="s">
        <v>7266</v>
      </c>
      <c r="B515">
        <v>-22.86</v>
      </c>
      <c r="C515">
        <v>379</v>
      </c>
      <c r="D515">
        <v>22.904166669999999</v>
      </c>
      <c r="E515">
        <v>19.541666670000001</v>
      </c>
      <c r="F515">
        <v>26.1</v>
      </c>
      <c r="G515">
        <v>0.361666667</v>
      </c>
      <c r="H515">
        <v>0.17499999999999999</v>
      </c>
      <c r="I515">
        <v>0.48333333299999998</v>
      </c>
      <c r="J515">
        <v>4500.0141670000003</v>
      </c>
      <c r="K515">
        <v>3451.354167</v>
      </c>
      <c r="L515">
        <v>5578.5416670000004</v>
      </c>
      <c r="M515">
        <v>16.952500000000001</v>
      </c>
      <c r="N515">
        <v>15.188333330000001</v>
      </c>
      <c r="O515">
        <v>19.094999999999999</v>
      </c>
      <c r="Q515" t="s">
        <v>336</v>
      </c>
      <c r="R515" t="s">
        <v>9703</v>
      </c>
      <c r="S515" t="s">
        <v>9065</v>
      </c>
      <c r="T515" t="s">
        <v>9066</v>
      </c>
    </row>
    <row r="516" spans="1:20" x14ac:dyDescent="0.25">
      <c r="A516" t="s">
        <v>9704</v>
      </c>
      <c r="B516">
        <v>-22.85</v>
      </c>
      <c r="C516">
        <v>380.5</v>
      </c>
      <c r="D516">
        <v>23.4</v>
      </c>
      <c r="E516">
        <v>19.841666669999999</v>
      </c>
      <c r="F516">
        <v>26.85</v>
      </c>
      <c r="G516">
        <v>1.86</v>
      </c>
      <c r="H516">
        <v>0.82499999999999996</v>
      </c>
      <c r="I516">
        <v>2.6783333329999999</v>
      </c>
      <c r="J516">
        <v>5246.8683330000003</v>
      </c>
      <c r="K516">
        <v>4553.9583329999996</v>
      </c>
      <c r="L516">
        <v>6105.6458329999996</v>
      </c>
      <c r="M516">
        <v>16.650833330000001</v>
      </c>
      <c r="N516">
        <v>14.79833333</v>
      </c>
      <c r="O516">
        <v>18.829999999999998</v>
      </c>
      <c r="Q516" t="s">
        <v>336</v>
      </c>
      <c r="R516" t="s">
        <v>9703</v>
      </c>
      <c r="S516" t="s">
        <v>9058</v>
      </c>
      <c r="T516" t="s">
        <v>9061</v>
      </c>
    </row>
    <row r="517" spans="1:20" x14ac:dyDescent="0.25">
      <c r="A517" t="s">
        <v>7256</v>
      </c>
      <c r="B517">
        <v>-20.239999999999998</v>
      </c>
      <c r="C517">
        <v>140</v>
      </c>
      <c r="D517">
        <v>24.631666670000001</v>
      </c>
      <c r="E517">
        <v>20.911666669999999</v>
      </c>
      <c r="F517">
        <v>28.42166667</v>
      </c>
      <c r="G517">
        <v>1.24</v>
      </c>
      <c r="H517">
        <v>0.27916666699999998</v>
      </c>
      <c r="I517">
        <v>1.8833333329999999</v>
      </c>
      <c r="J517">
        <v>5165.3316670000004</v>
      </c>
      <c r="K517">
        <v>4555.5625</v>
      </c>
      <c r="L517">
        <v>6086.9375</v>
      </c>
      <c r="M517">
        <v>17.470833330000001</v>
      </c>
      <c r="N517">
        <v>15.573333330000001</v>
      </c>
      <c r="O517">
        <v>19.81666667</v>
      </c>
      <c r="Q517" t="s">
        <v>336</v>
      </c>
      <c r="R517" t="s">
        <v>9705</v>
      </c>
      <c r="S517" t="s">
        <v>9065</v>
      </c>
      <c r="T517" t="s">
        <v>9066</v>
      </c>
    </row>
    <row r="518" spans="1:20" x14ac:dyDescent="0.25">
      <c r="A518" t="s">
        <v>9706</v>
      </c>
      <c r="B518">
        <v>-20.399999999999999</v>
      </c>
      <c r="C518">
        <v>141.5</v>
      </c>
      <c r="D518">
        <v>25.198333330000001</v>
      </c>
      <c r="E518">
        <v>21.763333329999998</v>
      </c>
      <c r="F518">
        <v>28.51</v>
      </c>
      <c r="G518">
        <v>1.3174999999999999</v>
      </c>
      <c r="H518">
        <v>0.53333333299999997</v>
      </c>
      <c r="I518">
        <v>1.891666667</v>
      </c>
      <c r="J518">
        <v>5252.2966669999996</v>
      </c>
      <c r="K518">
        <v>4748.375</v>
      </c>
      <c r="L518">
        <v>6014.7291670000004</v>
      </c>
      <c r="M518">
        <v>18.3325</v>
      </c>
      <c r="N518">
        <v>17.013333329999998</v>
      </c>
      <c r="O518">
        <v>20.21833333</v>
      </c>
      <c r="Q518" t="s">
        <v>336</v>
      </c>
      <c r="R518" t="s">
        <v>9705</v>
      </c>
      <c r="S518" t="s">
        <v>9058</v>
      </c>
      <c r="T518" t="s">
        <v>9061</v>
      </c>
    </row>
    <row r="519" spans="1:20" x14ac:dyDescent="0.25">
      <c r="A519" t="s">
        <v>7271</v>
      </c>
      <c r="B519">
        <v>-18.989999999999998</v>
      </c>
      <c r="C519">
        <v>104</v>
      </c>
      <c r="D519">
        <v>24.89083333</v>
      </c>
      <c r="E519">
        <v>21.32833333</v>
      </c>
      <c r="F519">
        <v>28.478333330000002</v>
      </c>
      <c r="G519">
        <v>1.7375</v>
      </c>
      <c r="H519">
        <v>0.33333333300000001</v>
      </c>
      <c r="I519">
        <v>2.7283333330000001</v>
      </c>
      <c r="J519">
        <v>4913.356667</v>
      </c>
      <c r="K519">
        <v>4411.8125</v>
      </c>
      <c r="L519">
        <v>5756.6041670000004</v>
      </c>
      <c r="M519">
        <v>19.43416667</v>
      </c>
      <c r="N519">
        <v>17.956666670000001</v>
      </c>
      <c r="O519">
        <v>21.341666669999999</v>
      </c>
      <c r="Q519" t="s">
        <v>336</v>
      </c>
      <c r="R519" t="s">
        <v>9707</v>
      </c>
      <c r="S519" t="s">
        <v>9065</v>
      </c>
      <c r="T519" t="s">
        <v>9066</v>
      </c>
    </row>
    <row r="520" spans="1:20" x14ac:dyDescent="0.25">
      <c r="A520" t="s">
        <v>9708</v>
      </c>
      <c r="B520">
        <v>-18.989999999999998</v>
      </c>
      <c r="C520">
        <v>105.5</v>
      </c>
      <c r="D520">
        <v>25.647500000000001</v>
      </c>
      <c r="E520">
        <v>21.931666669999998</v>
      </c>
      <c r="F520">
        <v>29.28833333</v>
      </c>
      <c r="G520">
        <v>1.369166667</v>
      </c>
      <c r="H520">
        <v>0.34833333300000002</v>
      </c>
      <c r="I520">
        <v>1.8333333329999999</v>
      </c>
      <c r="J520">
        <v>5326.4208330000001</v>
      </c>
      <c r="K520">
        <v>4899.25</v>
      </c>
      <c r="L520">
        <v>6014.75</v>
      </c>
      <c r="M520">
        <v>19.6325</v>
      </c>
      <c r="N520">
        <v>18.143333330000001</v>
      </c>
      <c r="O520">
        <v>21.466666669999999</v>
      </c>
      <c r="Q520" t="s">
        <v>336</v>
      </c>
      <c r="R520" t="s">
        <v>9707</v>
      </c>
      <c r="S520" t="s">
        <v>9058</v>
      </c>
      <c r="T520" t="s">
        <v>9061</v>
      </c>
    </row>
    <row r="521" spans="1:20" x14ac:dyDescent="0.25">
      <c r="A521" t="s">
        <v>9709</v>
      </c>
      <c r="B521">
        <v>-19.7</v>
      </c>
      <c r="C521">
        <v>425.5</v>
      </c>
      <c r="D521">
        <v>25.069166670000001</v>
      </c>
      <c r="E521">
        <v>21.616666670000001</v>
      </c>
      <c r="F521">
        <v>28.405000000000001</v>
      </c>
      <c r="G521">
        <v>2.0866666669999998</v>
      </c>
      <c r="H521">
        <v>1.325</v>
      </c>
      <c r="I521">
        <v>2.7166666670000001</v>
      </c>
      <c r="J521">
        <v>5428.5574999999999</v>
      </c>
      <c r="K521">
        <v>5014.5</v>
      </c>
      <c r="L521">
        <v>6156.7916670000004</v>
      </c>
      <c r="M521">
        <v>16.87833333</v>
      </c>
      <c r="N521">
        <v>15.544166669999999</v>
      </c>
      <c r="O521">
        <v>18.45</v>
      </c>
      <c r="Q521" t="s">
        <v>336</v>
      </c>
      <c r="R521" t="s">
        <v>9710</v>
      </c>
      <c r="S521" t="s">
        <v>9058</v>
      </c>
      <c r="T521" t="s">
        <v>9061</v>
      </c>
    </row>
    <row r="522" spans="1:20" x14ac:dyDescent="0.25">
      <c r="A522" t="s">
        <v>7260</v>
      </c>
      <c r="B522">
        <v>-22.54</v>
      </c>
      <c r="C522">
        <v>650</v>
      </c>
      <c r="D522">
        <v>21.31583333</v>
      </c>
      <c r="E522">
        <v>17.721666670000001</v>
      </c>
      <c r="F522">
        <v>24.911666669999999</v>
      </c>
      <c r="G522">
        <v>2.5575000000000001</v>
      </c>
      <c r="H522">
        <v>1.673333333</v>
      </c>
      <c r="I522">
        <v>3.318333333</v>
      </c>
      <c r="J522">
        <v>4726.3616670000001</v>
      </c>
      <c r="K522">
        <v>3705.8125</v>
      </c>
      <c r="L522">
        <v>5846.75</v>
      </c>
      <c r="M522">
        <v>14.64833333</v>
      </c>
      <c r="N522">
        <v>12.67333333</v>
      </c>
      <c r="O522">
        <v>16.91</v>
      </c>
      <c r="Q522" t="s">
        <v>336</v>
      </c>
      <c r="R522" t="s">
        <v>9711</v>
      </c>
      <c r="S522" t="s">
        <v>9065</v>
      </c>
      <c r="T522" t="s">
        <v>9066</v>
      </c>
    </row>
    <row r="523" spans="1:20" x14ac:dyDescent="0.25">
      <c r="A523" t="s">
        <v>9712</v>
      </c>
      <c r="B523">
        <v>-22.53</v>
      </c>
      <c r="C523">
        <v>651.5</v>
      </c>
      <c r="D523">
        <v>22.2575</v>
      </c>
      <c r="E523">
        <v>18.696666669999999</v>
      </c>
      <c r="F523">
        <v>25.768333330000001</v>
      </c>
      <c r="G523">
        <v>1.3416666669999999</v>
      </c>
      <c r="H523">
        <v>0.90833333299999997</v>
      </c>
      <c r="I523">
        <v>1.7416666670000001</v>
      </c>
      <c r="J523">
        <v>5218.0333330000003</v>
      </c>
      <c r="K523">
        <v>4660.2083329999996</v>
      </c>
      <c r="L523">
        <v>6024.8125</v>
      </c>
      <c r="M523">
        <v>15.39583333</v>
      </c>
      <c r="N523">
        <v>13.63083333</v>
      </c>
      <c r="O523">
        <v>17.734999999999999</v>
      </c>
      <c r="Q523" t="s">
        <v>336</v>
      </c>
      <c r="R523" t="s">
        <v>9711</v>
      </c>
      <c r="S523" t="s">
        <v>9058</v>
      </c>
      <c r="T523" t="s">
        <v>9061</v>
      </c>
    </row>
    <row r="524" spans="1:20" x14ac:dyDescent="0.25">
      <c r="A524" t="s">
        <v>9713</v>
      </c>
      <c r="B524">
        <v>-22.55</v>
      </c>
      <c r="C524">
        <v>657.1</v>
      </c>
      <c r="D524">
        <v>21.21166667</v>
      </c>
      <c r="E524">
        <v>17.228333330000002</v>
      </c>
      <c r="F524">
        <v>25.42166667</v>
      </c>
      <c r="G524">
        <v>3.3391666670000002</v>
      </c>
      <c r="H524">
        <v>0.59583333299999997</v>
      </c>
      <c r="I524">
        <v>4.943333333</v>
      </c>
      <c r="J524">
        <v>5113.6175000000003</v>
      </c>
      <c r="K524">
        <v>4365.3541670000004</v>
      </c>
      <c r="L524">
        <v>6093.7083329999996</v>
      </c>
      <c r="M524">
        <v>15.40666667</v>
      </c>
      <c r="N524">
        <v>12.9475</v>
      </c>
      <c r="O524">
        <v>18.361666670000002</v>
      </c>
      <c r="Q524" t="s">
        <v>336</v>
      </c>
      <c r="R524" t="s">
        <v>9714</v>
      </c>
      <c r="S524" t="s">
        <v>9058</v>
      </c>
      <c r="T524" t="s">
        <v>9059</v>
      </c>
    </row>
    <row r="525" spans="1:20" x14ac:dyDescent="0.25">
      <c r="A525" t="s">
        <v>9715</v>
      </c>
      <c r="B525">
        <v>-22.55</v>
      </c>
      <c r="C525">
        <v>657.1</v>
      </c>
      <c r="D525">
        <v>22.133333329999999</v>
      </c>
      <c r="E525">
        <v>19.15666667</v>
      </c>
      <c r="F525">
        <v>25.195833329999999</v>
      </c>
      <c r="G525">
        <v>3.0350000000000001</v>
      </c>
      <c r="H525">
        <v>1.79</v>
      </c>
      <c r="I525">
        <v>4.1333333330000004</v>
      </c>
      <c r="J525">
        <v>5102.8258329999999</v>
      </c>
      <c r="K525">
        <v>4363.6458329999996</v>
      </c>
      <c r="L525">
        <v>6037.6458329999996</v>
      </c>
      <c r="M525">
        <v>16.381666670000001</v>
      </c>
      <c r="N525">
        <v>14.875</v>
      </c>
      <c r="O525">
        <v>18.62166667</v>
      </c>
      <c r="Q525" t="s">
        <v>336</v>
      </c>
      <c r="R525" t="s">
        <v>9714</v>
      </c>
      <c r="S525" t="s">
        <v>9058</v>
      </c>
      <c r="T525" t="s">
        <v>9061</v>
      </c>
    </row>
    <row r="526" spans="1:20" x14ac:dyDescent="0.25">
      <c r="A526" t="s">
        <v>7268</v>
      </c>
      <c r="B526">
        <v>-21.7</v>
      </c>
      <c r="C526">
        <v>85</v>
      </c>
      <c r="D526">
        <v>25.466666669999999</v>
      </c>
      <c r="E526">
        <v>21.315000000000001</v>
      </c>
      <c r="F526">
        <v>29.4925</v>
      </c>
      <c r="G526">
        <v>2.0874999999999999</v>
      </c>
      <c r="H526">
        <v>1.0333333330000001</v>
      </c>
      <c r="I526">
        <v>2.9533333329999998</v>
      </c>
      <c r="J526">
        <v>5040.0649999999996</v>
      </c>
      <c r="K526">
        <v>4378.1041670000004</v>
      </c>
      <c r="L526">
        <v>6045.6041670000004</v>
      </c>
      <c r="M526">
        <v>17.551666669999999</v>
      </c>
      <c r="N526">
        <v>15.7875</v>
      </c>
      <c r="O526">
        <v>19.733333330000001</v>
      </c>
      <c r="Q526" t="s">
        <v>336</v>
      </c>
      <c r="R526" t="s">
        <v>9716</v>
      </c>
      <c r="S526" t="s">
        <v>9065</v>
      </c>
      <c r="T526" t="s">
        <v>9066</v>
      </c>
    </row>
    <row r="527" spans="1:20" x14ac:dyDescent="0.25">
      <c r="A527" t="s">
        <v>9717</v>
      </c>
      <c r="B527">
        <v>-21.72</v>
      </c>
      <c r="C527">
        <v>86.5</v>
      </c>
      <c r="D527">
        <v>25.420833330000001</v>
      </c>
      <c r="E527">
        <v>21.346666670000001</v>
      </c>
      <c r="F527">
        <v>29.231666669999999</v>
      </c>
      <c r="G527">
        <v>2.3475000000000001</v>
      </c>
      <c r="H527">
        <v>1.3883333330000001</v>
      </c>
      <c r="I527">
        <v>3.16</v>
      </c>
      <c r="J527">
        <v>5213.1483330000001</v>
      </c>
      <c r="K527">
        <v>4615.3541670000004</v>
      </c>
      <c r="L527">
        <v>6101.7083329999996</v>
      </c>
      <c r="M527">
        <v>17.58666667</v>
      </c>
      <c r="N527">
        <v>15.53833333</v>
      </c>
      <c r="O527">
        <v>20.018333330000001</v>
      </c>
      <c r="Q527" t="s">
        <v>336</v>
      </c>
      <c r="R527" t="s">
        <v>9716</v>
      </c>
      <c r="S527" t="s">
        <v>9058</v>
      </c>
      <c r="T527" t="s">
        <v>9061</v>
      </c>
    </row>
    <row r="528" spans="1:20" x14ac:dyDescent="0.25">
      <c r="A528" t="s">
        <v>7283</v>
      </c>
      <c r="B528">
        <v>-21.78</v>
      </c>
      <c r="C528">
        <v>329</v>
      </c>
      <c r="D528">
        <v>23.290833330000002</v>
      </c>
      <c r="E528">
        <v>19.528333329999999</v>
      </c>
      <c r="F528">
        <v>27.18333333</v>
      </c>
      <c r="G528">
        <v>1.6891666670000001</v>
      </c>
      <c r="H528">
        <v>0.61499999999999999</v>
      </c>
      <c r="I528">
        <v>2.4</v>
      </c>
      <c r="J528">
        <v>5087.2849999999999</v>
      </c>
      <c r="K528">
        <v>4282.2916670000004</v>
      </c>
      <c r="L528">
        <v>6146.9375</v>
      </c>
      <c r="M528">
        <v>16.60916667</v>
      </c>
      <c r="N528">
        <v>14.80916667</v>
      </c>
      <c r="O528">
        <v>18.75333333</v>
      </c>
      <c r="Q528" t="s">
        <v>336</v>
      </c>
      <c r="R528" t="s">
        <v>9718</v>
      </c>
      <c r="S528" t="s">
        <v>9065</v>
      </c>
      <c r="T528" t="s">
        <v>9066</v>
      </c>
    </row>
    <row r="529" spans="1:20" x14ac:dyDescent="0.25">
      <c r="A529" t="s">
        <v>9719</v>
      </c>
      <c r="B529">
        <v>-21.78</v>
      </c>
      <c r="C529">
        <v>330.5</v>
      </c>
      <c r="D529">
        <v>23.55083333</v>
      </c>
      <c r="E529">
        <v>19.73</v>
      </c>
      <c r="F529">
        <v>27.403333329999999</v>
      </c>
      <c r="G529">
        <v>1.6541666669999999</v>
      </c>
      <c r="H529">
        <v>0.56666666700000001</v>
      </c>
      <c r="I529">
        <v>2.3966666669999999</v>
      </c>
      <c r="J529">
        <v>5420.74</v>
      </c>
      <c r="K529">
        <v>4853.25</v>
      </c>
      <c r="L529">
        <v>6138.7916670000004</v>
      </c>
      <c r="M529">
        <v>14.366666670000001</v>
      </c>
      <c r="N529">
        <v>10.29833333</v>
      </c>
      <c r="O529">
        <v>18.678333330000001</v>
      </c>
      <c r="Q529" t="s">
        <v>336</v>
      </c>
      <c r="R529" t="s">
        <v>9718</v>
      </c>
      <c r="S529" t="s">
        <v>9058</v>
      </c>
      <c r="T529" t="s">
        <v>9061</v>
      </c>
    </row>
    <row r="530" spans="1:20" x14ac:dyDescent="0.25">
      <c r="A530" t="s">
        <v>9720</v>
      </c>
      <c r="B530">
        <v>-19.420000000000002</v>
      </c>
      <c r="C530">
        <v>648.5</v>
      </c>
      <c r="D530">
        <v>23.445</v>
      </c>
      <c r="E530">
        <v>20.244166669999998</v>
      </c>
      <c r="F530">
        <v>26.82833333</v>
      </c>
      <c r="G530">
        <v>1.556666667</v>
      </c>
      <c r="H530">
        <v>0.69166666700000001</v>
      </c>
      <c r="I530">
        <v>2.06</v>
      </c>
      <c r="J530">
        <v>5298.58</v>
      </c>
      <c r="K530">
        <v>4858.8125</v>
      </c>
      <c r="L530">
        <v>5965.4583329999996</v>
      </c>
      <c r="M530">
        <v>16.489166669999999</v>
      </c>
      <c r="N530">
        <v>15.081666670000001</v>
      </c>
      <c r="O530">
        <v>18.34416667</v>
      </c>
      <c r="Q530" t="s">
        <v>336</v>
      </c>
      <c r="R530" t="s">
        <v>9721</v>
      </c>
      <c r="S530" t="s">
        <v>9058</v>
      </c>
      <c r="T530" t="s">
        <v>9061</v>
      </c>
    </row>
    <row r="531" spans="1:20" x14ac:dyDescent="0.25">
      <c r="A531" t="s">
        <v>7277</v>
      </c>
      <c r="B531">
        <v>-23.97</v>
      </c>
      <c r="C531">
        <v>402</v>
      </c>
      <c r="D531">
        <v>22.344999999999999</v>
      </c>
      <c r="E531">
        <v>19.166666670000001</v>
      </c>
      <c r="F531">
        <v>25.47</v>
      </c>
      <c r="G531">
        <v>2.8083333330000002</v>
      </c>
      <c r="H531">
        <v>1.7749999999999999</v>
      </c>
      <c r="I531">
        <v>3.7183333329999999</v>
      </c>
      <c r="J531">
        <v>5036.3116669999999</v>
      </c>
      <c r="K531">
        <v>4187.4791670000004</v>
      </c>
      <c r="L531">
        <v>6225.5833329999996</v>
      </c>
      <c r="M531">
        <v>15.602499999999999</v>
      </c>
      <c r="N531">
        <v>13.805</v>
      </c>
      <c r="O531">
        <v>17.925000000000001</v>
      </c>
      <c r="Q531" t="s">
        <v>336</v>
      </c>
      <c r="R531" t="s">
        <v>9722</v>
      </c>
      <c r="S531" t="s">
        <v>9065</v>
      </c>
      <c r="T531" t="s">
        <v>9066</v>
      </c>
    </row>
    <row r="532" spans="1:20" x14ac:dyDescent="0.25">
      <c r="A532" t="s">
        <v>9723</v>
      </c>
      <c r="B532">
        <v>-23.97</v>
      </c>
      <c r="C532">
        <v>403.5</v>
      </c>
      <c r="D532">
        <v>22.060833330000001</v>
      </c>
      <c r="E532">
        <v>18.588333330000001</v>
      </c>
      <c r="F532">
        <v>25.318333330000002</v>
      </c>
      <c r="G532">
        <v>1.6174999999999999</v>
      </c>
      <c r="H532">
        <v>0.68</v>
      </c>
      <c r="I532">
        <v>2.2583333329999999</v>
      </c>
      <c r="J532">
        <v>5108.3633330000002</v>
      </c>
      <c r="K532">
        <v>4469.375</v>
      </c>
      <c r="L532">
        <v>6101.8541670000004</v>
      </c>
      <c r="M532">
        <v>15.893333330000001</v>
      </c>
      <c r="N532">
        <v>13.90833333</v>
      </c>
      <c r="O532">
        <v>18.125</v>
      </c>
      <c r="Q532" t="s">
        <v>336</v>
      </c>
      <c r="R532" t="s">
        <v>9722</v>
      </c>
      <c r="S532" t="s">
        <v>9058</v>
      </c>
      <c r="T532" t="s">
        <v>9061</v>
      </c>
    </row>
    <row r="533" spans="1:20" x14ac:dyDescent="0.25">
      <c r="A533" t="s">
        <v>7275</v>
      </c>
      <c r="B533">
        <v>-20.98</v>
      </c>
      <c r="C533">
        <v>464</v>
      </c>
      <c r="D533">
        <v>23.353333330000002</v>
      </c>
      <c r="E533">
        <v>20.08666667</v>
      </c>
      <c r="F533">
        <v>26.706666670000001</v>
      </c>
      <c r="G533">
        <v>2.1766666670000001</v>
      </c>
      <c r="H533">
        <v>1.2833333330000001</v>
      </c>
      <c r="I533">
        <v>2.8283333329999998</v>
      </c>
      <c r="J533">
        <v>5035.9133330000004</v>
      </c>
      <c r="K533">
        <v>4199.8958329999996</v>
      </c>
      <c r="L533">
        <v>6110.5625</v>
      </c>
      <c r="M533">
        <v>17.395</v>
      </c>
      <c r="N533">
        <v>15.92</v>
      </c>
      <c r="O533">
        <v>19.375</v>
      </c>
      <c r="Q533" t="s">
        <v>336</v>
      </c>
      <c r="R533" t="s">
        <v>9724</v>
      </c>
      <c r="S533" t="s">
        <v>9065</v>
      </c>
      <c r="T533" t="s">
        <v>9066</v>
      </c>
    </row>
    <row r="534" spans="1:20" x14ac:dyDescent="0.25">
      <c r="A534" t="s">
        <v>9725</v>
      </c>
      <c r="B534">
        <v>-20.98</v>
      </c>
      <c r="C534">
        <v>465.5</v>
      </c>
      <c r="D534">
        <v>23.98833333</v>
      </c>
      <c r="E534">
        <v>20.516666669999999</v>
      </c>
      <c r="F534">
        <v>27.603333330000002</v>
      </c>
      <c r="G534">
        <v>2.1991666670000001</v>
      </c>
      <c r="H534">
        <v>1.391666667</v>
      </c>
      <c r="I534">
        <v>2.8416666670000001</v>
      </c>
      <c r="J534">
        <v>5404.1116670000001</v>
      </c>
      <c r="K534">
        <v>4936.9375</v>
      </c>
      <c r="L534">
        <v>6093.5416670000004</v>
      </c>
      <c r="M534">
        <v>16.18</v>
      </c>
      <c r="N534">
        <v>14.6225</v>
      </c>
      <c r="O534">
        <v>18.170000000000002</v>
      </c>
      <c r="Q534" t="s">
        <v>336</v>
      </c>
      <c r="R534" t="s">
        <v>9724</v>
      </c>
      <c r="S534" t="s">
        <v>9058</v>
      </c>
      <c r="T534" t="s">
        <v>9061</v>
      </c>
    </row>
    <row r="535" spans="1:20" x14ac:dyDescent="0.25">
      <c r="A535" t="s">
        <v>9726</v>
      </c>
      <c r="B535">
        <v>-20.78</v>
      </c>
      <c r="C535">
        <v>314.5</v>
      </c>
      <c r="D535">
        <v>25.384166669999999</v>
      </c>
      <c r="E535">
        <v>21.98833333</v>
      </c>
      <c r="F535">
        <v>28.786666669999999</v>
      </c>
      <c r="G535">
        <v>1.568333333</v>
      </c>
      <c r="H535">
        <v>0.85</v>
      </c>
      <c r="I535">
        <v>2.1683333330000001</v>
      </c>
      <c r="J535">
        <v>5361.4350000000004</v>
      </c>
      <c r="K535">
        <v>4858.625</v>
      </c>
      <c r="L535">
        <v>6139.1041670000004</v>
      </c>
      <c r="M535">
        <v>17.451666670000002</v>
      </c>
      <c r="N535">
        <v>16.035</v>
      </c>
      <c r="O535">
        <v>19.434999999999999</v>
      </c>
      <c r="Q535" t="s">
        <v>336</v>
      </c>
      <c r="R535" t="s">
        <v>9727</v>
      </c>
      <c r="S535" t="s">
        <v>9058</v>
      </c>
      <c r="T535" t="s">
        <v>9061</v>
      </c>
    </row>
    <row r="536" spans="1:20" x14ac:dyDescent="0.25">
      <c r="A536" t="s">
        <v>7254</v>
      </c>
      <c r="B536">
        <v>-20.75</v>
      </c>
      <c r="C536">
        <v>313</v>
      </c>
      <c r="D536">
        <v>24.357500000000002</v>
      </c>
      <c r="E536">
        <v>21.041666670000001</v>
      </c>
      <c r="F536">
        <v>27.434999999999999</v>
      </c>
      <c r="G536">
        <v>1.434166667</v>
      </c>
      <c r="H536">
        <v>0.63333333300000005</v>
      </c>
      <c r="I536">
        <v>2.0750000000000002</v>
      </c>
      <c r="J536">
        <v>4924.8316670000004</v>
      </c>
      <c r="K536">
        <v>4083.458333</v>
      </c>
      <c r="L536">
        <v>5877.875</v>
      </c>
      <c r="M536">
        <v>16.410833329999999</v>
      </c>
      <c r="N536">
        <v>14.935</v>
      </c>
      <c r="O536">
        <v>18.126666669999999</v>
      </c>
      <c r="Q536" t="s">
        <v>336</v>
      </c>
      <c r="R536" t="s">
        <v>9728</v>
      </c>
      <c r="S536" t="s">
        <v>9065</v>
      </c>
      <c r="T536" t="s">
        <v>9066</v>
      </c>
    </row>
    <row r="537" spans="1:20" x14ac:dyDescent="0.25">
      <c r="A537" t="s">
        <v>6530</v>
      </c>
      <c r="B537">
        <v>-14.05</v>
      </c>
      <c r="C537">
        <v>432</v>
      </c>
      <c r="D537">
        <v>24.945833329999999</v>
      </c>
      <c r="E537">
        <v>21.981666669999999</v>
      </c>
      <c r="F537">
        <v>28.021666669999998</v>
      </c>
      <c r="G537">
        <v>2.2000000000000002</v>
      </c>
      <c r="H537">
        <v>1.3666666670000001</v>
      </c>
      <c r="I537">
        <v>2.9083333329999999</v>
      </c>
      <c r="J537">
        <v>5028.4183329999996</v>
      </c>
      <c r="K537">
        <v>4471.625</v>
      </c>
      <c r="L537">
        <v>5832.8541670000004</v>
      </c>
      <c r="M537">
        <v>19.28166667</v>
      </c>
      <c r="N537">
        <v>18.454999999999998</v>
      </c>
      <c r="O537">
        <v>20.418333329999999</v>
      </c>
      <c r="Q537" t="s">
        <v>340</v>
      </c>
      <c r="R537" t="s">
        <v>9729</v>
      </c>
      <c r="S537" t="s">
        <v>9065</v>
      </c>
      <c r="T537" t="s">
        <v>9066</v>
      </c>
    </row>
    <row r="538" spans="1:20" x14ac:dyDescent="0.25">
      <c r="A538" t="s">
        <v>9730</v>
      </c>
      <c r="B538">
        <v>-14.02</v>
      </c>
      <c r="C538">
        <v>433.5</v>
      </c>
      <c r="D538">
        <v>25.682500000000001</v>
      </c>
      <c r="E538">
        <v>22.43333333</v>
      </c>
      <c r="F538">
        <v>29.051666669999999</v>
      </c>
      <c r="G538">
        <v>1.9991666669999999</v>
      </c>
      <c r="H538">
        <v>1.19</v>
      </c>
      <c r="I538">
        <v>2.6349999999999998</v>
      </c>
      <c r="J538">
        <v>5443.5208329999996</v>
      </c>
      <c r="K538">
        <v>4982.9791670000004</v>
      </c>
      <c r="L538">
        <v>6038.625</v>
      </c>
      <c r="M538">
        <v>19.000833329999999</v>
      </c>
      <c r="N538">
        <v>17.73</v>
      </c>
      <c r="O538">
        <v>20.33666667</v>
      </c>
      <c r="Q538" t="s">
        <v>340</v>
      </c>
      <c r="R538" t="s">
        <v>9729</v>
      </c>
      <c r="S538" t="s">
        <v>9058</v>
      </c>
      <c r="T538" t="s">
        <v>9061</v>
      </c>
    </row>
    <row r="539" spans="1:20" x14ac:dyDescent="0.25">
      <c r="A539" t="s">
        <v>9731</v>
      </c>
      <c r="B539">
        <v>-9.8699999999999992</v>
      </c>
      <c r="C539">
        <v>288.60000000000002</v>
      </c>
      <c r="D539">
        <v>25.178333330000001</v>
      </c>
      <c r="E539">
        <v>21.78166667</v>
      </c>
      <c r="F539">
        <v>28.891666669999999</v>
      </c>
      <c r="G539">
        <v>1.4850000000000001</v>
      </c>
      <c r="H539">
        <v>0.61666666699999995</v>
      </c>
      <c r="I539">
        <v>2.0541666670000001</v>
      </c>
      <c r="J539">
        <v>5453.6125000000002</v>
      </c>
      <c r="K539">
        <v>4892.125</v>
      </c>
      <c r="L539">
        <v>6148.7291670000004</v>
      </c>
      <c r="M539">
        <v>20.463333330000001</v>
      </c>
      <c r="N539">
        <v>19.414999999999999</v>
      </c>
      <c r="O539">
        <v>21.695</v>
      </c>
      <c r="Q539" t="s">
        <v>340</v>
      </c>
      <c r="R539" t="s">
        <v>9732</v>
      </c>
      <c r="S539" t="s">
        <v>9058</v>
      </c>
      <c r="T539" t="s">
        <v>9059</v>
      </c>
    </row>
    <row r="540" spans="1:20" x14ac:dyDescent="0.25">
      <c r="A540" t="s">
        <v>9733</v>
      </c>
      <c r="B540">
        <v>-9.8699999999999992</v>
      </c>
      <c r="C540">
        <v>288.60000000000002</v>
      </c>
      <c r="D540">
        <v>26.341666669999999</v>
      </c>
      <c r="E540">
        <v>22.831666670000001</v>
      </c>
      <c r="F540">
        <v>30.118333329999999</v>
      </c>
      <c r="G540">
        <v>1.665</v>
      </c>
      <c r="H540">
        <v>0.88333333300000005</v>
      </c>
      <c r="I540">
        <v>2.266666667</v>
      </c>
      <c r="J540">
        <v>5114.6458329999996</v>
      </c>
      <c r="K540">
        <v>4576.3958329999996</v>
      </c>
      <c r="L540">
        <v>5798.125</v>
      </c>
      <c r="M540">
        <v>20.797499999999999</v>
      </c>
      <c r="N540">
        <v>19.875</v>
      </c>
      <c r="O540">
        <v>21.80833333</v>
      </c>
      <c r="Q540" t="s">
        <v>340</v>
      </c>
      <c r="R540" t="s">
        <v>9732</v>
      </c>
      <c r="S540" t="s">
        <v>9058</v>
      </c>
      <c r="T540" t="s">
        <v>9061</v>
      </c>
    </row>
    <row r="541" spans="1:20" x14ac:dyDescent="0.25">
      <c r="A541" t="s">
        <v>6606</v>
      </c>
      <c r="B541">
        <v>-17.82</v>
      </c>
      <c r="C541">
        <v>875</v>
      </c>
      <c r="D541">
        <v>22.33666667</v>
      </c>
      <c r="E541">
        <v>19.388333329999998</v>
      </c>
      <c r="F541">
        <v>25.33</v>
      </c>
      <c r="G541">
        <v>1.7908333329999999</v>
      </c>
      <c r="H541">
        <v>1.016666667</v>
      </c>
      <c r="I541">
        <v>2.3849999999999998</v>
      </c>
      <c r="J541">
        <v>4959.9358329999995</v>
      </c>
      <c r="K541">
        <v>4396.2291670000004</v>
      </c>
      <c r="L541">
        <v>5786.6041670000004</v>
      </c>
      <c r="M541">
        <v>15.1775</v>
      </c>
      <c r="N541">
        <v>13.84166667</v>
      </c>
      <c r="O541">
        <v>16.793333329999999</v>
      </c>
      <c r="Q541" t="s">
        <v>340</v>
      </c>
      <c r="R541" t="s">
        <v>9734</v>
      </c>
      <c r="S541" t="s">
        <v>9065</v>
      </c>
      <c r="T541" t="s">
        <v>9066</v>
      </c>
    </row>
    <row r="542" spans="1:20" x14ac:dyDescent="0.25">
      <c r="A542" t="s">
        <v>9735</v>
      </c>
      <c r="B542">
        <v>-17.82</v>
      </c>
      <c r="C542">
        <v>876.5</v>
      </c>
      <c r="D542">
        <v>22.525833330000001</v>
      </c>
      <c r="E542">
        <v>19.266666669999999</v>
      </c>
      <c r="F542">
        <v>25.9925</v>
      </c>
      <c r="G542">
        <v>2.2183333329999999</v>
      </c>
      <c r="H542">
        <v>0.88833333299999995</v>
      </c>
      <c r="I542">
        <v>3.2683333330000002</v>
      </c>
      <c r="J542">
        <v>5307.6333329999998</v>
      </c>
      <c r="K542">
        <v>4820.1041670000004</v>
      </c>
      <c r="L542">
        <v>6006.4791670000004</v>
      </c>
      <c r="M542">
        <v>15.445833329999999</v>
      </c>
      <c r="N542">
        <v>14.16333333</v>
      </c>
      <c r="O542">
        <v>17.041666670000001</v>
      </c>
      <c r="Q542" t="s">
        <v>340</v>
      </c>
      <c r="R542" t="s">
        <v>9734</v>
      </c>
      <c r="S542" t="s">
        <v>9058</v>
      </c>
      <c r="T542" t="s">
        <v>9061</v>
      </c>
    </row>
    <row r="543" spans="1:20" x14ac:dyDescent="0.25">
      <c r="A543" t="s">
        <v>7310</v>
      </c>
      <c r="B543">
        <v>-9.5399999999999991</v>
      </c>
      <c r="C543">
        <v>220</v>
      </c>
      <c r="D543">
        <v>25.64916667</v>
      </c>
      <c r="E543">
        <v>22.48</v>
      </c>
      <c r="F543">
        <v>28.895</v>
      </c>
      <c r="G543">
        <v>0.87</v>
      </c>
      <c r="H543">
        <v>2.5000000000000001E-2</v>
      </c>
      <c r="I543">
        <v>1.5016666670000001</v>
      </c>
      <c r="J543">
        <v>4673.0233330000001</v>
      </c>
      <c r="K543">
        <v>4155.6041670000004</v>
      </c>
      <c r="L543">
        <v>5413.4791670000004</v>
      </c>
      <c r="M543">
        <v>20.94</v>
      </c>
      <c r="N543">
        <v>20.166666670000001</v>
      </c>
      <c r="O543">
        <v>21.94166667</v>
      </c>
      <c r="Q543" t="s">
        <v>340</v>
      </c>
      <c r="R543" t="s">
        <v>9736</v>
      </c>
      <c r="S543" t="s">
        <v>9065</v>
      </c>
      <c r="T543" t="s">
        <v>9066</v>
      </c>
    </row>
    <row r="544" spans="1:20" x14ac:dyDescent="0.25">
      <c r="A544" t="s">
        <v>9737</v>
      </c>
      <c r="B544">
        <v>-9.57</v>
      </c>
      <c r="C544">
        <v>221.5</v>
      </c>
      <c r="D544">
        <v>26.340833329999999</v>
      </c>
      <c r="E544">
        <v>23.208333329999999</v>
      </c>
      <c r="F544">
        <v>29.60166667</v>
      </c>
      <c r="G544">
        <v>0.74833333300000004</v>
      </c>
      <c r="H544">
        <v>0.15833333299999999</v>
      </c>
      <c r="I544">
        <v>1.1366666670000001</v>
      </c>
      <c r="J544">
        <v>5051.7408329999998</v>
      </c>
      <c r="K544">
        <v>4547.5</v>
      </c>
      <c r="L544">
        <v>5648.3541670000004</v>
      </c>
      <c r="M544">
        <v>21.11333333</v>
      </c>
      <c r="N544">
        <v>20.236666670000002</v>
      </c>
      <c r="O544">
        <v>22.116666670000001</v>
      </c>
      <c r="Q544" t="s">
        <v>340</v>
      </c>
      <c r="R544" t="s">
        <v>9736</v>
      </c>
      <c r="S544" t="s">
        <v>9058</v>
      </c>
      <c r="T544" t="s">
        <v>9061</v>
      </c>
    </row>
    <row r="545" spans="1:20" x14ac:dyDescent="0.25">
      <c r="A545" t="s">
        <v>9738</v>
      </c>
      <c r="B545">
        <v>-15.86</v>
      </c>
      <c r="C545">
        <v>349.6</v>
      </c>
      <c r="D545">
        <v>23.31</v>
      </c>
      <c r="E545">
        <v>18.818333330000002</v>
      </c>
      <c r="F545">
        <v>28.16</v>
      </c>
      <c r="G545">
        <v>1.5608333329999999</v>
      </c>
      <c r="H545">
        <v>0.28333333300000002</v>
      </c>
      <c r="I545">
        <v>2.6166666670000001</v>
      </c>
      <c r="J545">
        <v>5601.24</v>
      </c>
      <c r="K545">
        <v>5076.8541670000004</v>
      </c>
      <c r="L545">
        <v>6289.8333329999996</v>
      </c>
      <c r="M545">
        <v>18.19916667</v>
      </c>
      <c r="N545">
        <v>16.25</v>
      </c>
      <c r="O545">
        <v>20.395</v>
      </c>
      <c r="Q545" t="s">
        <v>340</v>
      </c>
      <c r="R545" t="s">
        <v>9739</v>
      </c>
      <c r="S545" t="s">
        <v>9058</v>
      </c>
      <c r="T545" t="s">
        <v>9059</v>
      </c>
    </row>
    <row r="546" spans="1:20" x14ac:dyDescent="0.25">
      <c r="A546" t="s">
        <v>9740</v>
      </c>
      <c r="B546">
        <v>-15.86</v>
      </c>
      <c r="C546">
        <v>349.6</v>
      </c>
      <c r="D546">
        <v>25.858333330000001</v>
      </c>
      <c r="E546">
        <v>22.466666669999999</v>
      </c>
      <c r="F546">
        <v>29.44166667</v>
      </c>
      <c r="G546">
        <v>1.649166667</v>
      </c>
      <c r="H546">
        <v>0.52333333299999996</v>
      </c>
      <c r="I546">
        <v>2.2850000000000001</v>
      </c>
      <c r="J546">
        <v>5401.2341669999996</v>
      </c>
      <c r="K546">
        <v>4773.0833329999996</v>
      </c>
      <c r="L546">
        <v>6158.2083329999996</v>
      </c>
      <c r="M546">
        <v>18.7925</v>
      </c>
      <c r="N546">
        <v>17.608333330000001</v>
      </c>
      <c r="O546">
        <v>20.11</v>
      </c>
      <c r="Q546" t="s">
        <v>340</v>
      </c>
      <c r="R546" t="s">
        <v>9739</v>
      </c>
      <c r="S546" t="s">
        <v>9058</v>
      </c>
      <c r="T546" t="s">
        <v>9061</v>
      </c>
    </row>
    <row r="547" spans="1:20" x14ac:dyDescent="0.25">
      <c r="A547" t="s">
        <v>9741</v>
      </c>
      <c r="B547">
        <v>-16.05</v>
      </c>
      <c r="C547">
        <v>118</v>
      </c>
      <c r="D547">
        <v>24.041666670000001</v>
      </c>
      <c r="E547">
        <v>20.237500000000001</v>
      </c>
      <c r="F547">
        <v>27.855833329999999</v>
      </c>
      <c r="G547">
        <v>1.5083333329999999</v>
      </c>
      <c r="H547">
        <v>0.76666666699999997</v>
      </c>
      <c r="I547">
        <v>2.0583333330000002</v>
      </c>
      <c r="J547">
        <v>5395.5616669999999</v>
      </c>
      <c r="K547">
        <v>4817.5833329999996</v>
      </c>
      <c r="L547">
        <v>6208</v>
      </c>
      <c r="M547">
        <v>20.489166669999999</v>
      </c>
      <c r="N547">
        <v>18.963333330000001</v>
      </c>
      <c r="O547">
        <v>22.541666670000001</v>
      </c>
      <c r="Q547" t="s">
        <v>340</v>
      </c>
      <c r="R547" t="s">
        <v>9742</v>
      </c>
      <c r="S547" t="s">
        <v>9058</v>
      </c>
      <c r="T547" t="s">
        <v>9059</v>
      </c>
    </row>
    <row r="548" spans="1:20" x14ac:dyDescent="0.25">
      <c r="A548" t="s">
        <v>9743</v>
      </c>
      <c r="B548">
        <v>-16.05</v>
      </c>
      <c r="C548">
        <v>118</v>
      </c>
      <c r="D548">
        <v>26.295000000000002</v>
      </c>
      <c r="E548">
        <v>23.423333329999998</v>
      </c>
      <c r="F548">
        <v>28.946666669999999</v>
      </c>
      <c r="G548">
        <v>1.8325</v>
      </c>
      <c r="H548">
        <v>1.2</v>
      </c>
      <c r="I548">
        <v>2.3866666670000001</v>
      </c>
      <c r="J548">
        <v>5184.040833</v>
      </c>
      <c r="K548">
        <v>4570.0833329999996</v>
      </c>
      <c r="L548">
        <v>6026.8333329999996</v>
      </c>
      <c r="M548">
        <v>21.251666669999999</v>
      </c>
      <c r="N548">
        <v>20.175000000000001</v>
      </c>
      <c r="O548">
        <v>22.684999999999999</v>
      </c>
      <c r="Q548" t="s">
        <v>340</v>
      </c>
      <c r="R548" t="s">
        <v>9742</v>
      </c>
      <c r="S548" t="s">
        <v>9058</v>
      </c>
      <c r="T548" t="s">
        <v>9061</v>
      </c>
    </row>
    <row r="549" spans="1:20" x14ac:dyDescent="0.25">
      <c r="A549" t="s">
        <v>7321</v>
      </c>
      <c r="B549">
        <v>-13.68</v>
      </c>
      <c r="C549">
        <v>570</v>
      </c>
      <c r="D549">
        <v>24.081666670000001</v>
      </c>
      <c r="E549">
        <v>20.981666669999999</v>
      </c>
      <c r="F549">
        <v>27.33</v>
      </c>
      <c r="G549">
        <v>1.5075000000000001</v>
      </c>
      <c r="H549">
        <v>0.71666666700000003</v>
      </c>
      <c r="I549">
        <v>2.1916666669999998</v>
      </c>
      <c r="J549">
        <v>4927.5541670000002</v>
      </c>
      <c r="K549">
        <v>4379.8958329999996</v>
      </c>
      <c r="L549">
        <v>5628.2916670000004</v>
      </c>
      <c r="M549">
        <v>17.49583333</v>
      </c>
      <c r="N549">
        <v>16.28</v>
      </c>
      <c r="O549">
        <v>19.014166670000002</v>
      </c>
      <c r="Q549" t="s">
        <v>340</v>
      </c>
      <c r="R549" t="s">
        <v>9744</v>
      </c>
      <c r="S549" t="s">
        <v>9065</v>
      </c>
      <c r="T549" t="s">
        <v>9066</v>
      </c>
    </row>
    <row r="550" spans="1:20" x14ac:dyDescent="0.25">
      <c r="A550" t="s">
        <v>9745</v>
      </c>
      <c r="B550">
        <v>-13.78</v>
      </c>
      <c r="C550">
        <v>571.5</v>
      </c>
      <c r="D550">
        <v>24.459166669999998</v>
      </c>
      <c r="E550">
        <v>21.27333333</v>
      </c>
      <c r="F550">
        <v>27.954999999999998</v>
      </c>
      <c r="G550">
        <v>1.693333333</v>
      </c>
      <c r="H550">
        <v>0.69166666700000001</v>
      </c>
      <c r="I550">
        <v>2.4933333329999998</v>
      </c>
      <c r="J550">
        <v>5343.0524999999998</v>
      </c>
      <c r="K550">
        <v>4840.8125</v>
      </c>
      <c r="L550">
        <v>6062.1041670000004</v>
      </c>
      <c r="M550">
        <v>10.065</v>
      </c>
      <c r="N550">
        <v>7.681666667</v>
      </c>
      <c r="O550">
        <v>12.82666667</v>
      </c>
      <c r="Q550" t="s">
        <v>340</v>
      </c>
      <c r="R550" t="s">
        <v>9746</v>
      </c>
      <c r="S550" t="s">
        <v>9058</v>
      </c>
      <c r="T550" t="s">
        <v>9061</v>
      </c>
    </row>
    <row r="551" spans="1:20" x14ac:dyDescent="0.25">
      <c r="A551" t="s">
        <v>7323</v>
      </c>
      <c r="B551">
        <v>-15.55</v>
      </c>
      <c r="C551">
        <v>749</v>
      </c>
      <c r="D551">
        <v>23.033333330000001</v>
      </c>
      <c r="E551">
        <v>20.236666670000002</v>
      </c>
      <c r="F551">
        <v>25.86</v>
      </c>
      <c r="G551">
        <v>2.8141666669999998</v>
      </c>
      <c r="H551">
        <v>1.8049999999999999</v>
      </c>
      <c r="I551">
        <v>3.75</v>
      </c>
      <c r="J551">
        <v>4710.5275000000001</v>
      </c>
      <c r="K551">
        <v>4186.625</v>
      </c>
      <c r="L551">
        <v>5382.5</v>
      </c>
      <c r="M551">
        <v>16.34416667</v>
      </c>
      <c r="N551">
        <v>15.098333330000001</v>
      </c>
      <c r="O551">
        <v>17.826666670000002</v>
      </c>
      <c r="Q551" t="s">
        <v>340</v>
      </c>
      <c r="R551" t="s">
        <v>9747</v>
      </c>
      <c r="S551" t="s">
        <v>9065</v>
      </c>
      <c r="T551" t="s">
        <v>9066</v>
      </c>
    </row>
    <row r="552" spans="1:20" x14ac:dyDescent="0.25">
      <c r="A552" t="s">
        <v>9748</v>
      </c>
      <c r="B552">
        <v>-15.53</v>
      </c>
      <c r="C552">
        <v>750.5</v>
      </c>
      <c r="D552">
        <v>23.85166667</v>
      </c>
      <c r="E552">
        <v>21.041666670000001</v>
      </c>
      <c r="F552">
        <v>26.635000000000002</v>
      </c>
      <c r="G552">
        <v>2.6008333330000002</v>
      </c>
      <c r="H552">
        <v>1.675</v>
      </c>
      <c r="I552">
        <v>3.41</v>
      </c>
      <c r="J552">
        <v>5444.3824999999997</v>
      </c>
      <c r="K552">
        <v>4967.5625</v>
      </c>
      <c r="L552">
        <v>6076.0208329999996</v>
      </c>
      <c r="M552">
        <v>16.930833329999999</v>
      </c>
      <c r="N552">
        <v>15.6</v>
      </c>
      <c r="O552">
        <v>18.501666669999999</v>
      </c>
      <c r="Q552" t="s">
        <v>340</v>
      </c>
      <c r="R552" t="s">
        <v>9747</v>
      </c>
      <c r="S552" t="s">
        <v>9058</v>
      </c>
      <c r="T552" t="s">
        <v>9061</v>
      </c>
    </row>
    <row r="553" spans="1:20" x14ac:dyDescent="0.25">
      <c r="A553" t="s">
        <v>9749</v>
      </c>
      <c r="B553">
        <v>-13.5</v>
      </c>
      <c r="C553">
        <v>430</v>
      </c>
      <c r="D553">
        <v>24.873333330000001</v>
      </c>
      <c r="E553">
        <v>21.911666669999999</v>
      </c>
      <c r="F553">
        <v>27.876666669999999</v>
      </c>
      <c r="G553">
        <v>0.55583333300000004</v>
      </c>
      <c r="H553">
        <v>0</v>
      </c>
      <c r="I553">
        <v>0.85833333300000003</v>
      </c>
      <c r="J553">
        <v>5568.4541669999999</v>
      </c>
      <c r="K553">
        <v>4970.4166670000004</v>
      </c>
      <c r="L553">
        <v>6301.5416670000004</v>
      </c>
      <c r="M553">
        <v>19.5625</v>
      </c>
      <c r="N553">
        <v>18.258333329999999</v>
      </c>
      <c r="O553">
        <v>21.051666669999999</v>
      </c>
      <c r="Q553" t="s">
        <v>340</v>
      </c>
      <c r="R553" t="s">
        <v>9750</v>
      </c>
      <c r="S553" t="s">
        <v>9058</v>
      </c>
      <c r="T553" t="s">
        <v>9059</v>
      </c>
    </row>
    <row r="554" spans="1:20" x14ac:dyDescent="0.25">
      <c r="A554" t="s">
        <v>9751</v>
      </c>
      <c r="B554">
        <v>-13.5</v>
      </c>
      <c r="C554">
        <v>430</v>
      </c>
      <c r="D554">
        <v>25.535</v>
      </c>
      <c r="E554">
        <v>22.873333330000001</v>
      </c>
      <c r="F554">
        <v>27.938333329999999</v>
      </c>
      <c r="G554">
        <v>1.0108333329999999</v>
      </c>
      <c r="H554">
        <v>0</v>
      </c>
      <c r="I554">
        <v>1.7183333329999999</v>
      </c>
      <c r="J554">
        <v>5339.9750000000004</v>
      </c>
      <c r="K554">
        <v>4798.3958329999996</v>
      </c>
      <c r="L554">
        <v>5995.5416670000004</v>
      </c>
      <c r="M554">
        <v>19.60916667</v>
      </c>
      <c r="N554">
        <v>18.348333329999999</v>
      </c>
      <c r="O554">
        <v>20.925000000000001</v>
      </c>
      <c r="Q554" t="s">
        <v>340</v>
      </c>
      <c r="R554" t="s">
        <v>9750</v>
      </c>
      <c r="S554" t="s">
        <v>9058</v>
      </c>
      <c r="T554" t="s">
        <v>9061</v>
      </c>
    </row>
    <row r="555" spans="1:20" x14ac:dyDescent="0.25">
      <c r="A555" t="s">
        <v>7302</v>
      </c>
      <c r="B555">
        <v>-9.9700000000000006</v>
      </c>
      <c r="C555">
        <v>300</v>
      </c>
      <c r="D555">
        <v>25.490833330000001</v>
      </c>
      <c r="E555">
        <v>22.675000000000001</v>
      </c>
      <c r="F555">
        <v>28.236666670000002</v>
      </c>
      <c r="G555">
        <v>1.254166667</v>
      </c>
      <c r="H555">
        <v>0</v>
      </c>
      <c r="I555">
        <v>2.1433333330000002</v>
      </c>
      <c r="J555">
        <v>4760.6533330000002</v>
      </c>
      <c r="K555">
        <v>4341.2083329999996</v>
      </c>
      <c r="L555">
        <v>5517.6041670000004</v>
      </c>
      <c r="M555">
        <v>20.666666670000001</v>
      </c>
      <c r="N555">
        <v>19.958333329999999</v>
      </c>
      <c r="O555">
        <v>21.5</v>
      </c>
      <c r="Q555" t="s">
        <v>340</v>
      </c>
      <c r="R555" t="s">
        <v>9752</v>
      </c>
      <c r="S555" t="s">
        <v>9065</v>
      </c>
      <c r="T555" t="s">
        <v>9066</v>
      </c>
    </row>
    <row r="556" spans="1:20" x14ac:dyDescent="0.25">
      <c r="A556" t="s">
        <v>9753</v>
      </c>
      <c r="B556">
        <v>-9.9700000000000006</v>
      </c>
      <c r="C556">
        <v>301.5</v>
      </c>
      <c r="D556">
        <v>25.375</v>
      </c>
      <c r="E556">
        <v>22.54</v>
      </c>
      <c r="F556">
        <v>28.279166669999999</v>
      </c>
      <c r="G556">
        <v>0.97</v>
      </c>
      <c r="H556">
        <v>0.375</v>
      </c>
      <c r="I556">
        <v>1.2516666670000001</v>
      </c>
      <c r="J556">
        <v>5225.5825000000004</v>
      </c>
      <c r="K556">
        <v>4711.125</v>
      </c>
      <c r="L556">
        <v>5894.7708329999996</v>
      </c>
      <c r="M556">
        <v>19.844999999999999</v>
      </c>
      <c r="N556">
        <v>18.733333330000001</v>
      </c>
      <c r="O556">
        <v>20.81666667</v>
      </c>
      <c r="Q556" t="s">
        <v>340</v>
      </c>
      <c r="R556" t="s">
        <v>9752</v>
      </c>
      <c r="S556" t="s">
        <v>9058</v>
      </c>
      <c r="T556" t="s">
        <v>9061</v>
      </c>
    </row>
    <row r="557" spans="1:20" x14ac:dyDescent="0.25">
      <c r="A557" t="s">
        <v>7325</v>
      </c>
      <c r="B557">
        <v>-13.66</v>
      </c>
      <c r="C557">
        <v>591</v>
      </c>
      <c r="D557">
        <v>22.434999999999999</v>
      </c>
      <c r="E557">
        <v>19.065000000000001</v>
      </c>
      <c r="F557">
        <v>26.333333329999999</v>
      </c>
      <c r="G557">
        <v>1.5616666669999999</v>
      </c>
      <c r="H557">
        <v>0.108333333</v>
      </c>
      <c r="I557">
        <v>2.6516666670000002</v>
      </c>
      <c r="J557">
        <v>4951.6716669999996</v>
      </c>
      <c r="K557">
        <v>4392.1041670000004</v>
      </c>
      <c r="L557">
        <v>5678.125</v>
      </c>
      <c r="M557">
        <v>18.598333329999999</v>
      </c>
      <c r="N557">
        <v>17.131666670000001</v>
      </c>
      <c r="O557">
        <v>20.16</v>
      </c>
      <c r="Q557" t="s">
        <v>340</v>
      </c>
      <c r="R557" t="s">
        <v>9754</v>
      </c>
      <c r="S557" t="s">
        <v>9065</v>
      </c>
      <c r="T557" t="s">
        <v>9066</v>
      </c>
    </row>
    <row r="558" spans="1:20" x14ac:dyDescent="0.25">
      <c r="A558" t="s">
        <v>9755</v>
      </c>
      <c r="B558">
        <v>-13.72</v>
      </c>
      <c r="C558">
        <v>592.5</v>
      </c>
      <c r="D558">
        <v>23.13</v>
      </c>
      <c r="E558">
        <v>20.119166669999998</v>
      </c>
      <c r="F558">
        <v>26.4</v>
      </c>
      <c r="G558">
        <v>1.2366666669999999</v>
      </c>
      <c r="H558">
        <v>0.20833333300000001</v>
      </c>
      <c r="I558">
        <v>2.0916666670000001</v>
      </c>
      <c r="J558">
        <v>5019.42</v>
      </c>
      <c r="K558">
        <v>4476.2708329999996</v>
      </c>
      <c r="L558">
        <v>5683.5833329999996</v>
      </c>
      <c r="M558">
        <v>18.896666669999998</v>
      </c>
      <c r="N558">
        <v>17.765000000000001</v>
      </c>
      <c r="O558">
        <v>20.19166667</v>
      </c>
      <c r="Q558" t="s">
        <v>340</v>
      </c>
      <c r="R558" t="s">
        <v>9754</v>
      </c>
      <c r="S558" t="s">
        <v>9058</v>
      </c>
      <c r="T558" t="s">
        <v>9061</v>
      </c>
    </row>
    <row r="559" spans="1:20" x14ac:dyDescent="0.25">
      <c r="A559" t="s">
        <v>7327</v>
      </c>
      <c r="B559">
        <v>-10.65</v>
      </c>
      <c r="C559">
        <v>237</v>
      </c>
      <c r="D559">
        <v>26.12833333</v>
      </c>
      <c r="E559">
        <v>23.17166667</v>
      </c>
      <c r="F559">
        <v>29.065000000000001</v>
      </c>
      <c r="G559">
        <v>1.306666667</v>
      </c>
      <c r="H559">
        <v>0.30833333299999999</v>
      </c>
      <c r="I559">
        <v>2.0183333330000002</v>
      </c>
      <c r="J559">
        <v>4882.0891670000001</v>
      </c>
      <c r="K559">
        <v>4226.8125</v>
      </c>
      <c r="L559">
        <v>5665.4583329999996</v>
      </c>
      <c r="M559">
        <v>20.638333329999998</v>
      </c>
      <c r="N559">
        <v>19.846666670000001</v>
      </c>
      <c r="O559">
        <v>21.60166667</v>
      </c>
      <c r="Q559" t="s">
        <v>340</v>
      </c>
      <c r="R559" t="s">
        <v>9756</v>
      </c>
      <c r="S559" t="s">
        <v>9065</v>
      </c>
      <c r="T559" t="s">
        <v>9066</v>
      </c>
    </row>
    <row r="560" spans="1:20" x14ac:dyDescent="0.25">
      <c r="A560" t="s">
        <v>9757</v>
      </c>
      <c r="B560">
        <v>-9.91</v>
      </c>
      <c r="C560">
        <v>262.5</v>
      </c>
      <c r="D560">
        <v>25.704999999999998</v>
      </c>
      <c r="E560">
        <v>22.73833333</v>
      </c>
      <c r="F560">
        <v>28.83666667</v>
      </c>
      <c r="G560">
        <v>1.3016666670000001</v>
      </c>
      <c r="H560">
        <v>0.71666666700000003</v>
      </c>
      <c r="I560">
        <v>1.7266666669999999</v>
      </c>
      <c r="J560">
        <v>5076.55</v>
      </c>
      <c r="K560">
        <v>4532.4791670000004</v>
      </c>
      <c r="L560">
        <v>5737.8958329999996</v>
      </c>
      <c r="M560">
        <v>21.305833329999999</v>
      </c>
      <c r="N560">
        <v>20.483333330000001</v>
      </c>
      <c r="O560">
        <v>22.291666670000001</v>
      </c>
      <c r="Q560" t="s">
        <v>340</v>
      </c>
      <c r="R560" t="s">
        <v>9758</v>
      </c>
      <c r="S560" t="s">
        <v>9058</v>
      </c>
      <c r="T560" t="s">
        <v>9061</v>
      </c>
    </row>
    <row r="561" spans="1:20" x14ac:dyDescent="0.25">
      <c r="A561" t="s">
        <v>6156</v>
      </c>
      <c r="B561">
        <v>-9.86</v>
      </c>
      <c r="C561">
        <v>261</v>
      </c>
      <c r="D561">
        <v>24.622499999999999</v>
      </c>
      <c r="E561">
        <v>21.588333330000001</v>
      </c>
      <c r="F561">
        <v>27.806666669999998</v>
      </c>
      <c r="G561">
        <v>1.151666667</v>
      </c>
      <c r="H561">
        <v>0.44166666700000001</v>
      </c>
      <c r="I561">
        <v>1.6683333330000001</v>
      </c>
      <c r="J561">
        <v>4475.2333330000001</v>
      </c>
      <c r="K561">
        <v>3918.6875</v>
      </c>
      <c r="L561">
        <v>5187.5833329999996</v>
      </c>
      <c r="M561">
        <v>20.60166667</v>
      </c>
      <c r="N561">
        <v>19.798333329999998</v>
      </c>
      <c r="O561">
        <v>21.62</v>
      </c>
      <c r="Q561" t="s">
        <v>340</v>
      </c>
      <c r="R561" t="s">
        <v>9759</v>
      </c>
      <c r="S561" t="s">
        <v>9065</v>
      </c>
      <c r="T561" t="s">
        <v>9066</v>
      </c>
    </row>
    <row r="562" spans="1:20" x14ac:dyDescent="0.25">
      <c r="A562" t="s">
        <v>9760</v>
      </c>
      <c r="B562">
        <v>-15.65</v>
      </c>
      <c r="C562">
        <v>188.1</v>
      </c>
      <c r="D562">
        <v>26.478333330000002</v>
      </c>
      <c r="E562">
        <v>23.414999999999999</v>
      </c>
      <c r="F562">
        <v>29.633333329999999</v>
      </c>
      <c r="G562">
        <v>2.4441666670000002</v>
      </c>
      <c r="H562">
        <v>1.3333333329999999</v>
      </c>
      <c r="I562">
        <v>3.266666667</v>
      </c>
      <c r="J562">
        <v>5400.3616670000001</v>
      </c>
      <c r="K562">
        <v>4936.625</v>
      </c>
      <c r="L562">
        <v>6161.1458329999996</v>
      </c>
      <c r="M562">
        <v>19.25333333</v>
      </c>
      <c r="N562">
        <v>17.856666669999999</v>
      </c>
      <c r="O562">
        <v>21.068333330000002</v>
      </c>
      <c r="Q562" t="s">
        <v>340</v>
      </c>
      <c r="R562" t="s">
        <v>9761</v>
      </c>
      <c r="S562" t="s">
        <v>9058</v>
      </c>
      <c r="T562" t="s">
        <v>9059</v>
      </c>
    </row>
    <row r="563" spans="1:20" x14ac:dyDescent="0.25">
      <c r="A563" t="s">
        <v>9762</v>
      </c>
      <c r="B563">
        <v>-15.65</v>
      </c>
      <c r="C563">
        <v>188.1</v>
      </c>
      <c r="D563">
        <v>26.737500000000001</v>
      </c>
      <c r="E563">
        <v>23.423333329999998</v>
      </c>
      <c r="F563">
        <v>29.93416667</v>
      </c>
      <c r="G563">
        <v>2.5274999999999999</v>
      </c>
      <c r="H563">
        <v>1.425</v>
      </c>
      <c r="I563">
        <v>3.4333333330000002</v>
      </c>
      <c r="J563">
        <v>5325.2291670000004</v>
      </c>
      <c r="K563">
        <v>4807.5208329999996</v>
      </c>
      <c r="L563">
        <v>6103.6458329999996</v>
      </c>
      <c r="M563">
        <v>19.137499999999999</v>
      </c>
      <c r="N563">
        <v>17.563333329999999</v>
      </c>
      <c r="O563">
        <v>20.98</v>
      </c>
      <c r="Q563" t="s">
        <v>340</v>
      </c>
      <c r="R563" t="s">
        <v>9761</v>
      </c>
      <c r="S563" t="s">
        <v>9058</v>
      </c>
      <c r="T563" t="s">
        <v>9061</v>
      </c>
    </row>
    <row r="564" spans="1:20" x14ac:dyDescent="0.25">
      <c r="A564" t="s">
        <v>7300</v>
      </c>
      <c r="B564">
        <v>-15.62</v>
      </c>
      <c r="C564">
        <v>151</v>
      </c>
      <c r="D564">
        <v>26.267499999999998</v>
      </c>
      <c r="E564">
        <v>23.12166667</v>
      </c>
      <c r="F564">
        <v>29.52333333</v>
      </c>
      <c r="G564">
        <v>1.9450000000000001</v>
      </c>
      <c r="H564">
        <v>1.183333333</v>
      </c>
      <c r="I564">
        <v>2.5666666669999998</v>
      </c>
      <c r="J564">
        <v>5046.9624999999996</v>
      </c>
      <c r="K564">
        <v>4543.8541670000004</v>
      </c>
      <c r="L564">
        <v>5738.5625</v>
      </c>
      <c r="M564">
        <v>19.839166670000001</v>
      </c>
      <c r="N564">
        <v>18.600000000000001</v>
      </c>
      <c r="O564">
        <v>21.42</v>
      </c>
      <c r="Q564" t="s">
        <v>340</v>
      </c>
      <c r="R564" t="s">
        <v>9763</v>
      </c>
      <c r="S564" t="s">
        <v>9065</v>
      </c>
      <c r="T564" t="s">
        <v>9066</v>
      </c>
    </row>
    <row r="565" spans="1:20" x14ac:dyDescent="0.25">
      <c r="A565" t="s">
        <v>9764</v>
      </c>
      <c r="B565">
        <v>-15.62</v>
      </c>
      <c r="C565">
        <v>152.80000000000001</v>
      </c>
      <c r="D565">
        <v>26.69916667</v>
      </c>
      <c r="E565">
        <v>23.658333330000001</v>
      </c>
      <c r="F565">
        <v>29.605833329999999</v>
      </c>
      <c r="G565">
        <v>1.6016666669999999</v>
      </c>
      <c r="H565">
        <v>1.066666667</v>
      </c>
      <c r="I565">
        <v>2.0016666669999998</v>
      </c>
      <c r="J565">
        <v>5392.7216669999998</v>
      </c>
      <c r="K565">
        <v>4900</v>
      </c>
      <c r="L565">
        <v>6086.9791670000004</v>
      </c>
      <c r="M565">
        <v>18.973333329999999</v>
      </c>
      <c r="N565">
        <v>17.388333329999998</v>
      </c>
      <c r="O565">
        <v>20.763333329999998</v>
      </c>
      <c r="Q565" t="s">
        <v>340</v>
      </c>
      <c r="R565" t="s">
        <v>9763</v>
      </c>
      <c r="S565" t="s">
        <v>9058</v>
      </c>
      <c r="T565" t="s">
        <v>9061</v>
      </c>
    </row>
    <row r="566" spans="1:20" x14ac:dyDescent="0.25">
      <c r="A566" t="s">
        <v>9765</v>
      </c>
      <c r="B566">
        <v>-14.4</v>
      </c>
      <c r="C566">
        <v>286</v>
      </c>
      <c r="D566">
        <v>24.073333330000001</v>
      </c>
      <c r="E566">
        <v>20.418333329999999</v>
      </c>
      <c r="F566">
        <v>27.695</v>
      </c>
      <c r="G566">
        <v>0.6875</v>
      </c>
      <c r="H566">
        <v>0.141666667</v>
      </c>
      <c r="I566">
        <v>1.058333333</v>
      </c>
      <c r="J566">
        <v>5377.1808330000003</v>
      </c>
      <c r="K566">
        <v>4854.9166670000004</v>
      </c>
      <c r="L566">
        <v>6161.6875</v>
      </c>
      <c r="M566">
        <v>21.052499999999998</v>
      </c>
      <c r="N566">
        <v>19.466666669999999</v>
      </c>
      <c r="O566">
        <v>23.166666670000001</v>
      </c>
      <c r="Q566" t="s">
        <v>340</v>
      </c>
      <c r="R566" t="s">
        <v>9766</v>
      </c>
      <c r="S566" t="s">
        <v>9058</v>
      </c>
      <c r="T566" t="s">
        <v>9059</v>
      </c>
    </row>
    <row r="567" spans="1:20" x14ac:dyDescent="0.25">
      <c r="A567" t="s">
        <v>9767</v>
      </c>
      <c r="B567">
        <v>-14.4</v>
      </c>
      <c r="C567">
        <v>286</v>
      </c>
      <c r="D567">
        <v>25.35916667</v>
      </c>
      <c r="E567">
        <v>22.563333329999999</v>
      </c>
      <c r="F567">
        <v>27.888333329999998</v>
      </c>
      <c r="G567">
        <v>0.83499999999999996</v>
      </c>
      <c r="H567">
        <v>0</v>
      </c>
      <c r="I567">
        <v>1.5958333330000001</v>
      </c>
      <c r="J567">
        <v>5248.45</v>
      </c>
      <c r="K567">
        <v>4741.375</v>
      </c>
      <c r="L567">
        <v>5965.7083329999996</v>
      </c>
      <c r="M567">
        <v>21.29666667</v>
      </c>
      <c r="N567">
        <v>19.574999999999999</v>
      </c>
      <c r="O567">
        <v>23.173333329999998</v>
      </c>
      <c r="Q567" t="s">
        <v>340</v>
      </c>
      <c r="R567" t="s">
        <v>9766</v>
      </c>
      <c r="S567" t="s">
        <v>9058</v>
      </c>
      <c r="T567" t="s">
        <v>9061</v>
      </c>
    </row>
    <row r="568" spans="1:20" x14ac:dyDescent="0.25">
      <c r="A568" t="s">
        <v>7340</v>
      </c>
      <c r="B568">
        <v>-13.18</v>
      </c>
      <c r="C568">
        <v>379</v>
      </c>
      <c r="D568">
        <v>25.215833329999999</v>
      </c>
      <c r="E568">
        <v>21.925000000000001</v>
      </c>
      <c r="F568">
        <v>28.69166667</v>
      </c>
      <c r="G568">
        <v>1.355</v>
      </c>
      <c r="H568">
        <v>0.27500000000000002</v>
      </c>
      <c r="I568">
        <v>2.193333333</v>
      </c>
      <c r="J568">
        <v>5105.6908329999997</v>
      </c>
      <c r="K568">
        <v>4534.0625</v>
      </c>
      <c r="L568">
        <v>5893.8333329999996</v>
      </c>
      <c r="M568">
        <v>19.537500000000001</v>
      </c>
      <c r="N568">
        <v>18.697500000000002</v>
      </c>
      <c r="O568">
        <v>20.68333333</v>
      </c>
      <c r="Q568" t="s">
        <v>340</v>
      </c>
      <c r="R568" t="s">
        <v>9768</v>
      </c>
      <c r="S568" t="s">
        <v>9065</v>
      </c>
      <c r="T568" t="s">
        <v>9066</v>
      </c>
    </row>
    <row r="569" spans="1:20" x14ac:dyDescent="0.25">
      <c r="A569" t="s">
        <v>9769</v>
      </c>
      <c r="B569">
        <v>-13.18</v>
      </c>
      <c r="C569">
        <v>380.5</v>
      </c>
      <c r="D569">
        <v>26.263333329999998</v>
      </c>
      <c r="E569">
        <v>22.831666670000001</v>
      </c>
      <c r="F569">
        <v>29.801666669999999</v>
      </c>
      <c r="G569">
        <v>1.07</v>
      </c>
      <c r="H569">
        <v>0.27500000000000002</v>
      </c>
      <c r="I569">
        <v>1.661666667</v>
      </c>
      <c r="J569">
        <v>5379.9758330000004</v>
      </c>
      <c r="K569">
        <v>4915.75</v>
      </c>
      <c r="L569">
        <v>5999.5416670000004</v>
      </c>
      <c r="M569">
        <v>18.341666669999999</v>
      </c>
      <c r="N569">
        <v>16.940000000000001</v>
      </c>
      <c r="O569">
        <v>19.97666667</v>
      </c>
      <c r="Q569" t="s">
        <v>340</v>
      </c>
      <c r="R569" t="s">
        <v>9768</v>
      </c>
      <c r="S569" t="s">
        <v>9058</v>
      </c>
      <c r="T569" t="s">
        <v>9061</v>
      </c>
    </row>
    <row r="570" spans="1:20" x14ac:dyDescent="0.25">
      <c r="A570" t="s">
        <v>9770</v>
      </c>
      <c r="B570">
        <v>-12.2</v>
      </c>
      <c r="C570">
        <v>415</v>
      </c>
      <c r="D570">
        <v>25.555</v>
      </c>
      <c r="E570">
        <v>22.89</v>
      </c>
      <c r="F570">
        <v>27.82833333</v>
      </c>
      <c r="G570">
        <v>1.6958333329999999</v>
      </c>
      <c r="H570">
        <v>1.2066666669999999</v>
      </c>
      <c r="I570">
        <v>2.1333333329999999</v>
      </c>
      <c r="J570">
        <v>4995.9141669999999</v>
      </c>
      <c r="K570">
        <v>4419.625</v>
      </c>
      <c r="L570">
        <v>5690.875</v>
      </c>
      <c r="M570">
        <v>20.829166669999999</v>
      </c>
      <c r="N570">
        <v>19.698333330000001</v>
      </c>
      <c r="O570">
        <v>22.09333333</v>
      </c>
      <c r="Q570" t="s">
        <v>340</v>
      </c>
      <c r="R570" t="s">
        <v>9771</v>
      </c>
      <c r="S570" t="s">
        <v>9058</v>
      </c>
      <c r="T570" t="s">
        <v>9061</v>
      </c>
    </row>
    <row r="571" spans="1:20" x14ac:dyDescent="0.25">
      <c r="A571" t="s">
        <v>7344</v>
      </c>
      <c r="B571">
        <v>-9.7899999999999991</v>
      </c>
      <c r="C571">
        <v>320</v>
      </c>
      <c r="D571">
        <v>25.037500000000001</v>
      </c>
      <c r="E571">
        <v>21.981666669999999</v>
      </c>
      <c r="F571">
        <v>28.198333330000001</v>
      </c>
      <c r="G571">
        <v>1.5925</v>
      </c>
      <c r="H571">
        <v>0.46666666699999998</v>
      </c>
      <c r="I571">
        <v>2.4416666669999998</v>
      </c>
      <c r="J571">
        <v>4220.37</v>
      </c>
      <c r="K571">
        <v>3609.666667</v>
      </c>
      <c r="L571">
        <v>4951.4791670000004</v>
      </c>
      <c r="M571">
        <v>20.655000000000001</v>
      </c>
      <c r="N571">
        <v>19.716666669999999</v>
      </c>
      <c r="O571">
        <v>21.69166667</v>
      </c>
      <c r="Q571" t="s">
        <v>340</v>
      </c>
      <c r="R571" t="s">
        <v>9772</v>
      </c>
      <c r="S571" t="s">
        <v>9065</v>
      </c>
      <c r="T571" t="s">
        <v>9066</v>
      </c>
    </row>
    <row r="572" spans="1:20" x14ac:dyDescent="0.25">
      <c r="A572" t="s">
        <v>7345</v>
      </c>
      <c r="B572">
        <v>-16.34</v>
      </c>
      <c r="C572">
        <v>526</v>
      </c>
      <c r="D572">
        <v>24.695833329999999</v>
      </c>
      <c r="E572">
        <v>21.320833329999999</v>
      </c>
      <c r="F572">
        <v>28.03833333</v>
      </c>
      <c r="G572">
        <v>1.169166667</v>
      </c>
      <c r="H572">
        <v>0.25416666700000001</v>
      </c>
      <c r="I572">
        <v>1.7916666670000001</v>
      </c>
      <c r="J572">
        <v>4485.4433330000002</v>
      </c>
      <c r="K572">
        <v>3918.9375</v>
      </c>
      <c r="L572">
        <v>5158.9166670000004</v>
      </c>
      <c r="M572">
        <v>16.877500000000001</v>
      </c>
      <c r="N572">
        <v>15.664999999999999</v>
      </c>
      <c r="O572">
        <v>18.394166670000001</v>
      </c>
      <c r="Q572" t="s">
        <v>340</v>
      </c>
      <c r="R572" t="s">
        <v>9773</v>
      </c>
      <c r="S572" t="s">
        <v>9065</v>
      </c>
      <c r="T572" t="s">
        <v>9066</v>
      </c>
    </row>
    <row r="573" spans="1:20" x14ac:dyDescent="0.25">
      <c r="A573" t="s">
        <v>9774</v>
      </c>
      <c r="B573">
        <v>-16.350000000000001</v>
      </c>
      <c r="C573">
        <v>527.5</v>
      </c>
      <c r="D573">
        <v>26.045833330000001</v>
      </c>
      <c r="E573">
        <v>22.614999999999998</v>
      </c>
      <c r="F573">
        <v>29.451666670000002</v>
      </c>
      <c r="G573">
        <v>0.366666667</v>
      </c>
      <c r="H573">
        <v>0.15833333299999999</v>
      </c>
      <c r="I573">
        <v>0.44166666700000001</v>
      </c>
      <c r="J573">
        <v>5465.4724999999999</v>
      </c>
      <c r="K573">
        <v>5008.8333329999996</v>
      </c>
      <c r="L573">
        <v>6092.7708329999996</v>
      </c>
      <c r="M573">
        <v>17.71166667</v>
      </c>
      <c r="N573">
        <v>16.4725</v>
      </c>
      <c r="O573">
        <v>19.241666670000001</v>
      </c>
      <c r="Q573" t="s">
        <v>340</v>
      </c>
      <c r="R573" t="s">
        <v>9773</v>
      </c>
      <c r="S573" t="s">
        <v>9058</v>
      </c>
      <c r="T573" t="s">
        <v>9061</v>
      </c>
    </row>
    <row r="574" spans="1:20" x14ac:dyDescent="0.25">
      <c r="A574" t="s">
        <v>7298</v>
      </c>
      <c r="B574">
        <v>-17.18</v>
      </c>
      <c r="C574">
        <v>585</v>
      </c>
      <c r="D574">
        <v>24.032499999999999</v>
      </c>
      <c r="E574">
        <v>21.321666669999999</v>
      </c>
      <c r="F574">
        <v>26.81666667</v>
      </c>
      <c r="G574">
        <v>2.6316666670000002</v>
      </c>
      <c r="H574">
        <v>1.6233333329999999</v>
      </c>
      <c r="I574">
        <v>3.4616666669999998</v>
      </c>
      <c r="J574">
        <v>5214.4875000000002</v>
      </c>
      <c r="K574">
        <v>4412.25</v>
      </c>
      <c r="L574">
        <v>6196.8958329999996</v>
      </c>
      <c r="M574">
        <v>17.997499999999999</v>
      </c>
      <c r="N574">
        <v>16.67166667</v>
      </c>
      <c r="O574">
        <v>19.672499999999999</v>
      </c>
      <c r="Q574" t="s">
        <v>340</v>
      </c>
      <c r="R574" t="s">
        <v>9775</v>
      </c>
      <c r="S574" t="s">
        <v>9065</v>
      </c>
      <c r="T574" t="s">
        <v>9066</v>
      </c>
    </row>
    <row r="575" spans="1:20" x14ac:dyDescent="0.25">
      <c r="A575" t="s">
        <v>7318</v>
      </c>
      <c r="B575">
        <v>-11.26</v>
      </c>
      <c r="C575">
        <v>260</v>
      </c>
      <c r="D575">
        <v>25.888333329999998</v>
      </c>
      <c r="E575">
        <v>22.48</v>
      </c>
      <c r="F575">
        <v>29.431666669999998</v>
      </c>
      <c r="G575">
        <v>1.0858333330000001</v>
      </c>
      <c r="H575">
        <v>0.141666667</v>
      </c>
      <c r="I575">
        <v>1.7616666670000001</v>
      </c>
      <c r="J575">
        <v>4857.0616669999999</v>
      </c>
      <c r="K575">
        <v>4253.3333329999996</v>
      </c>
      <c r="L575">
        <v>5614.6875</v>
      </c>
      <c r="M575">
        <v>20.114166669999999</v>
      </c>
      <c r="N575">
        <v>19.172499999999999</v>
      </c>
      <c r="O575">
        <v>21.35166667</v>
      </c>
      <c r="Q575" t="s">
        <v>340</v>
      </c>
      <c r="R575" t="s">
        <v>9776</v>
      </c>
      <c r="S575" t="s">
        <v>9065</v>
      </c>
      <c r="T575" t="s">
        <v>9066</v>
      </c>
    </row>
    <row r="576" spans="1:20" x14ac:dyDescent="0.25">
      <c r="A576" t="s">
        <v>9777</v>
      </c>
      <c r="B576">
        <v>-11.28</v>
      </c>
      <c r="C576">
        <v>261.5</v>
      </c>
      <c r="D576">
        <v>25.97</v>
      </c>
      <c r="E576">
        <v>22.770833329999999</v>
      </c>
      <c r="F576">
        <v>29.16</v>
      </c>
      <c r="G576">
        <v>0.94583333300000005</v>
      </c>
      <c r="H576">
        <v>0.27500000000000002</v>
      </c>
      <c r="I576">
        <v>1.325</v>
      </c>
      <c r="J576">
        <v>5240.6558329999998</v>
      </c>
      <c r="K576">
        <v>4825.3958329999996</v>
      </c>
      <c r="L576">
        <v>5777.5833329999996</v>
      </c>
      <c r="M576">
        <v>20.37833333</v>
      </c>
      <c r="N576">
        <v>19.399999999999999</v>
      </c>
      <c r="O576">
        <v>21.443333330000002</v>
      </c>
      <c r="Q576" t="s">
        <v>340</v>
      </c>
      <c r="R576" t="s">
        <v>9776</v>
      </c>
      <c r="S576" t="s">
        <v>9058</v>
      </c>
      <c r="T576" t="s">
        <v>9061</v>
      </c>
    </row>
    <row r="577" spans="1:20" x14ac:dyDescent="0.25">
      <c r="A577" t="s">
        <v>7328</v>
      </c>
      <c r="B577">
        <v>-11.38</v>
      </c>
      <c r="C577">
        <v>200</v>
      </c>
      <c r="D577">
        <v>24.842500000000001</v>
      </c>
      <c r="E577">
        <v>22.188333329999999</v>
      </c>
      <c r="F577">
        <v>27.521666669999998</v>
      </c>
      <c r="G577">
        <v>1.075</v>
      </c>
      <c r="H577">
        <v>8.3333330000000001E-3</v>
      </c>
      <c r="I577">
        <v>1.9183333330000001</v>
      </c>
      <c r="J577">
        <v>4650.7775000000001</v>
      </c>
      <c r="K577">
        <v>4077.8125</v>
      </c>
      <c r="L577">
        <v>5367.2083329999996</v>
      </c>
      <c r="M577">
        <v>20.552499999999998</v>
      </c>
      <c r="N577">
        <v>19.798333329999998</v>
      </c>
      <c r="O577">
        <v>21.45</v>
      </c>
      <c r="Q577" t="s">
        <v>340</v>
      </c>
      <c r="R577" t="s">
        <v>9778</v>
      </c>
      <c r="S577" t="s">
        <v>9065</v>
      </c>
      <c r="T577" t="s">
        <v>9066</v>
      </c>
    </row>
    <row r="578" spans="1:20" x14ac:dyDescent="0.25">
      <c r="A578" t="s">
        <v>9779</v>
      </c>
      <c r="B578">
        <v>-11.38</v>
      </c>
      <c r="C578">
        <v>375.5</v>
      </c>
      <c r="D578">
        <v>25.085000000000001</v>
      </c>
      <c r="E578">
        <v>22.24666667</v>
      </c>
      <c r="F578">
        <v>27.926666669999999</v>
      </c>
      <c r="G578">
        <v>0.97250000000000003</v>
      </c>
      <c r="H578">
        <v>0.16666666699999999</v>
      </c>
      <c r="I578">
        <v>1.641666667</v>
      </c>
      <c r="J578">
        <v>5100.5866669999996</v>
      </c>
      <c r="K578">
        <v>4642.1458329999996</v>
      </c>
      <c r="L578">
        <v>5733.9583329999996</v>
      </c>
      <c r="M578">
        <v>20.159166670000001</v>
      </c>
      <c r="N578">
        <v>19.041666670000001</v>
      </c>
      <c r="O578">
        <v>21.276666670000001</v>
      </c>
      <c r="Q578" t="s">
        <v>340</v>
      </c>
      <c r="R578" t="s">
        <v>9778</v>
      </c>
      <c r="S578" t="s">
        <v>9058</v>
      </c>
      <c r="T578" t="s">
        <v>9061</v>
      </c>
    </row>
    <row r="579" spans="1:20" x14ac:dyDescent="0.25">
      <c r="A579" t="s">
        <v>9780</v>
      </c>
      <c r="B579">
        <v>-10.25</v>
      </c>
      <c r="C579">
        <v>285</v>
      </c>
      <c r="D579">
        <v>24.178333330000001</v>
      </c>
      <c r="E579">
        <v>20.524999999999999</v>
      </c>
      <c r="F579">
        <v>27.64</v>
      </c>
      <c r="G579">
        <v>0.77583333300000001</v>
      </c>
      <c r="H579">
        <v>2.5000000000000001E-2</v>
      </c>
      <c r="I579">
        <v>1.4</v>
      </c>
      <c r="J579">
        <v>5452.8883329999999</v>
      </c>
      <c r="K579">
        <v>4913.875</v>
      </c>
      <c r="L579">
        <v>6149.0625</v>
      </c>
      <c r="M579">
        <v>20.52416667</v>
      </c>
      <c r="N579">
        <v>19.373333330000001</v>
      </c>
      <c r="O579">
        <v>21.92</v>
      </c>
      <c r="Q579" t="s">
        <v>340</v>
      </c>
      <c r="R579" t="s">
        <v>9781</v>
      </c>
      <c r="S579" t="s">
        <v>9058</v>
      </c>
      <c r="T579" t="s">
        <v>9059</v>
      </c>
    </row>
    <row r="580" spans="1:20" x14ac:dyDescent="0.25">
      <c r="A580" t="s">
        <v>7348</v>
      </c>
      <c r="B580">
        <v>-13.04</v>
      </c>
      <c r="C580">
        <v>353</v>
      </c>
      <c r="D580">
        <v>26.33583333</v>
      </c>
      <c r="E580">
        <v>22.90666667</v>
      </c>
      <c r="F580">
        <v>29.786666669999999</v>
      </c>
      <c r="G580">
        <v>1.4466666669999999</v>
      </c>
      <c r="H580">
        <v>0.33333333300000001</v>
      </c>
      <c r="I580">
        <v>2.3016666670000001</v>
      </c>
      <c r="J580">
        <v>4538.2816670000002</v>
      </c>
      <c r="K580">
        <v>4019.145833</v>
      </c>
      <c r="L580">
        <v>5232.75</v>
      </c>
      <c r="M580">
        <v>21.279166669999999</v>
      </c>
      <c r="N580">
        <v>20.239999999999998</v>
      </c>
      <c r="O580">
        <v>22.327500000000001</v>
      </c>
      <c r="Q580" t="s">
        <v>340</v>
      </c>
      <c r="R580" t="s">
        <v>9782</v>
      </c>
      <c r="S580" t="s">
        <v>9065</v>
      </c>
      <c r="T580" t="s">
        <v>9066</v>
      </c>
    </row>
    <row r="581" spans="1:20" x14ac:dyDescent="0.25">
      <c r="A581" t="s">
        <v>9783</v>
      </c>
      <c r="B581">
        <v>-13.03</v>
      </c>
      <c r="C581">
        <v>354.5</v>
      </c>
      <c r="D581">
        <v>25.25</v>
      </c>
      <c r="E581">
        <v>21.824999999999999</v>
      </c>
      <c r="F581">
        <v>28.95</v>
      </c>
      <c r="G581">
        <v>0.491666667</v>
      </c>
      <c r="H581">
        <v>4.1666666999999998E-2</v>
      </c>
      <c r="I581">
        <v>0.61833333300000004</v>
      </c>
      <c r="J581">
        <v>5207.4808329999996</v>
      </c>
      <c r="K581">
        <v>4616.8125</v>
      </c>
      <c r="L581">
        <v>5895.375</v>
      </c>
      <c r="M581">
        <v>19.126666669999999</v>
      </c>
      <c r="N581">
        <v>18.014166670000002</v>
      </c>
      <c r="O581">
        <v>20.423333329999998</v>
      </c>
      <c r="Q581" t="s">
        <v>340</v>
      </c>
      <c r="R581" t="s">
        <v>9782</v>
      </c>
      <c r="S581" t="s">
        <v>9058</v>
      </c>
      <c r="T581" t="s">
        <v>9061</v>
      </c>
    </row>
    <row r="582" spans="1:20" x14ac:dyDescent="0.25">
      <c r="A582" t="s">
        <v>9784</v>
      </c>
      <c r="B582">
        <v>-14.7</v>
      </c>
      <c r="C582">
        <v>315</v>
      </c>
      <c r="D582">
        <v>26.177499999999998</v>
      </c>
      <c r="E582">
        <v>22.981666669999999</v>
      </c>
      <c r="F582">
        <v>29.313333329999999</v>
      </c>
      <c r="G582">
        <v>1.1166666670000001</v>
      </c>
      <c r="H582">
        <v>0.181666667</v>
      </c>
      <c r="I582">
        <v>1.67</v>
      </c>
      <c r="J582">
        <v>5731.7558330000002</v>
      </c>
      <c r="K582">
        <v>5318.4166670000004</v>
      </c>
      <c r="L582">
        <v>6365.6875</v>
      </c>
      <c r="M582">
        <v>20.799166670000002</v>
      </c>
      <c r="N582">
        <v>19.774999999999999</v>
      </c>
      <c r="O582">
        <v>21.94166667</v>
      </c>
      <c r="Q582" t="s">
        <v>340</v>
      </c>
      <c r="R582" t="s">
        <v>9785</v>
      </c>
      <c r="S582" t="s">
        <v>9058</v>
      </c>
      <c r="T582" t="s">
        <v>9059</v>
      </c>
    </row>
    <row r="583" spans="1:20" x14ac:dyDescent="0.25">
      <c r="A583" t="s">
        <v>9786</v>
      </c>
      <c r="B583">
        <v>-14.7</v>
      </c>
      <c r="C583">
        <v>315</v>
      </c>
      <c r="D583">
        <v>25.9025</v>
      </c>
      <c r="E583">
        <v>23.14833333</v>
      </c>
      <c r="F583">
        <v>28.32833333</v>
      </c>
      <c r="G583">
        <v>1.3049999999999999</v>
      </c>
      <c r="H583">
        <v>0.26666666700000002</v>
      </c>
      <c r="I583">
        <v>1.9083333330000001</v>
      </c>
      <c r="J583">
        <v>5374.0941670000002</v>
      </c>
      <c r="K583">
        <v>4918.7291670000004</v>
      </c>
      <c r="L583">
        <v>5973.8541670000004</v>
      </c>
      <c r="M583">
        <v>20.125833329999999</v>
      </c>
      <c r="N583">
        <v>19.033333330000001</v>
      </c>
      <c r="O583">
        <v>21.353333330000002</v>
      </c>
      <c r="Q583" t="s">
        <v>340</v>
      </c>
      <c r="R583" t="s">
        <v>9785</v>
      </c>
      <c r="S583" t="s">
        <v>9058</v>
      </c>
      <c r="T583" t="s">
        <v>9061</v>
      </c>
    </row>
    <row r="584" spans="1:20" x14ac:dyDescent="0.25">
      <c r="A584" t="s">
        <v>7336</v>
      </c>
      <c r="B584">
        <v>-12.52</v>
      </c>
      <c r="C584">
        <v>431</v>
      </c>
      <c r="D584">
        <v>24.765000000000001</v>
      </c>
      <c r="E584">
        <v>21.938333329999999</v>
      </c>
      <c r="F584">
        <v>27.728333330000002</v>
      </c>
      <c r="G584">
        <v>2.5833333330000001</v>
      </c>
      <c r="H584">
        <v>1.691666667</v>
      </c>
      <c r="I584">
        <v>3.3</v>
      </c>
      <c r="J584">
        <v>5082.8983330000001</v>
      </c>
      <c r="K584">
        <v>4464.8958329999996</v>
      </c>
      <c r="L584">
        <v>5796.0833329999996</v>
      </c>
      <c r="M584">
        <v>18.493333329999999</v>
      </c>
      <c r="N584">
        <v>17.438333329999999</v>
      </c>
      <c r="O584">
        <v>19.771666669999998</v>
      </c>
      <c r="Q584" t="s">
        <v>340</v>
      </c>
      <c r="R584" t="s">
        <v>9787</v>
      </c>
      <c r="S584" t="s">
        <v>9065</v>
      </c>
      <c r="T584" t="s">
        <v>9066</v>
      </c>
    </row>
    <row r="585" spans="1:20" x14ac:dyDescent="0.25">
      <c r="A585" t="s">
        <v>9788</v>
      </c>
      <c r="B585">
        <v>-12.52</v>
      </c>
      <c r="C585">
        <v>432.5</v>
      </c>
      <c r="D585">
        <v>25.420833330000001</v>
      </c>
      <c r="E585">
        <v>22.675000000000001</v>
      </c>
      <c r="F585">
        <v>28.251666669999999</v>
      </c>
      <c r="G585">
        <v>1.2416666670000001</v>
      </c>
      <c r="H585">
        <v>0.6</v>
      </c>
      <c r="I585">
        <v>1.675</v>
      </c>
      <c r="J585">
        <v>5174.1208329999999</v>
      </c>
      <c r="K585">
        <v>4701.1875</v>
      </c>
      <c r="L585">
        <v>5875.1666670000004</v>
      </c>
      <c r="M585">
        <v>19.862500000000001</v>
      </c>
      <c r="N585">
        <v>18.633333329999999</v>
      </c>
      <c r="O585">
        <v>21.176666669999999</v>
      </c>
      <c r="Q585" t="s">
        <v>340</v>
      </c>
      <c r="R585" t="s">
        <v>9787</v>
      </c>
      <c r="S585" t="s">
        <v>9058</v>
      </c>
      <c r="T585" t="s">
        <v>9061</v>
      </c>
    </row>
    <row r="586" spans="1:20" x14ac:dyDescent="0.25">
      <c r="A586" t="s">
        <v>7372</v>
      </c>
      <c r="B586">
        <v>-14.43</v>
      </c>
      <c r="C586">
        <v>474</v>
      </c>
      <c r="D586">
        <v>24.454999999999998</v>
      </c>
      <c r="E586">
        <v>20.925000000000001</v>
      </c>
      <c r="F586">
        <v>28.21833333</v>
      </c>
      <c r="G586">
        <v>1.8241666670000001</v>
      </c>
      <c r="H586">
        <v>0.63333333300000005</v>
      </c>
      <c r="I586">
        <v>2.72</v>
      </c>
      <c r="J586">
        <v>5367.7966669999996</v>
      </c>
      <c r="K586">
        <v>4708.125</v>
      </c>
      <c r="L586">
        <v>6132.2916670000004</v>
      </c>
      <c r="M586">
        <v>17.381666670000001</v>
      </c>
      <c r="N586">
        <v>16.225000000000001</v>
      </c>
      <c r="O586">
        <v>18.80833333</v>
      </c>
      <c r="Q586" t="s">
        <v>340</v>
      </c>
      <c r="R586" t="s">
        <v>9789</v>
      </c>
      <c r="S586" t="s">
        <v>9065</v>
      </c>
      <c r="T586" t="s">
        <v>9066</v>
      </c>
    </row>
    <row r="587" spans="1:20" x14ac:dyDescent="0.25">
      <c r="A587" t="s">
        <v>9790</v>
      </c>
      <c r="B587">
        <v>-14.42</v>
      </c>
      <c r="C587">
        <v>475.5</v>
      </c>
      <c r="D587">
        <v>24.965833329999999</v>
      </c>
      <c r="E587">
        <v>21.893333330000001</v>
      </c>
      <c r="F587">
        <v>27.989166669999999</v>
      </c>
      <c r="G587">
        <v>1.599166667</v>
      </c>
      <c r="H587">
        <v>1.0233333330000001</v>
      </c>
      <c r="I587">
        <v>2.068333333</v>
      </c>
      <c r="J587">
        <v>5500.7591670000002</v>
      </c>
      <c r="K587">
        <v>4928.0416670000004</v>
      </c>
      <c r="L587">
        <v>6207.3333329999996</v>
      </c>
      <c r="M587">
        <v>19.008333329999999</v>
      </c>
      <c r="N587">
        <v>17.64</v>
      </c>
      <c r="O587">
        <v>20.408333330000001</v>
      </c>
      <c r="Q587" t="s">
        <v>340</v>
      </c>
      <c r="R587" t="s">
        <v>9789</v>
      </c>
      <c r="S587" t="s">
        <v>9058</v>
      </c>
      <c r="T587" t="s">
        <v>9061</v>
      </c>
    </row>
    <row r="588" spans="1:20" x14ac:dyDescent="0.25">
      <c r="A588" t="s">
        <v>7338</v>
      </c>
      <c r="B588">
        <v>-15.25</v>
      </c>
      <c r="C588">
        <v>256</v>
      </c>
      <c r="D588">
        <v>25.33666667</v>
      </c>
      <c r="E588">
        <v>22.331666670000001</v>
      </c>
      <c r="F588">
        <v>28.313333329999999</v>
      </c>
      <c r="G588">
        <v>1.3141666670000001</v>
      </c>
      <c r="H588">
        <v>0.3</v>
      </c>
      <c r="I588">
        <v>2.0433333330000001</v>
      </c>
      <c r="J588">
        <v>4915.26</v>
      </c>
      <c r="K588">
        <v>4364.5833329999996</v>
      </c>
      <c r="L588">
        <v>5778.3125</v>
      </c>
      <c r="M588">
        <v>19.911666669999999</v>
      </c>
      <c r="N588">
        <v>18.91333333</v>
      </c>
      <c r="O588">
        <v>21.326666670000002</v>
      </c>
      <c r="Q588" t="s">
        <v>340</v>
      </c>
      <c r="R588" t="s">
        <v>9791</v>
      </c>
      <c r="S588" t="s">
        <v>9065</v>
      </c>
      <c r="T588" t="s">
        <v>9066</v>
      </c>
    </row>
    <row r="589" spans="1:20" x14ac:dyDescent="0.25">
      <c r="A589" t="s">
        <v>7314</v>
      </c>
      <c r="B589">
        <v>-15.32</v>
      </c>
      <c r="C589">
        <v>145</v>
      </c>
      <c r="D589">
        <v>25.39833333</v>
      </c>
      <c r="E589">
        <v>21.833333329999999</v>
      </c>
      <c r="F589">
        <v>28.952500000000001</v>
      </c>
      <c r="G589">
        <v>1.0858333330000001</v>
      </c>
      <c r="H589">
        <v>0.116666667</v>
      </c>
      <c r="I589">
        <v>1.7416666670000001</v>
      </c>
      <c r="J589">
        <v>5063.5058330000002</v>
      </c>
      <c r="K589">
        <v>4440.6041670000004</v>
      </c>
      <c r="L589">
        <v>5764.3333329999996</v>
      </c>
      <c r="M589">
        <v>19.783333330000001</v>
      </c>
      <c r="N589">
        <v>18.274999999999999</v>
      </c>
      <c r="O589">
        <v>21.57</v>
      </c>
      <c r="Q589" t="s">
        <v>340</v>
      </c>
      <c r="R589" t="s">
        <v>9792</v>
      </c>
      <c r="S589" t="s">
        <v>9065</v>
      </c>
      <c r="T589" t="s">
        <v>9066</v>
      </c>
    </row>
    <row r="590" spans="1:20" x14ac:dyDescent="0.25">
      <c r="A590" t="s">
        <v>9793</v>
      </c>
      <c r="B590">
        <v>-15.32</v>
      </c>
      <c r="C590">
        <v>146.5</v>
      </c>
      <c r="D590">
        <v>25.952500000000001</v>
      </c>
      <c r="E590">
        <v>22.706666670000001</v>
      </c>
      <c r="F590">
        <v>28.893333330000001</v>
      </c>
      <c r="G590">
        <v>1.118333333</v>
      </c>
      <c r="H590">
        <v>0.41666666699999999</v>
      </c>
      <c r="I590">
        <v>1.610833333</v>
      </c>
      <c r="J590">
        <v>5346.794167</v>
      </c>
      <c r="K590">
        <v>4880.2916670000004</v>
      </c>
      <c r="L590">
        <v>6030.1458329999996</v>
      </c>
      <c r="M590">
        <v>20.765000000000001</v>
      </c>
      <c r="N590">
        <v>19.55833333</v>
      </c>
      <c r="O590">
        <v>22.143333330000001</v>
      </c>
      <c r="Q590" t="s">
        <v>340</v>
      </c>
      <c r="R590" t="s">
        <v>9792</v>
      </c>
      <c r="S590" t="s">
        <v>9058</v>
      </c>
      <c r="T590" t="s">
        <v>9061</v>
      </c>
    </row>
    <row r="591" spans="1:20" x14ac:dyDescent="0.25">
      <c r="A591" t="s">
        <v>9794</v>
      </c>
      <c r="B591">
        <v>-15.83</v>
      </c>
      <c r="C591">
        <v>450</v>
      </c>
      <c r="D591">
        <v>22.866666670000001</v>
      </c>
      <c r="E591">
        <v>18.771666669999998</v>
      </c>
      <c r="F591">
        <v>26.905000000000001</v>
      </c>
      <c r="G591">
        <v>1.2608333329999999</v>
      </c>
      <c r="H591">
        <v>0.3</v>
      </c>
      <c r="I591">
        <v>2.0583333330000002</v>
      </c>
      <c r="J591">
        <v>5369.8558329999996</v>
      </c>
      <c r="K591">
        <v>4842.1041670000004</v>
      </c>
      <c r="L591">
        <v>6131.2291670000004</v>
      </c>
      <c r="M591">
        <v>18.653333329999999</v>
      </c>
      <c r="N591">
        <v>17.015000000000001</v>
      </c>
      <c r="O591">
        <v>20.71833333</v>
      </c>
      <c r="Q591" t="s">
        <v>340</v>
      </c>
      <c r="R591" t="s">
        <v>9795</v>
      </c>
      <c r="S591" t="s">
        <v>9058</v>
      </c>
      <c r="T591" t="s">
        <v>9059</v>
      </c>
    </row>
    <row r="592" spans="1:20" x14ac:dyDescent="0.25">
      <c r="A592" t="s">
        <v>9796</v>
      </c>
      <c r="B592">
        <v>-15.83</v>
      </c>
      <c r="C592">
        <v>450</v>
      </c>
      <c r="D592">
        <v>25.11</v>
      </c>
      <c r="E592">
        <v>22.05</v>
      </c>
      <c r="F592">
        <v>27.798333329999998</v>
      </c>
      <c r="G592">
        <v>1.4675</v>
      </c>
      <c r="H592">
        <v>0.70833333300000001</v>
      </c>
      <c r="I592">
        <v>2.1133333329999999</v>
      </c>
      <c r="J592">
        <v>5344.7025000000003</v>
      </c>
      <c r="K592">
        <v>4858.25</v>
      </c>
      <c r="L592">
        <v>6069.25</v>
      </c>
      <c r="M592">
        <v>19.26583333</v>
      </c>
      <c r="N592">
        <v>18.080833330000001</v>
      </c>
      <c r="O592">
        <v>20.493333329999999</v>
      </c>
      <c r="Q592" t="s">
        <v>340</v>
      </c>
      <c r="R592" t="s">
        <v>9795</v>
      </c>
      <c r="S592" t="s">
        <v>9058</v>
      </c>
      <c r="T592" t="s">
        <v>9061</v>
      </c>
    </row>
    <row r="593" spans="1:20" x14ac:dyDescent="0.25">
      <c r="A593" t="s">
        <v>7317</v>
      </c>
      <c r="B593">
        <v>-12.63</v>
      </c>
      <c r="C593">
        <v>382</v>
      </c>
      <c r="D593">
        <v>25.0275</v>
      </c>
      <c r="E593">
        <v>21.85</v>
      </c>
      <c r="F593">
        <v>28.37</v>
      </c>
      <c r="G593">
        <v>1.2808333329999999</v>
      </c>
      <c r="H593">
        <v>0.16666666699999999</v>
      </c>
      <c r="I593">
        <v>2.0099999999999998</v>
      </c>
      <c r="J593">
        <v>5106.6949999999997</v>
      </c>
      <c r="K593">
        <v>4547.5416670000004</v>
      </c>
      <c r="L593">
        <v>5906.3333329999996</v>
      </c>
      <c r="M593">
        <v>19.965</v>
      </c>
      <c r="N593">
        <v>19.114999999999998</v>
      </c>
      <c r="O593">
        <v>21.085000000000001</v>
      </c>
      <c r="Q593" t="s">
        <v>340</v>
      </c>
      <c r="R593" t="s">
        <v>9797</v>
      </c>
      <c r="S593" t="s">
        <v>9065</v>
      </c>
      <c r="T593" t="s">
        <v>9066</v>
      </c>
    </row>
    <row r="594" spans="1:20" x14ac:dyDescent="0.25">
      <c r="A594" t="s">
        <v>9798</v>
      </c>
      <c r="B594">
        <v>-12.63</v>
      </c>
      <c r="C594">
        <v>383.5</v>
      </c>
      <c r="D594">
        <v>25.776666670000001</v>
      </c>
      <c r="E594">
        <v>22.33</v>
      </c>
      <c r="F594">
        <v>29.27333333</v>
      </c>
      <c r="G594">
        <v>1.356666667</v>
      </c>
      <c r="H594">
        <v>0.60666666700000005</v>
      </c>
      <c r="I594">
        <v>1.9683333329999999</v>
      </c>
      <c r="J594">
        <v>5437.6808330000003</v>
      </c>
      <c r="K594">
        <v>4907.1666670000004</v>
      </c>
      <c r="L594">
        <v>6158.1875</v>
      </c>
      <c r="M594">
        <v>19.66</v>
      </c>
      <c r="N594">
        <v>18.313333329999999</v>
      </c>
      <c r="O594">
        <v>21.176666669999999</v>
      </c>
      <c r="Q594" t="s">
        <v>340</v>
      </c>
      <c r="R594" t="s">
        <v>9797</v>
      </c>
      <c r="S594" t="s">
        <v>9058</v>
      </c>
      <c r="T594" t="s">
        <v>9061</v>
      </c>
    </row>
    <row r="595" spans="1:20" x14ac:dyDescent="0.25">
      <c r="A595" t="s">
        <v>7349</v>
      </c>
      <c r="B595">
        <v>-16.47</v>
      </c>
      <c r="C595">
        <v>284</v>
      </c>
      <c r="D595">
        <v>25.490833330000001</v>
      </c>
      <c r="E595">
        <v>22.091666669999999</v>
      </c>
      <c r="F595">
        <v>28.841666669999999</v>
      </c>
      <c r="G595">
        <v>2.21</v>
      </c>
      <c r="H595">
        <v>1.4</v>
      </c>
      <c r="I595">
        <v>2.8216666670000001</v>
      </c>
      <c r="J595">
        <v>5055.1141669999997</v>
      </c>
      <c r="K595">
        <v>4519.0833329999996</v>
      </c>
      <c r="L595">
        <v>5768.5416670000004</v>
      </c>
      <c r="M595">
        <v>18.545000000000002</v>
      </c>
      <c r="N595">
        <v>17.14833333</v>
      </c>
      <c r="O595">
        <v>20.126666669999999</v>
      </c>
      <c r="Q595" t="s">
        <v>340</v>
      </c>
      <c r="R595" t="s">
        <v>9799</v>
      </c>
      <c r="S595" t="s">
        <v>9065</v>
      </c>
      <c r="T595" t="s">
        <v>9066</v>
      </c>
    </row>
    <row r="596" spans="1:20" x14ac:dyDescent="0.25">
      <c r="A596" t="s">
        <v>9800</v>
      </c>
      <c r="B596">
        <v>-16.45</v>
      </c>
      <c r="C596">
        <v>285.5</v>
      </c>
      <c r="D596">
        <v>25.864999999999998</v>
      </c>
      <c r="E596">
        <v>22.29</v>
      </c>
      <c r="F596">
        <v>29.301666669999999</v>
      </c>
      <c r="G596">
        <v>1.3474999999999999</v>
      </c>
      <c r="H596">
        <v>0.63333333300000005</v>
      </c>
      <c r="I596">
        <v>1.8516666669999999</v>
      </c>
      <c r="J596">
        <v>5536.4224999999997</v>
      </c>
      <c r="K596">
        <v>5183.8541670000004</v>
      </c>
      <c r="L596">
        <v>6170.7083329999996</v>
      </c>
      <c r="M596">
        <v>18.285833329999999</v>
      </c>
      <c r="N596">
        <v>16.929166670000001</v>
      </c>
      <c r="O596">
        <v>19.824999999999999</v>
      </c>
      <c r="Q596" t="s">
        <v>340</v>
      </c>
      <c r="R596" t="s">
        <v>9799</v>
      </c>
      <c r="S596" t="s">
        <v>9058</v>
      </c>
      <c r="T596" t="s">
        <v>9061</v>
      </c>
    </row>
    <row r="597" spans="1:20" x14ac:dyDescent="0.25">
      <c r="A597" t="s">
        <v>7311</v>
      </c>
      <c r="B597">
        <v>-15.12</v>
      </c>
      <c r="C597">
        <v>303</v>
      </c>
      <c r="D597">
        <v>24.56666667</v>
      </c>
      <c r="E597">
        <v>21.463333330000001</v>
      </c>
      <c r="F597">
        <v>27.655000000000001</v>
      </c>
      <c r="G597">
        <v>1.630833333</v>
      </c>
      <c r="H597">
        <v>0.88333333300000005</v>
      </c>
      <c r="I597">
        <v>2.266666667</v>
      </c>
      <c r="J597">
        <v>4653.3858330000003</v>
      </c>
      <c r="K597">
        <v>4004.354167</v>
      </c>
      <c r="L597">
        <v>5607.9583329999996</v>
      </c>
      <c r="M597">
        <v>19.75</v>
      </c>
      <c r="N597">
        <v>18.64</v>
      </c>
      <c r="O597">
        <v>21.135000000000002</v>
      </c>
      <c r="Q597" t="s">
        <v>340</v>
      </c>
      <c r="R597" t="s">
        <v>9801</v>
      </c>
      <c r="S597" t="s">
        <v>9065</v>
      </c>
      <c r="T597" t="s">
        <v>9066</v>
      </c>
    </row>
    <row r="598" spans="1:20" x14ac:dyDescent="0.25">
      <c r="A598" t="s">
        <v>9802</v>
      </c>
      <c r="B598">
        <v>-15.12</v>
      </c>
      <c r="C598">
        <v>304.5</v>
      </c>
      <c r="D598">
        <v>25.04</v>
      </c>
      <c r="E598">
        <v>21.62833333</v>
      </c>
      <c r="F598">
        <v>28.283333330000001</v>
      </c>
      <c r="G598">
        <v>1.3033333330000001</v>
      </c>
      <c r="H598">
        <v>0.54</v>
      </c>
      <c r="I598">
        <v>1.92</v>
      </c>
      <c r="J598">
        <v>5227.2691670000004</v>
      </c>
      <c r="K598">
        <v>4808.7291670000004</v>
      </c>
      <c r="L598">
        <v>5873.75</v>
      </c>
      <c r="M598">
        <v>19.381666670000001</v>
      </c>
      <c r="N598">
        <v>17.856666669999999</v>
      </c>
      <c r="O598">
        <v>20.776666670000001</v>
      </c>
      <c r="Q598" t="s">
        <v>340</v>
      </c>
      <c r="R598" t="s">
        <v>9801</v>
      </c>
      <c r="S598" t="s">
        <v>9058</v>
      </c>
      <c r="T598" t="s">
        <v>9061</v>
      </c>
    </row>
    <row r="599" spans="1:20" x14ac:dyDescent="0.25">
      <c r="A599" t="s">
        <v>7319</v>
      </c>
      <c r="B599">
        <v>-14.93</v>
      </c>
      <c r="C599">
        <v>648</v>
      </c>
      <c r="D599">
        <v>23.68</v>
      </c>
      <c r="E599">
        <v>20.723333329999999</v>
      </c>
      <c r="F599">
        <v>26.83</v>
      </c>
      <c r="G599">
        <v>2.545833333</v>
      </c>
      <c r="H599">
        <v>1.5333333330000001</v>
      </c>
      <c r="I599">
        <v>3.3933333330000002</v>
      </c>
      <c r="J599">
        <v>5342.6575000000003</v>
      </c>
      <c r="K599">
        <v>4548.625</v>
      </c>
      <c r="L599">
        <v>6278.4375</v>
      </c>
      <c r="M599">
        <v>17.823333330000001</v>
      </c>
      <c r="N599">
        <v>16.785</v>
      </c>
      <c r="O599">
        <v>19.2</v>
      </c>
      <c r="Q599" t="s">
        <v>340</v>
      </c>
      <c r="R599" t="s">
        <v>9803</v>
      </c>
      <c r="S599" t="s">
        <v>9065</v>
      </c>
      <c r="T599" t="s">
        <v>9066</v>
      </c>
    </row>
    <row r="600" spans="1:20" x14ac:dyDescent="0.25">
      <c r="A600" t="s">
        <v>7305</v>
      </c>
      <c r="B600">
        <v>-11.62</v>
      </c>
      <c r="C600">
        <v>218</v>
      </c>
      <c r="D600">
        <v>26.224166669999999</v>
      </c>
      <c r="E600">
        <v>23.241666670000001</v>
      </c>
      <c r="F600">
        <v>29.318333330000002</v>
      </c>
      <c r="G600">
        <v>1.3658333330000001</v>
      </c>
      <c r="H600">
        <v>0.181666667</v>
      </c>
      <c r="I600">
        <v>2.1183333329999998</v>
      </c>
      <c r="J600">
        <v>5377.9541669999999</v>
      </c>
      <c r="K600">
        <v>4850.75</v>
      </c>
      <c r="L600">
        <v>6057.6666670000004</v>
      </c>
      <c r="M600">
        <v>18.22</v>
      </c>
      <c r="N600">
        <v>16.108333330000001</v>
      </c>
      <c r="O600">
        <v>20.36</v>
      </c>
      <c r="Q600" t="s">
        <v>340</v>
      </c>
      <c r="R600" t="s">
        <v>9804</v>
      </c>
      <c r="S600" t="s">
        <v>9065</v>
      </c>
      <c r="T600" t="s">
        <v>9066</v>
      </c>
    </row>
    <row r="601" spans="1:20" x14ac:dyDescent="0.25">
      <c r="A601" t="s">
        <v>9805</v>
      </c>
      <c r="B601">
        <v>-11.62</v>
      </c>
      <c r="C601">
        <v>219.5</v>
      </c>
      <c r="D601">
        <v>27.32</v>
      </c>
      <c r="E601">
        <v>24.081666670000001</v>
      </c>
      <c r="F601">
        <v>30.709166669999998</v>
      </c>
      <c r="G601">
        <v>1.400833333</v>
      </c>
      <c r="H601">
        <v>0.51666666699999997</v>
      </c>
      <c r="I601">
        <v>2.0083333329999999</v>
      </c>
      <c r="J601">
        <v>5438.4224999999997</v>
      </c>
      <c r="K601">
        <v>4957.1875</v>
      </c>
      <c r="L601">
        <v>6103.7083329999996</v>
      </c>
      <c r="M601">
        <v>13.616666670000001</v>
      </c>
      <c r="N601">
        <v>10.983333330000001</v>
      </c>
      <c r="O601">
        <v>17.286666669999999</v>
      </c>
      <c r="Q601" t="s">
        <v>340</v>
      </c>
      <c r="R601" t="s">
        <v>9804</v>
      </c>
      <c r="S601" t="s">
        <v>9058</v>
      </c>
      <c r="T601" t="s">
        <v>9061</v>
      </c>
    </row>
    <row r="602" spans="1:20" x14ac:dyDescent="0.25">
      <c r="A602" t="s">
        <v>7333</v>
      </c>
      <c r="B602">
        <v>-13.45</v>
      </c>
      <c r="C602">
        <v>350</v>
      </c>
      <c r="D602">
        <v>24.78166667</v>
      </c>
      <c r="E602">
        <v>21.256666670000001</v>
      </c>
      <c r="F602">
        <v>28.6325</v>
      </c>
      <c r="G602">
        <v>1.4875</v>
      </c>
      <c r="H602">
        <v>0.52500000000000002</v>
      </c>
      <c r="I602">
        <v>2.2416666670000001</v>
      </c>
      <c r="J602">
        <v>4531.5941670000002</v>
      </c>
      <c r="K602">
        <v>4003.270833</v>
      </c>
      <c r="L602">
        <v>5223.8125</v>
      </c>
      <c r="M602">
        <v>19.674166670000002</v>
      </c>
      <c r="N602">
        <v>18.383333329999999</v>
      </c>
      <c r="O602">
        <v>21.08583333</v>
      </c>
      <c r="Q602" t="s">
        <v>340</v>
      </c>
      <c r="R602" t="s">
        <v>9806</v>
      </c>
      <c r="S602" t="s">
        <v>9065</v>
      </c>
      <c r="T602" t="s">
        <v>9066</v>
      </c>
    </row>
    <row r="603" spans="1:20" x14ac:dyDescent="0.25">
      <c r="A603" t="s">
        <v>9807</v>
      </c>
      <c r="B603">
        <v>-13.45</v>
      </c>
      <c r="C603">
        <v>351.5</v>
      </c>
      <c r="D603">
        <v>25.145833329999999</v>
      </c>
      <c r="E603">
        <v>21.638333329999998</v>
      </c>
      <c r="F603">
        <v>28.883333329999999</v>
      </c>
      <c r="G603">
        <v>0.99166666699999995</v>
      </c>
      <c r="H603">
        <v>0.40833333300000002</v>
      </c>
      <c r="I603">
        <v>1.3766666670000001</v>
      </c>
      <c r="J603">
        <v>5180.6525000000001</v>
      </c>
      <c r="K603">
        <v>4536.7291670000004</v>
      </c>
      <c r="L603">
        <v>5881.3333329999996</v>
      </c>
      <c r="M603">
        <v>19.52</v>
      </c>
      <c r="N603">
        <v>18.225000000000001</v>
      </c>
      <c r="O603">
        <v>20.983333330000001</v>
      </c>
      <c r="Q603" t="s">
        <v>340</v>
      </c>
      <c r="R603" t="s">
        <v>9806</v>
      </c>
      <c r="S603" t="s">
        <v>9058</v>
      </c>
      <c r="T603" t="s">
        <v>9061</v>
      </c>
    </row>
    <row r="604" spans="1:20" x14ac:dyDescent="0.25">
      <c r="A604" t="s">
        <v>7330</v>
      </c>
      <c r="B604">
        <v>-11.86</v>
      </c>
      <c r="C604">
        <v>371</v>
      </c>
      <c r="D604">
        <v>25.070833329999999</v>
      </c>
      <c r="E604">
        <v>21.91333333</v>
      </c>
      <c r="F604">
        <v>28.45333333</v>
      </c>
      <c r="G604">
        <v>1.97</v>
      </c>
      <c r="H604">
        <v>1.2749999999999999</v>
      </c>
      <c r="I604">
        <v>2.5433333330000001</v>
      </c>
      <c r="J604">
        <v>5180.8850000000002</v>
      </c>
      <c r="K604">
        <v>4633.3958329999996</v>
      </c>
      <c r="L604">
        <v>5915.3125</v>
      </c>
      <c r="M604">
        <v>18.51583333</v>
      </c>
      <c r="N604">
        <v>17.555833329999999</v>
      </c>
      <c r="O604">
        <v>19.72666667</v>
      </c>
      <c r="Q604" t="s">
        <v>340</v>
      </c>
      <c r="R604" t="s">
        <v>9808</v>
      </c>
      <c r="S604" t="s">
        <v>9065</v>
      </c>
      <c r="T604" t="s">
        <v>9066</v>
      </c>
    </row>
    <row r="605" spans="1:20" x14ac:dyDescent="0.25">
      <c r="A605" t="s">
        <v>9809</v>
      </c>
      <c r="B605">
        <v>-11.98</v>
      </c>
      <c r="C605">
        <v>372.5</v>
      </c>
      <c r="D605">
        <v>25.720833330000001</v>
      </c>
      <c r="E605">
        <v>22.36333333</v>
      </c>
      <c r="F605">
        <v>29.195</v>
      </c>
      <c r="G605">
        <v>1.7</v>
      </c>
      <c r="H605">
        <v>1.1000000000000001</v>
      </c>
      <c r="I605">
        <v>2.2183333329999999</v>
      </c>
      <c r="J605">
        <v>5321.0616669999999</v>
      </c>
      <c r="K605">
        <v>4742.6458329999996</v>
      </c>
      <c r="L605">
        <v>6060.1666670000004</v>
      </c>
      <c r="M605">
        <v>19.123333330000001</v>
      </c>
      <c r="N605">
        <v>17.945</v>
      </c>
      <c r="O605">
        <v>20.416666670000001</v>
      </c>
      <c r="Q605" t="s">
        <v>340</v>
      </c>
      <c r="R605" t="s">
        <v>9808</v>
      </c>
      <c r="S605" t="s">
        <v>9058</v>
      </c>
      <c r="T605" t="s">
        <v>9061</v>
      </c>
    </row>
    <row r="606" spans="1:20" x14ac:dyDescent="0.25">
      <c r="A606" t="s">
        <v>7347</v>
      </c>
      <c r="B606">
        <v>-12.55</v>
      </c>
      <c r="C606">
        <v>380</v>
      </c>
      <c r="D606">
        <v>25.362500000000001</v>
      </c>
      <c r="E606">
        <v>22.225000000000001</v>
      </c>
      <c r="F606">
        <v>28.668333329999999</v>
      </c>
      <c r="G606">
        <v>2.2608333329999999</v>
      </c>
      <c r="H606">
        <v>1.365</v>
      </c>
      <c r="I606">
        <v>3.0533333329999999</v>
      </c>
      <c r="J606">
        <v>5181.1016669999999</v>
      </c>
      <c r="K606">
        <v>4633.6041670000004</v>
      </c>
      <c r="L606">
        <v>5916.2291670000004</v>
      </c>
      <c r="M606">
        <v>18.984999999999999</v>
      </c>
      <c r="N606">
        <v>17.98</v>
      </c>
      <c r="O606">
        <v>20.175000000000001</v>
      </c>
      <c r="Q606" t="s">
        <v>340</v>
      </c>
      <c r="R606" t="s">
        <v>9810</v>
      </c>
      <c r="S606" t="s">
        <v>9065</v>
      </c>
      <c r="T606" t="s">
        <v>9066</v>
      </c>
    </row>
    <row r="607" spans="1:20" x14ac:dyDescent="0.25">
      <c r="A607" t="s">
        <v>9811</v>
      </c>
      <c r="B607">
        <v>-12.55</v>
      </c>
      <c r="C607">
        <v>381.5</v>
      </c>
      <c r="D607">
        <v>26.071666669999999</v>
      </c>
      <c r="E607">
        <v>22.824999999999999</v>
      </c>
      <c r="F607">
        <v>29.381666670000001</v>
      </c>
      <c r="G607">
        <v>1.338333333</v>
      </c>
      <c r="H607">
        <v>0.64166666699999997</v>
      </c>
      <c r="I607">
        <v>1.891666667</v>
      </c>
      <c r="J607">
        <v>5367.2691670000004</v>
      </c>
      <c r="K607">
        <v>4851.4791670000004</v>
      </c>
      <c r="L607">
        <v>6016.9583329999996</v>
      </c>
      <c r="M607">
        <v>18.814166669999999</v>
      </c>
      <c r="N607">
        <v>17.897500000000001</v>
      </c>
      <c r="O607">
        <v>19.776666670000001</v>
      </c>
      <c r="Q607" t="s">
        <v>340</v>
      </c>
      <c r="R607" t="s">
        <v>9810</v>
      </c>
      <c r="S607" t="s">
        <v>9058</v>
      </c>
      <c r="T607" t="s">
        <v>9061</v>
      </c>
    </row>
    <row r="608" spans="1:20" x14ac:dyDescent="0.25">
      <c r="A608" t="s">
        <v>7308</v>
      </c>
      <c r="B608">
        <v>-14.62</v>
      </c>
      <c r="C608">
        <v>322</v>
      </c>
      <c r="D608">
        <v>24.625833329999999</v>
      </c>
      <c r="E608">
        <v>21.75</v>
      </c>
      <c r="F608">
        <v>27.695</v>
      </c>
      <c r="G608">
        <v>3.04</v>
      </c>
      <c r="H608">
        <v>2.0550000000000002</v>
      </c>
      <c r="I608">
        <v>3.8858333329999999</v>
      </c>
      <c r="J608">
        <v>4918.165</v>
      </c>
      <c r="K608">
        <v>4376.75</v>
      </c>
      <c r="L608">
        <v>5606.75</v>
      </c>
      <c r="M608">
        <v>18.335000000000001</v>
      </c>
      <c r="N608">
        <v>17.18333333</v>
      </c>
      <c r="O608">
        <v>19.71166667</v>
      </c>
      <c r="Q608" t="s">
        <v>340</v>
      </c>
      <c r="R608" t="s">
        <v>9812</v>
      </c>
      <c r="S608" t="s">
        <v>9065</v>
      </c>
      <c r="T608" t="s">
        <v>9066</v>
      </c>
    </row>
    <row r="609" spans="1:20" x14ac:dyDescent="0.25">
      <c r="A609" t="s">
        <v>9813</v>
      </c>
      <c r="B609">
        <v>-14.65</v>
      </c>
      <c r="C609">
        <v>323</v>
      </c>
      <c r="D609">
        <v>25.026666670000001</v>
      </c>
      <c r="E609">
        <v>22.025833330000001</v>
      </c>
      <c r="F609">
        <v>28.083333329999999</v>
      </c>
      <c r="G609">
        <v>1.6766666670000001</v>
      </c>
      <c r="H609">
        <v>0.96666666700000003</v>
      </c>
      <c r="I609">
        <v>2.266666667</v>
      </c>
      <c r="J609">
        <v>5410.2666669999999</v>
      </c>
      <c r="K609">
        <v>4976.875</v>
      </c>
      <c r="L609">
        <v>6109.9166670000004</v>
      </c>
      <c r="M609">
        <v>18.53166667</v>
      </c>
      <c r="N609">
        <v>17.178333330000001</v>
      </c>
      <c r="O609">
        <v>20.057500000000001</v>
      </c>
      <c r="Q609" t="s">
        <v>340</v>
      </c>
      <c r="R609" t="s">
        <v>9812</v>
      </c>
      <c r="S609" t="s">
        <v>9058</v>
      </c>
      <c r="T609" t="s">
        <v>9061</v>
      </c>
    </row>
    <row r="610" spans="1:20" x14ac:dyDescent="0.25">
      <c r="A610" t="s">
        <v>7332</v>
      </c>
      <c r="B610">
        <v>-15.01</v>
      </c>
      <c r="C610">
        <v>222</v>
      </c>
      <c r="D610">
        <v>24.8125</v>
      </c>
      <c r="E610">
        <v>21.584166669999998</v>
      </c>
      <c r="F610">
        <v>28.198333330000001</v>
      </c>
      <c r="G610">
        <v>1.2266666669999999</v>
      </c>
      <c r="H610">
        <v>0.42333333299999998</v>
      </c>
      <c r="I610">
        <v>1.7833333330000001</v>
      </c>
      <c r="J610">
        <v>5095.231667</v>
      </c>
      <c r="K610">
        <v>4647.3541670000004</v>
      </c>
      <c r="L610">
        <v>5865.0416670000004</v>
      </c>
      <c r="M610">
        <v>19.478333330000002</v>
      </c>
      <c r="N610">
        <v>18.234999999999999</v>
      </c>
      <c r="O610">
        <v>21.166666670000001</v>
      </c>
      <c r="Q610" t="s">
        <v>340</v>
      </c>
      <c r="R610" t="s">
        <v>9814</v>
      </c>
      <c r="S610" t="s">
        <v>9065</v>
      </c>
      <c r="T610" t="s">
        <v>9066</v>
      </c>
    </row>
    <row r="611" spans="1:20" x14ac:dyDescent="0.25">
      <c r="A611" t="s">
        <v>9815</v>
      </c>
      <c r="B611">
        <v>-3.25</v>
      </c>
      <c r="C611">
        <v>112.2</v>
      </c>
      <c r="D611">
        <v>26.579166669999999</v>
      </c>
      <c r="E611">
        <v>23.43333333</v>
      </c>
      <c r="F611">
        <v>29.916666670000001</v>
      </c>
      <c r="G611">
        <v>1.0633333330000001</v>
      </c>
      <c r="H611">
        <v>5.8333333000000001E-2</v>
      </c>
      <c r="I611">
        <v>1.9083333330000001</v>
      </c>
      <c r="J611">
        <v>5457.7958330000001</v>
      </c>
      <c r="K611">
        <v>4969</v>
      </c>
      <c r="L611">
        <v>6113.7916670000004</v>
      </c>
      <c r="M611">
        <v>23.672499999999999</v>
      </c>
      <c r="N611">
        <v>22.963333330000001</v>
      </c>
      <c r="O611">
        <v>24.483333330000001</v>
      </c>
      <c r="Q611" t="s">
        <v>344</v>
      </c>
      <c r="R611" t="s">
        <v>9816</v>
      </c>
      <c r="S611" t="s">
        <v>9058</v>
      </c>
      <c r="T611" t="s">
        <v>9059</v>
      </c>
    </row>
    <row r="612" spans="1:20" x14ac:dyDescent="0.25">
      <c r="A612" t="s">
        <v>9817</v>
      </c>
      <c r="B612">
        <v>-3.25</v>
      </c>
      <c r="C612">
        <v>112.2</v>
      </c>
      <c r="D612">
        <v>26.627500000000001</v>
      </c>
      <c r="E612">
        <v>23.7</v>
      </c>
      <c r="F612">
        <v>29.745000000000001</v>
      </c>
      <c r="G612">
        <v>1.2608333329999999</v>
      </c>
      <c r="H612">
        <v>0.35</v>
      </c>
      <c r="I612">
        <v>2.016666667</v>
      </c>
      <c r="J612">
        <v>4851.7275</v>
      </c>
      <c r="K612">
        <v>4358.5625</v>
      </c>
      <c r="L612">
        <v>5491.4791670000004</v>
      </c>
      <c r="M612">
        <v>23.465833329999999</v>
      </c>
      <c r="N612">
        <v>22.716666669999999</v>
      </c>
      <c r="O612">
        <v>24.274999999999999</v>
      </c>
      <c r="Q612" t="s">
        <v>344</v>
      </c>
      <c r="R612" t="s">
        <v>9816</v>
      </c>
      <c r="S612" t="s">
        <v>9058</v>
      </c>
      <c r="T612" t="s">
        <v>9061</v>
      </c>
    </row>
    <row r="613" spans="1:20" x14ac:dyDescent="0.25">
      <c r="A613" t="s">
        <v>9818</v>
      </c>
      <c r="B613">
        <v>-1.38</v>
      </c>
      <c r="C613">
        <v>16.5</v>
      </c>
      <c r="D613">
        <v>26.854166670000001</v>
      </c>
      <c r="E613">
        <v>24.833333329999999</v>
      </c>
      <c r="F613">
        <v>28.835000000000001</v>
      </c>
      <c r="G613">
        <v>2.8316666669999999</v>
      </c>
      <c r="H613">
        <v>1.7849999999999999</v>
      </c>
      <c r="I613">
        <v>3.7708333330000001</v>
      </c>
      <c r="J613">
        <v>5089.0033329999997</v>
      </c>
      <c r="K613">
        <v>4561.8958329999996</v>
      </c>
      <c r="L613">
        <v>5673.4166670000004</v>
      </c>
      <c r="M613">
        <v>23.576666670000002</v>
      </c>
      <c r="N613">
        <v>23.016666669999999</v>
      </c>
      <c r="O613">
        <v>24.118333329999999</v>
      </c>
      <c r="Q613" t="s">
        <v>344</v>
      </c>
      <c r="R613" t="s">
        <v>9819</v>
      </c>
      <c r="S613" t="s">
        <v>9058</v>
      </c>
      <c r="T613" t="s">
        <v>9059</v>
      </c>
    </row>
    <row r="614" spans="1:20" x14ac:dyDescent="0.25">
      <c r="A614" t="s">
        <v>9820</v>
      </c>
      <c r="B614">
        <v>-1.38</v>
      </c>
      <c r="C614">
        <v>16.5</v>
      </c>
      <c r="D614">
        <v>26.835000000000001</v>
      </c>
      <c r="E614">
        <v>25.004999999999999</v>
      </c>
      <c r="F614">
        <v>28.82416667</v>
      </c>
      <c r="G614">
        <v>2.6425000000000001</v>
      </c>
      <c r="H614">
        <v>1.6958333329999999</v>
      </c>
      <c r="I614">
        <v>3.5083333329999999</v>
      </c>
      <c r="J614">
        <v>5183.6616670000003</v>
      </c>
      <c r="K614">
        <v>4823.4375</v>
      </c>
      <c r="L614">
        <v>5682.3541670000004</v>
      </c>
      <c r="M614">
        <v>23.18</v>
      </c>
      <c r="N614">
        <v>22.7</v>
      </c>
      <c r="O614">
        <v>23.733333330000001</v>
      </c>
      <c r="Q614" t="s">
        <v>344</v>
      </c>
      <c r="R614" t="s">
        <v>9819</v>
      </c>
      <c r="S614" t="s">
        <v>9058</v>
      </c>
      <c r="T614" t="s">
        <v>9061</v>
      </c>
    </row>
    <row r="615" spans="1:20" x14ac:dyDescent="0.25">
      <c r="A615" t="s">
        <v>7410</v>
      </c>
      <c r="B615">
        <v>-1.46</v>
      </c>
      <c r="C615">
        <v>24</v>
      </c>
      <c r="D615">
        <v>27.157499999999999</v>
      </c>
      <c r="E615">
        <v>24.813333329999999</v>
      </c>
      <c r="F615">
        <v>29.52</v>
      </c>
      <c r="G615">
        <v>0.98583333299999998</v>
      </c>
      <c r="H615">
        <v>0.29833333299999998</v>
      </c>
      <c r="I615">
        <v>1.5249999999999999</v>
      </c>
      <c r="J615">
        <v>4348.5508330000002</v>
      </c>
      <c r="K615">
        <v>3829.083333</v>
      </c>
      <c r="L615">
        <v>4929.8333329999996</v>
      </c>
      <c r="M615">
        <v>23.319166670000001</v>
      </c>
      <c r="N615">
        <v>22.841666669999999</v>
      </c>
      <c r="O615">
        <v>23.818333330000002</v>
      </c>
      <c r="Q615" t="s">
        <v>344</v>
      </c>
      <c r="R615" t="s">
        <v>9821</v>
      </c>
      <c r="S615" t="s">
        <v>9065</v>
      </c>
      <c r="T615" t="s">
        <v>9066</v>
      </c>
    </row>
    <row r="616" spans="1:20" x14ac:dyDescent="0.25">
      <c r="A616" t="s">
        <v>9822</v>
      </c>
      <c r="B616">
        <v>-1.45</v>
      </c>
      <c r="C616">
        <v>25.5</v>
      </c>
      <c r="D616">
        <v>27.03833333</v>
      </c>
      <c r="E616">
        <v>24.791666670000001</v>
      </c>
      <c r="F616">
        <v>29.241666670000001</v>
      </c>
      <c r="G616">
        <v>1.0233333330000001</v>
      </c>
      <c r="H616">
        <v>0.383333333</v>
      </c>
      <c r="I616">
        <v>1.51</v>
      </c>
      <c r="J616">
        <v>5109.0658329999997</v>
      </c>
      <c r="K616">
        <v>4711.8958329999996</v>
      </c>
      <c r="L616">
        <v>5673.3125</v>
      </c>
      <c r="M616">
        <v>23.241666670000001</v>
      </c>
      <c r="N616">
        <v>22.748333330000001</v>
      </c>
      <c r="O616">
        <v>23.758333329999999</v>
      </c>
      <c r="Q616" t="s">
        <v>344</v>
      </c>
      <c r="R616" t="s">
        <v>9821</v>
      </c>
      <c r="S616" t="s">
        <v>9058</v>
      </c>
      <c r="T616" t="s">
        <v>9061</v>
      </c>
    </row>
    <row r="617" spans="1:20" x14ac:dyDescent="0.25">
      <c r="A617" t="s">
        <v>9823</v>
      </c>
      <c r="B617">
        <v>-2.63</v>
      </c>
      <c r="C617">
        <v>176</v>
      </c>
      <c r="D617">
        <v>25.46083333</v>
      </c>
      <c r="E617">
        <v>23.216666669999999</v>
      </c>
      <c r="F617">
        <v>27.53</v>
      </c>
      <c r="G617">
        <v>1.1299999999999999</v>
      </c>
      <c r="H617">
        <v>0.95833333300000001</v>
      </c>
      <c r="I617">
        <v>1.443333333</v>
      </c>
      <c r="J617">
        <v>5304.7191670000002</v>
      </c>
      <c r="K617">
        <v>4839.3125</v>
      </c>
      <c r="L617">
        <v>5976.9166670000004</v>
      </c>
      <c r="M617">
        <v>23.85083333</v>
      </c>
      <c r="N617">
        <v>22.881666670000001</v>
      </c>
      <c r="O617">
        <v>25.051666669999999</v>
      </c>
      <c r="Q617" t="s">
        <v>344</v>
      </c>
      <c r="R617" t="s">
        <v>9824</v>
      </c>
      <c r="S617" t="s">
        <v>9058</v>
      </c>
      <c r="T617" t="s">
        <v>9059</v>
      </c>
    </row>
    <row r="618" spans="1:20" x14ac:dyDescent="0.25">
      <c r="A618" t="s">
        <v>9825</v>
      </c>
      <c r="B618">
        <v>-2.63</v>
      </c>
      <c r="C618">
        <v>176</v>
      </c>
      <c r="D618">
        <v>27.160833329999999</v>
      </c>
      <c r="E618">
        <v>25.866666670000001</v>
      </c>
      <c r="F618">
        <v>28.293333329999999</v>
      </c>
      <c r="G618">
        <v>1.909166667</v>
      </c>
      <c r="H618">
        <v>1.075</v>
      </c>
      <c r="I618">
        <v>2.8166666669999998</v>
      </c>
      <c r="J618">
        <v>5059.1508329999997</v>
      </c>
      <c r="K618">
        <v>4526.0625</v>
      </c>
      <c r="L618">
        <v>5784.6666670000004</v>
      </c>
      <c r="M618">
        <v>24.224166669999999</v>
      </c>
      <c r="N618">
        <v>23.425000000000001</v>
      </c>
      <c r="O618">
        <v>24.975000000000001</v>
      </c>
      <c r="Q618" t="s">
        <v>344</v>
      </c>
      <c r="R618" t="s">
        <v>9824</v>
      </c>
      <c r="S618" t="s">
        <v>9058</v>
      </c>
      <c r="T618" t="s">
        <v>9061</v>
      </c>
    </row>
    <row r="619" spans="1:20" x14ac:dyDescent="0.25">
      <c r="A619" t="s">
        <v>6661</v>
      </c>
      <c r="B619">
        <v>-1.05</v>
      </c>
      <c r="C619">
        <v>33</v>
      </c>
      <c r="D619">
        <v>26.465</v>
      </c>
      <c r="E619">
        <v>24.39833333</v>
      </c>
      <c r="F619">
        <v>28.61</v>
      </c>
      <c r="G619">
        <v>1.766666667</v>
      </c>
      <c r="H619">
        <v>0.81499999999999995</v>
      </c>
      <c r="I619">
        <v>2.568333333</v>
      </c>
      <c r="J619">
        <v>4706.8416669999997</v>
      </c>
      <c r="K619">
        <v>4099.5625</v>
      </c>
      <c r="L619">
        <v>5384.5833329999996</v>
      </c>
      <c r="M619">
        <v>22.7</v>
      </c>
      <c r="N619">
        <v>22.258333329999999</v>
      </c>
      <c r="O619">
        <v>23.18333333</v>
      </c>
      <c r="Q619" t="s">
        <v>344</v>
      </c>
      <c r="R619" t="s">
        <v>9826</v>
      </c>
      <c r="S619" t="s">
        <v>9065</v>
      </c>
      <c r="T619" t="s">
        <v>9066</v>
      </c>
    </row>
    <row r="620" spans="1:20" x14ac:dyDescent="0.25">
      <c r="A620" t="s">
        <v>9827</v>
      </c>
      <c r="B620">
        <v>-1.05</v>
      </c>
      <c r="C620">
        <v>34.5</v>
      </c>
      <c r="D620">
        <v>26.856666669999999</v>
      </c>
      <c r="E620">
        <v>24.7</v>
      </c>
      <c r="F620">
        <v>28.896666669999998</v>
      </c>
      <c r="G620">
        <v>2.0525000000000002</v>
      </c>
      <c r="H620">
        <v>1.233333333</v>
      </c>
      <c r="I620">
        <v>2.76</v>
      </c>
      <c r="J620">
        <v>5015.1625000000004</v>
      </c>
      <c r="K620">
        <v>4601.4375</v>
      </c>
      <c r="L620">
        <v>5558.75</v>
      </c>
      <c r="M620">
        <v>23.295000000000002</v>
      </c>
      <c r="N620">
        <v>22.824999999999999</v>
      </c>
      <c r="O620">
        <v>23.8</v>
      </c>
      <c r="Q620" t="s">
        <v>344</v>
      </c>
      <c r="R620" t="s">
        <v>9826</v>
      </c>
      <c r="S620" t="s">
        <v>9058</v>
      </c>
      <c r="T620" t="s">
        <v>9061</v>
      </c>
    </row>
    <row r="621" spans="1:20" x14ac:dyDescent="0.25">
      <c r="A621" t="s">
        <v>9828</v>
      </c>
      <c r="B621">
        <v>-9.33</v>
      </c>
      <c r="C621">
        <v>537.1</v>
      </c>
      <c r="D621">
        <v>23.594999999999999</v>
      </c>
      <c r="E621">
        <v>20.146666669999998</v>
      </c>
      <c r="F621">
        <v>27.311666670000001</v>
      </c>
      <c r="G621">
        <v>1.8758333330000001</v>
      </c>
      <c r="H621">
        <v>0.47499999999999998</v>
      </c>
      <c r="I621">
        <v>3.1</v>
      </c>
      <c r="J621">
        <v>5062.1708330000001</v>
      </c>
      <c r="K621">
        <v>4492.8125</v>
      </c>
      <c r="L621">
        <v>5724.4375</v>
      </c>
      <c r="M621">
        <v>18.535</v>
      </c>
      <c r="N621">
        <v>17.123333330000001</v>
      </c>
      <c r="O621">
        <v>20.051666669999999</v>
      </c>
      <c r="Q621" t="s">
        <v>344</v>
      </c>
      <c r="R621" t="s">
        <v>9829</v>
      </c>
      <c r="S621" t="s">
        <v>9058</v>
      </c>
      <c r="T621" t="s">
        <v>9059</v>
      </c>
    </row>
    <row r="622" spans="1:20" x14ac:dyDescent="0.25">
      <c r="A622" t="s">
        <v>9830</v>
      </c>
      <c r="B622">
        <v>-9.33</v>
      </c>
      <c r="C622">
        <v>537.1</v>
      </c>
      <c r="D622">
        <v>24.404166669999999</v>
      </c>
      <c r="E622">
        <v>21.74</v>
      </c>
      <c r="F622">
        <v>27.07</v>
      </c>
      <c r="G622">
        <v>2.3824999999999998</v>
      </c>
      <c r="H622">
        <v>1.45</v>
      </c>
      <c r="I622">
        <v>3.0333333329999999</v>
      </c>
      <c r="J622">
        <v>5065.7458329999999</v>
      </c>
      <c r="K622">
        <v>4518.2291670000004</v>
      </c>
      <c r="L622">
        <v>5701.7916670000004</v>
      </c>
      <c r="M622">
        <v>19.291666670000001</v>
      </c>
      <c r="N622">
        <v>18.423333329999998</v>
      </c>
      <c r="O622">
        <v>20.274999999999999</v>
      </c>
      <c r="Q622" t="s">
        <v>344</v>
      </c>
      <c r="R622" t="s">
        <v>9829</v>
      </c>
      <c r="S622" t="s">
        <v>9058</v>
      </c>
      <c r="T622" t="s">
        <v>9061</v>
      </c>
    </row>
    <row r="623" spans="1:20" x14ac:dyDescent="0.25">
      <c r="A623" t="s">
        <v>7416</v>
      </c>
      <c r="B623">
        <v>-2.25</v>
      </c>
      <c r="C623">
        <v>22</v>
      </c>
      <c r="D623">
        <v>27.21166667</v>
      </c>
      <c r="E623">
        <v>25.14</v>
      </c>
      <c r="F623">
        <v>29.454999999999998</v>
      </c>
      <c r="G623">
        <v>1.595</v>
      </c>
      <c r="H623">
        <v>0.80833333299999999</v>
      </c>
      <c r="I623">
        <v>2.2583333329999999</v>
      </c>
      <c r="J623">
        <v>5361.5950000000003</v>
      </c>
      <c r="K623">
        <v>4881.6458329999996</v>
      </c>
      <c r="L623">
        <v>5988.0416670000004</v>
      </c>
      <c r="M623">
        <v>22.973333329999999</v>
      </c>
      <c r="N623">
        <v>22.524999999999999</v>
      </c>
      <c r="O623">
        <v>23.5</v>
      </c>
      <c r="Q623" t="s">
        <v>344</v>
      </c>
      <c r="R623" t="s">
        <v>9831</v>
      </c>
      <c r="S623" t="s">
        <v>9065</v>
      </c>
      <c r="T623" t="s">
        <v>9066</v>
      </c>
    </row>
    <row r="624" spans="1:20" x14ac:dyDescent="0.25">
      <c r="A624" t="s">
        <v>9832</v>
      </c>
      <c r="B624">
        <v>-2.25</v>
      </c>
      <c r="C624">
        <v>23.5</v>
      </c>
      <c r="D624">
        <v>27.77333333</v>
      </c>
      <c r="E624">
        <v>25.712499999999999</v>
      </c>
      <c r="F624">
        <v>29.833333329999999</v>
      </c>
      <c r="G624">
        <v>1.9125000000000001</v>
      </c>
      <c r="H624">
        <v>1.325</v>
      </c>
      <c r="I624">
        <v>2.483333333</v>
      </c>
      <c r="J624">
        <v>5127.9399999999996</v>
      </c>
      <c r="K624">
        <v>4784.4375</v>
      </c>
      <c r="L624">
        <v>5666.3125</v>
      </c>
      <c r="M624">
        <v>23.077500000000001</v>
      </c>
      <c r="N624">
        <v>22.508333329999999</v>
      </c>
      <c r="O624">
        <v>23.69166667</v>
      </c>
      <c r="Q624" t="s">
        <v>344</v>
      </c>
      <c r="R624" t="s">
        <v>9831</v>
      </c>
      <c r="S624" t="s">
        <v>9058</v>
      </c>
      <c r="T624" t="s">
        <v>9061</v>
      </c>
    </row>
    <row r="625" spans="1:20" x14ac:dyDescent="0.25">
      <c r="A625" t="s">
        <v>7423</v>
      </c>
      <c r="B625">
        <v>-1.3</v>
      </c>
      <c r="C625">
        <v>65</v>
      </c>
      <c r="D625">
        <v>26.2</v>
      </c>
      <c r="E625">
        <v>23.821666669999999</v>
      </c>
      <c r="F625">
        <v>28.62833333</v>
      </c>
      <c r="G625">
        <v>2.41</v>
      </c>
      <c r="H625">
        <v>1.3833333329999999</v>
      </c>
      <c r="I625">
        <v>3.35</v>
      </c>
      <c r="J625">
        <v>5376.8041670000002</v>
      </c>
      <c r="K625">
        <v>4852.6458329999996</v>
      </c>
      <c r="L625">
        <v>6019.4375</v>
      </c>
      <c r="M625">
        <v>22.693333330000002</v>
      </c>
      <c r="N625">
        <v>22.198333330000001</v>
      </c>
      <c r="O625">
        <v>23.216666669999999</v>
      </c>
      <c r="Q625" t="s">
        <v>344</v>
      </c>
      <c r="R625" t="s">
        <v>9833</v>
      </c>
      <c r="S625" t="s">
        <v>9065</v>
      </c>
      <c r="T625" t="s">
        <v>9066</v>
      </c>
    </row>
    <row r="626" spans="1:20" x14ac:dyDescent="0.25">
      <c r="A626" t="s">
        <v>9834</v>
      </c>
      <c r="B626">
        <v>-1.3</v>
      </c>
      <c r="C626">
        <v>66.5</v>
      </c>
      <c r="D626">
        <v>26.5425</v>
      </c>
      <c r="E626">
        <v>24.30833333</v>
      </c>
      <c r="F626">
        <v>28.7225</v>
      </c>
      <c r="G626">
        <v>0.72750000000000004</v>
      </c>
      <c r="H626">
        <v>0.17499999999999999</v>
      </c>
      <c r="I626">
        <v>1.05</v>
      </c>
      <c r="J626">
        <v>4915.2299999999996</v>
      </c>
      <c r="K626">
        <v>4565.6875</v>
      </c>
      <c r="L626">
        <v>5360.4166670000004</v>
      </c>
      <c r="M626">
        <v>22.610833329999998</v>
      </c>
      <c r="N626">
        <v>22.158333330000001</v>
      </c>
      <c r="O626">
        <v>23.118333329999999</v>
      </c>
      <c r="Q626" t="s">
        <v>344</v>
      </c>
      <c r="R626" t="s">
        <v>9833</v>
      </c>
      <c r="S626" t="s">
        <v>9058</v>
      </c>
      <c r="T626" t="s">
        <v>9061</v>
      </c>
    </row>
    <row r="627" spans="1:20" x14ac:dyDescent="0.25">
      <c r="A627" t="s">
        <v>7439</v>
      </c>
      <c r="B627">
        <v>-6.28</v>
      </c>
      <c r="C627">
        <v>180</v>
      </c>
      <c r="D627">
        <v>26.760833330000001</v>
      </c>
      <c r="E627">
        <v>23.581666670000001</v>
      </c>
      <c r="F627">
        <v>29.88666667</v>
      </c>
      <c r="G627">
        <v>1.358333333</v>
      </c>
      <c r="H627">
        <v>0.73166666700000005</v>
      </c>
      <c r="I627">
        <v>1.8416666669999999</v>
      </c>
      <c r="J627">
        <v>4872.4833330000001</v>
      </c>
      <c r="K627">
        <v>4408.2291670000004</v>
      </c>
      <c r="L627">
        <v>5562.5416670000004</v>
      </c>
      <c r="M627">
        <v>20.826666670000002</v>
      </c>
      <c r="N627">
        <v>19.998333330000001</v>
      </c>
      <c r="O627">
        <v>21.86</v>
      </c>
      <c r="Q627" t="s">
        <v>344</v>
      </c>
      <c r="R627" t="s">
        <v>9835</v>
      </c>
      <c r="S627" t="s">
        <v>9065</v>
      </c>
      <c r="T627" t="s">
        <v>9066</v>
      </c>
    </row>
    <row r="628" spans="1:20" x14ac:dyDescent="0.25">
      <c r="A628" t="s">
        <v>9836</v>
      </c>
      <c r="B628">
        <v>-8.2799999999999994</v>
      </c>
      <c r="C628">
        <v>181.5</v>
      </c>
      <c r="D628">
        <v>26.596666670000001</v>
      </c>
      <c r="E628">
        <v>23.414999999999999</v>
      </c>
      <c r="F628">
        <v>29.728333330000002</v>
      </c>
      <c r="G628">
        <v>1.3958333329999999</v>
      </c>
      <c r="H628">
        <v>0.88333333300000005</v>
      </c>
      <c r="I628">
        <v>1.7749999999999999</v>
      </c>
      <c r="J628">
        <v>5365.834167</v>
      </c>
      <c r="K628">
        <v>4942.3125</v>
      </c>
      <c r="L628">
        <v>5927.9375</v>
      </c>
      <c r="M628">
        <v>20.783333330000001</v>
      </c>
      <c r="N628">
        <v>19.89</v>
      </c>
      <c r="O628">
        <v>21.82</v>
      </c>
      <c r="Q628" t="s">
        <v>344</v>
      </c>
      <c r="R628" t="s">
        <v>9835</v>
      </c>
      <c r="S628" t="s">
        <v>9058</v>
      </c>
      <c r="T628" t="s">
        <v>9061</v>
      </c>
    </row>
    <row r="629" spans="1:20" x14ac:dyDescent="0.25">
      <c r="A629" t="s">
        <v>9837</v>
      </c>
      <c r="B629">
        <v>-8.35</v>
      </c>
      <c r="C629">
        <v>199</v>
      </c>
      <c r="D629">
        <v>27.353333330000002</v>
      </c>
      <c r="E629">
        <v>24.03</v>
      </c>
      <c r="F629">
        <v>30.641666669999999</v>
      </c>
      <c r="G629">
        <v>1.875</v>
      </c>
      <c r="H629">
        <v>0.84166666700000003</v>
      </c>
      <c r="I629">
        <v>2.693333333</v>
      </c>
      <c r="J629">
        <v>5467.8091670000003</v>
      </c>
      <c r="K629">
        <v>4889.0625</v>
      </c>
      <c r="L629">
        <v>6166.9583329999996</v>
      </c>
      <c r="M629">
        <v>21.733333330000001</v>
      </c>
      <c r="N629">
        <v>20.373333330000001</v>
      </c>
      <c r="O629">
        <v>23.263333329999998</v>
      </c>
      <c r="Q629" t="s">
        <v>344</v>
      </c>
      <c r="R629" t="s">
        <v>9838</v>
      </c>
      <c r="S629" t="s">
        <v>9058</v>
      </c>
      <c r="T629" t="s">
        <v>9059</v>
      </c>
    </row>
    <row r="630" spans="1:20" x14ac:dyDescent="0.25">
      <c r="A630" t="s">
        <v>9839</v>
      </c>
      <c r="B630">
        <v>-8.35</v>
      </c>
      <c r="C630">
        <v>199</v>
      </c>
      <c r="D630">
        <v>27.61</v>
      </c>
      <c r="E630">
        <v>24.548333329999998</v>
      </c>
      <c r="F630">
        <v>30.451666670000002</v>
      </c>
      <c r="G630">
        <v>2.0225</v>
      </c>
      <c r="H630">
        <v>1.3316666669999999</v>
      </c>
      <c r="I630">
        <v>2.6166666670000001</v>
      </c>
      <c r="J630">
        <v>5293.0225</v>
      </c>
      <c r="K630">
        <v>4869.8333329999996</v>
      </c>
      <c r="L630">
        <v>5930.0833329999996</v>
      </c>
      <c r="M630">
        <v>21.642499999999998</v>
      </c>
      <c r="N630">
        <v>20.556666669999998</v>
      </c>
      <c r="O630">
        <v>22.934999999999999</v>
      </c>
      <c r="Q630" t="s">
        <v>344</v>
      </c>
      <c r="R630" t="s">
        <v>9838</v>
      </c>
      <c r="S630" t="s">
        <v>9058</v>
      </c>
      <c r="T630" t="s">
        <v>9061</v>
      </c>
    </row>
    <row r="631" spans="1:20" x14ac:dyDescent="0.25">
      <c r="A631" t="s">
        <v>7420</v>
      </c>
      <c r="B631">
        <v>-4.28</v>
      </c>
      <c r="C631">
        <v>13</v>
      </c>
      <c r="D631">
        <v>26.857500000000002</v>
      </c>
      <c r="E631">
        <v>24.616666670000001</v>
      </c>
      <c r="F631">
        <v>28.901666670000001</v>
      </c>
      <c r="G631">
        <v>0.92833333299999998</v>
      </c>
      <c r="H631">
        <v>0.125</v>
      </c>
      <c r="I631">
        <v>1.526666667</v>
      </c>
      <c r="J631">
        <v>4796.3625000000002</v>
      </c>
      <c r="K631">
        <v>4124.8125</v>
      </c>
      <c r="L631">
        <v>5646.4583329999996</v>
      </c>
      <c r="M631">
        <v>22.827500000000001</v>
      </c>
      <c r="N631">
        <v>22.341666669999999</v>
      </c>
      <c r="O631">
        <v>23.425000000000001</v>
      </c>
      <c r="Q631" t="s">
        <v>344</v>
      </c>
      <c r="R631" t="s">
        <v>9840</v>
      </c>
      <c r="S631" t="s">
        <v>9065</v>
      </c>
      <c r="T631" t="s">
        <v>9066</v>
      </c>
    </row>
    <row r="632" spans="1:20" x14ac:dyDescent="0.25">
      <c r="A632" t="s">
        <v>9841</v>
      </c>
      <c r="B632">
        <v>-4.2699999999999996</v>
      </c>
      <c r="C632">
        <v>14.5</v>
      </c>
      <c r="D632">
        <v>27.087499999999999</v>
      </c>
      <c r="E632">
        <v>24.675000000000001</v>
      </c>
      <c r="F632">
        <v>29.225000000000001</v>
      </c>
      <c r="G632">
        <v>1.2416666670000001</v>
      </c>
      <c r="H632">
        <v>0.64166666699999997</v>
      </c>
      <c r="I632">
        <v>1.7083333329999999</v>
      </c>
      <c r="J632">
        <v>4869.3391670000001</v>
      </c>
      <c r="K632">
        <v>4422.8333329999996</v>
      </c>
      <c r="L632">
        <v>5474.4791670000004</v>
      </c>
      <c r="M632">
        <v>23.314166669999999</v>
      </c>
      <c r="N632">
        <v>22.341666669999999</v>
      </c>
      <c r="O632">
        <v>24.295000000000002</v>
      </c>
      <c r="Q632" t="s">
        <v>344</v>
      </c>
      <c r="R632" t="s">
        <v>9840</v>
      </c>
      <c r="S632" t="s">
        <v>9058</v>
      </c>
      <c r="T632" t="s">
        <v>9061</v>
      </c>
    </row>
    <row r="633" spans="1:20" x14ac:dyDescent="0.25">
      <c r="A633" t="s">
        <v>9842</v>
      </c>
      <c r="B633">
        <v>-4.2300000000000004</v>
      </c>
      <c r="C633">
        <v>33.5</v>
      </c>
      <c r="D633">
        <v>27.080833330000001</v>
      </c>
      <c r="E633">
        <v>23.905000000000001</v>
      </c>
      <c r="F633">
        <v>30.405000000000001</v>
      </c>
      <c r="G633">
        <v>1.005833333</v>
      </c>
      <c r="H633">
        <v>0.108333333</v>
      </c>
      <c r="I633">
        <v>1.766666667</v>
      </c>
      <c r="J633">
        <v>5501.5966669999998</v>
      </c>
      <c r="K633">
        <v>4952.875</v>
      </c>
      <c r="L633">
        <v>6187.3541670000004</v>
      </c>
      <c r="M633">
        <v>23.35</v>
      </c>
      <c r="N633">
        <v>22.49</v>
      </c>
      <c r="O633">
        <v>24.32</v>
      </c>
      <c r="Q633" t="s">
        <v>344</v>
      </c>
      <c r="R633" t="s">
        <v>9843</v>
      </c>
      <c r="S633" t="s">
        <v>9058</v>
      </c>
      <c r="T633" t="s">
        <v>9059</v>
      </c>
    </row>
    <row r="634" spans="1:20" x14ac:dyDescent="0.25">
      <c r="A634" t="s">
        <v>9844</v>
      </c>
      <c r="B634">
        <v>-4.2300000000000004</v>
      </c>
      <c r="C634">
        <v>33.5</v>
      </c>
      <c r="D634">
        <v>27.361666670000002</v>
      </c>
      <c r="E634">
        <v>24.49583333</v>
      </c>
      <c r="F634">
        <v>30.26</v>
      </c>
      <c r="G634">
        <v>1.1875</v>
      </c>
      <c r="H634">
        <v>0.108333333</v>
      </c>
      <c r="I634">
        <v>2</v>
      </c>
      <c r="J634">
        <v>4831.2291670000004</v>
      </c>
      <c r="K634">
        <v>4312.8125</v>
      </c>
      <c r="L634">
        <v>5427.25</v>
      </c>
      <c r="M634">
        <v>23.740833330000001</v>
      </c>
      <c r="N634">
        <v>23.055</v>
      </c>
      <c r="O634">
        <v>24.393333330000001</v>
      </c>
      <c r="Q634" t="s">
        <v>344</v>
      </c>
      <c r="R634" t="s">
        <v>9843</v>
      </c>
      <c r="S634" t="s">
        <v>9058</v>
      </c>
      <c r="T634" t="s">
        <v>9061</v>
      </c>
    </row>
    <row r="635" spans="1:20" x14ac:dyDescent="0.25">
      <c r="A635" t="s">
        <v>9845</v>
      </c>
      <c r="B635">
        <v>-6.23</v>
      </c>
      <c r="C635">
        <v>98.8</v>
      </c>
      <c r="D635">
        <v>26.73416667</v>
      </c>
      <c r="E635">
        <v>22.704999999999998</v>
      </c>
      <c r="F635">
        <v>30.991666670000001</v>
      </c>
      <c r="G635">
        <v>0.87583333299999999</v>
      </c>
      <c r="H635">
        <v>0.20833333300000001</v>
      </c>
      <c r="I635">
        <v>1.3525</v>
      </c>
      <c r="J635">
        <v>5240.57</v>
      </c>
      <c r="K635">
        <v>4572.875</v>
      </c>
      <c r="L635">
        <v>5997.1875</v>
      </c>
      <c r="M635">
        <v>23.39083333</v>
      </c>
      <c r="N635">
        <v>21.57833333</v>
      </c>
      <c r="O635">
        <v>25.491666670000001</v>
      </c>
      <c r="Q635" t="s">
        <v>344</v>
      </c>
      <c r="R635" t="s">
        <v>9846</v>
      </c>
      <c r="S635" t="s">
        <v>9058</v>
      </c>
      <c r="T635" t="s">
        <v>9059</v>
      </c>
    </row>
    <row r="636" spans="1:20" x14ac:dyDescent="0.25">
      <c r="A636" t="s">
        <v>9847</v>
      </c>
      <c r="B636">
        <v>-6.23</v>
      </c>
      <c r="C636">
        <v>98.8</v>
      </c>
      <c r="D636">
        <v>27.16333333</v>
      </c>
      <c r="E636">
        <v>24.6</v>
      </c>
      <c r="F636">
        <v>29.34333333</v>
      </c>
      <c r="G636">
        <v>1.32</v>
      </c>
      <c r="H636">
        <v>0.875</v>
      </c>
      <c r="I636">
        <v>1.7</v>
      </c>
      <c r="J636">
        <v>4870.1824999999999</v>
      </c>
      <c r="K636">
        <v>4312.7083329999996</v>
      </c>
      <c r="L636">
        <v>5512.9375</v>
      </c>
      <c r="M636">
        <v>23.605</v>
      </c>
      <c r="N636">
        <v>22.74</v>
      </c>
      <c r="O636">
        <v>24.524999999999999</v>
      </c>
      <c r="Q636" t="s">
        <v>344</v>
      </c>
      <c r="R636" t="s">
        <v>9846</v>
      </c>
      <c r="S636" t="s">
        <v>9058</v>
      </c>
      <c r="T636" t="s">
        <v>9061</v>
      </c>
    </row>
    <row r="637" spans="1:20" x14ac:dyDescent="0.25">
      <c r="A637" t="s">
        <v>9848</v>
      </c>
      <c r="B637">
        <v>-5.37</v>
      </c>
      <c r="C637">
        <v>108.8</v>
      </c>
      <c r="D637">
        <v>27.616666670000001</v>
      </c>
      <c r="E637">
        <v>24.804166670000001</v>
      </c>
      <c r="F637">
        <v>30.75</v>
      </c>
      <c r="G637">
        <v>1.443333333</v>
      </c>
      <c r="H637">
        <v>0.5</v>
      </c>
      <c r="I637">
        <v>2.3083333330000002</v>
      </c>
      <c r="J637">
        <v>5364.4441669999997</v>
      </c>
      <c r="K637">
        <v>4855.0833329999996</v>
      </c>
      <c r="L637">
        <v>6001.9791670000004</v>
      </c>
      <c r="M637">
        <v>23.55083333</v>
      </c>
      <c r="N637">
        <v>23</v>
      </c>
      <c r="O637">
        <v>24.3</v>
      </c>
      <c r="Q637" t="s">
        <v>344</v>
      </c>
      <c r="R637" t="s">
        <v>9849</v>
      </c>
      <c r="S637" t="s">
        <v>9058</v>
      </c>
      <c r="T637" t="s">
        <v>9059</v>
      </c>
    </row>
    <row r="638" spans="1:20" x14ac:dyDescent="0.25">
      <c r="A638" t="s">
        <v>9850</v>
      </c>
      <c r="B638">
        <v>-5.37</v>
      </c>
      <c r="C638">
        <v>108.8</v>
      </c>
      <c r="D638">
        <v>27.662500000000001</v>
      </c>
      <c r="E638">
        <v>24.912500000000001</v>
      </c>
      <c r="F638">
        <v>30.75</v>
      </c>
      <c r="G638">
        <v>1.518333333</v>
      </c>
      <c r="H638">
        <v>0.65</v>
      </c>
      <c r="I638">
        <v>2.318333333</v>
      </c>
      <c r="J638">
        <v>5147.1975000000002</v>
      </c>
      <c r="K638">
        <v>4657.3333329999996</v>
      </c>
      <c r="L638">
        <v>5785.0833329999996</v>
      </c>
      <c r="M638">
        <v>23.6</v>
      </c>
      <c r="N638">
        <v>22.75</v>
      </c>
      <c r="O638">
        <v>24.5625</v>
      </c>
      <c r="Q638" t="s">
        <v>344</v>
      </c>
      <c r="R638" t="s">
        <v>9849</v>
      </c>
      <c r="S638" t="s">
        <v>9058</v>
      </c>
      <c r="T638" t="s">
        <v>9061</v>
      </c>
    </row>
    <row r="639" spans="1:20" x14ac:dyDescent="0.25">
      <c r="A639" t="s">
        <v>9851</v>
      </c>
      <c r="B639">
        <v>-5.17</v>
      </c>
      <c r="C639">
        <v>117.5</v>
      </c>
      <c r="D639">
        <v>26.69916667</v>
      </c>
      <c r="E639">
        <v>24.188333329999999</v>
      </c>
      <c r="F639">
        <v>29.26</v>
      </c>
      <c r="G639">
        <v>1.369166667</v>
      </c>
      <c r="H639">
        <v>0.72333333300000002</v>
      </c>
      <c r="I639">
        <v>1.9166666670000001</v>
      </c>
      <c r="J639">
        <v>5145.5124999999998</v>
      </c>
      <c r="K639">
        <v>4759.7083329999996</v>
      </c>
      <c r="L639">
        <v>5647.4166670000004</v>
      </c>
      <c r="M639">
        <v>21.81666667</v>
      </c>
      <c r="N639">
        <v>21.133333329999999</v>
      </c>
      <c r="O639">
        <v>22.668333329999999</v>
      </c>
      <c r="Q639" t="s">
        <v>344</v>
      </c>
      <c r="R639" t="s">
        <v>9852</v>
      </c>
      <c r="S639" t="s">
        <v>9058</v>
      </c>
      <c r="T639" t="s">
        <v>9061</v>
      </c>
    </row>
    <row r="640" spans="1:20" x14ac:dyDescent="0.25">
      <c r="A640" t="s">
        <v>7422</v>
      </c>
      <c r="B640">
        <v>-5.37</v>
      </c>
      <c r="C640">
        <v>84</v>
      </c>
      <c r="D640">
        <v>26.494166669999998</v>
      </c>
      <c r="E640">
        <v>23.754999999999999</v>
      </c>
      <c r="F640">
        <v>29.338333330000001</v>
      </c>
      <c r="G640">
        <v>1.1358333329999999</v>
      </c>
      <c r="H640">
        <v>0.55833333299999999</v>
      </c>
      <c r="I640">
        <v>1.6166666670000001</v>
      </c>
      <c r="J640">
        <v>4927.4408329999997</v>
      </c>
      <c r="K640">
        <v>4440.7708329999996</v>
      </c>
      <c r="L640">
        <v>5651.1041670000004</v>
      </c>
      <c r="M640">
        <v>22.317499999999999</v>
      </c>
      <c r="N640">
        <v>21.658333330000001</v>
      </c>
      <c r="O640">
        <v>23.083333329999999</v>
      </c>
      <c r="Q640" t="s">
        <v>344</v>
      </c>
      <c r="R640" t="s">
        <v>9853</v>
      </c>
      <c r="S640" t="s">
        <v>9065</v>
      </c>
      <c r="T640" t="s">
        <v>9066</v>
      </c>
    </row>
    <row r="641" spans="1:20" x14ac:dyDescent="0.25">
      <c r="A641" t="s">
        <v>9854</v>
      </c>
      <c r="B641">
        <v>-3.52</v>
      </c>
      <c r="C641">
        <v>252.5</v>
      </c>
      <c r="D641">
        <v>26.114166669999999</v>
      </c>
      <c r="E641">
        <v>23.823333330000001</v>
      </c>
      <c r="F641">
        <v>28.141666669999999</v>
      </c>
      <c r="G641">
        <v>1.1383333330000001</v>
      </c>
      <c r="H641">
        <v>0.49833333299999999</v>
      </c>
      <c r="I641">
        <v>1.608333333</v>
      </c>
      <c r="J641">
        <v>4853.603333</v>
      </c>
      <c r="K641">
        <v>4345.4583329999996</v>
      </c>
      <c r="L641">
        <v>5512.5625</v>
      </c>
      <c r="M641">
        <v>22.061666670000001</v>
      </c>
      <c r="N641">
        <v>21.333333329999999</v>
      </c>
      <c r="O641">
        <v>22.86</v>
      </c>
      <c r="Q641" t="s">
        <v>344</v>
      </c>
      <c r="R641" t="s">
        <v>9855</v>
      </c>
      <c r="S641" t="s">
        <v>9058</v>
      </c>
      <c r="T641" t="s">
        <v>9061</v>
      </c>
    </row>
    <row r="642" spans="1:20" x14ac:dyDescent="0.25">
      <c r="A642" t="s">
        <v>9856</v>
      </c>
      <c r="B642">
        <v>-2</v>
      </c>
      <c r="C642">
        <v>146</v>
      </c>
      <c r="D642">
        <v>26.105</v>
      </c>
      <c r="E642">
        <v>23.55</v>
      </c>
      <c r="F642">
        <v>28.716666669999999</v>
      </c>
      <c r="G642">
        <v>2.2591666670000001</v>
      </c>
      <c r="H642">
        <v>1.141666667</v>
      </c>
      <c r="I642">
        <v>3.3533333330000001</v>
      </c>
      <c r="J642">
        <v>5783.7016670000003</v>
      </c>
      <c r="K642">
        <v>5256.5833329999996</v>
      </c>
      <c r="L642">
        <v>6489.7708329999996</v>
      </c>
      <c r="M642">
        <v>23.005833330000002</v>
      </c>
      <c r="N642">
        <v>22.266666669999999</v>
      </c>
      <c r="O642">
        <v>23.858333330000001</v>
      </c>
      <c r="Q642" t="s">
        <v>344</v>
      </c>
      <c r="R642" t="s">
        <v>9857</v>
      </c>
      <c r="S642" t="s">
        <v>9058</v>
      </c>
      <c r="T642" t="s">
        <v>9059</v>
      </c>
    </row>
    <row r="643" spans="1:20" x14ac:dyDescent="0.25">
      <c r="A643" t="s">
        <v>9858</v>
      </c>
      <c r="B643">
        <v>-2</v>
      </c>
      <c r="C643">
        <v>146</v>
      </c>
      <c r="D643">
        <v>27.33</v>
      </c>
      <c r="E643">
        <v>25.625</v>
      </c>
      <c r="F643">
        <v>28.895</v>
      </c>
      <c r="G643">
        <v>2.7891666669999999</v>
      </c>
      <c r="H643">
        <v>1.9750000000000001</v>
      </c>
      <c r="I643">
        <v>3.4783333330000001</v>
      </c>
      <c r="J643">
        <v>5080.9991669999999</v>
      </c>
      <c r="K643">
        <v>4633.25</v>
      </c>
      <c r="L643">
        <v>5725.4375</v>
      </c>
      <c r="M643">
        <v>23.230833329999999</v>
      </c>
      <c r="N643">
        <v>22.681666669999998</v>
      </c>
      <c r="O643">
        <v>23.803333330000001</v>
      </c>
      <c r="Q643" t="s">
        <v>344</v>
      </c>
      <c r="R643" t="s">
        <v>9857</v>
      </c>
      <c r="S643" t="s">
        <v>9058</v>
      </c>
      <c r="T643" t="s">
        <v>9061</v>
      </c>
    </row>
    <row r="644" spans="1:20" x14ac:dyDescent="0.25">
      <c r="A644" t="s">
        <v>7448</v>
      </c>
      <c r="B644">
        <v>-4.26</v>
      </c>
      <c r="C644">
        <v>113</v>
      </c>
      <c r="D644">
        <v>26.314166669999999</v>
      </c>
      <c r="E644">
        <v>23.84</v>
      </c>
      <c r="F644">
        <v>28.893333330000001</v>
      </c>
      <c r="G644">
        <v>1.61</v>
      </c>
      <c r="H644">
        <v>0.68333333299999999</v>
      </c>
      <c r="I644">
        <v>2.3366666669999998</v>
      </c>
      <c r="J644">
        <v>4673.6866669999999</v>
      </c>
      <c r="K644">
        <v>4173.3125</v>
      </c>
      <c r="L644">
        <v>5346.6458329999996</v>
      </c>
      <c r="M644">
        <v>22.231666669999999</v>
      </c>
      <c r="N644">
        <v>21.675000000000001</v>
      </c>
      <c r="O644">
        <v>22.9</v>
      </c>
      <c r="Q644" t="s">
        <v>344</v>
      </c>
      <c r="R644" t="s">
        <v>9859</v>
      </c>
      <c r="S644" t="s">
        <v>9065</v>
      </c>
      <c r="T644" t="s">
        <v>9066</v>
      </c>
    </row>
    <row r="645" spans="1:20" x14ac:dyDescent="0.25">
      <c r="A645" t="s">
        <v>9860</v>
      </c>
      <c r="B645">
        <v>-4.25</v>
      </c>
      <c r="C645">
        <v>114.5</v>
      </c>
      <c r="D645">
        <v>26.756666670000001</v>
      </c>
      <c r="E645">
        <v>24.34</v>
      </c>
      <c r="F645">
        <v>29.375</v>
      </c>
      <c r="G645">
        <v>1.4666666669999999</v>
      </c>
      <c r="H645">
        <v>0.67500000000000004</v>
      </c>
      <c r="I645">
        <v>2.1266666669999998</v>
      </c>
      <c r="J645">
        <v>5006.0174999999999</v>
      </c>
      <c r="K645">
        <v>4519.2916670000004</v>
      </c>
      <c r="L645">
        <v>5596.5833329999996</v>
      </c>
      <c r="M645">
        <v>17.838333330000001</v>
      </c>
      <c r="N645">
        <v>16.072500000000002</v>
      </c>
      <c r="O645">
        <v>19.37</v>
      </c>
      <c r="Q645" t="s">
        <v>344</v>
      </c>
      <c r="R645" t="s">
        <v>9859</v>
      </c>
      <c r="S645" t="s">
        <v>9058</v>
      </c>
      <c r="T645" t="s">
        <v>9061</v>
      </c>
    </row>
    <row r="646" spans="1:20" x14ac:dyDescent="0.25">
      <c r="A646" t="s">
        <v>7415</v>
      </c>
      <c r="B646">
        <v>-3.84</v>
      </c>
      <c r="C646">
        <v>108</v>
      </c>
      <c r="D646">
        <v>26.09416667</v>
      </c>
      <c r="E646">
        <v>23.516666669999999</v>
      </c>
      <c r="F646">
        <v>28.763333329999998</v>
      </c>
      <c r="G646">
        <v>1.0874999999999999</v>
      </c>
      <c r="H646">
        <v>0.116666667</v>
      </c>
      <c r="I646">
        <v>1.8</v>
      </c>
      <c r="J646">
        <v>4495.1099999999997</v>
      </c>
      <c r="K646">
        <v>4034.979167</v>
      </c>
      <c r="L646">
        <v>5052.0625</v>
      </c>
      <c r="M646">
        <v>22.094999999999999</v>
      </c>
      <c r="N646">
        <v>21.516666669999999</v>
      </c>
      <c r="O646">
        <v>22.791666670000001</v>
      </c>
      <c r="Q646" t="s">
        <v>344</v>
      </c>
      <c r="R646" t="s">
        <v>9861</v>
      </c>
      <c r="S646" t="s">
        <v>9065</v>
      </c>
      <c r="T646" t="s">
        <v>9066</v>
      </c>
    </row>
    <row r="647" spans="1:20" x14ac:dyDescent="0.25">
      <c r="A647" t="s">
        <v>7447</v>
      </c>
      <c r="B647">
        <v>-3.01</v>
      </c>
      <c r="C647">
        <v>101</v>
      </c>
      <c r="D647">
        <v>26.365833330000001</v>
      </c>
      <c r="E647">
        <v>23.52333333</v>
      </c>
      <c r="F647">
        <v>29.501666669999999</v>
      </c>
      <c r="G647">
        <v>1.555833333</v>
      </c>
      <c r="H647">
        <v>0.22500000000000001</v>
      </c>
      <c r="I647">
        <v>2.5499999999999998</v>
      </c>
      <c r="J647">
        <v>5246.4549999999999</v>
      </c>
      <c r="K647">
        <v>4732.9166670000004</v>
      </c>
      <c r="L647">
        <v>5834.875</v>
      </c>
      <c r="M647">
        <v>21.688333329999999</v>
      </c>
      <c r="N647">
        <v>21.03166667</v>
      </c>
      <c r="O647">
        <v>22.425000000000001</v>
      </c>
      <c r="Q647" t="s">
        <v>344</v>
      </c>
      <c r="R647" t="s">
        <v>9862</v>
      </c>
      <c r="S647" t="s">
        <v>9065</v>
      </c>
      <c r="T647" t="s">
        <v>9066</v>
      </c>
    </row>
    <row r="648" spans="1:20" x14ac:dyDescent="0.25">
      <c r="A648" t="s">
        <v>9863</v>
      </c>
      <c r="B648">
        <v>-3.02</v>
      </c>
      <c r="C648">
        <v>102.5</v>
      </c>
      <c r="D648">
        <v>26.669166669999999</v>
      </c>
      <c r="E648">
        <v>23.85</v>
      </c>
      <c r="F648">
        <v>29.626666669999999</v>
      </c>
      <c r="G648">
        <v>1.3041666670000001</v>
      </c>
      <c r="H648">
        <v>0.42499999999999999</v>
      </c>
      <c r="I648">
        <v>2.0916666670000001</v>
      </c>
      <c r="J648">
        <v>5043.1383329999999</v>
      </c>
      <c r="K648">
        <v>4631.125</v>
      </c>
      <c r="L648">
        <v>5642.6875</v>
      </c>
      <c r="M648">
        <v>22.147500000000001</v>
      </c>
      <c r="N648">
        <v>21.34</v>
      </c>
      <c r="O648">
        <v>23.03833333</v>
      </c>
      <c r="Q648" t="s">
        <v>344</v>
      </c>
      <c r="R648" t="s">
        <v>9862</v>
      </c>
      <c r="S648" t="s">
        <v>9058</v>
      </c>
      <c r="T648" t="s">
        <v>9061</v>
      </c>
    </row>
    <row r="649" spans="1:20" x14ac:dyDescent="0.25">
      <c r="A649" t="s">
        <v>9864</v>
      </c>
      <c r="B649">
        <v>-6.12</v>
      </c>
      <c r="C649">
        <v>621.20000000000005</v>
      </c>
      <c r="D649">
        <v>23.154166669999999</v>
      </c>
      <c r="E649">
        <v>20.736666670000002</v>
      </c>
      <c r="F649">
        <v>25.77333333</v>
      </c>
      <c r="G649">
        <v>1.1866666669999999</v>
      </c>
      <c r="H649">
        <v>0.41666666699999999</v>
      </c>
      <c r="I649">
        <v>1.8</v>
      </c>
      <c r="J649">
        <v>5354.6416669999999</v>
      </c>
      <c r="K649">
        <v>4829.5416670000004</v>
      </c>
      <c r="L649">
        <v>6010.25</v>
      </c>
      <c r="M649">
        <v>19.43</v>
      </c>
      <c r="N649">
        <v>18.170000000000002</v>
      </c>
      <c r="O649">
        <v>20.94166667</v>
      </c>
      <c r="Q649" t="s">
        <v>344</v>
      </c>
      <c r="R649" t="s">
        <v>9865</v>
      </c>
      <c r="S649" t="s">
        <v>9058</v>
      </c>
      <c r="T649" t="s">
        <v>9059</v>
      </c>
    </row>
    <row r="650" spans="1:20" x14ac:dyDescent="0.25">
      <c r="A650" t="s">
        <v>9866</v>
      </c>
      <c r="B650">
        <v>-6.12</v>
      </c>
      <c r="C650">
        <v>621.20000000000005</v>
      </c>
      <c r="D650">
        <v>24.352499999999999</v>
      </c>
      <c r="E650">
        <v>22.414999999999999</v>
      </c>
      <c r="F650">
        <v>26.125</v>
      </c>
      <c r="G650">
        <v>1.265833333</v>
      </c>
      <c r="H650">
        <v>0.35666666699999999</v>
      </c>
      <c r="I650">
        <v>1.85</v>
      </c>
      <c r="J650">
        <v>5107.4883330000002</v>
      </c>
      <c r="K650">
        <v>4672.0833329999996</v>
      </c>
      <c r="L650">
        <v>5691.7916670000004</v>
      </c>
      <c r="M650">
        <v>20.125</v>
      </c>
      <c r="N650">
        <v>19.26166667</v>
      </c>
      <c r="O650">
        <v>21.143333330000001</v>
      </c>
      <c r="Q650" t="s">
        <v>344</v>
      </c>
      <c r="R650" t="s">
        <v>9865</v>
      </c>
      <c r="S650" t="s">
        <v>9058</v>
      </c>
      <c r="T650" t="s">
        <v>9061</v>
      </c>
    </row>
    <row r="651" spans="1:20" x14ac:dyDescent="0.25">
      <c r="A651" t="s">
        <v>7414</v>
      </c>
      <c r="B651">
        <v>-3.86</v>
      </c>
      <c r="C651">
        <v>96</v>
      </c>
      <c r="D651">
        <v>26.26166667</v>
      </c>
      <c r="E651">
        <v>23.583333329999999</v>
      </c>
      <c r="F651">
        <v>29.01166667</v>
      </c>
      <c r="G651">
        <v>1.025833333</v>
      </c>
      <c r="H651">
        <v>3.1666667000000003E-2</v>
      </c>
      <c r="I651">
        <v>1.7875000000000001</v>
      </c>
      <c r="J651">
        <v>4435.9991669999999</v>
      </c>
      <c r="K651">
        <v>4018.3125</v>
      </c>
      <c r="L651">
        <v>4952.6458329999996</v>
      </c>
      <c r="M651">
        <v>22.186666670000001</v>
      </c>
      <c r="N651">
        <v>21.658333330000001</v>
      </c>
      <c r="O651">
        <v>22.774999999999999</v>
      </c>
      <c r="Q651" t="s">
        <v>344</v>
      </c>
      <c r="R651" t="s">
        <v>9867</v>
      </c>
      <c r="S651" t="s">
        <v>9065</v>
      </c>
      <c r="T651" t="s">
        <v>9066</v>
      </c>
    </row>
    <row r="652" spans="1:20" x14ac:dyDescent="0.25">
      <c r="A652" t="s">
        <v>9868</v>
      </c>
      <c r="B652">
        <v>-3.87</v>
      </c>
      <c r="C652">
        <v>97.5</v>
      </c>
      <c r="D652">
        <v>26.567499999999999</v>
      </c>
      <c r="E652">
        <v>23.66333333</v>
      </c>
      <c r="F652">
        <v>29.423333329999998</v>
      </c>
      <c r="G652">
        <v>1.089166667</v>
      </c>
      <c r="H652">
        <v>0.43333333299999999</v>
      </c>
      <c r="I652">
        <v>1.6</v>
      </c>
      <c r="J652">
        <v>4895.853333</v>
      </c>
      <c r="K652">
        <v>4397.2291670000004</v>
      </c>
      <c r="L652">
        <v>5554.7916670000004</v>
      </c>
      <c r="M652">
        <v>12.92</v>
      </c>
      <c r="N652">
        <v>11.654999999999999</v>
      </c>
      <c r="O652">
        <v>14.625</v>
      </c>
      <c r="Q652" t="s">
        <v>344</v>
      </c>
      <c r="R652" t="s">
        <v>9867</v>
      </c>
      <c r="S652" t="s">
        <v>9058</v>
      </c>
      <c r="T652" t="s">
        <v>9061</v>
      </c>
    </row>
    <row r="653" spans="1:20" x14ac:dyDescent="0.25">
      <c r="A653" t="s">
        <v>9869</v>
      </c>
      <c r="B653">
        <v>-1.73</v>
      </c>
      <c r="C653">
        <v>16</v>
      </c>
      <c r="D653">
        <v>28.251666669999999</v>
      </c>
      <c r="E653">
        <v>26.831666670000001</v>
      </c>
      <c r="F653">
        <v>29.688333329999999</v>
      </c>
      <c r="G653">
        <v>0.92249999999999999</v>
      </c>
      <c r="H653">
        <v>0.90833333299999997</v>
      </c>
      <c r="I653">
        <v>1.0249999999999999</v>
      </c>
      <c r="J653">
        <v>5381.2574999999997</v>
      </c>
      <c r="K653">
        <v>4828.0208329999996</v>
      </c>
      <c r="L653">
        <v>6037.9166670000004</v>
      </c>
      <c r="M653">
        <v>24.189166669999999</v>
      </c>
      <c r="N653">
        <v>23.766666669999999</v>
      </c>
      <c r="O653">
        <v>24.68333333</v>
      </c>
      <c r="Q653" t="s">
        <v>344</v>
      </c>
      <c r="R653" t="s">
        <v>9870</v>
      </c>
      <c r="S653" t="s">
        <v>9058</v>
      </c>
      <c r="T653" t="s">
        <v>9059</v>
      </c>
    </row>
    <row r="654" spans="1:20" x14ac:dyDescent="0.25">
      <c r="A654" t="s">
        <v>9871</v>
      </c>
      <c r="B654">
        <v>-1.73</v>
      </c>
      <c r="C654">
        <v>16</v>
      </c>
      <c r="D654">
        <v>27.464166670000001</v>
      </c>
      <c r="E654">
        <v>25.541666670000001</v>
      </c>
      <c r="F654">
        <v>29.178333330000001</v>
      </c>
      <c r="G654">
        <v>1.6274999999999999</v>
      </c>
      <c r="H654">
        <v>1.098333333</v>
      </c>
      <c r="I654">
        <v>2.2583333329999999</v>
      </c>
      <c r="J654">
        <v>4728.4449999999997</v>
      </c>
      <c r="K654">
        <v>4234.5416670000004</v>
      </c>
      <c r="L654">
        <v>5289.5</v>
      </c>
      <c r="M654">
        <v>24.105833329999999</v>
      </c>
      <c r="N654">
        <v>23.524999999999999</v>
      </c>
      <c r="O654">
        <v>24.693333330000002</v>
      </c>
      <c r="Q654" t="s">
        <v>344</v>
      </c>
      <c r="R654" t="s">
        <v>9870</v>
      </c>
      <c r="S654" t="s">
        <v>9058</v>
      </c>
      <c r="T654" t="s">
        <v>9061</v>
      </c>
    </row>
    <row r="655" spans="1:20" x14ac:dyDescent="0.25">
      <c r="A655" t="s">
        <v>6632</v>
      </c>
      <c r="B655">
        <v>-4.78</v>
      </c>
      <c r="C655">
        <v>221</v>
      </c>
      <c r="D655">
        <v>26.3325</v>
      </c>
      <c r="E655">
        <v>23.465</v>
      </c>
      <c r="F655">
        <v>29.20333333</v>
      </c>
      <c r="G655">
        <v>1.588333333</v>
      </c>
      <c r="H655">
        <v>0.73166666700000005</v>
      </c>
      <c r="I655">
        <v>2.2933333330000001</v>
      </c>
      <c r="J655">
        <v>4814.5124999999998</v>
      </c>
      <c r="K655">
        <v>4308.4375</v>
      </c>
      <c r="L655">
        <v>5451.25</v>
      </c>
      <c r="M655">
        <v>20.87083333</v>
      </c>
      <c r="N655">
        <v>20.158333330000001</v>
      </c>
      <c r="O655">
        <v>21.666666670000001</v>
      </c>
      <c r="Q655" t="s">
        <v>344</v>
      </c>
      <c r="R655" t="s">
        <v>9872</v>
      </c>
      <c r="S655" t="s">
        <v>9065</v>
      </c>
      <c r="T655" t="s">
        <v>9066</v>
      </c>
    </row>
    <row r="656" spans="1:20" x14ac:dyDescent="0.25">
      <c r="A656" t="s">
        <v>9873</v>
      </c>
      <c r="B656">
        <v>-4.78</v>
      </c>
      <c r="C656">
        <v>222.5</v>
      </c>
      <c r="D656">
        <v>26.12833333</v>
      </c>
      <c r="E656">
        <v>23.256666670000001</v>
      </c>
      <c r="F656">
        <v>28.995000000000001</v>
      </c>
      <c r="G656">
        <v>1.5408333329999999</v>
      </c>
      <c r="H656">
        <v>0.61666666699999995</v>
      </c>
      <c r="I656">
        <v>2.2749999999999999</v>
      </c>
      <c r="J656">
        <v>5213.2016670000003</v>
      </c>
      <c r="K656">
        <v>4769.5625</v>
      </c>
      <c r="L656">
        <v>5760.7083329999996</v>
      </c>
      <c r="M656">
        <v>21.50333333</v>
      </c>
      <c r="N656">
        <v>20.731666669999999</v>
      </c>
      <c r="O656">
        <v>22.383333329999999</v>
      </c>
      <c r="Q656" t="s">
        <v>344</v>
      </c>
      <c r="R656" t="s">
        <v>9872</v>
      </c>
      <c r="S656" t="s">
        <v>9058</v>
      </c>
      <c r="T656" t="s">
        <v>9061</v>
      </c>
    </row>
    <row r="657" spans="1:20" x14ac:dyDescent="0.25">
      <c r="A657" t="s">
        <v>7440</v>
      </c>
      <c r="B657">
        <v>-0.62</v>
      </c>
      <c r="C657">
        <v>20</v>
      </c>
      <c r="D657">
        <v>27.150833330000001</v>
      </c>
      <c r="E657">
        <v>25.864999999999998</v>
      </c>
      <c r="F657">
        <v>28.47</v>
      </c>
      <c r="G657">
        <v>3.0041666669999998</v>
      </c>
      <c r="H657">
        <v>2.0833333330000001</v>
      </c>
      <c r="I657">
        <v>3.91</v>
      </c>
      <c r="J657">
        <v>4721.0733330000003</v>
      </c>
      <c r="K657">
        <v>4126.9375</v>
      </c>
      <c r="L657">
        <v>5391.125</v>
      </c>
      <c r="M657">
        <v>22.990833330000001</v>
      </c>
      <c r="N657">
        <v>22.591666669999999</v>
      </c>
      <c r="O657">
        <v>23.4</v>
      </c>
      <c r="Q657" t="s">
        <v>344</v>
      </c>
      <c r="R657" t="s">
        <v>9874</v>
      </c>
      <c r="S657" t="s">
        <v>9065</v>
      </c>
      <c r="T657" t="s">
        <v>9066</v>
      </c>
    </row>
    <row r="658" spans="1:20" x14ac:dyDescent="0.25">
      <c r="A658" t="s">
        <v>9875</v>
      </c>
      <c r="B658">
        <v>-0.62</v>
      </c>
      <c r="C658">
        <v>22.5</v>
      </c>
      <c r="D658">
        <v>27.46</v>
      </c>
      <c r="E658">
        <v>26.24</v>
      </c>
      <c r="F658">
        <v>28.766666669999999</v>
      </c>
      <c r="G658">
        <v>2.5649999999999999</v>
      </c>
      <c r="H658">
        <v>1.5333333330000001</v>
      </c>
      <c r="I658">
        <v>3.2933333330000001</v>
      </c>
      <c r="J658">
        <v>5747.7408329999998</v>
      </c>
      <c r="K658">
        <v>5315.25</v>
      </c>
      <c r="L658">
        <v>6341.5833329999996</v>
      </c>
      <c r="M658">
        <v>23.885000000000002</v>
      </c>
      <c r="N658">
        <v>23.258333329999999</v>
      </c>
      <c r="O658">
        <v>24.533333330000001</v>
      </c>
      <c r="Q658" t="s">
        <v>344</v>
      </c>
      <c r="R658" t="s">
        <v>9874</v>
      </c>
      <c r="S658" t="s">
        <v>9058</v>
      </c>
      <c r="T658" t="s">
        <v>9059</v>
      </c>
    </row>
    <row r="659" spans="1:20" x14ac:dyDescent="0.25">
      <c r="A659" t="s">
        <v>9876</v>
      </c>
      <c r="B659">
        <v>-0.62</v>
      </c>
      <c r="C659">
        <v>22.5</v>
      </c>
      <c r="D659">
        <v>27.024999999999999</v>
      </c>
      <c r="E659">
        <v>26.024999999999999</v>
      </c>
      <c r="F659">
        <v>27.991666670000001</v>
      </c>
      <c r="G659">
        <v>3.778333333</v>
      </c>
      <c r="H659">
        <v>3</v>
      </c>
      <c r="I659">
        <v>4.5433333329999996</v>
      </c>
      <c r="J659">
        <v>5273.353333</v>
      </c>
      <c r="K659">
        <v>4990.4583329999996</v>
      </c>
      <c r="L659">
        <v>5735.4375</v>
      </c>
      <c r="M659">
        <v>23.763333329999998</v>
      </c>
      <c r="N659">
        <v>23.4</v>
      </c>
      <c r="O659">
        <v>24.166666670000001</v>
      </c>
      <c r="Q659" t="s">
        <v>344</v>
      </c>
      <c r="R659" t="s">
        <v>9874</v>
      </c>
      <c r="S659" t="s">
        <v>9058</v>
      </c>
      <c r="T659" t="s">
        <v>9061</v>
      </c>
    </row>
    <row r="660" spans="1:20" x14ac:dyDescent="0.25">
      <c r="A660" t="s">
        <v>7438</v>
      </c>
      <c r="B660">
        <v>-9.34</v>
      </c>
      <c r="C660">
        <v>168</v>
      </c>
      <c r="D660">
        <v>26.326666670000002</v>
      </c>
      <c r="E660">
        <v>23.15</v>
      </c>
      <c r="F660">
        <v>29.498333330000001</v>
      </c>
      <c r="G660">
        <v>1.29</v>
      </c>
      <c r="H660">
        <v>0.29833333299999998</v>
      </c>
      <c r="I660">
        <v>1.98</v>
      </c>
      <c r="J660">
        <v>4705.0291669999997</v>
      </c>
      <c r="K660">
        <v>4135.2708329999996</v>
      </c>
      <c r="L660">
        <v>5531.7916670000004</v>
      </c>
      <c r="M660">
        <v>20.991666670000001</v>
      </c>
      <c r="N660">
        <v>20.23</v>
      </c>
      <c r="O660">
        <v>21.885833330000001</v>
      </c>
      <c r="Q660" t="s">
        <v>344</v>
      </c>
      <c r="R660" t="s">
        <v>9877</v>
      </c>
      <c r="S660" t="s">
        <v>9065</v>
      </c>
      <c r="T660" t="s">
        <v>9066</v>
      </c>
    </row>
    <row r="661" spans="1:20" x14ac:dyDescent="0.25">
      <c r="A661" t="s">
        <v>9878</v>
      </c>
      <c r="B661">
        <v>-9.33</v>
      </c>
      <c r="C661">
        <v>169.5</v>
      </c>
      <c r="D661">
        <v>26.829166669999999</v>
      </c>
      <c r="E661">
        <v>23.319166670000001</v>
      </c>
      <c r="F661">
        <v>30.516666669999999</v>
      </c>
      <c r="G661">
        <v>1.1375</v>
      </c>
      <c r="H661">
        <v>0.375</v>
      </c>
      <c r="I661">
        <v>1.6583333330000001</v>
      </c>
      <c r="J661">
        <v>5369.9758330000004</v>
      </c>
      <c r="K661">
        <v>5012.125</v>
      </c>
      <c r="L661">
        <v>5945.5</v>
      </c>
      <c r="M661">
        <v>20.193333330000002</v>
      </c>
      <c r="N661">
        <v>19.18333333</v>
      </c>
      <c r="O661">
        <v>21.408333330000001</v>
      </c>
      <c r="Q661" t="s">
        <v>344</v>
      </c>
      <c r="R661" t="s">
        <v>9877</v>
      </c>
      <c r="S661" t="s">
        <v>9058</v>
      </c>
      <c r="T661" t="s">
        <v>9061</v>
      </c>
    </row>
    <row r="662" spans="1:20" x14ac:dyDescent="0.25">
      <c r="A662" t="s">
        <v>9879</v>
      </c>
      <c r="B662">
        <v>-2.42</v>
      </c>
      <c r="C662">
        <v>60.4</v>
      </c>
      <c r="D662">
        <v>27.304166670000001</v>
      </c>
      <c r="E662">
        <v>25.166666670000001</v>
      </c>
      <c r="F662">
        <v>29.75</v>
      </c>
      <c r="G662">
        <v>2.8758333330000001</v>
      </c>
      <c r="H662">
        <v>1.3333333329999999</v>
      </c>
      <c r="I662">
        <v>4.2066666670000004</v>
      </c>
      <c r="J662">
        <v>5790.8958329999996</v>
      </c>
      <c r="K662">
        <v>5402.1458329999996</v>
      </c>
      <c r="L662">
        <v>6443.7083329999996</v>
      </c>
      <c r="M662">
        <v>23.1325</v>
      </c>
      <c r="N662">
        <v>22.733333330000001</v>
      </c>
      <c r="O662">
        <v>23.7</v>
      </c>
      <c r="Q662" t="s">
        <v>344</v>
      </c>
      <c r="R662" t="s">
        <v>9880</v>
      </c>
      <c r="S662" t="s">
        <v>9058</v>
      </c>
      <c r="T662" t="s">
        <v>9059</v>
      </c>
    </row>
    <row r="663" spans="1:20" x14ac:dyDescent="0.25">
      <c r="A663" t="s">
        <v>9881</v>
      </c>
      <c r="B663">
        <v>-2.42</v>
      </c>
      <c r="C663">
        <v>60.4</v>
      </c>
      <c r="D663">
        <v>27.13666667</v>
      </c>
      <c r="E663">
        <v>24.951666670000002</v>
      </c>
      <c r="F663">
        <v>29.5</v>
      </c>
      <c r="G663">
        <v>2.661666667</v>
      </c>
      <c r="H663">
        <v>1.108333333</v>
      </c>
      <c r="I663">
        <v>3.9708333329999999</v>
      </c>
      <c r="J663">
        <v>5216.5108330000003</v>
      </c>
      <c r="K663">
        <v>4756.1041670000004</v>
      </c>
      <c r="L663">
        <v>5920.1041670000004</v>
      </c>
      <c r="M663">
        <v>23.5425</v>
      </c>
      <c r="N663">
        <v>23.083333329999999</v>
      </c>
      <c r="O663">
        <v>24</v>
      </c>
      <c r="Q663" t="s">
        <v>344</v>
      </c>
      <c r="R663" t="s">
        <v>9880</v>
      </c>
      <c r="S663" t="s">
        <v>9058</v>
      </c>
      <c r="T663" t="s">
        <v>9061</v>
      </c>
    </row>
    <row r="664" spans="1:20" x14ac:dyDescent="0.25">
      <c r="A664" t="s">
        <v>9882</v>
      </c>
      <c r="B664">
        <v>-6.08</v>
      </c>
      <c r="C664">
        <v>720.5</v>
      </c>
      <c r="D664">
        <v>24.655000000000001</v>
      </c>
      <c r="E664">
        <v>22.658333330000001</v>
      </c>
      <c r="F664">
        <v>26.486666670000002</v>
      </c>
      <c r="G664">
        <v>2.1866666669999999</v>
      </c>
      <c r="H664">
        <v>1.5316666670000001</v>
      </c>
      <c r="I664">
        <v>2.7433333329999998</v>
      </c>
      <c r="J664">
        <v>5105.415</v>
      </c>
      <c r="K664">
        <v>4684.125</v>
      </c>
      <c r="L664">
        <v>5659.0208329999996</v>
      </c>
      <c r="M664">
        <v>20.127500000000001</v>
      </c>
      <c r="N664">
        <v>19.350000000000001</v>
      </c>
      <c r="O664">
        <v>21.041666670000001</v>
      </c>
      <c r="Q664" t="s">
        <v>344</v>
      </c>
      <c r="R664" t="s">
        <v>9883</v>
      </c>
      <c r="S664" t="s">
        <v>9058</v>
      </c>
      <c r="T664" t="s">
        <v>9061</v>
      </c>
    </row>
    <row r="665" spans="1:20" x14ac:dyDescent="0.25">
      <c r="A665" t="s">
        <v>7413</v>
      </c>
      <c r="B665">
        <v>-6.08</v>
      </c>
      <c r="C665">
        <v>719</v>
      </c>
      <c r="D665">
        <v>23.658333330000001</v>
      </c>
      <c r="E665">
        <v>22.274999999999999</v>
      </c>
      <c r="F665">
        <v>24.916666670000001</v>
      </c>
      <c r="G665">
        <v>2.9775</v>
      </c>
      <c r="H665">
        <v>2.1833333330000002</v>
      </c>
      <c r="I665">
        <v>3.6916666669999998</v>
      </c>
      <c r="J665">
        <v>4218.8024999999998</v>
      </c>
      <c r="K665">
        <v>3661.729167</v>
      </c>
      <c r="L665">
        <v>4889.4166670000004</v>
      </c>
      <c r="M665">
        <v>19.8125</v>
      </c>
      <c r="N665">
        <v>19.060833330000001</v>
      </c>
      <c r="O665">
        <v>20.643333330000001</v>
      </c>
      <c r="Q665" t="s">
        <v>344</v>
      </c>
      <c r="R665" t="s">
        <v>9884</v>
      </c>
      <c r="S665" t="s">
        <v>9065</v>
      </c>
      <c r="T665" t="s">
        <v>9066</v>
      </c>
    </row>
    <row r="666" spans="1:20" x14ac:dyDescent="0.25">
      <c r="A666" t="s">
        <v>9885</v>
      </c>
      <c r="B666">
        <v>-0.82</v>
      </c>
      <c r="C666">
        <v>12.5</v>
      </c>
      <c r="D666">
        <v>27.508333329999999</v>
      </c>
      <c r="E666">
        <v>26.298333329999998</v>
      </c>
      <c r="F666">
        <v>28.76166667</v>
      </c>
      <c r="G666">
        <v>3.0116666670000001</v>
      </c>
      <c r="H666">
        <v>2.3250000000000002</v>
      </c>
      <c r="I666">
        <v>3.7166666670000001</v>
      </c>
      <c r="J666">
        <v>5266.9258330000002</v>
      </c>
      <c r="K666">
        <v>4810.3125</v>
      </c>
      <c r="L666">
        <v>5827.7916670000004</v>
      </c>
      <c r="M666">
        <v>23.330833330000001</v>
      </c>
      <c r="N666">
        <v>22.973333329999999</v>
      </c>
      <c r="O666">
        <v>23.716666669999999</v>
      </c>
      <c r="Q666" t="s">
        <v>344</v>
      </c>
      <c r="R666" t="s">
        <v>9886</v>
      </c>
      <c r="S666" t="s">
        <v>9058</v>
      </c>
      <c r="T666" t="s">
        <v>9061</v>
      </c>
    </row>
    <row r="667" spans="1:20" x14ac:dyDescent="0.25">
      <c r="A667" t="s">
        <v>7430</v>
      </c>
      <c r="B667">
        <v>-0.81</v>
      </c>
      <c r="C667">
        <v>11</v>
      </c>
      <c r="D667">
        <v>28.07416667</v>
      </c>
      <c r="E667">
        <v>26.973333329999999</v>
      </c>
      <c r="F667">
        <v>29.30833333</v>
      </c>
      <c r="G667">
        <v>2.74</v>
      </c>
      <c r="H667">
        <v>2.0649999999999999</v>
      </c>
      <c r="I667">
        <v>3.4416666669999998</v>
      </c>
      <c r="J667">
        <v>5584.7108330000001</v>
      </c>
      <c r="K667">
        <v>5165.0208329999996</v>
      </c>
      <c r="L667">
        <v>6240.4583329999996</v>
      </c>
      <c r="M667">
        <v>23.515000000000001</v>
      </c>
      <c r="N667">
        <v>23.125</v>
      </c>
      <c r="O667">
        <v>23.943333330000002</v>
      </c>
      <c r="Q667" t="s">
        <v>344</v>
      </c>
      <c r="R667" t="s">
        <v>9887</v>
      </c>
      <c r="S667" t="s">
        <v>9065</v>
      </c>
      <c r="T667" t="s">
        <v>9066</v>
      </c>
    </row>
    <row r="668" spans="1:20" x14ac:dyDescent="0.25">
      <c r="A668" t="s">
        <v>9888</v>
      </c>
      <c r="B668">
        <v>-0.72</v>
      </c>
      <c r="C668">
        <v>11</v>
      </c>
      <c r="D668">
        <v>27.91</v>
      </c>
      <c r="E668">
        <v>26.883333329999999</v>
      </c>
      <c r="F668">
        <v>29.02</v>
      </c>
      <c r="G668">
        <v>3.2283333330000001</v>
      </c>
      <c r="H668">
        <v>2.4416666669999998</v>
      </c>
      <c r="I668">
        <v>4.0083333330000004</v>
      </c>
      <c r="J668">
        <v>5756.5258329999997</v>
      </c>
      <c r="K668">
        <v>5270.5208329999996</v>
      </c>
      <c r="L668">
        <v>6424.1666670000004</v>
      </c>
      <c r="M668">
        <v>24.395</v>
      </c>
      <c r="N668">
        <v>23.981666669999999</v>
      </c>
      <c r="O668">
        <v>24.891666669999999</v>
      </c>
      <c r="Q668" t="s">
        <v>344</v>
      </c>
      <c r="R668" t="s">
        <v>9889</v>
      </c>
      <c r="S668" t="s">
        <v>9058</v>
      </c>
      <c r="T668" t="s">
        <v>9059</v>
      </c>
    </row>
    <row r="669" spans="1:20" x14ac:dyDescent="0.25">
      <c r="A669" t="s">
        <v>9890</v>
      </c>
      <c r="B669">
        <v>-0.72</v>
      </c>
      <c r="C669">
        <v>11</v>
      </c>
      <c r="D669">
        <v>27.268333330000001</v>
      </c>
      <c r="E669">
        <v>25.673333329999998</v>
      </c>
      <c r="F669">
        <v>28.795000000000002</v>
      </c>
      <c r="G669">
        <v>3.0950000000000002</v>
      </c>
      <c r="H669">
        <v>2.39</v>
      </c>
      <c r="I669">
        <v>3.8666666670000001</v>
      </c>
      <c r="J669">
        <v>5332.6158329999998</v>
      </c>
      <c r="K669">
        <v>4945.6875</v>
      </c>
      <c r="L669">
        <v>5831.8125</v>
      </c>
      <c r="M669">
        <v>24.054166670000001</v>
      </c>
      <c r="N669">
        <v>23.466666669999999</v>
      </c>
      <c r="O669">
        <v>24.676666669999999</v>
      </c>
      <c r="Q669" t="s">
        <v>344</v>
      </c>
      <c r="R669" t="s">
        <v>9889</v>
      </c>
      <c r="S669" t="s">
        <v>9058</v>
      </c>
      <c r="T669" t="s">
        <v>9061</v>
      </c>
    </row>
    <row r="670" spans="1:20" x14ac:dyDescent="0.25">
      <c r="A670" t="s">
        <v>7419</v>
      </c>
      <c r="B670">
        <v>-2.59</v>
      </c>
      <c r="C670">
        <v>38</v>
      </c>
      <c r="D670">
        <v>25.991666670000001</v>
      </c>
      <c r="E670">
        <v>23.23</v>
      </c>
      <c r="F670">
        <v>28.93</v>
      </c>
      <c r="G670">
        <v>1.03</v>
      </c>
      <c r="H670">
        <v>4.1666666999999998E-2</v>
      </c>
      <c r="I670">
        <v>1.776666667</v>
      </c>
      <c r="J670">
        <v>5019.1875</v>
      </c>
      <c r="K670">
        <v>4611.2916670000004</v>
      </c>
      <c r="L670">
        <v>5567.5</v>
      </c>
      <c r="M670">
        <v>22.091666669999999</v>
      </c>
      <c r="N670">
        <v>20.92166667</v>
      </c>
      <c r="O670">
        <v>23.184999999999999</v>
      </c>
      <c r="Q670" t="s">
        <v>344</v>
      </c>
      <c r="R670" t="s">
        <v>9891</v>
      </c>
      <c r="S670" t="s">
        <v>9065</v>
      </c>
      <c r="T670" t="s">
        <v>9066</v>
      </c>
    </row>
    <row r="671" spans="1:20" x14ac:dyDescent="0.25">
      <c r="A671" t="s">
        <v>9892</v>
      </c>
      <c r="B671">
        <v>-2.6</v>
      </c>
      <c r="C671">
        <v>39.5</v>
      </c>
      <c r="D671">
        <v>26.517499999999998</v>
      </c>
      <c r="E671">
        <v>23.855</v>
      </c>
      <c r="F671">
        <v>29.234999999999999</v>
      </c>
      <c r="G671">
        <v>1.0508333329999999</v>
      </c>
      <c r="H671">
        <v>0.30833333299999999</v>
      </c>
      <c r="I671">
        <v>1.7</v>
      </c>
      <c r="J671">
        <v>5028.7691670000004</v>
      </c>
      <c r="K671">
        <v>4569.4791670000004</v>
      </c>
      <c r="L671">
        <v>5594.75</v>
      </c>
      <c r="M671">
        <v>22.459166669999998</v>
      </c>
      <c r="N671">
        <v>21.44</v>
      </c>
      <c r="O671">
        <v>23.495000000000001</v>
      </c>
      <c r="Q671" t="s">
        <v>344</v>
      </c>
      <c r="R671" t="s">
        <v>9891</v>
      </c>
      <c r="S671" t="s">
        <v>9058</v>
      </c>
      <c r="T671" t="s">
        <v>9061</v>
      </c>
    </row>
    <row r="672" spans="1:20" x14ac:dyDescent="0.25">
      <c r="A672" t="s">
        <v>9893</v>
      </c>
      <c r="B672">
        <v>-1.08</v>
      </c>
      <c r="C672">
        <v>36</v>
      </c>
      <c r="D672">
        <v>26.955833330000001</v>
      </c>
      <c r="E672">
        <v>25.164999999999999</v>
      </c>
      <c r="F672">
        <v>28.573333330000001</v>
      </c>
      <c r="G672">
        <v>1.018333333</v>
      </c>
      <c r="H672">
        <v>0.63166666699999996</v>
      </c>
      <c r="I672">
        <v>1.403333333</v>
      </c>
      <c r="J672">
        <v>5276.3675000000003</v>
      </c>
      <c r="K672">
        <v>4644.6875</v>
      </c>
      <c r="L672">
        <v>5963.8958329999996</v>
      </c>
      <c r="M672">
        <v>23.92583333</v>
      </c>
      <c r="N672">
        <v>23.364999999999998</v>
      </c>
      <c r="O672">
        <v>24.508333329999999</v>
      </c>
      <c r="Q672" t="s">
        <v>344</v>
      </c>
      <c r="R672" t="s">
        <v>9894</v>
      </c>
      <c r="S672" t="s">
        <v>9058</v>
      </c>
      <c r="T672" t="s">
        <v>9059</v>
      </c>
    </row>
    <row r="673" spans="1:20" x14ac:dyDescent="0.25">
      <c r="A673" t="s">
        <v>9895</v>
      </c>
      <c r="B673">
        <v>-1.08</v>
      </c>
      <c r="C673">
        <v>36</v>
      </c>
      <c r="D673">
        <v>26.7075</v>
      </c>
      <c r="E673">
        <v>24.68333333</v>
      </c>
      <c r="F673">
        <v>28.51166667</v>
      </c>
      <c r="G673">
        <v>1.5016666670000001</v>
      </c>
      <c r="H673">
        <v>0.67500000000000004</v>
      </c>
      <c r="I673">
        <v>2.2416666670000001</v>
      </c>
      <c r="J673">
        <v>4979.7075000000004</v>
      </c>
      <c r="K673">
        <v>4653.5</v>
      </c>
      <c r="L673">
        <v>5427.4791670000004</v>
      </c>
      <c r="M673">
        <v>23.715</v>
      </c>
      <c r="N673">
        <v>23.164999999999999</v>
      </c>
      <c r="O673">
        <v>24.283333330000001</v>
      </c>
      <c r="Q673" t="s">
        <v>344</v>
      </c>
      <c r="R673" t="s">
        <v>9894</v>
      </c>
      <c r="S673" t="s">
        <v>9058</v>
      </c>
      <c r="T673" t="s">
        <v>9061</v>
      </c>
    </row>
    <row r="674" spans="1:20" x14ac:dyDescent="0.25">
      <c r="A674" t="s">
        <v>7428</v>
      </c>
      <c r="B674">
        <v>-3.82</v>
      </c>
      <c r="C674">
        <v>148</v>
      </c>
      <c r="D674">
        <v>27.35916667</v>
      </c>
      <c r="E674">
        <v>25.431666669999998</v>
      </c>
      <c r="F674">
        <v>29.135000000000002</v>
      </c>
      <c r="G674">
        <v>1.3833333329999999</v>
      </c>
      <c r="H674">
        <v>0.75833333300000005</v>
      </c>
      <c r="I674">
        <v>1.9183333330000001</v>
      </c>
      <c r="J674">
        <v>4795.0016670000005</v>
      </c>
      <c r="K674">
        <v>4255.5625</v>
      </c>
      <c r="L674">
        <v>5431.4583329999996</v>
      </c>
      <c r="M674">
        <v>22.779166669999999</v>
      </c>
      <c r="N674">
        <v>22.041666670000001</v>
      </c>
      <c r="O674">
        <v>23.67</v>
      </c>
      <c r="Q674" t="s">
        <v>344</v>
      </c>
      <c r="R674" t="s">
        <v>9896</v>
      </c>
      <c r="S674" t="s">
        <v>9065</v>
      </c>
      <c r="T674" t="s">
        <v>9066</v>
      </c>
    </row>
    <row r="675" spans="1:20" x14ac:dyDescent="0.25">
      <c r="A675" t="s">
        <v>9897</v>
      </c>
      <c r="B675">
        <v>-3.82</v>
      </c>
      <c r="C675">
        <v>149.5</v>
      </c>
      <c r="D675">
        <v>27.055</v>
      </c>
      <c r="E675">
        <v>24.881666670000001</v>
      </c>
      <c r="F675">
        <v>29.05833333</v>
      </c>
      <c r="G675">
        <v>0.93083333300000004</v>
      </c>
      <c r="H675">
        <v>0.25</v>
      </c>
      <c r="I675">
        <v>1.35</v>
      </c>
      <c r="J675">
        <v>5030.9866670000001</v>
      </c>
      <c r="K675">
        <v>4544.9166670000004</v>
      </c>
      <c r="L675">
        <v>5636.0625</v>
      </c>
      <c r="M675">
        <v>22.5975</v>
      </c>
      <c r="N675">
        <v>21.946666669999999</v>
      </c>
      <c r="O675">
        <v>23.35166667</v>
      </c>
      <c r="Q675" t="s">
        <v>344</v>
      </c>
      <c r="R675" t="s">
        <v>9896</v>
      </c>
      <c r="S675" t="s">
        <v>9058</v>
      </c>
      <c r="T675" t="s">
        <v>9061</v>
      </c>
    </row>
    <row r="676" spans="1:20" x14ac:dyDescent="0.25">
      <c r="A676" t="s">
        <v>9898</v>
      </c>
      <c r="B676">
        <v>-3.79</v>
      </c>
      <c r="C676">
        <v>253</v>
      </c>
      <c r="D676">
        <v>27.019166670000001</v>
      </c>
      <c r="E676">
        <v>24.024999999999999</v>
      </c>
      <c r="F676">
        <v>29.701666670000002</v>
      </c>
      <c r="G676">
        <v>1.6791666670000001</v>
      </c>
      <c r="H676">
        <v>0.68333333299999999</v>
      </c>
      <c r="I676">
        <v>2.4783333330000001</v>
      </c>
      <c r="J676">
        <v>5339.9791670000004</v>
      </c>
      <c r="K676">
        <v>4842.6458329999996</v>
      </c>
      <c r="L676">
        <v>5982.1666670000004</v>
      </c>
      <c r="M676">
        <v>23.888333329999998</v>
      </c>
      <c r="N676">
        <v>22.963333330000001</v>
      </c>
      <c r="O676">
        <v>24.893333330000001</v>
      </c>
      <c r="Q676" t="s">
        <v>344</v>
      </c>
      <c r="R676" t="s">
        <v>9899</v>
      </c>
      <c r="S676" t="s">
        <v>9058</v>
      </c>
      <c r="T676" t="s">
        <v>9059</v>
      </c>
    </row>
    <row r="677" spans="1:20" x14ac:dyDescent="0.25">
      <c r="A677" t="s">
        <v>9900</v>
      </c>
      <c r="B677">
        <v>-3.79</v>
      </c>
      <c r="C677">
        <v>253</v>
      </c>
      <c r="D677">
        <v>27.320833329999999</v>
      </c>
      <c r="E677">
        <v>25.15</v>
      </c>
      <c r="F677">
        <v>29.164999999999999</v>
      </c>
      <c r="G677">
        <v>1.7649999999999999</v>
      </c>
      <c r="H677">
        <v>1.05</v>
      </c>
      <c r="I677">
        <v>2.4166666669999999</v>
      </c>
      <c r="J677">
        <v>5054.6641669999999</v>
      </c>
      <c r="K677">
        <v>4584.1041670000004</v>
      </c>
      <c r="L677">
        <v>5703.1666670000004</v>
      </c>
      <c r="M677">
        <v>23.93416667</v>
      </c>
      <c r="N677">
        <v>23.065000000000001</v>
      </c>
      <c r="O677">
        <v>24.795000000000002</v>
      </c>
      <c r="Q677" t="s">
        <v>344</v>
      </c>
      <c r="R677" t="s">
        <v>9899</v>
      </c>
      <c r="S677" t="s">
        <v>9058</v>
      </c>
      <c r="T677" t="s">
        <v>9061</v>
      </c>
    </row>
    <row r="678" spans="1:20" x14ac:dyDescent="0.25">
      <c r="A678" t="s">
        <v>7492</v>
      </c>
      <c r="B678">
        <v>-6.96</v>
      </c>
      <c r="C678">
        <v>575</v>
      </c>
      <c r="D678">
        <v>22.474166669999999</v>
      </c>
      <c r="E678">
        <v>20.65</v>
      </c>
      <c r="F678">
        <v>24.23833333</v>
      </c>
      <c r="G678">
        <v>3.9883333329999999</v>
      </c>
      <c r="H678">
        <v>3.1333333329999999</v>
      </c>
      <c r="I678">
        <v>4.8125</v>
      </c>
      <c r="J678">
        <v>4925.8500000000004</v>
      </c>
      <c r="K678">
        <v>4271.2916670000004</v>
      </c>
      <c r="L678">
        <v>5707.6875</v>
      </c>
      <c r="M678">
        <v>19.975000000000001</v>
      </c>
      <c r="N678">
        <v>19.481666669999999</v>
      </c>
      <c r="O678">
        <v>20.576666670000002</v>
      </c>
      <c r="Q678" t="s">
        <v>348</v>
      </c>
      <c r="R678" t="s">
        <v>9901</v>
      </c>
      <c r="S678" t="s">
        <v>9065</v>
      </c>
      <c r="T678" t="s">
        <v>9066</v>
      </c>
    </row>
    <row r="679" spans="1:20" x14ac:dyDescent="0.25">
      <c r="A679" t="s">
        <v>9902</v>
      </c>
      <c r="B679">
        <v>-6.97</v>
      </c>
      <c r="C679">
        <v>576.1</v>
      </c>
      <c r="D679">
        <v>22.728333330000002</v>
      </c>
      <c r="E679">
        <v>20.591666669999999</v>
      </c>
      <c r="F679">
        <v>24.798333329999998</v>
      </c>
      <c r="G679">
        <v>3.6408333329999998</v>
      </c>
      <c r="H679">
        <v>2.7483333330000002</v>
      </c>
      <c r="I679">
        <v>4.4958333330000002</v>
      </c>
      <c r="J679">
        <v>5252.8416669999997</v>
      </c>
      <c r="K679">
        <v>4817.4583329999996</v>
      </c>
      <c r="L679">
        <v>5813.2291670000004</v>
      </c>
      <c r="M679">
        <v>19.019166670000001</v>
      </c>
      <c r="N679">
        <v>18.375</v>
      </c>
      <c r="O679">
        <v>19.875</v>
      </c>
      <c r="Q679" t="s">
        <v>348</v>
      </c>
      <c r="R679" t="s">
        <v>9901</v>
      </c>
      <c r="S679" t="s">
        <v>9058</v>
      </c>
      <c r="T679" t="s">
        <v>9061</v>
      </c>
    </row>
    <row r="680" spans="1:20" x14ac:dyDescent="0.25">
      <c r="A680" t="s">
        <v>7504</v>
      </c>
      <c r="B680">
        <v>-7.48</v>
      </c>
      <c r="C680">
        <v>436</v>
      </c>
      <c r="D680">
        <v>25.38</v>
      </c>
      <c r="E680">
        <v>22.61333333</v>
      </c>
      <c r="F680">
        <v>28.301666669999999</v>
      </c>
      <c r="G680">
        <v>2.8841666670000001</v>
      </c>
      <c r="H680">
        <v>1.6983333329999999</v>
      </c>
      <c r="I680">
        <v>4.0183333330000002</v>
      </c>
      <c r="J680">
        <v>5600.3108329999995</v>
      </c>
      <c r="K680">
        <v>5141.1041670000004</v>
      </c>
      <c r="L680">
        <v>6240.8541670000004</v>
      </c>
      <c r="M680">
        <v>18.991666670000001</v>
      </c>
      <c r="N680">
        <v>17.95</v>
      </c>
      <c r="O680">
        <v>20.293333329999999</v>
      </c>
      <c r="Q680" t="s">
        <v>348</v>
      </c>
      <c r="R680" t="s">
        <v>9903</v>
      </c>
      <c r="S680" t="s">
        <v>9065</v>
      </c>
      <c r="T680" t="s">
        <v>9066</v>
      </c>
    </row>
    <row r="681" spans="1:20" x14ac:dyDescent="0.25">
      <c r="A681" t="s">
        <v>9904</v>
      </c>
      <c r="B681">
        <v>-7.48</v>
      </c>
      <c r="C681">
        <v>437.5</v>
      </c>
      <c r="D681">
        <v>25.54666667</v>
      </c>
      <c r="E681">
        <v>22.533333330000001</v>
      </c>
      <c r="F681">
        <v>28.516666669999999</v>
      </c>
      <c r="G681">
        <v>3.2808333329999999</v>
      </c>
      <c r="H681">
        <v>2.0499999999999998</v>
      </c>
      <c r="I681">
        <v>4.4666666670000001</v>
      </c>
      <c r="J681">
        <v>5478.4549999999999</v>
      </c>
      <c r="K681">
        <v>4858.4166670000004</v>
      </c>
      <c r="L681">
        <v>6198.0833329999996</v>
      </c>
      <c r="M681">
        <v>18.194166670000001</v>
      </c>
      <c r="N681">
        <v>17.125</v>
      </c>
      <c r="O681">
        <v>19.55</v>
      </c>
      <c r="Q681" t="s">
        <v>348</v>
      </c>
      <c r="R681" t="s">
        <v>9903</v>
      </c>
      <c r="S681" t="s">
        <v>9058</v>
      </c>
      <c r="T681" t="s">
        <v>9061</v>
      </c>
    </row>
    <row r="682" spans="1:20" x14ac:dyDescent="0.25">
      <c r="A682" t="s">
        <v>7501</v>
      </c>
      <c r="B682">
        <v>-6.61</v>
      </c>
      <c r="C682">
        <v>136</v>
      </c>
      <c r="D682">
        <v>24.855833329999999</v>
      </c>
      <c r="E682">
        <v>22.831666670000001</v>
      </c>
      <c r="F682">
        <v>27.035</v>
      </c>
      <c r="G682">
        <v>3.4216666670000002</v>
      </c>
      <c r="H682">
        <v>2.233333333</v>
      </c>
      <c r="I682">
        <v>4.6208333330000002</v>
      </c>
      <c r="J682">
        <v>5300.7833330000003</v>
      </c>
      <c r="K682">
        <v>4755.0208329999996</v>
      </c>
      <c r="L682">
        <v>6082.8333329999996</v>
      </c>
      <c r="M682">
        <v>21.214166670000001</v>
      </c>
      <c r="N682">
        <v>20.625</v>
      </c>
      <c r="O682">
        <v>21.891666669999999</v>
      </c>
      <c r="Q682" t="s">
        <v>348</v>
      </c>
      <c r="R682" t="s">
        <v>9905</v>
      </c>
      <c r="S682" t="s">
        <v>9065</v>
      </c>
      <c r="T682" t="s">
        <v>9066</v>
      </c>
    </row>
    <row r="683" spans="1:20" x14ac:dyDescent="0.25">
      <c r="A683" t="s">
        <v>9906</v>
      </c>
      <c r="B683">
        <v>-6.62</v>
      </c>
      <c r="C683">
        <v>137.5</v>
      </c>
      <c r="D683">
        <v>25.537500000000001</v>
      </c>
      <c r="E683">
        <v>23.571666669999999</v>
      </c>
      <c r="F683">
        <v>27.58</v>
      </c>
      <c r="G683">
        <v>2.8133333330000001</v>
      </c>
      <c r="H683">
        <v>1.8</v>
      </c>
      <c r="I683">
        <v>3.6116666670000002</v>
      </c>
      <c r="J683">
        <v>5389.3441670000002</v>
      </c>
      <c r="K683">
        <v>5076.9791670000004</v>
      </c>
      <c r="L683">
        <v>5841.7083329999996</v>
      </c>
      <c r="M683">
        <v>21.44166667</v>
      </c>
      <c r="N683">
        <v>20.815000000000001</v>
      </c>
      <c r="O683">
        <v>22.141666669999999</v>
      </c>
      <c r="Q683" t="s">
        <v>348</v>
      </c>
      <c r="R683" t="s">
        <v>9905</v>
      </c>
      <c r="S683" t="s">
        <v>9058</v>
      </c>
      <c r="T683" t="s">
        <v>9061</v>
      </c>
    </row>
    <row r="684" spans="1:20" x14ac:dyDescent="0.25">
      <c r="A684" t="s">
        <v>9907</v>
      </c>
      <c r="B684">
        <v>-7.27</v>
      </c>
      <c r="C684">
        <v>501.7</v>
      </c>
      <c r="D684">
        <v>23.93333333</v>
      </c>
      <c r="E684">
        <v>21.43333333</v>
      </c>
      <c r="F684">
        <v>26.67583333</v>
      </c>
      <c r="G684">
        <v>3.7075</v>
      </c>
      <c r="H684">
        <v>2.6</v>
      </c>
      <c r="I684">
        <v>4.6458333329999997</v>
      </c>
      <c r="J684">
        <v>5807.7116669999996</v>
      </c>
      <c r="K684">
        <v>5045.125</v>
      </c>
      <c r="L684">
        <v>6695.4791670000004</v>
      </c>
      <c r="M684">
        <v>19.795000000000002</v>
      </c>
      <c r="N684">
        <v>19.05</v>
      </c>
      <c r="O684">
        <v>20.626666669999999</v>
      </c>
      <c r="Q684" t="s">
        <v>348</v>
      </c>
      <c r="R684" t="s">
        <v>9908</v>
      </c>
      <c r="S684" t="s">
        <v>9058</v>
      </c>
      <c r="T684" t="s">
        <v>9059</v>
      </c>
    </row>
    <row r="685" spans="1:20" x14ac:dyDescent="0.25">
      <c r="A685" t="s">
        <v>9909</v>
      </c>
      <c r="B685">
        <v>-7.27</v>
      </c>
      <c r="C685">
        <v>501.7</v>
      </c>
      <c r="D685">
        <v>24.055833329999999</v>
      </c>
      <c r="E685">
        <v>21.541666670000001</v>
      </c>
      <c r="F685">
        <v>26.635000000000002</v>
      </c>
      <c r="G685">
        <v>3.9158333330000001</v>
      </c>
      <c r="H685">
        <v>2.8533333330000001</v>
      </c>
      <c r="I685">
        <v>4.8849999999999998</v>
      </c>
      <c r="J685">
        <v>5280.94</v>
      </c>
      <c r="K685">
        <v>4763.3333329999996</v>
      </c>
      <c r="L685">
        <v>5767.0416670000004</v>
      </c>
      <c r="M685">
        <v>19.715833329999999</v>
      </c>
      <c r="N685">
        <v>18.975000000000001</v>
      </c>
      <c r="O685">
        <v>20.625</v>
      </c>
      <c r="Q685" t="s">
        <v>348</v>
      </c>
      <c r="R685" t="s">
        <v>9908</v>
      </c>
      <c r="S685" t="s">
        <v>9058</v>
      </c>
      <c r="T685" t="s">
        <v>9061</v>
      </c>
    </row>
    <row r="686" spans="1:20" x14ac:dyDescent="0.25">
      <c r="A686" t="s">
        <v>7499</v>
      </c>
      <c r="B686">
        <v>-7.23</v>
      </c>
      <c r="C686">
        <v>548</v>
      </c>
      <c r="D686">
        <v>23.626666669999999</v>
      </c>
      <c r="E686">
        <v>21.31666667</v>
      </c>
      <c r="F686">
        <v>25.905000000000001</v>
      </c>
      <c r="G686">
        <v>3.0958333329999999</v>
      </c>
      <c r="H686">
        <v>2.2749999999999999</v>
      </c>
      <c r="I686">
        <v>3.91</v>
      </c>
      <c r="J686">
        <v>5329.6291670000001</v>
      </c>
      <c r="K686">
        <v>4739.7916670000004</v>
      </c>
      <c r="L686">
        <v>6061.2708329999996</v>
      </c>
      <c r="M686">
        <v>19.235833329999998</v>
      </c>
      <c r="N686">
        <v>18.55833333</v>
      </c>
      <c r="O686">
        <v>20.149999999999999</v>
      </c>
      <c r="Q686" t="s">
        <v>348</v>
      </c>
      <c r="R686" t="s">
        <v>9910</v>
      </c>
      <c r="S686" t="s">
        <v>9065</v>
      </c>
      <c r="T686" t="s">
        <v>9066</v>
      </c>
    </row>
    <row r="687" spans="1:20" x14ac:dyDescent="0.25">
      <c r="A687" t="s">
        <v>9911</v>
      </c>
      <c r="B687">
        <v>-7.23</v>
      </c>
      <c r="C687">
        <v>549.5</v>
      </c>
      <c r="D687">
        <v>23.889166670000002</v>
      </c>
      <c r="E687">
        <v>21.39</v>
      </c>
      <c r="F687">
        <v>26.285833329999999</v>
      </c>
      <c r="G687">
        <v>3.5008333330000001</v>
      </c>
      <c r="H687">
        <v>2.6583333329999999</v>
      </c>
      <c r="I687">
        <v>4.3333333329999997</v>
      </c>
      <c r="J687">
        <v>5309.5908330000002</v>
      </c>
      <c r="K687">
        <v>4796.8958329999996</v>
      </c>
      <c r="L687">
        <v>5922.9166670000004</v>
      </c>
      <c r="M687">
        <v>19.1175</v>
      </c>
      <c r="N687">
        <v>18.423333329999998</v>
      </c>
      <c r="O687">
        <v>20.09333333</v>
      </c>
      <c r="Q687" t="s">
        <v>348</v>
      </c>
      <c r="R687" t="s">
        <v>9912</v>
      </c>
      <c r="S687" t="s">
        <v>9058</v>
      </c>
      <c r="T687" t="s">
        <v>9061</v>
      </c>
    </row>
    <row r="688" spans="1:20" x14ac:dyDescent="0.25">
      <c r="A688" t="s">
        <v>7496</v>
      </c>
      <c r="B688">
        <v>-7.11</v>
      </c>
      <c r="C688">
        <v>44</v>
      </c>
      <c r="D688">
        <v>26.026666670000001</v>
      </c>
      <c r="E688">
        <v>24.556666669999998</v>
      </c>
      <c r="F688">
        <v>27.608333330000001</v>
      </c>
      <c r="G688">
        <v>2.4291666670000001</v>
      </c>
      <c r="H688">
        <v>1.63</v>
      </c>
      <c r="I688">
        <v>3.1783333329999999</v>
      </c>
      <c r="J688">
        <v>5619.3166670000001</v>
      </c>
      <c r="K688">
        <v>5133.125</v>
      </c>
      <c r="L688">
        <v>6357.3333329999996</v>
      </c>
      <c r="M688">
        <v>21.48</v>
      </c>
      <c r="N688">
        <v>20.925000000000001</v>
      </c>
      <c r="O688">
        <v>22.083333329999999</v>
      </c>
      <c r="Q688" t="s">
        <v>348</v>
      </c>
      <c r="R688" t="s">
        <v>9913</v>
      </c>
      <c r="S688" t="s">
        <v>9065</v>
      </c>
      <c r="T688" t="s">
        <v>9066</v>
      </c>
    </row>
    <row r="689" spans="1:20" x14ac:dyDescent="0.25">
      <c r="A689" t="s">
        <v>9914</v>
      </c>
      <c r="B689">
        <v>-7.1</v>
      </c>
      <c r="C689">
        <v>7</v>
      </c>
      <c r="D689">
        <v>25.983333330000001</v>
      </c>
      <c r="E689">
        <v>24.083333329999999</v>
      </c>
      <c r="F689">
        <v>28.083333329999999</v>
      </c>
      <c r="G689">
        <v>3.3966666669999999</v>
      </c>
      <c r="H689">
        <v>1.9</v>
      </c>
      <c r="I689">
        <v>4.7583333330000004</v>
      </c>
      <c r="J689">
        <v>5871.8083329999999</v>
      </c>
      <c r="K689">
        <v>5330.1458329999996</v>
      </c>
      <c r="L689">
        <v>6666.0208329999996</v>
      </c>
      <c r="M689">
        <v>21.639166670000002</v>
      </c>
      <c r="N689">
        <v>21.166666670000001</v>
      </c>
      <c r="O689">
        <v>22.35</v>
      </c>
      <c r="Q689" t="s">
        <v>348</v>
      </c>
      <c r="R689" t="s">
        <v>9915</v>
      </c>
      <c r="S689" t="s">
        <v>9058</v>
      </c>
      <c r="T689" t="s">
        <v>9059</v>
      </c>
    </row>
    <row r="690" spans="1:20" x14ac:dyDescent="0.25">
      <c r="A690" t="s">
        <v>9916</v>
      </c>
      <c r="B690">
        <v>-7.1</v>
      </c>
      <c r="C690">
        <v>7</v>
      </c>
      <c r="D690">
        <v>25.990833330000001</v>
      </c>
      <c r="E690">
        <v>24.283333330000001</v>
      </c>
      <c r="F690">
        <v>27.96833333</v>
      </c>
      <c r="G690">
        <v>3.673333333</v>
      </c>
      <c r="H690">
        <v>2.2833333329999999</v>
      </c>
      <c r="I690">
        <v>4.95</v>
      </c>
      <c r="J690">
        <v>5475.2749999999996</v>
      </c>
      <c r="K690">
        <v>5185.0625</v>
      </c>
      <c r="L690">
        <v>5889.9583329999996</v>
      </c>
      <c r="M690">
        <v>22.012499999999999</v>
      </c>
      <c r="N690">
        <v>21.43333333</v>
      </c>
      <c r="O690">
        <v>22.68333333</v>
      </c>
      <c r="Q690" t="s">
        <v>348</v>
      </c>
      <c r="R690" t="s">
        <v>9915</v>
      </c>
      <c r="S690" t="s">
        <v>9058</v>
      </c>
      <c r="T690" t="s">
        <v>9061</v>
      </c>
    </row>
    <row r="691" spans="1:20" x14ac:dyDescent="0.25">
      <c r="A691" t="s">
        <v>7497</v>
      </c>
      <c r="B691">
        <v>-7.89</v>
      </c>
      <c r="C691">
        <v>604</v>
      </c>
      <c r="D691">
        <v>24.241666670000001</v>
      </c>
      <c r="E691">
        <v>21.196666669999999</v>
      </c>
      <c r="F691">
        <v>27.41333333</v>
      </c>
      <c r="G691">
        <v>2.6066666669999998</v>
      </c>
      <c r="H691">
        <v>1.6483333330000001</v>
      </c>
      <c r="I691">
        <v>3.494166667</v>
      </c>
      <c r="J691">
        <v>5914.3783329999997</v>
      </c>
      <c r="K691">
        <v>5379.75</v>
      </c>
      <c r="L691">
        <v>6641.8958329999996</v>
      </c>
      <c r="M691">
        <v>17.355833329999999</v>
      </c>
      <c r="N691">
        <v>16.188333329999999</v>
      </c>
      <c r="O691">
        <v>18.75</v>
      </c>
      <c r="Q691" t="s">
        <v>348</v>
      </c>
      <c r="R691" t="s">
        <v>9917</v>
      </c>
      <c r="S691" t="s">
        <v>9065</v>
      </c>
      <c r="T691" t="s">
        <v>9066</v>
      </c>
    </row>
    <row r="692" spans="1:20" x14ac:dyDescent="0.25">
      <c r="A692" t="s">
        <v>9918</v>
      </c>
      <c r="B692">
        <v>-7.89</v>
      </c>
      <c r="C692">
        <v>606.5</v>
      </c>
      <c r="D692">
        <v>25.141666669999999</v>
      </c>
      <c r="E692">
        <v>21.694166670000001</v>
      </c>
      <c r="F692">
        <v>28.549166670000002</v>
      </c>
      <c r="G692">
        <v>3.246666667</v>
      </c>
      <c r="H692">
        <v>2.2483333330000002</v>
      </c>
      <c r="I692">
        <v>4.2850000000000001</v>
      </c>
      <c r="J692">
        <v>5887.1241669999999</v>
      </c>
      <c r="K692">
        <v>5315.3125</v>
      </c>
      <c r="L692">
        <v>6613.6875</v>
      </c>
      <c r="M692">
        <v>16.134166669999999</v>
      </c>
      <c r="N692">
        <v>14.75333333</v>
      </c>
      <c r="O692">
        <v>17.785</v>
      </c>
      <c r="Q692" t="s">
        <v>348</v>
      </c>
      <c r="R692" t="s">
        <v>9917</v>
      </c>
      <c r="S692" t="s">
        <v>9058</v>
      </c>
      <c r="T692" t="s">
        <v>9061</v>
      </c>
    </row>
    <row r="693" spans="1:20" x14ac:dyDescent="0.25">
      <c r="A693" t="s">
        <v>7490</v>
      </c>
      <c r="B693">
        <v>-7.02</v>
      </c>
      <c r="C693">
        <v>249</v>
      </c>
      <c r="D693">
        <v>27.24</v>
      </c>
      <c r="E693">
        <v>24.17</v>
      </c>
      <c r="F693">
        <v>30.311666670000001</v>
      </c>
      <c r="G693">
        <v>2.8624999999999998</v>
      </c>
      <c r="H693">
        <v>1.8233333329999999</v>
      </c>
      <c r="I693">
        <v>3.8433333329999999</v>
      </c>
      <c r="J693">
        <v>6082.0825000000004</v>
      </c>
      <c r="K693">
        <v>5588.8333329999996</v>
      </c>
      <c r="L693">
        <v>6759.9375</v>
      </c>
      <c r="M693">
        <v>18.44083333</v>
      </c>
      <c r="N693">
        <v>17.19166667</v>
      </c>
      <c r="O693">
        <v>19.883333329999999</v>
      </c>
      <c r="Q693" t="s">
        <v>348</v>
      </c>
      <c r="R693" t="s">
        <v>9919</v>
      </c>
      <c r="S693" t="s">
        <v>9065</v>
      </c>
      <c r="T693" t="s">
        <v>9066</v>
      </c>
    </row>
    <row r="694" spans="1:20" x14ac:dyDescent="0.25">
      <c r="A694" t="s">
        <v>9920</v>
      </c>
      <c r="B694">
        <v>-7.02</v>
      </c>
      <c r="C694">
        <v>282</v>
      </c>
      <c r="D694">
        <v>27.728333330000002</v>
      </c>
      <c r="E694">
        <v>24.196666669999999</v>
      </c>
      <c r="F694">
        <v>30.958333329999999</v>
      </c>
      <c r="G694">
        <v>3.3174999999999999</v>
      </c>
      <c r="H694">
        <v>2.4733333329999998</v>
      </c>
      <c r="I694">
        <v>4.0666666669999998</v>
      </c>
      <c r="J694">
        <v>6103.6733329999997</v>
      </c>
      <c r="K694">
        <v>5677.8541670000004</v>
      </c>
      <c r="L694">
        <v>6721.0625</v>
      </c>
      <c r="M694">
        <v>17.098333329999999</v>
      </c>
      <c r="N694">
        <v>15.58</v>
      </c>
      <c r="O694">
        <v>19</v>
      </c>
      <c r="Q694" t="s">
        <v>348</v>
      </c>
      <c r="R694" t="s">
        <v>9919</v>
      </c>
      <c r="S694" t="s">
        <v>9058</v>
      </c>
      <c r="T694" t="s">
        <v>9061</v>
      </c>
    </row>
    <row r="695" spans="1:20" x14ac:dyDescent="0.25">
      <c r="A695" t="s">
        <v>9921</v>
      </c>
      <c r="B695">
        <v>-9.35</v>
      </c>
      <c r="C695">
        <v>385</v>
      </c>
      <c r="D695">
        <v>27.661666669999999</v>
      </c>
      <c r="E695">
        <v>24.416666670000001</v>
      </c>
      <c r="F695">
        <v>30.916666670000001</v>
      </c>
      <c r="G695">
        <v>3.8658333329999999</v>
      </c>
      <c r="H695">
        <v>2.85</v>
      </c>
      <c r="I695">
        <v>4.9275000000000002</v>
      </c>
      <c r="J695">
        <v>6289.4491669999998</v>
      </c>
      <c r="K695">
        <v>5852.9583329999996</v>
      </c>
      <c r="L695">
        <v>7001.1041670000004</v>
      </c>
      <c r="M695">
        <v>16.869166669999998</v>
      </c>
      <c r="N695">
        <v>15.4625</v>
      </c>
      <c r="O695">
        <v>18.583333329999999</v>
      </c>
      <c r="Q695" t="s">
        <v>348</v>
      </c>
      <c r="R695" t="s">
        <v>9922</v>
      </c>
      <c r="S695" t="s">
        <v>9058</v>
      </c>
      <c r="T695" t="s">
        <v>9059</v>
      </c>
    </row>
    <row r="696" spans="1:20" x14ac:dyDescent="0.25">
      <c r="A696" t="s">
        <v>9923</v>
      </c>
      <c r="B696">
        <v>-9.36</v>
      </c>
      <c r="C696">
        <v>385</v>
      </c>
      <c r="D696">
        <v>27.53083333</v>
      </c>
      <c r="E696">
        <v>24.5</v>
      </c>
      <c r="F696">
        <v>30.666666670000001</v>
      </c>
      <c r="G696">
        <v>3.8708333330000002</v>
      </c>
      <c r="H696">
        <v>2.8566666669999998</v>
      </c>
      <c r="I696">
        <v>4.9000000000000004</v>
      </c>
      <c r="J696">
        <v>5718.0758329999999</v>
      </c>
      <c r="K696">
        <v>5108.7083329999996</v>
      </c>
      <c r="L696">
        <v>6573.9583329999996</v>
      </c>
      <c r="M696">
        <v>17.644166670000001</v>
      </c>
      <c r="N696">
        <v>16.324999999999999</v>
      </c>
      <c r="O696">
        <v>19.408333330000001</v>
      </c>
      <c r="Q696" t="s">
        <v>348</v>
      </c>
      <c r="R696" t="s">
        <v>9922</v>
      </c>
      <c r="S696" t="s">
        <v>9058</v>
      </c>
      <c r="T696" t="s">
        <v>9061</v>
      </c>
    </row>
    <row r="697" spans="1:20" x14ac:dyDescent="0.25">
      <c r="A697" t="s">
        <v>6414</v>
      </c>
      <c r="B697">
        <v>-6.84</v>
      </c>
      <c r="C697">
        <v>234</v>
      </c>
      <c r="D697">
        <v>26.833333329999999</v>
      </c>
      <c r="E697">
        <v>24.016666669999999</v>
      </c>
      <c r="F697">
        <v>29.911666669999999</v>
      </c>
      <c r="G697">
        <v>1.670833333</v>
      </c>
      <c r="H697">
        <v>0.70833333300000001</v>
      </c>
      <c r="I697">
        <v>2.5</v>
      </c>
      <c r="J697">
        <v>6150.330833</v>
      </c>
      <c r="K697">
        <v>5712.875</v>
      </c>
      <c r="L697">
        <v>6855.2916670000004</v>
      </c>
      <c r="M697">
        <v>19.067499999999999</v>
      </c>
      <c r="N697">
        <v>17.751666669999999</v>
      </c>
      <c r="O697">
        <v>20.6</v>
      </c>
      <c r="Q697" t="s">
        <v>348</v>
      </c>
      <c r="R697" t="s">
        <v>9924</v>
      </c>
      <c r="S697" t="s">
        <v>9065</v>
      </c>
      <c r="T697" t="s">
        <v>9066</v>
      </c>
    </row>
    <row r="698" spans="1:20" x14ac:dyDescent="0.25">
      <c r="A698" t="s">
        <v>9925</v>
      </c>
      <c r="B698">
        <v>-6.84</v>
      </c>
      <c r="C698">
        <v>235.5</v>
      </c>
      <c r="D698">
        <v>27.89083333</v>
      </c>
      <c r="E698">
        <v>24.979166670000001</v>
      </c>
      <c r="F698">
        <v>30.97</v>
      </c>
      <c r="G698">
        <v>2.068333333</v>
      </c>
      <c r="H698">
        <v>0.98166666700000005</v>
      </c>
      <c r="I698">
        <v>3.01</v>
      </c>
      <c r="J698">
        <v>6086.5341669999998</v>
      </c>
      <c r="K698">
        <v>5552.125</v>
      </c>
      <c r="L698">
        <v>6717.4583329999996</v>
      </c>
      <c r="M698">
        <v>17.231666669999999</v>
      </c>
      <c r="N698">
        <v>15.8225</v>
      </c>
      <c r="O698">
        <v>18.85166667</v>
      </c>
      <c r="Q698" t="s">
        <v>348</v>
      </c>
      <c r="R698" t="s">
        <v>9924</v>
      </c>
      <c r="S698" t="s">
        <v>9058</v>
      </c>
      <c r="T698" t="s">
        <v>9061</v>
      </c>
    </row>
    <row r="699" spans="1:20" x14ac:dyDescent="0.25">
      <c r="A699" t="s">
        <v>9926</v>
      </c>
      <c r="B699">
        <v>-8.43</v>
      </c>
      <c r="C699">
        <v>682</v>
      </c>
      <c r="D699">
        <v>23.87833333</v>
      </c>
      <c r="E699">
        <v>20.64833333</v>
      </c>
      <c r="F699">
        <v>27.03</v>
      </c>
      <c r="G699">
        <v>3.3666666670000001</v>
      </c>
      <c r="H699">
        <v>2.4866666670000002</v>
      </c>
      <c r="I699">
        <v>4.2750000000000004</v>
      </c>
      <c r="J699">
        <v>5633.6366669999998</v>
      </c>
      <c r="K699">
        <v>5004.9375</v>
      </c>
      <c r="L699">
        <v>6363.8333329999996</v>
      </c>
      <c r="M699">
        <v>16.717500000000001</v>
      </c>
      <c r="N699">
        <v>15.68166667</v>
      </c>
      <c r="O699">
        <v>18.079166669999999</v>
      </c>
      <c r="Q699" t="s">
        <v>323</v>
      </c>
      <c r="R699" t="s">
        <v>9927</v>
      </c>
      <c r="S699" t="s">
        <v>9058</v>
      </c>
      <c r="T699" t="s">
        <v>9061</v>
      </c>
    </row>
    <row r="700" spans="1:20" x14ac:dyDescent="0.25">
      <c r="A700" t="s">
        <v>7579</v>
      </c>
      <c r="B700">
        <v>-8.42</v>
      </c>
      <c r="C700">
        <v>681</v>
      </c>
      <c r="D700">
        <v>23.591666669999999</v>
      </c>
      <c r="E700">
        <v>20.581666670000001</v>
      </c>
      <c r="F700">
        <v>26.633333329999999</v>
      </c>
      <c r="G700">
        <v>3.1</v>
      </c>
      <c r="H700">
        <v>2.1666666669999999</v>
      </c>
      <c r="I700">
        <v>3.951666667</v>
      </c>
      <c r="J700">
        <v>5602.6308330000002</v>
      </c>
      <c r="K700">
        <v>5053.5208329999996</v>
      </c>
      <c r="L700">
        <v>6398.0625</v>
      </c>
      <c r="M700">
        <v>16.71166667</v>
      </c>
      <c r="N700">
        <v>15.71666667</v>
      </c>
      <c r="O700">
        <v>17.96</v>
      </c>
      <c r="Q700" t="s">
        <v>323</v>
      </c>
      <c r="R700" t="s">
        <v>9928</v>
      </c>
      <c r="S700" t="s">
        <v>9065</v>
      </c>
      <c r="T700" t="s">
        <v>9066</v>
      </c>
    </row>
    <row r="701" spans="1:20" x14ac:dyDescent="0.25">
      <c r="A701" t="s">
        <v>9929</v>
      </c>
      <c r="B701">
        <v>-8.5</v>
      </c>
      <c r="C701">
        <v>343.5</v>
      </c>
      <c r="D701">
        <v>27.282499999999999</v>
      </c>
      <c r="E701">
        <v>24.27</v>
      </c>
      <c r="F701">
        <v>30.205833330000001</v>
      </c>
      <c r="G701">
        <v>1.76</v>
      </c>
      <c r="H701">
        <v>0.20833333300000001</v>
      </c>
      <c r="I701">
        <v>2.9016666670000002</v>
      </c>
      <c r="J701">
        <v>5644.419167</v>
      </c>
      <c r="K701">
        <v>5044.125</v>
      </c>
      <c r="L701">
        <v>6464.5416670000004</v>
      </c>
      <c r="M701">
        <v>11.393333330000001</v>
      </c>
      <c r="N701">
        <v>8.7383333329999999</v>
      </c>
      <c r="O701">
        <v>13.875</v>
      </c>
      <c r="Q701" t="s">
        <v>323</v>
      </c>
      <c r="R701" t="s">
        <v>9930</v>
      </c>
      <c r="S701" t="s">
        <v>9058</v>
      </c>
      <c r="T701" t="s">
        <v>9061</v>
      </c>
    </row>
    <row r="702" spans="1:20" x14ac:dyDescent="0.25">
      <c r="A702" t="s">
        <v>6194</v>
      </c>
      <c r="B702">
        <v>-8.5</v>
      </c>
      <c r="C702">
        <v>342</v>
      </c>
      <c r="D702">
        <v>26.78166667</v>
      </c>
      <c r="E702">
        <v>23.938333329999999</v>
      </c>
      <c r="F702">
        <v>29.603333330000002</v>
      </c>
      <c r="G702">
        <v>3.0916666670000001</v>
      </c>
      <c r="H702">
        <v>1.796666667</v>
      </c>
      <c r="I702">
        <v>4.3</v>
      </c>
      <c r="J702">
        <v>5643.8725000000004</v>
      </c>
      <c r="K702">
        <v>5070.8333329999996</v>
      </c>
      <c r="L702">
        <v>6360.0208329999996</v>
      </c>
      <c r="M702">
        <v>18.1525</v>
      </c>
      <c r="N702">
        <v>16.73833333</v>
      </c>
      <c r="O702">
        <v>19.760000000000002</v>
      </c>
      <c r="Q702" t="s">
        <v>323</v>
      </c>
      <c r="R702" t="s">
        <v>9931</v>
      </c>
      <c r="S702" t="s">
        <v>9065</v>
      </c>
      <c r="T702" t="s">
        <v>9066</v>
      </c>
    </row>
    <row r="703" spans="1:20" x14ac:dyDescent="0.25">
      <c r="A703" t="s">
        <v>9932</v>
      </c>
      <c r="B703">
        <v>-8.24</v>
      </c>
      <c r="C703">
        <v>551.5</v>
      </c>
      <c r="D703">
        <v>22.759166669999999</v>
      </c>
      <c r="E703">
        <v>20.258333329999999</v>
      </c>
      <c r="F703">
        <v>25.206666670000001</v>
      </c>
      <c r="G703">
        <v>3.213333333</v>
      </c>
      <c r="H703">
        <v>2.266666667</v>
      </c>
      <c r="I703">
        <v>4.0933333330000004</v>
      </c>
      <c r="J703">
        <v>5215.6983330000003</v>
      </c>
      <c r="K703">
        <v>4737.6458329999996</v>
      </c>
      <c r="L703">
        <v>5754.1666670000004</v>
      </c>
      <c r="M703">
        <v>18.369166669999998</v>
      </c>
      <c r="N703">
        <v>17.666666670000001</v>
      </c>
      <c r="O703">
        <v>19.25</v>
      </c>
      <c r="Q703" t="s">
        <v>323</v>
      </c>
      <c r="R703" t="s">
        <v>9933</v>
      </c>
      <c r="S703" t="s">
        <v>9058</v>
      </c>
      <c r="T703" t="s">
        <v>9061</v>
      </c>
    </row>
    <row r="704" spans="1:20" x14ac:dyDescent="0.25">
      <c r="A704" t="s">
        <v>7589</v>
      </c>
      <c r="B704">
        <v>-8.24</v>
      </c>
      <c r="C704">
        <v>550</v>
      </c>
      <c r="D704">
        <v>23.34</v>
      </c>
      <c r="E704">
        <v>20.864999999999998</v>
      </c>
      <c r="F704">
        <v>25.973333329999999</v>
      </c>
      <c r="G704">
        <v>2.8416666670000001</v>
      </c>
      <c r="H704">
        <v>1.5716666669999999</v>
      </c>
      <c r="I704">
        <v>4.0766666669999996</v>
      </c>
      <c r="J704">
        <v>5277.3816669999997</v>
      </c>
      <c r="K704">
        <v>4759.7083329999996</v>
      </c>
      <c r="L704">
        <v>5953.3125</v>
      </c>
      <c r="M704">
        <v>18.465</v>
      </c>
      <c r="N704">
        <v>17.739999999999998</v>
      </c>
      <c r="O704">
        <v>19.383333329999999</v>
      </c>
      <c r="Q704" t="s">
        <v>323</v>
      </c>
      <c r="R704" t="s">
        <v>9934</v>
      </c>
      <c r="S704" t="s">
        <v>9065</v>
      </c>
      <c r="T704" t="s">
        <v>9066</v>
      </c>
    </row>
    <row r="705" spans="1:20" x14ac:dyDescent="0.25">
      <c r="A705" t="s">
        <v>6352</v>
      </c>
      <c r="B705">
        <v>-8.61</v>
      </c>
      <c r="C705">
        <v>329</v>
      </c>
      <c r="D705">
        <v>26.605</v>
      </c>
      <c r="E705">
        <v>23.69</v>
      </c>
      <c r="F705">
        <v>29.526666670000001</v>
      </c>
      <c r="G705">
        <v>2.9491666670000001</v>
      </c>
      <c r="H705">
        <v>1.933333333</v>
      </c>
      <c r="I705">
        <v>3.8774999999999999</v>
      </c>
      <c r="J705">
        <v>5556.7924999999996</v>
      </c>
      <c r="K705">
        <v>5044.7708329999996</v>
      </c>
      <c r="L705">
        <v>6221.8541670000004</v>
      </c>
      <c r="M705">
        <v>18.794166669999999</v>
      </c>
      <c r="N705">
        <v>17.248333330000001</v>
      </c>
      <c r="O705">
        <v>20.536666669999999</v>
      </c>
      <c r="Q705" t="s">
        <v>323</v>
      </c>
      <c r="R705" t="s">
        <v>9935</v>
      </c>
      <c r="S705" t="s">
        <v>9065</v>
      </c>
      <c r="T705" t="s">
        <v>9066</v>
      </c>
    </row>
    <row r="706" spans="1:20" x14ac:dyDescent="0.25">
      <c r="A706" t="s">
        <v>6142</v>
      </c>
      <c r="B706">
        <v>-8.89</v>
      </c>
      <c r="C706">
        <v>823</v>
      </c>
      <c r="D706">
        <v>21.055</v>
      </c>
      <c r="E706">
        <v>18.81666667</v>
      </c>
      <c r="F706">
        <v>23.208333329999999</v>
      </c>
      <c r="G706">
        <v>3.1133333329999999</v>
      </c>
      <c r="H706">
        <v>2.3666666670000001</v>
      </c>
      <c r="I706">
        <v>3.81</v>
      </c>
      <c r="J706">
        <v>5103.8874999999998</v>
      </c>
      <c r="K706">
        <v>4371.5416670000004</v>
      </c>
      <c r="L706">
        <v>5920.1041670000004</v>
      </c>
      <c r="M706">
        <v>17.37916667</v>
      </c>
      <c r="N706">
        <v>16.755833330000002</v>
      </c>
      <c r="O706">
        <v>18.216666669999999</v>
      </c>
      <c r="Q706" t="s">
        <v>323</v>
      </c>
      <c r="R706" t="s">
        <v>9936</v>
      </c>
      <c r="S706" t="s">
        <v>9065</v>
      </c>
      <c r="T706" t="s">
        <v>9066</v>
      </c>
    </row>
    <row r="707" spans="1:20" x14ac:dyDescent="0.25">
      <c r="A707" t="s">
        <v>9937</v>
      </c>
      <c r="B707">
        <v>-8.91</v>
      </c>
      <c r="C707">
        <v>823.5</v>
      </c>
      <c r="D707">
        <v>21.927499999999998</v>
      </c>
      <c r="E707">
        <v>19.675000000000001</v>
      </c>
      <c r="F707">
        <v>23.98</v>
      </c>
      <c r="G707">
        <v>3.0391666669999999</v>
      </c>
      <c r="H707">
        <v>2.2233333329999998</v>
      </c>
      <c r="I707">
        <v>3.8250000000000002</v>
      </c>
      <c r="J707">
        <v>5395.9475000000002</v>
      </c>
      <c r="K707">
        <v>4887.2291670000004</v>
      </c>
      <c r="L707">
        <v>5947.3125</v>
      </c>
      <c r="M707">
        <v>18.24583333</v>
      </c>
      <c r="N707">
        <v>17.581666670000001</v>
      </c>
      <c r="O707">
        <v>19.141666669999999</v>
      </c>
      <c r="Q707" t="s">
        <v>323</v>
      </c>
      <c r="R707" t="s">
        <v>9936</v>
      </c>
      <c r="S707" t="s">
        <v>9058</v>
      </c>
      <c r="T707" t="s">
        <v>9061</v>
      </c>
    </row>
    <row r="708" spans="1:20" x14ac:dyDescent="0.25">
      <c r="A708" t="s">
        <v>6100</v>
      </c>
      <c r="B708">
        <v>-8.51</v>
      </c>
      <c r="C708">
        <v>448</v>
      </c>
      <c r="D708">
        <v>25.603333330000002</v>
      </c>
      <c r="E708">
        <v>22.548333329999998</v>
      </c>
      <c r="F708">
        <v>28.684999999999999</v>
      </c>
      <c r="G708">
        <v>2.5541666670000001</v>
      </c>
      <c r="H708">
        <v>1.7066666669999999</v>
      </c>
      <c r="I708">
        <v>3.2916666669999999</v>
      </c>
      <c r="J708">
        <v>5698.1766669999997</v>
      </c>
      <c r="K708">
        <v>5185.7916670000004</v>
      </c>
      <c r="L708">
        <v>6371.8541670000004</v>
      </c>
      <c r="M708">
        <v>17.701666670000002</v>
      </c>
      <c r="N708">
        <v>16.52333333</v>
      </c>
      <c r="O708">
        <v>19.169166669999999</v>
      </c>
      <c r="Q708" t="s">
        <v>323</v>
      </c>
      <c r="R708" t="s">
        <v>9938</v>
      </c>
      <c r="S708" t="s">
        <v>9065</v>
      </c>
      <c r="T708" t="s">
        <v>9066</v>
      </c>
    </row>
    <row r="709" spans="1:20" x14ac:dyDescent="0.25">
      <c r="A709" t="s">
        <v>9939</v>
      </c>
      <c r="B709">
        <v>-8.52</v>
      </c>
      <c r="C709">
        <v>449.5</v>
      </c>
      <c r="D709">
        <v>26.1325</v>
      </c>
      <c r="E709">
        <v>22.70333333</v>
      </c>
      <c r="F709">
        <v>29.56666667</v>
      </c>
      <c r="G709">
        <v>3.2374999999999998</v>
      </c>
      <c r="H709">
        <v>2.1749999999999998</v>
      </c>
      <c r="I709">
        <v>4.2</v>
      </c>
      <c r="J709">
        <v>5713.294167</v>
      </c>
      <c r="K709">
        <v>5134.6458329999996</v>
      </c>
      <c r="L709">
        <v>6470.3333329999996</v>
      </c>
      <c r="M709">
        <v>16.55</v>
      </c>
      <c r="N709">
        <v>15.01166667</v>
      </c>
      <c r="O709">
        <v>18.279166669999999</v>
      </c>
      <c r="Q709" t="s">
        <v>323</v>
      </c>
      <c r="R709" t="s">
        <v>9938</v>
      </c>
      <c r="S709" t="s">
        <v>9058</v>
      </c>
      <c r="T709" t="s">
        <v>9061</v>
      </c>
    </row>
    <row r="710" spans="1:20" x14ac:dyDescent="0.25">
      <c r="A710" t="s">
        <v>9940</v>
      </c>
      <c r="B710">
        <v>-3.85</v>
      </c>
      <c r="C710">
        <v>58.8</v>
      </c>
      <c r="D710">
        <v>26.866666670000001</v>
      </c>
      <c r="E710">
        <v>25.331666670000001</v>
      </c>
      <c r="F710">
        <v>28.483333330000001</v>
      </c>
      <c r="G710">
        <v>5.1325000000000003</v>
      </c>
      <c r="H710">
        <v>4.1166666669999996</v>
      </c>
      <c r="I710">
        <v>6.1833333330000002</v>
      </c>
      <c r="J710">
        <v>6292.72</v>
      </c>
      <c r="K710">
        <v>5921.8125</v>
      </c>
      <c r="L710">
        <v>6822.375</v>
      </c>
      <c r="M710">
        <v>23.017499999999998</v>
      </c>
      <c r="N710">
        <v>22.341666669999999</v>
      </c>
      <c r="O710">
        <v>23.741666670000001</v>
      </c>
      <c r="Q710" t="s">
        <v>323</v>
      </c>
      <c r="R710" t="s">
        <v>9941</v>
      </c>
      <c r="S710" t="s">
        <v>9058</v>
      </c>
      <c r="T710" t="s">
        <v>9059</v>
      </c>
    </row>
    <row r="711" spans="1:20" x14ac:dyDescent="0.25">
      <c r="A711" t="s">
        <v>9942</v>
      </c>
      <c r="B711">
        <v>-3.85</v>
      </c>
      <c r="C711">
        <v>58.8</v>
      </c>
      <c r="D711">
        <v>26.965</v>
      </c>
      <c r="E711">
        <v>25.848333329999999</v>
      </c>
      <c r="F711">
        <v>28.243333329999999</v>
      </c>
      <c r="G711">
        <v>5.46</v>
      </c>
      <c r="H711">
        <v>4.5066666670000002</v>
      </c>
      <c r="I711">
        <v>6.585</v>
      </c>
      <c r="J711">
        <v>6045.1925000000001</v>
      </c>
      <c r="K711">
        <v>5821.9375</v>
      </c>
      <c r="L711">
        <v>6454.2291670000004</v>
      </c>
      <c r="M711">
        <v>22.989166669999999</v>
      </c>
      <c r="N711">
        <v>22.448333330000001</v>
      </c>
      <c r="O711">
        <v>23.524999999999999</v>
      </c>
      <c r="Q711" t="s">
        <v>323</v>
      </c>
      <c r="R711" t="s">
        <v>9941</v>
      </c>
      <c r="S711" t="s">
        <v>9058</v>
      </c>
      <c r="T711" t="s">
        <v>9061</v>
      </c>
    </row>
    <row r="712" spans="1:20" x14ac:dyDescent="0.25">
      <c r="A712" t="s">
        <v>9943</v>
      </c>
      <c r="B712">
        <v>-7.9</v>
      </c>
      <c r="C712">
        <v>465.5</v>
      </c>
      <c r="D712">
        <v>26.962499999999999</v>
      </c>
      <c r="E712">
        <v>23.94166667</v>
      </c>
      <c r="F712">
        <v>29.81666667</v>
      </c>
      <c r="G712">
        <v>3.1791666670000001</v>
      </c>
      <c r="H712">
        <v>2.1800000000000002</v>
      </c>
      <c r="I712">
        <v>4.1016666669999999</v>
      </c>
      <c r="J712">
        <v>5573.481667</v>
      </c>
      <c r="K712">
        <v>5003.625</v>
      </c>
      <c r="L712">
        <v>6355.875</v>
      </c>
      <c r="M712">
        <v>16.043333329999999</v>
      </c>
      <c r="N712">
        <v>14.196666670000001</v>
      </c>
      <c r="O712">
        <v>18.036666669999999</v>
      </c>
      <c r="Q712" t="s">
        <v>323</v>
      </c>
      <c r="R712" t="s">
        <v>9944</v>
      </c>
      <c r="S712" t="s">
        <v>9058</v>
      </c>
      <c r="T712" t="s">
        <v>9061</v>
      </c>
    </row>
    <row r="713" spans="1:20" x14ac:dyDescent="0.25">
      <c r="A713" t="s">
        <v>6097</v>
      </c>
      <c r="B713">
        <v>-8.67</v>
      </c>
      <c r="C713">
        <v>180</v>
      </c>
      <c r="D713">
        <v>25.055833329999999</v>
      </c>
      <c r="E713">
        <v>22.614999999999998</v>
      </c>
      <c r="F713">
        <v>27.484999999999999</v>
      </c>
      <c r="G713">
        <v>2.1033333330000001</v>
      </c>
      <c r="H713">
        <v>0.93333333299999999</v>
      </c>
      <c r="I713">
        <v>3.145</v>
      </c>
      <c r="J713">
        <v>4920.978333</v>
      </c>
      <c r="K713">
        <v>4329.3541670000004</v>
      </c>
      <c r="L713">
        <v>5627.7916670000004</v>
      </c>
      <c r="M713">
        <v>20.72666667</v>
      </c>
      <c r="N713">
        <v>20.12166667</v>
      </c>
      <c r="O713">
        <v>21.516666669999999</v>
      </c>
      <c r="Q713" t="s">
        <v>323</v>
      </c>
      <c r="R713" t="s">
        <v>9945</v>
      </c>
      <c r="S713" t="s">
        <v>9065</v>
      </c>
      <c r="T713" t="s">
        <v>9066</v>
      </c>
    </row>
    <row r="714" spans="1:20" x14ac:dyDescent="0.25">
      <c r="A714" t="s">
        <v>9946</v>
      </c>
      <c r="B714">
        <v>-8.67</v>
      </c>
      <c r="C714">
        <v>181.5</v>
      </c>
      <c r="D714">
        <v>24.759166669999999</v>
      </c>
      <c r="E714">
        <v>22.4</v>
      </c>
      <c r="F714">
        <v>27.11</v>
      </c>
      <c r="G714">
        <v>2.2650000000000001</v>
      </c>
      <c r="H714">
        <v>1.2083333329999999</v>
      </c>
      <c r="I714">
        <v>3.2116666669999998</v>
      </c>
      <c r="J714">
        <v>4993.2725</v>
      </c>
      <c r="K714">
        <v>4615.2291670000004</v>
      </c>
      <c r="L714">
        <v>5399.1458329999996</v>
      </c>
      <c r="M714">
        <v>21.119166669999998</v>
      </c>
      <c r="N714">
        <v>20.383333329999999</v>
      </c>
      <c r="O714">
        <v>21.901666670000001</v>
      </c>
      <c r="Q714" t="s">
        <v>323</v>
      </c>
      <c r="R714" t="s">
        <v>9945</v>
      </c>
      <c r="S714" t="s">
        <v>9058</v>
      </c>
      <c r="T714" t="s">
        <v>9061</v>
      </c>
    </row>
    <row r="715" spans="1:20" x14ac:dyDescent="0.25">
      <c r="A715" t="s">
        <v>6260</v>
      </c>
      <c r="B715">
        <v>-9.39</v>
      </c>
      <c r="C715">
        <v>370</v>
      </c>
      <c r="D715">
        <v>26.911666669999999</v>
      </c>
      <c r="E715">
        <v>24.18</v>
      </c>
      <c r="F715">
        <v>29.541666670000001</v>
      </c>
      <c r="G715">
        <v>3.0775000000000001</v>
      </c>
      <c r="H715">
        <v>2.2416666670000001</v>
      </c>
      <c r="I715">
        <v>3.891666667</v>
      </c>
      <c r="J715">
        <v>5535.7033330000004</v>
      </c>
      <c r="K715">
        <v>4985.3125</v>
      </c>
      <c r="L715">
        <v>6232.5833329999996</v>
      </c>
      <c r="M715">
        <v>17.241666670000001</v>
      </c>
      <c r="N715">
        <v>15.92333333</v>
      </c>
      <c r="O715">
        <v>18.766666669999999</v>
      </c>
      <c r="Q715" t="s">
        <v>323</v>
      </c>
      <c r="R715" t="s">
        <v>9947</v>
      </c>
      <c r="S715" t="s">
        <v>9065</v>
      </c>
      <c r="T715" t="s">
        <v>9066</v>
      </c>
    </row>
    <row r="716" spans="1:20" x14ac:dyDescent="0.25">
      <c r="A716" t="s">
        <v>9948</v>
      </c>
      <c r="B716">
        <v>-9.3800000000000008</v>
      </c>
      <c r="C716">
        <v>370.5</v>
      </c>
      <c r="D716">
        <v>27.922499999999999</v>
      </c>
      <c r="E716">
        <v>25.896666669999998</v>
      </c>
      <c r="F716">
        <v>30.10166667</v>
      </c>
      <c r="G716">
        <v>3.355</v>
      </c>
      <c r="H716">
        <v>2.5583333330000002</v>
      </c>
      <c r="I716">
        <v>4.0083333330000004</v>
      </c>
      <c r="J716">
        <v>6386.6724999999997</v>
      </c>
      <c r="K716">
        <v>5996.1666670000004</v>
      </c>
      <c r="L716">
        <v>7070.5833329999996</v>
      </c>
      <c r="M716">
        <v>18.126666669999999</v>
      </c>
      <c r="N716">
        <v>17.041666670000001</v>
      </c>
      <c r="O716">
        <v>19.233333330000001</v>
      </c>
      <c r="Q716" t="s">
        <v>323</v>
      </c>
      <c r="R716" t="s">
        <v>9947</v>
      </c>
      <c r="S716" t="s">
        <v>9058</v>
      </c>
      <c r="T716" t="s">
        <v>9059</v>
      </c>
    </row>
    <row r="717" spans="1:20" x14ac:dyDescent="0.25">
      <c r="A717" t="s">
        <v>9949</v>
      </c>
      <c r="B717">
        <v>-9.3800000000000008</v>
      </c>
      <c r="C717">
        <v>370.5</v>
      </c>
      <c r="D717">
        <v>27.303333330000001</v>
      </c>
      <c r="E717">
        <v>24.346666670000001</v>
      </c>
      <c r="F717">
        <v>30.09333333</v>
      </c>
      <c r="G717">
        <v>3.8758333330000001</v>
      </c>
      <c r="H717">
        <v>2.9883333329999999</v>
      </c>
      <c r="I717">
        <v>4.795833333</v>
      </c>
      <c r="J717">
        <v>5690.5391669999999</v>
      </c>
      <c r="K717">
        <v>5038.3125</v>
      </c>
      <c r="L717">
        <v>6557.8958329999996</v>
      </c>
      <c r="M717">
        <v>17.172499999999999</v>
      </c>
      <c r="N717">
        <v>15.991666670000001</v>
      </c>
      <c r="O717">
        <v>18.72</v>
      </c>
      <c r="Q717" t="s">
        <v>323</v>
      </c>
      <c r="R717" t="s">
        <v>9947</v>
      </c>
      <c r="S717" t="s">
        <v>9058</v>
      </c>
      <c r="T717" t="s">
        <v>9061</v>
      </c>
    </row>
    <row r="718" spans="1:20" x14ac:dyDescent="0.25">
      <c r="A718" t="s">
        <v>9950</v>
      </c>
      <c r="B718">
        <v>-8.1300000000000008</v>
      </c>
      <c r="C718">
        <v>10.1</v>
      </c>
      <c r="D718">
        <v>26.93416667</v>
      </c>
      <c r="E718">
        <v>25.858333330000001</v>
      </c>
      <c r="F718">
        <v>28.21833333</v>
      </c>
      <c r="G718">
        <v>4.2341666670000002</v>
      </c>
      <c r="H718">
        <v>3.0983333329999998</v>
      </c>
      <c r="I718">
        <v>5.35</v>
      </c>
      <c r="J718">
        <v>5561.4858329999997</v>
      </c>
      <c r="K718">
        <v>4851.0625</v>
      </c>
      <c r="L718">
        <v>6363</v>
      </c>
      <c r="M718">
        <v>22.173333329999998</v>
      </c>
      <c r="N718">
        <v>21.64833333</v>
      </c>
      <c r="O718">
        <v>22.833333329999999</v>
      </c>
      <c r="Q718" t="s">
        <v>323</v>
      </c>
      <c r="R718" t="s">
        <v>9951</v>
      </c>
      <c r="S718" t="s">
        <v>9058</v>
      </c>
      <c r="T718" t="s">
        <v>9059</v>
      </c>
    </row>
    <row r="719" spans="1:20" x14ac:dyDescent="0.25">
      <c r="A719" t="s">
        <v>9952</v>
      </c>
      <c r="B719">
        <v>-8.1300000000000008</v>
      </c>
      <c r="C719">
        <v>10.1</v>
      </c>
      <c r="D719">
        <v>26.733333330000001</v>
      </c>
      <c r="E719">
        <v>25.491666670000001</v>
      </c>
      <c r="F719">
        <v>28.068333330000002</v>
      </c>
      <c r="G719">
        <v>4.2850000000000001</v>
      </c>
      <c r="H719">
        <v>3.048333333</v>
      </c>
      <c r="I719">
        <v>5.4333333330000002</v>
      </c>
      <c r="J719">
        <v>5331.4674999999997</v>
      </c>
      <c r="K719">
        <v>5033.5625</v>
      </c>
      <c r="L719">
        <v>5786.625</v>
      </c>
      <c r="M719">
        <v>21.919166669999999</v>
      </c>
      <c r="N719">
        <v>21.416666670000001</v>
      </c>
      <c r="O719">
        <v>22.55833333</v>
      </c>
      <c r="Q719" t="s">
        <v>323</v>
      </c>
      <c r="R719" t="s">
        <v>9951</v>
      </c>
      <c r="S719" t="s">
        <v>9058</v>
      </c>
      <c r="T719" t="s">
        <v>9061</v>
      </c>
    </row>
    <row r="720" spans="1:20" x14ac:dyDescent="0.25">
      <c r="A720" t="s">
        <v>7586</v>
      </c>
      <c r="B720">
        <v>-8.0500000000000007</v>
      </c>
      <c r="C720">
        <v>10</v>
      </c>
      <c r="D720">
        <v>25.762499999999999</v>
      </c>
      <c r="E720">
        <v>24.131666670000001</v>
      </c>
      <c r="F720">
        <v>27.76</v>
      </c>
      <c r="G720">
        <v>1.83</v>
      </c>
      <c r="H720">
        <v>0.97333333300000002</v>
      </c>
      <c r="I720">
        <v>2.61</v>
      </c>
      <c r="J720">
        <v>6505.8658329999998</v>
      </c>
      <c r="K720">
        <v>5834.9166670000004</v>
      </c>
      <c r="L720">
        <v>7368.375</v>
      </c>
      <c r="M720">
        <v>20.88</v>
      </c>
      <c r="N720">
        <v>20.341666669999999</v>
      </c>
      <c r="O720">
        <v>21.5</v>
      </c>
      <c r="Q720" t="s">
        <v>323</v>
      </c>
      <c r="R720" t="s">
        <v>9953</v>
      </c>
      <c r="S720" t="s">
        <v>9065</v>
      </c>
      <c r="T720" t="s">
        <v>9066</v>
      </c>
    </row>
    <row r="721" spans="1:20" x14ac:dyDescent="0.25">
      <c r="A721" t="s">
        <v>9954</v>
      </c>
      <c r="B721">
        <v>-8.0500000000000007</v>
      </c>
      <c r="C721">
        <v>11.5</v>
      </c>
      <c r="D721">
        <v>25.907499999999999</v>
      </c>
      <c r="E721">
        <v>24.146666669999998</v>
      </c>
      <c r="F721">
        <v>27.838333330000001</v>
      </c>
      <c r="G721">
        <v>2.4525000000000001</v>
      </c>
      <c r="H721">
        <v>1.6166666670000001</v>
      </c>
      <c r="I721">
        <v>3.1833333330000002</v>
      </c>
      <c r="J721">
        <v>5344.3333329999996</v>
      </c>
      <c r="K721">
        <v>4986.25</v>
      </c>
      <c r="L721">
        <v>5785.5625</v>
      </c>
      <c r="M721">
        <v>21.519166670000001</v>
      </c>
      <c r="N721">
        <v>20.89833333</v>
      </c>
      <c r="O721">
        <v>22.15</v>
      </c>
      <c r="Q721" t="s">
        <v>323</v>
      </c>
      <c r="R721" t="s">
        <v>9953</v>
      </c>
      <c r="S721" t="s">
        <v>9058</v>
      </c>
      <c r="T721" t="s">
        <v>9061</v>
      </c>
    </row>
    <row r="722" spans="1:20" x14ac:dyDescent="0.25">
      <c r="A722" t="s">
        <v>7509</v>
      </c>
      <c r="B722">
        <v>-7.95</v>
      </c>
      <c r="C722">
        <v>461</v>
      </c>
      <c r="D722">
        <v>25.272500000000001</v>
      </c>
      <c r="E722">
        <v>22.49</v>
      </c>
      <c r="F722">
        <v>27.99666667</v>
      </c>
      <c r="G722">
        <v>2.2566666670000002</v>
      </c>
      <c r="H722">
        <v>1.4166666670000001</v>
      </c>
      <c r="I722">
        <v>2.9666666670000001</v>
      </c>
      <c r="J722">
        <v>5421.584167</v>
      </c>
      <c r="K722">
        <v>4914.875</v>
      </c>
      <c r="L722">
        <v>6164.0416670000004</v>
      </c>
      <c r="M722">
        <v>17.555</v>
      </c>
      <c r="N722">
        <v>16.416666670000001</v>
      </c>
      <c r="O722">
        <v>18.925000000000001</v>
      </c>
      <c r="Q722" t="s">
        <v>323</v>
      </c>
      <c r="R722" t="s">
        <v>9955</v>
      </c>
      <c r="S722" t="s">
        <v>9065</v>
      </c>
      <c r="T722" t="s">
        <v>9066</v>
      </c>
    </row>
    <row r="723" spans="1:20" x14ac:dyDescent="0.25">
      <c r="A723" t="s">
        <v>9956</v>
      </c>
      <c r="B723">
        <v>-7.95</v>
      </c>
      <c r="C723">
        <v>462.5</v>
      </c>
      <c r="D723">
        <v>26.21</v>
      </c>
      <c r="E723">
        <v>22.98</v>
      </c>
      <c r="F723">
        <v>29.37083333</v>
      </c>
      <c r="G723">
        <v>2.6475</v>
      </c>
      <c r="H723">
        <v>1.8316666669999999</v>
      </c>
      <c r="I723">
        <v>3.37</v>
      </c>
      <c r="J723">
        <v>5809.5983329999999</v>
      </c>
      <c r="K723">
        <v>5213.0625</v>
      </c>
      <c r="L723">
        <v>6535.9375</v>
      </c>
      <c r="M723">
        <v>15.519166670000001</v>
      </c>
      <c r="N723">
        <v>13.846666669999999</v>
      </c>
      <c r="O723">
        <v>17.57</v>
      </c>
      <c r="Q723" t="s">
        <v>323</v>
      </c>
      <c r="R723" t="s">
        <v>9955</v>
      </c>
      <c r="S723" t="s">
        <v>9058</v>
      </c>
      <c r="T723" t="s">
        <v>9061</v>
      </c>
    </row>
    <row r="724" spans="1:20" x14ac:dyDescent="0.25">
      <c r="A724" t="s">
        <v>7494</v>
      </c>
      <c r="B724">
        <v>-7.84</v>
      </c>
      <c r="C724">
        <v>418</v>
      </c>
      <c r="D724">
        <v>24.221666670000001</v>
      </c>
      <c r="E724">
        <v>21.581666670000001</v>
      </c>
      <c r="F724">
        <v>26.905000000000001</v>
      </c>
      <c r="G724">
        <v>3.3341666669999999</v>
      </c>
      <c r="H724">
        <v>1.98</v>
      </c>
      <c r="I724">
        <v>4.7683333330000002</v>
      </c>
      <c r="J724">
        <v>5512.4533330000004</v>
      </c>
      <c r="K724">
        <v>4993.2291670000004</v>
      </c>
      <c r="L724">
        <v>6238.7708329999996</v>
      </c>
      <c r="M724">
        <v>19.57</v>
      </c>
      <c r="N724">
        <v>18.771666669999998</v>
      </c>
      <c r="O724">
        <v>20.633333329999999</v>
      </c>
      <c r="Q724" t="s">
        <v>323</v>
      </c>
      <c r="R724" t="s">
        <v>9957</v>
      </c>
      <c r="S724" t="s">
        <v>9065</v>
      </c>
      <c r="T724" t="s">
        <v>9066</v>
      </c>
    </row>
    <row r="725" spans="1:20" x14ac:dyDescent="0.25">
      <c r="A725" t="s">
        <v>9958</v>
      </c>
      <c r="B725">
        <v>-7.85</v>
      </c>
      <c r="C725">
        <v>419.5</v>
      </c>
      <c r="D725">
        <v>24.42166667</v>
      </c>
      <c r="E725">
        <v>21.78083333</v>
      </c>
      <c r="F725">
        <v>27.053333330000001</v>
      </c>
      <c r="G725">
        <v>2.8633333329999999</v>
      </c>
      <c r="H725">
        <v>1.7916666670000001</v>
      </c>
      <c r="I725">
        <v>3.8216666670000001</v>
      </c>
      <c r="J725">
        <v>5166.3708329999999</v>
      </c>
      <c r="K725">
        <v>4696.9375</v>
      </c>
      <c r="L725">
        <v>5742.7708329999996</v>
      </c>
      <c r="M725">
        <v>18.734999999999999</v>
      </c>
      <c r="N725">
        <v>17.823333330000001</v>
      </c>
      <c r="O725">
        <v>19.926666669999999</v>
      </c>
      <c r="Q725" t="s">
        <v>323</v>
      </c>
      <c r="R725" t="s">
        <v>9957</v>
      </c>
      <c r="S725" t="s">
        <v>9058</v>
      </c>
      <c r="T725" t="s">
        <v>9061</v>
      </c>
    </row>
    <row r="726" spans="1:20" x14ac:dyDescent="0.25">
      <c r="A726" t="s">
        <v>9959</v>
      </c>
      <c r="B726">
        <v>-7.85</v>
      </c>
      <c r="C726">
        <v>1020</v>
      </c>
      <c r="D726">
        <v>21.876666669999999</v>
      </c>
      <c r="E726">
        <v>19.958333329999999</v>
      </c>
      <c r="F726">
        <v>23.85166667</v>
      </c>
      <c r="G726">
        <v>3.2675000000000001</v>
      </c>
      <c r="H726">
        <v>2.3166666669999998</v>
      </c>
      <c r="I726">
        <v>4.1166666669999996</v>
      </c>
      <c r="J726">
        <v>6206.8891670000003</v>
      </c>
      <c r="K726">
        <v>5638.6041670000004</v>
      </c>
      <c r="L726">
        <v>7054.6666670000004</v>
      </c>
      <c r="M726">
        <v>15.817500000000001</v>
      </c>
      <c r="N726">
        <v>14.81666667</v>
      </c>
      <c r="O726">
        <v>16.966666669999999</v>
      </c>
      <c r="Q726" t="s">
        <v>323</v>
      </c>
      <c r="R726" t="s">
        <v>9960</v>
      </c>
      <c r="S726" t="s">
        <v>9058</v>
      </c>
      <c r="T726" t="s">
        <v>9059</v>
      </c>
    </row>
    <row r="727" spans="1:20" x14ac:dyDescent="0.25">
      <c r="A727" t="s">
        <v>9961</v>
      </c>
      <c r="B727">
        <v>-7.85</v>
      </c>
      <c r="C727">
        <v>1020</v>
      </c>
      <c r="D727">
        <v>23.486666670000002</v>
      </c>
      <c r="E727">
        <v>21.52333333</v>
      </c>
      <c r="F727">
        <v>25.35166667</v>
      </c>
      <c r="G727">
        <v>3.6316666670000002</v>
      </c>
      <c r="H727">
        <v>2.7916666669999999</v>
      </c>
      <c r="I727">
        <v>4.4333333330000002</v>
      </c>
      <c r="J727">
        <v>5915.6841670000003</v>
      </c>
      <c r="K727">
        <v>5418.125</v>
      </c>
      <c r="L727">
        <v>6640.9583329999996</v>
      </c>
      <c r="M727">
        <v>16.981666669999999</v>
      </c>
      <c r="N727">
        <v>15.65666667</v>
      </c>
      <c r="O727">
        <v>18.516666669999999</v>
      </c>
      <c r="Q727" t="s">
        <v>323</v>
      </c>
      <c r="R727" t="s">
        <v>9960</v>
      </c>
      <c r="S727" t="s">
        <v>9058</v>
      </c>
      <c r="T727" t="s">
        <v>9061</v>
      </c>
    </row>
    <row r="728" spans="1:20" x14ac:dyDescent="0.25">
      <c r="A728" t="s">
        <v>7641</v>
      </c>
      <c r="B728">
        <v>-8.44</v>
      </c>
      <c r="C728">
        <v>270</v>
      </c>
      <c r="D728">
        <v>26.297499999999999</v>
      </c>
      <c r="E728">
        <v>23.63666667</v>
      </c>
      <c r="F728">
        <v>28.993333329999999</v>
      </c>
      <c r="G728">
        <v>1.755833333</v>
      </c>
      <c r="H728">
        <v>0.875</v>
      </c>
      <c r="I728">
        <v>2.4916666670000001</v>
      </c>
      <c r="J728">
        <v>5629.5683330000002</v>
      </c>
      <c r="K728">
        <v>4992.5</v>
      </c>
      <c r="L728">
        <v>6475.6875</v>
      </c>
      <c r="M728">
        <v>19.431666669999998</v>
      </c>
      <c r="N728">
        <v>18.3475</v>
      </c>
      <c r="O728">
        <v>20.587499999999999</v>
      </c>
      <c r="Q728" t="s">
        <v>357</v>
      </c>
      <c r="R728" t="s">
        <v>9962</v>
      </c>
      <c r="S728" t="s">
        <v>9065</v>
      </c>
      <c r="T728" t="s">
        <v>9066</v>
      </c>
    </row>
    <row r="729" spans="1:20" x14ac:dyDescent="0.25">
      <c r="A729" t="s">
        <v>9963</v>
      </c>
      <c r="B729">
        <v>-8.4499999999999993</v>
      </c>
      <c r="C729">
        <v>271.5</v>
      </c>
      <c r="D729">
        <v>27.55</v>
      </c>
      <c r="E729">
        <v>23.92166667</v>
      </c>
      <c r="F729">
        <v>31.20333333</v>
      </c>
      <c r="G729">
        <v>1.815833333</v>
      </c>
      <c r="H729">
        <v>0.71666666700000003</v>
      </c>
      <c r="I729">
        <v>2.693333333</v>
      </c>
      <c r="J729">
        <v>5817.5816670000004</v>
      </c>
      <c r="K729">
        <v>5455.625</v>
      </c>
      <c r="L729">
        <v>6456.4791670000004</v>
      </c>
      <c r="M729">
        <v>16.929166670000001</v>
      </c>
      <c r="N729">
        <v>15.445</v>
      </c>
      <c r="O729">
        <v>18.50333333</v>
      </c>
      <c r="Q729" t="s">
        <v>357</v>
      </c>
      <c r="R729" t="s">
        <v>9962</v>
      </c>
      <c r="S729" t="s">
        <v>9058</v>
      </c>
      <c r="T729" t="s">
        <v>9061</v>
      </c>
    </row>
    <row r="730" spans="1:20" x14ac:dyDescent="0.25">
      <c r="A730" t="s">
        <v>9964</v>
      </c>
      <c r="B730">
        <v>-9.07</v>
      </c>
      <c r="C730">
        <v>298.5</v>
      </c>
      <c r="D730">
        <v>27.471666670000001</v>
      </c>
      <c r="E730">
        <v>24.008333329999999</v>
      </c>
      <c r="F730">
        <v>30.725000000000001</v>
      </c>
      <c r="G730">
        <v>0.95833333300000001</v>
      </c>
      <c r="H730">
        <v>0.366666667</v>
      </c>
      <c r="I730">
        <v>1.25</v>
      </c>
      <c r="J730">
        <v>5809.2766670000001</v>
      </c>
      <c r="K730">
        <v>5406.5208329999996</v>
      </c>
      <c r="L730">
        <v>6426.375</v>
      </c>
      <c r="M730">
        <v>16.848333329999999</v>
      </c>
      <c r="N730">
        <v>15.14</v>
      </c>
      <c r="O730">
        <v>18.734999999999999</v>
      </c>
      <c r="Q730" t="s">
        <v>357</v>
      </c>
      <c r="R730" t="s">
        <v>9965</v>
      </c>
      <c r="S730" t="s">
        <v>9058</v>
      </c>
      <c r="T730" t="s">
        <v>9061</v>
      </c>
    </row>
    <row r="731" spans="1:20" x14ac:dyDescent="0.25">
      <c r="A731" t="s">
        <v>7659</v>
      </c>
      <c r="B731">
        <v>-9.07</v>
      </c>
      <c r="C731">
        <v>331</v>
      </c>
      <c r="D731">
        <v>26.39083333</v>
      </c>
      <c r="E731">
        <v>22.916666670000001</v>
      </c>
      <c r="F731">
        <v>29.82833333</v>
      </c>
      <c r="G731">
        <v>1.6950000000000001</v>
      </c>
      <c r="H731">
        <v>0.49</v>
      </c>
      <c r="I731">
        <v>2.5433333330000001</v>
      </c>
      <c r="J731">
        <v>5407.9058329999998</v>
      </c>
      <c r="K731">
        <v>4875.8125</v>
      </c>
      <c r="L731">
        <v>6154.0833329999996</v>
      </c>
      <c r="M731">
        <v>18.770833329999999</v>
      </c>
      <c r="N731">
        <v>17.52333333</v>
      </c>
      <c r="O731">
        <v>20.168333329999999</v>
      </c>
      <c r="Q731" t="s">
        <v>357</v>
      </c>
      <c r="R731" t="s">
        <v>9966</v>
      </c>
      <c r="S731" t="s">
        <v>9065</v>
      </c>
      <c r="T731" t="s">
        <v>9066</v>
      </c>
    </row>
    <row r="732" spans="1:20" x14ac:dyDescent="0.25">
      <c r="A732" t="s">
        <v>9967</v>
      </c>
      <c r="B732">
        <v>-8.1199999999999992</v>
      </c>
      <c r="C732">
        <v>309.5</v>
      </c>
      <c r="D732">
        <v>27.587499999999999</v>
      </c>
      <c r="E732">
        <v>24.44</v>
      </c>
      <c r="F732">
        <v>30.751666669999999</v>
      </c>
      <c r="G732">
        <v>2.7741666669999998</v>
      </c>
      <c r="H732">
        <v>1.8316666669999999</v>
      </c>
      <c r="I732">
        <v>3.6016666669999999</v>
      </c>
      <c r="J732">
        <v>5882.27</v>
      </c>
      <c r="K732">
        <v>5497.25</v>
      </c>
      <c r="L732">
        <v>6467.6458329999996</v>
      </c>
      <c r="M732">
        <v>16.942499999999999</v>
      </c>
      <c r="N732">
        <v>15.38833333</v>
      </c>
      <c r="O732">
        <v>18.668333329999999</v>
      </c>
      <c r="Q732" t="s">
        <v>357</v>
      </c>
      <c r="R732" t="s">
        <v>9968</v>
      </c>
      <c r="S732" t="s">
        <v>9058</v>
      </c>
      <c r="T732" t="s">
        <v>9061</v>
      </c>
    </row>
    <row r="733" spans="1:20" x14ac:dyDescent="0.25">
      <c r="A733" t="s">
        <v>6248</v>
      </c>
      <c r="B733">
        <v>-9.2899999999999991</v>
      </c>
      <c r="C733">
        <v>100</v>
      </c>
      <c r="D733">
        <v>24.715</v>
      </c>
      <c r="E733">
        <v>21.15</v>
      </c>
      <c r="F733">
        <v>28.38666667</v>
      </c>
      <c r="G733">
        <v>2.0074999999999998</v>
      </c>
      <c r="H733">
        <v>0.4</v>
      </c>
      <c r="I733">
        <v>3.3316666669999999</v>
      </c>
      <c r="J733">
        <v>5718.2891669999999</v>
      </c>
      <c r="K733">
        <v>5159.5833329999996</v>
      </c>
      <c r="L733">
        <v>6531.875</v>
      </c>
      <c r="M733">
        <v>16.450833329999998</v>
      </c>
      <c r="N733">
        <v>15.08416667</v>
      </c>
      <c r="O733">
        <v>18.118333329999999</v>
      </c>
      <c r="Q733" t="s">
        <v>357</v>
      </c>
      <c r="R733" t="s">
        <v>9969</v>
      </c>
      <c r="S733" t="s">
        <v>9065</v>
      </c>
      <c r="T733" t="s">
        <v>9066</v>
      </c>
    </row>
    <row r="734" spans="1:20" x14ac:dyDescent="0.25">
      <c r="A734" t="s">
        <v>9970</v>
      </c>
      <c r="B734">
        <v>-9.2899999999999991</v>
      </c>
      <c r="C734">
        <v>524.5</v>
      </c>
      <c r="D734">
        <v>25.98416667</v>
      </c>
      <c r="E734">
        <v>22.78166667</v>
      </c>
      <c r="F734">
        <v>29.428333330000001</v>
      </c>
      <c r="G734">
        <v>2.4383333330000001</v>
      </c>
      <c r="H734">
        <v>1.181666667</v>
      </c>
      <c r="I734">
        <v>3.5350000000000001</v>
      </c>
      <c r="J734">
        <v>5873.5716670000002</v>
      </c>
      <c r="K734">
        <v>5442.8333329999996</v>
      </c>
      <c r="L734">
        <v>6470.0625</v>
      </c>
      <c r="M734">
        <v>19.141666669999999</v>
      </c>
      <c r="N734">
        <v>17.931666669999998</v>
      </c>
      <c r="O734">
        <v>20.493333329999999</v>
      </c>
      <c r="Q734" t="s">
        <v>357</v>
      </c>
      <c r="R734" t="s">
        <v>9969</v>
      </c>
      <c r="S734" t="s">
        <v>9058</v>
      </c>
      <c r="T734" t="s">
        <v>9061</v>
      </c>
    </row>
    <row r="735" spans="1:20" x14ac:dyDescent="0.25">
      <c r="A735" t="s">
        <v>7683</v>
      </c>
      <c r="B735">
        <v>-5.35</v>
      </c>
      <c r="C735">
        <v>286</v>
      </c>
      <c r="D735">
        <v>27.338333330000001</v>
      </c>
      <c r="E735">
        <v>24.465</v>
      </c>
      <c r="F735">
        <v>30.373333330000001</v>
      </c>
      <c r="G735">
        <v>2.048333333</v>
      </c>
      <c r="H735">
        <v>1.1333333329999999</v>
      </c>
      <c r="I735">
        <v>2.86</v>
      </c>
      <c r="J735">
        <v>5719.9008329999997</v>
      </c>
      <c r="K735">
        <v>5132.0416670000004</v>
      </c>
      <c r="L735">
        <v>6483.5625</v>
      </c>
      <c r="M735">
        <v>19.04666667</v>
      </c>
      <c r="N735">
        <v>17.481666669999999</v>
      </c>
      <c r="O735">
        <v>20.734999999999999</v>
      </c>
      <c r="Q735" t="s">
        <v>357</v>
      </c>
      <c r="R735" t="s">
        <v>9971</v>
      </c>
      <c r="S735" t="s">
        <v>9065</v>
      </c>
      <c r="T735" t="s">
        <v>9066</v>
      </c>
    </row>
    <row r="736" spans="1:20" x14ac:dyDescent="0.25">
      <c r="A736" t="s">
        <v>6665</v>
      </c>
      <c r="B736">
        <v>-3.9</v>
      </c>
      <c r="C736">
        <v>65</v>
      </c>
      <c r="D736">
        <v>26.97666667</v>
      </c>
      <c r="E736">
        <v>23.8</v>
      </c>
      <c r="F736">
        <v>30.35166667</v>
      </c>
      <c r="G736">
        <v>1.5349999999999999</v>
      </c>
      <c r="H736">
        <v>0.83333333300000001</v>
      </c>
      <c r="I736">
        <v>2.128333333</v>
      </c>
      <c r="J736">
        <v>5666.5933329999998</v>
      </c>
      <c r="K736">
        <v>5185.7291670000004</v>
      </c>
      <c r="L736">
        <v>6295.125</v>
      </c>
      <c r="M736">
        <v>21.271666669999998</v>
      </c>
      <c r="N736">
        <v>20.446666669999999</v>
      </c>
      <c r="O736">
        <v>22.344999999999999</v>
      </c>
      <c r="Q736" t="s">
        <v>357</v>
      </c>
      <c r="R736" t="s">
        <v>9972</v>
      </c>
      <c r="S736" t="s">
        <v>9065</v>
      </c>
      <c r="T736" t="s">
        <v>9066</v>
      </c>
    </row>
    <row r="737" spans="1:20" x14ac:dyDescent="0.25">
      <c r="A737" t="s">
        <v>6652</v>
      </c>
      <c r="B737">
        <v>-6.77</v>
      </c>
      <c r="C737">
        <v>123</v>
      </c>
      <c r="D737">
        <v>27.573333330000001</v>
      </c>
      <c r="E737">
        <v>24.58666667</v>
      </c>
      <c r="F737">
        <v>30.51583333</v>
      </c>
      <c r="G737">
        <v>1.3983333330000001</v>
      </c>
      <c r="H737">
        <v>0.54166666699999999</v>
      </c>
      <c r="I737">
        <v>2.1016666669999999</v>
      </c>
      <c r="J737">
        <v>5208.2624999999998</v>
      </c>
      <c r="K737">
        <v>4663.2916670000004</v>
      </c>
      <c r="L737">
        <v>5974.6458329999996</v>
      </c>
      <c r="M737">
        <v>19.678333330000001</v>
      </c>
      <c r="N737">
        <v>18.55833333</v>
      </c>
      <c r="O737">
        <v>20.977499999999999</v>
      </c>
      <c r="Q737" t="s">
        <v>357</v>
      </c>
      <c r="R737" t="s">
        <v>9973</v>
      </c>
      <c r="S737" t="s">
        <v>9065</v>
      </c>
      <c r="T737" t="s">
        <v>9066</v>
      </c>
    </row>
    <row r="738" spans="1:20" x14ac:dyDescent="0.25">
      <c r="A738" t="s">
        <v>9974</v>
      </c>
      <c r="B738">
        <v>-6.77</v>
      </c>
      <c r="C738">
        <v>124.8</v>
      </c>
      <c r="D738">
        <v>29.410833329999999</v>
      </c>
      <c r="E738">
        <v>26.844999999999999</v>
      </c>
      <c r="F738">
        <v>32.041666669999998</v>
      </c>
      <c r="G738">
        <v>1.5608333329999999</v>
      </c>
      <c r="H738">
        <v>0.66666666699999999</v>
      </c>
      <c r="I738">
        <v>2.266666667</v>
      </c>
      <c r="J738">
        <v>6092.2641670000003</v>
      </c>
      <c r="K738">
        <v>5677.8541670000004</v>
      </c>
      <c r="L738">
        <v>6728.4166670000004</v>
      </c>
      <c r="M738">
        <v>19.73416667</v>
      </c>
      <c r="N738">
        <v>18.452500000000001</v>
      </c>
      <c r="O738">
        <v>21.175000000000001</v>
      </c>
      <c r="Q738" t="s">
        <v>357</v>
      </c>
      <c r="R738" t="s">
        <v>9973</v>
      </c>
      <c r="S738" t="s">
        <v>9058</v>
      </c>
      <c r="T738" t="s">
        <v>9059</v>
      </c>
    </row>
    <row r="739" spans="1:20" x14ac:dyDescent="0.25">
      <c r="A739" t="s">
        <v>9975</v>
      </c>
      <c r="B739">
        <v>-6.77</v>
      </c>
      <c r="C739">
        <v>124.8</v>
      </c>
      <c r="D739">
        <v>28.612500000000001</v>
      </c>
      <c r="E739">
        <v>25.9</v>
      </c>
      <c r="F739">
        <v>31.346666670000001</v>
      </c>
      <c r="G739">
        <v>2.13</v>
      </c>
      <c r="H739">
        <v>1.171666667</v>
      </c>
      <c r="I739">
        <v>2.9166666669999999</v>
      </c>
      <c r="J739">
        <v>5660.6008330000004</v>
      </c>
      <c r="K739">
        <v>5212</v>
      </c>
      <c r="L739">
        <v>6310.7083329999996</v>
      </c>
      <c r="M739">
        <v>19.42166667</v>
      </c>
      <c r="N739">
        <v>18.24666667</v>
      </c>
      <c r="O739">
        <v>20.69166667</v>
      </c>
      <c r="Q739" t="s">
        <v>357</v>
      </c>
      <c r="R739" t="s">
        <v>9973</v>
      </c>
      <c r="S739" t="s">
        <v>9058</v>
      </c>
      <c r="T739" t="s">
        <v>9061</v>
      </c>
    </row>
    <row r="740" spans="1:20" x14ac:dyDescent="0.25">
      <c r="A740" t="s">
        <v>7652</v>
      </c>
      <c r="B740">
        <v>-9.8699999999999992</v>
      </c>
      <c r="C740">
        <v>425</v>
      </c>
      <c r="D740">
        <v>26.498333330000001</v>
      </c>
      <c r="E740">
        <v>23.356666669999999</v>
      </c>
      <c r="F740">
        <v>29.681666669999998</v>
      </c>
      <c r="G740">
        <v>2.4474999999999998</v>
      </c>
      <c r="H740">
        <v>1.548333333</v>
      </c>
      <c r="I740">
        <v>3.2516666669999998</v>
      </c>
      <c r="J740">
        <v>5913.5258329999997</v>
      </c>
      <c r="K740">
        <v>5347.375</v>
      </c>
      <c r="L740">
        <v>6698.0833329999996</v>
      </c>
      <c r="M740">
        <v>17.965833329999999</v>
      </c>
      <c r="N740">
        <v>16.823333330000001</v>
      </c>
      <c r="O740">
        <v>19.376666669999999</v>
      </c>
      <c r="Q740" t="s">
        <v>357</v>
      </c>
      <c r="R740" t="s">
        <v>9976</v>
      </c>
      <c r="S740" t="s">
        <v>9065</v>
      </c>
      <c r="T740" t="s">
        <v>9066</v>
      </c>
    </row>
    <row r="741" spans="1:20" x14ac:dyDescent="0.25">
      <c r="A741" t="s">
        <v>9977</v>
      </c>
      <c r="B741">
        <v>-9.8699999999999992</v>
      </c>
      <c r="C741">
        <v>426.5</v>
      </c>
      <c r="D741">
        <v>27.33</v>
      </c>
      <c r="E741">
        <v>24.083333329999999</v>
      </c>
      <c r="F741">
        <v>30.701666670000002</v>
      </c>
      <c r="G741">
        <v>2.2583333329999999</v>
      </c>
      <c r="H741">
        <v>1.3</v>
      </c>
      <c r="I741">
        <v>3.0916666670000001</v>
      </c>
      <c r="J741">
        <v>5821.6958329999998</v>
      </c>
      <c r="K741">
        <v>5449.4791670000004</v>
      </c>
      <c r="L741">
        <v>6405.5833329999996</v>
      </c>
      <c r="M741">
        <v>17.020833329999999</v>
      </c>
      <c r="N741">
        <v>15.52333333</v>
      </c>
      <c r="O741">
        <v>18.618333329999999</v>
      </c>
      <c r="Q741" t="s">
        <v>357</v>
      </c>
      <c r="R741" t="s">
        <v>9976</v>
      </c>
      <c r="S741" t="s">
        <v>9058</v>
      </c>
      <c r="T741" t="s">
        <v>9061</v>
      </c>
    </row>
    <row r="742" spans="1:20" x14ac:dyDescent="0.25">
      <c r="A742" t="s">
        <v>9978</v>
      </c>
      <c r="B742">
        <v>-5.13</v>
      </c>
      <c r="C742">
        <v>45.1</v>
      </c>
      <c r="D742">
        <v>28.098333329999999</v>
      </c>
      <c r="E742">
        <v>24.95</v>
      </c>
      <c r="F742">
        <v>31.47</v>
      </c>
      <c r="G742">
        <v>2.7716666669999999</v>
      </c>
      <c r="H742">
        <v>1.5</v>
      </c>
      <c r="I742">
        <v>3.9416666669999998</v>
      </c>
      <c r="J742">
        <v>5871.8266670000003</v>
      </c>
      <c r="K742">
        <v>5524.2083329999996</v>
      </c>
      <c r="L742">
        <v>6513.4375</v>
      </c>
      <c r="M742">
        <v>20.64833333</v>
      </c>
      <c r="N742">
        <v>19.3</v>
      </c>
      <c r="O742">
        <v>22.326666670000002</v>
      </c>
      <c r="Q742" t="s">
        <v>357</v>
      </c>
      <c r="R742" t="s">
        <v>9979</v>
      </c>
      <c r="S742" t="s">
        <v>9058</v>
      </c>
      <c r="T742" t="s">
        <v>9061</v>
      </c>
    </row>
    <row r="743" spans="1:20" x14ac:dyDescent="0.25">
      <c r="A743" t="s">
        <v>7669</v>
      </c>
      <c r="B743">
        <v>-6.97</v>
      </c>
      <c r="C743">
        <v>156</v>
      </c>
      <c r="D743">
        <v>26.791666670000001</v>
      </c>
      <c r="E743">
        <v>23.216666669999999</v>
      </c>
      <c r="F743">
        <v>30.63</v>
      </c>
      <c r="G743">
        <v>1.6458333329999999</v>
      </c>
      <c r="H743">
        <v>0.64166666699999997</v>
      </c>
      <c r="I743">
        <v>2.4449999999999998</v>
      </c>
      <c r="J743">
        <v>5490.88</v>
      </c>
      <c r="K743">
        <v>5004.3125</v>
      </c>
      <c r="L743">
        <v>6179.3958329999996</v>
      </c>
      <c r="M743">
        <v>19.366666670000001</v>
      </c>
      <c r="N743">
        <v>17.958333329999999</v>
      </c>
      <c r="O743">
        <v>20.885000000000002</v>
      </c>
      <c r="Q743" t="s">
        <v>357</v>
      </c>
      <c r="R743" t="s">
        <v>9980</v>
      </c>
      <c r="S743" t="s">
        <v>9065</v>
      </c>
      <c r="T743" t="s">
        <v>9066</v>
      </c>
    </row>
    <row r="744" spans="1:20" x14ac:dyDescent="0.25">
      <c r="A744" t="s">
        <v>9981</v>
      </c>
      <c r="B744">
        <v>-6.97</v>
      </c>
      <c r="C744">
        <v>157.5</v>
      </c>
      <c r="D744">
        <v>27.95333333</v>
      </c>
      <c r="E744">
        <v>24.49</v>
      </c>
      <c r="F744">
        <v>31.723333329999999</v>
      </c>
      <c r="G744">
        <v>2.0583333330000002</v>
      </c>
      <c r="H744">
        <v>1.0816666669999999</v>
      </c>
      <c r="I744">
        <v>2.8766666669999998</v>
      </c>
      <c r="J744">
        <v>5638.1949999999997</v>
      </c>
      <c r="K744">
        <v>5131.1458329999996</v>
      </c>
      <c r="L744">
        <v>6239.2291670000004</v>
      </c>
      <c r="M744">
        <v>18.134166669999999</v>
      </c>
      <c r="N744">
        <v>16.758333329999999</v>
      </c>
      <c r="O744">
        <v>19.574999999999999</v>
      </c>
      <c r="Q744" t="s">
        <v>357</v>
      </c>
      <c r="R744" t="s">
        <v>9980</v>
      </c>
      <c r="S744" t="s">
        <v>9058</v>
      </c>
      <c r="T744" t="s">
        <v>9061</v>
      </c>
    </row>
    <row r="745" spans="1:20" x14ac:dyDescent="0.25">
      <c r="A745" t="s">
        <v>9982</v>
      </c>
      <c r="B745">
        <v>-2.89</v>
      </c>
      <c r="C745">
        <v>4.9000000000000004</v>
      </c>
      <c r="D745">
        <v>28.748333330000001</v>
      </c>
      <c r="E745">
        <v>26.53</v>
      </c>
      <c r="F745">
        <v>31.255833330000002</v>
      </c>
      <c r="G745">
        <v>5.0708333330000004</v>
      </c>
      <c r="H745">
        <v>3.358333333</v>
      </c>
      <c r="I745">
        <v>6.858333333</v>
      </c>
      <c r="J745">
        <v>6285.8891670000003</v>
      </c>
      <c r="K745">
        <v>5912.8541670000004</v>
      </c>
      <c r="L745">
        <v>6881.7291670000004</v>
      </c>
      <c r="M745">
        <v>23.616666670000001</v>
      </c>
      <c r="N745">
        <v>23.0275</v>
      </c>
      <c r="O745">
        <v>24.51</v>
      </c>
      <c r="Q745" t="s">
        <v>357</v>
      </c>
      <c r="R745" t="s">
        <v>9983</v>
      </c>
      <c r="S745" t="s">
        <v>9058</v>
      </c>
      <c r="T745" t="s">
        <v>9059</v>
      </c>
    </row>
    <row r="746" spans="1:20" x14ac:dyDescent="0.25">
      <c r="A746" t="s">
        <v>9984</v>
      </c>
      <c r="B746">
        <v>-2.89</v>
      </c>
      <c r="C746">
        <v>4.9000000000000004</v>
      </c>
      <c r="D746">
        <v>28.483333330000001</v>
      </c>
      <c r="E746">
        <v>26.416666670000001</v>
      </c>
      <c r="F746">
        <v>30.368333329999999</v>
      </c>
      <c r="G746">
        <v>5.4824999999999999</v>
      </c>
      <c r="H746">
        <v>4.375</v>
      </c>
      <c r="I746">
        <v>6.5916666670000001</v>
      </c>
      <c r="J746">
        <v>5960.9983329999995</v>
      </c>
      <c r="K746">
        <v>5627.5625</v>
      </c>
      <c r="L746">
        <v>6403.6875</v>
      </c>
      <c r="M746">
        <v>23.229166670000001</v>
      </c>
      <c r="N746">
        <v>22.6</v>
      </c>
      <c r="O746">
        <v>24.018333330000001</v>
      </c>
      <c r="Q746" t="s">
        <v>357</v>
      </c>
      <c r="R746" t="s">
        <v>9983</v>
      </c>
      <c r="S746" t="s">
        <v>9058</v>
      </c>
      <c r="T746" t="s">
        <v>9061</v>
      </c>
    </row>
    <row r="747" spans="1:20" x14ac:dyDescent="0.25">
      <c r="A747" t="s">
        <v>6416</v>
      </c>
      <c r="B747">
        <v>-2.9</v>
      </c>
      <c r="C747">
        <v>80</v>
      </c>
      <c r="D747">
        <v>27.349166669999999</v>
      </c>
      <c r="E747">
        <v>24.556666669999998</v>
      </c>
      <c r="F747">
        <v>30.25333333</v>
      </c>
      <c r="G747">
        <v>3.1183333329999998</v>
      </c>
      <c r="H747">
        <v>2.04</v>
      </c>
      <c r="I747">
        <v>4.1058333329999996</v>
      </c>
      <c r="J747">
        <v>5496.978333</v>
      </c>
      <c r="K747">
        <v>5055.6666670000004</v>
      </c>
      <c r="L747">
        <v>6125.8958329999996</v>
      </c>
      <c r="M747">
        <v>21.834166669999998</v>
      </c>
      <c r="N747">
        <v>21.258333329999999</v>
      </c>
      <c r="O747">
        <v>22.608333330000001</v>
      </c>
      <c r="Q747" t="s">
        <v>357</v>
      </c>
      <c r="R747" t="s">
        <v>9985</v>
      </c>
      <c r="S747" t="s">
        <v>9065</v>
      </c>
      <c r="T747" t="s">
        <v>9066</v>
      </c>
    </row>
    <row r="748" spans="1:20" x14ac:dyDescent="0.25">
      <c r="A748" t="s">
        <v>9986</v>
      </c>
      <c r="B748">
        <v>-3.08</v>
      </c>
      <c r="C748">
        <v>58.5</v>
      </c>
      <c r="D748">
        <v>27.574999999999999</v>
      </c>
      <c r="E748">
        <v>25.2</v>
      </c>
      <c r="F748">
        <v>29.918333329999999</v>
      </c>
      <c r="G748">
        <v>3.6233333330000002</v>
      </c>
      <c r="H748">
        <v>2.7</v>
      </c>
      <c r="I748">
        <v>4.4916666669999996</v>
      </c>
      <c r="J748">
        <v>5745.8983330000001</v>
      </c>
      <c r="K748">
        <v>5385.0208329999996</v>
      </c>
      <c r="L748">
        <v>6227.8958329999996</v>
      </c>
      <c r="M748">
        <v>22.56</v>
      </c>
      <c r="N748">
        <v>21.958333329999999</v>
      </c>
      <c r="O748">
        <v>23.333333329999999</v>
      </c>
      <c r="Q748" t="s">
        <v>357</v>
      </c>
      <c r="R748" t="s">
        <v>9985</v>
      </c>
      <c r="S748" t="s">
        <v>9058</v>
      </c>
      <c r="T748" t="s">
        <v>9061</v>
      </c>
    </row>
    <row r="749" spans="1:20" x14ac:dyDescent="0.25">
      <c r="A749" t="s">
        <v>9987</v>
      </c>
      <c r="B749">
        <v>-8.1300000000000008</v>
      </c>
      <c r="C749">
        <v>375.5</v>
      </c>
      <c r="D749">
        <v>27.948333330000001</v>
      </c>
      <c r="E749">
        <v>25.116666670000001</v>
      </c>
      <c r="F749">
        <v>30.676666669999999</v>
      </c>
      <c r="G749">
        <v>3.34</v>
      </c>
      <c r="H749">
        <v>2.2916666669999999</v>
      </c>
      <c r="I749">
        <v>4.3608333330000004</v>
      </c>
      <c r="J749">
        <v>5893.8908330000004</v>
      </c>
      <c r="K749">
        <v>5350.1666670000004</v>
      </c>
      <c r="L749">
        <v>6544.0208329999996</v>
      </c>
      <c r="M749">
        <v>15.90666667</v>
      </c>
      <c r="N749">
        <v>14.11166667</v>
      </c>
      <c r="O749">
        <v>17.82833333</v>
      </c>
      <c r="Q749" t="s">
        <v>357</v>
      </c>
      <c r="R749" t="s">
        <v>9988</v>
      </c>
      <c r="S749" t="s">
        <v>9058</v>
      </c>
      <c r="T749" t="s">
        <v>9061</v>
      </c>
    </row>
    <row r="750" spans="1:20" x14ac:dyDescent="0.25">
      <c r="A750" t="s">
        <v>7588</v>
      </c>
      <c r="B750">
        <v>-8.14</v>
      </c>
      <c r="C750">
        <v>374</v>
      </c>
      <c r="D750">
        <v>27.59</v>
      </c>
      <c r="E750">
        <v>24.614999999999998</v>
      </c>
      <c r="F750">
        <v>30.46</v>
      </c>
      <c r="G750">
        <v>3.32</v>
      </c>
      <c r="H750">
        <v>2.125</v>
      </c>
      <c r="I750">
        <v>4.4450000000000003</v>
      </c>
      <c r="J750">
        <v>6004.8241669999998</v>
      </c>
      <c r="K750">
        <v>5498.8541670000004</v>
      </c>
      <c r="L750">
        <v>6862.5</v>
      </c>
      <c r="M750">
        <v>16.74666667</v>
      </c>
      <c r="N750">
        <v>14.98833333</v>
      </c>
      <c r="O750">
        <v>18.768333330000001</v>
      </c>
      <c r="Q750" t="s">
        <v>357</v>
      </c>
      <c r="R750" t="s">
        <v>9989</v>
      </c>
      <c r="S750" t="s">
        <v>9065</v>
      </c>
      <c r="T750" t="s">
        <v>9066</v>
      </c>
    </row>
    <row r="751" spans="1:20" x14ac:dyDescent="0.25">
      <c r="A751" t="s">
        <v>9990</v>
      </c>
      <c r="B751">
        <v>-7.07</v>
      </c>
      <c r="C751">
        <v>234.5</v>
      </c>
      <c r="D751">
        <v>29.466666669999999</v>
      </c>
      <c r="E751">
        <v>27.006666670000001</v>
      </c>
      <c r="F751">
        <v>31.855833329999999</v>
      </c>
      <c r="G751">
        <v>2.9350000000000001</v>
      </c>
      <c r="H751">
        <v>1.858333333</v>
      </c>
      <c r="I751">
        <v>3.9266666670000001</v>
      </c>
      <c r="J751">
        <v>6348.3549999999996</v>
      </c>
      <c r="K751">
        <v>5899.4375</v>
      </c>
      <c r="L751">
        <v>7001.0625</v>
      </c>
      <c r="M751">
        <v>16.92166667</v>
      </c>
      <c r="N751">
        <v>15.21666667</v>
      </c>
      <c r="O751">
        <v>18.71</v>
      </c>
      <c r="Q751" t="s">
        <v>357</v>
      </c>
      <c r="R751" t="s">
        <v>9991</v>
      </c>
      <c r="S751" t="s">
        <v>9058</v>
      </c>
      <c r="T751" t="s">
        <v>9059</v>
      </c>
    </row>
    <row r="752" spans="1:20" x14ac:dyDescent="0.25">
      <c r="A752" t="s">
        <v>9992</v>
      </c>
      <c r="B752">
        <v>-7.07</v>
      </c>
      <c r="C752">
        <v>234.5</v>
      </c>
      <c r="D752">
        <v>28.513333329999998</v>
      </c>
      <c r="E752">
        <v>25.695</v>
      </c>
      <c r="F752">
        <v>31.375</v>
      </c>
      <c r="G752">
        <v>2.880833333</v>
      </c>
      <c r="H752">
        <v>2.0383333330000002</v>
      </c>
      <c r="I752">
        <v>3.6375000000000002</v>
      </c>
      <c r="J752">
        <v>5719.0833329999996</v>
      </c>
      <c r="K752">
        <v>5283.0833329999996</v>
      </c>
      <c r="L752">
        <v>6357.7083329999996</v>
      </c>
      <c r="M752">
        <v>17.817499999999999</v>
      </c>
      <c r="N752">
        <v>16.373333330000001</v>
      </c>
      <c r="O752">
        <v>19.403333329999999</v>
      </c>
      <c r="Q752" t="s">
        <v>357</v>
      </c>
      <c r="R752" t="s">
        <v>9991</v>
      </c>
      <c r="S752" t="s">
        <v>9058</v>
      </c>
      <c r="T752" t="s">
        <v>9061</v>
      </c>
    </row>
    <row r="753" spans="1:20" x14ac:dyDescent="0.25">
      <c r="A753" t="s">
        <v>7637</v>
      </c>
      <c r="B753">
        <v>-7.07</v>
      </c>
      <c r="C753">
        <v>233</v>
      </c>
      <c r="D753">
        <v>28.225000000000001</v>
      </c>
      <c r="E753">
        <v>24.49666667</v>
      </c>
      <c r="F753">
        <v>32.01</v>
      </c>
      <c r="G753">
        <v>2.1608333329999998</v>
      </c>
      <c r="H753">
        <v>1.2</v>
      </c>
      <c r="I753">
        <v>3.01</v>
      </c>
      <c r="J753">
        <v>5645.8283330000004</v>
      </c>
      <c r="K753">
        <v>5165.7708329999996</v>
      </c>
      <c r="L753">
        <v>6341.8541670000004</v>
      </c>
      <c r="M753">
        <v>17.724166669999999</v>
      </c>
      <c r="N753">
        <v>16.116666670000001</v>
      </c>
      <c r="O753">
        <v>19.554166670000001</v>
      </c>
      <c r="Q753" t="s">
        <v>357</v>
      </c>
      <c r="R753" t="s">
        <v>9993</v>
      </c>
      <c r="S753" t="s">
        <v>9065</v>
      </c>
      <c r="T753" t="s">
        <v>9066</v>
      </c>
    </row>
    <row r="754" spans="1:20" x14ac:dyDescent="0.25">
      <c r="A754" t="s">
        <v>6421</v>
      </c>
      <c r="B754">
        <v>-4.2699999999999996</v>
      </c>
      <c r="C754">
        <v>161</v>
      </c>
      <c r="D754">
        <v>27.909166670000001</v>
      </c>
      <c r="E754">
        <v>24.196666669999999</v>
      </c>
      <c r="F754">
        <v>31.67</v>
      </c>
      <c r="G754">
        <v>1.5233333330000001</v>
      </c>
      <c r="H754">
        <v>0.35</v>
      </c>
      <c r="I754">
        <v>2.3433333329999999</v>
      </c>
      <c r="J754">
        <v>5985.3016669999997</v>
      </c>
      <c r="K754">
        <v>5592.4583329999996</v>
      </c>
      <c r="L754">
        <v>6495.7083329999996</v>
      </c>
      <c r="M754">
        <v>19.659166670000001</v>
      </c>
      <c r="N754">
        <v>18.1525</v>
      </c>
      <c r="O754">
        <v>21.56666667</v>
      </c>
      <c r="Q754" t="s">
        <v>357</v>
      </c>
      <c r="R754" t="s">
        <v>9994</v>
      </c>
      <c r="S754" t="s">
        <v>9065</v>
      </c>
      <c r="T754" t="s">
        <v>9066</v>
      </c>
    </row>
    <row r="755" spans="1:20" x14ac:dyDescent="0.25">
      <c r="A755" t="s">
        <v>9995</v>
      </c>
      <c r="B755">
        <v>-4.2699999999999996</v>
      </c>
      <c r="C755">
        <v>162.5</v>
      </c>
      <c r="D755">
        <v>28.614166669999999</v>
      </c>
      <c r="E755">
        <v>25.306666669999998</v>
      </c>
      <c r="F755">
        <v>32.061666670000001</v>
      </c>
      <c r="G755">
        <v>2.2374999999999998</v>
      </c>
      <c r="H755">
        <v>1.3983333330000001</v>
      </c>
      <c r="I755">
        <v>2.9333333330000002</v>
      </c>
      <c r="J755">
        <v>5909.6175000000003</v>
      </c>
      <c r="K755">
        <v>5580.6666670000004</v>
      </c>
      <c r="L755">
        <v>6425.75</v>
      </c>
      <c r="M755">
        <v>20.278333329999999</v>
      </c>
      <c r="N755">
        <v>19.024999999999999</v>
      </c>
      <c r="O755">
        <v>21.835000000000001</v>
      </c>
      <c r="Q755" t="s">
        <v>357</v>
      </c>
      <c r="R755" t="s">
        <v>9994</v>
      </c>
      <c r="S755" t="s">
        <v>9058</v>
      </c>
      <c r="T755" t="s">
        <v>9061</v>
      </c>
    </row>
    <row r="756" spans="1:20" x14ac:dyDescent="0.25">
      <c r="A756" t="s">
        <v>7655</v>
      </c>
      <c r="B756">
        <v>-8.36</v>
      </c>
      <c r="C756">
        <v>235</v>
      </c>
      <c r="D756">
        <v>28.24583333</v>
      </c>
      <c r="E756">
        <v>24.89</v>
      </c>
      <c r="F756">
        <v>31.581666670000001</v>
      </c>
      <c r="G756">
        <v>2.0741666670000001</v>
      </c>
      <c r="H756">
        <v>1.0916666669999999</v>
      </c>
      <c r="I756">
        <v>2.9750000000000001</v>
      </c>
      <c r="J756">
        <v>5922.9741670000003</v>
      </c>
      <c r="K756">
        <v>5480.6666670000004</v>
      </c>
      <c r="L756">
        <v>6769.4791670000004</v>
      </c>
      <c r="M756">
        <v>16.981666669999999</v>
      </c>
      <c r="N756">
        <v>15.15833333</v>
      </c>
      <c r="O756">
        <v>19.03833333</v>
      </c>
      <c r="Q756" t="s">
        <v>357</v>
      </c>
      <c r="R756" t="s">
        <v>9996</v>
      </c>
      <c r="S756" t="s">
        <v>9065</v>
      </c>
      <c r="T756" t="s">
        <v>9066</v>
      </c>
    </row>
    <row r="757" spans="1:20" x14ac:dyDescent="0.25">
      <c r="A757" t="s">
        <v>9997</v>
      </c>
      <c r="B757">
        <v>-8.36</v>
      </c>
      <c r="C757">
        <v>236.5</v>
      </c>
      <c r="D757">
        <v>29.51</v>
      </c>
      <c r="E757">
        <v>27.114999999999998</v>
      </c>
      <c r="F757">
        <v>31.86333333</v>
      </c>
      <c r="G757">
        <v>2.8849999999999998</v>
      </c>
      <c r="H757">
        <v>1.9141666669999999</v>
      </c>
      <c r="I757">
        <v>3.8166666669999998</v>
      </c>
      <c r="J757">
        <v>6181.5341669999998</v>
      </c>
      <c r="K757">
        <v>5695.1875</v>
      </c>
      <c r="L757">
        <v>6812.4166670000004</v>
      </c>
      <c r="M757">
        <v>17.4375</v>
      </c>
      <c r="N757">
        <v>16.116666670000001</v>
      </c>
      <c r="O757">
        <v>18.951666670000002</v>
      </c>
      <c r="Q757" t="s">
        <v>357</v>
      </c>
      <c r="R757" t="s">
        <v>9996</v>
      </c>
      <c r="S757" t="s">
        <v>9058</v>
      </c>
      <c r="T757" t="s">
        <v>9059</v>
      </c>
    </row>
    <row r="758" spans="1:20" x14ac:dyDescent="0.25">
      <c r="A758" t="s">
        <v>9998</v>
      </c>
      <c r="B758">
        <v>-8.36</v>
      </c>
      <c r="C758">
        <v>236.5</v>
      </c>
      <c r="D758">
        <v>28.344999999999999</v>
      </c>
      <c r="E758">
        <v>25.504999999999999</v>
      </c>
      <c r="F758">
        <v>31.06</v>
      </c>
      <c r="G758">
        <v>2.6175000000000002</v>
      </c>
      <c r="H758">
        <v>1.7</v>
      </c>
      <c r="I758">
        <v>3.483333333</v>
      </c>
      <c r="J758">
        <v>5848.0424999999996</v>
      </c>
      <c r="K758">
        <v>5407.125</v>
      </c>
      <c r="L758">
        <v>6491.9583329999996</v>
      </c>
      <c r="M758">
        <v>17.533333330000001</v>
      </c>
      <c r="N758">
        <v>15.981666669999999</v>
      </c>
      <c r="O758">
        <v>19.266666669999999</v>
      </c>
      <c r="Q758" t="s">
        <v>357</v>
      </c>
      <c r="R758" t="s">
        <v>9996</v>
      </c>
      <c r="S758" t="s">
        <v>9058</v>
      </c>
      <c r="T758" t="s">
        <v>9061</v>
      </c>
    </row>
    <row r="759" spans="1:20" x14ac:dyDescent="0.25">
      <c r="A759" t="s">
        <v>6730</v>
      </c>
      <c r="B759">
        <v>-5.91</v>
      </c>
      <c r="C759">
        <v>287</v>
      </c>
      <c r="D759">
        <v>26.240833330000001</v>
      </c>
      <c r="E759">
        <v>23.285</v>
      </c>
      <c r="F759">
        <v>29.23833333</v>
      </c>
      <c r="G759">
        <v>1.66</v>
      </c>
      <c r="H759">
        <v>1.0416666670000001</v>
      </c>
      <c r="I759">
        <v>2.1683333330000001</v>
      </c>
      <c r="J759">
        <v>5531.2258330000004</v>
      </c>
      <c r="K759">
        <v>5107.25</v>
      </c>
      <c r="L759">
        <v>6194.0416670000004</v>
      </c>
      <c r="M759">
        <v>20.310833330000001</v>
      </c>
      <c r="N759">
        <v>19.34</v>
      </c>
      <c r="O759">
        <v>21.393333330000001</v>
      </c>
      <c r="Q759" t="s">
        <v>357</v>
      </c>
      <c r="R759" t="s">
        <v>9999</v>
      </c>
      <c r="S759" t="s">
        <v>9065</v>
      </c>
      <c r="T759" t="s">
        <v>9066</v>
      </c>
    </row>
    <row r="760" spans="1:20" x14ac:dyDescent="0.25">
      <c r="A760" t="s">
        <v>7662</v>
      </c>
      <c r="B760">
        <v>-9.0299999999999994</v>
      </c>
      <c r="C760">
        <v>402</v>
      </c>
      <c r="D760">
        <v>27.04666667</v>
      </c>
      <c r="E760">
        <v>23.8</v>
      </c>
      <c r="F760">
        <v>30.355</v>
      </c>
      <c r="G760">
        <v>1.6950000000000001</v>
      </c>
      <c r="H760">
        <v>0.59833333300000002</v>
      </c>
      <c r="I760">
        <v>2.66</v>
      </c>
      <c r="J760">
        <v>5690.0158330000004</v>
      </c>
      <c r="K760">
        <v>5159.3125</v>
      </c>
      <c r="L760">
        <v>6484.0625</v>
      </c>
      <c r="M760">
        <v>17.32833333</v>
      </c>
      <c r="N760">
        <v>15.688333330000001</v>
      </c>
      <c r="O760">
        <v>19.144166670000001</v>
      </c>
      <c r="Q760" t="s">
        <v>357</v>
      </c>
      <c r="R760" t="s">
        <v>10000</v>
      </c>
      <c r="S760" t="s">
        <v>9065</v>
      </c>
      <c r="T760" t="s">
        <v>9066</v>
      </c>
    </row>
    <row r="761" spans="1:20" x14ac:dyDescent="0.25">
      <c r="A761" t="s">
        <v>10001</v>
      </c>
      <c r="B761">
        <v>-9.0299999999999994</v>
      </c>
      <c r="C761">
        <v>403.5</v>
      </c>
      <c r="D761">
        <v>27.069166670000001</v>
      </c>
      <c r="E761">
        <v>23.68333333</v>
      </c>
      <c r="F761">
        <v>30.414999999999999</v>
      </c>
      <c r="G761">
        <v>2.3458333329999999</v>
      </c>
      <c r="H761">
        <v>1.425</v>
      </c>
      <c r="I761">
        <v>3.1666666669999999</v>
      </c>
      <c r="J761">
        <v>5830.2708329999996</v>
      </c>
      <c r="K761">
        <v>5338.6875</v>
      </c>
      <c r="L761">
        <v>6519.9791670000004</v>
      </c>
      <c r="M761">
        <v>16.686666670000001</v>
      </c>
      <c r="N761">
        <v>15.03833333</v>
      </c>
      <c r="O761">
        <v>18.447500000000002</v>
      </c>
      <c r="Q761" t="s">
        <v>357</v>
      </c>
      <c r="R761" t="s">
        <v>10000</v>
      </c>
      <c r="S761" t="s">
        <v>9058</v>
      </c>
      <c r="T761" t="s">
        <v>9061</v>
      </c>
    </row>
    <row r="762" spans="1:20" x14ac:dyDescent="0.25">
      <c r="A762" t="s">
        <v>10002</v>
      </c>
      <c r="B762">
        <v>-5.0599999999999996</v>
      </c>
      <c r="C762">
        <v>66.8</v>
      </c>
      <c r="D762">
        <v>29.11333333</v>
      </c>
      <c r="E762">
        <v>25.99583333</v>
      </c>
      <c r="F762">
        <v>32.183333330000004</v>
      </c>
      <c r="G762">
        <v>1.7725</v>
      </c>
      <c r="H762">
        <v>0.84166666700000003</v>
      </c>
      <c r="I762">
        <v>2.5499999999999998</v>
      </c>
      <c r="J762">
        <v>6195.268333</v>
      </c>
      <c r="K762">
        <v>5861.1041670000004</v>
      </c>
      <c r="L762">
        <v>6764.3333329999996</v>
      </c>
      <c r="M762">
        <v>21.938333329999999</v>
      </c>
      <c r="N762">
        <v>20.62083333</v>
      </c>
      <c r="O762">
        <v>23.318333330000002</v>
      </c>
      <c r="Q762" t="s">
        <v>357</v>
      </c>
      <c r="R762" t="s">
        <v>10003</v>
      </c>
      <c r="S762" t="s">
        <v>9058</v>
      </c>
      <c r="T762" t="s">
        <v>9059</v>
      </c>
    </row>
    <row r="763" spans="1:20" x14ac:dyDescent="0.25">
      <c r="A763" t="s">
        <v>10004</v>
      </c>
      <c r="B763">
        <v>-5.0599999999999996</v>
      </c>
      <c r="C763">
        <v>66.8</v>
      </c>
      <c r="D763">
        <v>29.067499999999999</v>
      </c>
      <c r="E763">
        <v>25.904166669999999</v>
      </c>
      <c r="F763">
        <v>32.222499999999997</v>
      </c>
      <c r="G763">
        <v>2.0274999999999999</v>
      </c>
      <c r="H763">
        <v>1.1000000000000001</v>
      </c>
      <c r="I763">
        <v>2.85</v>
      </c>
      <c r="J763">
        <v>5560.3424999999997</v>
      </c>
      <c r="K763">
        <v>5137.6875</v>
      </c>
      <c r="L763">
        <v>6152.0833329999996</v>
      </c>
      <c r="M763">
        <v>21.643333330000001</v>
      </c>
      <c r="N763">
        <v>20.414999999999999</v>
      </c>
      <c r="O763">
        <v>23.153333329999999</v>
      </c>
      <c r="Q763" t="s">
        <v>357</v>
      </c>
      <c r="R763" t="s">
        <v>10003</v>
      </c>
      <c r="S763" t="s">
        <v>9058</v>
      </c>
      <c r="T763" t="s">
        <v>9061</v>
      </c>
    </row>
    <row r="764" spans="1:20" x14ac:dyDescent="0.25">
      <c r="A764" t="s">
        <v>10005</v>
      </c>
      <c r="B764">
        <v>-5.03</v>
      </c>
      <c r="C764">
        <v>75.900000000000006</v>
      </c>
      <c r="D764">
        <v>28.03166667</v>
      </c>
      <c r="E764">
        <v>25.091666669999999</v>
      </c>
      <c r="F764">
        <v>31.041666670000001</v>
      </c>
      <c r="G764">
        <v>1.3225</v>
      </c>
      <c r="H764">
        <v>0.57250000000000001</v>
      </c>
      <c r="I764">
        <v>1.941666667</v>
      </c>
      <c r="J764">
        <v>5603.3325000000004</v>
      </c>
      <c r="K764">
        <v>5145.1041670000004</v>
      </c>
      <c r="L764">
        <v>6157.8541670000004</v>
      </c>
      <c r="M764">
        <v>20.771666669999998</v>
      </c>
      <c r="N764">
        <v>19.623333330000001</v>
      </c>
      <c r="O764">
        <v>22.041666670000001</v>
      </c>
      <c r="Q764" t="s">
        <v>357</v>
      </c>
      <c r="R764" t="s">
        <v>10006</v>
      </c>
      <c r="S764" t="s">
        <v>9058</v>
      </c>
      <c r="T764" t="s">
        <v>9061</v>
      </c>
    </row>
    <row r="765" spans="1:20" x14ac:dyDescent="0.25">
      <c r="A765" t="s">
        <v>6718</v>
      </c>
      <c r="B765">
        <v>-5.09</v>
      </c>
      <c r="C765">
        <v>74</v>
      </c>
      <c r="D765">
        <v>27.686666670000001</v>
      </c>
      <c r="E765">
        <v>24.223333329999999</v>
      </c>
      <c r="F765">
        <v>31.321666669999999</v>
      </c>
      <c r="G765">
        <v>1.3075000000000001</v>
      </c>
      <c r="H765">
        <v>0.233333333</v>
      </c>
      <c r="I765">
        <v>2.0750000000000002</v>
      </c>
      <c r="J765">
        <v>5672.6575000000003</v>
      </c>
      <c r="K765">
        <v>5247.5</v>
      </c>
      <c r="L765">
        <v>6226.875</v>
      </c>
      <c r="M765">
        <v>20.27333333</v>
      </c>
      <c r="N765">
        <v>18.931666669999998</v>
      </c>
      <c r="O765">
        <v>21.91</v>
      </c>
      <c r="Q765" t="s">
        <v>357</v>
      </c>
      <c r="R765" t="s">
        <v>10007</v>
      </c>
      <c r="S765" t="s">
        <v>9065</v>
      </c>
      <c r="T765" t="s">
        <v>9066</v>
      </c>
    </row>
    <row r="766" spans="1:20" x14ac:dyDescent="0.25">
      <c r="A766" t="s">
        <v>6658</v>
      </c>
      <c r="B766">
        <v>-7.47</v>
      </c>
      <c r="C766">
        <v>393</v>
      </c>
      <c r="D766">
        <v>25.805833329999999</v>
      </c>
      <c r="E766">
        <v>22.875</v>
      </c>
      <c r="F766">
        <v>28.713333330000001</v>
      </c>
      <c r="G766">
        <v>1.066666667</v>
      </c>
      <c r="H766">
        <v>0.108333333</v>
      </c>
      <c r="I766">
        <v>1.7749999999999999</v>
      </c>
      <c r="J766">
        <v>5287.1391670000003</v>
      </c>
      <c r="K766">
        <v>4500.4583329999996</v>
      </c>
      <c r="L766">
        <v>6145.9375</v>
      </c>
      <c r="M766">
        <v>18.94166667</v>
      </c>
      <c r="N766">
        <v>17.965</v>
      </c>
      <c r="O766">
        <v>20.043333329999999</v>
      </c>
      <c r="Q766" t="s">
        <v>357</v>
      </c>
      <c r="R766" t="s">
        <v>10008</v>
      </c>
      <c r="S766" t="s">
        <v>9065</v>
      </c>
      <c r="T766" t="s">
        <v>9066</v>
      </c>
    </row>
    <row r="767" spans="1:20" x14ac:dyDescent="0.25">
      <c r="A767" t="s">
        <v>10009</v>
      </c>
      <c r="B767">
        <v>-7.47</v>
      </c>
      <c r="C767">
        <v>394.5</v>
      </c>
      <c r="D767">
        <v>26.543333329999999</v>
      </c>
      <c r="E767">
        <v>23.283333330000001</v>
      </c>
      <c r="F767">
        <v>29.85</v>
      </c>
      <c r="G767">
        <v>1.004166667</v>
      </c>
      <c r="H767">
        <v>0.25</v>
      </c>
      <c r="I767">
        <v>1.5433333330000001</v>
      </c>
      <c r="J767">
        <v>5598.1233329999995</v>
      </c>
      <c r="K767">
        <v>5092.9375</v>
      </c>
      <c r="L767">
        <v>6288.7708329999996</v>
      </c>
      <c r="M767">
        <v>17.508333329999999</v>
      </c>
      <c r="N767">
        <v>16.239999999999998</v>
      </c>
      <c r="O767">
        <v>18.891666669999999</v>
      </c>
      <c r="Q767" t="s">
        <v>357</v>
      </c>
      <c r="R767" t="s">
        <v>10008</v>
      </c>
      <c r="S767" t="s">
        <v>9058</v>
      </c>
      <c r="T767" t="s">
        <v>9061</v>
      </c>
    </row>
    <row r="768" spans="1:20" x14ac:dyDescent="0.25">
      <c r="A768" t="s">
        <v>7645</v>
      </c>
      <c r="B768">
        <v>-6.4</v>
      </c>
      <c r="C768">
        <v>301</v>
      </c>
      <c r="D768">
        <v>27.077500000000001</v>
      </c>
      <c r="E768">
        <v>23.69166667</v>
      </c>
      <c r="F768">
        <v>30.381666670000001</v>
      </c>
      <c r="G768">
        <v>1.7066666669999999</v>
      </c>
      <c r="H768">
        <v>1.0049999999999999</v>
      </c>
      <c r="I768">
        <v>2.2599999999999998</v>
      </c>
      <c r="J768">
        <v>5398.05</v>
      </c>
      <c r="K768">
        <v>4936.3958329999996</v>
      </c>
      <c r="L768">
        <v>6082.3333329999996</v>
      </c>
      <c r="M768">
        <v>18.521666669999998</v>
      </c>
      <c r="N768">
        <v>17.25</v>
      </c>
      <c r="O768">
        <v>19.95333333</v>
      </c>
      <c r="Q768" t="s">
        <v>357</v>
      </c>
      <c r="R768" t="s">
        <v>10010</v>
      </c>
      <c r="S768" t="s">
        <v>9065</v>
      </c>
      <c r="T768" t="s">
        <v>9066</v>
      </c>
    </row>
    <row r="769" spans="1:20" x14ac:dyDescent="0.25">
      <c r="A769" t="s">
        <v>10011</v>
      </c>
      <c r="B769">
        <v>-6.4</v>
      </c>
      <c r="C769">
        <v>302.5</v>
      </c>
      <c r="D769">
        <v>27.982500000000002</v>
      </c>
      <c r="E769">
        <v>24.52333333</v>
      </c>
      <c r="F769">
        <v>31.401666670000001</v>
      </c>
      <c r="G769">
        <v>1.901666667</v>
      </c>
      <c r="H769">
        <v>1.1499999999999999</v>
      </c>
      <c r="I769">
        <v>2.5099999999999998</v>
      </c>
      <c r="J769">
        <v>5823.95</v>
      </c>
      <c r="K769">
        <v>5307.625</v>
      </c>
      <c r="L769">
        <v>6441.7083329999996</v>
      </c>
      <c r="M769">
        <v>16.954166669999999</v>
      </c>
      <c r="N769">
        <v>15.48833333</v>
      </c>
      <c r="O769">
        <v>18.668333329999999</v>
      </c>
      <c r="Q769" t="s">
        <v>357</v>
      </c>
      <c r="R769" t="s">
        <v>10010</v>
      </c>
      <c r="S769" t="s">
        <v>9058</v>
      </c>
      <c r="T769" t="s">
        <v>9061</v>
      </c>
    </row>
    <row r="770" spans="1:20" x14ac:dyDescent="0.25">
      <c r="A770" t="s">
        <v>10012</v>
      </c>
      <c r="B770">
        <v>-24.05</v>
      </c>
      <c r="C770">
        <v>616</v>
      </c>
      <c r="D770">
        <v>21.547499999999999</v>
      </c>
      <c r="E770">
        <v>18.768333330000001</v>
      </c>
      <c r="F770">
        <v>24.26166667</v>
      </c>
      <c r="G770">
        <v>2.244166667</v>
      </c>
      <c r="H770">
        <v>1.415</v>
      </c>
      <c r="I770">
        <v>3.0083333329999999</v>
      </c>
      <c r="J770">
        <v>4808.62</v>
      </c>
      <c r="K770">
        <v>4252.125</v>
      </c>
      <c r="L770">
        <v>5637.625</v>
      </c>
      <c r="M770">
        <v>18.349166669999999</v>
      </c>
      <c r="N770">
        <v>16.53</v>
      </c>
      <c r="O770">
        <v>20.41</v>
      </c>
      <c r="Q770" t="s">
        <v>311</v>
      </c>
      <c r="R770" t="s">
        <v>10013</v>
      </c>
      <c r="S770" t="s">
        <v>9058</v>
      </c>
      <c r="T770" t="s">
        <v>9059</v>
      </c>
    </row>
    <row r="771" spans="1:20" x14ac:dyDescent="0.25">
      <c r="A771" t="s">
        <v>10014</v>
      </c>
      <c r="B771">
        <v>-25</v>
      </c>
      <c r="C771">
        <v>753.8</v>
      </c>
      <c r="D771">
        <v>20.502500000000001</v>
      </c>
      <c r="E771">
        <v>17.239999999999998</v>
      </c>
      <c r="F771">
        <v>23.591666669999999</v>
      </c>
      <c r="G771">
        <v>5.7525000000000004</v>
      </c>
      <c r="H771">
        <v>3.516666667</v>
      </c>
      <c r="I771">
        <v>8.125</v>
      </c>
      <c r="J771">
        <v>5243.33</v>
      </c>
      <c r="K771">
        <v>4491.75</v>
      </c>
      <c r="L771">
        <v>6123.5416670000004</v>
      </c>
      <c r="M771">
        <v>14.963333329999999</v>
      </c>
      <c r="N771">
        <v>13.11</v>
      </c>
      <c r="O771">
        <v>17.21</v>
      </c>
      <c r="Q771" t="s">
        <v>311</v>
      </c>
      <c r="R771" t="s">
        <v>10015</v>
      </c>
      <c r="S771" t="s">
        <v>9058</v>
      </c>
      <c r="T771" t="s">
        <v>9059</v>
      </c>
    </row>
    <row r="772" spans="1:20" x14ac:dyDescent="0.25">
      <c r="A772" t="s">
        <v>10016</v>
      </c>
      <c r="B772">
        <v>-25</v>
      </c>
      <c r="C772">
        <v>753.8</v>
      </c>
      <c r="D772">
        <v>20.75416667</v>
      </c>
      <c r="E772">
        <v>17.66333333</v>
      </c>
      <c r="F772">
        <v>23.770833329999999</v>
      </c>
      <c r="G772">
        <v>5.31</v>
      </c>
      <c r="H772">
        <v>3.0333333329999999</v>
      </c>
      <c r="I772">
        <v>7.375</v>
      </c>
      <c r="J772">
        <v>4988.3683330000003</v>
      </c>
      <c r="K772">
        <v>4256.5625</v>
      </c>
      <c r="L772">
        <v>5981.375</v>
      </c>
      <c r="M772">
        <v>15.015000000000001</v>
      </c>
      <c r="N772">
        <v>13.13</v>
      </c>
      <c r="O772">
        <v>17.16</v>
      </c>
      <c r="Q772" t="s">
        <v>311</v>
      </c>
      <c r="R772" t="s">
        <v>10015</v>
      </c>
      <c r="S772" t="s">
        <v>9058</v>
      </c>
      <c r="T772" t="s">
        <v>9061</v>
      </c>
    </row>
    <row r="773" spans="1:20" x14ac:dyDescent="0.25">
      <c r="A773" t="s">
        <v>7858</v>
      </c>
      <c r="B773">
        <v>-24.79</v>
      </c>
      <c r="C773">
        <v>1008</v>
      </c>
      <c r="D773">
        <v>16.895</v>
      </c>
      <c r="E773">
        <v>13.93</v>
      </c>
      <c r="F773">
        <v>19.48</v>
      </c>
      <c r="G773">
        <v>1.830833333</v>
      </c>
      <c r="H773">
        <v>0.89166666699999997</v>
      </c>
      <c r="I773">
        <v>2.576666667</v>
      </c>
      <c r="J773">
        <v>4278.9691670000002</v>
      </c>
      <c r="K773">
        <v>3191.3125</v>
      </c>
      <c r="L773">
        <v>5402.8125</v>
      </c>
      <c r="M773">
        <v>13.21166667</v>
      </c>
      <c r="N773">
        <v>11.79166667</v>
      </c>
      <c r="O773">
        <v>14.85416667</v>
      </c>
      <c r="Q773" t="s">
        <v>311</v>
      </c>
      <c r="R773" t="s">
        <v>10017</v>
      </c>
      <c r="S773" t="s">
        <v>9065</v>
      </c>
      <c r="T773" t="s">
        <v>9066</v>
      </c>
    </row>
    <row r="774" spans="1:20" x14ac:dyDescent="0.25">
      <c r="A774" t="s">
        <v>10018</v>
      </c>
      <c r="B774">
        <v>-24.79</v>
      </c>
      <c r="C774">
        <v>1008.9</v>
      </c>
      <c r="D774">
        <v>17.983333330000001</v>
      </c>
      <c r="E774">
        <v>15.06583333</v>
      </c>
      <c r="F774">
        <v>20.875833329999999</v>
      </c>
      <c r="G774">
        <v>2.4808333330000001</v>
      </c>
      <c r="H774">
        <v>1.4983333329999999</v>
      </c>
      <c r="I774">
        <v>3.3441666670000001</v>
      </c>
      <c r="J774">
        <v>4894.3275000000003</v>
      </c>
      <c r="K774">
        <v>4202.5833329999996</v>
      </c>
      <c r="L774">
        <v>5863.4791670000004</v>
      </c>
      <c r="M774">
        <v>14.032500000000001</v>
      </c>
      <c r="N774">
        <v>12.54666667</v>
      </c>
      <c r="O774">
        <v>15.83333333</v>
      </c>
      <c r="Q774" t="s">
        <v>311</v>
      </c>
      <c r="R774" t="s">
        <v>10017</v>
      </c>
      <c r="S774" t="s">
        <v>9058</v>
      </c>
      <c r="T774" t="s">
        <v>9061</v>
      </c>
    </row>
    <row r="775" spans="1:20" x14ac:dyDescent="0.25">
      <c r="A775" t="s">
        <v>7820</v>
      </c>
      <c r="B775">
        <v>-23.36</v>
      </c>
      <c r="C775">
        <v>381</v>
      </c>
      <c r="D775">
        <v>22.83</v>
      </c>
      <c r="E775">
        <v>19.5425</v>
      </c>
      <c r="F775">
        <v>25.881666670000001</v>
      </c>
      <c r="G775">
        <v>1.97</v>
      </c>
      <c r="H775">
        <v>1.0725</v>
      </c>
      <c r="I775">
        <v>2.7266666669999999</v>
      </c>
      <c r="J775">
        <v>4842.3008330000002</v>
      </c>
      <c r="K775">
        <v>4075.375</v>
      </c>
      <c r="L775">
        <v>5867.6458329999996</v>
      </c>
      <c r="M775">
        <v>15.8025</v>
      </c>
      <c r="N775">
        <v>14.09</v>
      </c>
      <c r="O775">
        <v>17.791666670000001</v>
      </c>
      <c r="Q775" t="s">
        <v>311</v>
      </c>
      <c r="R775" t="s">
        <v>10019</v>
      </c>
      <c r="S775" t="s">
        <v>9065</v>
      </c>
      <c r="T775" t="s">
        <v>9066</v>
      </c>
    </row>
    <row r="776" spans="1:20" x14ac:dyDescent="0.25">
      <c r="A776" t="s">
        <v>10020</v>
      </c>
      <c r="B776">
        <v>-23.36</v>
      </c>
      <c r="C776">
        <v>382.5</v>
      </c>
      <c r="D776">
        <v>23.266666669999999</v>
      </c>
      <c r="E776">
        <v>19.914999999999999</v>
      </c>
      <c r="F776">
        <v>26.425000000000001</v>
      </c>
      <c r="G776">
        <v>1.98</v>
      </c>
      <c r="H776">
        <v>1.0416666670000001</v>
      </c>
      <c r="I776">
        <v>2.766666667</v>
      </c>
      <c r="J776">
        <v>5275.3249999999998</v>
      </c>
      <c r="K776">
        <v>4546.8541670000004</v>
      </c>
      <c r="L776">
        <v>6202.2708329999996</v>
      </c>
      <c r="M776">
        <v>15.585000000000001</v>
      </c>
      <c r="N776">
        <v>13.79</v>
      </c>
      <c r="O776">
        <v>17.741666670000001</v>
      </c>
      <c r="Q776" t="s">
        <v>311</v>
      </c>
      <c r="R776" t="s">
        <v>10019</v>
      </c>
      <c r="S776" t="s">
        <v>9058</v>
      </c>
      <c r="T776" t="s">
        <v>9061</v>
      </c>
    </row>
    <row r="777" spans="1:20" x14ac:dyDescent="0.25">
      <c r="A777" t="s">
        <v>7856</v>
      </c>
      <c r="B777">
        <v>-26.42</v>
      </c>
      <c r="C777">
        <v>980</v>
      </c>
      <c r="D777">
        <v>17.583333329999999</v>
      </c>
      <c r="E777">
        <v>14.61083333</v>
      </c>
      <c r="F777">
        <v>20.66333333</v>
      </c>
      <c r="G777">
        <v>2.8933333330000002</v>
      </c>
      <c r="H777">
        <v>1.575</v>
      </c>
      <c r="I777">
        <v>3.8616666670000002</v>
      </c>
      <c r="J777">
        <v>4595.07</v>
      </c>
      <c r="K777">
        <v>3733.875</v>
      </c>
      <c r="L777">
        <v>5723.8125</v>
      </c>
      <c r="M777">
        <v>13.00666667</v>
      </c>
      <c r="N777">
        <v>11.473333330000001</v>
      </c>
      <c r="O777">
        <v>14.87833333</v>
      </c>
      <c r="Q777" t="s">
        <v>311</v>
      </c>
      <c r="R777" t="s">
        <v>10021</v>
      </c>
      <c r="S777" t="s">
        <v>9065</v>
      </c>
      <c r="T777" t="s">
        <v>9066</v>
      </c>
    </row>
    <row r="778" spans="1:20" x14ac:dyDescent="0.25">
      <c r="A778" t="s">
        <v>10022</v>
      </c>
      <c r="B778">
        <v>-26.42</v>
      </c>
      <c r="C778">
        <v>981.5</v>
      </c>
      <c r="D778">
        <v>17.71083333</v>
      </c>
      <c r="E778">
        <v>14.573333330000001</v>
      </c>
      <c r="F778">
        <v>20.973333329999999</v>
      </c>
      <c r="G778">
        <v>2.920833333</v>
      </c>
      <c r="H778">
        <v>1.865</v>
      </c>
      <c r="I778">
        <v>3.7749999999999999</v>
      </c>
      <c r="J778">
        <v>5014.5749999999998</v>
      </c>
      <c r="K778">
        <v>4260.6666670000004</v>
      </c>
      <c r="L778">
        <v>5939.75</v>
      </c>
      <c r="M778">
        <v>12.02166667</v>
      </c>
      <c r="N778">
        <v>9.9666666670000001</v>
      </c>
      <c r="O778">
        <v>14.653333330000001</v>
      </c>
      <c r="Q778" t="s">
        <v>311</v>
      </c>
      <c r="R778" t="s">
        <v>10021</v>
      </c>
      <c r="S778" t="s">
        <v>9058</v>
      </c>
      <c r="T778" t="s">
        <v>9061</v>
      </c>
    </row>
    <row r="779" spans="1:20" x14ac:dyDescent="0.25">
      <c r="A779" t="s">
        <v>10023</v>
      </c>
      <c r="B779">
        <v>-25.41</v>
      </c>
      <c r="C779">
        <v>931.8</v>
      </c>
      <c r="D779">
        <v>17.64</v>
      </c>
      <c r="E779">
        <v>14.73666667</v>
      </c>
      <c r="F779">
        <v>20.268333330000001</v>
      </c>
      <c r="G779">
        <v>2.7616666670000001</v>
      </c>
      <c r="H779">
        <v>1.6666666670000001</v>
      </c>
      <c r="I779">
        <v>3.6641666669999999</v>
      </c>
      <c r="J779">
        <v>4227.2266669999999</v>
      </c>
      <c r="K779">
        <v>3332.75</v>
      </c>
      <c r="L779">
        <v>5150.4583329999996</v>
      </c>
      <c r="M779">
        <v>14.285833330000001</v>
      </c>
      <c r="N779">
        <v>12.758333329999999</v>
      </c>
      <c r="O779">
        <v>16.033333330000001</v>
      </c>
      <c r="Q779" t="s">
        <v>311</v>
      </c>
      <c r="R779" t="s">
        <v>10024</v>
      </c>
      <c r="S779" t="s">
        <v>9058</v>
      </c>
      <c r="T779" t="s">
        <v>9059</v>
      </c>
    </row>
    <row r="780" spans="1:20" x14ac:dyDescent="0.25">
      <c r="A780" t="s">
        <v>10025</v>
      </c>
      <c r="B780">
        <v>-25.41</v>
      </c>
      <c r="C780">
        <v>931.8</v>
      </c>
      <c r="D780">
        <v>17.875833329999999</v>
      </c>
      <c r="E780">
        <v>15.081666670000001</v>
      </c>
      <c r="F780">
        <v>20.151666670000001</v>
      </c>
      <c r="G780">
        <v>2.78</v>
      </c>
      <c r="H780">
        <v>1.8049999999999999</v>
      </c>
      <c r="I780">
        <v>3.5750000000000002</v>
      </c>
      <c r="J780">
        <v>4185.8166670000001</v>
      </c>
      <c r="K780">
        <v>3204.958333</v>
      </c>
      <c r="L780">
        <v>5290.6458329999996</v>
      </c>
      <c r="M780">
        <v>14.16416667</v>
      </c>
      <c r="N780">
        <v>12.65833333</v>
      </c>
      <c r="O780">
        <v>15.89583333</v>
      </c>
      <c r="Q780" t="s">
        <v>311</v>
      </c>
      <c r="R780" t="s">
        <v>10024</v>
      </c>
      <c r="S780" t="s">
        <v>9058</v>
      </c>
      <c r="T780" t="s">
        <v>9061</v>
      </c>
    </row>
    <row r="781" spans="1:20" x14ac:dyDescent="0.25">
      <c r="A781" t="s">
        <v>10026</v>
      </c>
      <c r="B781">
        <v>-25.53</v>
      </c>
      <c r="C781">
        <v>910.7</v>
      </c>
      <c r="D781">
        <v>17.42166667</v>
      </c>
      <c r="E781">
        <v>14.6975</v>
      </c>
      <c r="F781">
        <v>19.5975</v>
      </c>
      <c r="G781">
        <v>3.4058333329999999</v>
      </c>
      <c r="H781">
        <v>1.981666667</v>
      </c>
      <c r="I781">
        <v>4.4916666669999996</v>
      </c>
      <c r="J781">
        <v>3883.1283330000001</v>
      </c>
      <c r="K781">
        <v>3071.770833</v>
      </c>
      <c r="L781">
        <v>4642.1875</v>
      </c>
      <c r="M781">
        <v>14.244999999999999</v>
      </c>
      <c r="N781">
        <v>12.75666667</v>
      </c>
      <c r="O781">
        <v>15.95333333</v>
      </c>
      <c r="Q781" t="s">
        <v>311</v>
      </c>
      <c r="R781" t="s">
        <v>10027</v>
      </c>
      <c r="S781" t="s">
        <v>9058</v>
      </c>
      <c r="T781" t="s">
        <v>9059</v>
      </c>
    </row>
    <row r="782" spans="1:20" x14ac:dyDescent="0.25">
      <c r="A782" t="s">
        <v>10028</v>
      </c>
      <c r="B782">
        <v>-25.53</v>
      </c>
      <c r="C782">
        <v>910.7</v>
      </c>
      <c r="D782">
        <v>17.537500000000001</v>
      </c>
      <c r="E782">
        <v>14.73666667</v>
      </c>
      <c r="F782">
        <v>19.919166669999999</v>
      </c>
      <c r="G782">
        <v>3.1549999999999998</v>
      </c>
      <c r="H782">
        <v>1.933333333</v>
      </c>
      <c r="I782">
        <v>4.17</v>
      </c>
      <c r="J782">
        <v>4152.7141670000001</v>
      </c>
      <c r="K782">
        <v>3109.729167</v>
      </c>
      <c r="L782">
        <v>5198.0208329999996</v>
      </c>
      <c r="M782">
        <v>14.099166670000001</v>
      </c>
      <c r="N782">
        <v>12.55666667</v>
      </c>
      <c r="O782">
        <v>16.07833333</v>
      </c>
      <c r="Q782" t="s">
        <v>311</v>
      </c>
      <c r="R782" t="s">
        <v>10027</v>
      </c>
      <c r="S782" t="s">
        <v>9058</v>
      </c>
      <c r="T782" t="s">
        <v>9061</v>
      </c>
    </row>
    <row r="783" spans="1:20" x14ac:dyDescent="0.25">
      <c r="A783" t="s">
        <v>7811</v>
      </c>
      <c r="B783">
        <v>-25.43</v>
      </c>
      <c r="C783">
        <v>924</v>
      </c>
      <c r="D783">
        <v>17.396666669999998</v>
      </c>
      <c r="E783">
        <v>14.63</v>
      </c>
      <c r="F783">
        <v>19.645</v>
      </c>
      <c r="G783">
        <v>2.1783333329999999</v>
      </c>
      <c r="H783">
        <v>1.3149999999999999</v>
      </c>
      <c r="I783">
        <v>2.9266666670000001</v>
      </c>
      <c r="J783">
        <v>4086.0574999999999</v>
      </c>
      <c r="K783">
        <v>3125.333333</v>
      </c>
      <c r="L783">
        <v>5132.3125</v>
      </c>
      <c r="M783">
        <v>13.2675</v>
      </c>
      <c r="N783">
        <v>11.928333329999999</v>
      </c>
      <c r="O783">
        <v>14.928333329999999</v>
      </c>
      <c r="Q783" t="s">
        <v>311</v>
      </c>
      <c r="R783" t="s">
        <v>10029</v>
      </c>
      <c r="S783" t="s">
        <v>9065</v>
      </c>
      <c r="T783" t="s">
        <v>9066</v>
      </c>
    </row>
    <row r="784" spans="1:20" x14ac:dyDescent="0.25">
      <c r="A784" t="s">
        <v>10030</v>
      </c>
      <c r="B784">
        <v>-25.45</v>
      </c>
      <c r="C784">
        <v>925</v>
      </c>
      <c r="D784">
        <v>18.090833329999999</v>
      </c>
      <c r="E784">
        <v>15.387499999999999</v>
      </c>
      <c r="F784">
        <v>20.43</v>
      </c>
      <c r="G784">
        <v>2.3116666669999999</v>
      </c>
      <c r="H784">
        <v>1.4583333329999999</v>
      </c>
      <c r="I784">
        <v>3.0350000000000001</v>
      </c>
      <c r="J784">
        <v>4328.0816670000004</v>
      </c>
      <c r="K784">
        <v>3273.729167</v>
      </c>
      <c r="L784">
        <v>5409.2291670000004</v>
      </c>
      <c r="M784">
        <v>14.499166669999999</v>
      </c>
      <c r="N784">
        <v>13.16666667</v>
      </c>
      <c r="O784">
        <v>16.110833329999998</v>
      </c>
      <c r="Q784" t="s">
        <v>311</v>
      </c>
      <c r="R784" t="s">
        <v>10031</v>
      </c>
      <c r="S784" t="s">
        <v>9058</v>
      </c>
      <c r="T784" t="s">
        <v>9061</v>
      </c>
    </row>
    <row r="785" spans="1:20" x14ac:dyDescent="0.25">
      <c r="A785" t="s">
        <v>7257</v>
      </c>
      <c r="B785">
        <v>-22.64</v>
      </c>
      <c r="C785">
        <v>362</v>
      </c>
      <c r="D785">
        <v>22.805833329999999</v>
      </c>
      <c r="E785">
        <v>19.673333329999998</v>
      </c>
      <c r="F785">
        <v>25.651666670000001</v>
      </c>
      <c r="G785">
        <v>2.9458333329999999</v>
      </c>
      <c r="H785">
        <v>1.915</v>
      </c>
      <c r="I785">
        <v>3.8933333330000002</v>
      </c>
      <c r="J785">
        <v>5189.9566670000004</v>
      </c>
      <c r="K785">
        <v>4467.7708329999996</v>
      </c>
      <c r="L785">
        <v>6265.3541670000004</v>
      </c>
      <c r="M785">
        <v>16.27</v>
      </c>
      <c r="N785">
        <v>14.633333329999999</v>
      </c>
      <c r="O785">
        <v>18.180833329999999</v>
      </c>
      <c r="Q785" t="s">
        <v>311</v>
      </c>
      <c r="R785" t="s">
        <v>10032</v>
      </c>
      <c r="S785" t="s">
        <v>9065</v>
      </c>
      <c r="T785" t="s">
        <v>9066</v>
      </c>
    </row>
    <row r="786" spans="1:20" x14ac:dyDescent="0.25">
      <c r="A786" t="s">
        <v>10033</v>
      </c>
      <c r="B786">
        <v>-22.63</v>
      </c>
      <c r="C786">
        <v>363.5</v>
      </c>
      <c r="D786">
        <v>23.6175</v>
      </c>
      <c r="E786">
        <v>20.631666670000001</v>
      </c>
      <c r="F786">
        <v>26.553333330000001</v>
      </c>
      <c r="G786">
        <v>2.3058333329999998</v>
      </c>
      <c r="H786">
        <v>1.246666667</v>
      </c>
      <c r="I786">
        <v>3.1516666670000002</v>
      </c>
      <c r="J786">
        <v>5245.7666669999999</v>
      </c>
      <c r="K786">
        <v>4705.5416670000004</v>
      </c>
      <c r="L786">
        <v>6080.5208329999996</v>
      </c>
      <c r="M786">
        <v>16.654166669999999</v>
      </c>
      <c r="N786">
        <v>15.05083333</v>
      </c>
      <c r="O786">
        <v>18.61</v>
      </c>
      <c r="Q786" t="s">
        <v>311</v>
      </c>
      <c r="R786" t="s">
        <v>10032</v>
      </c>
      <c r="S786" t="s">
        <v>9058</v>
      </c>
      <c r="T786" t="s">
        <v>9061</v>
      </c>
    </row>
    <row r="787" spans="1:20" x14ac:dyDescent="0.25">
      <c r="A787" t="s">
        <v>7838</v>
      </c>
      <c r="B787">
        <v>-25.69</v>
      </c>
      <c r="C787">
        <v>520</v>
      </c>
      <c r="D787">
        <v>20.028333329999999</v>
      </c>
      <c r="E787">
        <v>16.87166667</v>
      </c>
      <c r="F787">
        <v>23.14</v>
      </c>
      <c r="G787">
        <v>2.7633333329999998</v>
      </c>
      <c r="H787">
        <v>1.7749999999999999</v>
      </c>
      <c r="I787">
        <v>3.6016666669999999</v>
      </c>
      <c r="J787">
        <v>4916.209167</v>
      </c>
      <c r="K787">
        <v>3955.895833</v>
      </c>
      <c r="L787">
        <v>6132.3541670000004</v>
      </c>
      <c r="M787">
        <v>14.58416667</v>
      </c>
      <c r="N787">
        <v>13.02333333</v>
      </c>
      <c r="O787">
        <v>16.56666667</v>
      </c>
      <c r="Q787" t="s">
        <v>311</v>
      </c>
      <c r="R787" t="s">
        <v>10034</v>
      </c>
      <c r="S787" t="s">
        <v>9065</v>
      </c>
      <c r="T787" t="s">
        <v>9066</v>
      </c>
    </row>
    <row r="788" spans="1:20" x14ac:dyDescent="0.25">
      <c r="A788" t="s">
        <v>10035</v>
      </c>
      <c r="B788">
        <v>-25.7</v>
      </c>
      <c r="C788">
        <v>521.5</v>
      </c>
      <c r="D788">
        <v>20.747499999999999</v>
      </c>
      <c r="E788">
        <v>17.447500000000002</v>
      </c>
      <c r="F788">
        <v>23.986666670000002</v>
      </c>
      <c r="G788">
        <v>2.1866666669999999</v>
      </c>
      <c r="H788">
        <v>1.2</v>
      </c>
      <c r="I788">
        <v>2.9849999999999999</v>
      </c>
      <c r="J788">
        <v>5023.1058329999996</v>
      </c>
      <c r="K788">
        <v>4241.125</v>
      </c>
      <c r="L788">
        <v>6082.7291670000004</v>
      </c>
      <c r="M788">
        <v>15.07666667</v>
      </c>
      <c r="N788">
        <v>13.1</v>
      </c>
      <c r="O788">
        <v>17.501666669999999</v>
      </c>
      <c r="Q788" t="s">
        <v>311</v>
      </c>
      <c r="R788" t="s">
        <v>10034</v>
      </c>
      <c r="S788" t="s">
        <v>9058</v>
      </c>
      <c r="T788" t="s">
        <v>9061</v>
      </c>
    </row>
    <row r="789" spans="1:20" x14ac:dyDescent="0.25">
      <c r="A789" t="s">
        <v>10036</v>
      </c>
      <c r="B789">
        <v>-25.6</v>
      </c>
      <c r="C789">
        <v>239.9</v>
      </c>
      <c r="D789">
        <v>21.423333329999998</v>
      </c>
      <c r="E789">
        <v>18.153333329999999</v>
      </c>
      <c r="F789">
        <v>24.846666670000001</v>
      </c>
      <c r="G789">
        <v>2.71</v>
      </c>
      <c r="H789">
        <v>1.5108333329999999</v>
      </c>
      <c r="I789">
        <v>3.6</v>
      </c>
      <c r="J789">
        <v>5018.4650000000001</v>
      </c>
      <c r="K789">
        <v>3962.666667</v>
      </c>
      <c r="L789">
        <v>6091.9583329999996</v>
      </c>
      <c r="M789">
        <v>16.494166669999998</v>
      </c>
      <c r="N789">
        <v>14.63166667</v>
      </c>
      <c r="O789">
        <v>19.07</v>
      </c>
      <c r="Q789" t="s">
        <v>311</v>
      </c>
      <c r="R789" t="s">
        <v>10037</v>
      </c>
      <c r="S789" t="s">
        <v>9058</v>
      </c>
      <c r="T789" t="s">
        <v>9059</v>
      </c>
    </row>
    <row r="790" spans="1:20" x14ac:dyDescent="0.25">
      <c r="A790" t="s">
        <v>10038</v>
      </c>
      <c r="B790">
        <v>-25.6</v>
      </c>
      <c r="C790">
        <v>239.9</v>
      </c>
      <c r="D790">
        <v>21.971666670000001</v>
      </c>
      <c r="E790">
        <v>18.508333329999999</v>
      </c>
      <c r="F790">
        <v>25.247499999999999</v>
      </c>
      <c r="G790">
        <v>2.8050000000000002</v>
      </c>
      <c r="H790">
        <v>1.566666667</v>
      </c>
      <c r="I790">
        <v>3.7925</v>
      </c>
      <c r="J790">
        <v>4892.0291669999997</v>
      </c>
      <c r="K790">
        <v>4231.9583329999996</v>
      </c>
      <c r="L790">
        <v>5980.7083329999996</v>
      </c>
      <c r="M790">
        <v>16.798333329999998</v>
      </c>
      <c r="N790">
        <v>15.08333333</v>
      </c>
      <c r="O790">
        <v>18.766666669999999</v>
      </c>
      <c r="Q790" t="s">
        <v>311</v>
      </c>
      <c r="R790" t="s">
        <v>10037</v>
      </c>
      <c r="S790" t="s">
        <v>9058</v>
      </c>
      <c r="T790" t="s">
        <v>9061</v>
      </c>
    </row>
    <row r="791" spans="1:20" x14ac:dyDescent="0.25">
      <c r="A791" t="s">
        <v>7889</v>
      </c>
      <c r="B791">
        <v>-25.6</v>
      </c>
      <c r="C791">
        <v>231</v>
      </c>
      <c r="D791">
        <v>21.56666667</v>
      </c>
      <c r="E791">
        <v>18.28</v>
      </c>
      <c r="F791">
        <v>24.77333333</v>
      </c>
      <c r="G791">
        <v>2.7208333329999999</v>
      </c>
      <c r="H791">
        <v>1.5</v>
      </c>
      <c r="I791">
        <v>3.75</v>
      </c>
      <c r="J791">
        <v>4434.3866669999998</v>
      </c>
      <c r="K791">
        <v>3356.041667</v>
      </c>
      <c r="L791">
        <v>5744.8125</v>
      </c>
      <c r="M791">
        <v>17.4175</v>
      </c>
      <c r="N791">
        <v>15.78333333</v>
      </c>
      <c r="O791">
        <v>19.51166667</v>
      </c>
      <c r="Q791" t="s">
        <v>311</v>
      </c>
      <c r="R791" t="s">
        <v>10039</v>
      </c>
      <c r="S791" t="s">
        <v>9065</v>
      </c>
      <c r="T791" t="s">
        <v>9066</v>
      </c>
    </row>
    <row r="792" spans="1:20" x14ac:dyDescent="0.25">
      <c r="A792" t="s">
        <v>7836</v>
      </c>
      <c r="B792">
        <v>-26.4</v>
      </c>
      <c r="C792">
        <v>1018</v>
      </c>
      <c r="D792">
        <v>15.86</v>
      </c>
      <c r="E792">
        <v>12.79833333</v>
      </c>
      <c r="F792">
        <v>18.53166667</v>
      </c>
      <c r="G792">
        <v>1.36</v>
      </c>
      <c r="H792">
        <v>0.43333333299999999</v>
      </c>
      <c r="I792">
        <v>2.0099999999999998</v>
      </c>
      <c r="J792">
        <v>3816.1849999999999</v>
      </c>
      <c r="K792">
        <v>2699.645833</v>
      </c>
      <c r="L792">
        <v>4937.7291670000004</v>
      </c>
      <c r="M792">
        <v>12.87083333</v>
      </c>
      <c r="N792">
        <v>11.123333329999999</v>
      </c>
      <c r="O792">
        <v>14.991666670000001</v>
      </c>
      <c r="Q792" t="s">
        <v>311</v>
      </c>
      <c r="R792" t="s">
        <v>10040</v>
      </c>
      <c r="S792" t="s">
        <v>9065</v>
      </c>
      <c r="T792" t="s">
        <v>9066</v>
      </c>
    </row>
    <row r="793" spans="1:20" x14ac:dyDescent="0.25">
      <c r="A793" t="s">
        <v>10041</v>
      </c>
      <c r="B793">
        <v>-26.4</v>
      </c>
      <c r="C793">
        <v>1019.5</v>
      </c>
      <c r="D793">
        <v>16.385833330000001</v>
      </c>
      <c r="E793">
        <v>13.27166667</v>
      </c>
      <c r="F793">
        <v>19.518333330000001</v>
      </c>
      <c r="G793">
        <v>1.733333333</v>
      </c>
      <c r="H793">
        <v>0.92333333299999998</v>
      </c>
      <c r="I793">
        <v>2.4</v>
      </c>
      <c r="J793">
        <v>4682.0783330000004</v>
      </c>
      <c r="K793">
        <v>3900.6875</v>
      </c>
      <c r="L793">
        <v>5639.0208329999996</v>
      </c>
      <c r="M793">
        <v>12.74416667</v>
      </c>
      <c r="N793">
        <v>11.02166667</v>
      </c>
      <c r="O793">
        <v>15.145</v>
      </c>
      <c r="Q793" t="s">
        <v>311</v>
      </c>
      <c r="R793" t="s">
        <v>10040</v>
      </c>
      <c r="S793" t="s">
        <v>9058</v>
      </c>
      <c r="T793" t="s">
        <v>9061</v>
      </c>
    </row>
    <row r="794" spans="1:20" x14ac:dyDescent="0.25">
      <c r="A794" t="s">
        <v>7827</v>
      </c>
      <c r="B794">
        <v>-23.77</v>
      </c>
      <c r="C794">
        <v>930</v>
      </c>
      <c r="D794">
        <v>20.23</v>
      </c>
      <c r="E794">
        <v>17.274999999999999</v>
      </c>
      <c r="F794">
        <v>23.00333333</v>
      </c>
      <c r="G794">
        <v>2.5449999999999999</v>
      </c>
      <c r="H794">
        <v>1.481666667</v>
      </c>
      <c r="I794">
        <v>3.4783333330000001</v>
      </c>
      <c r="J794">
        <v>4744.3891670000003</v>
      </c>
      <c r="K794">
        <v>3879.979167</v>
      </c>
      <c r="L794">
        <v>5818.0833329999996</v>
      </c>
      <c r="M794">
        <v>14.6075</v>
      </c>
      <c r="N794">
        <v>12.991666670000001</v>
      </c>
      <c r="O794">
        <v>16.401666670000001</v>
      </c>
      <c r="Q794" t="s">
        <v>311</v>
      </c>
      <c r="R794" t="s">
        <v>10042</v>
      </c>
      <c r="S794" t="s">
        <v>9065</v>
      </c>
      <c r="T794" t="s">
        <v>9066</v>
      </c>
    </row>
    <row r="795" spans="1:20" x14ac:dyDescent="0.25">
      <c r="A795" t="s">
        <v>10043</v>
      </c>
      <c r="B795">
        <v>-23.77</v>
      </c>
      <c r="C795">
        <v>931.5</v>
      </c>
      <c r="D795">
        <v>20.96916667</v>
      </c>
      <c r="E795">
        <v>17.881666670000001</v>
      </c>
      <c r="F795">
        <v>23.825833329999998</v>
      </c>
      <c r="G795">
        <v>2.2508333330000001</v>
      </c>
      <c r="H795">
        <v>1.266666667</v>
      </c>
      <c r="I795">
        <v>3.0433333330000001</v>
      </c>
      <c r="J795">
        <v>5051.78</v>
      </c>
      <c r="K795">
        <v>4309.5625</v>
      </c>
      <c r="L795">
        <v>6081.2916670000004</v>
      </c>
      <c r="M795">
        <v>15.195833329999999</v>
      </c>
      <c r="N795">
        <v>13.355833329999999</v>
      </c>
      <c r="O795">
        <v>17.201666670000002</v>
      </c>
      <c r="Q795" t="s">
        <v>311</v>
      </c>
      <c r="R795" t="s">
        <v>10042</v>
      </c>
      <c r="S795" t="s">
        <v>9058</v>
      </c>
      <c r="T795" t="s">
        <v>9061</v>
      </c>
    </row>
    <row r="796" spans="1:20" x14ac:dyDescent="0.25">
      <c r="A796" t="s">
        <v>7281</v>
      </c>
      <c r="B796">
        <v>-23.4</v>
      </c>
      <c r="C796">
        <v>385</v>
      </c>
      <c r="D796">
        <v>22.443333330000002</v>
      </c>
      <c r="E796">
        <v>19.247499999999999</v>
      </c>
      <c r="F796">
        <v>25.521666669999998</v>
      </c>
      <c r="G796">
        <v>3.0633333330000001</v>
      </c>
      <c r="H796">
        <v>1.256666667</v>
      </c>
      <c r="I796">
        <v>4.5333333329999999</v>
      </c>
      <c r="J796">
        <v>4884.4233329999997</v>
      </c>
      <c r="K796">
        <v>4012.395833</v>
      </c>
      <c r="L796">
        <v>6093.6666670000004</v>
      </c>
      <c r="M796">
        <v>15.900833329999999</v>
      </c>
      <c r="N796">
        <v>14.063333330000001</v>
      </c>
      <c r="O796">
        <v>18.094999999999999</v>
      </c>
      <c r="Q796" t="s">
        <v>311</v>
      </c>
      <c r="R796" t="s">
        <v>10044</v>
      </c>
      <c r="S796" t="s">
        <v>9065</v>
      </c>
      <c r="T796" t="s">
        <v>9066</v>
      </c>
    </row>
    <row r="797" spans="1:20" x14ac:dyDescent="0.25">
      <c r="A797" t="s">
        <v>10045</v>
      </c>
      <c r="B797">
        <v>-23.39</v>
      </c>
      <c r="C797">
        <v>386.5</v>
      </c>
      <c r="D797">
        <v>23.762499999999999</v>
      </c>
      <c r="E797">
        <v>21.013333329999998</v>
      </c>
      <c r="F797">
        <v>26.608333330000001</v>
      </c>
      <c r="G797">
        <v>2.5249999999999999</v>
      </c>
      <c r="H797">
        <v>1.6483333330000001</v>
      </c>
      <c r="I797">
        <v>3.2250000000000001</v>
      </c>
      <c r="J797">
        <v>5134.7233329999999</v>
      </c>
      <c r="K797">
        <v>4402.4791670000004</v>
      </c>
      <c r="L797">
        <v>6141.4166670000004</v>
      </c>
      <c r="M797">
        <v>16.512499999999999</v>
      </c>
      <c r="N797">
        <v>14.54833333</v>
      </c>
      <c r="O797">
        <v>18.696666669999999</v>
      </c>
      <c r="Q797" t="s">
        <v>311</v>
      </c>
      <c r="R797" t="s">
        <v>10044</v>
      </c>
      <c r="S797" t="s">
        <v>9058</v>
      </c>
      <c r="T797" t="s">
        <v>9061</v>
      </c>
    </row>
    <row r="798" spans="1:20" x14ac:dyDescent="0.25">
      <c r="A798" t="s">
        <v>7823</v>
      </c>
      <c r="B798">
        <v>-25.57</v>
      </c>
      <c r="C798">
        <v>1</v>
      </c>
      <c r="D798">
        <v>21.080833330000001</v>
      </c>
      <c r="E798">
        <v>19.4725</v>
      </c>
      <c r="F798">
        <v>22.651666670000001</v>
      </c>
      <c r="G798">
        <v>2.6974999999999998</v>
      </c>
      <c r="H798">
        <v>1.4750000000000001</v>
      </c>
      <c r="I798">
        <v>3.6124999999999998</v>
      </c>
      <c r="J798">
        <v>4059.0508329999998</v>
      </c>
      <c r="K798">
        <v>2644.895833</v>
      </c>
      <c r="L798">
        <v>5607.7916670000004</v>
      </c>
      <c r="M798">
        <v>18.409166670000001</v>
      </c>
      <c r="N798">
        <v>17.26166667</v>
      </c>
      <c r="O798">
        <v>19.885000000000002</v>
      </c>
      <c r="Q798" t="s">
        <v>311</v>
      </c>
      <c r="R798" t="s">
        <v>10046</v>
      </c>
      <c r="S798" t="s">
        <v>9065</v>
      </c>
      <c r="T798" t="s">
        <v>9066</v>
      </c>
    </row>
    <row r="799" spans="1:20" x14ac:dyDescent="0.25">
      <c r="A799" t="s">
        <v>7895</v>
      </c>
      <c r="B799">
        <v>-25.57</v>
      </c>
      <c r="C799">
        <v>1260</v>
      </c>
      <c r="D799">
        <v>16.31583333</v>
      </c>
      <c r="E799">
        <v>13.7425</v>
      </c>
      <c r="F799">
        <v>18.83666667</v>
      </c>
      <c r="G799">
        <v>2.6866666669999999</v>
      </c>
      <c r="H799">
        <v>1.84</v>
      </c>
      <c r="I799">
        <v>3.4766666669999999</v>
      </c>
      <c r="J799">
        <v>4296.1908329999997</v>
      </c>
      <c r="K799">
        <v>3082.4375</v>
      </c>
      <c r="L799">
        <v>5605.4583329999996</v>
      </c>
      <c r="M799">
        <v>12.97083333</v>
      </c>
      <c r="N799">
        <v>11.28333333</v>
      </c>
      <c r="O799">
        <v>15.063333330000001</v>
      </c>
      <c r="Q799" t="s">
        <v>311</v>
      </c>
      <c r="R799" t="s">
        <v>10047</v>
      </c>
      <c r="S799" t="s">
        <v>9065</v>
      </c>
      <c r="T799" t="s">
        <v>9066</v>
      </c>
    </row>
    <row r="800" spans="1:20" x14ac:dyDescent="0.25">
      <c r="A800" t="s">
        <v>10048</v>
      </c>
      <c r="B800">
        <v>-25.57</v>
      </c>
      <c r="C800">
        <v>1261.5</v>
      </c>
      <c r="D800">
        <v>16.567499999999999</v>
      </c>
      <c r="E800">
        <v>13.79166667</v>
      </c>
      <c r="F800">
        <v>19.260000000000002</v>
      </c>
      <c r="G800">
        <v>1.9950000000000001</v>
      </c>
      <c r="H800">
        <v>1.3333333329999999</v>
      </c>
      <c r="I800">
        <v>2.5583333330000002</v>
      </c>
      <c r="J800">
        <v>4647.2391669999997</v>
      </c>
      <c r="K800">
        <v>3781.979167</v>
      </c>
      <c r="L800">
        <v>5648.4166670000004</v>
      </c>
      <c r="M800">
        <v>13.24666667</v>
      </c>
      <c r="N800">
        <v>11.608333330000001</v>
      </c>
      <c r="O800">
        <v>15.21833333</v>
      </c>
      <c r="Q800" t="s">
        <v>311</v>
      </c>
      <c r="R800" t="s">
        <v>10047</v>
      </c>
      <c r="S800" t="s">
        <v>9058</v>
      </c>
      <c r="T800" t="s">
        <v>9061</v>
      </c>
    </row>
    <row r="801" spans="1:20" x14ac:dyDescent="0.25">
      <c r="A801" t="s">
        <v>10049</v>
      </c>
      <c r="B801">
        <v>-25.47</v>
      </c>
      <c r="C801">
        <v>837</v>
      </c>
      <c r="D801">
        <v>18.704999999999998</v>
      </c>
      <c r="E801">
        <v>15.963333329999999</v>
      </c>
      <c r="F801">
        <v>21.228333330000002</v>
      </c>
      <c r="G801">
        <v>1.606666667</v>
      </c>
      <c r="H801">
        <v>0.67333333299999998</v>
      </c>
      <c r="I801">
        <v>2.3433333329999999</v>
      </c>
      <c r="J801">
        <v>5090.2191670000002</v>
      </c>
      <c r="K801">
        <v>4571.5</v>
      </c>
      <c r="L801">
        <v>5826.0625</v>
      </c>
      <c r="M801">
        <v>14.491666670000001</v>
      </c>
      <c r="N801">
        <v>12.88166667</v>
      </c>
      <c r="O801">
        <v>16.43333333</v>
      </c>
      <c r="Q801" t="s">
        <v>311</v>
      </c>
      <c r="R801" t="s">
        <v>10050</v>
      </c>
      <c r="S801" t="s">
        <v>9058</v>
      </c>
      <c r="T801" t="s">
        <v>9059</v>
      </c>
    </row>
    <row r="802" spans="1:20" x14ac:dyDescent="0.25">
      <c r="A802" t="s">
        <v>10051</v>
      </c>
      <c r="B802">
        <v>-25.47</v>
      </c>
      <c r="C802">
        <v>837</v>
      </c>
      <c r="D802">
        <v>18.145</v>
      </c>
      <c r="E802">
        <v>15.571666670000001</v>
      </c>
      <c r="F802">
        <v>20.596666670000001</v>
      </c>
      <c r="G802">
        <v>2.3791666669999998</v>
      </c>
      <c r="H802">
        <v>1.556666667</v>
      </c>
      <c r="I802">
        <v>3.0833333330000001</v>
      </c>
      <c r="J802">
        <v>4566.7083329999996</v>
      </c>
      <c r="K802">
        <v>3696.833333</v>
      </c>
      <c r="L802">
        <v>5590.6875</v>
      </c>
      <c r="M802">
        <v>14.6525</v>
      </c>
      <c r="N802">
        <v>12.835000000000001</v>
      </c>
      <c r="O802">
        <v>16.723333329999999</v>
      </c>
      <c r="Q802" t="s">
        <v>311</v>
      </c>
      <c r="R802" t="s">
        <v>10050</v>
      </c>
      <c r="S802" t="s">
        <v>9058</v>
      </c>
      <c r="T802" t="s">
        <v>9061</v>
      </c>
    </row>
    <row r="803" spans="1:20" x14ac:dyDescent="0.25">
      <c r="A803" t="s">
        <v>7885</v>
      </c>
      <c r="B803">
        <v>-25.01</v>
      </c>
      <c r="C803">
        <v>808</v>
      </c>
      <c r="D803">
        <v>19.106666669999999</v>
      </c>
      <c r="E803">
        <v>16.12916667</v>
      </c>
      <c r="F803">
        <v>21.964166670000001</v>
      </c>
      <c r="G803">
        <v>1.7791666669999999</v>
      </c>
      <c r="H803">
        <v>1.0133333330000001</v>
      </c>
      <c r="I803">
        <v>2.4166666669999999</v>
      </c>
      <c r="J803">
        <v>4448.1099999999997</v>
      </c>
      <c r="K803">
        <v>3390.729167</v>
      </c>
      <c r="L803">
        <v>5577.9375</v>
      </c>
      <c r="M803">
        <v>14.69083333</v>
      </c>
      <c r="N803">
        <v>13.11166667</v>
      </c>
      <c r="O803">
        <v>16.676666669999999</v>
      </c>
      <c r="Q803" t="s">
        <v>311</v>
      </c>
      <c r="R803" t="s">
        <v>10052</v>
      </c>
      <c r="S803" t="s">
        <v>9065</v>
      </c>
      <c r="T803" t="s">
        <v>9066</v>
      </c>
    </row>
    <row r="804" spans="1:20" x14ac:dyDescent="0.25">
      <c r="A804" t="s">
        <v>10053</v>
      </c>
      <c r="B804">
        <v>-25.01</v>
      </c>
      <c r="C804">
        <v>809.5</v>
      </c>
      <c r="D804">
        <v>19.896666669999998</v>
      </c>
      <c r="E804">
        <v>17.006666670000001</v>
      </c>
      <c r="F804">
        <v>22.545000000000002</v>
      </c>
      <c r="G804">
        <v>1.234166667</v>
      </c>
      <c r="H804">
        <v>0.99166666699999995</v>
      </c>
      <c r="I804">
        <v>1.183333333</v>
      </c>
      <c r="J804">
        <v>5386.1225000000004</v>
      </c>
      <c r="K804">
        <v>5045.875</v>
      </c>
      <c r="L804">
        <v>6140.375</v>
      </c>
      <c r="M804">
        <v>14.89583333</v>
      </c>
      <c r="N804">
        <v>13.315</v>
      </c>
      <c r="O804">
        <v>16.686666670000001</v>
      </c>
      <c r="Q804" t="s">
        <v>311</v>
      </c>
      <c r="R804" t="s">
        <v>10052</v>
      </c>
      <c r="S804" t="s">
        <v>9058</v>
      </c>
      <c r="T804" t="s">
        <v>9059</v>
      </c>
    </row>
    <row r="805" spans="1:20" x14ac:dyDescent="0.25">
      <c r="A805" t="s">
        <v>10054</v>
      </c>
      <c r="B805">
        <v>-25.01</v>
      </c>
      <c r="C805">
        <v>809.5</v>
      </c>
      <c r="D805">
        <v>18.883333329999999</v>
      </c>
      <c r="E805">
        <v>15.786666670000001</v>
      </c>
      <c r="F805">
        <v>21.85166667</v>
      </c>
      <c r="G805">
        <v>1.596666667</v>
      </c>
      <c r="H805">
        <v>1.0333333330000001</v>
      </c>
      <c r="I805">
        <v>2.0083333329999999</v>
      </c>
      <c r="J805">
        <v>4740.4750000000004</v>
      </c>
      <c r="K805">
        <v>4015.479167</v>
      </c>
      <c r="L805">
        <v>5753.0625</v>
      </c>
      <c r="M805">
        <v>14.86166667</v>
      </c>
      <c r="N805">
        <v>13.25583333</v>
      </c>
      <c r="O805">
        <v>16.866666670000001</v>
      </c>
      <c r="Q805" t="s">
        <v>311</v>
      </c>
      <c r="R805" t="s">
        <v>10052</v>
      </c>
      <c r="S805" t="s">
        <v>9058</v>
      </c>
      <c r="T805" t="s">
        <v>9061</v>
      </c>
    </row>
    <row r="806" spans="1:20" x14ac:dyDescent="0.25">
      <c r="A806" t="s">
        <v>7859</v>
      </c>
      <c r="B806">
        <v>-23.5</v>
      </c>
      <c r="C806">
        <v>522</v>
      </c>
      <c r="D806">
        <v>20.524999999999999</v>
      </c>
      <c r="E806">
        <v>17.48833333</v>
      </c>
      <c r="F806">
        <v>23.46</v>
      </c>
      <c r="G806">
        <v>2.7766666670000002</v>
      </c>
      <c r="H806">
        <v>0.89583333300000001</v>
      </c>
      <c r="I806">
        <v>4.079166667</v>
      </c>
      <c r="J806">
        <v>4868.7883330000004</v>
      </c>
      <c r="K806">
        <v>4207.4166670000004</v>
      </c>
      <c r="L806">
        <v>5831.8541670000004</v>
      </c>
      <c r="M806">
        <v>15.339166669999999</v>
      </c>
      <c r="N806">
        <v>13.856666669999999</v>
      </c>
      <c r="O806">
        <v>17.051666669999999</v>
      </c>
      <c r="Q806" t="s">
        <v>311</v>
      </c>
      <c r="R806" t="s">
        <v>10055</v>
      </c>
      <c r="S806" t="s">
        <v>9065</v>
      </c>
      <c r="T806" t="s">
        <v>9066</v>
      </c>
    </row>
    <row r="807" spans="1:20" x14ac:dyDescent="0.25">
      <c r="A807" t="s">
        <v>10056</v>
      </c>
      <c r="B807">
        <v>-23.5</v>
      </c>
      <c r="C807">
        <v>523.5</v>
      </c>
      <c r="D807">
        <v>21.466666669999999</v>
      </c>
      <c r="E807">
        <v>18.412500000000001</v>
      </c>
      <c r="F807">
        <v>24.368333329999999</v>
      </c>
      <c r="G807">
        <v>2.2116666669999998</v>
      </c>
      <c r="H807">
        <v>0.698333333</v>
      </c>
      <c r="I807">
        <v>3.1608333329999998</v>
      </c>
      <c r="J807">
        <v>4959.1291670000001</v>
      </c>
      <c r="K807">
        <v>4276.2708329999996</v>
      </c>
      <c r="L807">
        <v>5941.1875</v>
      </c>
      <c r="M807">
        <v>16.016666669999999</v>
      </c>
      <c r="N807">
        <v>14.58333333</v>
      </c>
      <c r="O807">
        <v>17.585000000000001</v>
      </c>
      <c r="Q807" t="s">
        <v>311</v>
      </c>
      <c r="R807" t="s">
        <v>10055</v>
      </c>
      <c r="S807" t="s">
        <v>9058</v>
      </c>
      <c r="T807" t="s">
        <v>9061</v>
      </c>
    </row>
    <row r="808" spans="1:20" x14ac:dyDescent="0.25">
      <c r="A808" t="s">
        <v>10057</v>
      </c>
      <c r="B808">
        <v>-23.33</v>
      </c>
      <c r="C808">
        <v>569.1</v>
      </c>
      <c r="D808">
        <v>22.192499999999999</v>
      </c>
      <c r="E808">
        <v>19.015000000000001</v>
      </c>
      <c r="F808">
        <v>25.25</v>
      </c>
      <c r="G808">
        <v>2.389166667</v>
      </c>
      <c r="H808">
        <v>1.058333333</v>
      </c>
      <c r="I808">
        <v>3.4333333330000002</v>
      </c>
      <c r="J808">
        <v>5144.646667</v>
      </c>
      <c r="K808">
        <v>4500.375</v>
      </c>
      <c r="L808">
        <v>6053.4166670000004</v>
      </c>
      <c r="M808">
        <v>16.929166670000001</v>
      </c>
      <c r="N808">
        <v>14.83333333</v>
      </c>
      <c r="O808">
        <v>19.208333329999999</v>
      </c>
      <c r="Q808" t="s">
        <v>311</v>
      </c>
      <c r="R808" t="s">
        <v>10058</v>
      </c>
      <c r="S808" t="s">
        <v>9058</v>
      </c>
      <c r="T808" t="s">
        <v>9059</v>
      </c>
    </row>
    <row r="809" spans="1:20" x14ac:dyDescent="0.25">
      <c r="A809" t="s">
        <v>10059</v>
      </c>
      <c r="B809">
        <v>-23.33</v>
      </c>
      <c r="C809">
        <v>569.1</v>
      </c>
      <c r="D809">
        <v>22.5825</v>
      </c>
      <c r="E809">
        <v>19.116666670000001</v>
      </c>
      <c r="F809">
        <v>25.854166670000001</v>
      </c>
      <c r="G809">
        <v>2.3216666670000001</v>
      </c>
      <c r="H809">
        <v>1.016666667</v>
      </c>
      <c r="I809">
        <v>3.2850000000000001</v>
      </c>
      <c r="J809">
        <v>5089.2041669999999</v>
      </c>
      <c r="K809">
        <v>4394.2916670000004</v>
      </c>
      <c r="L809">
        <v>6004.6875</v>
      </c>
      <c r="M809">
        <v>16.385000000000002</v>
      </c>
      <c r="N809">
        <v>14.58333333</v>
      </c>
      <c r="O809">
        <v>18.416666670000001</v>
      </c>
      <c r="Q809" t="s">
        <v>311</v>
      </c>
      <c r="R809" t="s">
        <v>10058</v>
      </c>
      <c r="S809" t="s">
        <v>9058</v>
      </c>
      <c r="T809" t="s">
        <v>9061</v>
      </c>
    </row>
    <row r="810" spans="1:20" x14ac:dyDescent="0.25">
      <c r="A810" t="s">
        <v>10060</v>
      </c>
      <c r="B810">
        <v>-23.38</v>
      </c>
      <c r="C810">
        <v>566</v>
      </c>
      <c r="D810">
        <v>22.87833333</v>
      </c>
      <c r="E810">
        <v>20.03833333</v>
      </c>
      <c r="F810">
        <v>25.653333329999999</v>
      </c>
      <c r="G810">
        <v>0.61</v>
      </c>
      <c r="H810">
        <v>3.3333333E-2</v>
      </c>
      <c r="I810">
        <v>0.93333333299999999</v>
      </c>
      <c r="J810">
        <v>5610.709167</v>
      </c>
      <c r="K810">
        <v>5423.3333329999996</v>
      </c>
      <c r="L810">
        <v>6230.5416670000004</v>
      </c>
      <c r="M810">
        <v>16.9175</v>
      </c>
      <c r="N810">
        <v>15.455</v>
      </c>
      <c r="O810">
        <v>18.533333330000001</v>
      </c>
      <c r="Q810" t="s">
        <v>311</v>
      </c>
      <c r="R810" t="s">
        <v>10061</v>
      </c>
      <c r="S810" t="s">
        <v>9058</v>
      </c>
      <c r="T810" t="s">
        <v>9059</v>
      </c>
    </row>
    <row r="811" spans="1:20" x14ac:dyDescent="0.25">
      <c r="A811" t="s">
        <v>10062</v>
      </c>
      <c r="B811">
        <v>-23.38</v>
      </c>
      <c r="C811">
        <v>566</v>
      </c>
      <c r="D811">
        <v>21.875833329999999</v>
      </c>
      <c r="E811">
        <v>18.873333330000001</v>
      </c>
      <c r="F811">
        <v>24.763333329999998</v>
      </c>
      <c r="G811">
        <v>1.7050000000000001</v>
      </c>
      <c r="H811">
        <v>0.75</v>
      </c>
      <c r="I811">
        <v>2.5350000000000001</v>
      </c>
      <c r="J811">
        <v>4990.2033330000004</v>
      </c>
      <c r="K811">
        <v>4163.7291670000004</v>
      </c>
      <c r="L811">
        <v>5967.25</v>
      </c>
      <c r="M811">
        <v>17.054166670000001</v>
      </c>
      <c r="N811">
        <v>15.588333329999999</v>
      </c>
      <c r="O811">
        <v>18.801666669999999</v>
      </c>
      <c r="Q811" t="s">
        <v>311</v>
      </c>
      <c r="R811" t="s">
        <v>10061</v>
      </c>
      <c r="S811" t="s">
        <v>9058</v>
      </c>
      <c r="T811" t="s">
        <v>9061</v>
      </c>
    </row>
    <row r="812" spans="1:20" x14ac:dyDescent="0.25">
      <c r="A812" t="s">
        <v>7826</v>
      </c>
      <c r="B812">
        <v>-23.38</v>
      </c>
      <c r="C812">
        <v>566</v>
      </c>
      <c r="D812">
        <v>21.849166669999999</v>
      </c>
      <c r="E812">
        <v>18.614999999999998</v>
      </c>
      <c r="F812">
        <v>25.06666667</v>
      </c>
      <c r="G812">
        <v>2.3308333330000002</v>
      </c>
      <c r="H812">
        <v>1.38</v>
      </c>
      <c r="I812">
        <v>3.068333333</v>
      </c>
      <c r="J812">
        <v>4119.2150000000001</v>
      </c>
      <c r="K812">
        <v>3564.354167</v>
      </c>
      <c r="L812">
        <v>4901.8958329999996</v>
      </c>
      <c r="M812">
        <v>16.860833329999998</v>
      </c>
      <c r="N812">
        <v>15.248333329999999</v>
      </c>
      <c r="O812">
        <v>19.008333329999999</v>
      </c>
      <c r="Q812" t="s">
        <v>311</v>
      </c>
      <c r="R812" t="s">
        <v>10063</v>
      </c>
      <c r="S812" t="s">
        <v>9065</v>
      </c>
      <c r="T812" t="s">
        <v>9066</v>
      </c>
    </row>
    <row r="813" spans="1:20" x14ac:dyDescent="0.25">
      <c r="A813" t="s">
        <v>7284</v>
      </c>
      <c r="B813">
        <v>-24.56</v>
      </c>
      <c r="C813">
        <v>392</v>
      </c>
      <c r="D813">
        <v>21.41</v>
      </c>
      <c r="E813">
        <v>18.149999999999999</v>
      </c>
      <c r="F813">
        <v>24.733333330000001</v>
      </c>
      <c r="G813">
        <v>3.3525</v>
      </c>
      <c r="H813">
        <v>2.1916666669999998</v>
      </c>
      <c r="I813">
        <v>4.3849999999999998</v>
      </c>
      <c r="J813">
        <v>4864.4650000000001</v>
      </c>
      <c r="K813">
        <v>4286.2708329999996</v>
      </c>
      <c r="L813">
        <v>5936.2291670000004</v>
      </c>
      <c r="M813">
        <v>15.5725</v>
      </c>
      <c r="N813">
        <v>13.9375</v>
      </c>
      <c r="O813">
        <v>17.551666669999999</v>
      </c>
      <c r="Q813" t="s">
        <v>311</v>
      </c>
      <c r="R813" t="s">
        <v>10064</v>
      </c>
      <c r="S813" t="s">
        <v>9065</v>
      </c>
      <c r="T813" t="s">
        <v>9066</v>
      </c>
    </row>
    <row r="814" spans="1:20" x14ac:dyDescent="0.25">
      <c r="A814" t="s">
        <v>10065</v>
      </c>
      <c r="B814">
        <v>-24.53</v>
      </c>
      <c r="C814">
        <v>393.5</v>
      </c>
      <c r="D814">
        <v>21.99</v>
      </c>
      <c r="E814">
        <v>18.80083333</v>
      </c>
      <c r="F814">
        <v>25.114999999999998</v>
      </c>
      <c r="G814">
        <v>2.5858333330000001</v>
      </c>
      <c r="H814">
        <v>0.92333333299999998</v>
      </c>
      <c r="I814">
        <v>3.9024999999999999</v>
      </c>
      <c r="J814">
        <v>5116.8216670000002</v>
      </c>
      <c r="K814">
        <v>4304.7083329999996</v>
      </c>
      <c r="L814">
        <v>6126.3125</v>
      </c>
      <c r="M814">
        <v>16.063333329999999</v>
      </c>
      <c r="N814">
        <v>14.223333330000001</v>
      </c>
      <c r="O814">
        <v>18.22</v>
      </c>
      <c r="Q814" t="s">
        <v>311</v>
      </c>
      <c r="R814" t="s">
        <v>10064</v>
      </c>
      <c r="S814" t="s">
        <v>9058</v>
      </c>
      <c r="T814" t="s">
        <v>9061</v>
      </c>
    </row>
    <row r="815" spans="1:20" x14ac:dyDescent="0.25">
      <c r="A815" t="s">
        <v>10066</v>
      </c>
      <c r="B815">
        <v>-23.48</v>
      </c>
      <c r="C815">
        <v>545</v>
      </c>
      <c r="D815">
        <v>22.58583333</v>
      </c>
      <c r="E815">
        <v>19.30833333</v>
      </c>
      <c r="F815">
        <v>25.541666670000001</v>
      </c>
      <c r="G815">
        <v>3.6833333330000002</v>
      </c>
      <c r="H815">
        <v>2.3275000000000001</v>
      </c>
      <c r="I815">
        <v>4.8266666669999996</v>
      </c>
      <c r="J815">
        <v>5189.7725</v>
      </c>
      <c r="K815">
        <v>4520.5</v>
      </c>
      <c r="L815">
        <v>6056.125</v>
      </c>
      <c r="M815">
        <v>16.791666670000001</v>
      </c>
      <c r="N815">
        <v>15.08333333</v>
      </c>
      <c r="O815">
        <v>18.86</v>
      </c>
      <c r="Q815" t="s">
        <v>311</v>
      </c>
      <c r="R815" t="s">
        <v>10067</v>
      </c>
      <c r="S815" t="s">
        <v>9058</v>
      </c>
      <c r="T815" t="s">
        <v>9059</v>
      </c>
    </row>
    <row r="816" spans="1:20" x14ac:dyDescent="0.25">
      <c r="A816" t="s">
        <v>10068</v>
      </c>
      <c r="B816">
        <v>-23.48</v>
      </c>
      <c r="C816">
        <v>545</v>
      </c>
      <c r="D816">
        <v>22.77</v>
      </c>
      <c r="E816">
        <v>19.448333330000001</v>
      </c>
      <c r="F816">
        <v>25.875</v>
      </c>
      <c r="G816">
        <v>3.6966666670000001</v>
      </c>
      <c r="H816">
        <v>2.2708333330000001</v>
      </c>
      <c r="I816">
        <v>4.9074999999999998</v>
      </c>
      <c r="J816">
        <v>5110.8808330000002</v>
      </c>
      <c r="K816">
        <v>4457</v>
      </c>
      <c r="L816">
        <v>6003.3125</v>
      </c>
      <c r="M816">
        <v>16.784166670000001</v>
      </c>
      <c r="N816">
        <v>15.04</v>
      </c>
      <c r="O816">
        <v>18.776666670000001</v>
      </c>
      <c r="Q816" t="s">
        <v>311</v>
      </c>
      <c r="R816" t="s">
        <v>10067</v>
      </c>
      <c r="S816" t="s">
        <v>9058</v>
      </c>
      <c r="T816" t="s">
        <v>9061</v>
      </c>
    </row>
    <row r="817" spans="1:20" x14ac:dyDescent="0.25">
      <c r="A817" t="s">
        <v>7816</v>
      </c>
      <c r="B817">
        <v>-23.42</v>
      </c>
      <c r="C817">
        <v>542</v>
      </c>
      <c r="D817">
        <v>23.045833330000001</v>
      </c>
      <c r="E817">
        <v>20.164999999999999</v>
      </c>
      <c r="F817">
        <v>25.905000000000001</v>
      </c>
      <c r="G817">
        <v>2.2341666670000002</v>
      </c>
      <c r="H817">
        <v>1.3983333330000001</v>
      </c>
      <c r="I817">
        <v>3.0433333330000001</v>
      </c>
      <c r="J817">
        <v>4968.6358330000003</v>
      </c>
      <c r="K817">
        <v>4173.9583329999996</v>
      </c>
      <c r="L817">
        <v>5965.875</v>
      </c>
      <c r="M817">
        <v>15.61166667</v>
      </c>
      <c r="N817">
        <v>14.022500000000001</v>
      </c>
      <c r="O817">
        <v>17.491666670000001</v>
      </c>
      <c r="Q817" t="s">
        <v>311</v>
      </c>
      <c r="R817" t="s">
        <v>10069</v>
      </c>
      <c r="S817" t="s">
        <v>9065</v>
      </c>
      <c r="T817" t="s">
        <v>9066</v>
      </c>
    </row>
    <row r="818" spans="1:20" x14ac:dyDescent="0.25">
      <c r="A818" t="s">
        <v>10070</v>
      </c>
      <c r="B818">
        <v>-23.41</v>
      </c>
      <c r="C818">
        <v>543.5</v>
      </c>
      <c r="D818">
        <v>22.907499999999999</v>
      </c>
      <c r="E818">
        <v>19.981666669999999</v>
      </c>
      <c r="F818">
        <v>25.855</v>
      </c>
      <c r="G818">
        <v>2.1800000000000002</v>
      </c>
      <c r="H818">
        <v>1.391666667</v>
      </c>
      <c r="I818">
        <v>2.96</v>
      </c>
      <c r="J818">
        <v>5217.3575000000001</v>
      </c>
      <c r="K818">
        <v>4515.5208329999996</v>
      </c>
      <c r="L818">
        <v>6078.6458329999996</v>
      </c>
      <c r="M818">
        <v>14.42166667</v>
      </c>
      <c r="N818">
        <v>12.442500000000001</v>
      </c>
      <c r="O818">
        <v>16.651666670000001</v>
      </c>
      <c r="Q818" t="s">
        <v>311</v>
      </c>
      <c r="R818" t="s">
        <v>10069</v>
      </c>
      <c r="S818" t="s">
        <v>9058</v>
      </c>
      <c r="T818" t="s">
        <v>9061</v>
      </c>
    </row>
    <row r="819" spans="1:20" x14ac:dyDescent="0.25">
      <c r="A819" t="s">
        <v>10071</v>
      </c>
      <c r="B819">
        <v>-25.52</v>
      </c>
      <c r="C819">
        <v>60.5</v>
      </c>
      <c r="D819">
        <v>20.715833329999999</v>
      </c>
      <c r="E819">
        <v>18.29</v>
      </c>
      <c r="F819">
        <v>22.646666669999998</v>
      </c>
      <c r="G819">
        <v>0.69083333300000005</v>
      </c>
      <c r="H819">
        <v>4.1666666999999998E-2</v>
      </c>
      <c r="I819">
        <v>1.05</v>
      </c>
      <c r="J819">
        <v>3976.2550000000001</v>
      </c>
      <c r="K819">
        <v>2973.708333</v>
      </c>
      <c r="L819">
        <v>5091.7916670000004</v>
      </c>
      <c r="M819">
        <v>18.36</v>
      </c>
      <c r="N819">
        <v>16.911666669999999</v>
      </c>
      <c r="O819">
        <v>20.080833330000001</v>
      </c>
      <c r="Q819" t="s">
        <v>311</v>
      </c>
      <c r="R819" t="s">
        <v>10072</v>
      </c>
      <c r="S819" t="s">
        <v>9058</v>
      </c>
      <c r="T819" t="s">
        <v>9061</v>
      </c>
    </row>
    <row r="820" spans="1:20" x14ac:dyDescent="0.25">
      <c r="A820" t="s">
        <v>7806</v>
      </c>
      <c r="B820">
        <v>-23.43</v>
      </c>
      <c r="C820">
        <v>668</v>
      </c>
      <c r="D820">
        <v>20.7925</v>
      </c>
      <c r="E820">
        <v>18.068333330000002</v>
      </c>
      <c r="F820">
        <v>23.51166667</v>
      </c>
      <c r="G820">
        <v>3.1233333330000002</v>
      </c>
      <c r="H820">
        <v>1.808333333</v>
      </c>
      <c r="I820">
        <v>4.1683333329999996</v>
      </c>
      <c r="J820">
        <v>5062.3649999999998</v>
      </c>
      <c r="K820">
        <v>4193.6458329999996</v>
      </c>
      <c r="L820">
        <v>6227.3541670000004</v>
      </c>
      <c r="M820">
        <v>14.785</v>
      </c>
      <c r="N820">
        <v>12.99666667</v>
      </c>
      <c r="O820">
        <v>16.809999999999999</v>
      </c>
      <c r="Q820" t="s">
        <v>311</v>
      </c>
      <c r="R820" t="s">
        <v>10073</v>
      </c>
      <c r="S820" t="s">
        <v>9065</v>
      </c>
      <c r="T820" t="s">
        <v>9066</v>
      </c>
    </row>
    <row r="821" spans="1:20" x14ac:dyDescent="0.25">
      <c r="A821" t="s">
        <v>10074</v>
      </c>
      <c r="B821">
        <v>-23.42</v>
      </c>
      <c r="C821">
        <v>669.5</v>
      </c>
      <c r="D821">
        <v>21.486666670000002</v>
      </c>
      <c r="E821">
        <v>18.338333330000001</v>
      </c>
      <c r="F821">
        <v>24.36333333</v>
      </c>
      <c r="G821">
        <v>2.8975</v>
      </c>
      <c r="H821">
        <v>1.681666667</v>
      </c>
      <c r="I821">
        <v>3.9249999999999998</v>
      </c>
      <c r="J821">
        <v>5071.3041670000002</v>
      </c>
      <c r="K821">
        <v>4388.875</v>
      </c>
      <c r="L821">
        <v>6049.375</v>
      </c>
      <c r="M821">
        <v>15.54916667</v>
      </c>
      <c r="N821">
        <v>13.926666669999999</v>
      </c>
      <c r="O821">
        <v>17.37833333</v>
      </c>
      <c r="Q821" t="s">
        <v>311</v>
      </c>
      <c r="R821" t="s">
        <v>10073</v>
      </c>
      <c r="S821" t="s">
        <v>9058</v>
      </c>
      <c r="T821" t="s">
        <v>9061</v>
      </c>
    </row>
    <row r="822" spans="1:20" x14ac:dyDescent="0.25">
      <c r="A822" t="s">
        <v>7813</v>
      </c>
      <c r="B822">
        <v>-24.44</v>
      </c>
      <c r="C822">
        <v>654</v>
      </c>
      <c r="D822">
        <v>20.21083333</v>
      </c>
      <c r="E822">
        <v>17.164999999999999</v>
      </c>
      <c r="F822">
        <v>23.051666669999999</v>
      </c>
      <c r="G822">
        <v>0</v>
      </c>
      <c r="H822">
        <v>0</v>
      </c>
      <c r="I822">
        <v>0</v>
      </c>
      <c r="J822">
        <v>5085.45</v>
      </c>
      <c r="K822">
        <v>4295.8125</v>
      </c>
      <c r="L822">
        <v>6131.2708329999996</v>
      </c>
      <c r="M822">
        <v>14.739166669999999</v>
      </c>
      <c r="N822">
        <v>13.15833333</v>
      </c>
      <c r="O822">
        <v>16.574999999999999</v>
      </c>
      <c r="Q822" t="s">
        <v>311</v>
      </c>
      <c r="R822" t="s">
        <v>10075</v>
      </c>
      <c r="S822" t="s">
        <v>9065</v>
      </c>
      <c r="T822" t="s">
        <v>9066</v>
      </c>
    </row>
    <row r="823" spans="1:20" x14ac:dyDescent="0.25">
      <c r="A823" t="s">
        <v>10076</v>
      </c>
      <c r="B823">
        <v>-24.43</v>
      </c>
      <c r="C823">
        <v>655.5</v>
      </c>
      <c r="D823">
        <v>20.987500000000001</v>
      </c>
      <c r="E823">
        <v>18.076666670000002</v>
      </c>
      <c r="F823">
        <v>23.853333330000002</v>
      </c>
      <c r="G823">
        <v>1.47</v>
      </c>
      <c r="H823">
        <v>0.76666666699999997</v>
      </c>
      <c r="I823">
        <v>2.0333333329999999</v>
      </c>
      <c r="J823">
        <v>5058.2416670000002</v>
      </c>
      <c r="K823">
        <v>4312.3541670000004</v>
      </c>
      <c r="L823">
        <v>5996.0208329999996</v>
      </c>
      <c r="M823">
        <v>15.35416667</v>
      </c>
      <c r="N823">
        <v>13.86</v>
      </c>
      <c r="O823">
        <v>17.076666670000002</v>
      </c>
      <c r="Q823" t="s">
        <v>311</v>
      </c>
      <c r="R823" t="s">
        <v>10075</v>
      </c>
      <c r="S823" t="s">
        <v>9058</v>
      </c>
      <c r="T823" t="s">
        <v>9061</v>
      </c>
    </row>
    <row r="824" spans="1:20" x14ac:dyDescent="0.25">
      <c r="A824" t="s">
        <v>10077</v>
      </c>
      <c r="B824">
        <v>-25.52</v>
      </c>
      <c r="C824">
        <v>5</v>
      </c>
      <c r="D824">
        <v>22.330833330000001</v>
      </c>
      <c r="E824">
        <v>20.454166669999999</v>
      </c>
      <c r="F824">
        <v>24.026666670000001</v>
      </c>
      <c r="G824">
        <v>0.99916666700000001</v>
      </c>
      <c r="H824">
        <v>0.61666666699999995</v>
      </c>
      <c r="I824">
        <v>1.31</v>
      </c>
      <c r="J824">
        <v>4696.9616669999996</v>
      </c>
      <c r="K824">
        <v>4004.3125</v>
      </c>
      <c r="L824">
        <v>5509.6875</v>
      </c>
      <c r="M824">
        <v>18.936666670000001</v>
      </c>
      <c r="N824">
        <v>17.573333330000001</v>
      </c>
      <c r="O824">
        <v>20.458333329999999</v>
      </c>
      <c r="Q824" t="s">
        <v>311</v>
      </c>
      <c r="R824" t="s">
        <v>10078</v>
      </c>
      <c r="S824" t="s">
        <v>9058</v>
      </c>
      <c r="T824" t="s">
        <v>9059</v>
      </c>
    </row>
    <row r="825" spans="1:20" x14ac:dyDescent="0.25">
      <c r="A825" t="s">
        <v>10079</v>
      </c>
      <c r="B825">
        <v>-25.52</v>
      </c>
      <c r="C825">
        <v>5</v>
      </c>
      <c r="D825">
        <v>21.926666669999999</v>
      </c>
      <c r="E825">
        <v>20.133333329999999</v>
      </c>
      <c r="F825">
        <v>23.324999999999999</v>
      </c>
      <c r="G825">
        <v>1.846666667</v>
      </c>
      <c r="H825">
        <v>1.0416666670000001</v>
      </c>
      <c r="I825">
        <v>2.5350000000000001</v>
      </c>
      <c r="J825">
        <v>4088.2550000000001</v>
      </c>
      <c r="K825">
        <v>3190.020833</v>
      </c>
      <c r="L825">
        <v>5167.3541670000004</v>
      </c>
      <c r="M825">
        <v>18.770833329999999</v>
      </c>
      <c r="N825">
        <v>17.391666669999999</v>
      </c>
      <c r="O825">
        <v>20.361666670000002</v>
      </c>
      <c r="Q825" t="s">
        <v>311</v>
      </c>
      <c r="R825" t="s">
        <v>10078</v>
      </c>
      <c r="S825" t="s">
        <v>9058</v>
      </c>
      <c r="T825" t="s">
        <v>9061</v>
      </c>
    </row>
    <row r="826" spans="1:20" x14ac:dyDescent="0.25">
      <c r="A826" t="s">
        <v>7264</v>
      </c>
      <c r="B826">
        <v>-22.49</v>
      </c>
      <c r="C826">
        <v>311</v>
      </c>
      <c r="D826">
        <v>22.87916667</v>
      </c>
      <c r="E826">
        <v>19.716666669999999</v>
      </c>
      <c r="F826">
        <v>25.87833333</v>
      </c>
      <c r="G826">
        <v>3.0074999999999998</v>
      </c>
      <c r="H826">
        <v>1.3666666670000001</v>
      </c>
      <c r="I826">
        <v>4.3250000000000002</v>
      </c>
      <c r="J826">
        <v>5100.7208330000003</v>
      </c>
      <c r="K826">
        <v>4480.2083329999996</v>
      </c>
      <c r="L826">
        <v>6144.2916670000004</v>
      </c>
      <c r="M826">
        <v>16.43333333</v>
      </c>
      <c r="N826">
        <v>14.903333330000001</v>
      </c>
      <c r="O826">
        <v>18.18333333</v>
      </c>
      <c r="Q826" t="s">
        <v>311</v>
      </c>
      <c r="R826" t="s">
        <v>10080</v>
      </c>
      <c r="S826" t="s">
        <v>9065</v>
      </c>
      <c r="T826" t="s">
        <v>9066</v>
      </c>
    </row>
    <row r="827" spans="1:20" x14ac:dyDescent="0.25">
      <c r="A827" t="s">
        <v>10081</v>
      </c>
      <c r="B827">
        <v>-22.65</v>
      </c>
      <c r="C827">
        <v>312.5</v>
      </c>
      <c r="D827">
        <v>23.829166669999999</v>
      </c>
      <c r="E827">
        <v>20.504999999999999</v>
      </c>
      <c r="F827">
        <v>26.984999999999999</v>
      </c>
      <c r="G827">
        <v>2.9683333329999999</v>
      </c>
      <c r="H827">
        <v>1.516666667</v>
      </c>
      <c r="I827">
        <v>4.108333333</v>
      </c>
      <c r="J827">
        <v>5322.665833</v>
      </c>
      <c r="K827">
        <v>4803.9375</v>
      </c>
      <c r="L827">
        <v>6154</v>
      </c>
      <c r="M827">
        <v>16.176666669999999</v>
      </c>
      <c r="N827">
        <v>14.653333330000001</v>
      </c>
      <c r="O827">
        <v>18.010000000000002</v>
      </c>
      <c r="Q827" t="s">
        <v>311</v>
      </c>
      <c r="R827" t="s">
        <v>10080</v>
      </c>
      <c r="S827" t="s">
        <v>9058</v>
      </c>
      <c r="T827" t="s">
        <v>9061</v>
      </c>
    </row>
    <row r="828" spans="1:20" x14ac:dyDescent="0.25">
      <c r="A828" t="s">
        <v>7821</v>
      </c>
      <c r="B828">
        <v>-25.72</v>
      </c>
      <c r="C828">
        <v>346</v>
      </c>
      <c r="D828">
        <v>21.341666669999999</v>
      </c>
      <c r="E828">
        <v>18.31666667</v>
      </c>
      <c r="F828">
        <v>24.315000000000001</v>
      </c>
      <c r="G828">
        <v>2.9283333329999999</v>
      </c>
      <c r="H828">
        <v>1.9166666670000001</v>
      </c>
      <c r="I828">
        <v>3.8666666670000001</v>
      </c>
      <c r="J828">
        <v>4769.7258330000004</v>
      </c>
      <c r="K828">
        <v>3990.75</v>
      </c>
      <c r="L828">
        <v>5939.4791670000004</v>
      </c>
      <c r="M828">
        <v>15.545</v>
      </c>
      <c r="N828">
        <v>13.93</v>
      </c>
      <c r="O828">
        <v>17.616666670000001</v>
      </c>
      <c r="Q828" t="s">
        <v>311</v>
      </c>
      <c r="R828" t="s">
        <v>10082</v>
      </c>
      <c r="S828" t="s">
        <v>9065</v>
      </c>
      <c r="T828" t="s">
        <v>9066</v>
      </c>
    </row>
    <row r="829" spans="1:20" x14ac:dyDescent="0.25">
      <c r="A829" t="s">
        <v>10083</v>
      </c>
      <c r="B829">
        <v>-25.72</v>
      </c>
      <c r="C829">
        <v>347.5</v>
      </c>
      <c r="D829">
        <v>21.770833329999999</v>
      </c>
      <c r="E829">
        <v>18.444166670000001</v>
      </c>
      <c r="F829">
        <v>25.15666667</v>
      </c>
      <c r="G829">
        <v>2.3925000000000001</v>
      </c>
      <c r="H829">
        <v>1.175</v>
      </c>
      <c r="I829">
        <v>3.391666667</v>
      </c>
      <c r="J829">
        <v>4960.6774999999998</v>
      </c>
      <c r="K829">
        <v>4139.9791670000004</v>
      </c>
      <c r="L829">
        <v>6021.9583329999996</v>
      </c>
      <c r="M829">
        <v>12.782500000000001</v>
      </c>
      <c r="N829">
        <v>9.9966666669999995</v>
      </c>
      <c r="O829">
        <v>15.18083333</v>
      </c>
      <c r="Q829" t="s">
        <v>311</v>
      </c>
      <c r="R829" t="s">
        <v>10082</v>
      </c>
      <c r="S829" t="s">
        <v>9058</v>
      </c>
      <c r="T829" t="s">
        <v>9061</v>
      </c>
    </row>
    <row r="830" spans="1:20" x14ac:dyDescent="0.25">
      <c r="A830" t="s">
        <v>10084</v>
      </c>
      <c r="B830">
        <v>-25.39</v>
      </c>
      <c r="C830">
        <v>1065</v>
      </c>
      <c r="D830">
        <v>17.1525</v>
      </c>
      <c r="E830">
        <v>14.52166667</v>
      </c>
      <c r="F830">
        <v>19.78</v>
      </c>
      <c r="G830">
        <v>2.9750000000000001</v>
      </c>
      <c r="H830">
        <v>1.983333333</v>
      </c>
      <c r="I830">
        <v>3.8833333329999999</v>
      </c>
      <c r="J830">
        <v>4727.5283330000002</v>
      </c>
      <c r="K830">
        <v>3913.666667</v>
      </c>
      <c r="L830">
        <v>5770.9166670000004</v>
      </c>
      <c r="M830">
        <v>13.695833329999999</v>
      </c>
      <c r="N830">
        <v>12.06666667</v>
      </c>
      <c r="O830">
        <v>15.71083333</v>
      </c>
      <c r="Q830" t="s">
        <v>311</v>
      </c>
      <c r="R830" t="s">
        <v>10085</v>
      </c>
      <c r="S830" t="s">
        <v>9058</v>
      </c>
      <c r="T830" t="s">
        <v>9061</v>
      </c>
    </row>
    <row r="831" spans="1:20" x14ac:dyDescent="0.25">
      <c r="A831" t="s">
        <v>8021</v>
      </c>
      <c r="B831">
        <v>-22.97</v>
      </c>
      <c r="C831">
        <v>4</v>
      </c>
      <c r="D831">
        <v>22.942499999999999</v>
      </c>
      <c r="E831">
        <v>21.99</v>
      </c>
      <c r="F831">
        <v>23.9</v>
      </c>
      <c r="G831">
        <v>3.7691666669999999</v>
      </c>
      <c r="H831">
        <v>2.0733333329999999</v>
      </c>
      <c r="I831">
        <v>5.3250000000000002</v>
      </c>
      <c r="J831">
        <v>4788.2408329999998</v>
      </c>
      <c r="K831">
        <v>3551.4375</v>
      </c>
      <c r="L831">
        <v>6105.5416670000004</v>
      </c>
      <c r="M831">
        <v>20.017499999999998</v>
      </c>
      <c r="N831">
        <v>18.998333330000001</v>
      </c>
      <c r="O831">
        <v>21.34333333</v>
      </c>
      <c r="Q831" t="s">
        <v>358</v>
      </c>
      <c r="R831" t="s">
        <v>10086</v>
      </c>
      <c r="S831" t="s">
        <v>9065</v>
      </c>
      <c r="T831" t="s">
        <v>9066</v>
      </c>
    </row>
    <row r="832" spans="1:20" x14ac:dyDescent="0.25">
      <c r="A832" t="s">
        <v>10087</v>
      </c>
      <c r="B832">
        <v>-22.98</v>
      </c>
      <c r="C832">
        <v>5.5</v>
      </c>
      <c r="D832">
        <v>23.536666669999999</v>
      </c>
      <c r="E832">
        <v>22.448333330000001</v>
      </c>
      <c r="F832">
        <v>24.583333329999999</v>
      </c>
      <c r="G832">
        <v>5.09</v>
      </c>
      <c r="H832">
        <v>2.9816666669999998</v>
      </c>
      <c r="I832">
        <v>7.1041666670000003</v>
      </c>
      <c r="J832">
        <v>5306.94</v>
      </c>
      <c r="K832">
        <v>4762.3125</v>
      </c>
      <c r="L832">
        <v>6144.9583329999996</v>
      </c>
      <c r="M832">
        <v>20.0625</v>
      </c>
      <c r="N832">
        <v>19.056666669999998</v>
      </c>
      <c r="O832">
        <v>21.326666670000002</v>
      </c>
      <c r="Q832" t="s">
        <v>358</v>
      </c>
      <c r="R832" t="s">
        <v>10088</v>
      </c>
      <c r="S832" t="s">
        <v>9058</v>
      </c>
      <c r="T832" t="s">
        <v>9061</v>
      </c>
    </row>
    <row r="833" spans="1:20" x14ac:dyDescent="0.25">
      <c r="A833" t="s">
        <v>6969</v>
      </c>
      <c r="B833">
        <v>-21.58</v>
      </c>
      <c r="C833">
        <v>35</v>
      </c>
      <c r="D833">
        <v>23.314166669999999</v>
      </c>
      <c r="E833">
        <v>20.40666667</v>
      </c>
      <c r="F833">
        <v>25.938333329999999</v>
      </c>
      <c r="G833">
        <v>2.4566666669999999</v>
      </c>
      <c r="H833">
        <v>1.266666667</v>
      </c>
      <c r="I833">
        <v>3.378333333</v>
      </c>
      <c r="J833">
        <v>4702.8833329999998</v>
      </c>
      <c r="K833">
        <v>3794.895833</v>
      </c>
      <c r="L833">
        <v>5770.4791670000004</v>
      </c>
      <c r="M833">
        <v>18.624166670000001</v>
      </c>
      <c r="N833">
        <v>17.583333329999999</v>
      </c>
      <c r="O833">
        <v>19.911666669999999</v>
      </c>
      <c r="Q833" t="s">
        <v>358</v>
      </c>
      <c r="R833" t="s">
        <v>10089</v>
      </c>
      <c r="S833" t="s">
        <v>9065</v>
      </c>
      <c r="T833" t="s">
        <v>9066</v>
      </c>
    </row>
    <row r="834" spans="1:20" x14ac:dyDescent="0.25">
      <c r="A834" t="s">
        <v>10090</v>
      </c>
      <c r="B834">
        <v>-21.58</v>
      </c>
      <c r="C834">
        <v>36.5</v>
      </c>
      <c r="D834">
        <v>24.04666667</v>
      </c>
      <c r="E834">
        <v>21.125</v>
      </c>
      <c r="F834">
        <v>26.883333329999999</v>
      </c>
      <c r="G834">
        <v>1.129166667</v>
      </c>
      <c r="H834">
        <v>0.3</v>
      </c>
      <c r="I834">
        <v>1.766666667</v>
      </c>
      <c r="J834">
        <v>4739.375</v>
      </c>
      <c r="K834">
        <v>4034.604167</v>
      </c>
      <c r="L834">
        <v>5630.5208329999996</v>
      </c>
      <c r="M834">
        <v>18.728333330000002</v>
      </c>
      <c r="N834">
        <v>17.591666669999999</v>
      </c>
      <c r="O834">
        <v>20.045833330000001</v>
      </c>
      <c r="Q834" t="s">
        <v>358</v>
      </c>
      <c r="R834" t="s">
        <v>10089</v>
      </c>
      <c r="S834" t="s">
        <v>9058</v>
      </c>
      <c r="T834" t="s">
        <v>9061</v>
      </c>
    </row>
    <row r="835" spans="1:20" x14ac:dyDescent="0.25">
      <c r="A835" t="s">
        <v>10091</v>
      </c>
      <c r="B835">
        <v>-22.88</v>
      </c>
      <c r="C835">
        <v>33.5</v>
      </c>
      <c r="D835">
        <v>23.696666669999999</v>
      </c>
      <c r="E835">
        <v>20.77333333</v>
      </c>
      <c r="F835">
        <v>26.258333329999999</v>
      </c>
      <c r="G835">
        <v>2.2566666670000002</v>
      </c>
      <c r="H835">
        <v>1.05</v>
      </c>
      <c r="I835">
        <v>3.1158333329999999</v>
      </c>
      <c r="J835">
        <v>5010.2616669999998</v>
      </c>
      <c r="K835">
        <v>3786.291667</v>
      </c>
      <c r="L835">
        <v>6216.1041670000004</v>
      </c>
      <c r="M835">
        <v>18.420833330000001</v>
      </c>
      <c r="N835">
        <v>17.016666669999999</v>
      </c>
      <c r="O835">
        <v>19.975000000000001</v>
      </c>
      <c r="Q835" t="s">
        <v>358</v>
      </c>
      <c r="R835" t="s">
        <v>10092</v>
      </c>
      <c r="S835" t="s">
        <v>9058</v>
      </c>
      <c r="T835" t="s">
        <v>9059</v>
      </c>
    </row>
    <row r="836" spans="1:20" x14ac:dyDescent="0.25">
      <c r="A836" t="s">
        <v>10093</v>
      </c>
      <c r="B836">
        <v>-22.88</v>
      </c>
      <c r="C836">
        <v>33.5</v>
      </c>
      <c r="D836">
        <v>24.091666669999999</v>
      </c>
      <c r="E836">
        <v>21.283333330000001</v>
      </c>
      <c r="F836">
        <v>26.423333329999998</v>
      </c>
      <c r="G836">
        <v>2.3416666670000001</v>
      </c>
      <c r="H836">
        <v>1.2166666669999999</v>
      </c>
      <c r="I836">
        <v>3.1850000000000001</v>
      </c>
      <c r="J836">
        <v>4748.3691669999998</v>
      </c>
      <c r="K836">
        <v>3916.083333</v>
      </c>
      <c r="L836">
        <v>5894.5416670000004</v>
      </c>
      <c r="M836">
        <v>18.78833333</v>
      </c>
      <c r="N836">
        <v>17.641666669999999</v>
      </c>
      <c r="O836">
        <v>20.274999999999999</v>
      </c>
      <c r="Q836" t="s">
        <v>358</v>
      </c>
      <c r="R836" t="s">
        <v>10092</v>
      </c>
      <c r="S836" t="s">
        <v>9058</v>
      </c>
      <c r="T836" t="s">
        <v>9061</v>
      </c>
    </row>
    <row r="837" spans="1:20" x14ac:dyDescent="0.25">
      <c r="A837" t="s">
        <v>10094</v>
      </c>
      <c r="B837">
        <v>-21.7</v>
      </c>
      <c r="C837">
        <v>17.399999999999999</v>
      </c>
      <c r="D837">
        <v>24.680833329999999</v>
      </c>
      <c r="E837">
        <v>22.305</v>
      </c>
      <c r="F837">
        <v>26.901666670000001</v>
      </c>
      <c r="G837">
        <v>3.1516666670000002</v>
      </c>
      <c r="H837">
        <v>1.204166667</v>
      </c>
      <c r="I837">
        <v>4.6166666669999996</v>
      </c>
      <c r="J837">
        <v>5094.5649999999996</v>
      </c>
      <c r="K837">
        <v>4311.0208329999996</v>
      </c>
      <c r="L837">
        <v>6059.9583329999996</v>
      </c>
      <c r="M837">
        <v>20.323333330000001</v>
      </c>
      <c r="N837">
        <v>19.18416667</v>
      </c>
      <c r="O837">
        <v>21.716666669999999</v>
      </c>
      <c r="Q837" t="s">
        <v>358</v>
      </c>
      <c r="R837" t="s">
        <v>10095</v>
      </c>
      <c r="S837" t="s">
        <v>9058</v>
      </c>
      <c r="T837" t="s">
        <v>9059</v>
      </c>
    </row>
    <row r="838" spans="1:20" x14ac:dyDescent="0.25">
      <c r="A838" t="s">
        <v>10096</v>
      </c>
      <c r="B838">
        <v>-21.7</v>
      </c>
      <c r="C838">
        <v>17.399999999999999</v>
      </c>
      <c r="D838">
        <v>24.53916667</v>
      </c>
      <c r="E838">
        <v>22.34</v>
      </c>
      <c r="F838">
        <v>26.694166670000001</v>
      </c>
      <c r="G838">
        <v>3.6541666670000001</v>
      </c>
      <c r="H838">
        <v>1.49</v>
      </c>
      <c r="I838">
        <v>5.45</v>
      </c>
      <c r="J838">
        <v>5084.1041670000004</v>
      </c>
      <c r="K838">
        <v>4339.1041670000004</v>
      </c>
      <c r="L838">
        <v>6181.1875</v>
      </c>
      <c r="M838">
        <v>20.375833329999999</v>
      </c>
      <c r="N838">
        <v>19.423333329999998</v>
      </c>
      <c r="O838">
        <v>21.594999999999999</v>
      </c>
      <c r="Q838" t="s">
        <v>358</v>
      </c>
      <c r="R838" t="s">
        <v>10095</v>
      </c>
      <c r="S838" t="s">
        <v>9058</v>
      </c>
      <c r="T838" t="s">
        <v>9061</v>
      </c>
    </row>
    <row r="839" spans="1:20" x14ac:dyDescent="0.25">
      <c r="A839" t="s">
        <v>10097</v>
      </c>
      <c r="B839">
        <v>-21.72</v>
      </c>
      <c r="C839">
        <v>26.5</v>
      </c>
      <c r="D839">
        <v>23.958333329999999</v>
      </c>
      <c r="E839">
        <v>21.31666667</v>
      </c>
      <c r="F839">
        <v>26.31</v>
      </c>
      <c r="G839">
        <v>3.02</v>
      </c>
      <c r="H839">
        <v>1.7250000000000001</v>
      </c>
      <c r="I839">
        <v>4.0666666669999998</v>
      </c>
      <c r="J839">
        <v>5149.1483330000001</v>
      </c>
      <c r="K839">
        <v>4362.7291670000004</v>
      </c>
      <c r="L839">
        <v>6136.5625</v>
      </c>
      <c r="M839">
        <v>18.694166670000001</v>
      </c>
      <c r="N839">
        <v>17.491666670000001</v>
      </c>
      <c r="O839">
        <v>20.10166667</v>
      </c>
      <c r="Q839" t="s">
        <v>358</v>
      </c>
      <c r="R839" t="s">
        <v>10098</v>
      </c>
      <c r="S839" t="s">
        <v>9058</v>
      </c>
      <c r="T839" t="s">
        <v>9061</v>
      </c>
    </row>
    <row r="840" spans="1:20" x14ac:dyDescent="0.25">
      <c r="A840" t="s">
        <v>8033</v>
      </c>
      <c r="B840">
        <v>-21.75</v>
      </c>
      <c r="C840">
        <v>25</v>
      </c>
      <c r="D840">
        <v>24.032499999999999</v>
      </c>
      <c r="E840">
        <v>21.838333330000001</v>
      </c>
      <c r="F840">
        <v>26.045000000000002</v>
      </c>
      <c r="G840">
        <v>3.110833333</v>
      </c>
      <c r="H840">
        <v>1.8416666669999999</v>
      </c>
      <c r="I840">
        <v>4.12</v>
      </c>
      <c r="J840">
        <v>4821.0591670000003</v>
      </c>
      <c r="K840">
        <v>3814.958333</v>
      </c>
      <c r="L840">
        <v>5953.3958329999996</v>
      </c>
      <c r="M840">
        <v>20.170000000000002</v>
      </c>
      <c r="N840">
        <v>19.15583333</v>
      </c>
      <c r="O840">
        <v>21.35</v>
      </c>
      <c r="Q840" t="s">
        <v>358</v>
      </c>
      <c r="R840" t="s">
        <v>10099</v>
      </c>
      <c r="S840" t="s">
        <v>9065</v>
      </c>
      <c r="T840" t="s">
        <v>9066</v>
      </c>
    </row>
    <row r="841" spans="1:20" x14ac:dyDescent="0.25">
      <c r="A841" t="s">
        <v>10100</v>
      </c>
      <c r="B841">
        <v>-22.03</v>
      </c>
      <c r="C841">
        <v>485</v>
      </c>
      <c r="D841">
        <v>21.7075</v>
      </c>
      <c r="E841">
        <v>19.006666670000001</v>
      </c>
      <c r="F841">
        <v>24.181666669999998</v>
      </c>
      <c r="G841">
        <v>2.5000000000000001E-3</v>
      </c>
      <c r="H841">
        <v>0</v>
      </c>
      <c r="I841">
        <v>0</v>
      </c>
      <c r="J841">
        <v>5329.0066669999997</v>
      </c>
      <c r="K841">
        <v>4922.4583329999996</v>
      </c>
      <c r="L841">
        <v>6014.8333329999996</v>
      </c>
      <c r="M841">
        <v>17.508333329999999</v>
      </c>
      <c r="N841">
        <v>16.260833330000001</v>
      </c>
      <c r="O841">
        <v>18.793333329999999</v>
      </c>
      <c r="Q841" t="s">
        <v>358</v>
      </c>
      <c r="R841" t="s">
        <v>10101</v>
      </c>
      <c r="S841" t="s">
        <v>9058</v>
      </c>
      <c r="T841" t="s">
        <v>9059</v>
      </c>
    </row>
    <row r="842" spans="1:20" x14ac:dyDescent="0.25">
      <c r="A842" t="s">
        <v>10102</v>
      </c>
      <c r="B842">
        <v>-22.03</v>
      </c>
      <c r="C842">
        <v>485</v>
      </c>
      <c r="D842">
        <v>21.41</v>
      </c>
      <c r="E842">
        <v>18.666666670000001</v>
      </c>
      <c r="F842">
        <v>23.96166667</v>
      </c>
      <c r="G842">
        <v>1.1658333329999999</v>
      </c>
      <c r="H842">
        <v>0.58333333300000001</v>
      </c>
      <c r="I842">
        <v>1.643333333</v>
      </c>
      <c r="J842">
        <v>4800.7333330000001</v>
      </c>
      <c r="K842">
        <v>4005.895833</v>
      </c>
      <c r="L842">
        <v>5832.2916670000004</v>
      </c>
      <c r="M842">
        <v>17.337499999999999</v>
      </c>
      <c r="N842">
        <v>16.123333330000001</v>
      </c>
      <c r="O842">
        <v>18.716666669999999</v>
      </c>
      <c r="Q842" t="s">
        <v>358</v>
      </c>
      <c r="R842" t="s">
        <v>10101</v>
      </c>
      <c r="S842" t="s">
        <v>9058</v>
      </c>
      <c r="T842" t="s">
        <v>9061</v>
      </c>
    </row>
    <row r="843" spans="1:20" x14ac:dyDescent="0.25">
      <c r="A843" t="s">
        <v>8044</v>
      </c>
      <c r="B843">
        <v>-22.57</v>
      </c>
      <c r="C843">
        <v>0</v>
      </c>
      <c r="D843">
        <v>23.061666670000001</v>
      </c>
      <c r="E843">
        <v>19.973333329999999</v>
      </c>
      <c r="F843">
        <v>25.901666670000001</v>
      </c>
      <c r="G843">
        <v>0.91333333299999997</v>
      </c>
      <c r="H843">
        <v>0.30833333299999999</v>
      </c>
      <c r="I843">
        <v>1.3016666670000001</v>
      </c>
      <c r="J843">
        <v>4014.2133330000001</v>
      </c>
      <c r="K843">
        <v>2810.833333</v>
      </c>
      <c r="L843">
        <v>5273.4583329999996</v>
      </c>
      <c r="M843">
        <v>19.069166670000001</v>
      </c>
      <c r="N843">
        <v>17.74666667</v>
      </c>
      <c r="O843">
        <v>20.551666669999999</v>
      </c>
      <c r="Q843" t="s">
        <v>358</v>
      </c>
      <c r="R843" t="s">
        <v>10103</v>
      </c>
      <c r="S843" t="s">
        <v>9065</v>
      </c>
      <c r="T843" t="s">
        <v>9066</v>
      </c>
    </row>
    <row r="844" spans="1:20" x14ac:dyDescent="0.25">
      <c r="A844" t="s">
        <v>8054</v>
      </c>
      <c r="B844">
        <v>-22.04</v>
      </c>
      <c r="C844">
        <v>4</v>
      </c>
      <c r="D844">
        <v>23.803333330000001</v>
      </c>
      <c r="E844">
        <v>22.65666667</v>
      </c>
      <c r="F844">
        <v>24.943333330000002</v>
      </c>
      <c r="G844">
        <v>3.786666667</v>
      </c>
      <c r="H844">
        <v>2.4300000000000002</v>
      </c>
      <c r="I844">
        <v>5.085</v>
      </c>
      <c r="J844">
        <v>5114.9308330000003</v>
      </c>
      <c r="K844">
        <v>4202.4583329999996</v>
      </c>
      <c r="L844">
        <v>6253.625</v>
      </c>
      <c r="M844">
        <v>19.888333329999998</v>
      </c>
      <c r="N844">
        <v>18.850000000000001</v>
      </c>
      <c r="O844">
        <v>21.18333333</v>
      </c>
      <c r="Q844" t="s">
        <v>358</v>
      </c>
      <c r="R844" t="s">
        <v>10104</v>
      </c>
      <c r="S844" t="s">
        <v>9065</v>
      </c>
      <c r="T844" t="s">
        <v>9066</v>
      </c>
    </row>
    <row r="845" spans="1:20" x14ac:dyDescent="0.25">
      <c r="A845" t="s">
        <v>10105</v>
      </c>
      <c r="B845">
        <v>-23.06</v>
      </c>
      <c r="C845">
        <v>75</v>
      </c>
      <c r="D845">
        <v>23.848333329999999</v>
      </c>
      <c r="E845">
        <v>22.270833329999999</v>
      </c>
      <c r="F845">
        <v>25.26166667</v>
      </c>
      <c r="G845">
        <v>2.6441666669999999</v>
      </c>
      <c r="H845">
        <v>1.4916666670000001</v>
      </c>
      <c r="I845">
        <v>3.4624999999999999</v>
      </c>
      <c r="J845">
        <v>5028.7066670000004</v>
      </c>
      <c r="K845">
        <v>4282.1875</v>
      </c>
      <c r="L845">
        <v>6027.3333329999996</v>
      </c>
      <c r="M845">
        <v>20.61333333</v>
      </c>
      <c r="N845">
        <v>19.258333329999999</v>
      </c>
      <c r="O845">
        <v>22.126666669999999</v>
      </c>
      <c r="Q845" t="s">
        <v>358</v>
      </c>
      <c r="R845" t="s">
        <v>10106</v>
      </c>
      <c r="S845" t="s">
        <v>9058</v>
      </c>
      <c r="T845" t="s">
        <v>9061</v>
      </c>
    </row>
    <row r="846" spans="1:20" x14ac:dyDescent="0.25">
      <c r="A846" t="s">
        <v>10107</v>
      </c>
      <c r="B846">
        <v>-21.2</v>
      </c>
      <c r="C846">
        <v>123</v>
      </c>
      <c r="D846">
        <v>25.524999999999999</v>
      </c>
      <c r="E846">
        <v>22.856666669999999</v>
      </c>
      <c r="F846">
        <v>27.881666670000001</v>
      </c>
      <c r="G846">
        <v>0.97833333300000003</v>
      </c>
      <c r="H846">
        <v>0</v>
      </c>
      <c r="I846">
        <v>1.7749999999999999</v>
      </c>
      <c r="J846">
        <v>5832.36</v>
      </c>
      <c r="K846">
        <v>5482.9375</v>
      </c>
      <c r="L846">
        <v>6411.5208329999996</v>
      </c>
      <c r="M846">
        <v>19.333333329999999</v>
      </c>
      <c r="N846">
        <v>18.321666669999999</v>
      </c>
      <c r="O846">
        <v>20.57</v>
      </c>
      <c r="Q846" t="s">
        <v>358</v>
      </c>
      <c r="R846" t="s">
        <v>10108</v>
      </c>
      <c r="S846" t="s">
        <v>9058</v>
      </c>
      <c r="T846" t="s">
        <v>9059</v>
      </c>
    </row>
    <row r="847" spans="1:20" x14ac:dyDescent="0.25">
      <c r="A847" t="s">
        <v>10109</v>
      </c>
      <c r="B847">
        <v>-21.2</v>
      </c>
      <c r="C847">
        <v>123</v>
      </c>
      <c r="D847">
        <v>23.672499999999999</v>
      </c>
      <c r="E847">
        <v>20.395833329999999</v>
      </c>
      <c r="F847">
        <v>26.526666670000001</v>
      </c>
      <c r="G847">
        <v>1.151666667</v>
      </c>
      <c r="H847">
        <v>0.40500000000000003</v>
      </c>
      <c r="I847">
        <v>1.683333333</v>
      </c>
      <c r="J847">
        <v>4884.1366669999998</v>
      </c>
      <c r="K847">
        <v>4096.1666670000004</v>
      </c>
      <c r="L847">
        <v>5941.4791670000004</v>
      </c>
      <c r="M847">
        <v>18.732500000000002</v>
      </c>
      <c r="N847">
        <v>17.606666669999999</v>
      </c>
      <c r="O847">
        <v>19.99666667</v>
      </c>
      <c r="Q847" t="s">
        <v>358</v>
      </c>
      <c r="R847" t="s">
        <v>10108</v>
      </c>
      <c r="S847" t="s">
        <v>9058</v>
      </c>
      <c r="T847" t="s">
        <v>9061</v>
      </c>
    </row>
    <row r="848" spans="1:20" x14ac:dyDescent="0.25">
      <c r="A848" t="s">
        <v>10110</v>
      </c>
      <c r="B848">
        <v>-22.98</v>
      </c>
      <c r="C848">
        <v>3</v>
      </c>
      <c r="D848">
        <v>23.854166670000001</v>
      </c>
      <c r="E848">
        <v>20.87166667</v>
      </c>
      <c r="F848">
        <v>26.811666670000001</v>
      </c>
      <c r="G848">
        <v>1.859166667</v>
      </c>
      <c r="H848">
        <v>0.61666666699999995</v>
      </c>
      <c r="I848">
        <v>2.8766666669999998</v>
      </c>
      <c r="J848">
        <v>5091.7041669999999</v>
      </c>
      <c r="K848">
        <v>4290.0208329999996</v>
      </c>
      <c r="L848">
        <v>6080.3541670000004</v>
      </c>
      <c r="M848">
        <v>20.188333329999999</v>
      </c>
      <c r="N848">
        <v>18.64</v>
      </c>
      <c r="O848">
        <v>22.01166667</v>
      </c>
      <c r="Q848" t="s">
        <v>358</v>
      </c>
      <c r="R848" t="s">
        <v>10111</v>
      </c>
      <c r="S848" t="s">
        <v>9058</v>
      </c>
      <c r="T848" t="s">
        <v>9059</v>
      </c>
    </row>
    <row r="849" spans="1:20" x14ac:dyDescent="0.25">
      <c r="A849" t="s">
        <v>10112</v>
      </c>
      <c r="B849">
        <v>-22.98</v>
      </c>
      <c r="C849">
        <v>3</v>
      </c>
      <c r="D849">
        <v>24.430833329999999</v>
      </c>
      <c r="E849">
        <v>21.755833330000002</v>
      </c>
      <c r="F849">
        <v>26.75</v>
      </c>
      <c r="G849">
        <v>2.0716666670000001</v>
      </c>
      <c r="H849">
        <v>0.9</v>
      </c>
      <c r="I849">
        <v>2.8866666670000001</v>
      </c>
      <c r="J849">
        <v>4767.4258330000002</v>
      </c>
      <c r="K849">
        <v>3994.145833</v>
      </c>
      <c r="L849">
        <v>5873.3958329999996</v>
      </c>
      <c r="M849">
        <v>20.694166670000001</v>
      </c>
      <c r="N849">
        <v>19.258333329999999</v>
      </c>
      <c r="O849">
        <v>22.07416667</v>
      </c>
      <c r="Q849" t="s">
        <v>358</v>
      </c>
      <c r="R849" t="s">
        <v>10111</v>
      </c>
      <c r="S849" t="s">
        <v>9058</v>
      </c>
      <c r="T849" t="s">
        <v>9061</v>
      </c>
    </row>
    <row r="850" spans="1:20" x14ac:dyDescent="0.25">
      <c r="A850" t="s">
        <v>10113</v>
      </c>
      <c r="B850">
        <v>-22.34</v>
      </c>
      <c r="C850">
        <v>2.4</v>
      </c>
      <c r="D850">
        <v>24.09416667</v>
      </c>
      <c r="E850">
        <v>21.416666670000001</v>
      </c>
      <c r="F850">
        <v>26.358333330000001</v>
      </c>
      <c r="G850">
        <v>2.9824999999999999</v>
      </c>
      <c r="H850">
        <v>1.5249999999999999</v>
      </c>
      <c r="I850">
        <v>4.1683333329999996</v>
      </c>
      <c r="J850">
        <v>5194.0466669999996</v>
      </c>
      <c r="K850">
        <v>4438.7708329999996</v>
      </c>
      <c r="L850">
        <v>6185.1041670000004</v>
      </c>
      <c r="M850">
        <v>19.765000000000001</v>
      </c>
      <c r="N850">
        <v>18.641666669999999</v>
      </c>
      <c r="O850">
        <v>21.2</v>
      </c>
      <c r="Q850" t="s">
        <v>358</v>
      </c>
      <c r="R850" t="s">
        <v>10114</v>
      </c>
      <c r="S850" t="s">
        <v>9058</v>
      </c>
      <c r="T850" t="s">
        <v>9059</v>
      </c>
    </row>
    <row r="851" spans="1:20" x14ac:dyDescent="0.25">
      <c r="A851" t="s">
        <v>10115</v>
      </c>
      <c r="B851">
        <v>-22.34</v>
      </c>
      <c r="C851">
        <v>2.4</v>
      </c>
      <c r="D851">
        <v>23.907499999999999</v>
      </c>
      <c r="E851">
        <v>21.425000000000001</v>
      </c>
      <c r="F851">
        <v>25.95</v>
      </c>
      <c r="G851">
        <v>2.6891666669999998</v>
      </c>
      <c r="H851">
        <v>1.4083333330000001</v>
      </c>
      <c r="I851">
        <v>3.7433333329999998</v>
      </c>
      <c r="J851">
        <v>4981.4075000000003</v>
      </c>
      <c r="K851">
        <v>4201.2708329999996</v>
      </c>
      <c r="L851">
        <v>5945.1666670000004</v>
      </c>
      <c r="M851">
        <v>20.100000000000001</v>
      </c>
      <c r="N851">
        <v>18.930833329999999</v>
      </c>
      <c r="O851">
        <v>21.508333329999999</v>
      </c>
      <c r="Q851" t="s">
        <v>358</v>
      </c>
      <c r="R851" t="s">
        <v>10114</v>
      </c>
      <c r="S851" t="s">
        <v>9058</v>
      </c>
      <c r="T851" t="s">
        <v>9061</v>
      </c>
    </row>
    <row r="852" spans="1:20" x14ac:dyDescent="0.25">
      <c r="A852" t="s">
        <v>8034</v>
      </c>
      <c r="B852">
        <v>-22.37</v>
      </c>
      <c r="C852">
        <v>32</v>
      </c>
      <c r="D852">
        <v>23.58666667</v>
      </c>
      <c r="E852">
        <v>21.364999999999998</v>
      </c>
      <c r="F852">
        <v>25.49666667</v>
      </c>
      <c r="G852">
        <v>2.4291666670000001</v>
      </c>
      <c r="H852">
        <v>1.2749999999999999</v>
      </c>
      <c r="I852">
        <v>3.31</v>
      </c>
      <c r="J852">
        <v>4737.3216670000002</v>
      </c>
      <c r="K852">
        <v>3649.5</v>
      </c>
      <c r="L852">
        <v>5947.4166670000004</v>
      </c>
      <c r="M852">
        <v>20.11333333</v>
      </c>
      <c r="N852">
        <v>19.125</v>
      </c>
      <c r="O852">
        <v>21.141666669999999</v>
      </c>
      <c r="Q852" t="s">
        <v>358</v>
      </c>
      <c r="R852" t="s">
        <v>10116</v>
      </c>
      <c r="S852" t="s">
        <v>9065</v>
      </c>
      <c r="T852" t="s">
        <v>9066</v>
      </c>
    </row>
    <row r="853" spans="1:20" x14ac:dyDescent="0.25">
      <c r="A853" t="s">
        <v>8043</v>
      </c>
      <c r="B853">
        <v>-22.91</v>
      </c>
      <c r="C853">
        <v>13</v>
      </c>
      <c r="D853">
        <v>21.962499999999999</v>
      </c>
      <c r="E853">
        <v>20.323333330000001</v>
      </c>
      <c r="F853">
        <v>23.408333330000001</v>
      </c>
      <c r="G853">
        <v>1.795833333</v>
      </c>
      <c r="H853">
        <v>0.50666666699999996</v>
      </c>
      <c r="I853">
        <v>2.7366666670000002</v>
      </c>
      <c r="J853">
        <v>4362.7416670000002</v>
      </c>
      <c r="K853">
        <v>3246.166667</v>
      </c>
      <c r="L853">
        <v>5568.8125</v>
      </c>
      <c r="M853">
        <v>17.79666667</v>
      </c>
      <c r="N853">
        <v>16.64</v>
      </c>
      <c r="O853">
        <v>19.033333330000001</v>
      </c>
      <c r="Q853" t="s">
        <v>358</v>
      </c>
      <c r="R853" t="s">
        <v>10117</v>
      </c>
      <c r="S853" t="s">
        <v>9065</v>
      </c>
      <c r="T853" t="s">
        <v>9066</v>
      </c>
    </row>
    <row r="854" spans="1:20" x14ac:dyDescent="0.25">
      <c r="A854" t="s">
        <v>10118</v>
      </c>
      <c r="B854">
        <v>-22.28</v>
      </c>
      <c r="C854">
        <v>1047.5</v>
      </c>
      <c r="D854">
        <v>17.51583333</v>
      </c>
      <c r="E854">
        <v>14.713333329999999</v>
      </c>
      <c r="F854">
        <v>20.196666669999999</v>
      </c>
      <c r="G854">
        <v>1.983333333</v>
      </c>
      <c r="H854">
        <v>1.016666667</v>
      </c>
      <c r="I854">
        <v>2.7749999999999999</v>
      </c>
      <c r="J854">
        <v>4867.5749999999998</v>
      </c>
      <c r="K854">
        <v>4126.25</v>
      </c>
      <c r="L854">
        <v>5926.3958329999996</v>
      </c>
      <c r="M854">
        <v>14.519166670000001</v>
      </c>
      <c r="N854">
        <v>13.13166667</v>
      </c>
      <c r="O854">
        <v>16.151666670000001</v>
      </c>
      <c r="Q854" t="s">
        <v>358</v>
      </c>
      <c r="R854" t="s">
        <v>10119</v>
      </c>
      <c r="S854" t="s">
        <v>9058</v>
      </c>
      <c r="T854" t="s">
        <v>9061</v>
      </c>
    </row>
    <row r="855" spans="1:20" x14ac:dyDescent="0.25">
      <c r="A855" t="s">
        <v>10120</v>
      </c>
      <c r="B855">
        <v>-23.22</v>
      </c>
      <c r="C855">
        <v>5.5</v>
      </c>
      <c r="D855">
        <v>22.66</v>
      </c>
      <c r="E855">
        <v>20.466666669999999</v>
      </c>
      <c r="F855">
        <v>24.818333330000002</v>
      </c>
      <c r="G855">
        <v>1.4883333329999999</v>
      </c>
      <c r="H855">
        <v>0.86666666699999995</v>
      </c>
      <c r="I855">
        <v>2.0266666670000002</v>
      </c>
      <c r="J855">
        <v>4844.2658330000004</v>
      </c>
      <c r="K855">
        <v>4124.5625</v>
      </c>
      <c r="L855">
        <v>5869.1458329999996</v>
      </c>
      <c r="M855">
        <v>19.130833330000002</v>
      </c>
      <c r="N855">
        <v>18.087499999999999</v>
      </c>
      <c r="O855">
        <v>20.484999999999999</v>
      </c>
      <c r="Q855" t="s">
        <v>358</v>
      </c>
      <c r="R855" t="s">
        <v>10121</v>
      </c>
      <c r="S855" t="s">
        <v>9058</v>
      </c>
      <c r="T855" t="s">
        <v>9061</v>
      </c>
    </row>
    <row r="856" spans="1:20" x14ac:dyDescent="0.25">
      <c r="A856" t="s">
        <v>8020</v>
      </c>
      <c r="B856">
        <v>-23.22</v>
      </c>
      <c r="C856">
        <v>4</v>
      </c>
      <c r="D856">
        <v>22.034166670000001</v>
      </c>
      <c r="E856">
        <v>19.661666669999999</v>
      </c>
      <c r="F856">
        <v>24.313333329999999</v>
      </c>
      <c r="G856">
        <v>1.606666667</v>
      </c>
      <c r="H856">
        <v>0.90833333299999997</v>
      </c>
      <c r="I856">
        <v>2.2166666670000001</v>
      </c>
      <c r="J856">
        <v>4339.4391670000005</v>
      </c>
      <c r="K856">
        <v>2915.145833</v>
      </c>
      <c r="L856">
        <v>5740.4166670000004</v>
      </c>
      <c r="M856">
        <v>18.918333329999999</v>
      </c>
      <c r="N856">
        <v>17.838333330000001</v>
      </c>
      <c r="O856">
        <v>20.166666670000001</v>
      </c>
      <c r="Q856" t="s">
        <v>358</v>
      </c>
      <c r="R856" t="s">
        <v>10122</v>
      </c>
      <c r="S856" t="s">
        <v>9065</v>
      </c>
      <c r="T856" t="s">
        <v>9066</v>
      </c>
    </row>
    <row r="857" spans="1:20" x14ac:dyDescent="0.25">
      <c r="A857" t="s">
        <v>8046</v>
      </c>
      <c r="B857">
        <v>-22.46</v>
      </c>
      <c r="C857">
        <v>1777</v>
      </c>
      <c r="D857">
        <v>13.615</v>
      </c>
      <c r="E857">
        <v>11.81666667</v>
      </c>
      <c r="F857">
        <v>15.301666669999999</v>
      </c>
      <c r="G857">
        <v>4.6958333330000004</v>
      </c>
      <c r="H857">
        <v>2.608333333</v>
      </c>
      <c r="I857">
        <v>6.4283333330000003</v>
      </c>
      <c r="J857">
        <v>4109.0766670000003</v>
      </c>
      <c r="K857">
        <v>2808.5625</v>
      </c>
      <c r="L857">
        <v>5535.625</v>
      </c>
      <c r="M857">
        <v>11.7775</v>
      </c>
      <c r="N857">
        <v>10.53916667</v>
      </c>
      <c r="O857">
        <v>13.145</v>
      </c>
      <c r="Q857" t="s">
        <v>358</v>
      </c>
      <c r="R857" t="s">
        <v>10123</v>
      </c>
      <c r="S857" t="s">
        <v>9065</v>
      </c>
      <c r="T857" t="s">
        <v>9066</v>
      </c>
    </row>
    <row r="858" spans="1:20" x14ac:dyDescent="0.25">
      <c r="A858" t="s">
        <v>6807</v>
      </c>
      <c r="B858">
        <v>-22.47</v>
      </c>
      <c r="C858">
        <v>440</v>
      </c>
      <c r="D858">
        <v>20.714166670000001</v>
      </c>
      <c r="E858">
        <v>18.05083333</v>
      </c>
      <c r="F858">
        <v>22.911666669999999</v>
      </c>
      <c r="G858">
        <v>1.8049999999999999</v>
      </c>
      <c r="H858">
        <v>1.066666667</v>
      </c>
      <c r="I858">
        <v>2.2683333330000002</v>
      </c>
      <c r="J858">
        <v>4161.8325000000004</v>
      </c>
      <c r="K858">
        <v>2950</v>
      </c>
      <c r="L858">
        <v>5398.7916670000004</v>
      </c>
      <c r="M858">
        <v>16.951666670000002</v>
      </c>
      <c r="N858">
        <v>15.77333333</v>
      </c>
      <c r="O858">
        <v>18.425000000000001</v>
      </c>
      <c r="Q858" t="s">
        <v>358</v>
      </c>
      <c r="R858" t="s">
        <v>10124</v>
      </c>
      <c r="S858" t="s">
        <v>9065</v>
      </c>
      <c r="T858" t="s">
        <v>9066</v>
      </c>
    </row>
    <row r="859" spans="1:20" x14ac:dyDescent="0.25">
      <c r="A859" t="s">
        <v>10125</v>
      </c>
      <c r="B859">
        <v>-22.45</v>
      </c>
      <c r="C859">
        <v>453.5</v>
      </c>
      <c r="D859">
        <v>21.6675</v>
      </c>
      <c r="E859">
        <v>18.67166667</v>
      </c>
      <c r="F859">
        <v>24.348333329999999</v>
      </c>
      <c r="G859">
        <v>1.8841666669999999</v>
      </c>
      <c r="H859">
        <v>1.1041666670000001</v>
      </c>
      <c r="I859">
        <v>2.358333333</v>
      </c>
      <c r="J859">
        <v>4711.2550000000001</v>
      </c>
      <c r="K859">
        <v>3924.020833</v>
      </c>
      <c r="L859">
        <v>5734.125</v>
      </c>
      <c r="M859">
        <v>16.337499999999999</v>
      </c>
      <c r="N859">
        <v>15.08666667</v>
      </c>
      <c r="O859">
        <v>17.91</v>
      </c>
      <c r="Q859" t="s">
        <v>358</v>
      </c>
      <c r="R859" t="s">
        <v>10126</v>
      </c>
      <c r="S859" t="s">
        <v>9058</v>
      </c>
      <c r="T859" t="s">
        <v>9061</v>
      </c>
    </row>
    <row r="860" spans="1:20" x14ac:dyDescent="0.25">
      <c r="A860" t="s">
        <v>10127</v>
      </c>
      <c r="B860">
        <v>-22.48</v>
      </c>
      <c r="C860">
        <v>440</v>
      </c>
      <c r="D860">
        <v>20.263333329999998</v>
      </c>
      <c r="E860">
        <v>17.372499999999999</v>
      </c>
      <c r="F860">
        <v>23.05</v>
      </c>
      <c r="G860">
        <v>1.25</v>
      </c>
      <c r="H860">
        <v>0.84166666700000003</v>
      </c>
      <c r="I860">
        <v>1.5833333329999999</v>
      </c>
      <c r="J860">
        <v>4682.3900000000003</v>
      </c>
      <c r="K860">
        <v>3891.270833</v>
      </c>
      <c r="L860">
        <v>5690.3125</v>
      </c>
      <c r="M860">
        <v>15.96</v>
      </c>
      <c r="N860">
        <v>14.52166667</v>
      </c>
      <c r="O860">
        <v>17.605</v>
      </c>
      <c r="Q860" t="s">
        <v>358</v>
      </c>
      <c r="R860" t="s">
        <v>10128</v>
      </c>
      <c r="S860" t="s">
        <v>9058</v>
      </c>
      <c r="T860" t="s">
        <v>9061</v>
      </c>
    </row>
    <row r="861" spans="1:20" x14ac:dyDescent="0.25">
      <c r="A861" t="s">
        <v>10129</v>
      </c>
      <c r="B861">
        <v>-22.81</v>
      </c>
      <c r="C861">
        <v>8.5</v>
      </c>
      <c r="D861">
        <v>24.28083333</v>
      </c>
      <c r="E861">
        <v>21.766666669999999</v>
      </c>
      <c r="F861">
        <v>26.35166667</v>
      </c>
      <c r="G861">
        <v>2.9583333330000001</v>
      </c>
      <c r="H861">
        <v>1.7083333329999999</v>
      </c>
      <c r="I861">
        <v>3.9750000000000001</v>
      </c>
      <c r="J861">
        <v>5009.2208330000003</v>
      </c>
      <c r="K861">
        <v>3827.020833</v>
      </c>
      <c r="L861">
        <v>6183.1041670000004</v>
      </c>
      <c r="M861">
        <v>19.17583333</v>
      </c>
      <c r="N861">
        <v>17.914999999999999</v>
      </c>
      <c r="O861">
        <v>20.518333330000001</v>
      </c>
      <c r="Q861" t="s">
        <v>358</v>
      </c>
      <c r="R861" t="s">
        <v>10130</v>
      </c>
      <c r="S861" t="s">
        <v>9058</v>
      </c>
      <c r="T861" t="s">
        <v>9059</v>
      </c>
    </row>
    <row r="862" spans="1:20" x14ac:dyDescent="0.25">
      <c r="A862" t="s">
        <v>10131</v>
      </c>
      <c r="B862">
        <v>-22.81</v>
      </c>
      <c r="C862">
        <v>8.5</v>
      </c>
      <c r="D862">
        <v>24.376666669999999</v>
      </c>
      <c r="E862">
        <v>21.806666669999998</v>
      </c>
      <c r="F862">
        <v>26.326666670000002</v>
      </c>
      <c r="G862">
        <v>3.0325000000000002</v>
      </c>
      <c r="H862">
        <v>1.7083333329999999</v>
      </c>
      <c r="I862">
        <v>4.0999999999999996</v>
      </c>
      <c r="J862">
        <v>4686.7541670000001</v>
      </c>
      <c r="K862">
        <v>3775.25</v>
      </c>
      <c r="L862">
        <v>5872.8125</v>
      </c>
      <c r="M862">
        <v>19.262499999999999</v>
      </c>
      <c r="N862">
        <v>17.875</v>
      </c>
      <c r="O862">
        <v>20.641666669999999</v>
      </c>
      <c r="Q862" t="s">
        <v>358</v>
      </c>
      <c r="R862" t="s">
        <v>10130</v>
      </c>
      <c r="S862" t="s">
        <v>9058</v>
      </c>
      <c r="T862" t="s">
        <v>9061</v>
      </c>
    </row>
    <row r="863" spans="1:20" x14ac:dyDescent="0.25">
      <c r="A863" t="s">
        <v>10132</v>
      </c>
      <c r="B863">
        <v>-22.91</v>
      </c>
      <c r="C863">
        <v>3.4</v>
      </c>
      <c r="D863">
        <v>24.310833330000001</v>
      </c>
      <c r="E863">
        <v>22.375</v>
      </c>
      <c r="F863">
        <v>26.00416667</v>
      </c>
      <c r="G863">
        <v>3.0425</v>
      </c>
      <c r="H863">
        <v>1.75</v>
      </c>
      <c r="I863">
        <v>4.016666667</v>
      </c>
      <c r="J863">
        <v>4956.6774999999998</v>
      </c>
      <c r="K863">
        <v>3941.958333</v>
      </c>
      <c r="L863">
        <v>6060.8333329999996</v>
      </c>
      <c r="M863">
        <v>20.00416667</v>
      </c>
      <c r="N863">
        <v>18.824999999999999</v>
      </c>
      <c r="O863">
        <v>21.358333330000001</v>
      </c>
      <c r="Q863" t="s">
        <v>358</v>
      </c>
      <c r="R863" t="s">
        <v>10133</v>
      </c>
      <c r="S863" t="s">
        <v>9058</v>
      </c>
      <c r="T863" t="s">
        <v>9059</v>
      </c>
    </row>
    <row r="864" spans="1:20" x14ac:dyDescent="0.25">
      <c r="A864" t="s">
        <v>10134</v>
      </c>
      <c r="B864">
        <v>-22.91</v>
      </c>
      <c r="C864">
        <v>3.4</v>
      </c>
      <c r="D864">
        <v>24.314166669999999</v>
      </c>
      <c r="E864">
        <v>22.483333330000001</v>
      </c>
      <c r="F864">
        <v>25.916666670000001</v>
      </c>
      <c r="G864">
        <v>3.0008333330000001</v>
      </c>
      <c r="H864">
        <v>1.683333333</v>
      </c>
      <c r="I864">
        <v>4.0374999999999996</v>
      </c>
      <c r="J864">
        <v>4716.4966670000003</v>
      </c>
      <c r="K864">
        <v>3888.145833</v>
      </c>
      <c r="L864">
        <v>5845.4166670000004</v>
      </c>
      <c r="M864">
        <v>20.483333330000001</v>
      </c>
      <c r="N864">
        <v>19.291666670000001</v>
      </c>
      <c r="O864">
        <v>21.733333330000001</v>
      </c>
      <c r="Q864" t="s">
        <v>358</v>
      </c>
      <c r="R864" t="s">
        <v>10133</v>
      </c>
      <c r="S864" t="s">
        <v>9058</v>
      </c>
      <c r="T864" t="s">
        <v>9061</v>
      </c>
    </row>
    <row r="865" spans="1:20" x14ac:dyDescent="0.25">
      <c r="A865" t="s">
        <v>8028</v>
      </c>
      <c r="B865">
        <v>-22.86</v>
      </c>
      <c r="C865">
        <v>45</v>
      </c>
      <c r="D865">
        <v>23.166666670000001</v>
      </c>
      <c r="E865">
        <v>20.39833333</v>
      </c>
      <c r="F865">
        <v>25.405000000000001</v>
      </c>
      <c r="G865">
        <v>1.3674999999999999</v>
      </c>
      <c r="H865">
        <v>0.27500000000000002</v>
      </c>
      <c r="I865">
        <v>2.1349999999999998</v>
      </c>
      <c r="J865">
        <v>4357.2224999999999</v>
      </c>
      <c r="K865">
        <v>2847.479167</v>
      </c>
      <c r="L865">
        <v>5792.8958329999996</v>
      </c>
      <c r="M865">
        <v>18.71083333</v>
      </c>
      <c r="N865">
        <v>17.54</v>
      </c>
      <c r="O865">
        <v>20.175000000000001</v>
      </c>
      <c r="Q865" t="s">
        <v>358</v>
      </c>
      <c r="R865" t="s">
        <v>10135</v>
      </c>
      <c r="S865" t="s">
        <v>9065</v>
      </c>
      <c r="T865" t="s">
        <v>9066</v>
      </c>
    </row>
    <row r="866" spans="1:20" x14ac:dyDescent="0.25">
      <c r="A866" t="s">
        <v>10136</v>
      </c>
      <c r="B866">
        <v>-22.98</v>
      </c>
      <c r="C866">
        <v>46.5</v>
      </c>
      <c r="D866">
        <v>23.874166670000001</v>
      </c>
      <c r="E866">
        <v>22.098333329999999</v>
      </c>
      <c r="F866">
        <v>25.263333329999998</v>
      </c>
      <c r="G866">
        <v>2.784166667</v>
      </c>
      <c r="H866">
        <v>1.358333333</v>
      </c>
      <c r="I866">
        <v>3.7</v>
      </c>
      <c r="J866">
        <v>4821.0008330000001</v>
      </c>
      <c r="K866">
        <v>3987.291667</v>
      </c>
      <c r="L866">
        <v>5807.4791670000004</v>
      </c>
      <c r="M866">
        <v>19.365833330000001</v>
      </c>
      <c r="N866">
        <v>18.016666669999999</v>
      </c>
      <c r="O866">
        <v>20.903333329999999</v>
      </c>
      <c r="Q866" t="s">
        <v>358</v>
      </c>
      <c r="R866" t="s">
        <v>10137</v>
      </c>
      <c r="S866" t="s">
        <v>9058</v>
      </c>
      <c r="T866" t="s">
        <v>9061</v>
      </c>
    </row>
    <row r="867" spans="1:20" x14ac:dyDescent="0.25">
      <c r="A867" t="s">
        <v>10138</v>
      </c>
      <c r="B867">
        <v>-23.05</v>
      </c>
      <c r="C867">
        <v>11.2</v>
      </c>
      <c r="D867">
        <v>23.49583333</v>
      </c>
      <c r="E867">
        <v>21.695</v>
      </c>
      <c r="F867">
        <v>24.893333330000001</v>
      </c>
      <c r="G867">
        <v>3.2875000000000001</v>
      </c>
      <c r="H867">
        <v>1.875</v>
      </c>
      <c r="I867">
        <v>4.3683333329999998</v>
      </c>
      <c r="J867">
        <v>4914.3149999999996</v>
      </c>
      <c r="K867">
        <v>4079.5625</v>
      </c>
      <c r="L867">
        <v>5861.25</v>
      </c>
      <c r="M867">
        <v>19.232500000000002</v>
      </c>
      <c r="N867">
        <v>17.84</v>
      </c>
      <c r="O867">
        <v>20.72666667</v>
      </c>
      <c r="Q867" t="s">
        <v>358</v>
      </c>
      <c r="R867" t="s">
        <v>10139</v>
      </c>
      <c r="S867" t="s">
        <v>9058</v>
      </c>
      <c r="T867" t="s">
        <v>9061</v>
      </c>
    </row>
    <row r="868" spans="1:20" x14ac:dyDescent="0.25">
      <c r="A868" t="s">
        <v>10140</v>
      </c>
      <c r="B868">
        <v>-22.93</v>
      </c>
      <c r="C868">
        <v>3</v>
      </c>
      <c r="D868">
        <v>23.747499999999999</v>
      </c>
      <c r="E868">
        <v>21.083333329999999</v>
      </c>
      <c r="F868">
        <v>25.916666670000001</v>
      </c>
      <c r="G868">
        <v>3.3125</v>
      </c>
      <c r="H868">
        <v>1.891666667</v>
      </c>
      <c r="I868">
        <v>4.5558333329999998</v>
      </c>
      <c r="J868">
        <v>5015.5666670000001</v>
      </c>
      <c r="K868">
        <v>3786.0625</v>
      </c>
      <c r="L868">
        <v>6187.4791670000004</v>
      </c>
      <c r="M868">
        <v>18.909166670000001</v>
      </c>
      <c r="N868">
        <v>17.625</v>
      </c>
      <c r="O868">
        <v>20.5</v>
      </c>
      <c r="Q868" t="s">
        <v>358</v>
      </c>
      <c r="R868" t="s">
        <v>10141</v>
      </c>
      <c r="S868" t="s">
        <v>9058</v>
      </c>
      <c r="T868" t="s">
        <v>9059</v>
      </c>
    </row>
    <row r="869" spans="1:20" x14ac:dyDescent="0.25">
      <c r="A869" t="s">
        <v>10142</v>
      </c>
      <c r="B869">
        <v>-22.93</v>
      </c>
      <c r="C869">
        <v>3</v>
      </c>
      <c r="D869">
        <v>23.799166670000002</v>
      </c>
      <c r="E869">
        <v>21.373333330000001</v>
      </c>
      <c r="F869">
        <v>25.926666669999999</v>
      </c>
      <c r="G869">
        <v>3.1683333330000001</v>
      </c>
      <c r="H869">
        <v>1.8208333329999999</v>
      </c>
      <c r="I869">
        <v>4.4249999999999998</v>
      </c>
      <c r="J869">
        <v>4774.7358329999997</v>
      </c>
      <c r="K869">
        <v>3907.229167</v>
      </c>
      <c r="L869">
        <v>5923.2916670000004</v>
      </c>
      <c r="M869">
        <v>19.107500000000002</v>
      </c>
      <c r="N869">
        <v>18.029166669999999</v>
      </c>
      <c r="O869">
        <v>20.608333330000001</v>
      </c>
      <c r="Q869" t="s">
        <v>358</v>
      </c>
      <c r="R869" t="s">
        <v>10141</v>
      </c>
      <c r="S869" t="s">
        <v>9058</v>
      </c>
      <c r="T869" t="s">
        <v>9061</v>
      </c>
    </row>
    <row r="870" spans="1:20" x14ac:dyDescent="0.25">
      <c r="A870" t="s">
        <v>10143</v>
      </c>
      <c r="B870">
        <v>-22.81</v>
      </c>
      <c r="C870">
        <v>18.600000000000001</v>
      </c>
      <c r="D870">
        <v>22.945833329999999</v>
      </c>
      <c r="E870">
        <v>20.591666669999999</v>
      </c>
      <c r="F870">
        <v>25.20333333</v>
      </c>
      <c r="G870">
        <v>4.3816666670000002</v>
      </c>
      <c r="H870">
        <v>2.4333333330000002</v>
      </c>
      <c r="I870">
        <v>6.0866666670000003</v>
      </c>
      <c r="J870">
        <v>4935.4116670000003</v>
      </c>
      <c r="K870">
        <v>3805.4375</v>
      </c>
      <c r="L870">
        <v>6014.7291670000004</v>
      </c>
      <c r="M870">
        <v>18.845833330000001</v>
      </c>
      <c r="N870">
        <v>17.519166670000001</v>
      </c>
      <c r="O870">
        <v>20.5</v>
      </c>
      <c r="Q870" t="s">
        <v>358</v>
      </c>
      <c r="R870" t="s">
        <v>10144</v>
      </c>
      <c r="S870" t="s">
        <v>9058</v>
      </c>
      <c r="T870" t="s">
        <v>9059</v>
      </c>
    </row>
    <row r="871" spans="1:20" x14ac:dyDescent="0.25">
      <c r="A871" t="s">
        <v>10145</v>
      </c>
      <c r="B871">
        <v>-22.81</v>
      </c>
      <c r="C871">
        <v>18.600000000000001</v>
      </c>
      <c r="D871">
        <v>23.772500000000001</v>
      </c>
      <c r="E871">
        <v>21.844999999999999</v>
      </c>
      <c r="F871">
        <v>25.516666669999999</v>
      </c>
      <c r="G871">
        <v>4.5716666669999997</v>
      </c>
      <c r="H871">
        <v>2.7966666670000002</v>
      </c>
      <c r="I871">
        <v>6.233333333</v>
      </c>
      <c r="J871">
        <v>5196.606667</v>
      </c>
      <c r="K871">
        <v>4711.3958329999996</v>
      </c>
      <c r="L871">
        <v>6094.6875</v>
      </c>
      <c r="M871">
        <v>19.77333333</v>
      </c>
      <c r="N871">
        <v>18.570833329999999</v>
      </c>
      <c r="O871">
        <v>21.268333330000001</v>
      </c>
      <c r="Q871" t="s">
        <v>358</v>
      </c>
      <c r="R871" t="s">
        <v>10144</v>
      </c>
      <c r="S871" t="s">
        <v>9058</v>
      </c>
      <c r="T871" t="s">
        <v>9061</v>
      </c>
    </row>
    <row r="872" spans="1:20" x14ac:dyDescent="0.25">
      <c r="A872" t="s">
        <v>10146</v>
      </c>
      <c r="B872">
        <v>-22.04</v>
      </c>
      <c r="C872">
        <v>5.5</v>
      </c>
      <c r="D872">
        <v>24.14833333</v>
      </c>
      <c r="E872">
        <v>23.008333329999999</v>
      </c>
      <c r="F872">
        <v>25.263333329999998</v>
      </c>
      <c r="G872">
        <v>4.9233333330000004</v>
      </c>
      <c r="H872">
        <v>3.423333333</v>
      </c>
      <c r="I872">
        <v>6.4416666669999998</v>
      </c>
      <c r="J872">
        <v>5324.4258330000002</v>
      </c>
      <c r="K872">
        <v>4814.125</v>
      </c>
      <c r="L872">
        <v>6174.125</v>
      </c>
      <c r="M872">
        <v>20.43333333</v>
      </c>
      <c r="N872">
        <v>19.555</v>
      </c>
      <c r="O872">
        <v>21.693333330000002</v>
      </c>
      <c r="Q872" t="s">
        <v>358</v>
      </c>
      <c r="R872" t="s">
        <v>10147</v>
      </c>
      <c r="S872" t="s">
        <v>9058</v>
      </c>
      <c r="T872" t="s">
        <v>9061</v>
      </c>
    </row>
    <row r="873" spans="1:20" x14ac:dyDescent="0.25">
      <c r="A873" t="s">
        <v>10148</v>
      </c>
      <c r="B873">
        <v>-22.8</v>
      </c>
      <c r="C873">
        <v>35.5</v>
      </c>
      <c r="D873">
        <v>23.695</v>
      </c>
      <c r="E873">
        <v>21.081666670000001</v>
      </c>
      <c r="F873">
        <v>26.041666670000001</v>
      </c>
      <c r="G873">
        <v>1.951666667</v>
      </c>
      <c r="H873">
        <v>1.0916666669999999</v>
      </c>
      <c r="I873">
        <v>2.6433333330000002</v>
      </c>
      <c r="J873">
        <v>4665.04</v>
      </c>
      <c r="K873">
        <v>3739</v>
      </c>
      <c r="L873">
        <v>5890.1875</v>
      </c>
      <c r="M873">
        <v>18.810833330000001</v>
      </c>
      <c r="N873">
        <v>17.61333333</v>
      </c>
      <c r="O873">
        <v>20.324999999999999</v>
      </c>
      <c r="Q873" t="s">
        <v>358</v>
      </c>
      <c r="R873" t="s">
        <v>10149</v>
      </c>
      <c r="S873" t="s">
        <v>9058</v>
      </c>
      <c r="T873" t="s">
        <v>9061</v>
      </c>
    </row>
    <row r="874" spans="1:20" x14ac:dyDescent="0.25">
      <c r="A874" t="s">
        <v>6810</v>
      </c>
      <c r="B874">
        <v>-22.41</v>
      </c>
      <c r="C874">
        <v>980</v>
      </c>
      <c r="D874">
        <v>17.854166670000001</v>
      </c>
      <c r="E874">
        <v>15.463333329999999</v>
      </c>
      <c r="F874">
        <v>20.010000000000002</v>
      </c>
      <c r="G874">
        <v>0.99750000000000005</v>
      </c>
      <c r="H874">
        <v>0.26666666700000002</v>
      </c>
      <c r="I874">
        <v>1.57</v>
      </c>
      <c r="J874">
        <v>4061.4608330000001</v>
      </c>
      <c r="K874">
        <v>3042.541667</v>
      </c>
      <c r="L874">
        <v>5227.8125</v>
      </c>
      <c r="M874">
        <v>14.92583333</v>
      </c>
      <c r="N874">
        <v>13.69166667</v>
      </c>
      <c r="O874">
        <v>16.37</v>
      </c>
      <c r="Q874" t="s">
        <v>358</v>
      </c>
      <c r="R874" t="s">
        <v>10150</v>
      </c>
      <c r="S874" t="s">
        <v>9065</v>
      </c>
      <c r="T874" t="s">
        <v>9066</v>
      </c>
    </row>
    <row r="875" spans="1:20" x14ac:dyDescent="0.25">
      <c r="A875" t="s">
        <v>10151</v>
      </c>
      <c r="B875">
        <v>-22.45</v>
      </c>
      <c r="C875">
        <v>981.5</v>
      </c>
      <c r="D875">
        <v>18.841666669999999</v>
      </c>
      <c r="E875">
        <v>16.473333329999999</v>
      </c>
      <c r="F875">
        <v>20.991666670000001</v>
      </c>
      <c r="G875">
        <v>0.74916666700000001</v>
      </c>
      <c r="H875">
        <v>0.21666666700000001</v>
      </c>
      <c r="I875">
        <v>1.141666667</v>
      </c>
      <c r="J875">
        <v>4704.8791670000001</v>
      </c>
      <c r="K875">
        <v>3943.458333</v>
      </c>
      <c r="L875">
        <v>5655.3125</v>
      </c>
      <c r="M875">
        <v>15.615833329999999</v>
      </c>
      <c r="N875">
        <v>14.258333329999999</v>
      </c>
      <c r="O875">
        <v>16.995000000000001</v>
      </c>
      <c r="Q875" t="s">
        <v>358</v>
      </c>
      <c r="R875" t="s">
        <v>10150</v>
      </c>
      <c r="S875" t="s">
        <v>9058</v>
      </c>
      <c r="T875" t="s">
        <v>9061</v>
      </c>
    </row>
    <row r="876" spans="1:20" x14ac:dyDescent="0.25">
      <c r="A876" t="s">
        <v>6856</v>
      </c>
      <c r="B876">
        <v>-22.25</v>
      </c>
      <c r="C876">
        <v>367</v>
      </c>
      <c r="D876">
        <v>22.1675</v>
      </c>
      <c r="E876">
        <v>19.373333330000001</v>
      </c>
      <c r="F876">
        <v>24.78</v>
      </c>
      <c r="G876">
        <v>1.5191666669999999</v>
      </c>
      <c r="H876">
        <v>0.45833333300000001</v>
      </c>
      <c r="I876">
        <v>2.3533333330000001</v>
      </c>
      <c r="J876">
        <v>4669.9766669999999</v>
      </c>
      <c r="K876">
        <v>3874.9375</v>
      </c>
      <c r="L876">
        <v>5645.875</v>
      </c>
      <c r="M876">
        <v>17.570833329999999</v>
      </c>
      <c r="N876">
        <v>16.43333333</v>
      </c>
      <c r="O876">
        <v>18.899999999999999</v>
      </c>
      <c r="Q876" t="s">
        <v>358</v>
      </c>
      <c r="R876" t="s">
        <v>10152</v>
      </c>
      <c r="S876" t="s">
        <v>9065</v>
      </c>
      <c r="T876" t="s">
        <v>9066</v>
      </c>
    </row>
    <row r="877" spans="1:20" x14ac:dyDescent="0.25">
      <c r="A877" t="s">
        <v>10153</v>
      </c>
      <c r="B877">
        <v>-22.58</v>
      </c>
      <c r="C877">
        <v>34.5</v>
      </c>
      <c r="D877">
        <v>22.520833329999999</v>
      </c>
      <c r="E877">
        <v>19.606666669999999</v>
      </c>
      <c r="F877">
        <v>25.096666670000001</v>
      </c>
      <c r="G877">
        <v>0.88249999999999995</v>
      </c>
      <c r="H877">
        <v>0.3</v>
      </c>
      <c r="I877">
        <v>1.2833333330000001</v>
      </c>
      <c r="J877">
        <v>4595.1283329999997</v>
      </c>
      <c r="K877">
        <v>3826.645833</v>
      </c>
      <c r="L877">
        <v>5653.7916670000004</v>
      </c>
      <c r="M877">
        <v>18.37166667</v>
      </c>
      <c r="N877">
        <v>17.123333330000001</v>
      </c>
      <c r="O877">
        <v>19.811666670000001</v>
      </c>
      <c r="Q877" t="s">
        <v>358</v>
      </c>
      <c r="R877" t="s">
        <v>10154</v>
      </c>
      <c r="S877" t="s">
        <v>9058</v>
      </c>
      <c r="T877" t="s">
        <v>9061</v>
      </c>
    </row>
    <row r="878" spans="1:20" x14ac:dyDescent="0.25">
      <c r="A878" t="s">
        <v>8079</v>
      </c>
      <c r="B878">
        <v>-5.63</v>
      </c>
      <c r="C878">
        <v>150</v>
      </c>
      <c r="D878">
        <v>26.76</v>
      </c>
      <c r="E878">
        <v>23.948333330000001</v>
      </c>
      <c r="F878">
        <v>29.73</v>
      </c>
      <c r="G878">
        <v>2.5958333329999999</v>
      </c>
      <c r="H878">
        <v>1.5733333329999999</v>
      </c>
      <c r="I878">
        <v>3.51</v>
      </c>
      <c r="J878">
        <v>6077.7425000000003</v>
      </c>
      <c r="K878">
        <v>5619.5416670000004</v>
      </c>
      <c r="L878">
        <v>6758.8958329999996</v>
      </c>
      <c r="M878">
        <v>20.33666667</v>
      </c>
      <c r="N878">
        <v>19.373333330000001</v>
      </c>
      <c r="O878">
        <v>21.641666669999999</v>
      </c>
      <c r="Q878" t="s">
        <v>369</v>
      </c>
      <c r="R878" t="s">
        <v>10155</v>
      </c>
      <c r="S878" t="s">
        <v>9065</v>
      </c>
      <c r="T878" t="s">
        <v>9066</v>
      </c>
    </row>
    <row r="879" spans="1:20" x14ac:dyDescent="0.25">
      <c r="A879" t="s">
        <v>10156</v>
      </c>
      <c r="B879">
        <v>-5.65</v>
      </c>
      <c r="C879">
        <v>151.5</v>
      </c>
      <c r="D879">
        <v>27.967500000000001</v>
      </c>
      <c r="E879">
        <v>24.791666670000001</v>
      </c>
      <c r="F879">
        <v>31.33666667</v>
      </c>
      <c r="G879">
        <v>2.3508333330000002</v>
      </c>
      <c r="H879">
        <v>1.2833333330000001</v>
      </c>
      <c r="I879">
        <v>3.1058333330000001</v>
      </c>
      <c r="J879">
        <v>5965.040833</v>
      </c>
      <c r="K879">
        <v>5551.4583329999996</v>
      </c>
      <c r="L879">
        <v>6625.8125</v>
      </c>
      <c r="M879">
        <v>18.668333329999999</v>
      </c>
      <c r="N879">
        <v>17.39833333</v>
      </c>
      <c r="O879">
        <v>20.501666669999999</v>
      </c>
      <c r="Q879" t="s">
        <v>369</v>
      </c>
      <c r="R879" t="s">
        <v>10155</v>
      </c>
      <c r="S879" t="s">
        <v>9058</v>
      </c>
      <c r="T879" t="s">
        <v>9061</v>
      </c>
    </row>
    <row r="880" spans="1:20" x14ac:dyDescent="0.25">
      <c r="A880" t="s">
        <v>7506</v>
      </c>
      <c r="B880">
        <v>-6.46</v>
      </c>
      <c r="C880">
        <v>170</v>
      </c>
      <c r="D880">
        <v>27.782499999999999</v>
      </c>
      <c r="E880">
        <v>24.563333329999999</v>
      </c>
      <c r="F880">
        <v>31.063333329999999</v>
      </c>
      <c r="G880">
        <v>3.125</v>
      </c>
      <c r="H880">
        <v>2.2400000000000002</v>
      </c>
      <c r="I880">
        <v>3.9449999999999998</v>
      </c>
      <c r="J880">
        <v>6075.4350000000004</v>
      </c>
      <c r="K880">
        <v>5554.5833329999996</v>
      </c>
      <c r="L880">
        <v>6777.0208329999996</v>
      </c>
      <c r="M880">
        <v>18.236666670000002</v>
      </c>
      <c r="N880">
        <v>16.936666670000001</v>
      </c>
      <c r="O880">
        <v>19.824999999999999</v>
      </c>
      <c r="Q880" t="s">
        <v>369</v>
      </c>
      <c r="R880" t="s">
        <v>10157</v>
      </c>
      <c r="S880" t="s">
        <v>9065</v>
      </c>
      <c r="T880" t="s">
        <v>9066</v>
      </c>
    </row>
    <row r="881" spans="1:20" x14ac:dyDescent="0.25">
      <c r="A881" t="s">
        <v>10158</v>
      </c>
      <c r="B881">
        <v>-6.47</v>
      </c>
      <c r="C881">
        <v>171.5</v>
      </c>
      <c r="D881">
        <v>28.452500000000001</v>
      </c>
      <c r="E881">
        <v>25.106666669999999</v>
      </c>
      <c r="F881">
        <v>31.793333329999999</v>
      </c>
      <c r="G881">
        <v>3.0533333329999999</v>
      </c>
      <c r="H881">
        <v>2.2816666670000001</v>
      </c>
      <c r="I881">
        <v>3.7516666669999998</v>
      </c>
      <c r="J881">
        <v>6022.8691669999998</v>
      </c>
      <c r="K881">
        <v>5631.0625</v>
      </c>
      <c r="L881">
        <v>6687.6041670000004</v>
      </c>
      <c r="M881">
        <v>17.932500000000001</v>
      </c>
      <c r="N881">
        <v>16.574999999999999</v>
      </c>
      <c r="O881">
        <v>19.543333329999999</v>
      </c>
      <c r="Q881" t="s">
        <v>369</v>
      </c>
      <c r="R881" t="s">
        <v>10157</v>
      </c>
      <c r="S881" t="s">
        <v>9058</v>
      </c>
      <c r="T881" t="s">
        <v>9061</v>
      </c>
    </row>
    <row r="882" spans="1:20" x14ac:dyDescent="0.25">
      <c r="A882" t="s">
        <v>8075</v>
      </c>
      <c r="B882">
        <v>-5.1100000000000003</v>
      </c>
      <c r="C882">
        <v>3</v>
      </c>
      <c r="D882">
        <v>26.905000000000001</v>
      </c>
      <c r="E882">
        <v>25.006666670000001</v>
      </c>
      <c r="F882">
        <v>28.71833333</v>
      </c>
      <c r="G882">
        <v>4.2249999999999996</v>
      </c>
      <c r="H882">
        <v>3.0249999999999999</v>
      </c>
      <c r="I882">
        <v>5.3166666669999998</v>
      </c>
      <c r="J882">
        <v>5605.9141669999999</v>
      </c>
      <c r="K882">
        <v>4981.3958329999996</v>
      </c>
      <c r="L882">
        <v>6391.5208329999996</v>
      </c>
      <c r="M882">
        <v>21.394166670000001</v>
      </c>
      <c r="N882">
        <v>20.475000000000001</v>
      </c>
      <c r="O882">
        <v>22.395</v>
      </c>
      <c r="Q882" t="s">
        <v>369</v>
      </c>
      <c r="R882" t="s">
        <v>10159</v>
      </c>
      <c r="S882" t="s">
        <v>9065</v>
      </c>
      <c r="T882" t="s">
        <v>9066</v>
      </c>
    </row>
    <row r="883" spans="1:20" x14ac:dyDescent="0.25">
      <c r="A883" t="s">
        <v>10160</v>
      </c>
      <c r="B883">
        <v>-5.12</v>
      </c>
      <c r="C883">
        <v>5.5</v>
      </c>
      <c r="D883">
        <v>27.588333330000001</v>
      </c>
      <c r="E883">
        <v>25.274999999999999</v>
      </c>
      <c r="F883">
        <v>29.568333330000002</v>
      </c>
      <c r="G883">
        <v>5.4216666670000002</v>
      </c>
      <c r="H883">
        <v>4.6233333329999997</v>
      </c>
      <c r="I883">
        <v>6.2208333329999999</v>
      </c>
      <c r="J883">
        <v>5769.5041670000001</v>
      </c>
      <c r="K883">
        <v>5302.3958329999996</v>
      </c>
      <c r="L883">
        <v>6358.625</v>
      </c>
      <c r="M883">
        <v>21.420833330000001</v>
      </c>
      <c r="N883">
        <v>20.7</v>
      </c>
      <c r="O883">
        <v>22.279166669999999</v>
      </c>
      <c r="Q883" t="s">
        <v>369</v>
      </c>
      <c r="R883" t="s">
        <v>10159</v>
      </c>
      <c r="S883" t="s">
        <v>9058</v>
      </c>
      <c r="T883" t="s">
        <v>9061</v>
      </c>
    </row>
    <row r="884" spans="1:20" x14ac:dyDescent="0.25">
      <c r="A884" t="s">
        <v>10161</v>
      </c>
      <c r="B884">
        <v>-5.2</v>
      </c>
      <c r="C884">
        <v>23.5</v>
      </c>
      <c r="D884">
        <v>27.84</v>
      </c>
      <c r="E884">
        <v>24.055</v>
      </c>
      <c r="F884">
        <v>32.29666667</v>
      </c>
      <c r="G884">
        <v>4.0308333330000004</v>
      </c>
      <c r="H884">
        <v>3.0333333329999999</v>
      </c>
      <c r="I884">
        <v>4.9874999999999998</v>
      </c>
      <c r="J884">
        <v>6196.21</v>
      </c>
      <c r="K884">
        <v>5666.4166670000004</v>
      </c>
      <c r="L884">
        <v>6914.9583329999996</v>
      </c>
      <c r="M884">
        <v>21.090833329999999</v>
      </c>
      <c r="N884">
        <v>19.57833333</v>
      </c>
      <c r="O884">
        <v>22.891666669999999</v>
      </c>
      <c r="Q884" t="s">
        <v>369</v>
      </c>
      <c r="R884" t="s">
        <v>10162</v>
      </c>
      <c r="S884" t="s">
        <v>9058</v>
      </c>
      <c r="T884" t="s">
        <v>9059</v>
      </c>
    </row>
    <row r="885" spans="1:20" x14ac:dyDescent="0.25">
      <c r="A885" t="s">
        <v>10163</v>
      </c>
      <c r="B885">
        <v>-5.2</v>
      </c>
      <c r="C885">
        <v>23.5</v>
      </c>
      <c r="D885">
        <v>28.733333330000001</v>
      </c>
      <c r="E885">
        <v>25.61</v>
      </c>
      <c r="F885">
        <v>31.833333329999999</v>
      </c>
      <c r="G885">
        <v>4.0883333329999996</v>
      </c>
      <c r="H885">
        <v>3.016666667</v>
      </c>
      <c r="I885">
        <v>5.01</v>
      </c>
      <c r="J885">
        <v>5834.2558330000002</v>
      </c>
      <c r="K885">
        <v>5340.7916670000004</v>
      </c>
      <c r="L885">
        <v>6478.1666670000004</v>
      </c>
      <c r="M885">
        <v>21.454166669999999</v>
      </c>
      <c r="N885">
        <v>20.36333333</v>
      </c>
      <c r="O885">
        <v>22.56666667</v>
      </c>
      <c r="Q885" t="s">
        <v>369</v>
      </c>
      <c r="R885" t="s">
        <v>10162</v>
      </c>
      <c r="S885" t="s">
        <v>9058</v>
      </c>
      <c r="T885" t="s">
        <v>9061</v>
      </c>
    </row>
    <row r="886" spans="1:20" x14ac:dyDescent="0.25">
      <c r="A886" t="s">
        <v>8083</v>
      </c>
      <c r="B886">
        <v>-5.19</v>
      </c>
      <c r="C886">
        <v>36</v>
      </c>
      <c r="D886">
        <v>26.72</v>
      </c>
      <c r="E886">
        <v>24.536666669999999</v>
      </c>
      <c r="F886">
        <v>29.135000000000002</v>
      </c>
      <c r="G886">
        <v>3.3233333329999999</v>
      </c>
      <c r="H886">
        <v>2.1150000000000002</v>
      </c>
      <c r="I886">
        <v>4.483333333</v>
      </c>
      <c r="J886">
        <v>5934.0766670000003</v>
      </c>
      <c r="K886">
        <v>5608.25</v>
      </c>
      <c r="L886">
        <v>6535.0416670000004</v>
      </c>
      <c r="M886">
        <v>20.965833329999999</v>
      </c>
      <c r="N886">
        <v>20.114999999999998</v>
      </c>
      <c r="O886">
        <v>22</v>
      </c>
      <c r="Q886" t="s">
        <v>369</v>
      </c>
      <c r="R886" t="s">
        <v>10164</v>
      </c>
      <c r="S886" t="s">
        <v>9065</v>
      </c>
      <c r="T886" t="s">
        <v>9066</v>
      </c>
    </row>
    <row r="887" spans="1:20" x14ac:dyDescent="0.25">
      <c r="A887" t="s">
        <v>10165</v>
      </c>
      <c r="B887">
        <v>-5.08</v>
      </c>
      <c r="C887">
        <v>37.5</v>
      </c>
      <c r="D887">
        <v>27.549166670000002</v>
      </c>
      <c r="E887">
        <v>25.43</v>
      </c>
      <c r="F887">
        <v>29.75333333</v>
      </c>
      <c r="G887">
        <v>3.4824999999999999</v>
      </c>
      <c r="H887">
        <v>2.54</v>
      </c>
      <c r="I887">
        <v>4.4850000000000003</v>
      </c>
      <c r="J887">
        <v>5870.0749999999998</v>
      </c>
      <c r="K887">
        <v>5456.4166670000004</v>
      </c>
      <c r="L887">
        <v>6441.125</v>
      </c>
      <c r="M887">
        <v>21.474166669999999</v>
      </c>
      <c r="N887">
        <v>20.533333330000001</v>
      </c>
      <c r="O887">
        <v>22.55</v>
      </c>
      <c r="Q887" t="s">
        <v>369</v>
      </c>
      <c r="R887" t="s">
        <v>10164</v>
      </c>
      <c r="S887" t="s">
        <v>9058</v>
      </c>
      <c r="T887" t="s">
        <v>9061</v>
      </c>
    </row>
    <row r="888" spans="1:20" x14ac:dyDescent="0.25">
      <c r="A888" t="s">
        <v>8084</v>
      </c>
      <c r="B888">
        <v>-5.8</v>
      </c>
      <c r="C888">
        <v>49</v>
      </c>
      <c r="D888">
        <v>26.905000000000001</v>
      </c>
      <c r="E888">
        <v>25.006666670000001</v>
      </c>
      <c r="F888">
        <v>28.71833333</v>
      </c>
      <c r="G888">
        <v>4.2258333329999997</v>
      </c>
      <c r="H888">
        <v>3.0249999999999999</v>
      </c>
      <c r="I888">
        <v>5.3166666669999998</v>
      </c>
      <c r="J888">
        <v>5608.8374999999996</v>
      </c>
      <c r="K888">
        <v>4984.9166670000004</v>
      </c>
      <c r="L888">
        <v>6395.5208329999996</v>
      </c>
      <c r="M888">
        <v>21.395</v>
      </c>
      <c r="N888">
        <v>20.481666669999999</v>
      </c>
      <c r="O888">
        <v>22.395</v>
      </c>
      <c r="Q888" t="s">
        <v>369</v>
      </c>
      <c r="R888" t="s">
        <v>10166</v>
      </c>
      <c r="S888" t="s">
        <v>9065</v>
      </c>
      <c r="T888" t="s">
        <v>9066</v>
      </c>
    </row>
    <row r="889" spans="1:20" x14ac:dyDescent="0.25">
      <c r="A889" t="s">
        <v>10167</v>
      </c>
      <c r="B889">
        <v>-5.77</v>
      </c>
      <c r="C889">
        <v>66.5</v>
      </c>
      <c r="D889">
        <v>26.572500000000002</v>
      </c>
      <c r="E889">
        <v>25.42166667</v>
      </c>
      <c r="F889">
        <v>27.95</v>
      </c>
      <c r="G889">
        <v>4.2308333329999996</v>
      </c>
      <c r="H889">
        <v>3.3</v>
      </c>
      <c r="I889">
        <v>5.125</v>
      </c>
      <c r="J889">
        <v>5700.8975</v>
      </c>
      <c r="K889">
        <v>5421.5208329999996</v>
      </c>
      <c r="L889">
        <v>6145.9791670000004</v>
      </c>
      <c r="M889">
        <v>22.45333333</v>
      </c>
      <c r="N889">
        <v>21.94166667</v>
      </c>
      <c r="O889">
        <v>23.008333329999999</v>
      </c>
      <c r="Q889" t="s">
        <v>369</v>
      </c>
      <c r="R889" t="s">
        <v>10166</v>
      </c>
      <c r="S889" t="s">
        <v>9058</v>
      </c>
      <c r="T889" t="s">
        <v>9061</v>
      </c>
    </row>
    <row r="890" spans="1:20" x14ac:dyDescent="0.25">
      <c r="A890" t="s">
        <v>10168</v>
      </c>
      <c r="B890">
        <v>-5.91</v>
      </c>
      <c r="C890">
        <v>51.5</v>
      </c>
      <c r="D890">
        <v>26.323333330000001</v>
      </c>
      <c r="E890">
        <v>24.598333329999999</v>
      </c>
      <c r="F890">
        <v>28.368333329999999</v>
      </c>
      <c r="G890">
        <v>4.903333333</v>
      </c>
      <c r="H890">
        <v>3.016666667</v>
      </c>
      <c r="I890">
        <v>6.641666667</v>
      </c>
      <c r="J890">
        <v>6051.4483330000003</v>
      </c>
      <c r="K890">
        <v>5677.875</v>
      </c>
      <c r="L890">
        <v>6771.7291670000004</v>
      </c>
      <c r="M890">
        <v>21.7225</v>
      </c>
      <c r="N890">
        <v>21.3</v>
      </c>
      <c r="O890">
        <v>22.416666670000001</v>
      </c>
      <c r="Q890" t="s">
        <v>369</v>
      </c>
      <c r="R890" t="s">
        <v>10169</v>
      </c>
      <c r="S890" t="s">
        <v>9058</v>
      </c>
      <c r="T890" t="s">
        <v>9059</v>
      </c>
    </row>
    <row r="891" spans="1:20" x14ac:dyDescent="0.25">
      <c r="A891" t="s">
        <v>10170</v>
      </c>
      <c r="B891">
        <v>-5.91</v>
      </c>
      <c r="C891">
        <v>51.5</v>
      </c>
      <c r="D891">
        <v>26.30833333</v>
      </c>
      <c r="E891">
        <v>24.52333333</v>
      </c>
      <c r="F891">
        <v>28.335000000000001</v>
      </c>
      <c r="G891">
        <v>4.7966666670000002</v>
      </c>
      <c r="H891">
        <v>3.016666667</v>
      </c>
      <c r="I891">
        <v>6.4749999999999996</v>
      </c>
      <c r="J891">
        <v>5588.8033329999998</v>
      </c>
      <c r="K891">
        <v>5239.3541670000004</v>
      </c>
      <c r="L891">
        <v>6057.3958329999996</v>
      </c>
      <c r="M891">
        <v>22.024999999999999</v>
      </c>
      <c r="N891">
        <v>21.516666669999999</v>
      </c>
      <c r="O891">
        <v>22.675000000000001</v>
      </c>
      <c r="Q891" t="s">
        <v>369</v>
      </c>
      <c r="R891" t="s">
        <v>10169</v>
      </c>
      <c r="S891" t="s">
        <v>9058</v>
      </c>
      <c r="T891" t="s">
        <v>9061</v>
      </c>
    </row>
    <row r="892" spans="1:20" x14ac:dyDescent="0.25">
      <c r="A892" t="s">
        <v>8106</v>
      </c>
      <c r="B892">
        <v>-5.16</v>
      </c>
      <c r="C892">
        <v>17</v>
      </c>
      <c r="D892">
        <v>26.85083333</v>
      </c>
      <c r="E892">
        <v>25.673333329999998</v>
      </c>
      <c r="F892">
        <v>28.133333329999999</v>
      </c>
      <c r="G892">
        <v>6.58</v>
      </c>
      <c r="H892">
        <v>5.39</v>
      </c>
      <c r="I892">
        <v>7.8683333329999998</v>
      </c>
      <c r="J892">
        <v>6112.0541670000002</v>
      </c>
      <c r="K892">
        <v>5580.6458329999996</v>
      </c>
      <c r="L892">
        <v>6903.5833329999996</v>
      </c>
      <c r="M892">
        <v>22.299166670000002</v>
      </c>
      <c r="N892">
        <v>21.65666667</v>
      </c>
      <c r="O892">
        <v>23.016666669999999</v>
      </c>
      <c r="Q892" t="s">
        <v>369</v>
      </c>
      <c r="R892" t="s">
        <v>10171</v>
      </c>
      <c r="S892" t="s">
        <v>9065</v>
      </c>
      <c r="T892" t="s">
        <v>9066</v>
      </c>
    </row>
    <row r="893" spans="1:20" x14ac:dyDescent="0.25">
      <c r="A893" t="s">
        <v>8172</v>
      </c>
      <c r="B893">
        <v>-9.9499999999999993</v>
      </c>
      <c r="C893">
        <v>140</v>
      </c>
      <c r="D893">
        <v>25.627500000000001</v>
      </c>
      <c r="E893">
        <v>22.84</v>
      </c>
      <c r="F893">
        <v>28.458333329999999</v>
      </c>
      <c r="G893">
        <v>1.3625</v>
      </c>
      <c r="H893">
        <v>0.65</v>
      </c>
      <c r="I893">
        <v>1.8333333329999999</v>
      </c>
      <c r="J893">
        <v>4629.42</v>
      </c>
      <c r="K893">
        <v>4092.895833</v>
      </c>
      <c r="L893">
        <v>5308.9375</v>
      </c>
      <c r="M893">
        <v>21.895833329999999</v>
      </c>
      <c r="N893">
        <v>21.216666669999999</v>
      </c>
      <c r="O893">
        <v>22.733333330000001</v>
      </c>
      <c r="Q893" t="s">
        <v>372</v>
      </c>
      <c r="R893" t="s">
        <v>10172</v>
      </c>
      <c r="S893" t="s">
        <v>9065</v>
      </c>
      <c r="T893" t="s">
        <v>9066</v>
      </c>
    </row>
    <row r="894" spans="1:20" x14ac:dyDescent="0.25">
      <c r="A894" t="s">
        <v>10173</v>
      </c>
      <c r="B894">
        <v>-9.9499999999999993</v>
      </c>
      <c r="C894">
        <v>141.5</v>
      </c>
      <c r="D894">
        <v>26.01583333</v>
      </c>
      <c r="E894">
        <v>23.231666669999999</v>
      </c>
      <c r="F894">
        <v>28.901666670000001</v>
      </c>
      <c r="G894">
        <v>1.37</v>
      </c>
      <c r="H894">
        <v>0.67500000000000004</v>
      </c>
      <c r="I894">
        <v>1.8866666670000001</v>
      </c>
      <c r="J894">
        <v>4958.2725</v>
      </c>
      <c r="K894">
        <v>4362.125</v>
      </c>
      <c r="L894">
        <v>5653.625</v>
      </c>
      <c r="M894">
        <v>21.9025</v>
      </c>
      <c r="N894">
        <v>21.133333329999999</v>
      </c>
      <c r="O894">
        <v>22.934999999999999</v>
      </c>
      <c r="Q894" t="s">
        <v>372</v>
      </c>
      <c r="R894" t="s">
        <v>10172</v>
      </c>
      <c r="S894" t="s">
        <v>9058</v>
      </c>
      <c r="T894" t="s">
        <v>9061</v>
      </c>
    </row>
    <row r="895" spans="1:20" x14ac:dyDescent="0.25">
      <c r="A895" t="s">
        <v>10174</v>
      </c>
      <c r="B895">
        <v>2.85</v>
      </c>
      <c r="C895">
        <v>84.1</v>
      </c>
      <c r="D895">
        <v>27.793333329999999</v>
      </c>
      <c r="E895">
        <v>25.498333330000001</v>
      </c>
      <c r="F895">
        <v>30.25</v>
      </c>
      <c r="G895">
        <v>3.0833333330000001</v>
      </c>
      <c r="H895">
        <v>1.8833333329999999</v>
      </c>
      <c r="I895">
        <v>4.0750000000000002</v>
      </c>
      <c r="J895">
        <v>5558.6166670000002</v>
      </c>
      <c r="K895">
        <v>5031.9375</v>
      </c>
      <c r="L895">
        <v>6237.75</v>
      </c>
      <c r="M895">
        <v>21.41</v>
      </c>
      <c r="N895">
        <v>20.675000000000001</v>
      </c>
      <c r="O895">
        <v>22.466666669999999</v>
      </c>
      <c r="Q895" t="s">
        <v>372</v>
      </c>
      <c r="R895" t="s">
        <v>10175</v>
      </c>
      <c r="S895" t="s">
        <v>9058</v>
      </c>
      <c r="T895" t="s">
        <v>9059</v>
      </c>
    </row>
    <row r="896" spans="1:20" x14ac:dyDescent="0.25">
      <c r="A896" t="s">
        <v>7386</v>
      </c>
      <c r="B896">
        <v>-11.45</v>
      </c>
      <c r="C896">
        <v>210</v>
      </c>
      <c r="D896">
        <v>26.141666669999999</v>
      </c>
      <c r="E896">
        <v>23.173333329999998</v>
      </c>
      <c r="F896">
        <v>29.07833333</v>
      </c>
      <c r="G896">
        <v>1.275833333</v>
      </c>
      <c r="H896">
        <v>0.66666666699999999</v>
      </c>
      <c r="I896">
        <v>1.7183333329999999</v>
      </c>
      <c r="J896">
        <v>4626.665833</v>
      </c>
      <c r="K896">
        <v>4092.708333</v>
      </c>
      <c r="L896">
        <v>5311.4791670000004</v>
      </c>
      <c r="M896">
        <v>20.645833329999999</v>
      </c>
      <c r="N896">
        <v>19.841666669999999</v>
      </c>
      <c r="O896">
        <v>21.68333333</v>
      </c>
      <c r="Q896" t="s">
        <v>372</v>
      </c>
      <c r="R896" t="s">
        <v>10176</v>
      </c>
      <c r="S896" t="s">
        <v>9065</v>
      </c>
      <c r="T896" t="s">
        <v>9066</v>
      </c>
    </row>
    <row r="897" spans="1:20" x14ac:dyDescent="0.25">
      <c r="A897" t="s">
        <v>10177</v>
      </c>
      <c r="B897">
        <v>-11.45</v>
      </c>
      <c r="C897">
        <v>211.5</v>
      </c>
      <c r="D897">
        <v>26.26</v>
      </c>
      <c r="E897">
        <v>23.381666670000001</v>
      </c>
      <c r="F897">
        <v>29.111666670000002</v>
      </c>
      <c r="G897">
        <v>1.38</v>
      </c>
      <c r="H897">
        <v>0.82499999999999996</v>
      </c>
      <c r="I897">
        <v>1.8416666669999999</v>
      </c>
      <c r="J897">
        <v>5173.4541669999999</v>
      </c>
      <c r="K897">
        <v>4634.4166670000004</v>
      </c>
      <c r="L897">
        <v>5852.2916670000004</v>
      </c>
      <c r="M897">
        <v>20.549166670000002</v>
      </c>
      <c r="N897">
        <v>19.639166670000002</v>
      </c>
      <c r="O897">
        <v>21.744166669999998</v>
      </c>
      <c r="Q897" t="s">
        <v>372</v>
      </c>
      <c r="R897" t="s">
        <v>10176</v>
      </c>
      <c r="S897" t="s">
        <v>9058</v>
      </c>
      <c r="T897" t="s">
        <v>9061</v>
      </c>
    </row>
    <row r="898" spans="1:20" x14ac:dyDescent="0.25">
      <c r="A898" t="s">
        <v>10178</v>
      </c>
      <c r="B898">
        <v>1.83</v>
      </c>
      <c r="C898">
        <v>95</v>
      </c>
      <c r="D898">
        <v>25.77416667</v>
      </c>
      <c r="E898">
        <v>22.806666669999998</v>
      </c>
      <c r="F898">
        <v>28.695</v>
      </c>
      <c r="G898">
        <v>0.421666667</v>
      </c>
      <c r="H898">
        <v>0</v>
      </c>
      <c r="I898">
        <v>0.59166666700000003</v>
      </c>
      <c r="J898">
        <v>5340.6966670000002</v>
      </c>
      <c r="K898">
        <v>4842.5</v>
      </c>
      <c r="L898">
        <v>6020.9166670000004</v>
      </c>
      <c r="M898">
        <v>23.65583333</v>
      </c>
      <c r="N898">
        <v>22.473333329999999</v>
      </c>
      <c r="O898">
        <v>25.103333330000002</v>
      </c>
      <c r="Q898" t="s">
        <v>372</v>
      </c>
      <c r="R898" t="s">
        <v>10179</v>
      </c>
      <c r="S898" t="s">
        <v>9058</v>
      </c>
      <c r="T898" t="s">
        <v>9059</v>
      </c>
    </row>
    <row r="899" spans="1:20" x14ac:dyDescent="0.25">
      <c r="A899" t="s">
        <v>10180</v>
      </c>
      <c r="B899">
        <v>-10.79</v>
      </c>
      <c r="C899">
        <v>145.69999999999999</v>
      </c>
      <c r="D899">
        <v>24.758333329999999</v>
      </c>
      <c r="E899">
        <v>21.27416667</v>
      </c>
      <c r="F899">
        <v>28.509166669999999</v>
      </c>
      <c r="G899">
        <v>1.2625</v>
      </c>
      <c r="H899">
        <v>1.6666667E-2</v>
      </c>
      <c r="I899">
        <v>2.2791666670000001</v>
      </c>
      <c r="J899">
        <v>5201.0775000000003</v>
      </c>
      <c r="K899">
        <v>4649.1458329999996</v>
      </c>
      <c r="L899">
        <v>5998.875</v>
      </c>
      <c r="M899">
        <v>21.3825</v>
      </c>
      <c r="N899">
        <v>19.98833333</v>
      </c>
      <c r="O899">
        <v>23.16</v>
      </c>
      <c r="Q899" t="s">
        <v>372</v>
      </c>
      <c r="R899" t="s">
        <v>10181</v>
      </c>
      <c r="S899" t="s">
        <v>9058</v>
      </c>
      <c r="T899" t="s">
        <v>9059</v>
      </c>
    </row>
    <row r="900" spans="1:20" x14ac:dyDescent="0.25">
      <c r="A900" t="s">
        <v>10182</v>
      </c>
      <c r="B900">
        <v>-10.79</v>
      </c>
      <c r="C900">
        <v>145.69999999999999</v>
      </c>
      <c r="D900">
        <v>26.114166669999999</v>
      </c>
      <c r="E900">
        <v>23.53166667</v>
      </c>
      <c r="F900">
        <v>28.543333329999999</v>
      </c>
      <c r="G900">
        <v>2.0358333329999998</v>
      </c>
      <c r="H900">
        <v>1.25</v>
      </c>
      <c r="I900">
        <v>2.628333333</v>
      </c>
      <c r="J900">
        <v>4901.3675000000003</v>
      </c>
      <c r="K900">
        <v>4329.1458329999996</v>
      </c>
      <c r="L900">
        <v>5541.6666670000004</v>
      </c>
      <c r="M900">
        <v>22.404166669999999</v>
      </c>
      <c r="N900">
        <v>21.625</v>
      </c>
      <c r="O900">
        <v>23.425000000000001</v>
      </c>
      <c r="Q900" t="s">
        <v>372</v>
      </c>
      <c r="R900" t="s">
        <v>10181</v>
      </c>
      <c r="S900" t="s">
        <v>9058</v>
      </c>
      <c r="T900" t="s">
        <v>9061</v>
      </c>
    </row>
    <row r="901" spans="1:20" x14ac:dyDescent="0.25">
      <c r="A901" t="s">
        <v>10183</v>
      </c>
      <c r="B901">
        <v>-8.7100000000000009</v>
      </c>
      <c r="C901">
        <v>89.6</v>
      </c>
      <c r="D901">
        <v>26.415833330000002</v>
      </c>
      <c r="E901">
        <v>23.708333329999999</v>
      </c>
      <c r="F901">
        <v>28.82</v>
      </c>
      <c r="G901">
        <v>1.389166667</v>
      </c>
      <c r="H901">
        <v>0</v>
      </c>
      <c r="I901">
        <v>2.3083333330000002</v>
      </c>
      <c r="J901">
        <v>5242.2008329999999</v>
      </c>
      <c r="K901">
        <v>4802.625</v>
      </c>
      <c r="L901">
        <v>5915.4375</v>
      </c>
      <c r="M901">
        <v>22.589166670000001</v>
      </c>
      <c r="N901">
        <v>21.80833333</v>
      </c>
      <c r="O901">
        <v>23.5</v>
      </c>
      <c r="Q901" t="s">
        <v>372</v>
      </c>
      <c r="R901" t="s">
        <v>10184</v>
      </c>
      <c r="S901" t="s">
        <v>9058</v>
      </c>
      <c r="T901" t="s">
        <v>9059</v>
      </c>
    </row>
    <row r="902" spans="1:20" x14ac:dyDescent="0.25">
      <c r="A902" t="s">
        <v>10185</v>
      </c>
      <c r="B902">
        <v>-8.7100000000000009</v>
      </c>
      <c r="C902">
        <v>89.6</v>
      </c>
      <c r="D902">
        <v>26.462499999999999</v>
      </c>
      <c r="E902">
        <v>23.931666669999998</v>
      </c>
      <c r="F902">
        <v>28.745000000000001</v>
      </c>
      <c r="G902">
        <v>1.33</v>
      </c>
      <c r="H902">
        <v>0.375</v>
      </c>
      <c r="I902">
        <v>2.0150000000000001</v>
      </c>
      <c r="J902">
        <v>4812.7741669999996</v>
      </c>
      <c r="K902">
        <v>4297.5833329999996</v>
      </c>
      <c r="L902">
        <v>5403</v>
      </c>
      <c r="M902">
        <v>22.480833329999999</v>
      </c>
      <c r="N902">
        <v>21.783333330000001</v>
      </c>
      <c r="O902">
        <v>23.283333330000001</v>
      </c>
      <c r="Q902" t="s">
        <v>372</v>
      </c>
      <c r="R902" t="s">
        <v>10184</v>
      </c>
      <c r="S902" t="s">
        <v>9058</v>
      </c>
      <c r="T902" t="s">
        <v>9061</v>
      </c>
    </row>
    <row r="903" spans="1:20" x14ac:dyDescent="0.25">
      <c r="A903" t="s">
        <v>6171</v>
      </c>
      <c r="B903">
        <v>-8.76</v>
      </c>
      <c r="C903">
        <v>95</v>
      </c>
      <c r="D903">
        <v>25.928333330000001</v>
      </c>
      <c r="E903">
        <v>23.481666669999999</v>
      </c>
      <c r="F903">
        <v>28.315000000000001</v>
      </c>
      <c r="G903">
        <v>1.4041666669999999</v>
      </c>
      <c r="H903">
        <v>0.6</v>
      </c>
      <c r="I903">
        <v>1.7083333329999999</v>
      </c>
      <c r="J903">
        <v>4137.3850000000002</v>
      </c>
      <c r="K903">
        <v>3544.645833</v>
      </c>
      <c r="L903">
        <v>4827.875</v>
      </c>
      <c r="M903">
        <v>22.454166669999999</v>
      </c>
      <c r="N903">
        <v>21.889166670000002</v>
      </c>
      <c r="O903">
        <v>23.208333329999999</v>
      </c>
      <c r="Q903" t="s">
        <v>372</v>
      </c>
      <c r="R903" t="s">
        <v>10186</v>
      </c>
      <c r="S903" t="s">
        <v>9065</v>
      </c>
      <c r="T903" t="s">
        <v>9066</v>
      </c>
    </row>
    <row r="904" spans="1:20" x14ac:dyDescent="0.25">
      <c r="A904" t="s">
        <v>10187</v>
      </c>
      <c r="B904">
        <v>-8.7899999999999991</v>
      </c>
      <c r="C904">
        <v>99.5</v>
      </c>
      <c r="D904">
        <v>26.410833329999999</v>
      </c>
      <c r="E904">
        <v>23.823333330000001</v>
      </c>
      <c r="F904">
        <v>29.0425</v>
      </c>
      <c r="G904">
        <v>1.391666667</v>
      </c>
      <c r="H904">
        <v>0.83333333300000001</v>
      </c>
      <c r="I904">
        <v>1.8416666669999999</v>
      </c>
      <c r="J904">
        <v>4841.3058330000003</v>
      </c>
      <c r="K904">
        <v>4330.75</v>
      </c>
      <c r="L904">
        <v>5413.9791670000004</v>
      </c>
      <c r="M904">
        <v>22.225000000000001</v>
      </c>
      <c r="N904">
        <v>21.483333330000001</v>
      </c>
      <c r="O904">
        <v>23.126666669999999</v>
      </c>
      <c r="Q904" t="s">
        <v>372</v>
      </c>
      <c r="R904" t="s">
        <v>10186</v>
      </c>
      <c r="S904" t="s">
        <v>9058</v>
      </c>
      <c r="T904" t="s">
        <v>9061</v>
      </c>
    </row>
    <row r="905" spans="1:20" x14ac:dyDescent="0.25">
      <c r="A905" t="s">
        <v>8176</v>
      </c>
      <c r="B905">
        <v>-12.73</v>
      </c>
      <c r="C905">
        <v>590</v>
      </c>
      <c r="D905">
        <v>24.21083333</v>
      </c>
      <c r="E905">
        <v>21.78833333</v>
      </c>
      <c r="F905">
        <v>26.67166667</v>
      </c>
      <c r="G905">
        <v>1.786666667</v>
      </c>
      <c r="H905">
        <v>1.066666667</v>
      </c>
      <c r="I905">
        <v>2.3666666670000001</v>
      </c>
      <c r="J905">
        <v>4505.6949999999997</v>
      </c>
      <c r="K905">
        <v>3893.875</v>
      </c>
      <c r="L905">
        <v>5266.5208329999996</v>
      </c>
      <c r="M905">
        <v>18.967500000000001</v>
      </c>
      <c r="N905">
        <v>18.14</v>
      </c>
      <c r="O905">
        <v>20.125</v>
      </c>
      <c r="Q905" t="s">
        <v>372</v>
      </c>
      <c r="R905" t="s">
        <v>10188</v>
      </c>
      <c r="S905" t="s">
        <v>9065</v>
      </c>
      <c r="T905" t="s">
        <v>9066</v>
      </c>
    </row>
    <row r="906" spans="1:20" x14ac:dyDescent="0.25">
      <c r="A906" t="s">
        <v>10189</v>
      </c>
      <c r="B906">
        <v>-12.73</v>
      </c>
      <c r="C906">
        <v>591.5</v>
      </c>
      <c r="D906">
        <v>24.55083333</v>
      </c>
      <c r="E906">
        <v>22.160833329999999</v>
      </c>
      <c r="F906">
        <v>27.051666669999999</v>
      </c>
      <c r="G906">
        <v>1.7625</v>
      </c>
      <c r="H906">
        <v>1.075</v>
      </c>
      <c r="I906">
        <v>2.31</v>
      </c>
      <c r="J906">
        <v>5008.1116670000001</v>
      </c>
      <c r="K906">
        <v>4577.125</v>
      </c>
      <c r="L906">
        <v>5632.0416670000004</v>
      </c>
      <c r="M906">
        <v>18.489999999999998</v>
      </c>
      <c r="N906">
        <v>17.425000000000001</v>
      </c>
      <c r="O906">
        <v>19.679166670000001</v>
      </c>
      <c r="Q906" t="s">
        <v>372</v>
      </c>
      <c r="R906" t="s">
        <v>10188</v>
      </c>
      <c r="S906" t="s">
        <v>9058</v>
      </c>
      <c r="T906" t="s">
        <v>9061</v>
      </c>
    </row>
    <row r="907" spans="1:20" x14ac:dyDescent="0.25">
      <c r="A907" t="s">
        <v>10190</v>
      </c>
      <c r="B907">
        <v>-12.69</v>
      </c>
      <c r="C907">
        <v>615.1</v>
      </c>
      <c r="D907">
        <v>23.705833330000001</v>
      </c>
      <c r="E907">
        <v>20.998333330000001</v>
      </c>
      <c r="F907">
        <v>26.605</v>
      </c>
      <c r="G907">
        <v>2.6074999999999999</v>
      </c>
      <c r="H907">
        <v>1.431666667</v>
      </c>
      <c r="I907">
        <v>3.545833333</v>
      </c>
      <c r="J907">
        <v>5096.66</v>
      </c>
      <c r="K907">
        <v>4448.1875</v>
      </c>
      <c r="L907">
        <v>5917.3541670000004</v>
      </c>
      <c r="M907">
        <v>19.752500000000001</v>
      </c>
      <c r="N907">
        <v>18.62916667</v>
      </c>
      <c r="O907">
        <v>21.276666670000001</v>
      </c>
      <c r="Q907" t="s">
        <v>372</v>
      </c>
      <c r="R907" t="s">
        <v>10191</v>
      </c>
      <c r="S907" t="s">
        <v>9058</v>
      </c>
      <c r="T907" t="s">
        <v>9059</v>
      </c>
    </row>
    <row r="908" spans="1:20" x14ac:dyDescent="0.25">
      <c r="A908" t="s">
        <v>10192</v>
      </c>
      <c r="B908">
        <v>-12.69</v>
      </c>
      <c r="C908">
        <v>615.1</v>
      </c>
      <c r="D908">
        <v>24.033333330000001</v>
      </c>
      <c r="E908">
        <v>21.445</v>
      </c>
      <c r="F908">
        <v>26.89833333</v>
      </c>
      <c r="G908">
        <v>2.693333333</v>
      </c>
      <c r="H908">
        <v>1.606666667</v>
      </c>
      <c r="I908">
        <v>3.5916666670000001</v>
      </c>
      <c r="J908">
        <v>5020.2449999999999</v>
      </c>
      <c r="K908">
        <v>4524.3541670000004</v>
      </c>
      <c r="L908">
        <v>5686.9166670000004</v>
      </c>
      <c r="M908">
        <v>19.589166670000001</v>
      </c>
      <c r="N908">
        <v>18.55</v>
      </c>
      <c r="O908">
        <v>20.885000000000002</v>
      </c>
      <c r="Q908" t="s">
        <v>372</v>
      </c>
      <c r="R908" t="s">
        <v>10191</v>
      </c>
      <c r="S908" t="s">
        <v>9058</v>
      </c>
      <c r="T908" t="s">
        <v>9061</v>
      </c>
    </row>
    <row r="909" spans="1:20" x14ac:dyDescent="0.25">
      <c r="A909" t="s">
        <v>8203</v>
      </c>
      <c r="B909">
        <v>2.8</v>
      </c>
      <c r="C909">
        <v>90</v>
      </c>
      <c r="D909">
        <v>27.018333330000001</v>
      </c>
      <c r="E909">
        <v>24.548333329999998</v>
      </c>
      <c r="F909">
        <v>29.348333329999999</v>
      </c>
      <c r="G909">
        <v>1.5275000000000001</v>
      </c>
      <c r="H909">
        <v>0.81666666700000001</v>
      </c>
      <c r="I909">
        <v>2.085</v>
      </c>
      <c r="J909">
        <v>4513.5533329999998</v>
      </c>
      <c r="K909">
        <v>3847.916667</v>
      </c>
      <c r="L909">
        <v>5335.1875</v>
      </c>
      <c r="M909">
        <v>22.158333330000001</v>
      </c>
      <c r="N909">
        <v>21.524999999999999</v>
      </c>
      <c r="O909">
        <v>22.876666669999999</v>
      </c>
      <c r="Q909" t="s">
        <v>375</v>
      </c>
      <c r="R909" t="s">
        <v>10193</v>
      </c>
      <c r="S909" t="s">
        <v>9065</v>
      </c>
      <c r="T909" t="s">
        <v>9066</v>
      </c>
    </row>
    <row r="910" spans="1:20" x14ac:dyDescent="0.25">
      <c r="A910" t="s">
        <v>10194</v>
      </c>
      <c r="B910">
        <v>2.8</v>
      </c>
      <c r="C910">
        <v>95.5</v>
      </c>
      <c r="D910">
        <v>27.595833330000001</v>
      </c>
      <c r="E910">
        <v>25.233333330000001</v>
      </c>
      <c r="F910">
        <v>29.81666667</v>
      </c>
      <c r="G910">
        <v>1.9991666669999999</v>
      </c>
      <c r="H910">
        <v>1.375</v>
      </c>
      <c r="I910">
        <v>2.5383333330000002</v>
      </c>
      <c r="J910">
        <v>4919.2183329999998</v>
      </c>
      <c r="K910">
        <v>4384.7083329999996</v>
      </c>
      <c r="L910">
        <v>5605.4166670000004</v>
      </c>
      <c r="M910">
        <v>21.389166670000002</v>
      </c>
      <c r="N910">
        <v>20.68333333</v>
      </c>
      <c r="O910">
        <v>22.176666669999999</v>
      </c>
      <c r="Q910" t="s">
        <v>375</v>
      </c>
      <c r="R910" t="s">
        <v>10193</v>
      </c>
      <c r="S910" t="s">
        <v>9058</v>
      </c>
      <c r="T910" t="s">
        <v>9061</v>
      </c>
    </row>
    <row r="911" spans="1:20" x14ac:dyDescent="0.25">
      <c r="A911" t="s">
        <v>10195</v>
      </c>
      <c r="B911">
        <v>2.85</v>
      </c>
      <c r="C911">
        <v>84.1</v>
      </c>
      <c r="D911">
        <v>27.89833333</v>
      </c>
      <c r="E911">
        <v>25.633333329999999</v>
      </c>
      <c r="F911">
        <v>30.35166667</v>
      </c>
      <c r="G911">
        <v>3.025833333</v>
      </c>
      <c r="H911">
        <v>1.7916666670000001</v>
      </c>
      <c r="I911">
        <v>3.96</v>
      </c>
      <c r="J911">
        <v>4907.7741669999996</v>
      </c>
      <c r="K911">
        <v>4350.5</v>
      </c>
      <c r="L911">
        <v>5541.3125</v>
      </c>
      <c r="M911">
        <v>21.78833333</v>
      </c>
      <c r="N911">
        <v>21.18</v>
      </c>
      <c r="O911">
        <v>22.583333329999999</v>
      </c>
      <c r="Q911" t="s">
        <v>375</v>
      </c>
      <c r="R911" t="s">
        <v>10175</v>
      </c>
      <c r="S911" t="s">
        <v>9058</v>
      </c>
      <c r="T911" t="s">
        <v>9061</v>
      </c>
    </row>
    <row r="912" spans="1:20" x14ac:dyDescent="0.25">
      <c r="A912" t="s">
        <v>10196</v>
      </c>
      <c r="B912">
        <v>1.83</v>
      </c>
      <c r="C912">
        <v>95</v>
      </c>
      <c r="D912">
        <v>26.875</v>
      </c>
      <c r="E912">
        <v>24.725000000000001</v>
      </c>
      <c r="F912">
        <v>28.818333330000002</v>
      </c>
      <c r="G912">
        <v>1.118333333</v>
      </c>
      <c r="H912">
        <v>0.20833333300000001</v>
      </c>
      <c r="I912">
        <v>1.7849999999999999</v>
      </c>
      <c r="J912">
        <v>4719.9849999999997</v>
      </c>
      <c r="K912">
        <v>4136.875</v>
      </c>
      <c r="L912">
        <v>5539.75</v>
      </c>
      <c r="M912">
        <v>24.098333329999999</v>
      </c>
      <c r="N912">
        <v>22.99</v>
      </c>
      <c r="O912">
        <v>25.274999999999999</v>
      </c>
      <c r="Q912" t="s">
        <v>375</v>
      </c>
      <c r="R912" t="s">
        <v>10179</v>
      </c>
      <c r="S912" t="s">
        <v>9058</v>
      </c>
      <c r="T912" t="s">
        <v>9061</v>
      </c>
    </row>
    <row r="913" spans="1:20" x14ac:dyDescent="0.25">
      <c r="A913" t="s">
        <v>8212</v>
      </c>
      <c r="B913">
        <v>-29.78</v>
      </c>
      <c r="C913">
        <v>121</v>
      </c>
      <c r="D913">
        <v>19.177499999999998</v>
      </c>
      <c r="E913">
        <v>15.83666667</v>
      </c>
      <c r="F913">
        <v>22.33</v>
      </c>
      <c r="G913">
        <v>2.5274999999999999</v>
      </c>
      <c r="H913">
        <v>1.3666666670000001</v>
      </c>
      <c r="I913">
        <v>3.5724999999999998</v>
      </c>
      <c r="J913">
        <v>4793.6083330000001</v>
      </c>
      <c r="K913">
        <v>4087.4375</v>
      </c>
      <c r="L913">
        <v>5892.6041670000004</v>
      </c>
      <c r="M913">
        <v>13.64083333</v>
      </c>
      <c r="N913">
        <v>11.16666667</v>
      </c>
      <c r="O913">
        <v>16.48833333</v>
      </c>
      <c r="Q913" t="s">
        <v>236</v>
      </c>
      <c r="R913" t="s">
        <v>10197</v>
      </c>
      <c r="S913" t="s">
        <v>9065</v>
      </c>
      <c r="T913" t="s">
        <v>9066</v>
      </c>
    </row>
    <row r="914" spans="1:20" x14ac:dyDescent="0.25">
      <c r="A914" t="s">
        <v>10198</v>
      </c>
      <c r="B914">
        <v>-29.72</v>
      </c>
      <c r="C914">
        <v>122.5</v>
      </c>
      <c r="D914">
        <v>19.702500000000001</v>
      </c>
      <c r="E914">
        <v>16.28166667</v>
      </c>
      <c r="F914">
        <v>22.90666667</v>
      </c>
      <c r="G914">
        <v>2.255833333</v>
      </c>
      <c r="H914">
        <v>1.34</v>
      </c>
      <c r="I914">
        <v>3.0750000000000002</v>
      </c>
      <c r="J914">
        <v>5008.0566669999998</v>
      </c>
      <c r="K914">
        <v>4251.5208329999996</v>
      </c>
      <c r="L914">
        <v>6016.0833329999996</v>
      </c>
      <c r="M914">
        <v>14.04666667</v>
      </c>
      <c r="N914">
        <v>11.65666667</v>
      </c>
      <c r="O914">
        <v>16.818333330000002</v>
      </c>
      <c r="Q914" t="s">
        <v>236</v>
      </c>
      <c r="R914" t="s">
        <v>10197</v>
      </c>
      <c r="S914" t="s">
        <v>9058</v>
      </c>
      <c r="T914" t="s">
        <v>9061</v>
      </c>
    </row>
    <row r="915" spans="1:20" x14ac:dyDescent="0.25">
      <c r="A915" t="s">
        <v>10199</v>
      </c>
      <c r="B915">
        <v>-31.39</v>
      </c>
      <c r="C915">
        <v>182.9</v>
      </c>
      <c r="D915">
        <v>18.64</v>
      </c>
      <c r="E915">
        <v>14.498333329999999</v>
      </c>
      <c r="F915">
        <v>22.501666669999999</v>
      </c>
      <c r="G915">
        <v>3.9908333329999999</v>
      </c>
      <c r="H915">
        <v>2.0416666669999999</v>
      </c>
      <c r="I915">
        <v>5.5516666670000001</v>
      </c>
      <c r="J915">
        <v>4663.2383330000002</v>
      </c>
      <c r="K915">
        <v>3586.5625</v>
      </c>
      <c r="L915">
        <v>5880.875</v>
      </c>
      <c r="M915">
        <v>13.349166670000001</v>
      </c>
      <c r="N915">
        <v>10.0425</v>
      </c>
      <c r="O915">
        <v>16.893333330000001</v>
      </c>
      <c r="Q915" t="s">
        <v>236</v>
      </c>
      <c r="R915" t="s">
        <v>10200</v>
      </c>
      <c r="S915" t="s">
        <v>9058</v>
      </c>
      <c r="T915" t="s">
        <v>9059</v>
      </c>
    </row>
    <row r="916" spans="1:20" x14ac:dyDescent="0.25">
      <c r="A916" t="s">
        <v>10201</v>
      </c>
      <c r="B916">
        <v>-31.39</v>
      </c>
      <c r="C916">
        <v>182.9</v>
      </c>
      <c r="D916">
        <v>18.221666670000001</v>
      </c>
      <c r="E916">
        <v>14.786666670000001</v>
      </c>
      <c r="F916">
        <v>21.430833329999999</v>
      </c>
      <c r="G916">
        <v>3.8216666670000001</v>
      </c>
      <c r="H916">
        <v>2.496666667</v>
      </c>
      <c r="I916">
        <v>4.9441666670000002</v>
      </c>
      <c r="J916">
        <v>4738.7191670000002</v>
      </c>
      <c r="K916">
        <v>3757.208333</v>
      </c>
      <c r="L916">
        <v>5908.6458329999996</v>
      </c>
      <c r="M916">
        <v>13.626666670000001</v>
      </c>
      <c r="N916">
        <v>11.108333330000001</v>
      </c>
      <c r="O916">
        <v>16.551666669999999</v>
      </c>
      <c r="Q916" t="s">
        <v>236</v>
      </c>
      <c r="R916" t="s">
        <v>10200</v>
      </c>
      <c r="S916" t="s">
        <v>9058</v>
      </c>
      <c r="T916" t="s">
        <v>9061</v>
      </c>
    </row>
    <row r="917" spans="1:20" x14ac:dyDescent="0.25">
      <c r="A917" t="s">
        <v>8206</v>
      </c>
      <c r="B917">
        <v>-31.33</v>
      </c>
      <c r="C917">
        <v>230</v>
      </c>
      <c r="D917">
        <v>17.618333329999999</v>
      </c>
      <c r="E917">
        <v>14.481666669999999</v>
      </c>
      <c r="F917">
        <v>20.589166670000001</v>
      </c>
      <c r="G917">
        <v>3.5049999999999999</v>
      </c>
      <c r="H917">
        <v>2.1716666670000002</v>
      </c>
      <c r="I917">
        <v>4.6766666670000001</v>
      </c>
      <c r="J917">
        <v>4647.1925000000001</v>
      </c>
      <c r="K917">
        <v>3615.8125</v>
      </c>
      <c r="L917">
        <v>5927.875</v>
      </c>
      <c r="M917">
        <v>12.929166670000001</v>
      </c>
      <c r="N917">
        <v>10.79666667</v>
      </c>
      <c r="O917">
        <v>15.58583333</v>
      </c>
      <c r="Q917" t="s">
        <v>236</v>
      </c>
      <c r="R917" t="s">
        <v>10202</v>
      </c>
      <c r="S917" t="s">
        <v>9065</v>
      </c>
      <c r="T917" t="s">
        <v>9066</v>
      </c>
    </row>
    <row r="918" spans="1:20" x14ac:dyDescent="0.25">
      <c r="A918" t="s">
        <v>10203</v>
      </c>
      <c r="B918">
        <v>-31.33</v>
      </c>
      <c r="C918">
        <v>231.5</v>
      </c>
      <c r="D918">
        <v>18.034166670000001</v>
      </c>
      <c r="E918">
        <v>14.99</v>
      </c>
      <c r="F918">
        <v>20.99666667</v>
      </c>
      <c r="G918">
        <v>3.599166667</v>
      </c>
      <c r="H918">
        <v>2.3166666669999998</v>
      </c>
      <c r="I918">
        <v>4.7016666669999996</v>
      </c>
      <c r="J918">
        <v>4687.46</v>
      </c>
      <c r="K918">
        <v>3608.270833</v>
      </c>
      <c r="L918">
        <v>5955.5833329999996</v>
      </c>
      <c r="M918">
        <v>13.455833330000001</v>
      </c>
      <c r="N918">
        <v>11.00666667</v>
      </c>
      <c r="O918">
        <v>16.133333329999999</v>
      </c>
      <c r="Q918" t="s">
        <v>236</v>
      </c>
      <c r="R918" t="s">
        <v>10204</v>
      </c>
      <c r="S918" t="s">
        <v>9058</v>
      </c>
      <c r="T918" t="s">
        <v>9061</v>
      </c>
    </row>
    <row r="919" spans="1:20" x14ac:dyDescent="0.25">
      <c r="A919" t="s">
        <v>8218</v>
      </c>
      <c r="B919">
        <v>-29.17</v>
      </c>
      <c r="C919">
        <v>640</v>
      </c>
      <c r="D919">
        <v>17.19083333</v>
      </c>
      <c r="E919">
        <v>14.307499999999999</v>
      </c>
      <c r="F919">
        <v>19.928333330000001</v>
      </c>
      <c r="G919">
        <v>2.84</v>
      </c>
      <c r="H919">
        <v>1.8316666669999999</v>
      </c>
      <c r="I919">
        <v>3.7316666669999998</v>
      </c>
      <c r="J919">
        <v>4412.45</v>
      </c>
      <c r="K919">
        <v>3305.25</v>
      </c>
      <c r="L919">
        <v>5734.2083329999996</v>
      </c>
      <c r="M919">
        <v>12.89583333</v>
      </c>
      <c r="N919">
        <v>10.87833333</v>
      </c>
      <c r="O919">
        <v>15.15</v>
      </c>
      <c r="Q919" t="s">
        <v>236</v>
      </c>
      <c r="R919" t="s">
        <v>10205</v>
      </c>
      <c r="S919" t="s">
        <v>9065</v>
      </c>
      <c r="T919" t="s">
        <v>9066</v>
      </c>
    </row>
    <row r="920" spans="1:20" x14ac:dyDescent="0.25">
      <c r="A920" t="s">
        <v>10206</v>
      </c>
      <c r="B920">
        <v>-29.17</v>
      </c>
      <c r="C920">
        <v>641.5</v>
      </c>
      <c r="D920">
        <v>17.801666669999999</v>
      </c>
      <c r="E920">
        <v>14.75</v>
      </c>
      <c r="F920">
        <v>20.755833330000002</v>
      </c>
      <c r="G920">
        <v>2.7916666669999999</v>
      </c>
      <c r="H920">
        <v>1.8333333329999999</v>
      </c>
      <c r="I920">
        <v>3.585</v>
      </c>
      <c r="J920">
        <v>4703.0941670000002</v>
      </c>
      <c r="K920">
        <v>3789.625</v>
      </c>
      <c r="L920">
        <v>5848.75</v>
      </c>
      <c r="M920">
        <v>13.126666670000001</v>
      </c>
      <c r="N920">
        <v>10.99583333</v>
      </c>
      <c r="O920">
        <v>15.651666669999999</v>
      </c>
      <c r="Q920" t="s">
        <v>236</v>
      </c>
      <c r="R920" t="s">
        <v>10205</v>
      </c>
      <c r="S920" t="s">
        <v>9058</v>
      </c>
      <c r="T920" t="s">
        <v>9061</v>
      </c>
    </row>
    <row r="921" spans="1:20" x14ac:dyDescent="0.25">
      <c r="A921" t="s">
        <v>10207</v>
      </c>
      <c r="B921">
        <v>-28.67</v>
      </c>
      <c r="C921">
        <v>1048</v>
      </c>
      <c r="D921">
        <v>16.115833330000001</v>
      </c>
      <c r="E921">
        <v>13.223333330000001</v>
      </c>
      <c r="F921">
        <v>18.896666669999998</v>
      </c>
      <c r="G921">
        <v>2.9691666670000001</v>
      </c>
      <c r="H921">
        <v>1.9983333329999999</v>
      </c>
      <c r="I921">
        <v>3.7708333330000001</v>
      </c>
      <c r="J921">
        <v>5054.396667</v>
      </c>
      <c r="K921">
        <v>4367.125</v>
      </c>
      <c r="L921">
        <v>5916.8125</v>
      </c>
      <c r="M921">
        <v>11.8325</v>
      </c>
      <c r="N921">
        <v>9.6449999999999996</v>
      </c>
      <c r="O921">
        <v>14.385</v>
      </c>
      <c r="Q921" t="s">
        <v>236</v>
      </c>
      <c r="R921" t="s">
        <v>10208</v>
      </c>
      <c r="S921" t="s">
        <v>9058</v>
      </c>
      <c r="T921" t="s">
        <v>9059</v>
      </c>
    </row>
    <row r="922" spans="1:20" x14ac:dyDescent="0.25">
      <c r="A922" t="s">
        <v>10209</v>
      </c>
      <c r="B922">
        <v>-28.67</v>
      </c>
      <c r="C922">
        <v>1048</v>
      </c>
      <c r="D922">
        <v>15.456666670000001</v>
      </c>
      <c r="E922">
        <v>12.69</v>
      </c>
      <c r="F922">
        <v>18.161666669999999</v>
      </c>
      <c r="G922">
        <v>2.9841666670000002</v>
      </c>
      <c r="H922">
        <v>1.94</v>
      </c>
      <c r="I922">
        <v>3.733333333</v>
      </c>
      <c r="J922">
        <v>4706.3816669999997</v>
      </c>
      <c r="K922">
        <v>3828.458333</v>
      </c>
      <c r="L922">
        <v>5820.6041670000004</v>
      </c>
      <c r="M922">
        <v>11.8675</v>
      </c>
      <c r="N922">
        <v>9.6733333330000004</v>
      </c>
      <c r="O922">
        <v>14.32833333</v>
      </c>
      <c r="Q922" t="s">
        <v>236</v>
      </c>
      <c r="R922" t="s">
        <v>10208</v>
      </c>
      <c r="S922" t="s">
        <v>9058</v>
      </c>
      <c r="T922" t="s">
        <v>9061</v>
      </c>
    </row>
    <row r="923" spans="1:20" x14ac:dyDescent="0.25">
      <c r="A923" t="s">
        <v>8266</v>
      </c>
      <c r="B923">
        <v>-30.51</v>
      </c>
      <c r="C923">
        <v>420</v>
      </c>
      <c r="D923">
        <v>17.605</v>
      </c>
      <c r="E923">
        <v>14.733333330000001</v>
      </c>
      <c r="F923">
        <v>20.344999999999999</v>
      </c>
      <c r="G923">
        <v>3.93</v>
      </c>
      <c r="H923">
        <v>2.7250000000000001</v>
      </c>
      <c r="I923">
        <v>5.0041666669999998</v>
      </c>
      <c r="J923">
        <v>4641.2224999999999</v>
      </c>
      <c r="K923">
        <v>3675.395833</v>
      </c>
      <c r="L923">
        <v>5861.75</v>
      </c>
      <c r="M923">
        <v>13.29166667</v>
      </c>
      <c r="N923">
        <v>11.055</v>
      </c>
      <c r="O923">
        <v>15.85166667</v>
      </c>
      <c r="Q923" t="s">
        <v>236</v>
      </c>
      <c r="R923" t="s">
        <v>10210</v>
      </c>
      <c r="S923" t="s">
        <v>9065</v>
      </c>
      <c r="T923" t="s">
        <v>9066</v>
      </c>
    </row>
    <row r="924" spans="1:20" x14ac:dyDescent="0.25">
      <c r="A924" t="s">
        <v>10211</v>
      </c>
      <c r="B924">
        <v>-30.55</v>
      </c>
      <c r="C924">
        <v>451.5</v>
      </c>
      <c r="D924">
        <v>18.094999999999999</v>
      </c>
      <c r="E924">
        <v>15.141666669999999</v>
      </c>
      <c r="F924">
        <v>21.008333329999999</v>
      </c>
      <c r="G924">
        <v>3.7258333330000002</v>
      </c>
      <c r="H924">
        <v>2.7083333330000001</v>
      </c>
      <c r="I924">
        <v>4.6500000000000004</v>
      </c>
      <c r="J924">
        <v>4694.9516670000003</v>
      </c>
      <c r="K924">
        <v>3682.791667</v>
      </c>
      <c r="L924">
        <v>5830.4166670000004</v>
      </c>
      <c r="M924">
        <v>13.90583333</v>
      </c>
      <c r="N924">
        <v>11.38666667</v>
      </c>
      <c r="O924">
        <v>16.776666670000001</v>
      </c>
      <c r="Q924" t="s">
        <v>236</v>
      </c>
      <c r="R924" t="s">
        <v>10210</v>
      </c>
      <c r="S924" t="s">
        <v>9058</v>
      </c>
      <c r="T924" t="s">
        <v>9061</v>
      </c>
    </row>
    <row r="925" spans="1:20" x14ac:dyDescent="0.25">
      <c r="A925" t="s">
        <v>8221</v>
      </c>
      <c r="B925">
        <v>-30.81</v>
      </c>
      <c r="C925">
        <v>108</v>
      </c>
      <c r="D925">
        <v>17.939166669999999</v>
      </c>
      <c r="E925">
        <v>15.1875</v>
      </c>
      <c r="F925">
        <v>20.51</v>
      </c>
      <c r="G925">
        <v>1.6625000000000001</v>
      </c>
      <c r="H925">
        <v>0.79</v>
      </c>
      <c r="I925">
        <v>2.4166666669999999</v>
      </c>
      <c r="J925">
        <v>4141.2741669999996</v>
      </c>
      <c r="K925">
        <v>3146.854167</v>
      </c>
      <c r="L925">
        <v>5361.6458329999996</v>
      </c>
      <c r="M925">
        <v>14.664999999999999</v>
      </c>
      <c r="N925">
        <v>12.570833329999999</v>
      </c>
      <c r="O925">
        <v>17.044166669999999</v>
      </c>
      <c r="Q925" t="s">
        <v>236</v>
      </c>
      <c r="R925" t="s">
        <v>10212</v>
      </c>
      <c r="S925" t="s">
        <v>9065</v>
      </c>
      <c r="T925" t="s">
        <v>9066</v>
      </c>
    </row>
    <row r="926" spans="1:20" x14ac:dyDescent="0.25">
      <c r="A926" t="s">
        <v>10213</v>
      </c>
      <c r="B926">
        <v>-30.81</v>
      </c>
      <c r="C926">
        <v>109.5</v>
      </c>
      <c r="D926">
        <v>18.602499999999999</v>
      </c>
      <c r="E926">
        <v>15.856666669999999</v>
      </c>
      <c r="F926">
        <v>21.10166667</v>
      </c>
      <c r="G926">
        <v>1.56</v>
      </c>
      <c r="H926">
        <v>0.71666666700000003</v>
      </c>
      <c r="I926">
        <v>2.2000000000000002</v>
      </c>
      <c r="J926">
        <v>4619.2216669999998</v>
      </c>
      <c r="K926">
        <v>3826.583333</v>
      </c>
      <c r="L926">
        <v>5670.125</v>
      </c>
      <c r="M926">
        <v>15.22916667</v>
      </c>
      <c r="N926">
        <v>12.91666667</v>
      </c>
      <c r="O926">
        <v>17.835000000000001</v>
      </c>
      <c r="Q926" t="s">
        <v>236</v>
      </c>
      <c r="R926" t="s">
        <v>10212</v>
      </c>
      <c r="S926" t="s">
        <v>9058</v>
      </c>
      <c r="T926" t="s">
        <v>9061</v>
      </c>
    </row>
    <row r="927" spans="1:20" x14ac:dyDescent="0.25">
      <c r="A927" t="s">
        <v>10214</v>
      </c>
      <c r="B927">
        <v>-29.37</v>
      </c>
      <c r="C927">
        <v>831.5</v>
      </c>
      <c r="D927">
        <v>16.258333329999999</v>
      </c>
      <c r="E927">
        <v>13.505000000000001</v>
      </c>
      <c r="F927">
        <v>18.904166669999999</v>
      </c>
      <c r="G927">
        <v>2.8250000000000002</v>
      </c>
      <c r="H927">
        <v>1.631666667</v>
      </c>
      <c r="I927">
        <v>3.8333333330000001</v>
      </c>
      <c r="J927">
        <v>4563.9758330000004</v>
      </c>
      <c r="K927">
        <v>3541.583333</v>
      </c>
      <c r="L927">
        <v>5688.2083329999996</v>
      </c>
      <c r="M927">
        <v>12.68083333</v>
      </c>
      <c r="N927">
        <v>10.501666670000001</v>
      </c>
      <c r="O927">
        <v>15.27</v>
      </c>
      <c r="Q927" t="s">
        <v>236</v>
      </c>
      <c r="R927" t="s">
        <v>10215</v>
      </c>
      <c r="S927" t="s">
        <v>9058</v>
      </c>
      <c r="T927" t="s">
        <v>9061</v>
      </c>
    </row>
    <row r="928" spans="1:20" x14ac:dyDescent="0.25">
      <c r="A928" t="s">
        <v>8227</v>
      </c>
      <c r="B928">
        <v>-29.37</v>
      </c>
      <c r="C928">
        <v>830</v>
      </c>
      <c r="D928">
        <v>15.66583333</v>
      </c>
      <c r="E928">
        <v>12.91416667</v>
      </c>
      <c r="F928">
        <v>18.126666669999999</v>
      </c>
      <c r="G928">
        <v>2.8725000000000001</v>
      </c>
      <c r="H928">
        <v>1.483333333</v>
      </c>
      <c r="I928">
        <v>4.016666667</v>
      </c>
      <c r="J928">
        <v>3996.1541670000001</v>
      </c>
      <c r="K928">
        <v>2461.125</v>
      </c>
      <c r="L928">
        <v>5562.4583329999996</v>
      </c>
      <c r="M928">
        <v>12.8575</v>
      </c>
      <c r="N928">
        <v>10.95333333</v>
      </c>
      <c r="O928">
        <v>14.955833330000001</v>
      </c>
      <c r="Q928" t="s">
        <v>236</v>
      </c>
      <c r="R928" t="s">
        <v>10216</v>
      </c>
      <c r="S928" t="s">
        <v>9065</v>
      </c>
      <c r="T928" t="s">
        <v>9066</v>
      </c>
    </row>
    <row r="929" spans="1:20" x14ac:dyDescent="0.25">
      <c r="A929" t="s">
        <v>8231</v>
      </c>
      <c r="B929">
        <v>-31.41</v>
      </c>
      <c r="C929">
        <v>464</v>
      </c>
      <c r="D929">
        <v>16.272500000000001</v>
      </c>
      <c r="E929">
        <v>13.3725</v>
      </c>
      <c r="F929">
        <v>18.899999999999999</v>
      </c>
      <c r="G929">
        <v>5.1425000000000001</v>
      </c>
      <c r="H929">
        <v>3.74</v>
      </c>
      <c r="I929">
        <v>6.3849999999999998</v>
      </c>
      <c r="J929">
        <v>4052.8666669999998</v>
      </c>
      <c r="K929">
        <v>2938.9375</v>
      </c>
      <c r="L929">
        <v>5302.4791670000004</v>
      </c>
      <c r="M929">
        <v>13.15416667</v>
      </c>
      <c r="N929">
        <v>10.811666669999999</v>
      </c>
      <c r="O929">
        <v>15.695</v>
      </c>
      <c r="Q929" t="s">
        <v>236</v>
      </c>
      <c r="R929" t="s">
        <v>10217</v>
      </c>
      <c r="S929" t="s">
        <v>9065</v>
      </c>
      <c r="T929" t="s">
        <v>9066</v>
      </c>
    </row>
    <row r="930" spans="1:20" x14ac:dyDescent="0.25">
      <c r="A930" t="s">
        <v>10218</v>
      </c>
      <c r="B930">
        <v>-31.41</v>
      </c>
      <c r="C930">
        <v>465.5</v>
      </c>
      <c r="D930">
        <v>17.28916667</v>
      </c>
      <c r="E930">
        <v>14.455</v>
      </c>
      <c r="F930">
        <v>19.926666669999999</v>
      </c>
      <c r="G930">
        <v>4.0466666670000002</v>
      </c>
      <c r="H930">
        <v>2.7250000000000001</v>
      </c>
      <c r="I930">
        <v>5.2391666670000001</v>
      </c>
      <c r="J930">
        <v>4407.3249999999998</v>
      </c>
      <c r="K930">
        <v>3172.416667</v>
      </c>
      <c r="L930">
        <v>5791.5625</v>
      </c>
      <c r="M930">
        <v>13.53333333</v>
      </c>
      <c r="N930">
        <v>11.143333330000001</v>
      </c>
      <c r="O930">
        <v>16.375</v>
      </c>
      <c r="Q930" t="s">
        <v>236</v>
      </c>
      <c r="R930" t="s">
        <v>10217</v>
      </c>
      <c r="S930" t="s">
        <v>9058</v>
      </c>
      <c r="T930" t="s">
        <v>9061</v>
      </c>
    </row>
    <row r="931" spans="1:20" x14ac:dyDescent="0.25">
      <c r="A931" t="s">
        <v>10219</v>
      </c>
      <c r="B931">
        <v>-29.17</v>
      </c>
      <c r="C931">
        <v>759</v>
      </c>
      <c r="D931">
        <v>16.96083333</v>
      </c>
      <c r="E931">
        <v>14.0825</v>
      </c>
      <c r="F931">
        <v>19.675000000000001</v>
      </c>
      <c r="G931">
        <v>2.7191666670000001</v>
      </c>
      <c r="H931">
        <v>1.7649999999999999</v>
      </c>
      <c r="I931">
        <v>3.45</v>
      </c>
      <c r="J931">
        <v>4579.9274999999998</v>
      </c>
      <c r="K931">
        <v>3467.666667</v>
      </c>
      <c r="L931">
        <v>5775.5416670000004</v>
      </c>
      <c r="M931">
        <v>13.5725</v>
      </c>
      <c r="N931">
        <v>11.186666669999999</v>
      </c>
      <c r="O931">
        <v>16.27</v>
      </c>
      <c r="Q931" t="s">
        <v>236</v>
      </c>
      <c r="R931" t="s">
        <v>10220</v>
      </c>
      <c r="S931" t="s">
        <v>9058</v>
      </c>
      <c r="T931" t="s">
        <v>9061</v>
      </c>
    </row>
    <row r="932" spans="1:20" x14ac:dyDescent="0.25">
      <c r="A932" t="s">
        <v>8294</v>
      </c>
      <c r="B932">
        <v>-33.74</v>
      </c>
      <c r="C932">
        <v>26</v>
      </c>
      <c r="D932">
        <v>17.278333329999999</v>
      </c>
      <c r="E932">
        <v>15.27166667</v>
      </c>
      <c r="F932">
        <v>19.301666669999999</v>
      </c>
      <c r="G932">
        <v>3.684166667</v>
      </c>
      <c r="H932">
        <v>2.2033333329999998</v>
      </c>
      <c r="I932">
        <v>4.6466666669999999</v>
      </c>
      <c r="J932">
        <v>4483.4833330000001</v>
      </c>
      <c r="K932">
        <v>3398.875</v>
      </c>
      <c r="L932">
        <v>5745.9791670000004</v>
      </c>
      <c r="M932">
        <v>13.605833329999999</v>
      </c>
      <c r="N932">
        <v>11.115</v>
      </c>
      <c r="O932">
        <v>16.48</v>
      </c>
      <c r="Q932" t="s">
        <v>236</v>
      </c>
      <c r="R932" t="s">
        <v>10221</v>
      </c>
      <c r="S932" t="s">
        <v>9065</v>
      </c>
      <c r="T932" t="s">
        <v>9066</v>
      </c>
    </row>
    <row r="933" spans="1:20" x14ac:dyDescent="0.25">
      <c r="A933" t="s">
        <v>10222</v>
      </c>
      <c r="B933">
        <v>-33.74</v>
      </c>
      <c r="C933">
        <v>27.5</v>
      </c>
      <c r="D933">
        <v>17.54</v>
      </c>
      <c r="E933">
        <v>15.81833333</v>
      </c>
      <c r="F933">
        <v>19.245000000000001</v>
      </c>
      <c r="G933">
        <v>5.0599999999999996</v>
      </c>
      <c r="H933">
        <v>3.3250000000000002</v>
      </c>
      <c r="I933">
        <v>6.4741666670000004</v>
      </c>
      <c r="J933">
        <v>4682.0358329999999</v>
      </c>
      <c r="K933">
        <v>3975.145833</v>
      </c>
      <c r="L933">
        <v>5761.5833329999996</v>
      </c>
      <c r="M933">
        <v>14.07</v>
      </c>
      <c r="N933">
        <v>11.73833333</v>
      </c>
      <c r="O933">
        <v>16.553333330000001</v>
      </c>
      <c r="Q933" t="s">
        <v>236</v>
      </c>
      <c r="R933" t="s">
        <v>10221</v>
      </c>
      <c r="S933" t="s">
        <v>9058</v>
      </c>
      <c r="T933" t="s">
        <v>9061</v>
      </c>
    </row>
    <row r="934" spans="1:20" x14ac:dyDescent="0.25">
      <c r="A934" t="s">
        <v>8239</v>
      </c>
      <c r="B934">
        <v>-28.6</v>
      </c>
      <c r="C934">
        <v>432</v>
      </c>
      <c r="D934">
        <v>18.587499999999999</v>
      </c>
      <c r="E934">
        <v>15.065</v>
      </c>
      <c r="F934">
        <v>21.87833333</v>
      </c>
      <c r="G934">
        <v>3.3725000000000001</v>
      </c>
      <c r="H934">
        <v>1.98</v>
      </c>
      <c r="I934">
        <v>4.6266666670000003</v>
      </c>
      <c r="J934">
        <v>4828.5541670000002</v>
      </c>
      <c r="K934">
        <v>3874.479167</v>
      </c>
      <c r="L934">
        <v>6053.2708329999996</v>
      </c>
      <c r="M934">
        <v>13.241666670000001</v>
      </c>
      <c r="N934">
        <v>10.8675</v>
      </c>
      <c r="O934">
        <v>15.786666670000001</v>
      </c>
      <c r="Q934" t="s">
        <v>236</v>
      </c>
      <c r="R934" t="s">
        <v>10223</v>
      </c>
      <c r="S934" t="s">
        <v>9065</v>
      </c>
      <c r="T934" t="s">
        <v>9066</v>
      </c>
    </row>
    <row r="935" spans="1:20" x14ac:dyDescent="0.25">
      <c r="A935" t="s">
        <v>10224</v>
      </c>
      <c r="B935">
        <v>-28.63</v>
      </c>
      <c r="C935">
        <v>433.5</v>
      </c>
      <c r="D935">
        <v>19.145</v>
      </c>
      <c r="E935">
        <v>15.85416667</v>
      </c>
      <c r="F935">
        <v>22.173333329999998</v>
      </c>
      <c r="G935">
        <v>3.0858333330000001</v>
      </c>
      <c r="H935">
        <v>2.0316666670000001</v>
      </c>
      <c r="I935">
        <v>3.9024999999999999</v>
      </c>
      <c r="J935">
        <v>4873.2991670000001</v>
      </c>
      <c r="K935">
        <v>3968.708333</v>
      </c>
      <c r="L935">
        <v>6094.0625</v>
      </c>
      <c r="M935">
        <v>13.864166669999999</v>
      </c>
      <c r="N935">
        <v>11.295</v>
      </c>
      <c r="O935">
        <v>16.803333330000001</v>
      </c>
      <c r="Q935" t="s">
        <v>236</v>
      </c>
      <c r="R935" t="s">
        <v>10225</v>
      </c>
      <c r="S935" t="s">
        <v>9058</v>
      </c>
      <c r="T935" t="s">
        <v>9061</v>
      </c>
    </row>
    <row r="936" spans="1:20" x14ac:dyDescent="0.25">
      <c r="A936" t="s">
        <v>10226</v>
      </c>
      <c r="B936">
        <v>-30.98</v>
      </c>
      <c r="C936">
        <v>171.5</v>
      </c>
      <c r="D936">
        <v>18.4575</v>
      </c>
      <c r="E936">
        <v>14.89833333</v>
      </c>
      <c r="F936">
        <v>21.798333329999998</v>
      </c>
      <c r="G936">
        <v>3.7149999999999999</v>
      </c>
      <c r="H936">
        <v>2.34</v>
      </c>
      <c r="I936">
        <v>4.8250000000000002</v>
      </c>
      <c r="J936">
        <v>4914.38</v>
      </c>
      <c r="K936">
        <v>4077.875</v>
      </c>
      <c r="L936">
        <v>6060.4166670000004</v>
      </c>
      <c r="M936">
        <v>12.848333330000001</v>
      </c>
      <c r="N936">
        <v>10.153333330000001</v>
      </c>
      <c r="O936">
        <v>15.72833333</v>
      </c>
      <c r="Q936" t="s">
        <v>236</v>
      </c>
      <c r="R936" t="s">
        <v>10227</v>
      </c>
      <c r="S936" t="s">
        <v>9058</v>
      </c>
      <c r="T936" t="s">
        <v>9061</v>
      </c>
    </row>
    <row r="937" spans="1:20" x14ac:dyDescent="0.25">
      <c r="A937" t="s">
        <v>10228</v>
      </c>
      <c r="B937">
        <v>-30.53</v>
      </c>
      <c r="C937">
        <v>428</v>
      </c>
      <c r="D937">
        <v>17.127500000000001</v>
      </c>
      <c r="E937">
        <v>13.91416667</v>
      </c>
      <c r="F937">
        <v>20.255833330000002</v>
      </c>
      <c r="G937">
        <v>1.2366666669999999</v>
      </c>
      <c r="H937">
        <v>0.65</v>
      </c>
      <c r="I937">
        <v>1.455833333</v>
      </c>
      <c r="J937">
        <v>5095.51</v>
      </c>
      <c r="K937">
        <v>4489.0625</v>
      </c>
      <c r="L937">
        <v>5846.4375</v>
      </c>
      <c r="M937">
        <v>13.01333333</v>
      </c>
      <c r="N937">
        <v>10.571666670000001</v>
      </c>
      <c r="O937">
        <v>15.786666670000001</v>
      </c>
      <c r="Q937" t="s">
        <v>236</v>
      </c>
      <c r="R937" t="s">
        <v>10229</v>
      </c>
      <c r="S937" t="s">
        <v>9058</v>
      </c>
      <c r="T937" t="s">
        <v>9059</v>
      </c>
    </row>
    <row r="938" spans="1:20" x14ac:dyDescent="0.25">
      <c r="A938" t="s">
        <v>10230</v>
      </c>
      <c r="B938">
        <v>-30.53</v>
      </c>
      <c r="C938">
        <v>428</v>
      </c>
      <c r="D938">
        <v>17.68416667</v>
      </c>
      <c r="E938">
        <v>14.89583333</v>
      </c>
      <c r="F938">
        <v>20.466666669999999</v>
      </c>
      <c r="G938">
        <v>1.7108333330000001</v>
      </c>
      <c r="H938">
        <v>0.58333333300000001</v>
      </c>
      <c r="I938">
        <v>2.7166666670000001</v>
      </c>
      <c r="J938">
        <v>4584.0524999999998</v>
      </c>
      <c r="K938">
        <v>3552.583333</v>
      </c>
      <c r="L938">
        <v>5756.3125</v>
      </c>
      <c r="M938">
        <v>13.551666669999999</v>
      </c>
      <c r="N938">
        <v>11.154999999999999</v>
      </c>
      <c r="O938">
        <v>16.443333330000002</v>
      </c>
      <c r="Q938" t="s">
        <v>236</v>
      </c>
      <c r="R938" t="s">
        <v>10229</v>
      </c>
      <c r="S938" t="s">
        <v>9058</v>
      </c>
      <c r="T938" t="s">
        <v>9061</v>
      </c>
    </row>
    <row r="939" spans="1:20" x14ac:dyDescent="0.25">
      <c r="A939" t="s">
        <v>8228</v>
      </c>
      <c r="B939">
        <v>-27.63</v>
      </c>
      <c r="C939">
        <v>765</v>
      </c>
      <c r="D939">
        <v>17.462499999999999</v>
      </c>
      <c r="E939">
        <v>14.21666667</v>
      </c>
      <c r="F939">
        <v>20.603333330000002</v>
      </c>
      <c r="G939">
        <v>2.19</v>
      </c>
      <c r="H939">
        <v>1.45</v>
      </c>
      <c r="I939">
        <v>2.8766666669999998</v>
      </c>
      <c r="J939">
        <v>4675.4466670000002</v>
      </c>
      <c r="K939">
        <v>3681.125</v>
      </c>
      <c r="L939">
        <v>5901.9375</v>
      </c>
      <c r="M939">
        <v>12.676666669999999</v>
      </c>
      <c r="N939">
        <v>10.76333333</v>
      </c>
      <c r="O939">
        <v>14.835000000000001</v>
      </c>
      <c r="Q939" t="s">
        <v>236</v>
      </c>
      <c r="R939" t="s">
        <v>10231</v>
      </c>
      <c r="S939" t="s">
        <v>9065</v>
      </c>
      <c r="T939" t="s">
        <v>9066</v>
      </c>
    </row>
    <row r="940" spans="1:20" x14ac:dyDescent="0.25">
      <c r="A940" t="s">
        <v>10232</v>
      </c>
      <c r="B940">
        <v>-27.67</v>
      </c>
      <c r="C940">
        <v>766.5</v>
      </c>
      <c r="D940">
        <v>17.982500000000002</v>
      </c>
      <c r="E940">
        <v>14.93166667</v>
      </c>
      <c r="F940">
        <v>21.19083333</v>
      </c>
      <c r="G940">
        <v>1.5641666670000001</v>
      </c>
      <c r="H940">
        <v>0.83166666700000003</v>
      </c>
      <c r="I940">
        <v>2.1666666669999999</v>
      </c>
      <c r="J940">
        <v>5023.518333</v>
      </c>
      <c r="K940">
        <v>4161.1041670000004</v>
      </c>
      <c r="L940">
        <v>6126.8125</v>
      </c>
      <c r="M940">
        <v>13.16416667</v>
      </c>
      <c r="N940">
        <v>11.305</v>
      </c>
      <c r="O940">
        <v>15.70166667</v>
      </c>
      <c r="Q940" t="s">
        <v>236</v>
      </c>
      <c r="R940" t="s">
        <v>10231</v>
      </c>
      <c r="S940" t="s">
        <v>9058</v>
      </c>
      <c r="T940" t="s">
        <v>9061</v>
      </c>
    </row>
    <row r="941" spans="1:20" x14ac:dyDescent="0.25">
      <c r="A941" t="s">
        <v>8215</v>
      </c>
      <c r="B941">
        <v>-27.4</v>
      </c>
      <c r="C941">
        <v>490</v>
      </c>
      <c r="D941">
        <v>19.268333330000001</v>
      </c>
      <c r="E941">
        <v>16.25416667</v>
      </c>
      <c r="F941">
        <v>22.22666667</v>
      </c>
      <c r="G941">
        <v>1.9991666669999999</v>
      </c>
      <c r="H941">
        <v>0.86666666699999995</v>
      </c>
      <c r="I941">
        <v>2.8849999999999998</v>
      </c>
      <c r="J941">
        <v>4637.0600000000004</v>
      </c>
      <c r="K941">
        <v>3559.770833</v>
      </c>
      <c r="L941">
        <v>5912.75</v>
      </c>
      <c r="M941">
        <v>13.82416667</v>
      </c>
      <c r="N941">
        <v>11.6275</v>
      </c>
      <c r="O941">
        <v>16.24583333</v>
      </c>
      <c r="Q941" t="s">
        <v>236</v>
      </c>
      <c r="R941" t="s">
        <v>10233</v>
      </c>
      <c r="S941" t="s">
        <v>9065</v>
      </c>
      <c r="T941" t="s">
        <v>9066</v>
      </c>
    </row>
    <row r="942" spans="1:20" x14ac:dyDescent="0.25">
      <c r="A942" t="s">
        <v>10234</v>
      </c>
      <c r="B942">
        <v>-27.4</v>
      </c>
      <c r="C942">
        <v>491.5</v>
      </c>
      <c r="D942">
        <v>20.137499999999999</v>
      </c>
      <c r="E942">
        <v>17.079999999999998</v>
      </c>
      <c r="F942">
        <v>23.188333329999999</v>
      </c>
      <c r="G942">
        <v>1.7308333330000001</v>
      </c>
      <c r="H942">
        <v>0.806666667</v>
      </c>
      <c r="I942">
        <v>2.4</v>
      </c>
      <c r="J942">
        <v>5010.6899999999996</v>
      </c>
      <c r="K942">
        <v>4232.2083329999996</v>
      </c>
      <c r="L942">
        <v>6062.3958329999996</v>
      </c>
      <c r="M942">
        <v>14.824999999999999</v>
      </c>
      <c r="N942">
        <v>12.911666670000001</v>
      </c>
      <c r="O942">
        <v>17.168333329999999</v>
      </c>
      <c r="Q942" t="s">
        <v>236</v>
      </c>
      <c r="R942" t="s">
        <v>10233</v>
      </c>
      <c r="S942" t="s">
        <v>9058</v>
      </c>
      <c r="T942" t="s">
        <v>9061</v>
      </c>
    </row>
    <row r="943" spans="1:20" x14ac:dyDescent="0.25">
      <c r="A943" t="s">
        <v>10235</v>
      </c>
      <c r="B943">
        <v>-27.18</v>
      </c>
      <c r="C943">
        <v>247</v>
      </c>
      <c r="D943">
        <v>20.46</v>
      </c>
      <c r="E943">
        <v>17.403333329999999</v>
      </c>
      <c r="F943">
        <v>23.25333333</v>
      </c>
      <c r="G943">
        <v>2.0375000000000001</v>
      </c>
      <c r="H943">
        <v>1.175</v>
      </c>
      <c r="I943">
        <v>2.7183333329999999</v>
      </c>
      <c r="J943">
        <v>4782.9166670000004</v>
      </c>
      <c r="K943">
        <v>3827.958333</v>
      </c>
      <c r="L943">
        <v>5890.2291670000004</v>
      </c>
      <c r="M943">
        <v>16.204166669999999</v>
      </c>
      <c r="N943">
        <v>14.08666667</v>
      </c>
      <c r="O943">
        <v>18.536666669999999</v>
      </c>
      <c r="Q943" t="s">
        <v>236</v>
      </c>
      <c r="R943" t="s">
        <v>10236</v>
      </c>
      <c r="S943" t="s">
        <v>9058</v>
      </c>
      <c r="T943" t="s">
        <v>9061</v>
      </c>
    </row>
    <row r="944" spans="1:20" x14ac:dyDescent="0.25">
      <c r="A944" t="s">
        <v>8237</v>
      </c>
      <c r="B944">
        <v>-32.57</v>
      </c>
      <c r="C944">
        <v>47</v>
      </c>
      <c r="D944">
        <v>17.889166670000002</v>
      </c>
      <c r="E944">
        <v>15.21166667</v>
      </c>
      <c r="F944">
        <v>20.553333330000001</v>
      </c>
      <c r="G944">
        <v>2.8566666669999998</v>
      </c>
      <c r="H944">
        <v>1.5725</v>
      </c>
      <c r="I944">
        <v>3.835</v>
      </c>
      <c r="J944">
        <v>4332.9858329999997</v>
      </c>
      <c r="K944">
        <v>3476.479167</v>
      </c>
      <c r="L944">
        <v>5458.3125</v>
      </c>
      <c r="M944">
        <v>13.762499999999999</v>
      </c>
      <c r="N944">
        <v>11.487500000000001</v>
      </c>
      <c r="O944">
        <v>16.438333329999999</v>
      </c>
      <c r="Q944" t="s">
        <v>236</v>
      </c>
      <c r="R944" t="s">
        <v>10237</v>
      </c>
      <c r="S944" t="s">
        <v>9065</v>
      </c>
      <c r="T944" t="s">
        <v>9066</v>
      </c>
    </row>
    <row r="945" spans="1:20" x14ac:dyDescent="0.25">
      <c r="A945" t="s">
        <v>10238</v>
      </c>
      <c r="B945">
        <v>-32.549999999999997</v>
      </c>
      <c r="C945">
        <v>48.5</v>
      </c>
      <c r="D945">
        <v>17.884166669999999</v>
      </c>
      <c r="E945">
        <v>15.04666667</v>
      </c>
      <c r="F945">
        <v>20.589166670000001</v>
      </c>
      <c r="G945">
        <v>2.93</v>
      </c>
      <c r="H945">
        <v>1.3666666670000001</v>
      </c>
      <c r="I945">
        <v>4.13</v>
      </c>
      <c r="J945">
        <v>4695.835</v>
      </c>
      <c r="K945">
        <v>3830.625</v>
      </c>
      <c r="L945">
        <v>5837.5625</v>
      </c>
      <c r="M945">
        <v>13.77166667</v>
      </c>
      <c r="N945">
        <v>11.04666667</v>
      </c>
      <c r="O945">
        <v>16.603333330000002</v>
      </c>
      <c r="Q945" t="s">
        <v>236</v>
      </c>
      <c r="R945" t="s">
        <v>10237</v>
      </c>
      <c r="S945" t="s">
        <v>9058</v>
      </c>
      <c r="T945" t="s">
        <v>9061</v>
      </c>
    </row>
    <row r="946" spans="1:20" x14ac:dyDescent="0.25">
      <c r="A946" t="s">
        <v>8224</v>
      </c>
      <c r="B946">
        <v>-28.22</v>
      </c>
      <c r="C946">
        <v>842</v>
      </c>
      <c r="D946">
        <v>16.63</v>
      </c>
      <c r="E946">
        <v>13.6</v>
      </c>
      <c r="F946">
        <v>19.571666669999999</v>
      </c>
      <c r="G946">
        <v>3.3616666670000002</v>
      </c>
      <c r="H946">
        <v>2.4083333329999999</v>
      </c>
      <c r="I946">
        <v>4.2</v>
      </c>
      <c r="J946">
        <v>4454.0741669999998</v>
      </c>
      <c r="K946">
        <v>3372.520833</v>
      </c>
      <c r="L946">
        <v>5740.5208329999996</v>
      </c>
      <c r="M946">
        <v>12.099166670000001</v>
      </c>
      <c r="N946">
        <v>10.12166667</v>
      </c>
      <c r="O946">
        <v>14.255000000000001</v>
      </c>
      <c r="Q946" t="s">
        <v>236</v>
      </c>
      <c r="R946" t="s">
        <v>10239</v>
      </c>
      <c r="S946" t="s">
        <v>9065</v>
      </c>
      <c r="T946" t="s">
        <v>9066</v>
      </c>
    </row>
    <row r="947" spans="1:20" x14ac:dyDescent="0.25">
      <c r="A947" t="s">
        <v>10240</v>
      </c>
      <c r="B947">
        <v>-28.22</v>
      </c>
      <c r="C947">
        <v>843.5</v>
      </c>
      <c r="D947">
        <v>17.549166670000002</v>
      </c>
      <c r="E947">
        <v>14.731666669999999</v>
      </c>
      <c r="F947">
        <v>20.45333333</v>
      </c>
      <c r="G947">
        <v>3.2116666669999998</v>
      </c>
      <c r="H947">
        <v>2.2400000000000002</v>
      </c>
      <c r="I947">
        <v>4.0833333329999997</v>
      </c>
      <c r="J947">
        <v>4834.7483329999995</v>
      </c>
      <c r="K947">
        <v>4038.041667</v>
      </c>
      <c r="L947">
        <v>5941.9375</v>
      </c>
      <c r="M947">
        <v>13.044166669999999</v>
      </c>
      <c r="N947">
        <v>11.0875</v>
      </c>
      <c r="O947">
        <v>15.66333333</v>
      </c>
      <c r="Q947" t="s">
        <v>236</v>
      </c>
      <c r="R947" t="s">
        <v>10239</v>
      </c>
      <c r="S947" t="s">
        <v>9058</v>
      </c>
      <c r="T947" t="s">
        <v>9061</v>
      </c>
    </row>
    <row r="948" spans="1:20" x14ac:dyDescent="0.25">
      <c r="A948" t="s">
        <v>8365</v>
      </c>
      <c r="B948">
        <v>-31.25</v>
      </c>
      <c r="C948">
        <v>10</v>
      </c>
      <c r="D948">
        <v>18.89916667</v>
      </c>
      <c r="E948">
        <v>17.53166667</v>
      </c>
      <c r="F948">
        <v>20.399999999999999</v>
      </c>
      <c r="G948">
        <v>5.9008333329999996</v>
      </c>
      <c r="H948">
        <v>3.7483333330000002</v>
      </c>
      <c r="I948">
        <v>7.82</v>
      </c>
      <c r="J948">
        <v>4794.6850000000004</v>
      </c>
      <c r="K948">
        <v>3915.5625</v>
      </c>
      <c r="L948">
        <v>5954.5625</v>
      </c>
      <c r="M948">
        <v>15.189166670000001</v>
      </c>
      <c r="N948">
        <v>13.106666669999999</v>
      </c>
      <c r="O948">
        <v>17.551666669999999</v>
      </c>
      <c r="Q948" t="s">
        <v>236</v>
      </c>
      <c r="R948" t="s">
        <v>10241</v>
      </c>
      <c r="S948" t="s">
        <v>9065</v>
      </c>
      <c r="T948" t="s">
        <v>9066</v>
      </c>
    </row>
    <row r="949" spans="1:20" x14ac:dyDescent="0.25">
      <c r="A949" t="s">
        <v>10242</v>
      </c>
      <c r="B949">
        <v>-31.25</v>
      </c>
      <c r="C949">
        <v>11.5</v>
      </c>
      <c r="D949">
        <v>19.26583333</v>
      </c>
      <c r="E949">
        <v>17.785</v>
      </c>
      <c r="F949">
        <v>20.94166667</v>
      </c>
      <c r="G949">
        <v>4.2949999999999999</v>
      </c>
      <c r="H949">
        <v>2.4183333330000001</v>
      </c>
      <c r="I949">
        <v>5.733333333</v>
      </c>
      <c r="J949">
        <v>4422.04</v>
      </c>
      <c r="K949">
        <v>3843.770833</v>
      </c>
      <c r="L949">
        <v>5174.4166670000004</v>
      </c>
      <c r="M949">
        <v>15.5175</v>
      </c>
      <c r="N949">
        <v>13.34166667</v>
      </c>
      <c r="O949">
        <v>18.12833333</v>
      </c>
      <c r="Q949" t="s">
        <v>236</v>
      </c>
      <c r="R949" t="s">
        <v>10243</v>
      </c>
      <c r="S949" t="s">
        <v>9058</v>
      </c>
      <c r="T949" t="s">
        <v>9059</v>
      </c>
    </row>
    <row r="950" spans="1:20" x14ac:dyDescent="0.25">
      <c r="A950" t="s">
        <v>10244</v>
      </c>
      <c r="B950">
        <v>-31.25</v>
      </c>
      <c r="C950">
        <v>11.5</v>
      </c>
      <c r="D950">
        <v>19.674166670000002</v>
      </c>
      <c r="E950">
        <v>18.366666670000001</v>
      </c>
      <c r="F950">
        <v>20.991666670000001</v>
      </c>
      <c r="G950">
        <v>5.2766666669999998</v>
      </c>
      <c r="H950">
        <v>3.0383333330000002</v>
      </c>
      <c r="I950">
        <v>7.2433333329999998</v>
      </c>
      <c r="J950">
        <v>4809.6374999999998</v>
      </c>
      <c r="K950">
        <v>4128.6041670000004</v>
      </c>
      <c r="L950">
        <v>5724.1458329999996</v>
      </c>
      <c r="M950">
        <v>15.650833329999999</v>
      </c>
      <c r="N950">
        <v>13.616666670000001</v>
      </c>
      <c r="O950">
        <v>18.07833333</v>
      </c>
      <c r="Q950" t="s">
        <v>236</v>
      </c>
      <c r="R950" t="s">
        <v>10243</v>
      </c>
      <c r="S950" t="s">
        <v>9058</v>
      </c>
      <c r="T950" t="s">
        <v>9061</v>
      </c>
    </row>
    <row r="951" spans="1:20" x14ac:dyDescent="0.25">
      <c r="A951" t="s">
        <v>8214</v>
      </c>
      <c r="B951">
        <v>-27.92</v>
      </c>
      <c r="C951">
        <v>642</v>
      </c>
      <c r="D951">
        <v>18.389166670000002</v>
      </c>
      <c r="E951">
        <v>15.25666667</v>
      </c>
      <c r="F951">
        <v>21.543333329999999</v>
      </c>
      <c r="G951">
        <v>2.6475</v>
      </c>
      <c r="H951">
        <v>1.5</v>
      </c>
      <c r="I951">
        <v>3.5583333330000002</v>
      </c>
      <c r="J951">
        <v>4604.6091669999996</v>
      </c>
      <c r="K951">
        <v>3515.020833</v>
      </c>
      <c r="L951">
        <v>5894.1666670000004</v>
      </c>
      <c r="M951">
        <v>13.150833329999999</v>
      </c>
      <c r="N951">
        <v>10.86083333</v>
      </c>
      <c r="O951">
        <v>15.535</v>
      </c>
      <c r="Q951" t="s">
        <v>236</v>
      </c>
      <c r="R951" t="s">
        <v>10245</v>
      </c>
      <c r="S951" t="s">
        <v>9065</v>
      </c>
      <c r="T951" t="s">
        <v>9066</v>
      </c>
    </row>
    <row r="952" spans="1:20" x14ac:dyDescent="0.25">
      <c r="A952" t="s">
        <v>10246</v>
      </c>
      <c r="B952">
        <v>-27.92</v>
      </c>
      <c r="C952">
        <v>643.5</v>
      </c>
      <c r="D952">
        <v>18.951666670000002</v>
      </c>
      <c r="E952">
        <v>15.64833333</v>
      </c>
      <c r="F952">
        <v>22.283333330000001</v>
      </c>
      <c r="G952">
        <v>2.514166667</v>
      </c>
      <c r="H952">
        <v>1.4083333330000001</v>
      </c>
      <c r="I952">
        <v>3.375</v>
      </c>
      <c r="J952">
        <v>5046.7383330000002</v>
      </c>
      <c r="K952">
        <v>4364.3333329999996</v>
      </c>
      <c r="L952">
        <v>6075.9166670000004</v>
      </c>
      <c r="M952">
        <v>13.54</v>
      </c>
      <c r="N952">
        <v>11.27333333</v>
      </c>
      <c r="O952">
        <v>16.145833329999999</v>
      </c>
      <c r="Q952" t="s">
        <v>236</v>
      </c>
      <c r="R952" t="s">
        <v>10245</v>
      </c>
      <c r="S952" t="s">
        <v>9058</v>
      </c>
      <c r="T952" t="s">
        <v>9061</v>
      </c>
    </row>
    <row r="953" spans="1:20" x14ac:dyDescent="0.25">
      <c r="A953" t="s">
        <v>8208</v>
      </c>
      <c r="B953">
        <v>-28.26</v>
      </c>
      <c r="C953">
        <v>684</v>
      </c>
      <c r="D953">
        <v>17.510833330000001</v>
      </c>
      <c r="E953">
        <v>14.44</v>
      </c>
      <c r="F953">
        <v>20.463333330000001</v>
      </c>
      <c r="G953">
        <v>3.6116666670000002</v>
      </c>
      <c r="H953">
        <v>2.4483333329999999</v>
      </c>
      <c r="I953">
        <v>4.6516666669999998</v>
      </c>
      <c r="J953">
        <v>4574.8900000000003</v>
      </c>
      <c r="K953">
        <v>3508.979167</v>
      </c>
      <c r="L953">
        <v>5881.3541670000004</v>
      </c>
      <c r="M953">
        <v>12.922499999999999</v>
      </c>
      <c r="N953">
        <v>10.731666669999999</v>
      </c>
      <c r="O953">
        <v>15.214166669999999</v>
      </c>
      <c r="Q953" t="s">
        <v>236</v>
      </c>
      <c r="R953" t="s">
        <v>10247</v>
      </c>
      <c r="S953" t="s">
        <v>9065</v>
      </c>
      <c r="T953" t="s">
        <v>9066</v>
      </c>
    </row>
    <row r="954" spans="1:20" x14ac:dyDescent="0.25">
      <c r="A954" t="s">
        <v>10248</v>
      </c>
      <c r="B954">
        <v>-28.23</v>
      </c>
      <c r="C954">
        <v>685.5</v>
      </c>
      <c r="D954">
        <v>18.21166667</v>
      </c>
      <c r="E954">
        <v>15.06916667</v>
      </c>
      <c r="F954">
        <v>21.353333330000002</v>
      </c>
      <c r="G954">
        <v>3.2966666670000002</v>
      </c>
      <c r="H954">
        <v>2.2083333330000001</v>
      </c>
      <c r="I954">
        <v>4.2350000000000003</v>
      </c>
      <c r="J954">
        <v>4913.8433329999998</v>
      </c>
      <c r="K954">
        <v>4062.083333</v>
      </c>
      <c r="L954">
        <v>6001.6041670000004</v>
      </c>
      <c r="M954">
        <v>13.18083333</v>
      </c>
      <c r="N954">
        <v>11.17333333</v>
      </c>
      <c r="O954">
        <v>15.75</v>
      </c>
      <c r="Q954" t="s">
        <v>236</v>
      </c>
      <c r="R954" t="s">
        <v>10247</v>
      </c>
      <c r="S954" t="s">
        <v>9058</v>
      </c>
      <c r="T954" t="s">
        <v>9061</v>
      </c>
    </row>
    <row r="955" spans="1:20" x14ac:dyDescent="0.25">
      <c r="A955" t="s">
        <v>10249</v>
      </c>
      <c r="B955">
        <v>-28.24</v>
      </c>
      <c r="C955">
        <v>724.2</v>
      </c>
      <c r="D955">
        <v>17.99583333</v>
      </c>
      <c r="E955">
        <v>14.93416667</v>
      </c>
      <c r="F955">
        <v>21.295000000000002</v>
      </c>
      <c r="G955">
        <v>3.7658333329999998</v>
      </c>
      <c r="H955">
        <v>2.1716666670000002</v>
      </c>
      <c r="I955">
        <v>5.244166667</v>
      </c>
      <c r="J955">
        <v>5045.7408329999998</v>
      </c>
      <c r="K955">
        <v>4324.2291670000004</v>
      </c>
      <c r="L955">
        <v>5938.5208329999996</v>
      </c>
      <c r="M955">
        <v>12.89583333</v>
      </c>
      <c r="N955">
        <v>10.686666669999999</v>
      </c>
      <c r="O955">
        <v>15.605</v>
      </c>
      <c r="Q955" t="s">
        <v>236</v>
      </c>
      <c r="R955" t="s">
        <v>10250</v>
      </c>
      <c r="S955" t="s">
        <v>9058</v>
      </c>
      <c r="T955" t="s">
        <v>9059</v>
      </c>
    </row>
    <row r="956" spans="1:20" x14ac:dyDescent="0.25">
      <c r="A956" t="s">
        <v>10251</v>
      </c>
      <c r="B956">
        <v>-28.24</v>
      </c>
      <c r="C956">
        <v>724.2</v>
      </c>
      <c r="D956">
        <v>18.131666670000001</v>
      </c>
      <c r="E956">
        <v>15.241666670000001</v>
      </c>
      <c r="F956">
        <v>21.02</v>
      </c>
      <c r="G956">
        <v>4.3083333330000002</v>
      </c>
      <c r="H956">
        <v>2.8166666669999998</v>
      </c>
      <c r="I956">
        <v>5.4850000000000003</v>
      </c>
      <c r="J956">
        <v>4734.8458330000003</v>
      </c>
      <c r="K956">
        <v>3654.583333</v>
      </c>
      <c r="L956">
        <v>5884.3541670000004</v>
      </c>
      <c r="M956">
        <v>13.5875</v>
      </c>
      <c r="N956">
        <v>11.5</v>
      </c>
      <c r="O956">
        <v>16.11</v>
      </c>
      <c r="Q956" t="s">
        <v>236</v>
      </c>
      <c r="R956" t="s">
        <v>10250</v>
      </c>
      <c r="S956" t="s">
        <v>9058</v>
      </c>
      <c r="T956" t="s">
        <v>9061</v>
      </c>
    </row>
    <row r="957" spans="1:20" x14ac:dyDescent="0.25">
      <c r="A957" t="s">
        <v>10252</v>
      </c>
      <c r="B957">
        <v>-31.72</v>
      </c>
      <c r="C957">
        <v>18</v>
      </c>
      <c r="D957">
        <v>18.730833329999999</v>
      </c>
      <c r="E957">
        <v>15.64</v>
      </c>
      <c r="F957">
        <v>21.715833329999999</v>
      </c>
      <c r="G957">
        <v>3.6466666669999999</v>
      </c>
      <c r="H957">
        <v>2.0691666670000002</v>
      </c>
      <c r="I957">
        <v>4.9666666670000001</v>
      </c>
      <c r="J957">
        <v>4352.7141670000001</v>
      </c>
      <c r="K957">
        <v>3329.75</v>
      </c>
      <c r="L957">
        <v>5368.5625</v>
      </c>
      <c r="M957">
        <v>14.91333333</v>
      </c>
      <c r="N957">
        <v>11.8775</v>
      </c>
      <c r="O957">
        <v>18.278333329999999</v>
      </c>
      <c r="Q957" t="s">
        <v>236</v>
      </c>
      <c r="R957" t="s">
        <v>10253</v>
      </c>
      <c r="S957" t="s">
        <v>9058</v>
      </c>
      <c r="T957" t="s">
        <v>9059</v>
      </c>
    </row>
    <row r="958" spans="1:20" x14ac:dyDescent="0.25">
      <c r="A958" t="s">
        <v>10254</v>
      </c>
      <c r="B958">
        <v>-31.72</v>
      </c>
      <c r="C958">
        <v>18</v>
      </c>
      <c r="D958">
        <v>19.22666667</v>
      </c>
      <c r="E958">
        <v>16.53833333</v>
      </c>
      <c r="F958">
        <v>21.88666667</v>
      </c>
      <c r="G958">
        <v>3.5733333329999999</v>
      </c>
      <c r="H958">
        <v>2.121666667</v>
      </c>
      <c r="I958">
        <v>4.8</v>
      </c>
      <c r="J958">
        <v>4540.0091670000002</v>
      </c>
      <c r="K958">
        <v>3586.25</v>
      </c>
      <c r="L958">
        <v>5717.6875</v>
      </c>
      <c r="M958">
        <v>15.37916667</v>
      </c>
      <c r="N958">
        <v>12.706666670000001</v>
      </c>
      <c r="O958">
        <v>18.450833329999998</v>
      </c>
      <c r="Q958" t="s">
        <v>236</v>
      </c>
      <c r="R958" t="s">
        <v>10253</v>
      </c>
      <c r="S958" t="s">
        <v>9058</v>
      </c>
      <c r="T958" t="s">
        <v>9061</v>
      </c>
    </row>
    <row r="959" spans="1:20" x14ac:dyDescent="0.25">
      <c r="A959" t="s">
        <v>10255</v>
      </c>
      <c r="B959">
        <v>-29.95</v>
      </c>
      <c r="C959">
        <v>7.9</v>
      </c>
      <c r="D959">
        <v>19.339166670000001</v>
      </c>
      <c r="E959">
        <v>16.324999999999999</v>
      </c>
      <c r="F959">
        <v>22.241666670000001</v>
      </c>
      <c r="G959">
        <v>2.92</v>
      </c>
      <c r="H959">
        <v>1.298333333</v>
      </c>
      <c r="I959">
        <v>4.1375000000000002</v>
      </c>
      <c r="J959">
        <v>4507.8466669999998</v>
      </c>
      <c r="K959">
        <v>3510.479167</v>
      </c>
      <c r="L959">
        <v>5622.375</v>
      </c>
      <c r="M959">
        <v>15.03333333</v>
      </c>
      <c r="N959">
        <v>12.50666667</v>
      </c>
      <c r="O959">
        <v>17.82833333</v>
      </c>
      <c r="Q959" t="s">
        <v>236</v>
      </c>
      <c r="R959" t="s">
        <v>10256</v>
      </c>
      <c r="S959" t="s">
        <v>9058</v>
      </c>
      <c r="T959" t="s">
        <v>9059</v>
      </c>
    </row>
    <row r="960" spans="1:20" x14ac:dyDescent="0.25">
      <c r="A960" t="s">
        <v>10257</v>
      </c>
      <c r="B960">
        <v>-29.95</v>
      </c>
      <c r="C960">
        <v>7.9</v>
      </c>
      <c r="D960">
        <v>19.46083333</v>
      </c>
      <c r="E960">
        <v>16.494166669999998</v>
      </c>
      <c r="F960">
        <v>22.126666669999999</v>
      </c>
      <c r="G960">
        <v>2.94</v>
      </c>
      <c r="H960">
        <v>1.4666666669999999</v>
      </c>
      <c r="I960">
        <v>4.1566666669999996</v>
      </c>
      <c r="J960">
        <v>4539.6991669999998</v>
      </c>
      <c r="K960">
        <v>3481.541667</v>
      </c>
      <c r="L960">
        <v>5655.9791670000004</v>
      </c>
      <c r="M960">
        <v>15.4025</v>
      </c>
      <c r="N960">
        <v>13.116666670000001</v>
      </c>
      <c r="O960">
        <v>17.880833330000002</v>
      </c>
      <c r="Q960" t="s">
        <v>236</v>
      </c>
      <c r="R960" t="s">
        <v>10256</v>
      </c>
      <c r="S960" t="s">
        <v>9058</v>
      </c>
      <c r="T960" t="s">
        <v>9061</v>
      </c>
    </row>
    <row r="961" spans="1:20" x14ac:dyDescent="0.25">
      <c r="A961" t="s">
        <v>10258</v>
      </c>
      <c r="B961">
        <v>-29.99</v>
      </c>
      <c r="C961">
        <v>3.4</v>
      </c>
      <c r="D961">
        <v>20.149999999999999</v>
      </c>
      <c r="E961">
        <v>17.458333329999999</v>
      </c>
      <c r="F961">
        <v>22.533333330000001</v>
      </c>
      <c r="G961">
        <v>3.2916666669999999</v>
      </c>
      <c r="H961">
        <v>1.868333333</v>
      </c>
      <c r="I961">
        <v>4.5250000000000004</v>
      </c>
      <c r="J961">
        <v>4414.5283330000002</v>
      </c>
      <c r="K961">
        <v>3382.354167</v>
      </c>
      <c r="L961">
        <v>5533.6041670000004</v>
      </c>
      <c r="M961">
        <v>16.03083333</v>
      </c>
      <c r="N961">
        <v>13.61916667</v>
      </c>
      <c r="O961">
        <v>18.41</v>
      </c>
      <c r="Q961" t="s">
        <v>236</v>
      </c>
      <c r="R961" t="s">
        <v>10259</v>
      </c>
      <c r="S961" t="s">
        <v>9058</v>
      </c>
      <c r="T961" t="s">
        <v>9059</v>
      </c>
    </row>
    <row r="962" spans="1:20" x14ac:dyDescent="0.25">
      <c r="A962" t="s">
        <v>10260</v>
      </c>
      <c r="B962">
        <v>-29.99</v>
      </c>
      <c r="C962">
        <v>3.4</v>
      </c>
      <c r="D962">
        <v>20.045833330000001</v>
      </c>
      <c r="E962">
        <v>17.291666670000001</v>
      </c>
      <c r="F962">
        <v>22.533333330000001</v>
      </c>
      <c r="G962">
        <v>3.41</v>
      </c>
      <c r="H962">
        <v>1.941666667</v>
      </c>
      <c r="I962">
        <v>4.625</v>
      </c>
      <c r="J962">
        <v>4603.0891670000001</v>
      </c>
      <c r="K962">
        <v>3678.833333</v>
      </c>
      <c r="L962">
        <v>5719.1875</v>
      </c>
      <c r="M962">
        <v>15.80916667</v>
      </c>
      <c r="N962">
        <v>13.202500000000001</v>
      </c>
      <c r="O962">
        <v>18.395</v>
      </c>
      <c r="Q962" t="s">
        <v>236</v>
      </c>
      <c r="R962" t="s">
        <v>10259</v>
      </c>
      <c r="S962" t="s">
        <v>9058</v>
      </c>
      <c r="T962" t="s">
        <v>9061</v>
      </c>
    </row>
    <row r="963" spans="1:20" x14ac:dyDescent="0.25">
      <c r="A963" t="s">
        <v>8219</v>
      </c>
      <c r="B963">
        <v>-30.03</v>
      </c>
      <c r="C963">
        <v>47</v>
      </c>
      <c r="D963">
        <v>20.043333329999999</v>
      </c>
      <c r="E963">
        <v>17.305</v>
      </c>
      <c r="F963">
        <v>22.465</v>
      </c>
      <c r="G963">
        <v>1.548333333</v>
      </c>
      <c r="H963">
        <v>0.75833333300000005</v>
      </c>
      <c r="I963">
        <v>2.2200000000000002</v>
      </c>
      <c r="J963">
        <v>4198.6575000000003</v>
      </c>
      <c r="K963">
        <v>3055.104167</v>
      </c>
      <c r="L963">
        <v>5508.8958329999996</v>
      </c>
      <c r="M963">
        <v>14.9475</v>
      </c>
      <c r="N963">
        <v>12.96</v>
      </c>
      <c r="O963">
        <v>17.324999999999999</v>
      </c>
      <c r="Q963" t="s">
        <v>236</v>
      </c>
      <c r="R963" t="s">
        <v>10261</v>
      </c>
      <c r="S963" t="s">
        <v>9065</v>
      </c>
      <c r="T963" t="s">
        <v>9066</v>
      </c>
    </row>
    <row r="964" spans="1:20" x14ac:dyDescent="0.25">
      <c r="A964" t="s">
        <v>10262</v>
      </c>
      <c r="B964">
        <v>-30.05</v>
      </c>
      <c r="C964">
        <v>48.5</v>
      </c>
      <c r="D964">
        <v>20.396666669999998</v>
      </c>
      <c r="E964">
        <v>17.62166667</v>
      </c>
      <c r="F964">
        <v>22.88666667</v>
      </c>
      <c r="G964">
        <v>1.5349999999999999</v>
      </c>
      <c r="H964">
        <v>0.83333333300000001</v>
      </c>
      <c r="I964">
        <v>2.0516666670000001</v>
      </c>
      <c r="J964">
        <v>4668.3866669999998</v>
      </c>
      <c r="K964">
        <v>4008.895833</v>
      </c>
      <c r="L964">
        <v>5624.2916670000004</v>
      </c>
      <c r="M964">
        <v>15.910833330000001</v>
      </c>
      <c r="N964">
        <v>13.87</v>
      </c>
      <c r="O964">
        <v>18.305833329999999</v>
      </c>
      <c r="Q964" t="s">
        <v>236</v>
      </c>
      <c r="R964" t="s">
        <v>10261</v>
      </c>
      <c r="S964" t="s">
        <v>9058</v>
      </c>
      <c r="T964" t="s">
        <v>9061</v>
      </c>
    </row>
    <row r="965" spans="1:20" x14ac:dyDescent="0.25">
      <c r="A965" t="s">
        <v>8415</v>
      </c>
      <c r="B965">
        <v>-30.37</v>
      </c>
      <c r="C965">
        <v>124</v>
      </c>
      <c r="D965">
        <v>19.07833333</v>
      </c>
      <c r="E965">
        <v>15.448333330000001</v>
      </c>
      <c r="F965">
        <v>22.676666669999999</v>
      </c>
      <c r="G965">
        <v>3.1541666670000001</v>
      </c>
      <c r="H965">
        <v>1.8416666669999999</v>
      </c>
      <c r="I965">
        <v>4.2850000000000001</v>
      </c>
      <c r="J965">
        <v>4720.0608329999995</v>
      </c>
      <c r="K965">
        <v>4088.458333</v>
      </c>
      <c r="L965">
        <v>5784.2708329999996</v>
      </c>
      <c r="M965">
        <v>12.7125</v>
      </c>
      <c r="N965">
        <v>10.199999999999999</v>
      </c>
      <c r="O965">
        <v>15.5</v>
      </c>
      <c r="Q965" t="s">
        <v>236</v>
      </c>
      <c r="R965" t="s">
        <v>10263</v>
      </c>
      <c r="S965" t="s">
        <v>9065</v>
      </c>
      <c r="T965" t="s">
        <v>9066</v>
      </c>
    </row>
    <row r="966" spans="1:20" x14ac:dyDescent="0.25">
      <c r="A966" t="s">
        <v>10264</v>
      </c>
      <c r="B966">
        <v>-30.37</v>
      </c>
      <c r="C966">
        <v>125.5</v>
      </c>
      <c r="D966">
        <v>18.98</v>
      </c>
      <c r="E966">
        <v>15.278333330000001</v>
      </c>
      <c r="F966">
        <v>22.704166669999999</v>
      </c>
      <c r="G966">
        <v>2.2799999999999998</v>
      </c>
      <c r="H966">
        <v>0.698333333</v>
      </c>
      <c r="I966">
        <v>3.5</v>
      </c>
      <c r="J966">
        <v>5084.2558330000002</v>
      </c>
      <c r="K966">
        <v>4411.1875</v>
      </c>
      <c r="L966">
        <v>6113.625</v>
      </c>
      <c r="M966">
        <v>13.221666669999999</v>
      </c>
      <c r="N966">
        <v>10.53333333</v>
      </c>
      <c r="O966">
        <v>16.208333329999999</v>
      </c>
      <c r="Q966" t="s">
        <v>236</v>
      </c>
      <c r="R966" t="s">
        <v>10263</v>
      </c>
      <c r="S966" t="s">
        <v>9058</v>
      </c>
      <c r="T966" t="s">
        <v>9061</v>
      </c>
    </row>
    <row r="967" spans="1:20" x14ac:dyDescent="0.25">
      <c r="A967" t="s">
        <v>10265</v>
      </c>
      <c r="B967">
        <v>-32.03</v>
      </c>
      <c r="C967">
        <v>4</v>
      </c>
      <c r="D967">
        <v>18.930833329999999</v>
      </c>
      <c r="E967">
        <v>17.100000000000001</v>
      </c>
      <c r="F967">
        <v>20.762499999999999</v>
      </c>
      <c r="G967">
        <v>3.4591666669999999</v>
      </c>
      <c r="H967">
        <v>1.9466666669999999</v>
      </c>
      <c r="I967">
        <v>4.7450000000000001</v>
      </c>
      <c r="J967">
        <v>4717.7475000000004</v>
      </c>
      <c r="K967">
        <v>4103.2708329999996</v>
      </c>
      <c r="L967">
        <v>5431.2083329999996</v>
      </c>
      <c r="M967">
        <v>14.82</v>
      </c>
      <c r="N967">
        <v>12.362500000000001</v>
      </c>
      <c r="O967">
        <v>17.491666670000001</v>
      </c>
      <c r="Q967" t="s">
        <v>236</v>
      </c>
      <c r="R967" t="s">
        <v>10266</v>
      </c>
      <c r="S967" t="s">
        <v>9058</v>
      </c>
      <c r="T967" t="s">
        <v>9059</v>
      </c>
    </row>
    <row r="968" spans="1:20" x14ac:dyDescent="0.25">
      <c r="A968" t="s">
        <v>10267</v>
      </c>
      <c r="B968">
        <v>-32.03</v>
      </c>
      <c r="C968">
        <v>4</v>
      </c>
      <c r="D968">
        <v>18.87916667</v>
      </c>
      <c r="E968">
        <v>17.36333333</v>
      </c>
      <c r="F968">
        <v>20.33666667</v>
      </c>
      <c r="G968">
        <v>4.1974999999999998</v>
      </c>
      <c r="H968">
        <v>2.463333333</v>
      </c>
      <c r="I968">
        <v>5.6583333329999999</v>
      </c>
      <c r="J968">
        <v>4648.92</v>
      </c>
      <c r="K968">
        <v>3890.083333</v>
      </c>
      <c r="L968">
        <v>5637.1458329999996</v>
      </c>
      <c r="M968">
        <v>14.624166669999999</v>
      </c>
      <c r="N968">
        <v>12.28833333</v>
      </c>
      <c r="O968">
        <v>17.241666670000001</v>
      </c>
      <c r="Q968" t="s">
        <v>236</v>
      </c>
      <c r="R968" t="s">
        <v>10266</v>
      </c>
      <c r="S968" t="s">
        <v>9058</v>
      </c>
      <c r="T968" t="s">
        <v>9061</v>
      </c>
    </row>
    <row r="969" spans="1:20" x14ac:dyDescent="0.25">
      <c r="A969" t="s">
        <v>8263</v>
      </c>
      <c r="B969">
        <v>-29.87</v>
      </c>
      <c r="C969">
        <v>111</v>
      </c>
      <c r="D969">
        <v>18.8125</v>
      </c>
      <c r="E969">
        <v>15.925000000000001</v>
      </c>
      <c r="F969">
        <v>21.513333329999998</v>
      </c>
      <c r="G969">
        <v>2.8650000000000002</v>
      </c>
      <c r="H969">
        <v>1.8833333329999999</v>
      </c>
      <c r="I969">
        <v>3.641666667</v>
      </c>
      <c r="J969">
        <v>4458.9975000000004</v>
      </c>
      <c r="K969">
        <v>3361.25</v>
      </c>
      <c r="L969">
        <v>5804.4375</v>
      </c>
      <c r="M969">
        <v>14.47</v>
      </c>
      <c r="N969">
        <v>12.40666667</v>
      </c>
      <c r="O969">
        <v>16.82833333</v>
      </c>
      <c r="Q969" t="s">
        <v>236</v>
      </c>
      <c r="R969" t="s">
        <v>10268</v>
      </c>
      <c r="S969" t="s">
        <v>9065</v>
      </c>
      <c r="T969" t="s">
        <v>9066</v>
      </c>
    </row>
    <row r="970" spans="1:20" x14ac:dyDescent="0.25">
      <c r="A970" t="s">
        <v>10269</v>
      </c>
      <c r="B970">
        <v>-29.87</v>
      </c>
      <c r="C970">
        <v>112.5</v>
      </c>
      <c r="D970">
        <v>19.6875</v>
      </c>
      <c r="E970">
        <v>16.677499999999998</v>
      </c>
      <c r="F970">
        <v>22.535</v>
      </c>
      <c r="G970">
        <v>2.5775000000000001</v>
      </c>
      <c r="H970">
        <v>1.6666666670000001</v>
      </c>
      <c r="I970">
        <v>3.25</v>
      </c>
      <c r="J970">
        <v>4622.09</v>
      </c>
      <c r="K970">
        <v>3870.041667</v>
      </c>
      <c r="L970">
        <v>5589.8958329999996</v>
      </c>
      <c r="M970">
        <v>14.862500000000001</v>
      </c>
      <c r="N970">
        <v>12.696666670000001</v>
      </c>
      <c r="O970">
        <v>17.528333329999999</v>
      </c>
      <c r="Q970" t="s">
        <v>236</v>
      </c>
      <c r="R970" t="s">
        <v>10268</v>
      </c>
      <c r="S970" t="s">
        <v>9058</v>
      </c>
      <c r="T970" t="s">
        <v>9061</v>
      </c>
    </row>
    <row r="971" spans="1:20" x14ac:dyDescent="0.25">
      <c r="A971" t="s">
        <v>8209</v>
      </c>
      <c r="B971">
        <v>-29.68</v>
      </c>
      <c r="C971">
        <v>95</v>
      </c>
      <c r="D971">
        <v>19.076666670000002</v>
      </c>
      <c r="E971">
        <v>15.82</v>
      </c>
      <c r="F971">
        <v>22.006666670000001</v>
      </c>
      <c r="G971">
        <v>2.059166667</v>
      </c>
      <c r="H971">
        <v>1.175</v>
      </c>
      <c r="I971">
        <v>2.7933333330000001</v>
      </c>
      <c r="J971">
        <v>4294.1391670000003</v>
      </c>
      <c r="K971">
        <v>3282.479167</v>
      </c>
      <c r="L971">
        <v>5557.75</v>
      </c>
      <c r="M971">
        <v>14.2</v>
      </c>
      <c r="N971">
        <v>11.706666670000001</v>
      </c>
      <c r="O971">
        <v>16.98</v>
      </c>
      <c r="Q971" t="s">
        <v>236</v>
      </c>
      <c r="R971" t="s">
        <v>10270</v>
      </c>
      <c r="S971" t="s">
        <v>9065</v>
      </c>
      <c r="T971" t="s">
        <v>9066</v>
      </c>
    </row>
    <row r="972" spans="1:20" x14ac:dyDescent="0.25">
      <c r="A972" t="s">
        <v>10271</v>
      </c>
      <c r="B972">
        <v>-29.7</v>
      </c>
      <c r="C972">
        <v>95</v>
      </c>
      <c r="D972">
        <v>18.432500000000001</v>
      </c>
      <c r="E972">
        <v>14.660833330000001</v>
      </c>
      <c r="F972">
        <v>22.012499999999999</v>
      </c>
      <c r="G972">
        <v>1.6583333330000001</v>
      </c>
      <c r="H972">
        <v>0.75666666699999996</v>
      </c>
      <c r="I972">
        <v>2.4583333330000001</v>
      </c>
      <c r="J972">
        <v>4893.9441669999997</v>
      </c>
      <c r="K972">
        <v>4462.7083329999996</v>
      </c>
      <c r="L972">
        <v>5601.8125</v>
      </c>
      <c r="M972">
        <v>14.813333330000001</v>
      </c>
      <c r="N972">
        <v>12.3925</v>
      </c>
      <c r="O972">
        <v>17.701666670000002</v>
      </c>
      <c r="Q972" t="s">
        <v>236</v>
      </c>
      <c r="R972" t="s">
        <v>10270</v>
      </c>
      <c r="S972" t="s">
        <v>9058</v>
      </c>
      <c r="T972" t="s">
        <v>9059</v>
      </c>
    </row>
    <row r="973" spans="1:20" x14ac:dyDescent="0.25">
      <c r="A973" t="s">
        <v>10272</v>
      </c>
      <c r="B973">
        <v>-29.7</v>
      </c>
      <c r="C973">
        <v>95</v>
      </c>
      <c r="D973">
        <v>19.230833329999999</v>
      </c>
      <c r="E973">
        <v>16.194166670000001</v>
      </c>
      <c r="F973">
        <v>22.146666669999998</v>
      </c>
      <c r="G973">
        <v>2.3025000000000002</v>
      </c>
      <c r="H973">
        <v>1.516666667</v>
      </c>
      <c r="I973">
        <v>2.985833333</v>
      </c>
      <c r="J973">
        <v>4661.1416669999999</v>
      </c>
      <c r="K973">
        <v>3667.083333</v>
      </c>
      <c r="L973">
        <v>5805.5208329999996</v>
      </c>
      <c r="M973">
        <v>15.21833333</v>
      </c>
      <c r="N973">
        <v>12.645</v>
      </c>
      <c r="O973">
        <v>18.153333329999999</v>
      </c>
      <c r="Q973" t="s">
        <v>236</v>
      </c>
      <c r="R973" t="s">
        <v>10270</v>
      </c>
      <c r="S973" t="s">
        <v>9058</v>
      </c>
      <c r="T973" t="s">
        <v>9061</v>
      </c>
    </row>
    <row r="974" spans="1:20" x14ac:dyDescent="0.25">
      <c r="A974" t="s">
        <v>10273</v>
      </c>
      <c r="B974">
        <v>-29.71</v>
      </c>
      <c r="C974">
        <v>96.5</v>
      </c>
      <c r="D974">
        <v>19.818333330000002</v>
      </c>
      <c r="E974">
        <v>16.465</v>
      </c>
      <c r="F974">
        <v>22.804166670000001</v>
      </c>
      <c r="G974">
        <v>2.9575</v>
      </c>
      <c r="H974">
        <v>1.525833333</v>
      </c>
      <c r="I974">
        <v>4.0933333330000004</v>
      </c>
      <c r="J974">
        <v>4746.6099999999997</v>
      </c>
      <c r="K974">
        <v>3725.6875</v>
      </c>
      <c r="L974">
        <v>5742.9375</v>
      </c>
      <c r="M974">
        <v>15.567500000000001</v>
      </c>
      <c r="N974">
        <v>12.85083333</v>
      </c>
      <c r="O974">
        <v>18.475000000000001</v>
      </c>
      <c r="Q974" t="s">
        <v>236</v>
      </c>
      <c r="R974" t="s">
        <v>10274</v>
      </c>
      <c r="S974" t="s">
        <v>9058</v>
      </c>
      <c r="T974" t="s">
        <v>9059</v>
      </c>
    </row>
    <row r="975" spans="1:20" x14ac:dyDescent="0.25">
      <c r="A975" t="s">
        <v>10275</v>
      </c>
      <c r="B975">
        <v>-29.71</v>
      </c>
      <c r="C975">
        <v>96.5</v>
      </c>
      <c r="D975">
        <v>19.403333329999999</v>
      </c>
      <c r="E975">
        <v>15.965</v>
      </c>
      <c r="F975">
        <v>22.641666669999999</v>
      </c>
      <c r="G975">
        <v>2.4925000000000002</v>
      </c>
      <c r="H975">
        <v>1.34</v>
      </c>
      <c r="I975">
        <v>3.358333333</v>
      </c>
      <c r="J975">
        <v>4692.2616669999998</v>
      </c>
      <c r="K975">
        <v>3654.979167</v>
      </c>
      <c r="L975">
        <v>5762.6041670000004</v>
      </c>
      <c r="M975">
        <v>14.670833330000001</v>
      </c>
      <c r="N975">
        <v>12.268333330000001</v>
      </c>
      <c r="O975">
        <v>17.518333330000001</v>
      </c>
      <c r="Q975" t="s">
        <v>236</v>
      </c>
      <c r="R975" t="s">
        <v>10274</v>
      </c>
      <c r="S975" t="s">
        <v>9058</v>
      </c>
      <c r="T975" t="s">
        <v>9061</v>
      </c>
    </row>
    <row r="976" spans="1:20" x14ac:dyDescent="0.25">
      <c r="A976" t="s">
        <v>10276</v>
      </c>
      <c r="B976">
        <v>-27.88</v>
      </c>
      <c r="C976">
        <v>277.5</v>
      </c>
      <c r="D976">
        <v>20.495000000000001</v>
      </c>
      <c r="E976">
        <v>17.081666670000001</v>
      </c>
      <c r="F976">
        <v>23.92583333</v>
      </c>
      <c r="G976">
        <v>1.9366666669999999</v>
      </c>
      <c r="H976">
        <v>1.1333333329999999</v>
      </c>
      <c r="I976">
        <v>2.5583333330000002</v>
      </c>
      <c r="J976">
        <v>4942.5966669999998</v>
      </c>
      <c r="K976">
        <v>4156.0208329999996</v>
      </c>
      <c r="L976">
        <v>5988.3125</v>
      </c>
      <c r="M976">
        <v>14.72916667</v>
      </c>
      <c r="N976">
        <v>12.51333333</v>
      </c>
      <c r="O976">
        <v>17.535</v>
      </c>
      <c r="Q976" t="s">
        <v>236</v>
      </c>
      <c r="R976" t="s">
        <v>10277</v>
      </c>
      <c r="S976" t="s">
        <v>9058</v>
      </c>
      <c r="T976" t="s">
        <v>9061</v>
      </c>
    </row>
    <row r="977" spans="1:20" x14ac:dyDescent="0.25">
      <c r="A977" t="s">
        <v>8444</v>
      </c>
      <c r="B977">
        <v>-30.89</v>
      </c>
      <c r="C977">
        <v>328</v>
      </c>
      <c r="D977">
        <v>17.61</v>
      </c>
      <c r="E977">
        <v>14.09</v>
      </c>
      <c r="F977">
        <v>20.876666669999999</v>
      </c>
      <c r="G977">
        <v>3.1341666670000001</v>
      </c>
      <c r="H977">
        <v>1.9750000000000001</v>
      </c>
      <c r="I977">
        <v>3.9933333329999998</v>
      </c>
      <c r="J977">
        <v>4229.2449999999999</v>
      </c>
      <c r="K977">
        <v>3313.4375</v>
      </c>
      <c r="L977">
        <v>5436.6666670000004</v>
      </c>
      <c r="M977">
        <v>12.070833329999999</v>
      </c>
      <c r="N977">
        <v>9.3033333329999994</v>
      </c>
      <c r="O977">
        <v>15.03333333</v>
      </c>
      <c r="Q977" t="s">
        <v>236</v>
      </c>
      <c r="R977" t="s">
        <v>10278</v>
      </c>
      <c r="S977" t="s">
        <v>9065</v>
      </c>
      <c r="T977" t="s">
        <v>9066</v>
      </c>
    </row>
    <row r="978" spans="1:20" x14ac:dyDescent="0.25">
      <c r="A978" t="s">
        <v>10279</v>
      </c>
      <c r="B978">
        <v>-30.83</v>
      </c>
      <c r="C978">
        <v>329.5</v>
      </c>
      <c r="D978">
        <v>17.922499999999999</v>
      </c>
      <c r="E978">
        <v>14.705</v>
      </c>
      <c r="F978">
        <v>21.045000000000002</v>
      </c>
      <c r="G978">
        <v>3.4308333329999998</v>
      </c>
      <c r="H978">
        <v>2.2066666669999999</v>
      </c>
      <c r="I978">
        <v>4.4349999999999996</v>
      </c>
      <c r="J978">
        <v>4860.0825000000004</v>
      </c>
      <c r="K978">
        <v>3913.520833</v>
      </c>
      <c r="L978">
        <v>6034.125</v>
      </c>
      <c r="M978">
        <v>12.99333333</v>
      </c>
      <c r="N978">
        <v>10.213333329999999</v>
      </c>
      <c r="O978">
        <v>16.026666670000001</v>
      </c>
      <c r="Q978" t="s">
        <v>236</v>
      </c>
      <c r="R978" t="s">
        <v>10280</v>
      </c>
      <c r="S978" t="s">
        <v>9058</v>
      </c>
      <c r="T978" t="s">
        <v>9061</v>
      </c>
    </row>
    <row r="979" spans="1:20" x14ac:dyDescent="0.25">
      <c r="A979" t="s">
        <v>8283</v>
      </c>
      <c r="B979">
        <v>-29.19</v>
      </c>
      <c r="C979">
        <v>394</v>
      </c>
      <c r="D979">
        <v>18.647500000000001</v>
      </c>
      <c r="E979">
        <v>15.11333333</v>
      </c>
      <c r="F979">
        <v>22.054166670000001</v>
      </c>
      <c r="G979">
        <v>3.3366666669999998</v>
      </c>
      <c r="H979">
        <v>2.233333333</v>
      </c>
      <c r="I979">
        <v>4.2625000000000002</v>
      </c>
      <c r="J979">
        <v>4522.1891670000005</v>
      </c>
      <c r="K979">
        <v>3304.270833</v>
      </c>
      <c r="L979">
        <v>5815.2291670000004</v>
      </c>
      <c r="M979">
        <v>14.105833329999999</v>
      </c>
      <c r="N979">
        <v>11.79666667</v>
      </c>
      <c r="O979">
        <v>16.50333333</v>
      </c>
      <c r="Q979" t="s">
        <v>236</v>
      </c>
      <c r="R979" t="s">
        <v>10281</v>
      </c>
      <c r="S979" t="s">
        <v>9065</v>
      </c>
      <c r="T979" t="s">
        <v>9066</v>
      </c>
    </row>
    <row r="980" spans="1:20" x14ac:dyDescent="0.25">
      <c r="A980" t="s">
        <v>10282</v>
      </c>
      <c r="B980">
        <v>-29.18</v>
      </c>
      <c r="C980">
        <v>395.5</v>
      </c>
      <c r="D980">
        <v>19.13</v>
      </c>
      <c r="E980">
        <v>15.74416667</v>
      </c>
      <c r="F980">
        <v>22.32833333</v>
      </c>
      <c r="G980">
        <v>2.35</v>
      </c>
      <c r="H980">
        <v>1.433333333</v>
      </c>
      <c r="I980">
        <v>3.0249999999999999</v>
      </c>
      <c r="J980">
        <v>4880.7449999999999</v>
      </c>
      <c r="K980">
        <v>3835.833333</v>
      </c>
      <c r="L980">
        <v>6054.1666670000004</v>
      </c>
      <c r="M980">
        <v>13.8125</v>
      </c>
      <c r="N980">
        <v>11.4475</v>
      </c>
      <c r="O980">
        <v>16.579999999999998</v>
      </c>
      <c r="Q980" t="s">
        <v>236</v>
      </c>
      <c r="R980" t="s">
        <v>10281</v>
      </c>
      <c r="S980" t="s">
        <v>9058</v>
      </c>
      <c r="T980" t="s">
        <v>9061</v>
      </c>
    </row>
    <row r="981" spans="1:20" x14ac:dyDescent="0.25">
      <c r="A981" t="s">
        <v>10283</v>
      </c>
      <c r="B981">
        <v>-28.28</v>
      </c>
      <c r="C981">
        <v>321.89999999999998</v>
      </c>
      <c r="D981">
        <v>20.135833330000001</v>
      </c>
      <c r="E981">
        <v>16.681666669999998</v>
      </c>
      <c r="F981">
        <v>23.526666670000001</v>
      </c>
      <c r="G981">
        <v>3.3675000000000002</v>
      </c>
      <c r="H981">
        <v>2.2650000000000001</v>
      </c>
      <c r="I981">
        <v>4.2275</v>
      </c>
      <c r="J981">
        <v>4860.6358330000003</v>
      </c>
      <c r="K981">
        <v>3942.6875</v>
      </c>
      <c r="L981">
        <v>6108.7083329999996</v>
      </c>
      <c r="M981">
        <v>14.93333333</v>
      </c>
      <c r="N981">
        <v>12.36916667</v>
      </c>
      <c r="O981">
        <v>18.024999999999999</v>
      </c>
      <c r="Q981" t="s">
        <v>236</v>
      </c>
      <c r="R981" t="s">
        <v>10284</v>
      </c>
      <c r="S981" t="s">
        <v>9058</v>
      </c>
      <c r="T981" t="s">
        <v>9061</v>
      </c>
    </row>
    <row r="982" spans="1:20" x14ac:dyDescent="0.25">
      <c r="A982" t="s">
        <v>8210</v>
      </c>
      <c r="B982">
        <v>-27.85</v>
      </c>
      <c r="C982">
        <v>550</v>
      </c>
      <c r="D982">
        <v>19.079999999999998</v>
      </c>
      <c r="E982">
        <v>15.94333333</v>
      </c>
      <c r="F982">
        <v>22.083333329999999</v>
      </c>
      <c r="G982">
        <v>3.278333333</v>
      </c>
      <c r="H982">
        <v>2.1333333329999999</v>
      </c>
      <c r="I982">
        <v>4.3191666670000002</v>
      </c>
      <c r="J982">
        <v>4315.8508330000004</v>
      </c>
      <c r="K982">
        <v>3057.666667</v>
      </c>
      <c r="L982">
        <v>5613.7916670000004</v>
      </c>
      <c r="M982">
        <v>11.793333329999999</v>
      </c>
      <c r="N982">
        <v>9.6575000000000006</v>
      </c>
      <c r="O982">
        <v>14.195</v>
      </c>
      <c r="Q982" t="s">
        <v>236</v>
      </c>
      <c r="R982" t="s">
        <v>10285</v>
      </c>
      <c r="S982" t="s">
        <v>9065</v>
      </c>
      <c r="T982" t="s">
        <v>9066</v>
      </c>
    </row>
    <row r="983" spans="1:20" x14ac:dyDescent="0.25">
      <c r="A983" t="s">
        <v>10286</v>
      </c>
      <c r="B983">
        <v>-27.85</v>
      </c>
      <c r="C983">
        <v>551.5</v>
      </c>
      <c r="D983">
        <v>19.860833329999998</v>
      </c>
      <c r="E983">
        <v>16.587499999999999</v>
      </c>
      <c r="F983">
        <v>23.228333330000002</v>
      </c>
      <c r="G983">
        <v>2.4624999999999999</v>
      </c>
      <c r="H983">
        <v>1.5249999999999999</v>
      </c>
      <c r="I983">
        <v>3.22</v>
      </c>
      <c r="J983">
        <v>4996.2449999999999</v>
      </c>
      <c r="K983">
        <v>4203.5</v>
      </c>
      <c r="L983">
        <v>6060.8333329999996</v>
      </c>
      <c r="M983">
        <v>13.4575</v>
      </c>
      <c r="N983">
        <v>11.58</v>
      </c>
      <c r="O983">
        <v>15.935</v>
      </c>
      <c r="Q983" t="s">
        <v>236</v>
      </c>
      <c r="R983" t="s">
        <v>10285</v>
      </c>
      <c r="S983" t="s">
        <v>9058</v>
      </c>
      <c r="T983" t="s">
        <v>9061</v>
      </c>
    </row>
    <row r="984" spans="1:20" x14ac:dyDescent="0.25">
      <c r="A984" t="s">
        <v>8332</v>
      </c>
      <c r="B984">
        <v>-28.66</v>
      </c>
      <c r="C984">
        <v>83</v>
      </c>
      <c r="D984">
        <v>20.682500000000001</v>
      </c>
      <c r="E984">
        <v>17.36333333</v>
      </c>
      <c r="F984">
        <v>23.78166667</v>
      </c>
      <c r="G984">
        <v>2.8774999999999999</v>
      </c>
      <c r="H984">
        <v>1.9583333329999999</v>
      </c>
      <c r="I984">
        <v>3.7850000000000001</v>
      </c>
      <c r="J984">
        <v>4792.6824999999999</v>
      </c>
      <c r="K984">
        <v>3894.479167</v>
      </c>
      <c r="L984">
        <v>5942.9583329999996</v>
      </c>
      <c r="M984">
        <v>14.04666667</v>
      </c>
      <c r="N984">
        <v>11.474166670000001</v>
      </c>
      <c r="O984">
        <v>17.037500000000001</v>
      </c>
      <c r="Q984" t="s">
        <v>236</v>
      </c>
      <c r="R984" t="s">
        <v>10287</v>
      </c>
      <c r="S984" t="s">
        <v>9065</v>
      </c>
      <c r="T984" t="s">
        <v>9066</v>
      </c>
    </row>
    <row r="985" spans="1:20" x14ac:dyDescent="0.25">
      <c r="A985" t="s">
        <v>10288</v>
      </c>
      <c r="B985">
        <v>-28.65</v>
      </c>
      <c r="C985">
        <v>84.5</v>
      </c>
      <c r="D985">
        <v>20.752500000000001</v>
      </c>
      <c r="E985">
        <v>17.366666670000001</v>
      </c>
      <c r="F985">
        <v>23.946666669999999</v>
      </c>
      <c r="G985">
        <v>1.6683333330000001</v>
      </c>
      <c r="H985">
        <v>0.78333333299999997</v>
      </c>
      <c r="I985">
        <v>2.2000000000000002</v>
      </c>
      <c r="J985">
        <v>4974.8583330000001</v>
      </c>
      <c r="K985">
        <v>4055.083333</v>
      </c>
      <c r="L985">
        <v>6093.7916670000004</v>
      </c>
      <c r="M985">
        <v>14.705</v>
      </c>
      <c r="N985">
        <v>11.9175</v>
      </c>
      <c r="O985">
        <v>17.993333329999999</v>
      </c>
      <c r="Q985" t="s">
        <v>236</v>
      </c>
      <c r="R985" t="s">
        <v>10287</v>
      </c>
      <c r="S985" t="s">
        <v>9058</v>
      </c>
      <c r="T985" t="s">
        <v>9061</v>
      </c>
    </row>
    <row r="986" spans="1:20" x14ac:dyDescent="0.25">
      <c r="A986" t="s">
        <v>8267</v>
      </c>
      <c r="B986">
        <v>-30.34</v>
      </c>
      <c r="C986">
        <v>126</v>
      </c>
      <c r="D986">
        <v>19.095833330000001</v>
      </c>
      <c r="E986">
        <v>15.89666667</v>
      </c>
      <c r="F986">
        <v>22.198333330000001</v>
      </c>
      <c r="G986">
        <v>2.1349999999999998</v>
      </c>
      <c r="H986">
        <v>0.59666666700000004</v>
      </c>
      <c r="I986">
        <v>3.3166666669999998</v>
      </c>
      <c r="J986">
        <v>4699.9058329999998</v>
      </c>
      <c r="K986">
        <v>3730.958333</v>
      </c>
      <c r="L986">
        <v>5870.375</v>
      </c>
      <c r="M986">
        <v>13.23833333</v>
      </c>
      <c r="N986">
        <v>10.89833333</v>
      </c>
      <c r="O986">
        <v>15.94166667</v>
      </c>
      <c r="Q986" t="s">
        <v>236</v>
      </c>
      <c r="R986" t="s">
        <v>10289</v>
      </c>
      <c r="S986" t="s">
        <v>9065</v>
      </c>
      <c r="T986" t="s">
        <v>9066</v>
      </c>
    </row>
    <row r="987" spans="1:20" x14ac:dyDescent="0.25">
      <c r="A987" t="s">
        <v>10290</v>
      </c>
      <c r="B987">
        <v>-30.34</v>
      </c>
      <c r="C987">
        <v>127.5</v>
      </c>
      <c r="D987">
        <v>19.533333330000001</v>
      </c>
      <c r="E987">
        <v>16.28916667</v>
      </c>
      <c r="F987">
        <v>22.75333333</v>
      </c>
      <c r="G987">
        <v>2.5466666670000002</v>
      </c>
      <c r="H987">
        <v>1.516666667</v>
      </c>
      <c r="I987">
        <v>3.4816666669999998</v>
      </c>
      <c r="J987">
        <v>4898.3241669999998</v>
      </c>
      <c r="K987">
        <v>4054.520833</v>
      </c>
      <c r="L987">
        <v>5973.6875</v>
      </c>
      <c r="M987">
        <v>14.2</v>
      </c>
      <c r="N987">
        <v>11.53166667</v>
      </c>
      <c r="O987">
        <v>17.16</v>
      </c>
      <c r="Q987" t="s">
        <v>236</v>
      </c>
      <c r="R987" t="s">
        <v>10289</v>
      </c>
      <c r="S987" t="s">
        <v>9058</v>
      </c>
      <c r="T987" t="s">
        <v>9061</v>
      </c>
    </row>
    <row r="988" spans="1:20" x14ac:dyDescent="0.25">
      <c r="A988" t="s">
        <v>8259</v>
      </c>
      <c r="B988">
        <v>-28.75</v>
      </c>
      <c r="C988">
        <v>1244</v>
      </c>
      <c r="D988">
        <v>13.821666670000001</v>
      </c>
      <c r="E988">
        <v>11.106666669999999</v>
      </c>
      <c r="F988">
        <v>16.195</v>
      </c>
      <c r="G988">
        <v>6.15</v>
      </c>
      <c r="H988">
        <v>4.4691666669999996</v>
      </c>
      <c r="I988">
        <v>7.7108333330000001</v>
      </c>
      <c r="J988">
        <v>4216.6350000000002</v>
      </c>
      <c r="K988">
        <v>2921.770833</v>
      </c>
      <c r="L988">
        <v>5541.3125</v>
      </c>
      <c r="M988">
        <v>11.14083333</v>
      </c>
      <c r="N988">
        <v>9.3983333330000001</v>
      </c>
      <c r="O988">
        <v>13.108333330000001</v>
      </c>
      <c r="Q988" t="s">
        <v>236</v>
      </c>
      <c r="R988" t="s">
        <v>10291</v>
      </c>
      <c r="S988" t="s">
        <v>9065</v>
      </c>
      <c r="T988" t="s">
        <v>9066</v>
      </c>
    </row>
    <row r="989" spans="1:20" x14ac:dyDescent="0.25">
      <c r="A989" t="s">
        <v>10292</v>
      </c>
      <c r="B989">
        <v>-28.75</v>
      </c>
      <c r="C989">
        <v>1245.5</v>
      </c>
      <c r="D989">
        <v>14.19333333</v>
      </c>
      <c r="E989">
        <v>11.4125</v>
      </c>
      <c r="F989">
        <v>16.779166669999999</v>
      </c>
      <c r="G989">
        <v>4.0733333329999999</v>
      </c>
      <c r="H989">
        <v>2.596666667</v>
      </c>
      <c r="I989">
        <v>5.3266666669999996</v>
      </c>
      <c r="J989">
        <v>4602.6750000000002</v>
      </c>
      <c r="K989">
        <v>3614.979167</v>
      </c>
      <c r="L989">
        <v>5657.5</v>
      </c>
      <c r="M989">
        <v>11.365</v>
      </c>
      <c r="N989">
        <v>9.43</v>
      </c>
      <c r="O989">
        <v>13.795</v>
      </c>
      <c r="Q989" t="s">
        <v>236</v>
      </c>
      <c r="R989" t="s">
        <v>10291</v>
      </c>
      <c r="S989" t="s">
        <v>9058</v>
      </c>
      <c r="T989" t="s">
        <v>9061</v>
      </c>
    </row>
    <row r="990" spans="1:20" x14ac:dyDescent="0.25">
      <c r="A990" t="s">
        <v>8211</v>
      </c>
      <c r="B990">
        <v>-28.41</v>
      </c>
      <c r="C990">
        <v>245</v>
      </c>
      <c r="D990">
        <v>20.28</v>
      </c>
      <c r="E990">
        <v>16.84</v>
      </c>
      <c r="F990">
        <v>23.658333330000001</v>
      </c>
      <c r="G990">
        <v>2.7308333330000001</v>
      </c>
      <c r="H990">
        <v>1.905</v>
      </c>
      <c r="I990">
        <v>3.5350000000000001</v>
      </c>
      <c r="J990">
        <v>4902.2866670000003</v>
      </c>
      <c r="K990">
        <v>3891.166667</v>
      </c>
      <c r="L990">
        <v>6126.8958329999996</v>
      </c>
      <c r="M990">
        <v>13.650833329999999</v>
      </c>
      <c r="N990">
        <v>11.05</v>
      </c>
      <c r="O990">
        <v>16.426666669999999</v>
      </c>
      <c r="Q990" t="s">
        <v>236</v>
      </c>
      <c r="R990" t="s">
        <v>10293</v>
      </c>
      <c r="S990" t="s">
        <v>9065</v>
      </c>
      <c r="T990" t="s">
        <v>9066</v>
      </c>
    </row>
    <row r="991" spans="1:20" x14ac:dyDescent="0.25">
      <c r="A991" t="s">
        <v>10294</v>
      </c>
      <c r="B991">
        <v>-28.42</v>
      </c>
      <c r="C991">
        <v>246.5</v>
      </c>
      <c r="D991">
        <v>20.888333329999998</v>
      </c>
      <c r="E991">
        <v>17.145833329999999</v>
      </c>
      <c r="F991">
        <v>24.6</v>
      </c>
      <c r="G991">
        <v>2.8149999999999999</v>
      </c>
      <c r="H991">
        <v>2</v>
      </c>
      <c r="I991">
        <v>3.5249999999999999</v>
      </c>
      <c r="J991">
        <v>5023.9133330000004</v>
      </c>
      <c r="K991">
        <v>4208.4375</v>
      </c>
      <c r="L991">
        <v>6122.7708329999996</v>
      </c>
      <c r="M991">
        <v>14.07</v>
      </c>
      <c r="N991">
        <v>11.55</v>
      </c>
      <c r="O991">
        <v>17.045000000000002</v>
      </c>
      <c r="Q991" t="s">
        <v>236</v>
      </c>
      <c r="R991" t="s">
        <v>10293</v>
      </c>
      <c r="S991" t="s">
        <v>9058</v>
      </c>
      <c r="T991" t="s">
        <v>9061</v>
      </c>
    </row>
    <row r="992" spans="1:20" x14ac:dyDescent="0.25">
      <c r="A992" t="s">
        <v>10295</v>
      </c>
      <c r="B992">
        <v>-28.4</v>
      </c>
      <c r="C992">
        <v>245</v>
      </c>
      <c r="D992">
        <v>19.105833329999999</v>
      </c>
      <c r="E992">
        <v>14.827500000000001</v>
      </c>
      <c r="F992">
        <v>23.362500000000001</v>
      </c>
      <c r="G992">
        <v>2.5808333330000002</v>
      </c>
      <c r="H992">
        <v>1.7549999999999999</v>
      </c>
      <c r="I992">
        <v>3.3441666670000001</v>
      </c>
      <c r="J992">
        <v>5247.5349999999999</v>
      </c>
      <c r="K992">
        <v>4709.7291670000004</v>
      </c>
      <c r="L992">
        <v>6067.125</v>
      </c>
      <c r="M992">
        <v>14.93083333</v>
      </c>
      <c r="N992">
        <v>12.364166669999999</v>
      </c>
      <c r="O992">
        <v>18.053333330000001</v>
      </c>
      <c r="Q992" t="s">
        <v>236</v>
      </c>
      <c r="R992" t="s">
        <v>10296</v>
      </c>
      <c r="S992" t="s">
        <v>9058</v>
      </c>
      <c r="T992" t="s">
        <v>9059</v>
      </c>
    </row>
    <row r="993" spans="1:20" x14ac:dyDescent="0.25">
      <c r="A993" t="s">
        <v>10297</v>
      </c>
      <c r="B993">
        <v>-28.4</v>
      </c>
      <c r="C993">
        <v>245</v>
      </c>
      <c r="D993">
        <v>20.6175</v>
      </c>
      <c r="E993">
        <v>17.59333333</v>
      </c>
      <c r="F993">
        <v>23.818333330000002</v>
      </c>
      <c r="G993">
        <v>2.8208333329999999</v>
      </c>
      <c r="H993">
        <v>2.016666667</v>
      </c>
      <c r="I993">
        <v>3.5416666669999999</v>
      </c>
      <c r="J993">
        <v>4872.0375000000004</v>
      </c>
      <c r="K993">
        <v>3848.6875</v>
      </c>
      <c r="L993">
        <v>6045.6875</v>
      </c>
      <c r="M993">
        <v>15.455</v>
      </c>
      <c r="N993">
        <v>12.768333330000001</v>
      </c>
      <c r="O993">
        <v>18.56666667</v>
      </c>
      <c r="Q993" t="s">
        <v>236</v>
      </c>
      <c r="R993" t="s">
        <v>10296</v>
      </c>
      <c r="S993" t="s">
        <v>9058</v>
      </c>
      <c r="T993" t="s">
        <v>9061</v>
      </c>
    </row>
    <row r="994" spans="1:20" x14ac:dyDescent="0.25">
      <c r="A994" t="s">
        <v>8216</v>
      </c>
      <c r="B994">
        <v>-28.85</v>
      </c>
      <c r="C994">
        <v>667</v>
      </c>
      <c r="D994">
        <v>17.424166670000002</v>
      </c>
      <c r="E994">
        <v>14.36166667</v>
      </c>
      <c r="F994">
        <v>20.452500000000001</v>
      </c>
      <c r="G994">
        <v>4.2975000000000003</v>
      </c>
      <c r="H994">
        <v>2.8483333329999998</v>
      </c>
      <c r="I994">
        <v>5.5183333330000002</v>
      </c>
      <c r="J994">
        <v>4337.2883330000004</v>
      </c>
      <c r="K994">
        <v>3156.208333</v>
      </c>
      <c r="L994">
        <v>5709.0833329999996</v>
      </c>
      <c r="M994">
        <v>13.33333333</v>
      </c>
      <c r="N994">
        <v>11.305</v>
      </c>
      <c r="O994">
        <v>15.47833333</v>
      </c>
      <c r="Q994" t="s">
        <v>236</v>
      </c>
      <c r="R994" t="s">
        <v>10298</v>
      </c>
      <c r="S994" t="s">
        <v>9065</v>
      </c>
      <c r="T994" t="s">
        <v>9066</v>
      </c>
    </row>
    <row r="995" spans="1:20" x14ac:dyDescent="0.25">
      <c r="A995" t="s">
        <v>10299</v>
      </c>
      <c r="B995">
        <v>-28.85</v>
      </c>
      <c r="C995">
        <v>668.5</v>
      </c>
      <c r="D995">
        <v>17.861666670000002</v>
      </c>
      <c r="E995">
        <v>14.65583333</v>
      </c>
      <c r="F995">
        <v>21.001666669999999</v>
      </c>
      <c r="G995">
        <v>4.1891666670000003</v>
      </c>
      <c r="H995">
        <v>2.8233333329999999</v>
      </c>
      <c r="I995">
        <v>5.358333333</v>
      </c>
      <c r="J995">
        <v>4776.8941670000004</v>
      </c>
      <c r="K995">
        <v>3771.208333</v>
      </c>
      <c r="L995">
        <v>5905</v>
      </c>
      <c r="M995">
        <v>13.10083333</v>
      </c>
      <c r="N995">
        <v>11.00666667</v>
      </c>
      <c r="O995">
        <v>15.77916667</v>
      </c>
      <c r="Q995" t="s">
        <v>236</v>
      </c>
      <c r="R995" t="s">
        <v>10298</v>
      </c>
      <c r="S995" t="s">
        <v>9058</v>
      </c>
      <c r="T995" t="s">
        <v>9061</v>
      </c>
    </row>
    <row r="996" spans="1:20" x14ac:dyDescent="0.25">
      <c r="A996" t="s">
        <v>10300</v>
      </c>
      <c r="B996">
        <v>-33.520000000000003</v>
      </c>
      <c r="C996">
        <v>24</v>
      </c>
      <c r="D996">
        <v>17.814166669999999</v>
      </c>
      <c r="E996">
        <v>15.1175</v>
      </c>
      <c r="F996">
        <v>20.44166667</v>
      </c>
      <c r="G996">
        <v>2.4224999999999999</v>
      </c>
      <c r="H996">
        <v>1.2416666670000001</v>
      </c>
      <c r="I996">
        <v>3.6333333329999999</v>
      </c>
      <c r="J996">
        <v>4870.2166669999997</v>
      </c>
      <c r="K996">
        <v>4446.8125</v>
      </c>
      <c r="L996">
        <v>5515.7916670000004</v>
      </c>
      <c r="M996">
        <v>13.768333330000001</v>
      </c>
      <c r="N996">
        <v>11.07583333</v>
      </c>
      <c r="O996">
        <v>16.662500000000001</v>
      </c>
      <c r="Q996" t="s">
        <v>236</v>
      </c>
      <c r="R996" t="s">
        <v>10301</v>
      </c>
      <c r="S996" t="s">
        <v>9058</v>
      </c>
      <c r="T996" t="s">
        <v>9059</v>
      </c>
    </row>
    <row r="997" spans="1:20" x14ac:dyDescent="0.25">
      <c r="A997" t="s">
        <v>10302</v>
      </c>
      <c r="B997">
        <v>-33.520000000000003</v>
      </c>
      <c r="C997">
        <v>24</v>
      </c>
      <c r="D997">
        <v>17.66333333</v>
      </c>
      <c r="E997">
        <v>15.598333330000001</v>
      </c>
      <c r="F997">
        <v>19.535</v>
      </c>
      <c r="G997">
        <v>3.4249999999999998</v>
      </c>
      <c r="H997">
        <v>1.8</v>
      </c>
      <c r="I997">
        <v>4.9024999999999999</v>
      </c>
      <c r="J997">
        <v>4620.8225000000002</v>
      </c>
      <c r="K997">
        <v>3817.166667</v>
      </c>
      <c r="L997">
        <v>5675.0833329999996</v>
      </c>
      <c r="M997">
        <v>13.8775</v>
      </c>
      <c r="N997">
        <v>11.42166667</v>
      </c>
      <c r="O997">
        <v>16.491666670000001</v>
      </c>
      <c r="Q997" t="s">
        <v>236</v>
      </c>
      <c r="R997" t="s">
        <v>10301</v>
      </c>
      <c r="S997" t="s">
        <v>9058</v>
      </c>
      <c r="T997" t="s">
        <v>9061</v>
      </c>
    </row>
    <row r="998" spans="1:20" x14ac:dyDescent="0.25">
      <c r="A998" t="s">
        <v>8233</v>
      </c>
      <c r="B998">
        <v>-29.33</v>
      </c>
      <c r="C998">
        <v>5</v>
      </c>
      <c r="D998">
        <v>18.869166669999998</v>
      </c>
      <c r="E998">
        <v>17.258333329999999</v>
      </c>
      <c r="F998">
        <v>20.561666670000001</v>
      </c>
      <c r="G998">
        <v>2.8908333329999998</v>
      </c>
      <c r="H998">
        <v>1.566666667</v>
      </c>
      <c r="I998">
        <v>3.8975</v>
      </c>
      <c r="J998">
        <v>4470.5649999999996</v>
      </c>
      <c r="K998">
        <v>3173.5</v>
      </c>
      <c r="L998">
        <v>5878.5</v>
      </c>
      <c r="M998">
        <v>15.81666667</v>
      </c>
      <c r="N998">
        <v>14.19</v>
      </c>
      <c r="O998">
        <v>17.95</v>
      </c>
      <c r="Q998" t="s">
        <v>236</v>
      </c>
      <c r="R998" t="s">
        <v>10303</v>
      </c>
      <c r="S998" t="s">
        <v>9065</v>
      </c>
      <c r="T998" t="s">
        <v>9066</v>
      </c>
    </row>
    <row r="999" spans="1:20" x14ac:dyDescent="0.25">
      <c r="A999" t="s">
        <v>10304</v>
      </c>
      <c r="B999">
        <v>-29.35</v>
      </c>
      <c r="C999">
        <v>6.2</v>
      </c>
      <c r="D999">
        <v>20.016666669999999</v>
      </c>
      <c r="E999">
        <v>18.55</v>
      </c>
      <c r="F999">
        <v>21.56666667</v>
      </c>
      <c r="G999">
        <v>1.97</v>
      </c>
      <c r="H999">
        <v>0.30833333299999999</v>
      </c>
      <c r="I999">
        <v>3.1808333329999998</v>
      </c>
      <c r="J999">
        <v>4415.0166669999999</v>
      </c>
      <c r="K999">
        <v>3821.5625</v>
      </c>
      <c r="L999">
        <v>5110.5833329999996</v>
      </c>
      <c r="M999">
        <v>16.835000000000001</v>
      </c>
      <c r="N999">
        <v>15.070833329999999</v>
      </c>
      <c r="O999">
        <v>18.980833329999999</v>
      </c>
      <c r="Q999" t="s">
        <v>236</v>
      </c>
      <c r="R999" t="s">
        <v>10303</v>
      </c>
      <c r="S999" t="s">
        <v>9058</v>
      </c>
      <c r="T999" t="s">
        <v>9059</v>
      </c>
    </row>
    <row r="1000" spans="1:20" x14ac:dyDescent="0.25">
      <c r="A1000" t="s">
        <v>10305</v>
      </c>
      <c r="B1000">
        <v>-29.35</v>
      </c>
      <c r="C1000">
        <v>6.2</v>
      </c>
      <c r="D1000">
        <v>19.604166670000001</v>
      </c>
      <c r="E1000">
        <v>18.125</v>
      </c>
      <c r="F1000">
        <v>21.119166669999998</v>
      </c>
      <c r="G1000">
        <v>2.9758333330000002</v>
      </c>
      <c r="H1000">
        <v>1.558333333</v>
      </c>
      <c r="I1000">
        <v>4.1583333329999999</v>
      </c>
      <c r="J1000">
        <v>4696.9891669999997</v>
      </c>
      <c r="K1000">
        <v>3833.666667</v>
      </c>
      <c r="L1000">
        <v>5789.8333329999996</v>
      </c>
      <c r="M1000">
        <v>16.482500000000002</v>
      </c>
      <c r="N1000">
        <v>14.983333330000001</v>
      </c>
      <c r="O1000">
        <v>18.518333330000001</v>
      </c>
      <c r="Q1000" t="s">
        <v>236</v>
      </c>
      <c r="R1000" t="s">
        <v>10303</v>
      </c>
      <c r="S1000" t="s">
        <v>9058</v>
      </c>
      <c r="T1000" t="s">
        <v>9061</v>
      </c>
    </row>
    <row r="1001" spans="1:20" x14ac:dyDescent="0.25">
      <c r="A1001" t="s">
        <v>8241</v>
      </c>
      <c r="B1001">
        <v>-30.01</v>
      </c>
      <c r="C1001">
        <v>1</v>
      </c>
      <c r="D1001">
        <v>18.989999999999998</v>
      </c>
      <c r="E1001">
        <v>17.563333329999999</v>
      </c>
      <c r="F1001">
        <v>20.494166669999998</v>
      </c>
      <c r="G1001">
        <v>4.7491666669999999</v>
      </c>
      <c r="H1001">
        <v>2.96</v>
      </c>
      <c r="I1001">
        <v>6.4116666670000004</v>
      </c>
      <c r="J1001">
        <v>4420.2183329999998</v>
      </c>
      <c r="K1001">
        <v>3186.104167</v>
      </c>
      <c r="L1001">
        <v>5851.2708329999996</v>
      </c>
      <c r="M1001">
        <v>15.91416667</v>
      </c>
      <c r="N1001">
        <v>14.248333329999999</v>
      </c>
      <c r="O1001">
        <v>17.916666670000001</v>
      </c>
      <c r="Q1001" t="s">
        <v>236</v>
      </c>
      <c r="R1001" t="s">
        <v>10306</v>
      </c>
      <c r="S1001" t="s">
        <v>9065</v>
      </c>
      <c r="T1001" t="s">
        <v>9066</v>
      </c>
    </row>
    <row r="1002" spans="1:20" x14ac:dyDescent="0.25">
      <c r="A1002" t="s">
        <v>10307</v>
      </c>
      <c r="B1002">
        <v>-30.01</v>
      </c>
      <c r="C1002">
        <v>2.5</v>
      </c>
      <c r="D1002">
        <v>19.8675</v>
      </c>
      <c r="E1002">
        <v>18.579999999999998</v>
      </c>
      <c r="F1002">
        <v>21.276666670000001</v>
      </c>
      <c r="G1002">
        <v>3.5783333329999998</v>
      </c>
      <c r="H1002">
        <v>1.7583333329999999</v>
      </c>
      <c r="I1002">
        <v>4.9775</v>
      </c>
      <c r="J1002">
        <v>4767.5916669999997</v>
      </c>
      <c r="K1002">
        <v>3990.9375</v>
      </c>
      <c r="L1002">
        <v>5738.7083329999996</v>
      </c>
      <c r="M1002">
        <v>14.285833330000001</v>
      </c>
      <c r="N1002">
        <v>11.795</v>
      </c>
      <c r="O1002">
        <v>18.258333329999999</v>
      </c>
      <c r="Q1002" t="s">
        <v>236</v>
      </c>
      <c r="R1002" t="s">
        <v>10306</v>
      </c>
      <c r="S1002" t="s">
        <v>9058</v>
      </c>
      <c r="T1002" t="s">
        <v>9061</v>
      </c>
    </row>
    <row r="1003" spans="1:20" x14ac:dyDescent="0.25">
      <c r="A1003" t="s">
        <v>10308</v>
      </c>
      <c r="B1003">
        <v>-29.78</v>
      </c>
      <c r="C1003">
        <v>78</v>
      </c>
      <c r="D1003">
        <v>19.395833329999999</v>
      </c>
      <c r="E1003">
        <v>15.345000000000001</v>
      </c>
      <c r="F1003">
        <v>23.283333330000001</v>
      </c>
      <c r="G1003">
        <v>3.5691666670000002</v>
      </c>
      <c r="H1003">
        <v>1.875</v>
      </c>
      <c r="I1003">
        <v>4.9333333330000002</v>
      </c>
      <c r="J1003">
        <v>5127.2433330000003</v>
      </c>
      <c r="K1003">
        <v>4585.4375</v>
      </c>
      <c r="L1003">
        <v>5906.5625</v>
      </c>
      <c r="M1003">
        <v>14.00333333</v>
      </c>
      <c r="N1003">
        <v>11.11916667</v>
      </c>
      <c r="O1003">
        <v>16.96833333</v>
      </c>
      <c r="Q1003" t="s">
        <v>236</v>
      </c>
      <c r="R1003" t="s">
        <v>10309</v>
      </c>
      <c r="S1003" t="s">
        <v>9058</v>
      </c>
      <c r="T1003" t="s">
        <v>9059</v>
      </c>
    </row>
    <row r="1004" spans="1:20" x14ac:dyDescent="0.25">
      <c r="A1004" t="s">
        <v>10310</v>
      </c>
      <c r="B1004">
        <v>-29.78</v>
      </c>
      <c r="C1004">
        <v>78</v>
      </c>
      <c r="D1004">
        <v>20.099166669999999</v>
      </c>
      <c r="E1004">
        <v>16.641666669999999</v>
      </c>
      <c r="F1004">
        <v>23.487500000000001</v>
      </c>
      <c r="G1004">
        <v>3.869166667</v>
      </c>
      <c r="H1004">
        <v>2.4666666670000001</v>
      </c>
      <c r="I1004">
        <v>5.0833333329999997</v>
      </c>
      <c r="J1004">
        <v>4884.3358330000001</v>
      </c>
      <c r="K1004">
        <v>3872.791667</v>
      </c>
      <c r="L1004">
        <v>6102.4375</v>
      </c>
      <c r="M1004">
        <v>14.09</v>
      </c>
      <c r="N1004">
        <v>11.137499999999999</v>
      </c>
      <c r="O1004">
        <v>17.243333329999999</v>
      </c>
      <c r="Q1004" t="s">
        <v>236</v>
      </c>
      <c r="R1004" t="s">
        <v>10309</v>
      </c>
      <c r="S1004" t="s">
        <v>9058</v>
      </c>
      <c r="T1004" t="s">
        <v>9061</v>
      </c>
    </row>
    <row r="1005" spans="1:20" x14ac:dyDescent="0.25">
      <c r="A1005" t="s">
        <v>8246</v>
      </c>
      <c r="B1005">
        <v>-29.75</v>
      </c>
      <c r="C1005">
        <v>62</v>
      </c>
      <c r="D1005">
        <v>19.583333329999999</v>
      </c>
      <c r="E1005">
        <v>16.12166667</v>
      </c>
      <c r="F1005">
        <v>23.00333333</v>
      </c>
      <c r="G1005">
        <v>1.8958333329999999</v>
      </c>
      <c r="H1005">
        <v>0</v>
      </c>
      <c r="I1005">
        <v>3.3450000000000002</v>
      </c>
      <c r="J1005">
        <v>4694.9366669999999</v>
      </c>
      <c r="K1005">
        <v>3684.6875</v>
      </c>
      <c r="L1005">
        <v>5968.3125</v>
      </c>
      <c r="M1005">
        <v>13.772500000000001</v>
      </c>
      <c r="N1005">
        <v>10.88</v>
      </c>
      <c r="O1005">
        <v>17.001666669999999</v>
      </c>
      <c r="Q1005" t="s">
        <v>236</v>
      </c>
      <c r="R1005" t="s">
        <v>10311</v>
      </c>
      <c r="S1005" t="s">
        <v>9065</v>
      </c>
      <c r="T1005" t="s">
        <v>9066</v>
      </c>
    </row>
    <row r="1006" spans="1:20" x14ac:dyDescent="0.25">
      <c r="A1006" t="s">
        <v>10312</v>
      </c>
      <c r="B1006">
        <v>-29.84</v>
      </c>
      <c r="C1006">
        <v>63.8</v>
      </c>
      <c r="D1006">
        <v>17.96833333</v>
      </c>
      <c r="E1006">
        <v>13.845000000000001</v>
      </c>
      <c r="F1006">
        <v>22.018333330000001</v>
      </c>
      <c r="G1006">
        <v>1.766666667</v>
      </c>
      <c r="H1006">
        <v>0.98333333300000003</v>
      </c>
      <c r="I1006">
        <v>2.278333333</v>
      </c>
      <c r="J1006">
        <v>5153.330833</v>
      </c>
      <c r="K1006">
        <v>4806.875</v>
      </c>
      <c r="L1006">
        <v>5838.0208329999996</v>
      </c>
      <c r="M1006">
        <v>14.13</v>
      </c>
      <c r="N1006">
        <v>11.169166669999999</v>
      </c>
      <c r="O1006">
        <v>17.33666667</v>
      </c>
      <c r="Q1006" t="s">
        <v>236</v>
      </c>
      <c r="R1006" t="s">
        <v>10311</v>
      </c>
      <c r="S1006" t="s">
        <v>9058</v>
      </c>
      <c r="T1006" t="s">
        <v>9059</v>
      </c>
    </row>
    <row r="1007" spans="1:20" x14ac:dyDescent="0.25">
      <c r="A1007" t="s">
        <v>10313</v>
      </c>
      <c r="B1007">
        <v>-29.84</v>
      </c>
      <c r="C1007">
        <v>63.8</v>
      </c>
      <c r="D1007">
        <v>19.908333330000001</v>
      </c>
      <c r="E1007">
        <v>16.63</v>
      </c>
      <c r="F1007">
        <v>23.21</v>
      </c>
      <c r="G1007">
        <v>3.0066666670000002</v>
      </c>
      <c r="H1007">
        <v>1.655</v>
      </c>
      <c r="I1007">
        <v>4.0583333330000002</v>
      </c>
      <c r="J1007">
        <v>4920.7124999999996</v>
      </c>
      <c r="K1007">
        <v>3820.583333</v>
      </c>
      <c r="L1007">
        <v>6125.125</v>
      </c>
      <c r="M1007">
        <v>13.94083333</v>
      </c>
      <c r="N1007">
        <v>11.08</v>
      </c>
      <c r="O1007">
        <v>17.16333333</v>
      </c>
      <c r="Q1007" t="s">
        <v>236</v>
      </c>
      <c r="R1007" t="s">
        <v>10311</v>
      </c>
      <c r="S1007" t="s">
        <v>9058</v>
      </c>
      <c r="T1007" t="s">
        <v>9061</v>
      </c>
    </row>
    <row r="1008" spans="1:20" x14ac:dyDescent="0.25">
      <c r="A1008" t="s">
        <v>8272</v>
      </c>
      <c r="B1008">
        <v>-28.51</v>
      </c>
      <c r="C1008">
        <v>986</v>
      </c>
      <c r="D1008">
        <v>15.66583333</v>
      </c>
      <c r="E1008">
        <v>12.696666670000001</v>
      </c>
      <c r="F1008">
        <v>18.42166667</v>
      </c>
      <c r="G1008">
        <v>3.6366666670000001</v>
      </c>
      <c r="H1008">
        <v>2.3833333329999999</v>
      </c>
      <c r="I1008">
        <v>4.6449999999999996</v>
      </c>
      <c r="J1008">
        <v>4188.8266670000003</v>
      </c>
      <c r="K1008">
        <v>2928</v>
      </c>
      <c r="L1008">
        <v>5482.0416670000004</v>
      </c>
      <c r="M1008">
        <v>12.251666670000001</v>
      </c>
      <c r="N1008">
        <v>10.37916667</v>
      </c>
      <c r="O1008">
        <v>14.397500000000001</v>
      </c>
      <c r="Q1008" t="s">
        <v>236</v>
      </c>
      <c r="R1008" t="s">
        <v>10314</v>
      </c>
      <c r="S1008" t="s">
        <v>9065</v>
      </c>
      <c r="T1008" t="s">
        <v>9066</v>
      </c>
    </row>
    <row r="1009" spans="1:20" x14ac:dyDescent="0.25">
      <c r="A1009" t="s">
        <v>10315</v>
      </c>
      <c r="B1009">
        <v>-28.51</v>
      </c>
      <c r="C1009">
        <v>987.5</v>
      </c>
      <c r="D1009">
        <v>16.009166669999999</v>
      </c>
      <c r="E1009">
        <v>13.13</v>
      </c>
      <c r="F1009">
        <v>18.92166667</v>
      </c>
      <c r="G1009">
        <v>3.1458333330000001</v>
      </c>
      <c r="H1009">
        <v>1.858333333</v>
      </c>
      <c r="I1009">
        <v>4.1683333329999996</v>
      </c>
      <c r="J1009">
        <v>4876.290833</v>
      </c>
      <c r="K1009">
        <v>3997.083333</v>
      </c>
      <c r="L1009">
        <v>5989.1875</v>
      </c>
      <c r="M1009">
        <v>12.24583333</v>
      </c>
      <c r="N1009">
        <v>10.33</v>
      </c>
      <c r="O1009">
        <v>14.678333329999999</v>
      </c>
      <c r="Q1009" t="s">
        <v>236</v>
      </c>
      <c r="R1009" t="s">
        <v>10314</v>
      </c>
      <c r="S1009" t="s">
        <v>9058</v>
      </c>
      <c r="T1009" t="s">
        <v>9061</v>
      </c>
    </row>
    <row r="1010" spans="1:20" x14ac:dyDescent="0.25">
      <c r="A1010" t="s">
        <v>8543</v>
      </c>
      <c r="B1010">
        <v>-28.93</v>
      </c>
      <c r="C1010">
        <v>12</v>
      </c>
      <c r="D1010">
        <v>19.395</v>
      </c>
      <c r="E1010">
        <v>17.153333329999999</v>
      </c>
      <c r="F1010">
        <v>21.385000000000002</v>
      </c>
      <c r="G1010">
        <v>2.1433333330000002</v>
      </c>
      <c r="H1010">
        <v>0.82</v>
      </c>
      <c r="I1010">
        <v>3.145</v>
      </c>
      <c r="J1010">
        <v>3935.7975000000001</v>
      </c>
      <c r="K1010">
        <v>2630.958333</v>
      </c>
      <c r="L1010">
        <v>5352.6041670000004</v>
      </c>
      <c r="M1010">
        <v>16.348333329999999</v>
      </c>
      <c r="N1010">
        <v>14.331666670000001</v>
      </c>
      <c r="O1010">
        <v>18.46</v>
      </c>
      <c r="Q1010" t="s">
        <v>27</v>
      </c>
      <c r="R1010" t="s">
        <v>10316</v>
      </c>
      <c r="S1010" t="s">
        <v>9065</v>
      </c>
      <c r="T1010" t="s">
        <v>9066</v>
      </c>
    </row>
    <row r="1011" spans="1:20" x14ac:dyDescent="0.25">
      <c r="A1011" t="s">
        <v>10317</v>
      </c>
      <c r="B1011">
        <v>-28.93</v>
      </c>
      <c r="C1011">
        <v>13.5</v>
      </c>
      <c r="D1011">
        <v>19.93</v>
      </c>
      <c r="E1011">
        <v>17.678333330000001</v>
      </c>
      <c r="F1011">
        <v>21.916666670000001</v>
      </c>
      <c r="G1011">
        <v>2.4583333330000001</v>
      </c>
      <c r="H1011">
        <v>1.2549999999999999</v>
      </c>
      <c r="I1011">
        <v>3.3666666670000001</v>
      </c>
      <c r="J1011">
        <v>4717.2858329999999</v>
      </c>
      <c r="K1011">
        <v>4062.416667</v>
      </c>
      <c r="L1011">
        <v>5701.875</v>
      </c>
      <c r="M1011">
        <v>16.69916667</v>
      </c>
      <c r="N1011">
        <v>14.62833333</v>
      </c>
      <c r="O1011">
        <v>18.993333329999999</v>
      </c>
      <c r="Q1011" t="s">
        <v>27</v>
      </c>
      <c r="R1011" t="s">
        <v>10316</v>
      </c>
      <c r="S1011" t="s">
        <v>9058</v>
      </c>
      <c r="T1011" t="s">
        <v>9061</v>
      </c>
    </row>
    <row r="1012" spans="1:20" x14ac:dyDescent="0.25">
      <c r="A1012" t="s">
        <v>8561</v>
      </c>
      <c r="B1012">
        <v>-26.82</v>
      </c>
      <c r="C1012">
        <v>952</v>
      </c>
      <c r="D1012">
        <v>16.48</v>
      </c>
      <c r="E1012">
        <v>13.61</v>
      </c>
      <c r="F1012">
        <v>19.13666667</v>
      </c>
      <c r="G1012">
        <v>1.880833333</v>
      </c>
      <c r="H1012">
        <v>1.058333333</v>
      </c>
      <c r="I1012">
        <v>2.5333333329999999</v>
      </c>
      <c r="J1012">
        <v>4205.0625</v>
      </c>
      <c r="K1012">
        <v>3060.3125</v>
      </c>
      <c r="L1012">
        <v>5426.0416670000004</v>
      </c>
      <c r="M1012">
        <v>11.739166669999999</v>
      </c>
      <c r="N1012">
        <v>10.275</v>
      </c>
      <c r="O1012">
        <v>13.54166667</v>
      </c>
      <c r="Q1012" t="s">
        <v>27</v>
      </c>
      <c r="R1012" t="s">
        <v>10318</v>
      </c>
      <c r="S1012" t="s">
        <v>9065</v>
      </c>
      <c r="T1012" t="s">
        <v>9066</v>
      </c>
    </row>
    <row r="1013" spans="1:20" x14ac:dyDescent="0.25">
      <c r="A1013" t="s">
        <v>10319</v>
      </c>
      <c r="B1013">
        <v>-26.82</v>
      </c>
      <c r="C1013">
        <v>953.5</v>
      </c>
      <c r="D1013">
        <v>16.894166670000001</v>
      </c>
      <c r="E1013">
        <v>14.077500000000001</v>
      </c>
      <c r="F1013">
        <v>19.798333329999998</v>
      </c>
      <c r="G1013">
        <v>0.635833333</v>
      </c>
      <c r="H1013">
        <v>0.25</v>
      </c>
      <c r="I1013">
        <v>0.73499999999999999</v>
      </c>
      <c r="J1013">
        <v>4608.9091669999998</v>
      </c>
      <c r="K1013">
        <v>3806.4375</v>
      </c>
      <c r="L1013">
        <v>5630.7916670000004</v>
      </c>
      <c r="M1013">
        <v>12.36833333</v>
      </c>
      <c r="N1013">
        <v>10.577500000000001</v>
      </c>
      <c r="O1013">
        <v>14.585000000000001</v>
      </c>
      <c r="Q1013" t="s">
        <v>27</v>
      </c>
      <c r="R1013" t="s">
        <v>10318</v>
      </c>
      <c r="S1013" t="s">
        <v>9058</v>
      </c>
      <c r="T1013" t="s">
        <v>9061</v>
      </c>
    </row>
    <row r="1014" spans="1:20" x14ac:dyDescent="0.25">
      <c r="A1014" t="s">
        <v>10320</v>
      </c>
      <c r="B1014">
        <v>-27.4</v>
      </c>
      <c r="C1014">
        <v>947</v>
      </c>
      <c r="D1014">
        <v>17.760000000000002</v>
      </c>
      <c r="E1014">
        <v>15.221666669999999</v>
      </c>
      <c r="F1014">
        <v>20.245000000000001</v>
      </c>
      <c r="G1014">
        <v>2.8508333330000002</v>
      </c>
      <c r="H1014">
        <v>0.90833333299999997</v>
      </c>
      <c r="I1014">
        <v>4.2916666670000003</v>
      </c>
      <c r="J1014">
        <v>5111.9875000000002</v>
      </c>
      <c r="K1014">
        <v>4472.125</v>
      </c>
      <c r="L1014">
        <v>6041.5208329999996</v>
      </c>
      <c r="M1014">
        <v>13.11833333</v>
      </c>
      <c r="N1014">
        <v>11.24583333</v>
      </c>
      <c r="O1014">
        <v>15.32833333</v>
      </c>
      <c r="Q1014" t="s">
        <v>27</v>
      </c>
      <c r="R1014" t="s">
        <v>10321</v>
      </c>
      <c r="S1014" t="s">
        <v>9058</v>
      </c>
      <c r="T1014" t="s">
        <v>9059</v>
      </c>
    </row>
    <row r="1015" spans="1:20" x14ac:dyDescent="0.25">
      <c r="A1015" t="s">
        <v>10322</v>
      </c>
      <c r="B1015">
        <v>-27.4</v>
      </c>
      <c r="C1015">
        <v>947</v>
      </c>
      <c r="D1015">
        <v>17.083333329999999</v>
      </c>
      <c r="E1015">
        <v>14.67166667</v>
      </c>
      <c r="F1015">
        <v>19.454999999999998</v>
      </c>
      <c r="G1015">
        <v>2.915</v>
      </c>
      <c r="H1015">
        <v>1.5083333329999999</v>
      </c>
      <c r="I1015">
        <v>3.9683333329999999</v>
      </c>
      <c r="J1015">
        <v>4598.7708329999996</v>
      </c>
      <c r="K1015">
        <v>3610.833333</v>
      </c>
      <c r="L1015">
        <v>5670.9583329999996</v>
      </c>
      <c r="M1015">
        <v>13.414999999999999</v>
      </c>
      <c r="N1015">
        <v>11.741666670000001</v>
      </c>
      <c r="O1015">
        <v>15.58666667</v>
      </c>
      <c r="Q1015" t="s">
        <v>27</v>
      </c>
      <c r="R1015" t="s">
        <v>10321</v>
      </c>
      <c r="S1015" t="s">
        <v>9058</v>
      </c>
      <c r="T1015" t="s">
        <v>9061</v>
      </c>
    </row>
    <row r="1016" spans="1:20" x14ac:dyDescent="0.25">
      <c r="A1016" t="s">
        <v>10323</v>
      </c>
      <c r="B1016">
        <v>-27.12</v>
      </c>
      <c r="C1016">
        <v>679</v>
      </c>
      <c r="D1016">
        <v>19.71166667</v>
      </c>
      <c r="E1016">
        <v>16.513333329999998</v>
      </c>
      <c r="F1016">
        <v>23.000833329999999</v>
      </c>
      <c r="G1016">
        <v>3.8983333330000001</v>
      </c>
      <c r="H1016">
        <v>2.4566666669999999</v>
      </c>
      <c r="I1016">
        <v>5.2483333329999997</v>
      </c>
      <c r="J1016">
        <v>5118.8175000000001</v>
      </c>
      <c r="K1016">
        <v>4416.5</v>
      </c>
      <c r="L1016">
        <v>6094.3125</v>
      </c>
      <c r="M1016">
        <v>14.5425</v>
      </c>
      <c r="N1016">
        <v>12.58333333</v>
      </c>
      <c r="O1016">
        <v>16.829166669999999</v>
      </c>
      <c r="Q1016" t="s">
        <v>27</v>
      </c>
      <c r="R1016" t="s">
        <v>10324</v>
      </c>
      <c r="S1016" t="s">
        <v>9058</v>
      </c>
      <c r="T1016" t="s">
        <v>9059</v>
      </c>
    </row>
    <row r="1017" spans="1:20" x14ac:dyDescent="0.25">
      <c r="A1017" t="s">
        <v>10325</v>
      </c>
      <c r="B1017">
        <v>-27.12</v>
      </c>
      <c r="C1017">
        <v>679</v>
      </c>
      <c r="D1017">
        <v>19.963333330000001</v>
      </c>
      <c r="E1017">
        <v>16.591666669999999</v>
      </c>
      <c r="F1017">
        <v>23.091666669999999</v>
      </c>
      <c r="G1017">
        <v>3.8116666669999999</v>
      </c>
      <c r="H1017">
        <v>2.3333333330000001</v>
      </c>
      <c r="I1017">
        <v>5.108333333</v>
      </c>
      <c r="J1017">
        <v>4771.9508329999999</v>
      </c>
      <c r="K1017">
        <v>3875.229167</v>
      </c>
      <c r="L1017">
        <v>5944.9583329999996</v>
      </c>
      <c r="M1017">
        <v>14.69416667</v>
      </c>
      <c r="N1017">
        <v>12.64583333</v>
      </c>
      <c r="O1017">
        <v>16.985833329999998</v>
      </c>
      <c r="Q1017" t="s">
        <v>27</v>
      </c>
      <c r="R1017" t="s">
        <v>10324</v>
      </c>
      <c r="S1017" t="s">
        <v>9058</v>
      </c>
      <c r="T1017" t="s">
        <v>9061</v>
      </c>
    </row>
    <row r="1018" spans="1:20" x14ac:dyDescent="0.25">
      <c r="A1018" t="s">
        <v>10326</v>
      </c>
      <c r="B1018">
        <v>-28.73</v>
      </c>
      <c r="C1018">
        <v>28.3</v>
      </c>
      <c r="D1018">
        <v>19.603333330000002</v>
      </c>
      <c r="E1018">
        <v>16.616666670000001</v>
      </c>
      <c r="F1018">
        <v>22.447500000000002</v>
      </c>
      <c r="G1018">
        <v>1.809166667</v>
      </c>
      <c r="H1018">
        <v>0.25</v>
      </c>
      <c r="I1018">
        <v>2.8833333329999999</v>
      </c>
      <c r="J1018">
        <v>4390.8466669999998</v>
      </c>
      <c r="K1018">
        <v>3186.5625</v>
      </c>
      <c r="L1018">
        <v>5580.4166670000004</v>
      </c>
      <c r="M1018">
        <v>15.78916667</v>
      </c>
      <c r="N1018">
        <v>13.9175</v>
      </c>
      <c r="O1018">
        <v>18.094999999999999</v>
      </c>
      <c r="Q1018" t="s">
        <v>27</v>
      </c>
      <c r="R1018" t="s">
        <v>10327</v>
      </c>
      <c r="S1018" t="s">
        <v>9058</v>
      </c>
      <c r="T1018" t="s">
        <v>9059</v>
      </c>
    </row>
    <row r="1019" spans="1:20" x14ac:dyDescent="0.25">
      <c r="A1019" t="s">
        <v>10328</v>
      </c>
      <c r="B1019">
        <v>-28.73</v>
      </c>
      <c r="C1019">
        <v>28.3</v>
      </c>
      <c r="D1019">
        <v>20.008333329999999</v>
      </c>
      <c r="E1019">
        <v>17.166666670000001</v>
      </c>
      <c r="F1019">
        <v>22.466666669999999</v>
      </c>
      <c r="G1019">
        <v>1.9125000000000001</v>
      </c>
      <c r="H1019">
        <v>0.47499999999999998</v>
      </c>
      <c r="I1019">
        <v>2.8250000000000002</v>
      </c>
      <c r="J1019">
        <v>4537.5158330000004</v>
      </c>
      <c r="K1019">
        <v>3472.666667</v>
      </c>
      <c r="L1019">
        <v>5668</v>
      </c>
      <c r="M1019">
        <v>16.067499999999999</v>
      </c>
      <c r="N1019">
        <v>14.125</v>
      </c>
      <c r="O1019">
        <v>18.391666669999999</v>
      </c>
      <c r="Q1019" t="s">
        <v>27</v>
      </c>
      <c r="R1019" t="s">
        <v>10327</v>
      </c>
      <c r="S1019" t="s">
        <v>9058</v>
      </c>
      <c r="T1019" t="s">
        <v>9061</v>
      </c>
    </row>
    <row r="1020" spans="1:20" x14ac:dyDescent="0.25">
      <c r="A1020" t="s">
        <v>10329</v>
      </c>
      <c r="B1020">
        <v>-27.28</v>
      </c>
      <c r="C1020">
        <v>983.5</v>
      </c>
      <c r="D1020">
        <v>16.730833329999999</v>
      </c>
      <c r="E1020">
        <v>14.074999999999999</v>
      </c>
      <c r="F1020">
        <v>19.260000000000002</v>
      </c>
      <c r="G1020">
        <v>1.965833333</v>
      </c>
      <c r="H1020">
        <v>0.91666666699999999</v>
      </c>
      <c r="I1020">
        <v>2.8416666670000001</v>
      </c>
      <c r="J1020">
        <v>4551.5</v>
      </c>
      <c r="K1020">
        <v>3634.6875</v>
      </c>
      <c r="L1020">
        <v>5632</v>
      </c>
      <c r="M1020">
        <v>12.68166667</v>
      </c>
      <c r="N1020">
        <v>10.815</v>
      </c>
      <c r="O1020">
        <v>15.03</v>
      </c>
      <c r="Q1020" t="s">
        <v>27</v>
      </c>
      <c r="R1020" t="s">
        <v>10330</v>
      </c>
      <c r="S1020" t="s">
        <v>9058</v>
      </c>
      <c r="T1020" t="s">
        <v>9061</v>
      </c>
    </row>
    <row r="1021" spans="1:20" x14ac:dyDescent="0.25">
      <c r="A1021" t="s">
        <v>8528</v>
      </c>
      <c r="B1021">
        <v>-27.29</v>
      </c>
      <c r="C1021">
        <v>982</v>
      </c>
      <c r="D1021">
        <v>16.105833329999999</v>
      </c>
      <c r="E1021">
        <v>13.553333329999999</v>
      </c>
      <c r="F1021">
        <v>18.373333330000001</v>
      </c>
      <c r="G1021">
        <v>3.3241666670000001</v>
      </c>
      <c r="H1021">
        <v>2.121666667</v>
      </c>
      <c r="I1021">
        <v>4.4375</v>
      </c>
      <c r="J1021">
        <v>4284.9216669999996</v>
      </c>
      <c r="K1021">
        <v>3278.645833</v>
      </c>
      <c r="L1021">
        <v>5426.8541670000004</v>
      </c>
      <c r="M1021">
        <v>12.34416667</v>
      </c>
      <c r="N1021">
        <v>10.77333333</v>
      </c>
      <c r="O1021">
        <v>14.25</v>
      </c>
      <c r="Q1021" t="s">
        <v>27</v>
      </c>
      <c r="R1021" t="s">
        <v>10331</v>
      </c>
      <c r="S1021" t="s">
        <v>9065</v>
      </c>
      <c r="T1021" t="s">
        <v>9066</v>
      </c>
    </row>
    <row r="1022" spans="1:20" x14ac:dyDescent="0.25">
      <c r="A1022" t="s">
        <v>7833</v>
      </c>
      <c r="B1022">
        <v>-26.29</v>
      </c>
      <c r="C1022">
        <v>810</v>
      </c>
      <c r="D1022">
        <v>19.22</v>
      </c>
      <c r="E1022">
        <v>16.661666669999999</v>
      </c>
      <c r="F1022">
        <v>21.868333329999999</v>
      </c>
      <c r="G1022">
        <v>3.6491666669999998</v>
      </c>
      <c r="H1022">
        <v>2.3216666670000001</v>
      </c>
      <c r="I1022">
        <v>4.8533333330000001</v>
      </c>
      <c r="J1022">
        <v>4398.0133329999999</v>
      </c>
      <c r="K1022">
        <v>3212.041667</v>
      </c>
      <c r="L1022">
        <v>5704.1666670000004</v>
      </c>
      <c r="M1022">
        <v>14.204166669999999</v>
      </c>
      <c r="N1022">
        <v>12.239166669999999</v>
      </c>
      <c r="O1022">
        <v>16.568333330000002</v>
      </c>
      <c r="Q1022" t="s">
        <v>27</v>
      </c>
      <c r="R1022" t="s">
        <v>10332</v>
      </c>
      <c r="S1022" t="s">
        <v>9065</v>
      </c>
      <c r="T1022" t="s">
        <v>9066</v>
      </c>
    </row>
    <row r="1023" spans="1:20" x14ac:dyDescent="0.25">
      <c r="A1023" t="s">
        <v>10333</v>
      </c>
      <c r="B1023">
        <v>-26.28</v>
      </c>
      <c r="C1023">
        <v>811.5</v>
      </c>
      <c r="D1023">
        <v>19.39</v>
      </c>
      <c r="E1023">
        <v>16.381666670000001</v>
      </c>
      <c r="F1023">
        <v>22.42</v>
      </c>
      <c r="G1023">
        <v>2.5508333329999999</v>
      </c>
      <c r="H1023">
        <v>1.2816666670000001</v>
      </c>
      <c r="I1023">
        <v>3.443333333</v>
      </c>
      <c r="J1023">
        <v>4919.6533330000002</v>
      </c>
      <c r="K1023">
        <v>4135.3125</v>
      </c>
      <c r="L1023">
        <v>5923.5833329999996</v>
      </c>
      <c r="M1023">
        <v>13.473333330000001</v>
      </c>
      <c r="N1023">
        <v>11.46083333</v>
      </c>
      <c r="O1023">
        <v>15.935</v>
      </c>
      <c r="Q1023" t="s">
        <v>27</v>
      </c>
      <c r="R1023" t="s">
        <v>10332</v>
      </c>
      <c r="S1023" t="s">
        <v>9058</v>
      </c>
      <c r="T1023" t="s">
        <v>9061</v>
      </c>
    </row>
    <row r="1024" spans="1:20" x14ac:dyDescent="0.25">
      <c r="A1024" t="s">
        <v>10334</v>
      </c>
      <c r="B1024">
        <v>-27.67</v>
      </c>
      <c r="C1024">
        <v>6.1</v>
      </c>
      <c r="D1024">
        <v>21.09333333</v>
      </c>
      <c r="E1024">
        <v>19.1525</v>
      </c>
      <c r="F1024">
        <v>22.795833330000001</v>
      </c>
      <c r="G1024">
        <v>3.3883333329999998</v>
      </c>
      <c r="H1024">
        <v>2.0233333330000001</v>
      </c>
      <c r="I1024">
        <v>4.693333333</v>
      </c>
      <c r="J1024">
        <v>4669.4975000000004</v>
      </c>
      <c r="K1024">
        <v>3600.375</v>
      </c>
      <c r="L1024">
        <v>5664.1041670000004</v>
      </c>
      <c r="M1024">
        <v>17.614166669999999</v>
      </c>
      <c r="N1024">
        <v>15.91333333</v>
      </c>
      <c r="O1024">
        <v>19.741666670000001</v>
      </c>
      <c r="Q1024" t="s">
        <v>27</v>
      </c>
      <c r="R1024" t="s">
        <v>10335</v>
      </c>
      <c r="S1024" t="s">
        <v>9058</v>
      </c>
      <c r="T1024" t="s">
        <v>9059</v>
      </c>
    </row>
    <row r="1025" spans="1:20" x14ac:dyDescent="0.25">
      <c r="A1025" t="s">
        <v>10336</v>
      </c>
      <c r="B1025">
        <v>-27.67</v>
      </c>
      <c r="C1025">
        <v>6.1</v>
      </c>
      <c r="D1025">
        <v>21.19916667</v>
      </c>
      <c r="E1025">
        <v>19.123333330000001</v>
      </c>
      <c r="F1025">
        <v>23.07833333</v>
      </c>
      <c r="G1025">
        <v>3.5383333330000002</v>
      </c>
      <c r="H1025">
        <v>2.16</v>
      </c>
      <c r="I1025">
        <v>4.8833333330000004</v>
      </c>
      <c r="J1025">
        <v>4323.353333</v>
      </c>
      <c r="K1025">
        <v>3438.375</v>
      </c>
      <c r="L1025">
        <v>5336.2291670000004</v>
      </c>
      <c r="M1025">
        <v>17.442499999999999</v>
      </c>
      <c r="N1025">
        <v>15.69</v>
      </c>
      <c r="O1025">
        <v>19.670000000000002</v>
      </c>
      <c r="Q1025" t="s">
        <v>27</v>
      </c>
      <c r="R1025" t="s">
        <v>10335</v>
      </c>
      <c r="S1025" t="s">
        <v>9058</v>
      </c>
      <c r="T1025" t="s">
        <v>9061</v>
      </c>
    </row>
    <row r="1026" spans="1:20" x14ac:dyDescent="0.25">
      <c r="A1026" t="s">
        <v>8536</v>
      </c>
      <c r="B1026">
        <v>-27.6</v>
      </c>
      <c r="C1026">
        <v>2</v>
      </c>
      <c r="D1026">
        <v>20.930833329999999</v>
      </c>
      <c r="E1026">
        <v>19.036666669999999</v>
      </c>
      <c r="F1026">
        <v>22.885833330000001</v>
      </c>
      <c r="G1026">
        <v>2.4308333329999998</v>
      </c>
      <c r="H1026">
        <v>1.1166666670000001</v>
      </c>
      <c r="I1026">
        <v>3.5391666669999999</v>
      </c>
      <c r="J1026">
        <v>4122.8491670000003</v>
      </c>
      <c r="K1026">
        <v>3143.770833</v>
      </c>
      <c r="L1026">
        <v>5237.3333329999996</v>
      </c>
      <c r="M1026">
        <v>16.118333329999999</v>
      </c>
      <c r="N1026">
        <v>14.24333333</v>
      </c>
      <c r="O1026">
        <v>18.483333330000001</v>
      </c>
      <c r="Q1026" t="s">
        <v>27</v>
      </c>
      <c r="R1026" t="s">
        <v>10337</v>
      </c>
      <c r="S1026" t="s">
        <v>9065</v>
      </c>
      <c r="T1026" t="s">
        <v>9066</v>
      </c>
    </row>
    <row r="1027" spans="1:20" x14ac:dyDescent="0.25">
      <c r="A1027" t="s">
        <v>10338</v>
      </c>
      <c r="B1027">
        <v>-27.6</v>
      </c>
      <c r="C1027">
        <v>3.3</v>
      </c>
      <c r="D1027">
        <v>21.021666669999998</v>
      </c>
      <c r="E1027">
        <v>19.206666670000001</v>
      </c>
      <c r="F1027">
        <v>22.758333329999999</v>
      </c>
      <c r="G1027">
        <v>2.2308333330000001</v>
      </c>
      <c r="H1027">
        <v>1.23</v>
      </c>
      <c r="I1027">
        <v>3.085</v>
      </c>
      <c r="J1027">
        <v>4228.9733329999999</v>
      </c>
      <c r="K1027">
        <v>3296.854167</v>
      </c>
      <c r="L1027">
        <v>5292.2083329999996</v>
      </c>
      <c r="M1027">
        <v>16.920000000000002</v>
      </c>
      <c r="N1027">
        <v>15.265000000000001</v>
      </c>
      <c r="O1027">
        <v>18.963333330000001</v>
      </c>
      <c r="Q1027" t="s">
        <v>27</v>
      </c>
      <c r="R1027" t="s">
        <v>10339</v>
      </c>
      <c r="S1027" t="s">
        <v>9058</v>
      </c>
      <c r="T1027" t="s">
        <v>9061</v>
      </c>
    </row>
    <row r="1028" spans="1:20" x14ac:dyDescent="0.25">
      <c r="A1028" t="s">
        <v>8542</v>
      </c>
      <c r="B1028">
        <v>-26.92</v>
      </c>
      <c r="C1028">
        <v>86</v>
      </c>
      <c r="D1028">
        <v>19.974166669999999</v>
      </c>
      <c r="E1028">
        <v>17.556666669999998</v>
      </c>
      <c r="F1028">
        <v>21.997499999999999</v>
      </c>
      <c r="G1028">
        <v>1.0833333329999999</v>
      </c>
      <c r="H1028">
        <v>0.27166666699999997</v>
      </c>
      <c r="I1028">
        <v>1.5616666669999999</v>
      </c>
      <c r="J1028">
        <v>3731.290833</v>
      </c>
      <c r="K1028">
        <v>2617.4375</v>
      </c>
      <c r="L1028">
        <v>4879.75</v>
      </c>
      <c r="M1028">
        <v>16.87916667</v>
      </c>
      <c r="N1028">
        <v>15.45833333</v>
      </c>
      <c r="O1028">
        <v>18.768333330000001</v>
      </c>
      <c r="Q1028" t="s">
        <v>27</v>
      </c>
      <c r="R1028" t="s">
        <v>10340</v>
      </c>
      <c r="S1028" t="s">
        <v>9065</v>
      </c>
      <c r="T1028" t="s">
        <v>9066</v>
      </c>
    </row>
    <row r="1029" spans="1:20" x14ac:dyDescent="0.25">
      <c r="A1029" t="s">
        <v>10341</v>
      </c>
      <c r="B1029">
        <v>-26.92</v>
      </c>
      <c r="C1029">
        <v>88.2</v>
      </c>
      <c r="D1029">
        <v>20.45333333</v>
      </c>
      <c r="E1029">
        <v>17.94166667</v>
      </c>
      <c r="F1029">
        <v>22.770833329999999</v>
      </c>
      <c r="G1029">
        <v>1.0216666670000001</v>
      </c>
      <c r="H1029">
        <v>0.26500000000000001</v>
      </c>
      <c r="I1029">
        <v>1.4350000000000001</v>
      </c>
      <c r="J1029">
        <v>4048.6316670000001</v>
      </c>
      <c r="K1029">
        <v>3067</v>
      </c>
      <c r="L1029">
        <v>5105.0416670000004</v>
      </c>
      <c r="M1029">
        <v>17.126666669999999</v>
      </c>
      <c r="N1029">
        <v>15.464166669999999</v>
      </c>
      <c r="O1029">
        <v>19.283333330000001</v>
      </c>
      <c r="Q1029" t="s">
        <v>27</v>
      </c>
      <c r="R1029" t="s">
        <v>10342</v>
      </c>
      <c r="S1029" t="s">
        <v>9058</v>
      </c>
      <c r="T1029" t="s">
        <v>9061</v>
      </c>
    </row>
    <row r="1030" spans="1:20" x14ac:dyDescent="0.25">
      <c r="A1030" t="s">
        <v>10343</v>
      </c>
      <c r="B1030">
        <v>-26.95</v>
      </c>
      <c r="C1030">
        <v>19.5</v>
      </c>
      <c r="D1030">
        <v>20.74583333</v>
      </c>
      <c r="E1030">
        <v>18.79666667</v>
      </c>
      <c r="F1030">
        <v>22.61</v>
      </c>
      <c r="G1030">
        <v>1.65</v>
      </c>
      <c r="H1030">
        <v>0.60833333300000003</v>
      </c>
      <c r="I1030">
        <v>2.4666666670000001</v>
      </c>
      <c r="J1030">
        <v>4195.8675000000003</v>
      </c>
      <c r="K1030">
        <v>3182.9375</v>
      </c>
      <c r="L1030">
        <v>5297.6041670000004</v>
      </c>
      <c r="M1030">
        <v>17.509166669999999</v>
      </c>
      <c r="N1030">
        <v>15.815</v>
      </c>
      <c r="O1030">
        <v>19.491666670000001</v>
      </c>
      <c r="Q1030" t="s">
        <v>27</v>
      </c>
      <c r="R1030" t="s">
        <v>10344</v>
      </c>
      <c r="S1030" t="s">
        <v>9058</v>
      </c>
      <c r="T1030" t="s">
        <v>9061</v>
      </c>
    </row>
    <row r="1031" spans="1:20" x14ac:dyDescent="0.25">
      <c r="A1031" t="s">
        <v>7896</v>
      </c>
      <c r="B1031">
        <v>-26.12</v>
      </c>
      <c r="C1031">
        <v>2</v>
      </c>
      <c r="D1031">
        <v>19.96166667</v>
      </c>
      <c r="E1031">
        <v>17.883333329999999</v>
      </c>
      <c r="F1031">
        <v>22.184999999999999</v>
      </c>
      <c r="G1031">
        <v>1.33</v>
      </c>
      <c r="H1031">
        <v>0.15666666700000001</v>
      </c>
      <c r="I1031">
        <v>2.2450000000000001</v>
      </c>
      <c r="J1031">
        <v>3768.9958329999999</v>
      </c>
      <c r="K1031">
        <v>2490.604167</v>
      </c>
      <c r="L1031">
        <v>5057.125</v>
      </c>
      <c r="M1031">
        <v>17.605833329999999</v>
      </c>
      <c r="N1031">
        <v>16.29666667</v>
      </c>
      <c r="O1031">
        <v>19.301666669999999</v>
      </c>
      <c r="Q1031" t="s">
        <v>27</v>
      </c>
      <c r="R1031" t="s">
        <v>10345</v>
      </c>
      <c r="S1031" t="s">
        <v>9065</v>
      </c>
      <c r="T1031" t="s">
        <v>9066</v>
      </c>
    </row>
    <row r="1032" spans="1:20" x14ac:dyDescent="0.25">
      <c r="A1032" t="s">
        <v>10346</v>
      </c>
      <c r="B1032">
        <v>-26.08</v>
      </c>
      <c r="C1032">
        <v>3.5</v>
      </c>
      <c r="D1032">
        <v>20.85</v>
      </c>
      <c r="E1032">
        <v>18.568333330000002</v>
      </c>
      <c r="F1032">
        <v>23.076666670000002</v>
      </c>
      <c r="G1032">
        <v>1.076666667</v>
      </c>
      <c r="H1032">
        <v>0.366666667</v>
      </c>
      <c r="I1032">
        <v>1.503333333</v>
      </c>
      <c r="J1032">
        <v>4014.2233329999999</v>
      </c>
      <c r="K1032">
        <v>2834.979167</v>
      </c>
      <c r="L1032">
        <v>5191.9166670000004</v>
      </c>
      <c r="M1032">
        <v>18.29</v>
      </c>
      <c r="N1032">
        <v>16.713333330000001</v>
      </c>
      <c r="O1032">
        <v>20.179166670000001</v>
      </c>
      <c r="Q1032" t="s">
        <v>27</v>
      </c>
      <c r="R1032" t="s">
        <v>10345</v>
      </c>
      <c r="S1032" t="s">
        <v>9058</v>
      </c>
      <c r="T1032" t="s">
        <v>9061</v>
      </c>
    </row>
    <row r="1033" spans="1:20" x14ac:dyDescent="0.25">
      <c r="A1033" t="s">
        <v>8530</v>
      </c>
      <c r="B1033">
        <v>-27.42</v>
      </c>
      <c r="C1033">
        <v>484</v>
      </c>
      <c r="D1033">
        <v>18.18</v>
      </c>
      <c r="E1033">
        <v>15.6</v>
      </c>
      <c r="F1033">
        <v>20.518333330000001</v>
      </c>
      <c r="G1033">
        <v>1.286666667</v>
      </c>
      <c r="H1033">
        <v>0.34</v>
      </c>
      <c r="I1033">
        <v>1.96</v>
      </c>
      <c r="J1033">
        <v>4563.5258329999997</v>
      </c>
      <c r="K1033">
        <v>3163.291667</v>
      </c>
      <c r="L1033">
        <v>6043.6458329999996</v>
      </c>
      <c r="M1033">
        <v>15.134166670000001</v>
      </c>
      <c r="N1033">
        <v>13.52</v>
      </c>
      <c r="O1033">
        <v>17.018333330000001</v>
      </c>
      <c r="Q1033" t="s">
        <v>27</v>
      </c>
      <c r="R1033" t="s">
        <v>10347</v>
      </c>
      <c r="S1033" t="s">
        <v>9065</v>
      </c>
      <c r="T1033" t="s">
        <v>9066</v>
      </c>
    </row>
    <row r="1034" spans="1:20" x14ac:dyDescent="0.25">
      <c r="A1034" t="s">
        <v>10348</v>
      </c>
      <c r="B1034">
        <v>-27.42</v>
      </c>
      <c r="C1034">
        <v>485.5</v>
      </c>
      <c r="D1034">
        <v>18.295000000000002</v>
      </c>
      <c r="E1034">
        <v>15.755000000000001</v>
      </c>
      <c r="F1034">
        <v>20.8</v>
      </c>
      <c r="G1034">
        <v>1.141666667</v>
      </c>
      <c r="H1034">
        <v>0.258333333</v>
      </c>
      <c r="I1034">
        <v>1.675</v>
      </c>
      <c r="J1034">
        <v>4365.2033330000004</v>
      </c>
      <c r="K1034">
        <v>3434.125</v>
      </c>
      <c r="L1034">
        <v>5443.9375</v>
      </c>
      <c r="M1034">
        <v>14.769166670000001</v>
      </c>
      <c r="N1034">
        <v>13.054166670000001</v>
      </c>
      <c r="O1034">
        <v>16.928333330000001</v>
      </c>
      <c r="Q1034" t="s">
        <v>27</v>
      </c>
      <c r="R1034" t="s">
        <v>10347</v>
      </c>
      <c r="S1034" t="s">
        <v>9058</v>
      </c>
      <c r="T1034" t="s">
        <v>9061</v>
      </c>
    </row>
    <row r="1035" spans="1:20" x14ac:dyDescent="0.25">
      <c r="A1035" t="s">
        <v>8250</v>
      </c>
      <c r="B1035">
        <v>-27.17</v>
      </c>
      <c r="C1035">
        <v>776</v>
      </c>
      <c r="D1035">
        <v>17.63</v>
      </c>
      <c r="E1035">
        <v>14.654999999999999</v>
      </c>
      <c r="F1035">
        <v>20.329166669999999</v>
      </c>
      <c r="G1035">
        <v>3.0216666669999999</v>
      </c>
      <c r="H1035">
        <v>1.84</v>
      </c>
      <c r="I1035">
        <v>4.0599999999999996</v>
      </c>
      <c r="J1035">
        <v>4424.8874999999998</v>
      </c>
      <c r="K1035">
        <v>3330.229167</v>
      </c>
      <c r="L1035">
        <v>5654.2916670000004</v>
      </c>
      <c r="M1035">
        <v>13.28833333</v>
      </c>
      <c r="N1035">
        <v>11.547499999999999</v>
      </c>
      <c r="O1035">
        <v>15.23833333</v>
      </c>
      <c r="Q1035" t="s">
        <v>27</v>
      </c>
      <c r="R1035" t="s">
        <v>10349</v>
      </c>
      <c r="S1035" t="s">
        <v>9065</v>
      </c>
      <c r="T1035" t="s">
        <v>9066</v>
      </c>
    </row>
    <row r="1036" spans="1:20" x14ac:dyDescent="0.25">
      <c r="A1036" t="s">
        <v>10350</v>
      </c>
      <c r="B1036">
        <v>-27.17</v>
      </c>
      <c r="C1036">
        <v>777.5</v>
      </c>
      <c r="D1036">
        <v>18.321666669999999</v>
      </c>
      <c r="E1036">
        <v>15.175000000000001</v>
      </c>
      <c r="F1036">
        <v>21.418333329999999</v>
      </c>
      <c r="G1036">
        <v>1.693333333</v>
      </c>
      <c r="H1036">
        <v>1</v>
      </c>
      <c r="I1036">
        <v>2.1583333329999999</v>
      </c>
      <c r="J1036">
        <v>4892.4341670000003</v>
      </c>
      <c r="K1036">
        <v>4128.3958329999996</v>
      </c>
      <c r="L1036">
        <v>5957.7083329999996</v>
      </c>
      <c r="M1036">
        <v>13.72583333</v>
      </c>
      <c r="N1036">
        <v>11.99666667</v>
      </c>
      <c r="O1036">
        <v>15.99666667</v>
      </c>
      <c r="Q1036" t="s">
        <v>27</v>
      </c>
      <c r="R1036" t="s">
        <v>10351</v>
      </c>
      <c r="S1036" t="s">
        <v>9058</v>
      </c>
      <c r="T1036" t="s">
        <v>9061</v>
      </c>
    </row>
    <row r="1037" spans="1:20" x14ac:dyDescent="0.25">
      <c r="A1037" t="s">
        <v>10352</v>
      </c>
      <c r="B1037">
        <v>-26.22</v>
      </c>
      <c r="C1037">
        <v>4.5999999999999996</v>
      </c>
      <c r="D1037">
        <v>21.348333329999999</v>
      </c>
      <c r="E1037">
        <v>18.875</v>
      </c>
      <c r="F1037">
        <v>23.458333329999999</v>
      </c>
      <c r="G1037">
        <v>1.7716666670000001</v>
      </c>
      <c r="H1037">
        <v>0.76666666699999997</v>
      </c>
      <c r="I1037">
        <v>2.4849999999999999</v>
      </c>
      <c r="J1037">
        <v>4317.4716669999998</v>
      </c>
      <c r="K1037">
        <v>3380.354167</v>
      </c>
      <c r="L1037">
        <v>5307.0208329999996</v>
      </c>
      <c r="M1037">
        <v>18.604166670000001</v>
      </c>
      <c r="N1037">
        <v>17.175000000000001</v>
      </c>
      <c r="O1037">
        <v>20.30833333</v>
      </c>
      <c r="Q1037" t="s">
        <v>27</v>
      </c>
      <c r="R1037" t="s">
        <v>10353</v>
      </c>
      <c r="S1037" t="s">
        <v>9058</v>
      </c>
      <c r="T1037" t="s">
        <v>9059</v>
      </c>
    </row>
    <row r="1038" spans="1:20" x14ac:dyDescent="0.25">
      <c r="A1038" t="s">
        <v>10354</v>
      </c>
      <c r="B1038">
        <v>-26.22</v>
      </c>
      <c r="C1038">
        <v>4.5999999999999996</v>
      </c>
      <c r="D1038">
        <v>21.206666670000001</v>
      </c>
      <c r="E1038">
        <v>18.877500000000001</v>
      </c>
      <c r="F1038">
        <v>23.39</v>
      </c>
      <c r="G1038">
        <v>1.829166667</v>
      </c>
      <c r="H1038">
        <v>0.84166666700000003</v>
      </c>
      <c r="I1038">
        <v>2.5783333329999998</v>
      </c>
      <c r="J1038">
        <v>3921.22</v>
      </c>
      <c r="K1038">
        <v>2903.166667</v>
      </c>
      <c r="L1038">
        <v>5041.625</v>
      </c>
      <c r="M1038">
        <v>18.4375</v>
      </c>
      <c r="N1038">
        <v>16.94166667</v>
      </c>
      <c r="O1038">
        <v>20.337499999999999</v>
      </c>
      <c r="Q1038" t="s">
        <v>27</v>
      </c>
      <c r="R1038" t="s">
        <v>10353</v>
      </c>
      <c r="S1038" t="s">
        <v>9058</v>
      </c>
      <c r="T1038" t="s">
        <v>9061</v>
      </c>
    </row>
    <row r="1039" spans="1:20" x14ac:dyDescent="0.25">
      <c r="A1039" t="s">
        <v>7825</v>
      </c>
      <c r="B1039">
        <v>-26.4</v>
      </c>
      <c r="C1039">
        <v>808</v>
      </c>
      <c r="D1039">
        <v>16.989166669999999</v>
      </c>
      <c r="E1039">
        <v>14.39833333</v>
      </c>
      <c r="F1039">
        <v>19.324999999999999</v>
      </c>
      <c r="G1039">
        <v>2.2508333330000001</v>
      </c>
      <c r="H1039">
        <v>1.2483333329999999</v>
      </c>
      <c r="I1039">
        <v>3.1</v>
      </c>
      <c r="J1039">
        <v>3755.4891670000002</v>
      </c>
      <c r="K1039">
        <v>2598.354167</v>
      </c>
      <c r="L1039">
        <v>4936.6041670000004</v>
      </c>
      <c r="M1039">
        <v>14.1775</v>
      </c>
      <c r="N1039">
        <v>12.64583333</v>
      </c>
      <c r="O1039">
        <v>16.085000000000001</v>
      </c>
      <c r="Q1039" t="s">
        <v>27</v>
      </c>
      <c r="R1039" t="s">
        <v>10355</v>
      </c>
      <c r="S1039" t="s">
        <v>9065</v>
      </c>
      <c r="T1039" t="s">
        <v>9066</v>
      </c>
    </row>
    <row r="1040" spans="1:20" x14ac:dyDescent="0.25">
      <c r="A1040" t="s">
        <v>10356</v>
      </c>
      <c r="B1040">
        <v>-26.4</v>
      </c>
      <c r="C1040">
        <v>809.5</v>
      </c>
      <c r="D1040">
        <v>17.056666669999998</v>
      </c>
      <c r="E1040">
        <v>14.14583333</v>
      </c>
      <c r="F1040">
        <v>19.853333330000002</v>
      </c>
      <c r="G1040">
        <v>2.0741666670000001</v>
      </c>
      <c r="H1040">
        <v>0.84833333300000002</v>
      </c>
      <c r="I1040">
        <v>3.016666667</v>
      </c>
      <c r="J1040">
        <v>4460.4525000000003</v>
      </c>
      <c r="K1040">
        <v>3559.458333</v>
      </c>
      <c r="L1040">
        <v>5583.9583329999996</v>
      </c>
      <c r="M1040">
        <v>13.48833333</v>
      </c>
      <c r="N1040">
        <v>11.481666669999999</v>
      </c>
      <c r="O1040">
        <v>15.86833333</v>
      </c>
      <c r="Q1040" t="s">
        <v>27</v>
      </c>
      <c r="R1040" t="s">
        <v>10355</v>
      </c>
      <c r="S1040" t="s">
        <v>9058</v>
      </c>
      <c r="T1040" t="s">
        <v>9061</v>
      </c>
    </row>
    <row r="1041" spans="1:20" x14ac:dyDescent="0.25">
      <c r="A1041" t="s">
        <v>10357</v>
      </c>
      <c r="B1041">
        <v>-26.88</v>
      </c>
      <c r="C1041">
        <v>5</v>
      </c>
      <c r="D1041">
        <v>21.701666670000002</v>
      </c>
      <c r="E1041">
        <v>20.166666670000001</v>
      </c>
      <c r="F1041">
        <v>23.34333333</v>
      </c>
      <c r="G1041">
        <v>3.2616666670000001</v>
      </c>
      <c r="H1041">
        <v>2.1916666669999998</v>
      </c>
      <c r="I1041">
        <v>4.2249999999999996</v>
      </c>
      <c r="J1041">
        <v>4775.0391669999999</v>
      </c>
      <c r="K1041">
        <v>3806.791667</v>
      </c>
      <c r="L1041">
        <v>5662.25</v>
      </c>
      <c r="M1041">
        <v>18.674166670000002</v>
      </c>
      <c r="N1041">
        <v>16.916666670000001</v>
      </c>
      <c r="O1041">
        <v>20.605833329999999</v>
      </c>
      <c r="Q1041" t="s">
        <v>27</v>
      </c>
      <c r="R1041" t="s">
        <v>10358</v>
      </c>
      <c r="S1041" t="s">
        <v>9058</v>
      </c>
      <c r="T1041" t="s">
        <v>9059</v>
      </c>
    </row>
    <row r="1042" spans="1:20" x14ac:dyDescent="0.25">
      <c r="A1042" t="s">
        <v>10359</v>
      </c>
      <c r="B1042">
        <v>-26.88</v>
      </c>
      <c r="C1042">
        <v>5</v>
      </c>
      <c r="D1042">
        <v>21.596666670000001</v>
      </c>
      <c r="E1042">
        <v>19.973333329999999</v>
      </c>
      <c r="F1042">
        <v>23.416666670000001</v>
      </c>
      <c r="G1042">
        <v>3.2658333329999998</v>
      </c>
      <c r="H1042">
        <v>2.2000000000000002</v>
      </c>
      <c r="I1042">
        <v>4.1691666669999998</v>
      </c>
      <c r="J1042">
        <v>4145.040833</v>
      </c>
      <c r="K1042">
        <v>3345.104167</v>
      </c>
      <c r="L1042">
        <v>5089.7291670000004</v>
      </c>
      <c r="M1042">
        <v>18.5825</v>
      </c>
      <c r="N1042">
        <v>17.077500000000001</v>
      </c>
      <c r="O1042">
        <v>20.587499999999999</v>
      </c>
      <c r="Q1042" t="s">
        <v>27</v>
      </c>
      <c r="R1042" t="s">
        <v>10358</v>
      </c>
      <c r="S1042" t="s">
        <v>9058</v>
      </c>
      <c r="T1042" t="s">
        <v>9061</v>
      </c>
    </row>
    <row r="1043" spans="1:20" x14ac:dyDescent="0.25">
      <c r="A1043" t="s">
        <v>7844</v>
      </c>
      <c r="B1043">
        <v>-26.41</v>
      </c>
      <c r="C1043">
        <v>960</v>
      </c>
      <c r="D1043">
        <v>18.123333330000001</v>
      </c>
      <c r="E1043">
        <v>15.595000000000001</v>
      </c>
      <c r="F1043">
        <v>20.693333330000002</v>
      </c>
      <c r="G1043">
        <v>3.6175000000000002</v>
      </c>
      <c r="H1043">
        <v>2.4583333330000001</v>
      </c>
      <c r="I1043">
        <v>4.641666667</v>
      </c>
      <c r="J1043">
        <v>4333.9975000000004</v>
      </c>
      <c r="K1043">
        <v>3044.229167</v>
      </c>
      <c r="L1043">
        <v>5794.375</v>
      </c>
      <c r="M1043">
        <v>13.86916667</v>
      </c>
      <c r="N1043">
        <v>12.063333330000001</v>
      </c>
      <c r="O1043">
        <v>16.05</v>
      </c>
      <c r="Q1043" t="s">
        <v>27</v>
      </c>
      <c r="R1043" t="s">
        <v>10360</v>
      </c>
      <c r="S1043" t="s">
        <v>9065</v>
      </c>
      <c r="T1043" t="s">
        <v>9066</v>
      </c>
    </row>
    <row r="1044" spans="1:20" x14ac:dyDescent="0.25">
      <c r="A1044" t="s">
        <v>10361</v>
      </c>
      <c r="B1044">
        <v>-26.4</v>
      </c>
      <c r="C1044">
        <v>961.5</v>
      </c>
      <c r="D1044">
        <v>18.612500000000001</v>
      </c>
      <c r="E1044">
        <v>15.71</v>
      </c>
      <c r="F1044">
        <v>21.638333329999998</v>
      </c>
      <c r="G1044">
        <v>3.1675</v>
      </c>
      <c r="H1044">
        <v>2.09</v>
      </c>
      <c r="I1044">
        <v>4.125</v>
      </c>
      <c r="J1044">
        <v>5038.3441670000002</v>
      </c>
      <c r="K1044">
        <v>4249.9791670000004</v>
      </c>
      <c r="L1044">
        <v>6109.2083329999996</v>
      </c>
      <c r="M1044">
        <v>13.189166670000001</v>
      </c>
      <c r="N1044">
        <v>11.098333330000001</v>
      </c>
      <c r="O1044">
        <v>15.675000000000001</v>
      </c>
      <c r="Q1044" t="s">
        <v>27</v>
      </c>
      <c r="R1044" t="s">
        <v>10360</v>
      </c>
      <c r="S1044" t="s">
        <v>9058</v>
      </c>
      <c r="T1044" t="s">
        <v>9061</v>
      </c>
    </row>
    <row r="1045" spans="1:20" x14ac:dyDescent="0.25">
      <c r="A1045" t="s">
        <v>7809</v>
      </c>
      <c r="B1045">
        <v>-26.25</v>
      </c>
      <c r="C1045">
        <v>869</v>
      </c>
      <c r="D1045">
        <v>16.419166669999999</v>
      </c>
      <c r="E1045">
        <v>13.739166669999999</v>
      </c>
      <c r="F1045">
        <v>18.654166669999999</v>
      </c>
      <c r="G1045">
        <v>2.2566666670000002</v>
      </c>
      <c r="H1045">
        <v>1.2</v>
      </c>
      <c r="I1045">
        <v>3.1683333330000001</v>
      </c>
      <c r="J1045">
        <v>4074.6408329999999</v>
      </c>
      <c r="K1045">
        <v>3087.083333</v>
      </c>
      <c r="L1045">
        <v>5301.5208329999996</v>
      </c>
      <c r="M1045">
        <v>13.6225</v>
      </c>
      <c r="N1045">
        <v>12.05833333</v>
      </c>
      <c r="O1045">
        <v>15.52166667</v>
      </c>
      <c r="Q1045" t="s">
        <v>27</v>
      </c>
      <c r="R1045" t="s">
        <v>10362</v>
      </c>
      <c r="S1045" t="s">
        <v>9065</v>
      </c>
      <c r="T1045" t="s">
        <v>9066</v>
      </c>
    </row>
    <row r="1046" spans="1:20" x14ac:dyDescent="0.25">
      <c r="A1046" t="s">
        <v>10363</v>
      </c>
      <c r="B1046">
        <v>-26.25</v>
      </c>
      <c r="C1046">
        <v>870.5</v>
      </c>
      <c r="D1046">
        <v>17.135000000000002</v>
      </c>
      <c r="E1046">
        <v>14.43166667</v>
      </c>
      <c r="F1046">
        <v>19.513333329999998</v>
      </c>
      <c r="G1046">
        <v>1.1475</v>
      </c>
      <c r="H1046">
        <v>0.55833333299999999</v>
      </c>
      <c r="I1046">
        <v>1.51</v>
      </c>
      <c r="J1046">
        <v>4329.9866670000001</v>
      </c>
      <c r="K1046">
        <v>3180.770833</v>
      </c>
      <c r="L1046">
        <v>5513.6041670000004</v>
      </c>
      <c r="M1046">
        <v>14.574999999999999</v>
      </c>
      <c r="N1046">
        <v>12.99416667</v>
      </c>
      <c r="O1046">
        <v>16.483333330000001</v>
      </c>
      <c r="Q1046" t="s">
        <v>27</v>
      </c>
      <c r="R1046" t="s">
        <v>10362</v>
      </c>
      <c r="S1046" t="s">
        <v>9058</v>
      </c>
      <c r="T1046" t="s">
        <v>9061</v>
      </c>
    </row>
    <row r="1047" spans="1:20" x14ac:dyDescent="0.25">
      <c r="A1047" t="s">
        <v>10364</v>
      </c>
      <c r="B1047">
        <v>-26.93</v>
      </c>
      <c r="C1047">
        <v>593.5</v>
      </c>
      <c r="D1047">
        <v>17.77416667</v>
      </c>
      <c r="E1047">
        <v>15.15</v>
      </c>
      <c r="F1047">
        <v>20.368333329999999</v>
      </c>
      <c r="G1047">
        <v>0.85166666700000004</v>
      </c>
      <c r="H1047">
        <v>0.25</v>
      </c>
      <c r="I1047">
        <v>1.193333333</v>
      </c>
      <c r="J1047">
        <v>4329.2808329999998</v>
      </c>
      <c r="K1047">
        <v>3244.645833</v>
      </c>
      <c r="L1047">
        <v>5362.375</v>
      </c>
      <c r="M1047">
        <v>14.4475</v>
      </c>
      <c r="N1047">
        <v>12.845000000000001</v>
      </c>
      <c r="O1047">
        <v>16.481666669999999</v>
      </c>
      <c r="Q1047" t="s">
        <v>27</v>
      </c>
      <c r="R1047" t="s">
        <v>10365</v>
      </c>
      <c r="S1047" t="s">
        <v>9058</v>
      </c>
      <c r="T1047" t="s">
        <v>9061</v>
      </c>
    </row>
    <row r="1048" spans="1:20" x14ac:dyDescent="0.25">
      <c r="A1048" t="s">
        <v>8568</v>
      </c>
      <c r="B1048">
        <v>-28.6</v>
      </c>
      <c r="C1048">
        <v>52</v>
      </c>
      <c r="D1048">
        <v>19.44166667</v>
      </c>
      <c r="E1048">
        <v>18.19166667</v>
      </c>
      <c r="F1048">
        <v>20.734999999999999</v>
      </c>
      <c r="G1048">
        <v>6.58</v>
      </c>
      <c r="H1048">
        <v>3.54</v>
      </c>
      <c r="I1048">
        <v>9.0950000000000006</v>
      </c>
      <c r="J1048">
        <v>4557.0291669999997</v>
      </c>
      <c r="K1048">
        <v>3276.25</v>
      </c>
      <c r="L1048">
        <v>5959.4583329999996</v>
      </c>
      <c r="M1048">
        <v>16.56583333</v>
      </c>
      <c r="N1048">
        <v>15.233333330000001</v>
      </c>
      <c r="O1048">
        <v>18.420000000000002</v>
      </c>
      <c r="Q1048" t="s">
        <v>27</v>
      </c>
      <c r="R1048" t="s">
        <v>10366</v>
      </c>
      <c r="S1048" t="s">
        <v>9065</v>
      </c>
      <c r="T1048" t="s">
        <v>9066</v>
      </c>
    </row>
    <row r="1049" spans="1:20" x14ac:dyDescent="0.25">
      <c r="A1049" t="s">
        <v>10367</v>
      </c>
      <c r="B1049">
        <v>-28.6</v>
      </c>
      <c r="C1049">
        <v>54</v>
      </c>
      <c r="D1049">
        <v>19.864999999999998</v>
      </c>
      <c r="E1049">
        <v>18.588333330000001</v>
      </c>
      <c r="F1049">
        <v>21.311666670000001</v>
      </c>
      <c r="G1049">
        <v>5.7658333329999998</v>
      </c>
      <c r="H1049">
        <v>2.9216666670000002</v>
      </c>
      <c r="I1049">
        <v>8.0458333329999991</v>
      </c>
      <c r="J1049">
        <v>3986.2049999999999</v>
      </c>
      <c r="K1049">
        <v>3370.354167</v>
      </c>
      <c r="L1049">
        <v>4663.4791670000004</v>
      </c>
      <c r="M1049">
        <v>17.061666670000001</v>
      </c>
      <c r="N1049">
        <v>15.096666669999999</v>
      </c>
      <c r="O1049">
        <v>19.216666669999999</v>
      </c>
      <c r="Q1049" t="s">
        <v>27</v>
      </c>
      <c r="R1049" t="s">
        <v>10368</v>
      </c>
      <c r="S1049" t="s">
        <v>9058</v>
      </c>
      <c r="T1049" t="s">
        <v>9059</v>
      </c>
    </row>
    <row r="1050" spans="1:20" x14ac:dyDescent="0.25">
      <c r="A1050" t="s">
        <v>10369</v>
      </c>
      <c r="B1050">
        <v>-28.6</v>
      </c>
      <c r="C1050">
        <v>54</v>
      </c>
      <c r="D1050">
        <v>20.3125</v>
      </c>
      <c r="E1050">
        <v>19.208333329999999</v>
      </c>
      <c r="F1050">
        <v>21.526666670000001</v>
      </c>
      <c r="G1050">
        <v>5.3416666670000001</v>
      </c>
      <c r="H1050">
        <v>3.0808333330000002</v>
      </c>
      <c r="I1050">
        <v>7.3716666670000004</v>
      </c>
      <c r="J1050">
        <v>4810.6808330000003</v>
      </c>
      <c r="K1050">
        <v>3987.625</v>
      </c>
      <c r="L1050">
        <v>5894.2291670000004</v>
      </c>
      <c r="M1050">
        <v>17.1325</v>
      </c>
      <c r="N1050">
        <v>15.65416667</v>
      </c>
      <c r="O1050">
        <v>19.118333329999999</v>
      </c>
      <c r="Q1050" t="s">
        <v>27</v>
      </c>
      <c r="R1050" t="s">
        <v>10368</v>
      </c>
      <c r="S1050" t="s">
        <v>9058</v>
      </c>
      <c r="T1050" t="s">
        <v>9061</v>
      </c>
    </row>
    <row r="1051" spans="1:20" x14ac:dyDescent="0.25">
      <c r="A1051" t="s">
        <v>8566</v>
      </c>
      <c r="B1051">
        <v>-28.28</v>
      </c>
      <c r="C1051">
        <v>1410</v>
      </c>
      <c r="D1051">
        <v>13.650833329999999</v>
      </c>
      <c r="E1051">
        <v>11.11916667</v>
      </c>
      <c r="F1051">
        <v>15.97083333</v>
      </c>
      <c r="G1051">
        <v>3.121666667</v>
      </c>
      <c r="H1051">
        <v>1.99</v>
      </c>
      <c r="I1051">
        <v>4.05</v>
      </c>
      <c r="J1051">
        <v>4343.0608329999995</v>
      </c>
      <c r="K1051">
        <v>3084.229167</v>
      </c>
      <c r="L1051">
        <v>5711.5833329999996</v>
      </c>
      <c r="M1051">
        <v>10.501666670000001</v>
      </c>
      <c r="N1051">
        <v>8.8249999999999993</v>
      </c>
      <c r="O1051">
        <v>12.42166667</v>
      </c>
      <c r="Q1051" t="s">
        <v>27</v>
      </c>
      <c r="R1051" t="s">
        <v>10370</v>
      </c>
      <c r="S1051" t="s">
        <v>9065</v>
      </c>
      <c r="T1051" t="s">
        <v>9066</v>
      </c>
    </row>
    <row r="1052" spans="1:20" x14ac:dyDescent="0.25">
      <c r="A1052" t="s">
        <v>10371</v>
      </c>
      <c r="B1052">
        <v>-28.28</v>
      </c>
      <c r="C1052">
        <v>1411.5</v>
      </c>
      <c r="D1052">
        <v>14.61833333</v>
      </c>
      <c r="E1052">
        <v>12.018333330000001</v>
      </c>
      <c r="F1052">
        <v>17.249166670000001</v>
      </c>
      <c r="G1052">
        <v>2.4333333330000002</v>
      </c>
      <c r="H1052">
        <v>1.5249999999999999</v>
      </c>
      <c r="I1052">
        <v>3.16</v>
      </c>
      <c r="J1052">
        <v>4591.0241669999996</v>
      </c>
      <c r="K1052">
        <v>3776.729167</v>
      </c>
      <c r="L1052">
        <v>5558.1875</v>
      </c>
      <c r="M1052">
        <v>10.76583333</v>
      </c>
      <c r="N1052">
        <v>8.9116666670000004</v>
      </c>
      <c r="O1052">
        <v>13.24333333</v>
      </c>
      <c r="Q1052" t="s">
        <v>27</v>
      </c>
      <c r="R1052" t="s">
        <v>10370</v>
      </c>
      <c r="S1052" t="s">
        <v>9058</v>
      </c>
      <c r="T1052" t="s">
        <v>9061</v>
      </c>
    </row>
    <row r="1053" spans="1:20" x14ac:dyDescent="0.25">
      <c r="A1053" t="s">
        <v>10372</v>
      </c>
      <c r="B1053">
        <v>-26.78</v>
      </c>
      <c r="C1053">
        <v>666.5</v>
      </c>
      <c r="D1053">
        <v>20.373333330000001</v>
      </c>
      <c r="E1053">
        <v>17.177499999999998</v>
      </c>
      <c r="F1053">
        <v>23.35</v>
      </c>
      <c r="G1053">
        <v>2.71</v>
      </c>
      <c r="H1053">
        <v>1.8333333329999999</v>
      </c>
      <c r="I1053">
        <v>3.41</v>
      </c>
      <c r="J1053">
        <v>4853.3599999999997</v>
      </c>
      <c r="K1053">
        <v>3983.3125</v>
      </c>
      <c r="L1053">
        <v>5870.4791670000004</v>
      </c>
      <c r="M1053">
        <v>15.0625</v>
      </c>
      <c r="N1053">
        <v>13.116666670000001</v>
      </c>
      <c r="O1053">
        <v>17.291666670000001</v>
      </c>
      <c r="Q1053" t="s">
        <v>27</v>
      </c>
      <c r="R1053" t="s">
        <v>10373</v>
      </c>
      <c r="S1053" t="s">
        <v>9058</v>
      </c>
      <c r="T1053" t="s">
        <v>9061</v>
      </c>
    </row>
    <row r="1054" spans="1:20" x14ac:dyDescent="0.25">
      <c r="A1054" t="s">
        <v>8539</v>
      </c>
      <c r="B1054">
        <v>-26.78</v>
      </c>
      <c r="C1054">
        <v>665</v>
      </c>
      <c r="D1054">
        <v>19.6675</v>
      </c>
      <c r="E1054">
        <v>16.3325</v>
      </c>
      <c r="F1054">
        <v>22.84</v>
      </c>
      <c r="G1054">
        <v>2.9958333330000002</v>
      </c>
      <c r="H1054">
        <v>2.0249999999999999</v>
      </c>
      <c r="I1054">
        <v>3.8</v>
      </c>
      <c r="J1054">
        <v>4568.5083329999998</v>
      </c>
      <c r="K1054">
        <v>3613.75</v>
      </c>
      <c r="L1054">
        <v>5840.125</v>
      </c>
      <c r="M1054">
        <v>14.10916667</v>
      </c>
      <c r="N1054">
        <v>12.08</v>
      </c>
      <c r="O1054">
        <v>16.298333329999998</v>
      </c>
      <c r="Q1054" t="s">
        <v>27</v>
      </c>
      <c r="R1054" t="s">
        <v>10374</v>
      </c>
      <c r="S1054" t="s">
        <v>9065</v>
      </c>
      <c r="T1054" t="s">
        <v>9066</v>
      </c>
    </row>
    <row r="1055" spans="1:20" x14ac:dyDescent="0.25">
      <c r="A1055" t="s">
        <v>8541</v>
      </c>
      <c r="B1055">
        <v>-28.13</v>
      </c>
      <c r="C1055">
        <v>1810</v>
      </c>
      <c r="D1055">
        <v>10.84166667</v>
      </c>
      <c r="E1055">
        <v>8.7166666670000001</v>
      </c>
      <c r="F1055">
        <v>12.845000000000001</v>
      </c>
      <c r="G1055">
        <v>7.3683333329999998</v>
      </c>
      <c r="H1055">
        <v>4.5558333329999998</v>
      </c>
      <c r="I1055">
        <v>9.7100000000000009</v>
      </c>
      <c r="J1055">
        <v>3635.9050000000002</v>
      </c>
      <c r="K1055">
        <v>2477.354167</v>
      </c>
      <c r="L1055">
        <v>4865.125</v>
      </c>
      <c r="M1055">
        <v>8.9991666670000008</v>
      </c>
      <c r="N1055">
        <v>7.44</v>
      </c>
      <c r="O1055">
        <v>10.733333330000001</v>
      </c>
      <c r="Q1055" t="s">
        <v>27</v>
      </c>
      <c r="R1055" t="s">
        <v>10375</v>
      </c>
      <c r="S1055" t="s">
        <v>9065</v>
      </c>
      <c r="T1055" t="s">
        <v>9066</v>
      </c>
    </row>
    <row r="1056" spans="1:20" x14ac:dyDescent="0.25">
      <c r="A1056" t="s">
        <v>10376</v>
      </c>
      <c r="B1056">
        <v>-28.13</v>
      </c>
      <c r="C1056">
        <v>1811.5</v>
      </c>
      <c r="D1056">
        <v>12.68416667</v>
      </c>
      <c r="E1056">
        <v>10.20833333</v>
      </c>
      <c r="F1056">
        <v>15.051666669999999</v>
      </c>
      <c r="G1056">
        <v>5.5041666669999998</v>
      </c>
      <c r="H1056">
        <v>2.8983333330000001</v>
      </c>
      <c r="I1056">
        <v>7.5208333329999997</v>
      </c>
      <c r="J1056">
        <v>4450.4958329999999</v>
      </c>
      <c r="K1056">
        <v>3555.291667</v>
      </c>
      <c r="L1056">
        <v>5518.4166670000004</v>
      </c>
      <c r="M1056">
        <v>1.7066666669999999</v>
      </c>
      <c r="N1056">
        <v>-3.5241666669999998</v>
      </c>
      <c r="O1056">
        <v>6.0475000000000003</v>
      </c>
      <c r="Q1056" t="s">
        <v>27</v>
      </c>
      <c r="R1056" t="s">
        <v>10375</v>
      </c>
      <c r="S1056" t="s">
        <v>9058</v>
      </c>
      <c r="T1056" t="s">
        <v>9061</v>
      </c>
    </row>
    <row r="1057" spans="1:20" x14ac:dyDescent="0.25">
      <c r="A1057" t="s">
        <v>8544</v>
      </c>
      <c r="B1057">
        <v>-28.53</v>
      </c>
      <c r="C1057">
        <v>48</v>
      </c>
      <c r="D1057">
        <v>19.67166667</v>
      </c>
      <c r="E1057">
        <v>16.876666669999999</v>
      </c>
      <c r="F1057">
        <v>22.021666669999998</v>
      </c>
      <c r="G1057">
        <v>0.755833333</v>
      </c>
      <c r="H1057">
        <v>0</v>
      </c>
      <c r="I1057">
        <v>1.3416666669999999</v>
      </c>
      <c r="J1057">
        <v>3829.1408329999999</v>
      </c>
      <c r="K1057">
        <v>2371.895833</v>
      </c>
      <c r="L1057">
        <v>5310.5833329999996</v>
      </c>
      <c r="M1057">
        <v>16.159166670000001</v>
      </c>
      <c r="N1057">
        <v>14.323333330000001</v>
      </c>
      <c r="O1057">
        <v>18.212499999999999</v>
      </c>
      <c r="Q1057" t="s">
        <v>27</v>
      </c>
      <c r="R1057" t="s">
        <v>10377</v>
      </c>
      <c r="S1057" t="s">
        <v>9065</v>
      </c>
      <c r="T1057" t="s">
        <v>9066</v>
      </c>
    </row>
    <row r="1058" spans="1:20" x14ac:dyDescent="0.25">
      <c r="A1058" t="s">
        <v>10378</v>
      </c>
      <c r="B1058">
        <v>-28.53</v>
      </c>
      <c r="C1058">
        <v>49.5</v>
      </c>
      <c r="D1058">
        <v>19.801666669999999</v>
      </c>
      <c r="E1058">
        <v>16.818333330000002</v>
      </c>
      <c r="F1058">
        <v>22.364999999999998</v>
      </c>
      <c r="G1058">
        <v>1.026666667</v>
      </c>
      <c r="H1058">
        <v>0.48333333299999998</v>
      </c>
      <c r="I1058">
        <v>1.36</v>
      </c>
      <c r="J1058">
        <v>4652.6549999999997</v>
      </c>
      <c r="K1058">
        <v>3738.020833</v>
      </c>
      <c r="L1058">
        <v>5742.6458329999996</v>
      </c>
      <c r="M1058">
        <v>15.573333330000001</v>
      </c>
      <c r="N1058">
        <v>13.571666670000001</v>
      </c>
      <c r="O1058">
        <v>18.11333333</v>
      </c>
      <c r="Q1058" t="s">
        <v>27</v>
      </c>
      <c r="R1058" t="s">
        <v>10377</v>
      </c>
      <c r="S1058" t="s">
        <v>9058</v>
      </c>
      <c r="T1058" t="s">
        <v>9061</v>
      </c>
    </row>
    <row r="1059" spans="1:20" x14ac:dyDescent="0.25">
      <c r="A1059" t="s">
        <v>8534</v>
      </c>
      <c r="B1059">
        <v>-26.94</v>
      </c>
      <c r="C1059">
        <v>889</v>
      </c>
      <c r="D1059">
        <v>18.054166670000001</v>
      </c>
      <c r="E1059">
        <v>15.250833330000001</v>
      </c>
      <c r="F1059">
        <v>20.943333330000002</v>
      </c>
      <c r="G1059">
        <v>3.9041666670000001</v>
      </c>
      <c r="H1059">
        <v>2.4900000000000002</v>
      </c>
      <c r="I1059">
        <v>5.1183333329999998</v>
      </c>
      <c r="J1059">
        <v>4490.0291669999997</v>
      </c>
      <c r="K1059">
        <v>3367.166667</v>
      </c>
      <c r="L1059">
        <v>5829.4583329999996</v>
      </c>
      <c r="M1059">
        <v>12.848333330000001</v>
      </c>
      <c r="N1059">
        <v>11.17333333</v>
      </c>
      <c r="O1059">
        <v>14.76166667</v>
      </c>
      <c r="Q1059" t="s">
        <v>27</v>
      </c>
      <c r="R1059" t="s">
        <v>10379</v>
      </c>
      <c r="S1059" t="s">
        <v>9065</v>
      </c>
      <c r="T1059" t="s">
        <v>9066</v>
      </c>
    </row>
    <row r="1060" spans="1:20" x14ac:dyDescent="0.25">
      <c r="A1060" t="s">
        <v>10380</v>
      </c>
      <c r="B1060">
        <v>-26.93</v>
      </c>
      <c r="C1060">
        <v>890.5</v>
      </c>
      <c r="D1060">
        <v>18.9925</v>
      </c>
      <c r="E1060">
        <v>15.971666669999999</v>
      </c>
      <c r="F1060">
        <v>22.00333333</v>
      </c>
      <c r="G1060">
        <v>2.3125</v>
      </c>
      <c r="H1060">
        <v>1.2166666669999999</v>
      </c>
      <c r="I1060">
        <v>3.2708333330000001</v>
      </c>
      <c r="J1060">
        <v>4881.8208329999998</v>
      </c>
      <c r="K1060">
        <v>3943.333333</v>
      </c>
      <c r="L1060">
        <v>6009.625</v>
      </c>
      <c r="M1060">
        <v>13.91416667</v>
      </c>
      <c r="N1060">
        <v>12.1625</v>
      </c>
      <c r="O1060">
        <v>15.901666669999999</v>
      </c>
      <c r="Q1060" t="s">
        <v>27</v>
      </c>
      <c r="R1060" t="s">
        <v>10379</v>
      </c>
      <c r="S1060" t="s">
        <v>9058</v>
      </c>
      <c r="T1060" t="s">
        <v>9061</v>
      </c>
    </row>
    <row r="1061" spans="1:20" x14ac:dyDescent="0.25">
      <c r="A1061" t="s">
        <v>10381</v>
      </c>
      <c r="B1061">
        <v>-10.98</v>
      </c>
      <c r="C1061">
        <v>7</v>
      </c>
      <c r="D1061">
        <v>26.603333330000002</v>
      </c>
      <c r="E1061">
        <v>25.445833329999999</v>
      </c>
      <c r="F1061">
        <v>27.958333329999999</v>
      </c>
      <c r="G1061">
        <v>4.4675000000000002</v>
      </c>
      <c r="H1061">
        <v>3.3983333330000001</v>
      </c>
      <c r="I1061">
        <v>5.6566666669999996</v>
      </c>
      <c r="J1061">
        <v>5824.3441670000002</v>
      </c>
      <c r="K1061">
        <v>5314.25</v>
      </c>
      <c r="L1061">
        <v>6528.2291670000004</v>
      </c>
      <c r="M1061">
        <v>22.313333329999999</v>
      </c>
      <c r="N1061">
        <v>21.783333330000001</v>
      </c>
      <c r="O1061">
        <v>23.09333333</v>
      </c>
      <c r="Q1061" t="s">
        <v>298</v>
      </c>
      <c r="R1061" t="s">
        <v>10382</v>
      </c>
      <c r="S1061" t="s">
        <v>9058</v>
      </c>
      <c r="T1061" t="s">
        <v>9059</v>
      </c>
    </row>
    <row r="1062" spans="1:20" x14ac:dyDescent="0.25">
      <c r="A1062" t="s">
        <v>10383</v>
      </c>
      <c r="B1062">
        <v>-10.98</v>
      </c>
      <c r="C1062">
        <v>7</v>
      </c>
      <c r="D1062">
        <v>26.63666667</v>
      </c>
      <c r="E1062">
        <v>25.666666670000001</v>
      </c>
      <c r="F1062">
        <v>27.916666670000001</v>
      </c>
      <c r="G1062">
        <v>4.6641666669999999</v>
      </c>
      <c r="H1062">
        <v>3.621666667</v>
      </c>
      <c r="I1062">
        <v>5.79</v>
      </c>
      <c r="J1062">
        <v>5609.731667</v>
      </c>
      <c r="K1062">
        <v>5252.9166670000004</v>
      </c>
      <c r="L1062">
        <v>6127.5416670000004</v>
      </c>
      <c r="M1062">
        <v>22.094999999999999</v>
      </c>
      <c r="N1062">
        <v>21.633333329999999</v>
      </c>
      <c r="O1062">
        <v>22.833333329999999</v>
      </c>
      <c r="Q1062" t="s">
        <v>298</v>
      </c>
      <c r="R1062" t="s">
        <v>10384</v>
      </c>
      <c r="S1062" t="s">
        <v>9058</v>
      </c>
      <c r="T1062" t="s">
        <v>9061</v>
      </c>
    </row>
    <row r="1063" spans="1:20" x14ac:dyDescent="0.25">
      <c r="A1063" t="s">
        <v>8675</v>
      </c>
      <c r="B1063">
        <v>-10.91</v>
      </c>
      <c r="C1063">
        <v>5</v>
      </c>
      <c r="D1063">
        <v>26.53916667</v>
      </c>
      <c r="E1063">
        <v>25.63</v>
      </c>
      <c r="F1063">
        <v>27.82833333</v>
      </c>
      <c r="G1063">
        <v>3.380833333</v>
      </c>
      <c r="H1063">
        <v>2.483333333</v>
      </c>
      <c r="I1063">
        <v>4.233333333</v>
      </c>
      <c r="J1063">
        <v>5633.35</v>
      </c>
      <c r="K1063">
        <v>5276.8541670000004</v>
      </c>
      <c r="L1063">
        <v>6274.9583329999996</v>
      </c>
      <c r="M1063">
        <v>21.62833333</v>
      </c>
      <c r="N1063">
        <v>21.016666669999999</v>
      </c>
      <c r="O1063">
        <v>22.291666670000001</v>
      </c>
      <c r="Q1063" t="s">
        <v>298</v>
      </c>
      <c r="R1063" t="s">
        <v>10385</v>
      </c>
      <c r="S1063" t="s">
        <v>9065</v>
      </c>
      <c r="T1063" t="s">
        <v>9066</v>
      </c>
    </row>
    <row r="1064" spans="1:20" x14ac:dyDescent="0.25">
      <c r="A1064" t="s">
        <v>10386</v>
      </c>
      <c r="B1064">
        <v>-10.92</v>
      </c>
      <c r="C1064">
        <v>6.2</v>
      </c>
      <c r="D1064">
        <v>26.290833330000002</v>
      </c>
      <c r="E1064">
        <v>25.11333333</v>
      </c>
      <c r="F1064">
        <v>27.658333330000001</v>
      </c>
      <c r="G1064">
        <v>3.4441666670000002</v>
      </c>
      <c r="H1064">
        <v>2.4083333329999999</v>
      </c>
      <c r="I1064">
        <v>4.3266666669999996</v>
      </c>
      <c r="J1064">
        <v>5630.7083329999996</v>
      </c>
      <c r="K1064">
        <v>5345.1875</v>
      </c>
      <c r="L1064">
        <v>6043.7708329999996</v>
      </c>
      <c r="M1064">
        <v>21.419166669999999</v>
      </c>
      <c r="N1064">
        <v>20.77333333</v>
      </c>
      <c r="O1064">
        <v>22.108333330000001</v>
      </c>
      <c r="Q1064" t="s">
        <v>298</v>
      </c>
      <c r="R1064" t="s">
        <v>10385</v>
      </c>
      <c r="S1064" t="s">
        <v>9058</v>
      </c>
      <c r="T1064" t="s">
        <v>9061</v>
      </c>
    </row>
    <row r="1065" spans="1:20" x14ac:dyDescent="0.25">
      <c r="A1065" t="s">
        <v>6133</v>
      </c>
      <c r="B1065">
        <v>-10.47</v>
      </c>
      <c r="C1065">
        <v>10</v>
      </c>
      <c r="D1065">
        <v>26.31583333</v>
      </c>
      <c r="E1065">
        <v>24.448333330000001</v>
      </c>
      <c r="F1065">
        <v>28.42</v>
      </c>
      <c r="G1065">
        <v>1.5275000000000001</v>
      </c>
      <c r="H1065">
        <v>0.58166666700000003</v>
      </c>
      <c r="I1065">
        <v>2.3416666670000001</v>
      </c>
      <c r="J1065">
        <v>5373.4224999999997</v>
      </c>
      <c r="K1065">
        <v>4851.2708329999996</v>
      </c>
      <c r="L1065">
        <v>6096.3125</v>
      </c>
      <c r="M1065">
        <v>21.89</v>
      </c>
      <c r="N1065">
        <v>21.34</v>
      </c>
      <c r="O1065">
        <v>22.516666669999999</v>
      </c>
      <c r="Q1065" t="s">
        <v>298</v>
      </c>
      <c r="R1065" t="s">
        <v>10387</v>
      </c>
      <c r="S1065" t="s">
        <v>9065</v>
      </c>
      <c r="T1065" t="s">
        <v>9066</v>
      </c>
    </row>
    <row r="1066" spans="1:20" x14ac:dyDescent="0.25">
      <c r="A1066" t="s">
        <v>10388</v>
      </c>
      <c r="B1066">
        <v>-10.47</v>
      </c>
      <c r="C1066">
        <v>11.5</v>
      </c>
      <c r="D1066">
        <v>26.41416667</v>
      </c>
      <c r="E1066">
        <v>24.631666670000001</v>
      </c>
      <c r="F1066">
        <v>28.6</v>
      </c>
      <c r="G1066">
        <v>1.88</v>
      </c>
      <c r="H1066">
        <v>0.99</v>
      </c>
      <c r="I1066">
        <v>2.7766666670000002</v>
      </c>
      <c r="J1066">
        <v>5657.7174999999997</v>
      </c>
      <c r="K1066">
        <v>5338.5833329999996</v>
      </c>
      <c r="L1066">
        <v>6118.0625</v>
      </c>
      <c r="M1066">
        <v>22.765000000000001</v>
      </c>
      <c r="N1066">
        <v>22.098333329999999</v>
      </c>
      <c r="O1066">
        <v>23.483333330000001</v>
      </c>
      <c r="Q1066" t="s">
        <v>298</v>
      </c>
      <c r="R1066" t="s">
        <v>10387</v>
      </c>
      <c r="S1066" t="s">
        <v>9058</v>
      </c>
      <c r="T1066" t="s">
        <v>9061</v>
      </c>
    </row>
    <row r="1067" spans="1:20" x14ac:dyDescent="0.25">
      <c r="A1067" t="s">
        <v>6270</v>
      </c>
      <c r="B1067">
        <v>-10.4</v>
      </c>
      <c r="C1067">
        <v>308</v>
      </c>
      <c r="D1067">
        <v>24.189166669999999</v>
      </c>
      <c r="E1067">
        <v>21.608333330000001</v>
      </c>
      <c r="F1067">
        <v>26.893333330000001</v>
      </c>
      <c r="G1067">
        <v>2.9550000000000001</v>
      </c>
      <c r="H1067">
        <v>1.7583333329999999</v>
      </c>
      <c r="I1067">
        <v>4.1583333329999999</v>
      </c>
      <c r="J1067">
        <v>5250.7391669999997</v>
      </c>
      <c r="K1067">
        <v>4661.2083329999996</v>
      </c>
      <c r="L1067">
        <v>5966.2916670000004</v>
      </c>
      <c r="M1067">
        <v>19.728333330000002</v>
      </c>
      <c r="N1067">
        <v>18.875</v>
      </c>
      <c r="O1067">
        <v>20.81</v>
      </c>
      <c r="Q1067" t="s">
        <v>298</v>
      </c>
      <c r="R1067" t="s">
        <v>10389</v>
      </c>
      <c r="S1067" t="s">
        <v>9065</v>
      </c>
      <c r="T1067" t="s">
        <v>9066</v>
      </c>
    </row>
    <row r="1068" spans="1:20" x14ac:dyDescent="0.25">
      <c r="A1068" t="s">
        <v>10390</v>
      </c>
      <c r="B1068">
        <v>-10.4</v>
      </c>
      <c r="C1068">
        <v>309.5</v>
      </c>
      <c r="D1068">
        <v>25.094999999999999</v>
      </c>
      <c r="E1068">
        <v>22.348333329999999</v>
      </c>
      <c r="F1068">
        <v>27.803333330000001</v>
      </c>
      <c r="G1068">
        <v>2.971666667</v>
      </c>
      <c r="H1068">
        <v>1.1983333329999999</v>
      </c>
      <c r="I1068">
        <v>4.5516666670000001</v>
      </c>
      <c r="J1068">
        <v>5202.8808330000002</v>
      </c>
      <c r="K1068">
        <v>4713.5833329999996</v>
      </c>
      <c r="L1068">
        <v>5670.8125</v>
      </c>
      <c r="M1068">
        <v>19.990833330000001</v>
      </c>
      <c r="N1068">
        <v>19.024999999999999</v>
      </c>
      <c r="O1068">
        <v>21.243333329999999</v>
      </c>
      <c r="Q1068" t="s">
        <v>298</v>
      </c>
      <c r="R1068" t="s">
        <v>10389</v>
      </c>
      <c r="S1068" t="s">
        <v>9058</v>
      </c>
      <c r="T1068" t="s">
        <v>9061</v>
      </c>
    </row>
    <row r="1069" spans="1:20" x14ac:dyDescent="0.25">
      <c r="A1069" t="s">
        <v>6212</v>
      </c>
      <c r="B1069">
        <v>-11.27</v>
      </c>
      <c r="C1069">
        <v>208</v>
      </c>
      <c r="D1069">
        <v>24.60916667</v>
      </c>
      <c r="E1069">
        <v>22.416666670000001</v>
      </c>
      <c r="F1069">
        <v>26.858333330000001</v>
      </c>
      <c r="G1069">
        <v>2.8849999999999998</v>
      </c>
      <c r="H1069">
        <v>1.8633333329999999</v>
      </c>
      <c r="I1069">
        <v>3.8558333330000001</v>
      </c>
      <c r="J1069">
        <v>5219.2</v>
      </c>
      <c r="K1069">
        <v>4607</v>
      </c>
      <c r="L1069">
        <v>5924.2708329999996</v>
      </c>
      <c r="M1069">
        <v>20.80083333</v>
      </c>
      <c r="N1069">
        <v>20.108333330000001</v>
      </c>
      <c r="O1069">
        <v>21.651666670000001</v>
      </c>
      <c r="Q1069" t="s">
        <v>298</v>
      </c>
      <c r="R1069" t="s">
        <v>10391</v>
      </c>
      <c r="S1069" t="s">
        <v>9065</v>
      </c>
      <c r="T1069" t="s">
        <v>9066</v>
      </c>
    </row>
    <row r="1070" spans="1:20" x14ac:dyDescent="0.25">
      <c r="A1070" t="s">
        <v>10392</v>
      </c>
      <c r="B1070">
        <v>-11.27</v>
      </c>
      <c r="C1070">
        <v>209.5</v>
      </c>
      <c r="D1070">
        <v>24.991666670000001</v>
      </c>
      <c r="E1070">
        <v>22.721666670000001</v>
      </c>
      <c r="F1070">
        <v>27.283333330000001</v>
      </c>
      <c r="G1070">
        <v>2.7524999999999999</v>
      </c>
      <c r="H1070">
        <v>1.85</v>
      </c>
      <c r="I1070">
        <v>3.576666667</v>
      </c>
      <c r="J1070">
        <v>5200.771667</v>
      </c>
      <c r="K1070">
        <v>4779.2916670000004</v>
      </c>
      <c r="L1070">
        <v>5796.0625</v>
      </c>
      <c r="M1070">
        <v>20.58666667</v>
      </c>
      <c r="N1070">
        <v>19.554166670000001</v>
      </c>
      <c r="O1070">
        <v>21.893333330000001</v>
      </c>
      <c r="Q1070" t="s">
        <v>298</v>
      </c>
      <c r="R1070" t="s">
        <v>10391</v>
      </c>
      <c r="S1070" t="s">
        <v>9058</v>
      </c>
      <c r="T1070" t="s">
        <v>9061</v>
      </c>
    </row>
    <row r="1071" spans="1:20" x14ac:dyDescent="0.25">
      <c r="A1071" t="s">
        <v>6196</v>
      </c>
      <c r="B1071">
        <v>-10.74</v>
      </c>
      <c r="C1071">
        <v>362</v>
      </c>
      <c r="D1071">
        <v>24.022500000000001</v>
      </c>
      <c r="E1071">
        <v>21.463333330000001</v>
      </c>
      <c r="F1071">
        <v>26.66333333</v>
      </c>
      <c r="G1071">
        <v>3.5233333330000001</v>
      </c>
      <c r="H1071">
        <v>2.3033333329999999</v>
      </c>
      <c r="I1071">
        <v>4.6833333330000002</v>
      </c>
      <c r="J1071">
        <v>4995.7258330000004</v>
      </c>
      <c r="K1071">
        <v>4453.2083329999996</v>
      </c>
      <c r="L1071">
        <v>5640.7916670000004</v>
      </c>
      <c r="M1071">
        <v>19.177499999999998</v>
      </c>
      <c r="N1071">
        <v>18.37916667</v>
      </c>
      <c r="O1071">
        <v>20.193333330000002</v>
      </c>
      <c r="Q1071" t="s">
        <v>298</v>
      </c>
      <c r="R1071" t="s">
        <v>10393</v>
      </c>
      <c r="S1071" t="s">
        <v>9065</v>
      </c>
      <c r="T1071" t="s">
        <v>9066</v>
      </c>
    </row>
    <row r="1072" spans="1:20" x14ac:dyDescent="0.25">
      <c r="A1072" t="s">
        <v>10394</v>
      </c>
      <c r="B1072">
        <v>-10.73</v>
      </c>
      <c r="C1072">
        <v>363.5</v>
      </c>
      <c r="D1072">
        <v>24.46833333</v>
      </c>
      <c r="E1072">
        <v>21.715</v>
      </c>
      <c r="F1072">
        <v>27.368333329999999</v>
      </c>
      <c r="G1072">
        <v>2.2208333329999999</v>
      </c>
      <c r="H1072">
        <v>0.19166666700000001</v>
      </c>
      <c r="I1072">
        <v>3.9666666670000001</v>
      </c>
      <c r="J1072">
        <v>5190.7433330000003</v>
      </c>
      <c r="K1072">
        <v>4763.9583329999996</v>
      </c>
      <c r="L1072">
        <v>5698.9791670000004</v>
      </c>
      <c r="M1072">
        <v>18.5075</v>
      </c>
      <c r="N1072">
        <v>17.515000000000001</v>
      </c>
      <c r="O1072">
        <v>19.75</v>
      </c>
      <c r="Q1072" t="s">
        <v>298</v>
      </c>
      <c r="R1072" t="s">
        <v>10393</v>
      </c>
      <c r="S1072" t="s">
        <v>9058</v>
      </c>
      <c r="T1072" t="s">
        <v>9061</v>
      </c>
    </row>
    <row r="1073" spans="1:20" x14ac:dyDescent="0.25">
      <c r="A1073" t="s">
        <v>10395</v>
      </c>
      <c r="B1073">
        <v>-21.2</v>
      </c>
      <c r="C1073">
        <v>397</v>
      </c>
      <c r="D1073">
        <v>24.53916667</v>
      </c>
      <c r="E1073">
        <v>21.24</v>
      </c>
      <c r="F1073">
        <v>27.611666670000002</v>
      </c>
      <c r="G1073">
        <v>2.798333333</v>
      </c>
      <c r="H1073">
        <v>1.9</v>
      </c>
      <c r="I1073">
        <v>3.483333333</v>
      </c>
      <c r="J1073">
        <v>5313.5658329999997</v>
      </c>
      <c r="K1073">
        <v>4803.7708329999996</v>
      </c>
      <c r="L1073">
        <v>6093.1041670000004</v>
      </c>
      <c r="M1073">
        <v>17.115833330000001</v>
      </c>
      <c r="N1073">
        <v>15.43166667</v>
      </c>
      <c r="O1073">
        <v>18.883333329999999</v>
      </c>
      <c r="Q1073" t="s">
        <v>376</v>
      </c>
      <c r="R1073" t="s">
        <v>10396</v>
      </c>
      <c r="S1073" t="s">
        <v>9058</v>
      </c>
      <c r="T1073" t="s">
        <v>9061</v>
      </c>
    </row>
    <row r="1074" spans="1:20" x14ac:dyDescent="0.25">
      <c r="A1074" t="s">
        <v>10397</v>
      </c>
      <c r="B1074">
        <v>-21.81</v>
      </c>
      <c r="C1074">
        <v>711.4</v>
      </c>
      <c r="D1074">
        <v>23.201666670000002</v>
      </c>
      <c r="E1074">
        <v>19.875</v>
      </c>
      <c r="F1074">
        <v>26.234999999999999</v>
      </c>
      <c r="G1074">
        <v>2.4983333330000002</v>
      </c>
      <c r="H1074">
        <v>1.608333333</v>
      </c>
      <c r="I1074">
        <v>3.2766666670000002</v>
      </c>
      <c r="J1074">
        <v>5183.3658329999998</v>
      </c>
      <c r="K1074">
        <v>4632</v>
      </c>
      <c r="L1074">
        <v>6002.9583329999996</v>
      </c>
      <c r="M1074">
        <v>16.27</v>
      </c>
      <c r="N1074">
        <v>14.748333329999999</v>
      </c>
      <c r="O1074">
        <v>17.901666670000001</v>
      </c>
      <c r="Q1074" t="s">
        <v>376</v>
      </c>
      <c r="R1074" t="s">
        <v>10398</v>
      </c>
      <c r="S1074" t="s">
        <v>9058</v>
      </c>
      <c r="T1074" t="s">
        <v>9061</v>
      </c>
    </row>
    <row r="1075" spans="1:20" x14ac:dyDescent="0.25">
      <c r="A1075" t="s">
        <v>8721</v>
      </c>
      <c r="B1075">
        <v>-21.13</v>
      </c>
      <c r="C1075">
        <v>525</v>
      </c>
      <c r="D1075">
        <v>22.198333330000001</v>
      </c>
      <c r="E1075">
        <v>18.61333333</v>
      </c>
      <c r="F1075">
        <v>25.88666667</v>
      </c>
      <c r="G1075">
        <v>1.8374999999999999</v>
      </c>
      <c r="H1075">
        <v>0.82499999999999996</v>
      </c>
      <c r="I1075">
        <v>2.6266666669999998</v>
      </c>
      <c r="J1075">
        <v>4642.5166669999999</v>
      </c>
      <c r="K1075">
        <v>4008.6875</v>
      </c>
      <c r="L1075">
        <v>5498.7916670000004</v>
      </c>
      <c r="M1075">
        <v>15.91583333</v>
      </c>
      <c r="N1075">
        <v>14.52</v>
      </c>
      <c r="O1075">
        <v>17.64083333</v>
      </c>
      <c r="Q1075" t="s">
        <v>376</v>
      </c>
      <c r="R1075" t="s">
        <v>10399</v>
      </c>
      <c r="S1075" t="s">
        <v>9065</v>
      </c>
      <c r="T1075" t="s">
        <v>9066</v>
      </c>
    </row>
    <row r="1076" spans="1:20" x14ac:dyDescent="0.25">
      <c r="A1076" t="s">
        <v>10400</v>
      </c>
      <c r="B1076">
        <v>-21.13</v>
      </c>
      <c r="C1076">
        <v>526.5</v>
      </c>
      <c r="D1076">
        <v>23.161666669999999</v>
      </c>
      <c r="E1076">
        <v>19.329999999999998</v>
      </c>
      <c r="F1076">
        <v>27.23</v>
      </c>
      <c r="G1076">
        <v>1.9624999999999999</v>
      </c>
      <c r="H1076">
        <v>0.92333333299999998</v>
      </c>
      <c r="I1076">
        <v>2.7833333329999999</v>
      </c>
      <c r="J1076">
        <v>5355.4933330000003</v>
      </c>
      <c r="K1076">
        <v>4993.9791670000004</v>
      </c>
      <c r="L1076">
        <v>6081.7291670000004</v>
      </c>
      <c r="M1076">
        <v>15.873333329999999</v>
      </c>
      <c r="N1076">
        <v>14.544166669999999</v>
      </c>
      <c r="O1076">
        <v>17.758333329999999</v>
      </c>
      <c r="Q1076" t="s">
        <v>376</v>
      </c>
      <c r="R1076" t="s">
        <v>10399</v>
      </c>
      <c r="S1076" t="s">
        <v>9058</v>
      </c>
      <c r="T1076" t="s">
        <v>9061</v>
      </c>
    </row>
    <row r="1077" spans="1:20" x14ac:dyDescent="0.25">
      <c r="A1077" t="s">
        <v>8714</v>
      </c>
      <c r="B1077">
        <v>-23.1</v>
      </c>
      <c r="C1077">
        <v>654</v>
      </c>
      <c r="D1077">
        <v>19.605</v>
      </c>
      <c r="E1077">
        <v>16.481666669999999</v>
      </c>
      <c r="F1077">
        <v>22.389166670000002</v>
      </c>
      <c r="G1077">
        <v>2.2033333329999998</v>
      </c>
      <c r="H1077">
        <v>1.1583333330000001</v>
      </c>
      <c r="I1077">
        <v>3.1349999999999998</v>
      </c>
      <c r="J1077">
        <v>4846.7658330000004</v>
      </c>
      <c r="K1077">
        <v>3998.708333</v>
      </c>
      <c r="L1077">
        <v>5831.2708329999996</v>
      </c>
      <c r="M1077">
        <v>14.6775</v>
      </c>
      <c r="N1077">
        <v>13.28833333</v>
      </c>
      <c r="O1077">
        <v>16.241666670000001</v>
      </c>
      <c r="Q1077" t="s">
        <v>376</v>
      </c>
      <c r="R1077" t="s">
        <v>10401</v>
      </c>
      <c r="S1077" t="s">
        <v>9065</v>
      </c>
      <c r="T1077" t="s">
        <v>9066</v>
      </c>
    </row>
    <row r="1078" spans="1:20" x14ac:dyDescent="0.25">
      <c r="A1078" t="s">
        <v>10402</v>
      </c>
      <c r="B1078">
        <v>-23.1</v>
      </c>
      <c r="C1078">
        <v>726.5</v>
      </c>
      <c r="D1078">
        <v>21.092500000000001</v>
      </c>
      <c r="E1078">
        <v>17.823333330000001</v>
      </c>
      <c r="F1078">
        <v>23.93333333</v>
      </c>
      <c r="G1078">
        <v>2.358333333</v>
      </c>
      <c r="H1078">
        <v>1.4</v>
      </c>
      <c r="I1078">
        <v>3.141666667</v>
      </c>
      <c r="J1078">
        <v>5021.9283329999998</v>
      </c>
      <c r="K1078">
        <v>4341.8541670000004</v>
      </c>
      <c r="L1078">
        <v>5902.125</v>
      </c>
      <c r="M1078">
        <v>15.419166669999999</v>
      </c>
      <c r="N1078">
        <v>14.1625</v>
      </c>
      <c r="O1078">
        <v>17.018333330000001</v>
      </c>
      <c r="Q1078" t="s">
        <v>376</v>
      </c>
      <c r="R1078" t="s">
        <v>10401</v>
      </c>
      <c r="S1078" t="s">
        <v>9058</v>
      </c>
      <c r="T1078" t="s">
        <v>9061</v>
      </c>
    </row>
    <row r="1079" spans="1:20" x14ac:dyDescent="0.25">
      <c r="A1079" t="s">
        <v>10403</v>
      </c>
      <c r="B1079">
        <v>-22.47</v>
      </c>
      <c r="C1079">
        <v>544.5</v>
      </c>
      <c r="D1079">
        <v>22.590833329999999</v>
      </c>
      <c r="E1079">
        <v>18.98833333</v>
      </c>
      <c r="F1079">
        <v>25.84333333</v>
      </c>
      <c r="G1079">
        <v>1.7124999999999999</v>
      </c>
      <c r="H1079">
        <v>0.74</v>
      </c>
      <c r="I1079">
        <v>2.5416666669999999</v>
      </c>
      <c r="J1079">
        <v>5199.205833</v>
      </c>
      <c r="K1079">
        <v>4696.8333329999996</v>
      </c>
      <c r="L1079">
        <v>6022.25</v>
      </c>
      <c r="M1079">
        <v>15.53</v>
      </c>
      <c r="N1079">
        <v>14.28166667</v>
      </c>
      <c r="O1079">
        <v>17.176666669999999</v>
      </c>
      <c r="Q1079" t="s">
        <v>376</v>
      </c>
      <c r="R1079" t="s">
        <v>10404</v>
      </c>
      <c r="S1079" t="s">
        <v>9058</v>
      </c>
      <c r="T1079" t="s">
        <v>9061</v>
      </c>
    </row>
    <row r="1080" spans="1:20" x14ac:dyDescent="0.25">
      <c r="A1080" t="s">
        <v>10405</v>
      </c>
      <c r="B1080">
        <v>-20.57</v>
      </c>
      <c r="C1080">
        <v>534.5</v>
      </c>
      <c r="D1080">
        <v>23.080833330000001</v>
      </c>
      <c r="E1080">
        <v>18.866666670000001</v>
      </c>
      <c r="F1080">
        <v>27.54</v>
      </c>
      <c r="G1080">
        <v>1.1975</v>
      </c>
      <c r="H1080">
        <v>0.66666666699999999</v>
      </c>
      <c r="I1080">
        <v>1.618333333</v>
      </c>
      <c r="J1080">
        <v>5472.6875</v>
      </c>
      <c r="K1080">
        <v>5027.6666670000004</v>
      </c>
      <c r="L1080">
        <v>6201.125</v>
      </c>
      <c r="M1080">
        <v>15.04083333</v>
      </c>
      <c r="N1080">
        <v>13.46666667</v>
      </c>
      <c r="O1080">
        <v>16.97666667</v>
      </c>
      <c r="Q1080" t="s">
        <v>376</v>
      </c>
      <c r="R1080" t="s">
        <v>10406</v>
      </c>
      <c r="S1080" t="s">
        <v>9058</v>
      </c>
      <c r="T1080" t="s">
        <v>9061</v>
      </c>
    </row>
    <row r="1081" spans="1:20" x14ac:dyDescent="0.25">
      <c r="A1081" t="s">
        <v>8717</v>
      </c>
      <c r="B1081">
        <v>-22.32</v>
      </c>
      <c r="C1081">
        <v>550</v>
      </c>
      <c r="D1081">
        <v>20.85166667</v>
      </c>
      <c r="E1081">
        <v>17.605</v>
      </c>
      <c r="F1081">
        <v>23.78</v>
      </c>
      <c r="G1081">
        <v>1.691666667</v>
      </c>
      <c r="H1081">
        <v>1.108333333</v>
      </c>
      <c r="I1081">
        <v>2.21</v>
      </c>
      <c r="J1081">
        <v>4720.9750000000004</v>
      </c>
      <c r="K1081">
        <v>4041.208333</v>
      </c>
      <c r="L1081">
        <v>5634.8125</v>
      </c>
      <c r="M1081">
        <v>15.1875</v>
      </c>
      <c r="N1081">
        <v>13.725</v>
      </c>
      <c r="O1081">
        <v>16.893333330000001</v>
      </c>
      <c r="Q1081" t="s">
        <v>376</v>
      </c>
      <c r="R1081" t="s">
        <v>10407</v>
      </c>
      <c r="S1081" t="s">
        <v>9065</v>
      </c>
      <c r="T1081" t="s">
        <v>9066</v>
      </c>
    </row>
    <row r="1082" spans="1:20" x14ac:dyDescent="0.25">
      <c r="A1082" t="s">
        <v>10408</v>
      </c>
      <c r="B1082">
        <v>-22.32</v>
      </c>
      <c r="C1082">
        <v>551.5</v>
      </c>
      <c r="D1082">
        <v>22.074999999999999</v>
      </c>
      <c r="E1082">
        <v>18.65666667</v>
      </c>
      <c r="F1082">
        <v>25.318333330000002</v>
      </c>
      <c r="G1082">
        <v>1.5725</v>
      </c>
      <c r="H1082">
        <v>0.85583333299999997</v>
      </c>
      <c r="I1082">
        <v>2.1349999999999998</v>
      </c>
      <c r="J1082">
        <v>5284.3950000000004</v>
      </c>
      <c r="K1082">
        <v>4734.2708329999996</v>
      </c>
      <c r="L1082">
        <v>6086.2708329999996</v>
      </c>
      <c r="M1082">
        <v>15.8025</v>
      </c>
      <c r="N1082">
        <v>14.387499999999999</v>
      </c>
      <c r="O1082">
        <v>17.57</v>
      </c>
      <c r="Q1082" t="s">
        <v>376</v>
      </c>
      <c r="R1082" t="s">
        <v>10409</v>
      </c>
      <c r="S1082" t="s">
        <v>9058</v>
      </c>
      <c r="T1082" t="s">
        <v>9061</v>
      </c>
    </row>
    <row r="1083" spans="1:20" x14ac:dyDescent="0.25">
      <c r="A1083" t="s">
        <v>10410</v>
      </c>
      <c r="B1083">
        <v>-22.34</v>
      </c>
      <c r="C1083">
        <v>617.20000000000005</v>
      </c>
      <c r="D1083">
        <v>23.124166670000001</v>
      </c>
      <c r="E1083">
        <v>19.875</v>
      </c>
      <c r="F1083">
        <v>26.112500000000001</v>
      </c>
      <c r="G1083">
        <v>3.3416666670000001</v>
      </c>
      <c r="H1083">
        <v>2.1016666669999999</v>
      </c>
      <c r="I1083">
        <v>4.4333333330000002</v>
      </c>
      <c r="J1083">
        <v>5291.643333</v>
      </c>
      <c r="K1083">
        <v>4904.4166670000004</v>
      </c>
      <c r="L1083">
        <v>6041.3541670000004</v>
      </c>
      <c r="M1083">
        <v>17.894166670000001</v>
      </c>
      <c r="N1083">
        <v>16.40666667</v>
      </c>
      <c r="O1083">
        <v>19.583333329999999</v>
      </c>
      <c r="Q1083" t="s">
        <v>376</v>
      </c>
      <c r="R1083" t="s">
        <v>10411</v>
      </c>
      <c r="S1083" t="s">
        <v>9058</v>
      </c>
      <c r="T1083" t="s">
        <v>9059</v>
      </c>
    </row>
    <row r="1084" spans="1:20" x14ac:dyDescent="0.25">
      <c r="A1084" t="s">
        <v>10412</v>
      </c>
      <c r="B1084">
        <v>-22.34</v>
      </c>
      <c r="C1084">
        <v>617.20000000000005</v>
      </c>
      <c r="D1084">
        <v>23.25416667</v>
      </c>
      <c r="E1084">
        <v>19.963333330000001</v>
      </c>
      <c r="F1084">
        <v>26.425000000000001</v>
      </c>
      <c r="G1084">
        <v>3.3925000000000001</v>
      </c>
      <c r="H1084">
        <v>2.1349999999999998</v>
      </c>
      <c r="I1084">
        <v>4.45</v>
      </c>
      <c r="J1084">
        <v>5169.4324999999999</v>
      </c>
      <c r="K1084">
        <v>4584.7916670000004</v>
      </c>
      <c r="L1084">
        <v>6022.6666670000004</v>
      </c>
      <c r="M1084">
        <v>18.269166670000001</v>
      </c>
      <c r="N1084">
        <v>16.866666670000001</v>
      </c>
      <c r="O1084">
        <v>19.824999999999999</v>
      </c>
      <c r="Q1084" t="s">
        <v>376</v>
      </c>
      <c r="R1084" t="s">
        <v>10411</v>
      </c>
      <c r="S1084" t="s">
        <v>9058</v>
      </c>
      <c r="T1084" t="s">
        <v>9061</v>
      </c>
    </row>
    <row r="1085" spans="1:20" x14ac:dyDescent="0.25">
      <c r="A1085" t="s">
        <v>10413</v>
      </c>
      <c r="B1085">
        <v>-22.92</v>
      </c>
      <c r="C1085">
        <v>4.3</v>
      </c>
      <c r="D1085">
        <v>24.331666670000001</v>
      </c>
      <c r="E1085">
        <v>21.855</v>
      </c>
      <c r="F1085">
        <v>26.721666670000001</v>
      </c>
      <c r="G1085">
        <v>4.6408333329999998</v>
      </c>
      <c r="H1085">
        <v>2.5099999999999998</v>
      </c>
      <c r="I1085">
        <v>6.4916666669999996</v>
      </c>
      <c r="J1085">
        <v>5050.4533330000004</v>
      </c>
      <c r="K1085">
        <v>4178.3541670000004</v>
      </c>
      <c r="L1085">
        <v>5990.125</v>
      </c>
      <c r="M1085">
        <v>19.665833330000002</v>
      </c>
      <c r="N1085">
        <v>18.241666670000001</v>
      </c>
      <c r="O1085">
        <v>21.168333329999999</v>
      </c>
      <c r="Q1085" t="s">
        <v>376</v>
      </c>
      <c r="R1085" t="s">
        <v>10414</v>
      </c>
      <c r="S1085" t="s">
        <v>9058</v>
      </c>
      <c r="T1085" t="s">
        <v>9059</v>
      </c>
    </row>
    <row r="1086" spans="1:20" x14ac:dyDescent="0.25">
      <c r="A1086" t="s">
        <v>10415</v>
      </c>
      <c r="B1086">
        <v>-22.92</v>
      </c>
      <c r="C1086">
        <v>4.3</v>
      </c>
      <c r="D1086">
        <v>24.283333330000001</v>
      </c>
      <c r="E1086">
        <v>22.463333330000001</v>
      </c>
      <c r="F1086">
        <v>26</v>
      </c>
      <c r="G1086">
        <v>5.2233333330000002</v>
      </c>
      <c r="H1086">
        <v>3.125</v>
      </c>
      <c r="I1086">
        <v>7.1391666669999996</v>
      </c>
      <c r="J1086">
        <v>5284.4549999999999</v>
      </c>
      <c r="K1086">
        <v>4633.4583329999996</v>
      </c>
      <c r="L1086">
        <v>6176.8333329999996</v>
      </c>
      <c r="M1086">
        <v>20.049166670000002</v>
      </c>
      <c r="N1086">
        <v>18.666666670000001</v>
      </c>
      <c r="O1086">
        <v>21.5275</v>
      </c>
      <c r="Q1086" t="s">
        <v>376</v>
      </c>
      <c r="R1086" t="s">
        <v>10414</v>
      </c>
      <c r="S1086" t="s">
        <v>9058</v>
      </c>
      <c r="T1086" t="s">
        <v>9061</v>
      </c>
    </row>
    <row r="1087" spans="1:20" x14ac:dyDescent="0.25">
      <c r="A1087" t="s">
        <v>10416</v>
      </c>
      <c r="B1087">
        <v>-23.01</v>
      </c>
      <c r="C1087">
        <v>661.4</v>
      </c>
      <c r="D1087">
        <v>21.477499999999999</v>
      </c>
      <c r="E1087">
        <v>18.30833333</v>
      </c>
      <c r="F1087">
        <v>24.583333329999999</v>
      </c>
      <c r="G1087">
        <v>4.0741666670000001</v>
      </c>
      <c r="H1087">
        <v>2.5583333330000002</v>
      </c>
      <c r="I1087">
        <v>5.358333333</v>
      </c>
      <c r="J1087">
        <v>5297.7466670000003</v>
      </c>
      <c r="K1087">
        <v>4728.25</v>
      </c>
      <c r="L1087">
        <v>6176.8541670000004</v>
      </c>
      <c r="M1087">
        <v>15.10416667</v>
      </c>
      <c r="N1087">
        <v>13.5625</v>
      </c>
      <c r="O1087">
        <v>16.95</v>
      </c>
      <c r="Q1087" t="s">
        <v>376</v>
      </c>
      <c r="R1087" t="s">
        <v>10417</v>
      </c>
      <c r="S1087" t="s">
        <v>9058</v>
      </c>
      <c r="T1087" t="s">
        <v>9059</v>
      </c>
    </row>
    <row r="1088" spans="1:20" x14ac:dyDescent="0.25">
      <c r="A1088" t="s">
        <v>10418</v>
      </c>
      <c r="B1088">
        <v>-23.01</v>
      </c>
      <c r="C1088">
        <v>661.4</v>
      </c>
      <c r="D1088">
        <v>21.569166670000001</v>
      </c>
      <c r="E1088">
        <v>18.333333329999999</v>
      </c>
      <c r="F1088">
        <v>24.885000000000002</v>
      </c>
      <c r="G1088">
        <v>4.0125000000000002</v>
      </c>
      <c r="H1088">
        <v>2.516666667</v>
      </c>
      <c r="I1088">
        <v>5.266666667</v>
      </c>
      <c r="J1088">
        <v>5088.3658329999998</v>
      </c>
      <c r="K1088">
        <v>4409.3125</v>
      </c>
      <c r="L1088">
        <v>5993.2916670000004</v>
      </c>
      <c r="M1088">
        <v>14.717499999999999</v>
      </c>
      <c r="N1088">
        <v>13.123333329999999</v>
      </c>
      <c r="O1088">
        <v>16.883333329999999</v>
      </c>
      <c r="Q1088" t="s">
        <v>376</v>
      </c>
      <c r="R1088" t="s">
        <v>10417</v>
      </c>
      <c r="S1088" t="s">
        <v>9058</v>
      </c>
      <c r="T1088" t="s">
        <v>9061</v>
      </c>
    </row>
    <row r="1089" spans="1:20" x14ac:dyDescent="0.25">
      <c r="A1089" t="s">
        <v>8726</v>
      </c>
      <c r="B1089">
        <v>-22.82</v>
      </c>
      <c r="C1089">
        <v>640</v>
      </c>
      <c r="D1089">
        <v>22.034166670000001</v>
      </c>
      <c r="E1089">
        <v>18.489999999999998</v>
      </c>
      <c r="F1089">
        <v>25.5425</v>
      </c>
      <c r="G1089">
        <v>2.1800000000000002</v>
      </c>
      <c r="H1089">
        <v>1.266666667</v>
      </c>
      <c r="I1089">
        <v>2.875</v>
      </c>
      <c r="J1089">
        <v>4228.9041669999997</v>
      </c>
      <c r="K1089">
        <v>3729.4375</v>
      </c>
      <c r="L1089">
        <v>4932.0625</v>
      </c>
      <c r="M1089">
        <v>16.522500000000001</v>
      </c>
      <c r="N1089">
        <v>15.019166670000001</v>
      </c>
      <c r="O1089">
        <v>18.274999999999999</v>
      </c>
      <c r="Q1089" t="s">
        <v>376</v>
      </c>
      <c r="R1089" t="s">
        <v>10419</v>
      </c>
      <c r="S1089" t="s">
        <v>9065</v>
      </c>
      <c r="T1089" t="s">
        <v>9066</v>
      </c>
    </row>
    <row r="1090" spans="1:20" x14ac:dyDescent="0.25">
      <c r="A1090" t="s">
        <v>10420</v>
      </c>
      <c r="B1090">
        <v>-21.98</v>
      </c>
      <c r="C1090">
        <v>599.79999999999995</v>
      </c>
      <c r="D1090">
        <v>20.5975</v>
      </c>
      <c r="E1090">
        <v>16.720833330000001</v>
      </c>
      <c r="F1090">
        <v>24.41</v>
      </c>
      <c r="G1090">
        <v>2.2583333329999999</v>
      </c>
      <c r="H1090">
        <v>1.2166666669999999</v>
      </c>
      <c r="I1090">
        <v>3.0083333329999999</v>
      </c>
      <c r="J1090">
        <v>5385.92</v>
      </c>
      <c r="K1090">
        <v>4969.5</v>
      </c>
      <c r="L1090">
        <v>6042.7291670000004</v>
      </c>
      <c r="M1090">
        <v>15.17583333</v>
      </c>
      <c r="N1090">
        <v>13.49583333</v>
      </c>
      <c r="O1090">
        <v>16.85166667</v>
      </c>
      <c r="Q1090" t="s">
        <v>376</v>
      </c>
      <c r="R1090" t="s">
        <v>10421</v>
      </c>
      <c r="S1090" t="s">
        <v>9058</v>
      </c>
      <c r="T1090" t="s">
        <v>9059</v>
      </c>
    </row>
    <row r="1091" spans="1:20" x14ac:dyDescent="0.25">
      <c r="A1091" t="s">
        <v>10422</v>
      </c>
      <c r="B1091">
        <v>-21.98</v>
      </c>
      <c r="C1091">
        <v>599.79999999999995</v>
      </c>
      <c r="D1091">
        <v>21.705833330000001</v>
      </c>
      <c r="E1091">
        <v>18.060833330000001</v>
      </c>
      <c r="F1091">
        <v>25.375</v>
      </c>
      <c r="G1091">
        <v>2.3966666669999999</v>
      </c>
      <c r="H1091">
        <v>1.2475000000000001</v>
      </c>
      <c r="I1091">
        <v>3.2416666670000001</v>
      </c>
      <c r="J1091">
        <v>5182.8850000000002</v>
      </c>
      <c r="K1091">
        <v>4611.7916670000004</v>
      </c>
      <c r="L1091">
        <v>6081.7083329999996</v>
      </c>
      <c r="M1091">
        <v>15.85333333</v>
      </c>
      <c r="N1091">
        <v>14.581666670000001</v>
      </c>
      <c r="O1091">
        <v>17.585000000000001</v>
      </c>
      <c r="Q1091" t="s">
        <v>376</v>
      </c>
      <c r="R1091" t="s">
        <v>10421</v>
      </c>
      <c r="S1091" t="s">
        <v>9058</v>
      </c>
      <c r="T1091" t="s">
        <v>9061</v>
      </c>
    </row>
    <row r="1092" spans="1:20" x14ac:dyDescent="0.25">
      <c r="A1092" t="s">
        <v>6873</v>
      </c>
      <c r="B1092">
        <v>-22.74</v>
      </c>
      <c r="C1092">
        <v>1642</v>
      </c>
      <c r="D1092">
        <v>15.324999999999999</v>
      </c>
      <c r="E1092">
        <v>12.57</v>
      </c>
      <c r="F1092">
        <v>18.03166667</v>
      </c>
      <c r="G1092">
        <v>2.0441666669999998</v>
      </c>
      <c r="H1092">
        <v>1.266666667</v>
      </c>
      <c r="I1092">
        <v>2.65</v>
      </c>
      <c r="J1092">
        <v>4601.9008329999997</v>
      </c>
      <c r="K1092">
        <v>3669.291667</v>
      </c>
      <c r="L1092">
        <v>5671.0833329999996</v>
      </c>
      <c r="M1092">
        <v>11.6775</v>
      </c>
      <c r="N1092">
        <v>10.50666667</v>
      </c>
      <c r="O1092">
        <v>13.05</v>
      </c>
      <c r="Q1092" t="s">
        <v>376</v>
      </c>
      <c r="R1092" t="s">
        <v>10423</v>
      </c>
      <c r="S1092" t="s">
        <v>9065</v>
      </c>
      <c r="T1092" t="s">
        <v>9066</v>
      </c>
    </row>
    <row r="1093" spans="1:20" x14ac:dyDescent="0.25">
      <c r="A1093" t="s">
        <v>10424</v>
      </c>
      <c r="B1093">
        <v>-22.73</v>
      </c>
      <c r="C1093">
        <v>1581.5</v>
      </c>
      <c r="D1093">
        <v>16.641666669999999</v>
      </c>
      <c r="E1093">
        <v>13.7125</v>
      </c>
      <c r="F1093">
        <v>19.520833329999999</v>
      </c>
      <c r="G1093">
        <v>1.423333333</v>
      </c>
      <c r="H1093">
        <v>0.99833333300000004</v>
      </c>
      <c r="I1093">
        <v>1.7916666670000001</v>
      </c>
      <c r="J1093">
        <v>4932.6716669999996</v>
      </c>
      <c r="K1093">
        <v>4337.8125</v>
      </c>
      <c r="L1093">
        <v>5735.7916670000004</v>
      </c>
      <c r="M1093">
        <v>12.873333329999999</v>
      </c>
      <c r="N1093">
        <v>11.565</v>
      </c>
      <c r="O1093">
        <v>14.475</v>
      </c>
      <c r="Q1093" t="s">
        <v>376</v>
      </c>
      <c r="R1093" t="s">
        <v>10423</v>
      </c>
      <c r="S1093" t="s">
        <v>9058</v>
      </c>
      <c r="T1093" t="s">
        <v>9061</v>
      </c>
    </row>
    <row r="1094" spans="1:20" x14ac:dyDescent="0.25">
      <c r="A1094" t="s">
        <v>6833</v>
      </c>
      <c r="B1094">
        <v>-21.77</v>
      </c>
      <c r="C1094">
        <v>730</v>
      </c>
      <c r="D1094">
        <v>21.392499999999998</v>
      </c>
      <c r="E1094">
        <v>18.24666667</v>
      </c>
      <c r="F1094">
        <v>24.38</v>
      </c>
      <c r="G1094">
        <v>1.5449999999999999</v>
      </c>
      <c r="H1094">
        <v>0.64</v>
      </c>
      <c r="I1094">
        <v>2.2200000000000002</v>
      </c>
      <c r="J1094">
        <v>4925.6966670000002</v>
      </c>
      <c r="K1094">
        <v>4065.6875</v>
      </c>
      <c r="L1094">
        <v>5965.2291670000004</v>
      </c>
      <c r="M1094">
        <v>14.9275</v>
      </c>
      <c r="N1094">
        <v>13.465</v>
      </c>
      <c r="O1094">
        <v>16.608333330000001</v>
      </c>
      <c r="Q1094" t="s">
        <v>376</v>
      </c>
      <c r="R1094" t="s">
        <v>10425</v>
      </c>
      <c r="S1094" t="s">
        <v>9065</v>
      </c>
      <c r="T1094" t="s">
        <v>9066</v>
      </c>
    </row>
    <row r="1095" spans="1:20" x14ac:dyDescent="0.25">
      <c r="A1095" t="s">
        <v>10426</v>
      </c>
      <c r="B1095">
        <v>-21.78</v>
      </c>
      <c r="C1095">
        <v>731.5</v>
      </c>
      <c r="D1095">
        <v>22.372499999999999</v>
      </c>
      <c r="E1095">
        <v>18.951666670000002</v>
      </c>
      <c r="F1095">
        <v>25.85166667</v>
      </c>
      <c r="G1095">
        <v>1.660833333</v>
      </c>
      <c r="H1095">
        <v>0.80833333299999999</v>
      </c>
      <c r="I1095">
        <v>2.3333333330000001</v>
      </c>
      <c r="J1095">
        <v>5292.7924999999996</v>
      </c>
      <c r="K1095">
        <v>4724.0416670000004</v>
      </c>
      <c r="L1095">
        <v>6085.125</v>
      </c>
      <c r="M1095">
        <v>14.489166669999999</v>
      </c>
      <c r="N1095">
        <v>13.02333333</v>
      </c>
      <c r="O1095">
        <v>16.286666669999999</v>
      </c>
      <c r="Q1095" t="s">
        <v>376</v>
      </c>
      <c r="R1095" t="s">
        <v>10425</v>
      </c>
      <c r="S1095" t="s">
        <v>9058</v>
      </c>
      <c r="T1095" t="s">
        <v>9061</v>
      </c>
    </row>
    <row r="1096" spans="1:20" x14ac:dyDescent="0.25">
      <c r="A1096" t="s">
        <v>10427</v>
      </c>
      <c r="B1096">
        <v>-21.13</v>
      </c>
      <c r="C1096">
        <v>536</v>
      </c>
      <c r="D1096">
        <v>24.005833330000002</v>
      </c>
      <c r="E1096">
        <v>20.89833333</v>
      </c>
      <c r="F1096">
        <v>26.983333330000001</v>
      </c>
      <c r="G1096">
        <v>2.5575000000000001</v>
      </c>
      <c r="H1096">
        <v>1.816666667</v>
      </c>
      <c r="I1096">
        <v>3.2250000000000001</v>
      </c>
      <c r="J1096">
        <v>5394.1533330000002</v>
      </c>
      <c r="K1096">
        <v>4970.6666670000004</v>
      </c>
      <c r="L1096">
        <v>6104.75</v>
      </c>
      <c r="M1096">
        <v>16.320833329999999</v>
      </c>
      <c r="N1096">
        <v>14.713333329999999</v>
      </c>
      <c r="O1096">
        <v>18.051666669999999</v>
      </c>
      <c r="Q1096" t="s">
        <v>376</v>
      </c>
      <c r="R1096" t="s">
        <v>10428</v>
      </c>
      <c r="S1096" t="s">
        <v>9058</v>
      </c>
      <c r="T1096" t="s">
        <v>9061</v>
      </c>
    </row>
    <row r="1097" spans="1:20" x14ac:dyDescent="0.25">
      <c r="A1097" t="s">
        <v>6892</v>
      </c>
      <c r="B1097">
        <v>-20.54</v>
      </c>
      <c r="C1097">
        <v>1026</v>
      </c>
      <c r="D1097">
        <v>20.966666669999999</v>
      </c>
      <c r="E1097">
        <v>18.3125</v>
      </c>
      <c r="F1097">
        <v>23.51166667</v>
      </c>
      <c r="G1097">
        <v>1.9383333330000001</v>
      </c>
      <c r="H1097">
        <v>1.1166666670000001</v>
      </c>
      <c r="I1097">
        <v>2.65</v>
      </c>
      <c r="J1097">
        <v>4917.0291669999997</v>
      </c>
      <c r="K1097">
        <v>4172.375</v>
      </c>
      <c r="L1097">
        <v>5861.7916670000004</v>
      </c>
      <c r="M1097">
        <v>13.61916667</v>
      </c>
      <c r="N1097">
        <v>12.27333333</v>
      </c>
      <c r="O1097">
        <v>15.268333330000001</v>
      </c>
      <c r="Q1097" t="s">
        <v>376</v>
      </c>
      <c r="R1097" t="s">
        <v>10429</v>
      </c>
      <c r="S1097" t="s">
        <v>9065</v>
      </c>
      <c r="T1097" t="s">
        <v>9066</v>
      </c>
    </row>
    <row r="1098" spans="1:20" x14ac:dyDescent="0.25">
      <c r="A1098" t="s">
        <v>10430</v>
      </c>
      <c r="B1098">
        <v>-20.58</v>
      </c>
      <c r="C1098">
        <v>1027.5</v>
      </c>
      <c r="D1098">
        <v>21.798333329999998</v>
      </c>
      <c r="E1098">
        <v>19.348333329999999</v>
      </c>
      <c r="F1098">
        <v>24.216666669999999</v>
      </c>
      <c r="G1098">
        <v>2.0499999999999998</v>
      </c>
      <c r="H1098">
        <v>1.1566666670000001</v>
      </c>
      <c r="I1098">
        <v>2.858333333</v>
      </c>
      <c r="J1098">
        <v>5650.8275000000003</v>
      </c>
      <c r="K1098">
        <v>4913.0625</v>
      </c>
      <c r="L1098">
        <v>6644.8125</v>
      </c>
      <c r="M1098">
        <v>13.797499999999999</v>
      </c>
      <c r="N1098">
        <v>12.164999999999999</v>
      </c>
      <c r="O1098">
        <v>15.516666669999999</v>
      </c>
      <c r="Q1098" t="s">
        <v>376</v>
      </c>
      <c r="R1098" t="s">
        <v>10431</v>
      </c>
      <c r="S1098" t="s">
        <v>9058</v>
      </c>
      <c r="T1098" t="s">
        <v>9059</v>
      </c>
    </row>
    <row r="1099" spans="1:20" x14ac:dyDescent="0.25">
      <c r="A1099" t="s">
        <v>10432</v>
      </c>
      <c r="B1099">
        <v>-20.58</v>
      </c>
      <c r="C1099">
        <v>1027.5</v>
      </c>
      <c r="D1099">
        <v>21.980833329999999</v>
      </c>
      <c r="E1099">
        <v>19.00416667</v>
      </c>
      <c r="F1099">
        <v>24.76</v>
      </c>
      <c r="G1099">
        <v>1.985833333</v>
      </c>
      <c r="H1099">
        <v>1.231666667</v>
      </c>
      <c r="I1099">
        <v>2.625</v>
      </c>
      <c r="J1099">
        <v>5294.6633330000004</v>
      </c>
      <c r="K1099">
        <v>4769.3541670000004</v>
      </c>
      <c r="L1099">
        <v>6001.6041670000004</v>
      </c>
      <c r="M1099">
        <v>14.314166670000001</v>
      </c>
      <c r="N1099">
        <v>12.804166670000001</v>
      </c>
      <c r="O1099">
        <v>16.03083333</v>
      </c>
      <c r="Q1099" t="s">
        <v>376</v>
      </c>
      <c r="R1099" t="s">
        <v>10431</v>
      </c>
      <c r="S1099" t="s">
        <v>9058</v>
      </c>
      <c r="T1099" t="s">
        <v>9061</v>
      </c>
    </row>
    <row r="1100" spans="1:20" x14ac:dyDescent="0.25">
      <c r="A1100" t="s">
        <v>10433</v>
      </c>
      <c r="B1100">
        <v>-22.79</v>
      </c>
      <c r="C1100">
        <v>536.79999999999995</v>
      </c>
      <c r="D1100">
        <v>21.377500000000001</v>
      </c>
      <c r="E1100">
        <v>17.90666667</v>
      </c>
      <c r="F1100">
        <v>24.79</v>
      </c>
      <c r="G1100">
        <v>1.7916666670000001</v>
      </c>
      <c r="H1100">
        <v>0.75</v>
      </c>
      <c r="I1100">
        <v>2.56</v>
      </c>
      <c r="J1100">
        <v>5012.8249999999998</v>
      </c>
      <c r="K1100">
        <v>4175.7083329999996</v>
      </c>
      <c r="L1100">
        <v>5953.7916670000004</v>
      </c>
      <c r="M1100">
        <v>15.95833333</v>
      </c>
      <c r="N1100">
        <v>14.438333330000001</v>
      </c>
      <c r="O1100">
        <v>17.696666669999999</v>
      </c>
      <c r="Q1100" t="s">
        <v>376</v>
      </c>
      <c r="R1100" t="s">
        <v>10434</v>
      </c>
      <c r="S1100" t="s">
        <v>9058</v>
      </c>
      <c r="T1100" t="s">
        <v>9059</v>
      </c>
    </row>
    <row r="1101" spans="1:20" x14ac:dyDescent="0.25">
      <c r="A1101" t="s">
        <v>10435</v>
      </c>
      <c r="B1101">
        <v>-22.79</v>
      </c>
      <c r="C1101">
        <v>536.79999999999995</v>
      </c>
      <c r="D1101">
        <v>21.19916667</v>
      </c>
      <c r="E1101">
        <v>17.553333330000001</v>
      </c>
      <c r="F1101">
        <v>24.717500000000001</v>
      </c>
      <c r="G1101">
        <v>1.631666667</v>
      </c>
      <c r="H1101">
        <v>0.92333333299999998</v>
      </c>
      <c r="I1101">
        <v>2.2083333330000001</v>
      </c>
      <c r="J1101">
        <v>4731.3391670000001</v>
      </c>
      <c r="K1101">
        <v>3925.291667</v>
      </c>
      <c r="L1101">
        <v>5840.125</v>
      </c>
      <c r="M1101">
        <v>15.36</v>
      </c>
      <c r="N1101">
        <v>13.810833329999999</v>
      </c>
      <c r="O1101">
        <v>17.068333330000002</v>
      </c>
      <c r="Q1101" t="s">
        <v>376</v>
      </c>
      <c r="R1101" t="s">
        <v>10434</v>
      </c>
      <c r="S1101" t="s">
        <v>9058</v>
      </c>
      <c r="T1101" t="s">
        <v>9061</v>
      </c>
    </row>
    <row r="1102" spans="1:20" x14ac:dyDescent="0.25">
      <c r="A1102" t="s">
        <v>8733</v>
      </c>
      <c r="B1102">
        <v>-21.86</v>
      </c>
      <c r="C1102">
        <v>492</v>
      </c>
      <c r="D1102">
        <v>21.92583333</v>
      </c>
      <c r="E1102">
        <v>18.330833330000001</v>
      </c>
      <c r="F1102">
        <v>25.408333330000001</v>
      </c>
      <c r="G1102">
        <v>2.2091666669999999</v>
      </c>
      <c r="H1102">
        <v>1.306666667</v>
      </c>
      <c r="I1102">
        <v>2.92</v>
      </c>
      <c r="J1102">
        <v>5208.6391670000003</v>
      </c>
      <c r="K1102">
        <v>4503</v>
      </c>
      <c r="L1102">
        <v>6196.1458329999996</v>
      </c>
      <c r="M1102">
        <v>15.96166667</v>
      </c>
      <c r="N1102">
        <v>14.505000000000001</v>
      </c>
      <c r="O1102">
        <v>17.626666669999999</v>
      </c>
      <c r="Q1102" t="s">
        <v>376</v>
      </c>
      <c r="R1102" t="s">
        <v>10436</v>
      </c>
      <c r="S1102" t="s">
        <v>9065</v>
      </c>
      <c r="T1102" t="s">
        <v>9066</v>
      </c>
    </row>
    <row r="1103" spans="1:20" x14ac:dyDescent="0.25">
      <c r="A1103" t="s">
        <v>10437</v>
      </c>
      <c r="B1103">
        <v>-21.86</v>
      </c>
      <c r="C1103">
        <v>493.5</v>
      </c>
      <c r="D1103">
        <v>22.72583333</v>
      </c>
      <c r="E1103">
        <v>18.696666669999999</v>
      </c>
      <c r="F1103">
        <v>26.57833333</v>
      </c>
      <c r="G1103">
        <v>1.56</v>
      </c>
      <c r="H1103">
        <v>0.65833333299999997</v>
      </c>
      <c r="I1103">
        <v>2.2583333329999999</v>
      </c>
      <c r="J1103">
        <v>5283.0083329999998</v>
      </c>
      <c r="K1103">
        <v>4686.4583329999996</v>
      </c>
      <c r="L1103">
        <v>6111.3958329999996</v>
      </c>
      <c r="M1103">
        <v>15.44083333</v>
      </c>
      <c r="N1103">
        <v>13.994999999999999</v>
      </c>
      <c r="O1103">
        <v>17.268333330000001</v>
      </c>
      <c r="Q1103" t="s">
        <v>376</v>
      </c>
      <c r="R1103" t="s">
        <v>10436</v>
      </c>
      <c r="S1103" t="s">
        <v>9058</v>
      </c>
      <c r="T1103" t="s">
        <v>9061</v>
      </c>
    </row>
    <row r="1104" spans="1:20" x14ac:dyDescent="0.25">
      <c r="A1104" t="s">
        <v>8750</v>
      </c>
      <c r="B1104">
        <v>-24.71</v>
      </c>
      <c r="C1104">
        <v>3</v>
      </c>
      <c r="D1104">
        <v>21.12166667</v>
      </c>
      <c r="E1104">
        <v>19.114999999999998</v>
      </c>
      <c r="F1104">
        <v>22.956666670000001</v>
      </c>
      <c r="G1104">
        <v>1.5333333330000001</v>
      </c>
      <c r="H1104">
        <v>0.4</v>
      </c>
      <c r="I1104">
        <v>2.443333333</v>
      </c>
      <c r="J1104">
        <v>4167.2391669999997</v>
      </c>
      <c r="K1104">
        <v>2843.1875</v>
      </c>
      <c r="L1104">
        <v>5509.7708329999996</v>
      </c>
      <c r="M1104">
        <v>18.66416667</v>
      </c>
      <c r="N1104">
        <v>17.486666670000002</v>
      </c>
      <c r="O1104">
        <v>20.068333330000002</v>
      </c>
      <c r="Q1104" t="s">
        <v>376</v>
      </c>
      <c r="R1104" t="s">
        <v>10438</v>
      </c>
      <c r="S1104" t="s">
        <v>9065</v>
      </c>
      <c r="T1104" t="s">
        <v>9066</v>
      </c>
    </row>
    <row r="1105" spans="1:20" x14ac:dyDescent="0.25">
      <c r="A1105" t="s">
        <v>10439</v>
      </c>
      <c r="B1105">
        <v>-24.67</v>
      </c>
      <c r="C1105">
        <v>4.5</v>
      </c>
      <c r="D1105">
        <v>21.907499999999999</v>
      </c>
      <c r="E1105">
        <v>20.087499999999999</v>
      </c>
      <c r="F1105">
        <v>23.493333329999999</v>
      </c>
      <c r="G1105">
        <v>1.430833333</v>
      </c>
      <c r="H1105">
        <v>0.47499999999999998</v>
      </c>
      <c r="I1105">
        <v>2.0249999999999999</v>
      </c>
      <c r="J1105">
        <v>4705.9475000000002</v>
      </c>
      <c r="K1105">
        <v>4076.875</v>
      </c>
      <c r="L1105">
        <v>5500.3958329999996</v>
      </c>
      <c r="M1105">
        <v>18.819166670000001</v>
      </c>
      <c r="N1105">
        <v>17.55</v>
      </c>
      <c r="O1105">
        <v>20.475000000000001</v>
      </c>
      <c r="Q1105" t="s">
        <v>376</v>
      </c>
      <c r="R1105" t="s">
        <v>10438</v>
      </c>
      <c r="S1105" t="s">
        <v>9058</v>
      </c>
      <c r="T1105" t="s">
        <v>9059</v>
      </c>
    </row>
    <row r="1106" spans="1:20" x14ac:dyDescent="0.25">
      <c r="A1106" t="s">
        <v>10440</v>
      </c>
      <c r="B1106">
        <v>-24.67</v>
      </c>
      <c r="C1106">
        <v>4.5</v>
      </c>
      <c r="D1106">
        <v>21.884166669999999</v>
      </c>
      <c r="E1106">
        <v>19.948333330000001</v>
      </c>
      <c r="F1106">
        <v>23.587499999999999</v>
      </c>
      <c r="G1106">
        <v>2.1066666669999998</v>
      </c>
      <c r="H1106">
        <v>1.1333333329999999</v>
      </c>
      <c r="I1106">
        <v>2.9441666670000002</v>
      </c>
      <c r="J1106">
        <v>4422.7349999999997</v>
      </c>
      <c r="K1106">
        <v>3577.625</v>
      </c>
      <c r="L1106">
        <v>5421.2083329999996</v>
      </c>
      <c r="M1106">
        <v>19.045833330000001</v>
      </c>
      <c r="N1106">
        <v>17.690000000000001</v>
      </c>
      <c r="O1106">
        <v>20.801666669999999</v>
      </c>
      <c r="Q1106" t="s">
        <v>376</v>
      </c>
      <c r="R1106" t="s">
        <v>10438</v>
      </c>
      <c r="S1106" t="s">
        <v>9058</v>
      </c>
      <c r="T1106" t="s">
        <v>9061</v>
      </c>
    </row>
    <row r="1107" spans="1:20" x14ac:dyDescent="0.25">
      <c r="A1107" t="s">
        <v>7807</v>
      </c>
      <c r="B1107">
        <v>-23.98</v>
      </c>
      <c r="C1107">
        <v>707</v>
      </c>
      <c r="D1107">
        <v>19.122499999999999</v>
      </c>
      <c r="E1107">
        <v>16.23</v>
      </c>
      <c r="F1107">
        <v>21.579166669999999</v>
      </c>
      <c r="G1107">
        <v>2.9608333330000001</v>
      </c>
      <c r="H1107">
        <v>1.59</v>
      </c>
      <c r="I1107">
        <v>4.1500000000000004</v>
      </c>
      <c r="J1107">
        <v>4543.4075000000003</v>
      </c>
      <c r="K1107">
        <v>3755.104167</v>
      </c>
      <c r="L1107">
        <v>5565.1875</v>
      </c>
      <c r="M1107">
        <v>14.435833329999999</v>
      </c>
      <c r="N1107">
        <v>13.005000000000001</v>
      </c>
      <c r="O1107">
        <v>16.024999999999999</v>
      </c>
      <c r="Q1107" t="s">
        <v>376</v>
      </c>
      <c r="R1107" t="s">
        <v>10441</v>
      </c>
      <c r="S1107" t="s">
        <v>9065</v>
      </c>
      <c r="T1107" t="s">
        <v>9066</v>
      </c>
    </row>
    <row r="1108" spans="1:20" x14ac:dyDescent="0.25">
      <c r="A1108" t="s">
        <v>10442</v>
      </c>
      <c r="B1108">
        <v>-23.98</v>
      </c>
      <c r="C1108">
        <v>708.5</v>
      </c>
      <c r="D1108">
        <v>19.935833330000001</v>
      </c>
      <c r="E1108">
        <v>17.04</v>
      </c>
      <c r="F1108">
        <v>22.540833330000002</v>
      </c>
      <c r="G1108">
        <v>1.8525</v>
      </c>
      <c r="H1108">
        <v>0.66666666699999999</v>
      </c>
      <c r="I1108">
        <v>2.7716666669999999</v>
      </c>
      <c r="J1108">
        <v>4641.3716670000003</v>
      </c>
      <c r="K1108">
        <v>3836.083333</v>
      </c>
      <c r="L1108">
        <v>5626.9166670000004</v>
      </c>
      <c r="M1108">
        <v>15.241666670000001</v>
      </c>
      <c r="N1108">
        <v>14.00666667</v>
      </c>
      <c r="O1108">
        <v>16.708333329999999</v>
      </c>
      <c r="Q1108" t="s">
        <v>376</v>
      </c>
      <c r="R1108" t="s">
        <v>10443</v>
      </c>
      <c r="S1108" t="s">
        <v>9058</v>
      </c>
      <c r="T1108" t="s">
        <v>9061</v>
      </c>
    </row>
    <row r="1109" spans="1:20" x14ac:dyDescent="0.25">
      <c r="A1109" t="s">
        <v>6808</v>
      </c>
      <c r="B1109">
        <v>-22.42</v>
      </c>
      <c r="C1109">
        <v>633</v>
      </c>
      <c r="D1109">
        <v>21.237500000000001</v>
      </c>
      <c r="E1109">
        <v>17.860833329999998</v>
      </c>
      <c r="F1109">
        <v>24.563333329999999</v>
      </c>
      <c r="G1109">
        <v>1.3125</v>
      </c>
      <c r="H1109">
        <v>0.3</v>
      </c>
      <c r="I1109">
        <v>2.0266666670000002</v>
      </c>
      <c r="J1109">
        <v>4582.0433329999996</v>
      </c>
      <c r="K1109">
        <v>3753.833333</v>
      </c>
      <c r="L1109">
        <v>5565.6875</v>
      </c>
      <c r="M1109">
        <v>15.28916667</v>
      </c>
      <c r="N1109">
        <v>14.01333333</v>
      </c>
      <c r="O1109">
        <v>16.916666670000001</v>
      </c>
      <c r="Q1109" t="s">
        <v>376</v>
      </c>
      <c r="R1109" t="s">
        <v>10444</v>
      </c>
      <c r="S1109" t="s">
        <v>9065</v>
      </c>
      <c r="T1109" t="s">
        <v>9066</v>
      </c>
    </row>
    <row r="1110" spans="1:20" x14ac:dyDescent="0.25">
      <c r="A1110" t="s">
        <v>10445</v>
      </c>
      <c r="B1110">
        <v>-22.42</v>
      </c>
      <c r="C1110">
        <v>634.5</v>
      </c>
      <c r="D1110">
        <v>21.805833329999999</v>
      </c>
      <c r="E1110">
        <v>18.12166667</v>
      </c>
      <c r="F1110">
        <v>25.614999999999998</v>
      </c>
      <c r="G1110">
        <v>0.98666666700000005</v>
      </c>
      <c r="H1110">
        <v>0.125</v>
      </c>
      <c r="I1110">
        <v>1.605</v>
      </c>
      <c r="J1110">
        <v>5228.4624999999996</v>
      </c>
      <c r="K1110">
        <v>4660.8125</v>
      </c>
      <c r="L1110">
        <v>6026.0625</v>
      </c>
      <c r="M1110">
        <v>14.78833333</v>
      </c>
      <c r="N1110">
        <v>13.29</v>
      </c>
      <c r="O1110">
        <v>16.585000000000001</v>
      </c>
      <c r="Q1110" t="s">
        <v>376</v>
      </c>
      <c r="R1110" t="s">
        <v>10444</v>
      </c>
      <c r="S1110" t="s">
        <v>9058</v>
      </c>
      <c r="T1110" t="s">
        <v>9061</v>
      </c>
    </row>
    <row r="1111" spans="1:20" x14ac:dyDescent="0.25">
      <c r="A1111" t="s">
        <v>8732</v>
      </c>
      <c r="B1111">
        <v>-20.36</v>
      </c>
      <c r="C1111">
        <v>600</v>
      </c>
      <c r="D1111">
        <v>22.285833329999999</v>
      </c>
      <c r="E1111">
        <v>18.153333329999999</v>
      </c>
      <c r="F1111">
        <v>26.826666670000002</v>
      </c>
      <c r="G1111">
        <v>1.691666667</v>
      </c>
      <c r="H1111">
        <v>0.95</v>
      </c>
      <c r="I1111">
        <v>2.2166666670000001</v>
      </c>
      <c r="J1111">
        <v>5142.21</v>
      </c>
      <c r="K1111">
        <v>4672.7916670000004</v>
      </c>
      <c r="L1111">
        <v>5996.5416670000004</v>
      </c>
      <c r="M1111">
        <v>15.115833329999999</v>
      </c>
      <c r="N1111">
        <v>13.43083333</v>
      </c>
      <c r="O1111">
        <v>16.908333330000001</v>
      </c>
      <c r="Q1111" t="s">
        <v>376</v>
      </c>
      <c r="R1111" t="s">
        <v>10446</v>
      </c>
      <c r="S1111" t="s">
        <v>9065</v>
      </c>
      <c r="T1111" t="s">
        <v>9066</v>
      </c>
    </row>
    <row r="1112" spans="1:20" x14ac:dyDescent="0.25">
      <c r="A1112" t="s">
        <v>10447</v>
      </c>
      <c r="B1112">
        <v>-20.36</v>
      </c>
      <c r="C1112">
        <v>601.5</v>
      </c>
      <c r="D1112">
        <v>22.98833333</v>
      </c>
      <c r="E1112">
        <v>18.823333330000001</v>
      </c>
      <c r="F1112">
        <v>27.564166669999999</v>
      </c>
      <c r="G1112">
        <v>1.71</v>
      </c>
      <c r="H1112">
        <v>1.05</v>
      </c>
      <c r="I1112">
        <v>2.2000000000000002</v>
      </c>
      <c r="J1112">
        <v>5450.0283330000002</v>
      </c>
      <c r="K1112">
        <v>4973.3333329999996</v>
      </c>
      <c r="L1112">
        <v>6190.9583329999996</v>
      </c>
      <c r="M1112">
        <v>15.10166667</v>
      </c>
      <c r="N1112">
        <v>13.54666667</v>
      </c>
      <c r="O1112">
        <v>16.758333329999999</v>
      </c>
      <c r="Q1112" t="s">
        <v>376</v>
      </c>
      <c r="R1112" t="s">
        <v>10446</v>
      </c>
      <c r="S1112" t="s">
        <v>9058</v>
      </c>
      <c r="T1112" t="s">
        <v>9061</v>
      </c>
    </row>
    <row r="1113" spans="1:20" x14ac:dyDescent="0.25">
      <c r="A1113" t="s">
        <v>6904</v>
      </c>
      <c r="B1113">
        <v>-20.27</v>
      </c>
      <c r="C1113">
        <v>457</v>
      </c>
      <c r="D1113">
        <v>23.911666669999999</v>
      </c>
      <c r="E1113">
        <v>20.673333329999998</v>
      </c>
      <c r="F1113">
        <v>26.954999999999998</v>
      </c>
      <c r="G1113">
        <v>2.6749999999999998</v>
      </c>
      <c r="H1113">
        <v>1.846666667</v>
      </c>
      <c r="I1113">
        <v>3.4083333329999999</v>
      </c>
      <c r="J1113">
        <v>5088.7991670000001</v>
      </c>
      <c r="K1113">
        <v>4361.3333329999996</v>
      </c>
      <c r="L1113">
        <v>5981.7916670000004</v>
      </c>
      <c r="M1113">
        <v>16.090833329999999</v>
      </c>
      <c r="N1113">
        <v>14.57833333</v>
      </c>
      <c r="O1113">
        <v>17.936666670000001</v>
      </c>
      <c r="Q1113" t="s">
        <v>376</v>
      </c>
      <c r="R1113" t="s">
        <v>10448</v>
      </c>
      <c r="S1113" t="s">
        <v>9065</v>
      </c>
      <c r="T1113" t="s">
        <v>9066</v>
      </c>
    </row>
    <row r="1114" spans="1:20" x14ac:dyDescent="0.25">
      <c r="A1114" t="s">
        <v>10449</v>
      </c>
      <c r="B1114">
        <v>-20.170000000000002</v>
      </c>
      <c r="C1114">
        <v>458.5</v>
      </c>
      <c r="D1114">
        <v>24.520833329999999</v>
      </c>
      <c r="E1114">
        <v>21.158333330000001</v>
      </c>
      <c r="F1114">
        <v>28.04666667</v>
      </c>
      <c r="G1114">
        <v>2.5449999999999999</v>
      </c>
      <c r="H1114">
        <v>1.7</v>
      </c>
      <c r="I1114">
        <v>3.25</v>
      </c>
      <c r="J1114">
        <v>5524.2216669999998</v>
      </c>
      <c r="K1114">
        <v>5167.2916670000004</v>
      </c>
      <c r="L1114">
        <v>6219.4583329999996</v>
      </c>
      <c r="M1114">
        <v>15.258333329999999</v>
      </c>
      <c r="N1114">
        <v>13.748333329999999</v>
      </c>
      <c r="O1114">
        <v>17.05</v>
      </c>
      <c r="Q1114" t="s">
        <v>376</v>
      </c>
      <c r="R1114" t="s">
        <v>10448</v>
      </c>
      <c r="S1114" t="s">
        <v>9058</v>
      </c>
      <c r="T1114" t="s">
        <v>9061</v>
      </c>
    </row>
    <row r="1115" spans="1:20" x14ac:dyDescent="0.25">
      <c r="A1115" t="s">
        <v>8710</v>
      </c>
      <c r="B1115">
        <v>-21.1</v>
      </c>
      <c r="C1115">
        <v>405</v>
      </c>
      <c r="D1115">
        <v>22.929166670000001</v>
      </c>
      <c r="E1115">
        <v>19.37166667</v>
      </c>
      <c r="F1115">
        <v>26.245000000000001</v>
      </c>
      <c r="G1115">
        <v>2.2625000000000002</v>
      </c>
      <c r="H1115">
        <v>1.246666667</v>
      </c>
      <c r="I1115">
        <v>3.1166666670000001</v>
      </c>
      <c r="J1115">
        <v>4873.5050000000001</v>
      </c>
      <c r="K1115">
        <v>4167.6666670000004</v>
      </c>
      <c r="L1115">
        <v>5734.8541670000004</v>
      </c>
      <c r="M1115">
        <v>16.240833330000001</v>
      </c>
      <c r="N1115">
        <v>14.715</v>
      </c>
      <c r="O1115">
        <v>18.041666670000001</v>
      </c>
      <c r="Q1115" t="s">
        <v>376</v>
      </c>
      <c r="R1115" t="s">
        <v>10450</v>
      </c>
      <c r="S1115" t="s">
        <v>9065</v>
      </c>
      <c r="T1115" t="s">
        <v>9066</v>
      </c>
    </row>
    <row r="1116" spans="1:20" x14ac:dyDescent="0.25">
      <c r="A1116" t="s">
        <v>10451</v>
      </c>
      <c r="B1116">
        <v>-21.08</v>
      </c>
      <c r="C1116">
        <v>406.5</v>
      </c>
      <c r="D1116">
        <v>23.999166670000001</v>
      </c>
      <c r="E1116">
        <v>20.256666670000001</v>
      </c>
      <c r="F1116">
        <v>27.774999999999999</v>
      </c>
      <c r="G1116">
        <v>2.4950000000000001</v>
      </c>
      <c r="H1116">
        <v>1.608333333</v>
      </c>
      <c r="I1116">
        <v>3.2766666670000002</v>
      </c>
      <c r="J1116">
        <v>5445.0133329999999</v>
      </c>
      <c r="K1116">
        <v>4985.3958329999996</v>
      </c>
      <c r="L1116">
        <v>6181.3333329999996</v>
      </c>
      <c r="M1116">
        <v>15.97833333</v>
      </c>
      <c r="N1116">
        <v>14.67166667</v>
      </c>
      <c r="O1116">
        <v>17.653333329999999</v>
      </c>
      <c r="Q1116" t="s">
        <v>376</v>
      </c>
      <c r="R1116" t="s">
        <v>10450</v>
      </c>
      <c r="S1116" t="s">
        <v>9058</v>
      </c>
      <c r="T1116" t="s">
        <v>9061</v>
      </c>
    </row>
    <row r="1117" spans="1:20" x14ac:dyDescent="0.25">
      <c r="A1117" t="s">
        <v>8722</v>
      </c>
      <c r="B1117">
        <v>-21.68</v>
      </c>
      <c r="C1117">
        <v>459</v>
      </c>
      <c r="D1117">
        <v>22.839166670000001</v>
      </c>
      <c r="E1117">
        <v>19.473333329999999</v>
      </c>
      <c r="F1117">
        <v>26.01</v>
      </c>
      <c r="G1117">
        <v>1.9875</v>
      </c>
      <c r="H1117">
        <v>1.0249999999999999</v>
      </c>
      <c r="I1117">
        <v>2.8416666670000001</v>
      </c>
      <c r="J1117">
        <v>5228.6025</v>
      </c>
      <c r="K1117">
        <v>4530.1875</v>
      </c>
      <c r="L1117">
        <v>6150.1041670000004</v>
      </c>
      <c r="M1117">
        <v>15.515000000000001</v>
      </c>
      <c r="N1117">
        <v>14.064166670000001</v>
      </c>
      <c r="O1117">
        <v>17.254999999999999</v>
      </c>
      <c r="Q1117" t="s">
        <v>376</v>
      </c>
      <c r="R1117" t="s">
        <v>10452</v>
      </c>
      <c r="S1117" t="s">
        <v>9065</v>
      </c>
      <c r="T1117" t="s">
        <v>9066</v>
      </c>
    </row>
    <row r="1118" spans="1:20" x14ac:dyDescent="0.25">
      <c r="A1118" t="s">
        <v>10453</v>
      </c>
      <c r="B1118">
        <v>-21.67</v>
      </c>
      <c r="C1118">
        <v>461</v>
      </c>
      <c r="D1118">
        <v>23.936666670000001</v>
      </c>
      <c r="E1118">
        <v>20.37166667</v>
      </c>
      <c r="F1118">
        <v>27.41</v>
      </c>
      <c r="G1118">
        <v>1.895</v>
      </c>
      <c r="H1118">
        <v>0.93333333299999999</v>
      </c>
      <c r="I1118">
        <v>2.6883333330000001</v>
      </c>
      <c r="J1118">
        <v>5337.54</v>
      </c>
      <c r="K1118">
        <v>4827.5208329999996</v>
      </c>
      <c r="L1118">
        <v>6127.6041670000004</v>
      </c>
      <c r="M1118">
        <v>15.432499999999999</v>
      </c>
      <c r="N1118">
        <v>13.98</v>
      </c>
      <c r="O1118">
        <v>17.258333329999999</v>
      </c>
      <c r="Q1118" t="s">
        <v>376</v>
      </c>
      <c r="R1118" t="s">
        <v>10452</v>
      </c>
      <c r="S1118" t="s">
        <v>9058</v>
      </c>
      <c r="T1118" t="s">
        <v>9061</v>
      </c>
    </row>
    <row r="1119" spans="1:20" x14ac:dyDescent="0.25">
      <c r="A1119" t="s">
        <v>10454</v>
      </c>
      <c r="B1119">
        <v>-22.2</v>
      </c>
      <c r="C1119">
        <v>646.79999999999995</v>
      </c>
      <c r="D1119">
        <v>23.361666670000002</v>
      </c>
      <c r="E1119">
        <v>20.25</v>
      </c>
      <c r="F1119">
        <v>26.33</v>
      </c>
      <c r="G1119">
        <v>2.963333333</v>
      </c>
      <c r="H1119">
        <v>1.84</v>
      </c>
      <c r="I1119">
        <v>3.8</v>
      </c>
      <c r="J1119">
        <v>5188</v>
      </c>
      <c r="K1119">
        <v>4561.7916670000004</v>
      </c>
      <c r="L1119">
        <v>6078.3541670000004</v>
      </c>
      <c r="M1119">
        <v>16.905000000000001</v>
      </c>
      <c r="N1119">
        <v>15.448333330000001</v>
      </c>
      <c r="O1119">
        <v>18.608333330000001</v>
      </c>
      <c r="Q1119" t="s">
        <v>376</v>
      </c>
      <c r="R1119" t="s">
        <v>10455</v>
      </c>
      <c r="S1119" t="s">
        <v>9058</v>
      </c>
      <c r="T1119" t="s">
        <v>9061</v>
      </c>
    </row>
    <row r="1120" spans="1:20" x14ac:dyDescent="0.25">
      <c r="A1120" t="s">
        <v>10456</v>
      </c>
      <c r="B1120">
        <v>-24.05</v>
      </c>
      <c r="C1120">
        <v>100</v>
      </c>
      <c r="D1120">
        <v>22.775833330000001</v>
      </c>
      <c r="E1120">
        <v>21.479166670000001</v>
      </c>
      <c r="F1120">
        <v>23.93333333</v>
      </c>
      <c r="G1120">
        <v>3.0516666670000001</v>
      </c>
      <c r="H1120">
        <v>1.8233333329999999</v>
      </c>
      <c r="I1120">
        <v>4.0583333330000002</v>
      </c>
      <c r="J1120">
        <v>4748.7733330000001</v>
      </c>
      <c r="K1120">
        <v>3934.354167</v>
      </c>
      <c r="L1120">
        <v>5803.4791670000004</v>
      </c>
      <c r="M1120">
        <v>20.055833329999999</v>
      </c>
      <c r="N1120">
        <v>18.837499999999999</v>
      </c>
      <c r="O1120">
        <v>21.416666670000001</v>
      </c>
      <c r="Q1120" t="s">
        <v>376</v>
      </c>
      <c r="R1120" t="s">
        <v>10457</v>
      </c>
      <c r="S1120" t="s">
        <v>9058</v>
      </c>
      <c r="T1120" t="s">
        <v>9061</v>
      </c>
    </row>
    <row r="1121" spans="1:20" x14ac:dyDescent="0.25">
      <c r="A1121" t="s">
        <v>7822</v>
      </c>
      <c r="B1121">
        <v>-22.98</v>
      </c>
      <c r="C1121">
        <v>448</v>
      </c>
      <c r="D1121">
        <v>20.93416667</v>
      </c>
      <c r="E1121">
        <v>17.706666670000001</v>
      </c>
      <c r="F1121">
        <v>23.811666670000001</v>
      </c>
      <c r="G1121">
        <v>1.795833333</v>
      </c>
      <c r="H1121">
        <v>1.0083333329999999</v>
      </c>
      <c r="I1121">
        <v>2.516666667</v>
      </c>
      <c r="J1121">
        <v>4931.1316669999997</v>
      </c>
      <c r="K1121">
        <v>4219.2916670000004</v>
      </c>
      <c r="L1121">
        <v>5872.3125</v>
      </c>
      <c r="M1121">
        <v>15.89833333</v>
      </c>
      <c r="N1121">
        <v>14.4625</v>
      </c>
      <c r="O1121">
        <v>17.54666667</v>
      </c>
      <c r="Q1121" t="s">
        <v>376</v>
      </c>
      <c r="R1121" t="s">
        <v>10458</v>
      </c>
      <c r="S1121" t="s">
        <v>9065</v>
      </c>
      <c r="T1121" t="s">
        <v>9066</v>
      </c>
    </row>
    <row r="1122" spans="1:20" x14ac:dyDescent="0.25">
      <c r="A1122" t="s">
        <v>10459</v>
      </c>
      <c r="B1122">
        <v>-22.95</v>
      </c>
      <c r="C1122">
        <v>449.5</v>
      </c>
      <c r="D1122">
        <v>22.35083333</v>
      </c>
      <c r="E1122">
        <v>18.88</v>
      </c>
      <c r="F1122">
        <v>25.56666667</v>
      </c>
      <c r="G1122">
        <v>1.2916666670000001</v>
      </c>
      <c r="H1122">
        <v>0.383333333</v>
      </c>
      <c r="I1122">
        <v>1.9350000000000001</v>
      </c>
      <c r="J1122">
        <v>5116.3183330000002</v>
      </c>
      <c r="K1122">
        <v>4533.0208329999996</v>
      </c>
      <c r="L1122">
        <v>5981.2291670000004</v>
      </c>
      <c r="M1122">
        <v>16.2075</v>
      </c>
      <c r="N1122">
        <v>14.733333330000001</v>
      </c>
      <c r="O1122">
        <v>17.916666670000001</v>
      </c>
      <c r="Q1122" t="s">
        <v>376</v>
      </c>
      <c r="R1122" t="s">
        <v>10458</v>
      </c>
      <c r="S1122" t="s">
        <v>9058</v>
      </c>
      <c r="T1122" t="s">
        <v>9061</v>
      </c>
    </row>
    <row r="1123" spans="1:20" x14ac:dyDescent="0.25">
      <c r="A1123" t="s">
        <v>8716</v>
      </c>
      <c r="B1123">
        <v>-22.73</v>
      </c>
      <c r="C1123">
        <v>573</v>
      </c>
      <c r="D1123">
        <v>20.93333333</v>
      </c>
      <c r="E1123">
        <v>17.508333329999999</v>
      </c>
      <c r="F1123">
        <v>24.243333329999999</v>
      </c>
      <c r="G1123">
        <v>2.2691666669999999</v>
      </c>
      <c r="H1123">
        <v>1.3416666669999999</v>
      </c>
      <c r="I1123">
        <v>2.9933333329999998</v>
      </c>
      <c r="J1123">
        <v>4912.03</v>
      </c>
      <c r="K1123">
        <v>4157.6041670000004</v>
      </c>
      <c r="L1123">
        <v>5903.7291670000004</v>
      </c>
      <c r="M1123">
        <v>15.522500000000001</v>
      </c>
      <c r="N1123">
        <v>14.18333333</v>
      </c>
      <c r="O1123">
        <v>17.112500000000001</v>
      </c>
      <c r="Q1123" t="s">
        <v>376</v>
      </c>
      <c r="R1123" t="s">
        <v>10460</v>
      </c>
      <c r="S1123" t="s">
        <v>9065</v>
      </c>
      <c r="T1123" t="s">
        <v>9066</v>
      </c>
    </row>
    <row r="1124" spans="1:20" x14ac:dyDescent="0.25">
      <c r="A1124" t="s">
        <v>10461</v>
      </c>
      <c r="B1124">
        <v>-22.7</v>
      </c>
      <c r="C1124">
        <v>572.5</v>
      </c>
      <c r="D1124">
        <v>22.236666670000002</v>
      </c>
      <c r="E1124">
        <v>18.70333333</v>
      </c>
      <c r="F1124">
        <v>25.748333330000001</v>
      </c>
      <c r="G1124">
        <v>1.818333333</v>
      </c>
      <c r="H1124">
        <v>0.64166666699999997</v>
      </c>
      <c r="I1124">
        <v>2.71</v>
      </c>
      <c r="J1124">
        <v>5222.9366669999999</v>
      </c>
      <c r="K1124">
        <v>4735.3958329999996</v>
      </c>
      <c r="L1124">
        <v>5966.2916670000004</v>
      </c>
      <c r="M1124">
        <v>13.61833333</v>
      </c>
      <c r="N1124">
        <v>10.635833330000001</v>
      </c>
      <c r="O1124">
        <v>16.914999999999999</v>
      </c>
      <c r="Q1124" t="s">
        <v>376</v>
      </c>
      <c r="R1124" t="s">
        <v>10460</v>
      </c>
      <c r="S1124" t="s">
        <v>9058</v>
      </c>
      <c r="T1124" t="s">
        <v>9061</v>
      </c>
    </row>
    <row r="1125" spans="1:20" x14ac:dyDescent="0.25">
      <c r="A1125" t="s">
        <v>10462</v>
      </c>
      <c r="B1125">
        <v>-21.34</v>
      </c>
      <c r="C1125">
        <v>545.5</v>
      </c>
      <c r="D1125">
        <v>22.625833329999999</v>
      </c>
      <c r="E1125">
        <v>18.31666667</v>
      </c>
      <c r="F1125">
        <v>26.92</v>
      </c>
      <c r="G1125">
        <v>2.0666666669999998</v>
      </c>
      <c r="H1125">
        <v>0.97166666700000004</v>
      </c>
      <c r="I1125">
        <v>2.92</v>
      </c>
      <c r="J1125">
        <v>5355.8241669999998</v>
      </c>
      <c r="K1125">
        <v>4899.7708329999996</v>
      </c>
      <c r="L1125">
        <v>6106</v>
      </c>
      <c r="M1125">
        <v>14.643333330000001</v>
      </c>
      <c r="N1125">
        <v>13.17</v>
      </c>
      <c r="O1125">
        <v>16.451666670000002</v>
      </c>
      <c r="Q1125" t="s">
        <v>376</v>
      </c>
      <c r="R1125" t="s">
        <v>10463</v>
      </c>
      <c r="S1125" t="s">
        <v>9058</v>
      </c>
      <c r="T1125" t="s">
        <v>9061</v>
      </c>
    </row>
    <row r="1126" spans="1:20" x14ac:dyDescent="0.25">
      <c r="A1126" t="s">
        <v>8720</v>
      </c>
      <c r="B1126">
        <v>-22.13</v>
      </c>
      <c r="C1126">
        <v>436</v>
      </c>
      <c r="D1126">
        <v>23.784166670000001</v>
      </c>
      <c r="E1126">
        <v>20.821666669999999</v>
      </c>
      <c r="F1126">
        <v>26.736666670000002</v>
      </c>
      <c r="G1126">
        <v>2.0375000000000001</v>
      </c>
      <c r="H1126">
        <v>1.2066666669999999</v>
      </c>
      <c r="I1126">
        <v>2.7916666669999999</v>
      </c>
      <c r="J1126">
        <v>4698.5941670000002</v>
      </c>
      <c r="K1126">
        <v>3995.875</v>
      </c>
      <c r="L1126">
        <v>5529.0416670000004</v>
      </c>
      <c r="M1126">
        <v>15.237500000000001</v>
      </c>
      <c r="N1126">
        <v>13.615</v>
      </c>
      <c r="O1126">
        <v>17.20333333</v>
      </c>
      <c r="Q1126" t="s">
        <v>376</v>
      </c>
      <c r="R1126" t="s">
        <v>10464</v>
      </c>
      <c r="S1126" t="s">
        <v>9065</v>
      </c>
      <c r="T1126" t="s">
        <v>9066</v>
      </c>
    </row>
    <row r="1127" spans="1:20" x14ac:dyDescent="0.25">
      <c r="A1127" t="s">
        <v>10465</v>
      </c>
      <c r="B1127">
        <v>-22.12</v>
      </c>
      <c r="C1127">
        <v>437.1</v>
      </c>
      <c r="D1127">
        <v>24.141666669999999</v>
      </c>
      <c r="E1127">
        <v>20.895</v>
      </c>
      <c r="F1127">
        <v>27.301666669999999</v>
      </c>
      <c r="G1127">
        <v>1.423333333</v>
      </c>
      <c r="H1127">
        <v>0.72499999999999998</v>
      </c>
      <c r="I1127">
        <v>1.9683333329999999</v>
      </c>
      <c r="J1127">
        <v>5351.9908329999998</v>
      </c>
      <c r="K1127">
        <v>4890.5833329999996</v>
      </c>
      <c r="L1127">
        <v>6109.3125</v>
      </c>
      <c r="M1127">
        <v>15.401666669999999</v>
      </c>
      <c r="N1127">
        <v>13.668333329999999</v>
      </c>
      <c r="O1127">
        <v>17.383333329999999</v>
      </c>
      <c r="Q1127" t="s">
        <v>376</v>
      </c>
      <c r="R1127" t="s">
        <v>10466</v>
      </c>
      <c r="S1127" t="s">
        <v>9058</v>
      </c>
      <c r="T1127" t="s">
        <v>9061</v>
      </c>
    </row>
    <row r="1128" spans="1:20" x14ac:dyDescent="0.25">
      <c r="A1128" t="s">
        <v>10467</v>
      </c>
      <c r="B1128">
        <v>-22.18</v>
      </c>
      <c r="C1128">
        <v>450.2</v>
      </c>
      <c r="D1128">
        <v>23.581666670000001</v>
      </c>
      <c r="E1128">
        <v>20.37083333</v>
      </c>
      <c r="F1128">
        <v>26.820833329999999</v>
      </c>
      <c r="G1128">
        <v>3.360833333</v>
      </c>
      <c r="H1128">
        <v>2.1916666669999998</v>
      </c>
      <c r="I1128">
        <v>4.4458333330000004</v>
      </c>
      <c r="J1128">
        <v>5472.0291669999997</v>
      </c>
      <c r="K1128">
        <v>4879.75</v>
      </c>
      <c r="L1128">
        <v>6264.9375</v>
      </c>
      <c r="M1128">
        <v>16.53083333</v>
      </c>
      <c r="N1128">
        <v>14.598333330000001</v>
      </c>
      <c r="O1128">
        <v>18.970833330000001</v>
      </c>
      <c r="Q1128" t="s">
        <v>376</v>
      </c>
      <c r="R1128" t="s">
        <v>10468</v>
      </c>
      <c r="S1128" t="s">
        <v>9058</v>
      </c>
      <c r="T1128" t="s">
        <v>9059</v>
      </c>
    </row>
    <row r="1129" spans="1:20" x14ac:dyDescent="0.25">
      <c r="A1129" t="s">
        <v>10469</v>
      </c>
      <c r="B1129">
        <v>-22.18</v>
      </c>
      <c r="C1129">
        <v>450.2</v>
      </c>
      <c r="D1129">
        <v>23.820833329999999</v>
      </c>
      <c r="E1129">
        <v>20.29</v>
      </c>
      <c r="F1129">
        <v>27.333333329999999</v>
      </c>
      <c r="G1129">
        <v>3.21</v>
      </c>
      <c r="H1129">
        <v>1.931666667</v>
      </c>
      <c r="I1129">
        <v>4.2833333329999999</v>
      </c>
      <c r="J1129">
        <v>5259.8649999999998</v>
      </c>
      <c r="K1129">
        <v>4824.5</v>
      </c>
      <c r="L1129">
        <v>6041.9583329999996</v>
      </c>
      <c r="M1129">
        <v>15.90833333</v>
      </c>
      <c r="N1129">
        <v>14</v>
      </c>
      <c r="O1129">
        <v>17.916666670000001</v>
      </c>
      <c r="Q1129" t="s">
        <v>376</v>
      </c>
      <c r="R1129" t="s">
        <v>10468</v>
      </c>
      <c r="S1129" t="s">
        <v>9058</v>
      </c>
      <c r="T1129" t="s">
        <v>9061</v>
      </c>
    </row>
    <row r="1130" spans="1:20" x14ac:dyDescent="0.25">
      <c r="A1130" t="s">
        <v>7819</v>
      </c>
      <c r="B1130">
        <v>-22.37</v>
      </c>
      <c r="C1130">
        <v>350</v>
      </c>
      <c r="D1130">
        <v>21.393333330000001</v>
      </c>
      <c r="E1130">
        <v>17.574999999999999</v>
      </c>
      <c r="F1130">
        <v>25.236666670000002</v>
      </c>
      <c r="G1130">
        <v>1.9258333329999999</v>
      </c>
      <c r="H1130">
        <v>0.46500000000000002</v>
      </c>
      <c r="I1130">
        <v>3.0183333330000002</v>
      </c>
      <c r="J1130">
        <v>4824.7725</v>
      </c>
      <c r="K1130">
        <v>4034.5625</v>
      </c>
      <c r="L1130">
        <v>5761.5208329999996</v>
      </c>
      <c r="M1130">
        <v>16.006666670000001</v>
      </c>
      <c r="N1130">
        <v>14.44166667</v>
      </c>
      <c r="O1130">
        <v>17.826666670000002</v>
      </c>
      <c r="Q1130" t="s">
        <v>376</v>
      </c>
      <c r="R1130" t="s">
        <v>10470</v>
      </c>
      <c r="S1130" t="s">
        <v>9065</v>
      </c>
      <c r="T1130" t="s">
        <v>9066</v>
      </c>
    </row>
    <row r="1131" spans="1:20" x14ac:dyDescent="0.25">
      <c r="A1131" t="s">
        <v>10471</v>
      </c>
      <c r="B1131">
        <v>-22.37</v>
      </c>
      <c r="C1131">
        <v>351.5</v>
      </c>
      <c r="D1131">
        <v>22.18</v>
      </c>
      <c r="E1131">
        <v>18.05</v>
      </c>
      <c r="F1131">
        <v>26.533333330000001</v>
      </c>
      <c r="G1131">
        <v>1.545833333</v>
      </c>
      <c r="H1131">
        <v>0.30833333299999999</v>
      </c>
      <c r="I1131">
        <v>2.4333333330000002</v>
      </c>
      <c r="J1131">
        <v>5302.665</v>
      </c>
      <c r="K1131">
        <v>4781.0833329999996</v>
      </c>
      <c r="L1131">
        <v>6029.375</v>
      </c>
      <c r="M1131">
        <v>16.170833330000001</v>
      </c>
      <c r="N1131">
        <v>14.595000000000001</v>
      </c>
      <c r="O1131">
        <v>18.043333329999999</v>
      </c>
      <c r="Q1131" t="s">
        <v>376</v>
      </c>
      <c r="R1131" t="s">
        <v>10470</v>
      </c>
      <c r="S1131" t="s">
        <v>9058</v>
      </c>
      <c r="T1131" t="s">
        <v>9061</v>
      </c>
    </row>
    <row r="1132" spans="1:20" x14ac:dyDescent="0.25">
      <c r="A1132" t="s">
        <v>10472</v>
      </c>
      <c r="B1132">
        <v>-21.13</v>
      </c>
      <c r="C1132">
        <v>549.20000000000005</v>
      </c>
      <c r="D1132">
        <v>23.881666670000001</v>
      </c>
      <c r="E1132">
        <v>20</v>
      </c>
      <c r="F1132">
        <v>27.666666670000001</v>
      </c>
      <c r="G1132">
        <v>2.3774999999999999</v>
      </c>
      <c r="H1132">
        <v>1.3</v>
      </c>
      <c r="I1132">
        <v>3.21</v>
      </c>
      <c r="J1132">
        <v>5274.2966669999996</v>
      </c>
      <c r="K1132">
        <v>4829.5833329999996</v>
      </c>
      <c r="L1132">
        <v>5997</v>
      </c>
      <c r="M1132">
        <v>17.02333333</v>
      </c>
      <c r="N1132">
        <v>15.625</v>
      </c>
      <c r="O1132">
        <v>18.833333329999999</v>
      </c>
      <c r="Q1132" t="s">
        <v>376</v>
      </c>
      <c r="R1132" t="s">
        <v>10473</v>
      </c>
      <c r="S1132" t="s">
        <v>9058</v>
      </c>
      <c r="T1132" t="s">
        <v>9059</v>
      </c>
    </row>
    <row r="1133" spans="1:20" x14ac:dyDescent="0.25">
      <c r="A1133" t="s">
        <v>10474</v>
      </c>
      <c r="B1133">
        <v>-21.13</v>
      </c>
      <c r="C1133">
        <v>549.20000000000005</v>
      </c>
      <c r="D1133">
        <v>23.74</v>
      </c>
      <c r="E1133">
        <v>19.862500000000001</v>
      </c>
      <c r="F1133">
        <v>27.541666670000001</v>
      </c>
      <c r="G1133">
        <v>2.4975000000000001</v>
      </c>
      <c r="H1133">
        <v>1.5416666670000001</v>
      </c>
      <c r="I1133">
        <v>3.4333333330000002</v>
      </c>
      <c r="J1133">
        <v>5280.9333329999999</v>
      </c>
      <c r="K1133">
        <v>4794.5208329999996</v>
      </c>
      <c r="L1133">
        <v>6079.9583329999996</v>
      </c>
      <c r="M1133">
        <v>16.022500000000001</v>
      </c>
      <c r="N1133">
        <v>14.612500000000001</v>
      </c>
      <c r="O1133">
        <v>18</v>
      </c>
      <c r="Q1133" t="s">
        <v>376</v>
      </c>
      <c r="R1133" t="s">
        <v>10473</v>
      </c>
      <c r="S1133" t="s">
        <v>9058</v>
      </c>
      <c r="T1133" t="s">
        <v>9061</v>
      </c>
    </row>
    <row r="1134" spans="1:20" x14ac:dyDescent="0.25">
      <c r="A1134" t="s">
        <v>10475</v>
      </c>
      <c r="B1134">
        <v>-23.93</v>
      </c>
      <c r="C1134">
        <v>3</v>
      </c>
      <c r="D1134">
        <v>22.0975</v>
      </c>
      <c r="E1134">
        <v>19.285</v>
      </c>
      <c r="F1134">
        <v>24.594999999999999</v>
      </c>
      <c r="G1134">
        <v>1.9524999999999999</v>
      </c>
      <c r="H1134">
        <v>0.41499999999999998</v>
      </c>
      <c r="I1134">
        <v>3.1583333329999999</v>
      </c>
      <c r="J1134">
        <v>4606.1458329999996</v>
      </c>
      <c r="K1134">
        <v>3677.1875</v>
      </c>
      <c r="L1134">
        <v>5598.6875</v>
      </c>
      <c r="M1134">
        <v>18.654166669999999</v>
      </c>
      <c r="N1134">
        <v>16.971666670000001</v>
      </c>
      <c r="O1134">
        <v>20.61</v>
      </c>
      <c r="Q1134" t="s">
        <v>376</v>
      </c>
      <c r="R1134" t="s">
        <v>10476</v>
      </c>
      <c r="S1134" t="s">
        <v>9058</v>
      </c>
      <c r="T1134" t="s">
        <v>9059</v>
      </c>
    </row>
    <row r="1135" spans="1:20" x14ac:dyDescent="0.25">
      <c r="A1135" t="s">
        <v>10477</v>
      </c>
      <c r="B1135">
        <v>-23.93</v>
      </c>
      <c r="C1135">
        <v>3</v>
      </c>
      <c r="D1135">
        <v>22.5275</v>
      </c>
      <c r="E1135">
        <v>20.24583333</v>
      </c>
      <c r="F1135">
        <v>24.487500000000001</v>
      </c>
      <c r="G1135">
        <v>2.079166667</v>
      </c>
      <c r="H1135">
        <v>0.72499999999999998</v>
      </c>
      <c r="I1135">
        <v>3</v>
      </c>
      <c r="J1135">
        <v>4738.6824999999999</v>
      </c>
      <c r="K1135">
        <v>4019.625</v>
      </c>
      <c r="L1135">
        <v>5701.875</v>
      </c>
      <c r="M1135">
        <v>19.317499999999999</v>
      </c>
      <c r="N1135">
        <v>18.065000000000001</v>
      </c>
      <c r="O1135">
        <v>20.791666670000001</v>
      </c>
      <c r="Q1135" t="s">
        <v>376</v>
      </c>
      <c r="R1135" t="s">
        <v>10476</v>
      </c>
      <c r="S1135" t="s">
        <v>9058</v>
      </c>
      <c r="T1135" t="s">
        <v>9061</v>
      </c>
    </row>
    <row r="1136" spans="1:20" x14ac:dyDescent="0.25">
      <c r="A1136" t="s">
        <v>8728</v>
      </c>
      <c r="B1136">
        <v>-22.02</v>
      </c>
      <c r="C1136">
        <v>863</v>
      </c>
      <c r="D1136">
        <v>20.299166670000002</v>
      </c>
      <c r="E1136">
        <v>17.137499999999999</v>
      </c>
      <c r="F1136">
        <v>23.28833333</v>
      </c>
      <c r="G1136">
        <v>2.2941666669999998</v>
      </c>
      <c r="H1136">
        <v>1.454166667</v>
      </c>
      <c r="I1136">
        <v>3.0750000000000002</v>
      </c>
      <c r="J1136">
        <v>4651.2633329999999</v>
      </c>
      <c r="K1136">
        <v>4042.9375</v>
      </c>
      <c r="L1136">
        <v>5500.2708329999996</v>
      </c>
      <c r="M1136">
        <v>14.2225</v>
      </c>
      <c r="N1136">
        <v>12.81666667</v>
      </c>
      <c r="O1136">
        <v>15.85166667</v>
      </c>
      <c r="Q1136" t="s">
        <v>376</v>
      </c>
      <c r="R1136" t="s">
        <v>10478</v>
      </c>
      <c r="S1136" t="s">
        <v>9065</v>
      </c>
      <c r="T1136" t="s">
        <v>9066</v>
      </c>
    </row>
    <row r="1137" spans="1:20" x14ac:dyDescent="0.25">
      <c r="A1137" t="s">
        <v>10479</v>
      </c>
      <c r="B1137">
        <v>-21.98</v>
      </c>
      <c r="C1137">
        <v>864.5</v>
      </c>
      <c r="D1137">
        <v>21.35</v>
      </c>
      <c r="E1137">
        <v>18.53916667</v>
      </c>
      <c r="F1137">
        <v>24.145</v>
      </c>
      <c r="G1137">
        <v>2.4058333329999999</v>
      </c>
      <c r="H1137">
        <v>1.598333333</v>
      </c>
      <c r="I1137">
        <v>3.0666666669999998</v>
      </c>
      <c r="J1137">
        <v>5611.13</v>
      </c>
      <c r="K1137">
        <v>5250.7916670000004</v>
      </c>
      <c r="L1137">
        <v>6186.8125</v>
      </c>
      <c r="M1137">
        <v>15.545833330000001</v>
      </c>
      <c r="N1137">
        <v>14.331666670000001</v>
      </c>
      <c r="O1137">
        <v>16.916666670000001</v>
      </c>
      <c r="Q1137" t="s">
        <v>376</v>
      </c>
      <c r="R1137" t="s">
        <v>10478</v>
      </c>
      <c r="S1137" t="s">
        <v>9058</v>
      </c>
      <c r="T1137" t="s">
        <v>9059</v>
      </c>
    </row>
    <row r="1138" spans="1:20" x14ac:dyDescent="0.25">
      <c r="A1138" t="s">
        <v>10480</v>
      </c>
      <c r="B1138">
        <v>-21.98</v>
      </c>
      <c r="C1138">
        <v>864.5</v>
      </c>
      <c r="D1138">
        <v>21.84416667</v>
      </c>
      <c r="E1138">
        <v>18.633333329999999</v>
      </c>
      <c r="F1138">
        <v>24.914999999999999</v>
      </c>
      <c r="G1138">
        <v>1.7691666669999999</v>
      </c>
      <c r="H1138">
        <v>0.86333333300000004</v>
      </c>
      <c r="I1138">
        <v>2.56</v>
      </c>
      <c r="J1138">
        <v>5296.0033329999997</v>
      </c>
      <c r="K1138">
        <v>4821.5833329999996</v>
      </c>
      <c r="L1138">
        <v>6072.5625</v>
      </c>
      <c r="M1138">
        <v>14.62166667</v>
      </c>
      <c r="N1138">
        <v>13.17333333</v>
      </c>
      <c r="O1138">
        <v>16.340833329999999</v>
      </c>
      <c r="Q1138" t="s">
        <v>376</v>
      </c>
      <c r="R1138" t="s">
        <v>10478</v>
      </c>
      <c r="S1138" t="s">
        <v>9058</v>
      </c>
      <c r="T1138" t="s">
        <v>9061</v>
      </c>
    </row>
    <row r="1139" spans="1:20" x14ac:dyDescent="0.25">
      <c r="A1139" t="s">
        <v>10481</v>
      </c>
      <c r="B1139">
        <v>-23.22</v>
      </c>
      <c r="C1139">
        <v>646</v>
      </c>
      <c r="D1139">
        <v>20.929166670000001</v>
      </c>
      <c r="E1139">
        <v>18.15666667</v>
      </c>
      <c r="F1139">
        <v>23.416666670000001</v>
      </c>
      <c r="G1139">
        <v>2.0641666669999998</v>
      </c>
      <c r="H1139">
        <v>0.65833333299999997</v>
      </c>
      <c r="I1139">
        <v>2.9750000000000001</v>
      </c>
      <c r="J1139">
        <v>4894.3941670000004</v>
      </c>
      <c r="K1139">
        <v>3828.041667</v>
      </c>
      <c r="L1139">
        <v>5907.0208329999996</v>
      </c>
      <c r="M1139">
        <v>15.7875</v>
      </c>
      <c r="N1139">
        <v>14.66666667</v>
      </c>
      <c r="O1139">
        <v>17.25</v>
      </c>
      <c r="Q1139" t="s">
        <v>376</v>
      </c>
      <c r="R1139" t="s">
        <v>10482</v>
      </c>
      <c r="S1139" t="s">
        <v>9058</v>
      </c>
      <c r="T1139" t="s">
        <v>9059</v>
      </c>
    </row>
    <row r="1140" spans="1:20" x14ac:dyDescent="0.25">
      <c r="A1140" t="s">
        <v>10483</v>
      </c>
      <c r="B1140">
        <v>-23.22</v>
      </c>
      <c r="C1140">
        <v>646</v>
      </c>
      <c r="D1140">
        <v>20.888333329999998</v>
      </c>
      <c r="E1140">
        <v>17.833333329999999</v>
      </c>
      <c r="F1140">
        <v>23.5</v>
      </c>
      <c r="G1140">
        <v>2.0508333329999999</v>
      </c>
      <c r="H1140">
        <v>0.58333333300000001</v>
      </c>
      <c r="I1140">
        <v>2.9750000000000001</v>
      </c>
      <c r="J1140">
        <v>4616.9775</v>
      </c>
      <c r="K1140">
        <v>3722.458333</v>
      </c>
      <c r="L1140">
        <v>5625.4166670000004</v>
      </c>
      <c r="M1140">
        <v>15.47666667</v>
      </c>
      <c r="N1140">
        <v>14.115</v>
      </c>
      <c r="O1140">
        <v>17.215</v>
      </c>
      <c r="Q1140" t="s">
        <v>376</v>
      </c>
      <c r="R1140" t="s">
        <v>10482</v>
      </c>
      <c r="S1140" t="s">
        <v>9058</v>
      </c>
      <c r="T1140" t="s">
        <v>9061</v>
      </c>
    </row>
    <row r="1141" spans="1:20" x14ac:dyDescent="0.25">
      <c r="A1141" t="s">
        <v>8759</v>
      </c>
      <c r="B1141">
        <v>-23.23</v>
      </c>
      <c r="C1141">
        <v>874</v>
      </c>
      <c r="D1141">
        <v>19.73</v>
      </c>
      <c r="E1141">
        <v>16.765000000000001</v>
      </c>
      <c r="F1141">
        <v>22.596666670000001</v>
      </c>
      <c r="G1141">
        <v>1.5275000000000001</v>
      </c>
      <c r="H1141">
        <v>0.38166666700000001</v>
      </c>
      <c r="I1141">
        <v>2.35</v>
      </c>
      <c r="J1141">
        <v>4826.4383330000001</v>
      </c>
      <c r="K1141">
        <v>3694.9375</v>
      </c>
      <c r="L1141">
        <v>6043.6041670000004</v>
      </c>
      <c r="M1141">
        <v>15.48416667</v>
      </c>
      <c r="N1141">
        <v>13.84</v>
      </c>
      <c r="O1141">
        <v>17.22666667</v>
      </c>
      <c r="Q1141" t="s">
        <v>376</v>
      </c>
      <c r="R1141" t="s">
        <v>10484</v>
      </c>
      <c r="S1141" t="s">
        <v>9065</v>
      </c>
      <c r="T1141" t="s">
        <v>9066</v>
      </c>
    </row>
    <row r="1142" spans="1:20" x14ac:dyDescent="0.25">
      <c r="A1142" t="s">
        <v>10485</v>
      </c>
      <c r="B1142">
        <v>-23.85</v>
      </c>
      <c r="C1142">
        <v>645.5</v>
      </c>
      <c r="D1142">
        <v>19.684999999999999</v>
      </c>
      <c r="E1142">
        <v>16.864999999999998</v>
      </c>
      <c r="F1142">
        <v>22.08666667</v>
      </c>
      <c r="G1142">
        <v>2.4550000000000001</v>
      </c>
      <c r="H1142">
        <v>1.213333333</v>
      </c>
      <c r="I1142">
        <v>3.536666667</v>
      </c>
      <c r="J1142">
        <v>4537.6833329999999</v>
      </c>
      <c r="K1142">
        <v>3561.75</v>
      </c>
      <c r="L1142">
        <v>5541.5625</v>
      </c>
      <c r="M1142">
        <v>16.057500000000001</v>
      </c>
      <c r="N1142">
        <v>14.741666670000001</v>
      </c>
      <c r="O1142">
        <v>17.635000000000002</v>
      </c>
      <c r="Q1142" t="s">
        <v>376</v>
      </c>
      <c r="R1142" t="s">
        <v>10486</v>
      </c>
      <c r="S1142" t="s">
        <v>9058</v>
      </c>
      <c r="T1142" t="s">
        <v>9061</v>
      </c>
    </row>
    <row r="1143" spans="1:20" x14ac:dyDescent="0.25">
      <c r="A1143" t="s">
        <v>10487</v>
      </c>
      <c r="B1143">
        <v>-23.51</v>
      </c>
      <c r="C1143">
        <v>721.8</v>
      </c>
      <c r="D1143">
        <v>20.679166670000001</v>
      </c>
      <c r="E1143">
        <v>17.856666669999999</v>
      </c>
      <c r="F1143">
        <v>23.266666669999999</v>
      </c>
      <c r="G1143">
        <v>2.7124999999999999</v>
      </c>
      <c r="H1143">
        <v>1.5</v>
      </c>
      <c r="I1143">
        <v>3.7183333329999999</v>
      </c>
      <c r="J1143">
        <v>4710.8166670000001</v>
      </c>
      <c r="K1143">
        <v>3839.333333</v>
      </c>
      <c r="L1143">
        <v>5705.1666670000004</v>
      </c>
      <c r="M1143">
        <v>15.14083333</v>
      </c>
      <c r="N1143">
        <v>13.820833329999999</v>
      </c>
      <c r="O1143">
        <v>16.704166669999999</v>
      </c>
      <c r="Q1143" t="s">
        <v>376</v>
      </c>
      <c r="R1143" t="s">
        <v>10488</v>
      </c>
      <c r="S1143" t="s">
        <v>9058</v>
      </c>
      <c r="T1143" t="s">
        <v>9061</v>
      </c>
    </row>
    <row r="1144" spans="1:20" x14ac:dyDescent="0.25">
      <c r="A1144" t="s">
        <v>10489</v>
      </c>
      <c r="B1144">
        <v>-23.63</v>
      </c>
      <c r="C1144">
        <v>801.9</v>
      </c>
      <c r="D1144">
        <v>20.172499999999999</v>
      </c>
      <c r="E1144">
        <v>17.515000000000001</v>
      </c>
      <c r="F1144">
        <v>22.314166669999999</v>
      </c>
      <c r="G1144">
        <v>3.264166667</v>
      </c>
      <c r="H1144">
        <v>1.9650000000000001</v>
      </c>
      <c r="I1144">
        <v>4.391666667</v>
      </c>
      <c r="J1144">
        <v>4554.0349999999999</v>
      </c>
      <c r="K1144">
        <v>3413.270833</v>
      </c>
      <c r="L1144">
        <v>5642.75</v>
      </c>
      <c r="M1144">
        <v>14.89083333</v>
      </c>
      <c r="N1144">
        <v>13.54166667</v>
      </c>
      <c r="O1144">
        <v>16.666666670000001</v>
      </c>
      <c r="Q1144" t="s">
        <v>376</v>
      </c>
      <c r="R1144" t="s">
        <v>10490</v>
      </c>
      <c r="S1144" t="s">
        <v>9058</v>
      </c>
      <c r="T1144" t="s">
        <v>9059</v>
      </c>
    </row>
    <row r="1145" spans="1:20" x14ac:dyDescent="0.25">
      <c r="A1145" t="s">
        <v>10491</v>
      </c>
      <c r="B1145">
        <v>-23.63</v>
      </c>
      <c r="C1145">
        <v>801.9</v>
      </c>
      <c r="D1145">
        <v>20.389166670000002</v>
      </c>
      <c r="E1145">
        <v>17.67166667</v>
      </c>
      <c r="F1145">
        <v>22.554166670000001</v>
      </c>
      <c r="G1145">
        <v>3.3208333329999999</v>
      </c>
      <c r="H1145">
        <v>2.0750000000000002</v>
      </c>
      <c r="I1145">
        <v>4.41</v>
      </c>
      <c r="J1145">
        <v>4625.6166670000002</v>
      </c>
      <c r="K1145">
        <v>3795.270833</v>
      </c>
      <c r="L1145">
        <v>5627.9583329999996</v>
      </c>
      <c r="M1145">
        <v>14.355</v>
      </c>
      <c r="N1145">
        <v>12.991666670000001</v>
      </c>
      <c r="O1145">
        <v>16.09333333</v>
      </c>
      <c r="Q1145" t="s">
        <v>376</v>
      </c>
      <c r="R1145" t="s">
        <v>10490</v>
      </c>
      <c r="S1145" t="s">
        <v>9058</v>
      </c>
      <c r="T1145" t="s">
        <v>9061</v>
      </c>
    </row>
    <row r="1146" spans="1:20" x14ac:dyDescent="0.25">
      <c r="A1146" t="s">
        <v>10492</v>
      </c>
      <c r="B1146">
        <v>-23.43</v>
      </c>
      <c r="C1146">
        <v>749.5</v>
      </c>
      <c r="D1146">
        <v>19.918333329999999</v>
      </c>
      <c r="E1146">
        <v>17.145833329999999</v>
      </c>
      <c r="F1146">
        <v>22.083333329999999</v>
      </c>
      <c r="G1146">
        <v>2.5575000000000001</v>
      </c>
      <c r="H1146">
        <v>1.4650000000000001</v>
      </c>
      <c r="I1146">
        <v>3.45</v>
      </c>
      <c r="J1146">
        <v>4526.8241669999998</v>
      </c>
      <c r="K1146">
        <v>3645.75</v>
      </c>
      <c r="L1146">
        <v>5578.9583329999996</v>
      </c>
      <c r="M1146">
        <v>16.305833329999999</v>
      </c>
      <c r="N1146">
        <v>15</v>
      </c>
      <c r="O1146">
        <v>17.71</v>
      </c>
      <c r="Q1146" t="s">
        <v>376</v>
      </c>
      <c r="R1146" t="s">
        <v>10493</v>
      </c>
      <c r="S1146" t="s">
        <v>9058</v>
      </c>
      <c r="T1146" t="s">
        <v>9059</v>
      </c>
    </row>
    <row r="1147" spans="1:20" x14ac:dyDescent="0.25">
      <c r="A1147" t="s">
        <v>10494</v>
      </c>
      <c r="B1147">
        <v>-23.43</v>
      </c>
      <c r="C1147">
        <v>749.5</v>
      </c>
      <c r="D1147">
        <v>19.987500000000001</v>
      </c>
      <c r="E1147">
        <v>17.035</v>
      </c>
      <c r="F1147">
        <v>22.354166670000001</v>
      </c>
      <c r="G1147">
        <v>2.5125000000000002</v>
      </c>
      <c r="H1147">
        <v>1.4350000000000001</v>
      </c>
      <c r="I1147">
        <v>3.4750000000000001</v>
      </c>
      <c r="J1147">
        <v>4672.3149999999996</v>
      </c>
      <c r="K1147">
        <v>3701.145833</v>
      </c>
      <c r="L1147">
        <v>5721.4375</v>
      </c>
      <c r="M1147">
        <v>15.86333333</v>
      </c>
      <c r="N1147">
        <v>14.47916667</v>
      </c>
      <c r="O1147">
        <v>17.426666669999999</v>
      </c>
      <c r="Q1147" t="s">
        <v>376</v>
      </c>
      <c r="R1147" t="s">
        <v>10493</v>
      </c>
      <c r="S1147" t="s">
        <v>9058</v>
      </c>
      <c r="T1147" t="s">
        <v>9061</v>
      </c>
    </row>
    <row r="1148" spans="1:20" x14ac:dyDescent="0.25">
      <c r="A1148" t="s">
        <v>8735</v>
      </c>
      <c r="B1148">
        <v>-23.85</v>
      </c>
      <c r="C1148">
        <v>792</v>
      </c>
      <c r="D1148">
        <v>19.5825</v>
      </c>
      <c r="E1148">
        <v>16.881666670000001</v>
      </c>
      <c r="F1148">
        <v>21.83</v>
      </c>
      <c r="G1148">
        <v>2.0866666669999998</v>
      </c>
      <c r="H1148">
        <v>1.2</v>
      </c>
      <c r="I1148">
        <v>2.8333333330000001</v>
      </c>
      <c r="J1148">
        <v>4024.9516669999998</v>
      </c>
      <c r="K1148">
        <v>2944.229167</v>
      </c>
      <c r="L1148">
        <v>5345.75</v>
      </c>
      <c r="M1148">
        <v>13.873333329999999</v>
      </c>
      <c r="N1148">
        <v>12.565</v>
      </c>
      <c r="O1148">
        <v>15.426666669999999</v>
      </c>
      <c r="Q1148" t="s">
        <v>376</v>
      </c>
      <c r="R1148" t="s">
        <v>10495</v>
      </c>
      <c r="S1148" t="s">
        <v>9065</v>
      </c>
      <c r="T1148" t="s">
        <v>9066</v>
      </c>
    </row>
    <row r="1149" spans="1:20" x14ac:dyDescent="0.25">
      <c r="A1149" t="s">
        <v>10496</v>
      </c>
      <c r="B1149">
        <v>-23.5</v>
      </c>
      <c r="C1149">
        <v>793.6</v>
      </c>
      <c r="D1149">
        <v>20.26166667</v>
      </c>
      <c r="E1149">
        <v>17.440000000000001</v>
      </c>
      <c r="F1149">
        <v>22.68333333</v>
      </c>
      <c r="G1149">
        <v>2.2233333329999998</v>
      </c>
      <c r="H1149">
        <v>1.375</v>
      </c>
      <c r="I1149">
        <v>2.9016666670000002</v>
      </c>
      <c r="J1149">
        <v>4815.6741670000001</v>
      </c>
      <c r="K1149">
        <v>4157.5</v>
      </c>
      <c r="L1149">
        <v>5737.6041670000004</v>
      </c>
      <c r="M1149">
        <v>14.73583333</v>
      </c>
      <c r="N1149">
        <v>13.52333333</v>
      </c>
      <c r="O1149">
        <v>16.383333329999999</v>
      </c>
      <c r="Q1149" t="s">
        <v>376</v>
      </c>
      <c r="R1149" t="s">
        <v>10497</v>
      </c>
      <c r="S1149" t="s">
        <v>9058</v>
      </c>
      <c r="T1149" t="s">
        <v>9061</v>
      </c>
    </row>
    <row r="1150" spans="1:20" x14ac:dyDescent="0.25">
      <c r="A1150" t="s">
        <v>8718</v>
      </c>
      <c r="B1150">
        <v>-23.5</v>
      </c>
      <c r="C1150">
        <v>609</v>
      </c>
      <c r="D1150">
        <v>20.454999999999998</v>
      </c>
      <c r="E1150">
        <v>17.39833333</v>
      </c>
      <c r="F1150">
        <v>23.51</v>
      </c>
      <c r="G1150">
        <v>2.5308333329999999</v>
      </c>
      <c r="H1150">
        <v>1.4466666669999999</v>
      </c>
      <c r="I1150">
        <v>3.4550000000000001</v>
      </c>
      <c r="J1150">
        <v>4835.3675000000003</v>
      </c>
      <c r="K1150">
        <v>4042.75</v>
      </c>
      <c r="L1150">
        <v>5790.0208329999996</v>
      </c>
      <c r="M1150">
        <v>15.494999999999999</v>
      </c>
      <c r="N1150">
        <v>14.08</v>
      </c>
      <c r="O1150">
        <v>17.286666669999999</v>
      </c>
      <c r="Q1150" t="s">
        <v>376</v>
      </c>
      <c r="R1150" t="s">
        <v>10498</v>
      </c>
      <c r="S1150" t="s">
        <v>9065</v>
      </c>
      <c r="T1150" t="s">
        <v>9066</v>
      </c>
    </row>
    <row r="1151" spans="1:20" x14ac:dyDescent="0.25">
      <c r="A1151" t="s">
        <v>10499</v>
      </c>
      <c r="B1151">
        <v>-23.43</v>
      </c>
      <c r="C1151">
        <v>610.5</v>
      </c>
      <c r="D1151">
        <v>21.20333333</v>
      </c>
      <c r="E1151">
        <v>18.10916667</v>
      </c>
      <c r="F1151">
        <v>24.1525</v>
      </c>
      <c r="G1151">
        <v>2.5416666669999999</v>
      </c>
      <c r="H1151">
        <v>1.481666667</v>
      </c>
      <c r="I1151">
        <v>3.4416666669999998</v>
      </c>
      <c r="J1151">
        <v>5141.3450000000003</v>
      </c>
      <c r="K1151">
        <v>4490.5208329999996</v>
      </c>
      <c r="L1151">
        <v>5988.1041670000004</v>
      </c>
      <c r="M1151">
        <v>15.565</v>
      </c>
      <c r="N1151">
        <v>13.955</v>
      </c>
      <c r="O1151">
        <v>17.37</v>
      </c>
      <c r="Q1151" t="s">
        <v>376</v>
      </c>
      <c r="R1151" t="s">
        <v>10500</v>
      </c>
      <c r="S1151" t="s">
        <v>9058</v>
      </c>
      <c r="T1151" t="s">
        <v>9061</v>
      </c>
    </row>
    <row r="1152" spans="1:20" x14ac:dyDescent="0.25">
      <c r="A1152" t="s">
        <v>8748</v>
      </c>
      <c r="B1152">
        <v>-23.03</v>
      </c>
      <c r="C1152">
        <v>571</v>
      </c>
      <c r="D1152">
        <v>20.728333330000002</v>
      </c>
      <c r="E1152">
        <v>17.53833333</v>
      </c>
      <c r="F1152">
        <v>23.591666669999999</v>
      </c>
      <c r="G1152">
        <v>1.9366666669999999</v>
      </c>
      <c r="H1152">
        <v>0.92500000000000004</v>
      </c>
      <c r="I1152">
        <v>2.6783333329999999</v>
      </c>
      <c r="J1152">
        <v>4823.625</v>
      </c>
      <c r="K1152">
        <v>4036.229167</v>
      </c>
      <c r="L1152">
        <v>5865.0416670000004</v>
      </c>
      <c r="M1152">
        <v>15.7225</v>
      </c>
      <c r="N1152">
        <v>14.438333330000001</v>
      </c>
      <c r="O1152">
        <v>17.295833330000001</v>
      </c>
      <c r="Q1152" t="s">
        <v>376</v>
      </c>
      <c r="R1152" t="s">
        <v>10501</v>
      </c>
      <c r="S1152" t="s">
        <v>9065</v>
      </c>
      <c r="T1152" t="s">
        <v>9066</v>
      </c>
    </row>
    <row r="1153" spans="1:20" x14ac:dyDescent="0.25">
      <c r="A1153" t="s">
        <v>10502</v>
      </c>
      <c r="B1153">
        <v>-23.04</v>
      </c>
      <c r="C1153">
        <v>572.5</v>
      </c>
      <c r="D1153">
        <v>20.93333333</v>
      </c>
      <c r="E1153">
        <v>17.68333333</v>
      </c>
      <c r="F1153">
        <v>23.991666670000001</v>
      </c>
      <c r="G1153">
        <v>1.61</v>
      </c>
      <c r="H1153">
        <v>0.50666666699999996</v>
      </c>
      <c r="I1153">
        <v>2.4016666670000002</v>
      </c>
      <c r="J1153">
        <v>5068.334167</v>
      </c>
      <c r="K1153">
        <v>4274.0416670000004</v>
      </c>
      <c r="L1153">
        <v>6010.5625</v>
      </c>
      <c r="M1153">
        <v>16.3675</v>
      </c>
      <c r="N1153">
        <v>14.90833333</v>
      </c>
      <c r="O1153">
        <v>17.916666670000001</v>
      </c>
      <c r="Q1153" t="s">
        <v>376</v>
      </c>
      <c r="R1153" t="s">
        <v>10503</v>
      </c>
      <c r="S1153" t="s">
        <v>9058</v>
      </c>
      <c r="T1153" t="s">
        <v>9059</v>
      </c>
    </row>
    <row r="1154" spans="1:20" x14ac:dyDescent="0.25">
      <c r="A1154" t="s">
        <v>10504</v>
      </c>
      <c r="B1154">
        <v>-23.04</v>
      </c>
      <c r="C1154">
        <v>572.5</v>
      </c>
      <c r="D1154">
        <v>20.874166670000001</v>
      </c>
      <c r="E1154">
        <v>17.608333330000001</v>
      </c>
      <c r="F1154">
        <v>23.708333329999999</v>
      </c>
      <c r="G1154">
        <v>1.5249999999999999</v>
      </c>
      <c r="H1154">
        <v>0.52500000000000002</v>
      </c>
      <c r="I1154">
        <v>2.1916666669999998</v>
      </c>
      <c r="J1154">
        <v>4701.04</v>
      </c>
      <c r="K1154">
        <v>3858.25</v>
      </c>
      <c r="L1154">
        <v>5700.0833329999996</v>
      </c>
      <c r="M1154">
        <v>15.831666670000001</v>
      </c>
      <c r="N1154">
        <v>14.573333330000001</v>
      </c>
      <c r="O1154">
        <v>17.358333330000001</v>
      </c>
      <c r="Q1154" t="s">
        <v>376</v>
      </c>
      <c r="R1154" t="s">
        <v>10503</v>
      </c>
      <c r="S1154" t="s">
        <v>9058</v>
      </c>
      <c r="T1154" t="s">
        <v>9061</v>
      </c>
    </row>
    <row r="1155" spans="1:20" x14ac:dyDescent="0.25">
      <c r="A1155" t="s">
        <v>10505</v>
      </c>
      <c r="B1155">
        <v>-15.36</v>
      </c>
      <c r="C1155">
        <v>6.1</v>
      </c>
      <c r="D1155">
        <v>25.769166670000001</v>
      </c>
      <c r="E1155">
        <v>23.948333330000001</v>
      </c>
      <c r="F1155">
        <v>28.168333329999999</v>
      </c>
      <c r="G1155">
        <v>2.9241666670000002</v>
      </c>
      <c r="H1155">
        <v>2.1916666669999998</v>
      </c>
      <c r="I1155">
        <v>3.548333333</v>
      </c>
      <c r="J1155">
        <v>5546.3249999999998</v>
      </c>
      <c r="K1155">
        <v>4904.0833329999996</v>
      </c>
      <c r="L1155">
        <v>6503.1041670000004</v>
      </c>
      <c r="M1155">
        <v>21.9</v>
      </c>
      <c r="N1155">
        <v>20.896666669999998</v>
      </c>
      <c r="O1155">
        <v>23.22666667</v>
      </c>
      <c r="Q1155" t="s">
        <v>376</v>
      </c>
      <c r="R1155" t="s">
        <v>10506</v>
      </c>
      <c r="S1155" t="s">
        <v>9058</v>
      </c>
      <c r="T1155" t="s">
        <v>9059</v>
      </c>
    </row>
    <row r="1156" spans="1:20" x14ac:dyDescent="0.25">
      <c r="A1156" t="s">
        <v>10507</v>
      </c>
      <c r="B1156">
        <v>-15.36</v>
      </c>
      <c r="C1156">
        <v>6.1</v>
      </c>
      <c r="D1156">
        <v>25.294166669999999</v>
      </c>
      <c r="E1156">
        <v>23.303333330000001</v>
      </c>
      <c r="F1156">
        <v>27.368333329999999</v>
      </c>
      <c r="G1156">
        <v>3.2475000000000001</v>
      </c>
      <c r="H1156">
        <v>2.3816666670000002</v>
      </c>
      <c r="I1156">
        <v>4.0183333330000002</v>
      </c>
      <c r="J1156">
        <v>5252.5524999999998</v>
      </c>
      <c r="K1156">
        <v>4873.8541670000004</v>
      </c>
      <c r="L1156">
        <v>5881.5</v>
      </c>
      <c r="M1156">
        <v>21.978333330000002</v>
      </c>
      <c r="N1156">
        <v>21.06666667</v>
      </c>
      <c r="O1156">
        <v>22.943333330000002</v>
      </c>
      <c r="Q1156" t="s">
        <v>376</v>
      </c>
      <c r="R1156" t="s">
        <v>10506</v>
      </c>
      <c r="S1156" t="s">
        <v>9058</v>
      </c>
      <c r="T1156" t="s">
        <v>9061</v>
      </c>
    </row>
    <row r="1157" spans="1:20" x14ac:dyDescent="0.25">
      <c r="A1157" t="s">
        <v>8709</v>
      </c>
      <c r="B1157">
        <v>-21.32</v>
      </c>
      <c r="C1157">
        <v>374</v>
      </c>
      <c r="D1157">
        <v>23.314166669999999</v>
      </c>
      <c r="E1157">
        <v>19.79</v>
      </c>
      <c r="F1157">
        <v>26.696666669999999</v>
      </c>
      <c r="G1157">
        <v>2.5099999999999998</v>
      </c>
      <c r="H1157">
        <v>1.2066666669999999</v>
      </c>
      <c r="I1157">
        <v>3.608333333</v>
      </c>
      <c r="J1157">
        <v>4899.5683330000002</v>
      </c>
      <c r="K1157">
        <v>4148.3333329999996</v>
      </c>
      <c r="L1157">
        <v>5764.1041670000004</v>
      </c>
      <c r="M1157">
        <v>16.047499999999999</v>
      </c>
      <c r="N1157">
        <v>14.581666670000001</v>
      </c>
      <c r="O1157">
        <v>17.783333330000001</v>
      </c>
      <c r="Q1157" t="s">
        <v>376</v>
      </c>
      <c r="R1157" t="s">
        <v>10508</v>
      </c>
      <c r="S1157" t="s">
        <v>9065</v>
      </c>
      <c r="T1157" t="s">
        <v>9066</v>
      </c>
    </row>
    <row r="1158" spans="1:20" x14ac:dyDescent="0.25">
      <c r="A1158" t="s">
        <v>10509</v>
      </c>
      <c r="B1158">
        <v>-21.32</v>
      </c>
      <c r="C1158">
        <v>375.5</v>
      </c>
      <c r="D1158">
        <v>24.05833333</v>
      </c>
      <c r="E1158">
        <v>20.276666670000001</v>
      </c>
      <c r="F1158">
        <v>27.909166670000001</v>
      </c>
      <c r="G1158">
        <v>1.9791666670000001</v>
      </c>
      <c r="H1158">
        <v>0.72333333300000002</v>
      </c>
      <c r="I1158">
        <v>2.9916666670000001</v>
      </c>
      <c r="J1158">
        <v>5388.6016669999999</v>
      </c>
      <c r="K1158">
        <v>4938.6875</v>
      </c>
      <c r="L1158">
        <v>6119.9583329999996</v>
      </c>
      <c r="M1158">
        <v>16.354166670000001</v>
      </c>
      <c r="N1158">
        <v>14.85333333</v>
      </c>
      <c r="O1158">
        <v>18.252500000000001</v>
      </c>
      <c r="Q1158" t="s">
        <v>376</v>
      </c>
      <c r="R1158" t="s">
        <v>10508</v>
      </c>
      <c r="S1158" t="s">
        <v>9058</v>
      </c>
      <c r="T1158" t="s">
        <v>9061</v>
      </c>
    </row>
    <row r="1159" spans="1:20" x14ac:dyDescent="0.25">
      <c r="A1159" t="s">
        <v>6984</v>
      </c>
      <c r="B1159">
        <v>-20.420000000000002</v>
      </c>
      <c r="C1159">
        <v>486</v>
      </c>
      <c r="D1159">
        <v>23.73833333</v>
      </c>
      <c r="E1159">
        <v>20.454999999999998</v>
      </c>
      <c r="F1159">
        <v>26.813333329999999</v>
      </c>
      <c r="G1159">
        <v>2.028333333</v>
      </c>
      <c r="H1159">
        <v>1.016666667</v>
      </c>
      <c r="I1159">
        <v>2.9083333329999999</v>
      </c>
      <c r="J1159">
        <v>4999.8149999999996</v>
      </c>
      <c r="K1159">
        <v>4332.0208329999996</v>
      </c>
      <c r="L1159">
        <v>5871.2083329999996</v>
      </c>
      <c r="M1159">
        <v>15.98583333</v>
      </c>
      <c r="N1159">
        <v>14.54833333</v>
      </c>
      <c r="O1159">
        <v>17.751666669999999</v>
      </c>
      <c r="Q1159" t="s">
        <v>376</v>
      </c>
      <c r="R1159" t="s">
        <v>10510</v>
      </c>
      <c r="S1159" t="s">
        <v>9065</v>
      </c>
      <c r="T1159" t="s">
        <v>9066</v>
      </c>
    </row>
    <row r="1160" spans="1:20" x14ac:dyDescent="0.25">
      <c r="A1160" t="s">
        <v>10511</v>
      </c>
      <c r="B1160">
        <v>-20.420000000000002</v>
      </c>
      <c r="C1160">
        <v>487.5</v>
      </c>
      <c r="D1160">
        <v>24.701666670000002</v>
      </c>
      <c r="E1160">
        <v>21.67</v>
      </c>
      <c r="F1160">
        <v>27.81</v>
      </c>
      <c r="G1160">
        <v>1.7175</v>
      </c>
      <c r="H1160">
        <v>0.81499999999999995</v>
      </c>
      <c r="I1160">
        <v>2.516666667</v>
      </c>
      <c r="J1160">
        <v>5731.2416670000002</v>
      </c>
      <c r="K1160">
        <v>5120.375</v>
      </c>
      <c r="L1160">
        <v>6482.375</v>
      </c>
      <c r="M1160">
        <v>16.239166669999999</v>
      </c>
      <c r="N1160">
        <v>14.77166667</v>
      </c>
      <c r="O1160">
        <v>17.975000000000001</v>
      </c>
      <c r="Q1160" t="s">
        <v>376</v>
      </c>
      <c r="R1160" t="s">
        <v>10510</v>
      </c>
      <c r="S1160" t="s">
        <v>9058</v>
      </c>
      <c r="T1160" t="s">
        <v>9059</v>
      </c>
    </row>
    <row r="1161" spans="1:20" x14ac:dyDescent="0.25">
      <c r="A1161" t="s">
        <v>10512</v>
      </c>
      <c r="B1161">
        <v>-20.420000000000002</v>
      </c>
      <c r="C1161">
        <v>487.5</v>
      </c>
      <c r="D1161">
        <v>24.35</v>
      </c>
      <c r="E1161">
        <v>20.91416667</v>
      </c>
      <c r="F1161">
        <v>27.795000000000002</v>
      </c>
      <c r="G1161">
        <v>1.4875</v>
      </c>
      <c r="H1161">
        <v>0.33333333300000001</v>
      </c>
      <c r="I1161">
        <v>2.335</v>
      </c>
      <c r="J1161">
        <v>5458.1075000000001</v>
      </c>
      <c r="K1161">
        <v>4866.7916670000004</v>
      </c>
      <c r="L1161">
        <v>6187.3333329999996</v>
      </c>
      <c r="M1161">
        <v>15.94166667</v>
      </c>
      <c r="N1161">
        <v>14.348333330000001</v>
      </c>
      <c r="O1161">
        <v>17.785</v>
      </c>
      <c r="Q1161" t="s">
        <v>376</v>
      </c>
      <c r="R1161" t="s">
        <v>10510</v>
      </c>
      <c r="S1161" t="s">
        <v>9058</v>
      </c>
      <c r="T1161" t="s">
        <v>9061</v>
      </c>
    </row>
    <row r="1162" spans="1:20" x14ac:dyDescent="0.25">
      <c r="A1162" t="s">
        <v>8933</v>
      </c>
      <c r="B1162">
        <v>-7.18</v>
      </c>
      <c r="C1162">
        <v>226</v>
      </c>
      <c r="D1162">
        <v>25.12833333</v>
      </c>
      <c r="E1162">
        <v>21.91333333</v>
      </c>
      <c r="F1162">
        <v>28.39</v>
      </c>
      <c r="G1162">
        <v>0.90583333300000002</v>
      </c>
      <c r="H1162">
        <v>0</v>
      </c>
      <c r="I1162">
        <v>1.693333333</v>
      </c>
      <c r="J1162">
        <v>5007.1424999999999</v>
      </c>
      <c r="K1162">
        <v>4346.5208329999996</v>
      </c>
      <c r="L1162">
        <v>5798.0833329999996</v>
      </c>
      <c r="M1162">
        <v>20.76166667</v>
      </c>
      <c r="N1162">
        <v>19.91416667</v>
      </c>
      <c r="O1162">
        <v>21.71833333</v>
      </c>
      <c r="Q1162" t="s">
        <v>393</v>
      </c>
      <c r="R1162" t="s">
        <v>10513</v>
      </c>
      <c r="S1162" t="s">
        <v>9065</v>
      </c>
      <c r="T1162" t="s">
        <v>9066</v>
      </c>
    </row>
    <row r="1163" spans="1:20" x14ac:dyDescent="0.25">
      <c r="A1163" t="s">
        <v>10514</v>
      </c>
      <c r="B1163">
        <v>-7.2</v>
      </c>
      <c r="C1163">
        <v>227.5</v>
      </c>
      <c r="D1163">
        <v>26.035</v>
      </c>
      <c r="E1163">
        <v>22.6</v>
      </c>
      <c r="F1163">
        <v>29.564166669999999</v>
      </c>
      <c r="G1163">
        <v>0.95</v>
      </c>
      <c r="H1163">
        <v>0.44</v>
      </c>
      <c r="I1163">
        <v>1.325</v>
      </c>
      <c r="J1163">
        <v>5341.3058330000003</v>
      </c>
      <c r="K1163">
        <v>4933.7291670000004</v>
      </c>
      <c r="L1163">
        <v>5892</v>
      </c>
      <c r="M1163">
        <v>20.783333330000001</v>
      </c>
      <c r="N1163">
        <v>19.891666669999999</v>
      </c>
      <c r="O1163">
        <v>21.741666670000001</v>
      </c>
      <c r="Q1163" t="s">
        <v>393</v>
      </c>
      <c r="R1163" t="s">
        <v>10513</v>
      </c>
      <c r="S1163" t="s">
        <v>9058</v>
      </c>
      <c r="T1163" t="s">
        <v>9061</v>
      </c>
    </row>
    <row r="1164" spans="1:20" x14ac:dyDescent="0.25">
      <c r="A1164" t="s">
        <v>7426</v>
      </c>
      <c r="B1164">
        <v>-5.64</v>
      </c>
      <c r="C1164">
        <v>117</v>
      </c>
      <c r="D1164">
        <v>27.0825</v>
      </c>
      <c r="E1164">
        <v>24.23833333</v>
      </c>
      <c r="F1164">
        <v>29.905000000000001</v>
      </c>
      <c r="G1164">
        <v>1.461666667</v>
      </c>
      <c r="H1164">
        <v>0.59</v>
      </c>
      <c r="I1164">
        <v>2.11</v>
      </c>
      <c r="J1164">
        <v>4922.2333330000001</v>
      </c>
      <c r="K1164">
        <v>4409.7916670000004</v>
      </c>
      <c r="L1164">
        <v>5551.5</v>
      </c>
      <c r="M1164">
        <v>21.265000000000001</v>
      </c>
      <c r="N1164">
        <v>20.515000000000001</v>
      </c>
      <c r="O1164">
        <v>22.18333333</v>
      </c>
      <c r="Q1164" t="s">
        <v>393</v>
      </c>
      <c r="R1164" t="s">
        <v>10515</v>
      </c>
      <c r="S1164" t="s">
        <v>9065</v>
      </c>
      <c r="T1164" t="s">
        <v>9066</v>
      </c>
    </row>
    <row r="1165" spans="1:20" x14ac:dyDescent="0.25">
      <c r="A1165" t="s">
        <v>10516</v>
      </c>
      <c r="B1165">
        <v>-5.65</v>
      </c>
      <c r="C1165">
        <v>118.5</v>
      </c>
      <c r="D1165">
        <v>27.331666670000001</v>
      </c>
      <c r="E1165">
        <v>24.494166669999998</v>
      </c>
      <c r="F1165">
        <v>30.071666669999999</v>
      </c>
      <c r="G1165">
        <v>1.6233333329999999</v>
      </c>
      <c r="H1165">
        <v>1.0333333330000001</v>
      </c>
      <c r="I1165">
        <v>2.0750000000000002</v>
      </c>
      <c r="J1165">
        <v>5232.7524999999996</v>
      </c>
      <c r="K1165">
        <v>4766.5625</v>
      </c>
      <c r="L1165">
        <v>5829.9791670000004</v>
      </c>
      <c r="M1165">
        <v>21.16</v>
      </c>
      <c r="N1165">
        <v>20.190000000000001</v>
      </c>
      <c r="O1165">
        <v>22.25</v>
      </c>
      <c r="Q1165" t="s">
        <v>393</v>
      </c>
      <c r="R1165" t="s">
        <v>10515</v>
      </c>
      <c r="S1165" t="s">
        <v>9058</v>
      </c>
      <c r="T1165" t="s">
        <v>9061</v>
      </c>
    </row>
    <row r="1166" spans="1:20" x14ac:dyDescent="0.25">
      <c r="A1166" t="s">
        <v>10517</v>
      </c>
      <c r="B1166">
        <v>-12.48</v>
      </c>
      <c r="C1166">
        <v>510.8</v>
      </c>
      <c r="D1166">
        <v>23.841666669999999</v>
      </c>
      <c r="E1166">
        <v>20.791666670000001</v>
      </c>
      <c r="F1166">
        <v>26.59333333</v>
      </c>
      <c r="G1166">
        <v>2.0924999999999998</v>
      </c>
      <c r="H1166">
        <v>1.3416666669999999</v>
      </c>
      <c r="I1166">
        <v>2.778333333</v>
      </c>
      <c r="J1166">
        <v>5009.4075000000003</v>
      </c>
      <c r="K1166">
        <v>4401.375</v>
      </c>
      <c r="L1166">
        <v>5751.125</v>
      </c>
      <c r="M1166">
        <v>17.94916667</v>
      </c>
      <c r="N1166">
        <v>16.854166670000001</v>
      </c>
      <c r="O1166">
        <v>19.260000000000002</v>
      </c>
      <c r="Q1166" t="s">
        <v>393</v>
      </c>
      <c r="R1166" t="s">
        <v>10518</v>
      </c>
      <c r="S1166" t="s">
        <v>9058</v>
      </c>
      <c r="T1166" t="s">
        <v>9061</v>
      </c>
    </row>
    <row r="1167" spans="1:20" x14ac:dyDescent="0.25">
      <c r="A1167" t="s">
        <v>8930</v>
      </c>
      <c r="B1167">
        <v>-11.59</v>
      </c>
      <c r="C1167">
        <v>732</v>
      </c>
      <c r="D1167">
        <v>24.209166669999998</v>
      </c>
      <c r="E1167">
        <v>21.798333329999998</v>
      </c>
      <c r="F1167">
        <v>26.45</v>
      </c>
      <c r="G1167">
        <v>2.6558333329999999</v>
      </c>
      <c r="H1167">
        <v>1.6983333329999999</v>
      </c>
      <c r="I1167">
        <v>3.4366666669999999</v>
      </c>
      <c r="J1167">
        <v>4991.0600000000004</v>
      </c>
      <c r="K1167">
        <v>4415.2916670000004</v>
      </c>
      <c r="L1167">
        <v>5781.4375</v>
      </c>
      <c r="M1167">
        <v>17.391666669999999</v>
      </c>
      <c r="N1167">
        <v>16.329999999999998</v>
      </c>
      <c r="O1167">
        <v>18.725000000000001</v>
      </c>
      <c r="Q1167" t="s">
        <v>393</v>
      </c>
      <c r="R1167" t="s">
        <v>10519</v>
      </c>
      <c r="S1167" t="s">
        <v>9065</v>
      </c>
      <c r="T1167" t="s">
        <v>9066</v>
      </c>
    </row>
    <row r="1168" spans="1:20" x14ac:dyDescent="0.25">
      <c r="A1168" t="s">
        <v>10520</v>
      </c>
      <c r="B1168">
        <v>-11.6</v>
      </c>
      <c r="C1168">
        <v>733.5</v>
      </c>
      <c r="D1168">
        <v>25.00333333</v>
      </c>
      <c r="E1168">
        <v>22.348333329999999</v>
      </c>
      <c r="F1168">
        <v>27.635000000000002</v>
      </c>
      <c r="G1168">
        <v>2.681666667</v>
      </c>
      <c r="H1168">
        <v>1.7166666669999999</v>
      </c>
      <c r="I1168">
        <v>3.4950000000000001</v>
      </c>
      <c r="J1168">
        <v>5691.2208330000003</v>
      </c>
      <c r="K1168">
        <v>5274.8125</v>
      </c>
      <c r="L1168">
        <v>6299.5625</v>
      </c>
      <c r="M1168">
        <v>16.043333329999999</v>
      </c>
      <c r="N1168">
        <v>14.948333330000001</v>
      </c>
      <c r="O1168">
        <v>17.310833330000001</v>
      </c>
      <c r="Q1168" t="s">
        <v>393</v>
      </c>
      <c r="R1168" t="s">
        <v>10519</v>
      </c>
      <c r="S1168" t="s">
        <v>9058</v>
      </c>
      <c r="T1168" t="s">
        <v>9061</v>
      </c>
    </row>
    <row r="1169" spans="1:20" x14ac:dyDescent="0.25">
      <c r="A1169" t="s">
        <v>6589</v>
      </c>
      <c r="B1169">
        <v>-11.78</v>
      </c>
      <c r="C1169">
        <v>220</v>
      </c>
      <c r="D1169">
        <v>26.62083333</v>
      </c>
      <c r="E1169">
        <v>23.465</v>
      </c>
      <c r="F1169">
        <v>29.97666667</v>
      </c>
      <c r="G1169">
        <v>1.865</v>
      </c>
      <c r="H1169">
        <v>1.05</v>
      </c>
      <c r="I1169">
        <v>2.5099999999999998</v>
      </c>
      <c r="J1169">
        <v>5121.3950000000004</v>
      </c>
      <c r="K1169">
        <v>4580.875</v>
      </c>
      <c r="L1169">
        <v>5875.3541670000004</v>
      </c>
      <c r="M1169">
        <v>18.483333330000001</v>
      </c>
      <c r="N1169">
        <v>17.166666670000001</v>
      </c>
      <c r="O1169">
        <v>19.908333330000001</v>
      </c>
      <c r="Q1169" t="s">
        <v>393</v>
      </c>
      <c r="R1169" t="s">
        <v>10521</v>
      </c>
      <c r="S1169" t="s">
        <v>9065</v>
      </c>
      <c r="T1169" t="s">
        <v>9066</v>
      </c>
    </row>
    <row r="1170" spans="1:20" x14ac:dyDescent="0.25">
      <c r="A1170" t="s">
        <v>10522</v>
      </c>
      <c r="B1170">
        <v>-11.88</v>
      </c>
      <c r="C1170">
        <v>221.5</v>
      </c>
      <c r="D1170">
        <v>26.872499999999999</v>
      </c>
      <c r="E1170">
        <v>23.591666669999999</v>
      </c>
      <c r="F1170">
        <v>30.29666667</v>
      </c>
      <c r="G1170">
        <v>1.675</v>
      </c>
      <c r="H1170">
        <v>0.96666666700000003</v>
      </c>
      <c r="I1170">
        <v>2.2516666669999998</v>
      </c>
      <c r="J1170">
        <v>5433.834167</v>
      </c>
      <c r="K1170">
        <v>4889.0833329999996</v>
      </c>
      <c r="L1170">
        <v>6094.8541670000004</v>
      </c>
      <c r="M1170">
        <v>18.841666669999999</v>
      </c>
      <c r="N1170">
        <v>17.52333333</v>
      </c>
      <c r="O1170">
        <v>20.326666670000002</v>
      </c>
      <c r="Q1170" t="s">
        <v>393</v>
      </c>
      <c r="R1170" t="s">
        <v>10521</v>
      </c>
      <c r="S1170" t="s">
        <v>9058</v>
      </c>
      <c r="T1170" t="s">
        <v>9061</v>
      </c>
    </row>
    <row r="1171" spans="1:20" x14ac:dyDescent="0.25">
      <c r="A1171" t="s">
        <v>8929</v>
      </c>
      <c r="B1171">
        <v>-11.72</v>
      </c>
      <c r="C1171">
        <v>287</v>
      </c>
      <c r="D1171">
        <v>25.852499999999999</v>
      </c>
      <c r="E1171">
        <v>21.995000000000001</v>
      </c>
      <c r="F1171">
        <v>30.012499999999999</v>
      </c>
      <c r="G1171">
        <v>1.1658333329999999</v>
      </c>
      <c r="H1171">
        <v>4.1666666999999998E-2</v>
      </c>
      <c r="I1171">
        <v>2.0666666669999998</v>
      </c>
      <c r="J1171">
        <v>5299.4416670000001</v>
      </c>
      <c r="K1171">
        <v>4779.0625</v>
      </c>
      <c r="L1171">
        <v>5988.4166670000004</v>
      </c>
      <c r="M1171">
        <v>18.630833330000002</v>
      </c>
      <c r="N1171">
        <v>17.53166667</v>
      </c>
      <c r="O1171">
        <v>19.925000000000001</v>
      </c>
      <c r="Q1171" t="s">
        <v>393</v>
      </c>
      <c r="R1171" t="s">
        <v>10523</v>
      </c>
      <c r="S1171" t="s">
        <v>9065</v>
      </c>
      <c r="T1171" t="s">
        <v>9066</v>
      </c>
    </row>
    <row r="1172" spans="1:20" x14ac:dyDescent="0.25">
      <c r="A1172" t="s">
        <v>10524</v>
      </c>
      <c r="B1172">
        <v>-11.75</v>
      </c>
      <c r="C1172">
        <v>288.5</v>
      </c>
      <c r="D1172">
        <v>26.466666669999999</v>
      </c>
      <c r="E1172">
        <v>22.89833333</v>
      </c>
      <c r="F1172">
        <v>30.236666670000002</v>
      </c>
      <c r="G1172">
        <v>1.5333333330000001</v>
      </c>
      <c r="H1172">
        <v>0.64166666699999997</v>
      </c>
      <c r="I1172">
        <v>2.201666667</v>
      </c>
      <c r="J1172">
        <v>5572.2108330000001</v>
      </c>
      <c r="K1172">
        <v>5063.0833329999996</v>
      </c>
      <c r="L1172">
        <v>6187.0833329999996</v>
      </c>
      <c r="M1172">
        <v>18.919166669999999</v>
      </c>
      <c r="N1172">
        <v>17.858333330000001</v>
      </c>
      <c r="O1172">
        <v>20.268333330000001</v>
      </c>
      <c r="Q1172" t="s">
        <v>393</v>
      </c>
      <c r="R1172" t="s">
        <v>10523</v>
      </c>
      <c r="S1172" t="s">
        <v>9058</v>
      </c>
      <c r="T1172" t="s">
        <v>9061</v>
      </c>
    </row>
    <row r="1173" spans="1:20" x14ac:dyDescent="0.25">
      <c r="A1173" t="s">
        <v>10525</v>
      </c>
      <c r="B1173">
        <v>-10.29</v>
      </c>
      <c r="C1173">
        <v>236</v>
      </c>
      <c r="D1173">
        <v>26.954166669999999</v>
      </c>
      <c r="E1173">
        <v>24.015000000000001</v>
      </c>
      <c r="F1173">
        <v>30.083333329999999</v>
      </c>
      <c r="G1173">
        <v>2.2408333329999999</v>
      </c>
      <c r="H1173">
        <v>1.316666667</v>
      </c>
      <c r="I1173">
        <v>2.9333333330000002</v>
      </c>
      <c r="J1173">
        <v>5773.5583329999999</v>
      </c>
      <c r="K1173">
        <v>5443.7291670000004</v>
      </c>
      <c r="L1173">
        <v>6365.1666670000004</v>
      </c>
      <c r="M1173">
        <v>19.3825</v>
      </c>
      <c r="N1173">
        <v>18.166666670000001</v>
      </c>
      <c r="O1173">
        <v>20.616666670000001</v>
      </c>
      <c r="Q1173" t="s">
        <v>393</v>
      </c>
      <c r="R1173" t="s">
        <v>10526</v>
      </c>
      <c r="S1173" t="s">
        <v>9058</v>
      </c>
      <c r="T1173" t="s">
        <v>9059</v>
      </c>
    </row>
    <row r="1174" spans="1:20" x14ac:dyDescent="0.25">
      <c r="A1174" t="s">
        <v>10527</v>
      </c>
      <c r="B1174">
        <v>-10.29</v>
      </c>
      <c r="C1174">
        <v>236</v>
      </c>
      <c r="D1174">
        <v>27.09</v>
      </c>
      <c r="E1174">
        <v>24.015000000000001</v>
      </c>
      <c r="F1174">
        <v>30</v>
      </c>
      <c r="G1174">
        <v>2.25</v>
      </c>
      <c r="H1174">
        <v>1.3833333329999999</v>
      </c>
      <c r="I1174">
        <v>2.9750000000000001</v>
      </c>
      <c r="J1174">
        <v>5478.3808330000002</v>
      </c>
      <c r="K1174">
        <v>4942.2708329999996</v>
      </c>
      <c r="L1174">
        <v>6142.1041670000004</v>
      </c>
      <c r="M1174">
        <v>19.4375</v>
      </c>
      <c r="N1174">
        <v>18.25</v>
      </c>
      <c r="O1174">
        <v>20.676666669999999</v>
      </c>
      <c r="Q1174" t="s">
        <v>393</v>
      </c>
      <c r="R1174" t="s">
        <v>10526</v>
      </c>
      <c r="S1174" t="s">
        <v>9058</v>
      </c>
      <c r="T1174" t="s">
        <v>9061</v>
      </c>
    </row>
    <row r="1175" spans="1:20" x14ac:dyDescent="0.25">
      <c r="A1175" t="s">
        <v>8927</v>
      </c>
      <c r="B1175">
        <v>-10.17</v>
      </c>
      <c r="C1175">
        <v>280</v>
      </c>
      <c r="D1175">
        <v>26.8125</v>
      </c>
      <c r="E1175">
        <v>24.016666669999999</v>
      </c>
      <c r="F1175">
        <v>29.63</v>
      </c>
      <c r="G1175">
        <v>1.635</v>
      </c>
      <c r="H1175">
        <v>0.69</v>
      </c>
      <c r="I1175">
        <v>2.378333333</v>
      </c>
      <c r="J1175">
        <v>4466.8958329999996</v>
      </c>
      <c r="K1175">
        <v>3891.270833</v>
      </c>
      <c r="L1175">
        <v>5159.7708329999996</v>
      </c>
      <c r="M1175">
        <v>19.139166670000002</v>
      </c>
      <c r="N1175">
        <v>18.141666669999999</v>
      </c>
      <c r="O1175">
        <v>20.279166669999999</v>
      </c>
      <c r="Q1175" t="s">
        <v>393</v>
      </c>
      <c r="R1175" t="s">
        <v>10528</v>
      </c>
      <c r="S1175" t="s">
        <v>9065</v>
      </c>
      <c r="T1175" t="s">
        <v>9066</v>
      </c>
    </row>
    <row r="1176" spans="1:20" x14ac:dyDescent="0.25">
      <c r="A1176" t="s">
        <v>10529</v>
      </c>
      <c r="B1176">
        <v>-10.19</v>
      </c>
      <c r="C1176">
        <v>281.5</v>
      </c>
      <c r="D1176">
        <v>27.37833333</v>
      </c>
      <c r="E1176">
        <v>24.241666670000001</v>
      </c>
      <c r="F1176">
        <v>30.516666669999999</v>
      </c>
      <c r="G1176">
        <v>1.4350000000000001</v>
      </c>
      <c r="H1176">
        <v>0.54166666699999999</v>
      </c>
      <c r="I1176">
        <v>2.068333333</v>
      </c>
      <c r="J1176">
        <v>5584.1475</v>
      </c>
      <c r="K1176">
        <v>5098.9375</v>
      </c>
      <c r="L1176">
        <v>6169.6458329999996</v>
      </c>
      <c r="M1176">
        <v>19.119166669999998</v>
      </c>
      <c r="N1176">
        <v>17.881666670000001</v>
      </c>
      <c r="O1176">
        <v>20.515000000000001</v>
      </c>
      <c r="Q1176" t="s">
        <v>393</v>
      </c>
      <c r="R1176" t="s">
        <v>10528</v>
      </c>
      <c r="S1176" t="s">
        <v>9058</v>
      </c>
      <c r="T1176" t="s">
        <v>9061</v>
      </c>
    </row>
    <row r="1177" spans="1:20" x14ac:dyDescent="0.25">
      <c r="A1177" t="s">
        <v>6577</v>
      </c>
      <c r="B1177">
        <v>-12.6</v>
      </c>
      <c r="C1177">
        <v>280</v>
      </c>
      <c r="D1177">
        <v>25.93</v>
      </c>
      <c r="E1177">
        <v>21.855</v>
      </c>
      <c r="F1177">
        <v>30.208333329999999</v>
      </c>
      <c r="G1177">
        <v>1.483333333</v>
      </c>
      <c r="H1177">
        <v>0.28333333300000002</v>
      </c>
      <c r="I1177">
        <v>2.37</v>
      </c>
      <c r="J1177">
        <v>5304.7308329999996</v>
      </c>
      <c r="K1177">
        <v>4709.2708329999996</v>
      </c>
      <c r="L1177">
        <v>6017.6666670000004</v>
      </c>
      <c r="M1177">
        <v>17.89916667</v>
      </c>
      <c r="N1177">
        <v>16.73833333</v>
      </c>
      <c r="O1177">
        <v>19.195</v>
      </c>
      <c r="Q1177" t="s">
        <v>393</v>
      </c>
      <c r="R1177" t="s">
        <v>10530</v>
      </c>
      <c r="S1177" t="s">
        <v>9065</v>
      </c>
      <c r="T1177" t="s">
        <v>9066</v>
      </c>
    </row>
    <row r="1178" spans="1:20" x14ac:dyDescent="0.25">
      <c r="A1178" t="s">
        <v>10531</v>
      </c>
      <c r="B1178">
        <v>-12.62</v>
      </c>
      <c r="C1178">
        <v>276.5</v>
      </c>
      <c r="D1178">
        <v>26.37166667</v>
      </c>
      <c r="E1178">
        <v>22.95</v>
      </c>
      <c r="F1178">
        <v>29.97</v>
      </c>
      <c r="G1178">
        <v>1.3416666669999999</v>
      </c>
      <c r="H1178">
        <v>0.7</v>
      </c>
      <c r="I1178">
        <v>1.7849999999999999</v>
      </c>
      <c r="J1178">
        <v>5625.8649999999998</v>
      </c>
      <c r="K1178">
        <v>5120.3958329999996</v>
      </c>
      <c r="L1178">
        <v>6323.8125</v>
      </c>
      <c r="M1178">
        <v>17.840833329999999</v>
      </c>
      <c r="N1178">
        <v>16.725000000000001</v>
      </c>
      <c r="O1178">
        <v>19.274999999999999</v>
      </c>
      <c r="Q1178" t="s">
        <v>393</v>
      </c>
      <c r="R1178" t="s">
        <v>10530</v>
      </c>
      <c r="S1178" t="s">
        <v>9058</v>
      </c>
      <c r="T1178" t="s">
        <v>9061</v>
      </c>
    </row>
    <row r="1179" spans="1:20" x14ac:dyDescent="0.25">
      <c r="A1179" t="s">
        <v>7435</v>
      </c>
      <c r="B1179">
        <v>-8.9700000000000006</v>
      </c>
      <c r="C1179">
        <v>189</v>
      </c>
      <c r="D1179">
        <v>26.383333329999999</v>
      </c>
      <c r="E1179">
        <v>23.291666670000001</v>
      </c>
      <c r="F1179">
        <v>29.497499999999999</v>
      </c>
      <c r="G1179">
        <v>0.76666666699999997</v>
      </c>
      <c r="H1179">
        <v>9.8333332999999995E-2</v>
      </c>
      <c r="I1179">
        <v>1.193333333</v>
      </c>
      <c r="J1179">
        <v>5042.1508329999997</v>
      </c>
      <c r="K1179">
        <v>4297.6666670000004</v>
      </c>
      <c r="L1179">
        <v>5878.5625</v>
      </c>
      <c r="M1179">
        <v>21.26166667</v>
      </c>
      <c r="N1179">
        <v>20.408333330000001</v>
      </c>
      <c r="O1179">
        <v>22.321666669999999</v>
      </c>
      <c r="Q1179" t="s">
        <v>393</v>
      </c>
      <c r="R1179" t="s">
        <v>10532</v>
      </c>
      <c r="S1179" t="s">
        <v>9065</v>
      </c>
      <c r="T1179" t="s">
        <v>9066</v>
      </c>
    </row>
    <row r="1180" spans="1:20" x14ac:dyDescent="0.25">
      <c r="A1180" t="s">
        <v>10533</v>
      </c>
      <c r="B1180">
        <v>-8.9700000000000006</v>
      </c>
      <c r="C1180">
        <v>190.5</v>
      </c>
      <c r="D1180">
        <v>27.820833329999999</v>
      </c>
      <c r="E1180">
        <v>25.151666670000001</v>
      </c>
      <c r="F1180">
        <v>30.47</v>
      </c>
      <c r="G1180">
        <v>1.2083333329999999</v>
      </c>
      <c r="H1180">
        <v>0.46666666699999998</v>
      </c>
      <c r="I1180">
        <v>1.576666667</v>
      </c>
      <c r="J1180">
        <v>5636.6683329999996</v>
      </c>
      <c r="K1180">
        <v>5182.875</v>
      </c>
      <c r="L1180">
        <v>6321</v>
      </c>
      <c r="M1180">
        <v>21.42166667</v>
      </c>
      <c r="N1180">
        <v>20.283333330000001</v>
      </c>
      <c r="O1180">
        <v>22.71833333</v>
      </c>
      <c r="Q1180" t="s">
        <v>393</v>
      </c>
      <c r="R1180" t="s">
        <v>10532</v>
      </c>
      <c r="S1180" t="s">
        <v>9058</v>
      </c>
      <c r="T1180" t="s">
        <v>9059</v>
      </c>
    </row>
    <row r="1181" spans="1:20" x14ac:dyDescent="0.25">
      <c r="A1181" t="s">
        <v>10534</v>
      </c>
      <c r="B1181">
        <v>-8.9700000000000006</v>
      </c>
      <c r="C1181">
        <v>190.5</v>
      </c>
      <c r="D1181">
        <v>27.010833330000001</v>
      </c>
      <c r="E1181">
        <v>23.981666669999999</v>
      </c>
      <c r="F1181">
        <v>29.896666669999998</v>
      </c>
      <c r="G1181">
        <v>1.3225</v>
      </c>
      <c r="H1181">
        <v>0.40833333300000002</v>
      </c>
      <c r="I1181">
        <v>1.86</v>
      </c>
      <c r="J1181">
        <v>5423.8833329999998</v>
      </c>
      <c r="K1181">
        <v>4894.0833329999996</v>
      </c>
      <c r="L1181">
        <v>6121.5416670000004</v>
      </c>
      <c r="M1181">
        <v>20.665833330000002</v>
      </c>
      <c r="N1181">
        <v>19.454999999999998</v>
      </c>
      <c r="O1181">
        <v>22.068333330000002</v>
      </c>
      <c r="Q1181" t="s">
        <v>393</v>
      </c>
      <c r="R1181" t="s">
        <v>10532</v>
      </c>
      <c r="S1181" t="s">
        <v>9058</v>
      </c>
      <c r="T1181" t="s">
        <v>9061</v>
      </c>
    </row>
    <row r="1182" spans="1:20" x14ac:dyDescent="0.25">
      <c r="A1182" t="s">
        <v>8931</v>
      </c>
      <c r="B1182">
        <v>-12.02</v>
      </c>
      <c r="C1182">
        <v>242</v>
      </c>
      <c r="D1182">
        <v>25.92</v>
      </c>
      <c r="E1182">
        <v>22.774999999999999</v>
      </c>
      <c r="F1182">
        <v>29.12166667</v>
      </c>
      <c r="G1182">
        <v>0.98833333300000004</v>
      </c>
      <c r="H1182">
        <v>4.1666666999999998E-2</v>
      </c>
      <c r="I1182">
        <v>1.635</v>
      </c>
      <c r="J1182">
        <v>5270.356667</v>
      </c>
      <c r="K1182">
        <v>4716.5416670000004</v>
      </c>
      <c r="L1182">
        <v>6065.9583329999996</v>
      </c>
      <c r="M1182">
        <v>20.44166667</v>
      </c>
      <c r="N1182">
        <v>19.53</v>
      </c>
      <c r="O1182">
        <v>21.55</v>
      </c>
      <c r="Q1182" t="s">
        <v>393</v>
      </c>
      <c r="R1182" t="s">
        <v>10535</v>
      </c>
      <c r="S1182" t="s">
        <v>9065</v>
      </c>
      <c r="T1182" t="s">
        <v>9066</v>
      </c>
    </row>
    <row r="1183" spans="1:20" x14ac:dyDescent="0.25">
      <c r="A1183" t="s">
        <v>10536</v>
      </c>
      <c r="B1183">
        <v>-12.02</v>
      </c>
      <c r="C1183">
        <v>243.5</v>
      </c>
      <c r="D1183">
        <v>27.18333333</v>
      </c>
      <c r="E1183">
        <v>24.108333330000001</v>
      </c>
      <c r="F1183">
        <v>30.188333329999999</v>
      </c>
      <c r="G1183">
        <v>1.53</v>
      </c>
      <c r="H1183">
        <v>0.79166666699999999</v>
      </c>
      <c r="I1183">
        <v>2.1183333329999998</v>
      </c>
      <c r="J1183">
        <v>5786.6383329999999</v>
      </c>
      <c r="K1183">
        <v>5290.4791670000004</v>
      </c>
      <c r="L1183">
        <v>6482.1458329999996</v>
      </c>
      <c r="M1183">
        <v>19.555</v>
      </c>
      <c r="N1183">
        <v>18.323333330000001</v>
      </c>
      <c r="O1183">
        <v>20.977499999999999</v>
      </c>
      <c r="Q1183" t="s">
        <v>393</v>
      </c>
      <c r="R1183" t="s">
        <v>10535</v>
      </c>
      <c r="S1183" t="s">
        <v>9058</v>
      </c>
      <c r="T1183" t="s">
        <v>9059</v>
      </c>
    </row>
    <row r="1184" spans="1:20" x14ac:dyDescent="0.25">
      <c r="A1184" t="s">
        <v>10537</v>
      </c>
      <c r="B1184">
        <v>-12.02</v>
      </c>
      <c r="C1184">
        <v>243.5</v>
      </c>
      <c r="D1184">
        <v>26.901666670000001</v>
      </c>
      <c r="E1184">
        <v>24.08666667</v>
      </c>
      <c r="F1184">
        <v>29.364999999999998</v>
      </c>
      <c r="G1184">
        <v>1.6775</v>
      </c>
      <c r="H1184">
        <v>0.97333333300000002</v>
      </c>
      <c r="I1184">
        <v>2.2683333330000002</v>
      </c>
      <c r="J1184">
        <v>5598.3608329999997</v>
      </c>
      <c r="K1184">
        <v>5137.4166670000004</v>
      </c>
      <c r="L1184">
        <v>6219.7708329999996</v>
      </c>
      <c r="M1184">
        <v>19.045833330000001</v>
      </c>
      <c r="N1184">
        <v>17.80833333</v>
      </c>
      <c r="O1184">
        <v>20.420000000000002</v>
      </c>
      <c r="Q1184" t="s">
        <v>393</v>
      </c>
      <c r="R1184" t="s">
        <v>10535</v>
      </c>
      <c r="S1184" t="s">
        <v>9058</v>
      </c>
      <c r="T1184" t="s">
        <v>9061</v>
      </c>
    </row>
    <row r="1185" spans="1:20" x14ac:dyDescent="0.25">
      <c r="A1185" t="s">
        <v>10538</v>
      </c>
      <c r="B1185">
        <v>-10.72</v>
      </c>
      <c r="C1185">
        <v>239</v>
      </c>
      <c r="D1185">
        <v>28.88666667</v>
      </c>
      <c r="E1185">
        <v>26.574999999999999</v>
      </c>
      <c r="F1185">
        <v>31.151666670000001</v>
      </c>
      <c r="G1185">
        <v>1.233333333</v>
      </c>
      <c r="H1185">
        <v>0.66500000000000004</v>
      </c>
      <c r="I1185">
        <v>1.6166666670000001</v>
      </c>
      <c r="J1185">
        <v>5741.1783329999998</v>
      </c>
      <c r="K1185">
        <v>5154.0416670000004</v>
      </c>
      <c r="L1185">
        <v>6447.1041670000004</v>
      </c>
      <c r="M1185">
        <v>20.504999999999999</v>
      </c>
      <c r="N1185">
        <v>19.258333329999999</v>
      </c>
      <c r="O1185">
        <v>21.916666670000001</v>
      </c>
      <c r="Q1185" t="s">
        <v>393</v>
      </c>
      <c r="R1185" t="s">
        <v>10539</v>
      </c>
      <c r="S1185" t="s">
        <v>9058</v>
      </c>
      <c r="T1185" t="s">
        <v>9059</v>
      </c>
    </row>
    <row r="1186" spans="1:20" x14ac:dyDescent="0.25">
      <c r="A1186" t="s">
        <v>10540</v>
      </c>
      <c r="B1186">
        <v>-10.72</v>
      </c>
      <c r="C1186">
        <v>239</v>
      </c>
      <c r="D1186">
        <v>27.297499999999999</v>
      </c>
      <c r="E1186">
        <v>24.44166667</v>
      </c>
      <c r="F1186">
        <v>29.966666669999999</v>
      </c>
      <c r="G1186">
        <v>1.4824999999999999</v>
      </c>
      <c r="H1186">
        <v>0.96499999999999997</v>
      </c>
      <c r="I1186">
        <v>1.9</v>
      </c>
      <c r="J1186">
        <v>5493.6258330000001</v>
      </c>
      <c r="K1186">
        <v>5002.2708329999996</v>
      </c>
      <c r="L1186">
        <v>6150.4375</v>
      </c>
      <c r="M1186">
        <v>19.911666669999999</v>
      </c>
      <c r="N1186">
        <v>18.841666669999999</v>
      </c>
      <c r="O1186">
        <v>21.108333330000001</v>
      </c>
      <c r="Q1186" t="s">
        <v>393</v>
      </c>
      <c r="R1186" t="s">
        <v>10539</v>
      </c>
      <c r="S1186" t="s">
        <v>9058</v>
      </c>
      <c r="T1186" t="s">
        <v>9061</v>
      </c>
    </row>
    <row r="1187" spans="1:20" x14ac:dyDescent="0.25">
      <c r="A1187" t="s">
        <v>10541</v>
      </c>
      <c r="B1187">
        <v>-10.72</v>
      </c>
      <c r="C1187">
        <v>265.2</v>
      </c>
      <c r="D1187">
        <v>25.755833330000002</v>
      </c>
      <c r="E1187">
        <v>21.929166670000001</v>
      </c>
      <c r="F1187">
        <v>29.80833333</v>
      </c>
      <c r="G1187">
        <v>1.7191666670000001</v>
      </c>
      <c r="H1187">
        <v>0.65833333299999997</v>
      </c>
      <c r="I1187">
        <v>2.6041666669999999</v>
      </c>
      <c r="J1187">
        <v>5600.8633330000002</v>
      </c>
      <c r="K1187">
        <v>4937.3958329999996</v>
      </c>
      <c r="L1187">
        <v>6349.7083329999996</v>
      </c>
      <c r="M1187">
        <v>19.774999999999999</v>
      </c>
      <c r="N1187">
        <v>18.361666670000002</v>
      </c>
      <c r="O1187">
        <v>21.33666667</v>
      </c>
      <c r="Q1187" t="s">
        <v>393</v>
      </c>
      <c r="R1187" t="s">
        <v>10542</v>
      </c>
      <c r="S1187" t="s">
        <v>9058</v>
      </c>
      <c r="T1187" t="s">
        <v>9059</v>
      </c>
    </row>
    <row r="1188" spans="1:20" x14ac:dyDescent="0.25">
      <c r="A1188" t="s">
        <v>10543</v>
      </c>
      <c r="B1188">
        <v>-10.72</v>
      </c>
      <c r="C1188">
        <v>265.2</v>
      </c>
      <c r="D1188">
        <v>27.179166670000001</v>
      </c>
      <c r="E1188">
        <v>24.03166667</v>
      </c>
      <c r="F1188">
        <v>30.42</v>
      </c>
      <c r="G1188">
        <v>1.881666667</v>
      </c>
      <c r="H1188">
        <v>1.1166666670000001</v>
      </c>
      <c r="I1188">
        <v>2.5583333330000002</v>
      </c>
      <c r="J1188">
        <v>5357.3516669999999</v>
      </c>
      <c r="K1188">
        <v>4749.0416670000004</v>
      </c>
      <c r="L1188">
        <v>6041.8958329999996</v>
      </c>
      <c r="M1188">
        <v>19.85166667</v>
      </c>
      <c r="N1188">
        <v>18.69166667</v>
      </c>
      <c r="O1188">
        <v>21.09333333</v>
      </c>
      <c r="Q1188" t="s">
        <v>393</v>
      </c>
      <c r="R1188" t="s">
        <v>10542</v>
      </c>
      <c r="S1188" t="s">
        <v>9058</v>
      </c>
      <c r="T1188" t="s">
        <v>9061</v>
      </c>
    </row>
    <row r="1189" spans="1:20" x14ac:dyDescent="0.25">
      <c r="A1189" t="s">
        <v>10544</v>
      </c>
      <c r="B1189">
        <v>-12.4</v>
      </c>
      <c r="C1189">
        <v>604</v>
      </c>
      <c r="D1189">
        <v>26.8675</v>
      </c>
      <c r="E1189">
        <v>24.416666670000001</v>
      </c>
      <c r="F1189">
        <v>29.204999999999998</v>
      </c>
      <c r="G1189">
        <v>1.433333333</v>
      </c>
      <c r="H1189">
        <v>0.114166667</v>
      </c>
      <c r="I1189">
        <v>2.41</v>
      </c>
      <c r="J1189">
        <v>5933.415</v>
      </c>
      <c r="K1189">
        <v>5472.3958329999996</v>
      </c>
      <c r="L1189">
        <v>6604.7708329999996</v>
      </c>
      <c r="M1189">
        <v>17.893333330000001</v>
      </c>
      <c r="N1189">
        <v>16.673333329999998</v>
      </c>
      <c r="O1189">
        <v>19.176666669999999</v>
      </c>
      <c r="Q1189" t="s">
        <v>393</v>
      </c>
      <c r="R1189" t="s">
        <v>10545</v>
      </c>
      <c r="S1189" t="s">
        <v>9058</v>
      </c>
      <c r="T1189" t="s">
        <v>9059</v>
      </c>
    </row>
    <row r="1190" spans="1:20" x14ac:dyDescent="0.25">
      <c r="A1190" t="s">
        <v>10546</v>
      </c>
      <c r="B1190">
        <v>-12.4</v>
      </c>
      <c r="C1190">
        <v>604</v>
      </c>
      <c r="D1190">
        <v>25.724166669999999</v>
      </c>
      <c r="E1190">
        <v>22.588333330000001</v>
      </c>
      <c r="F1190">
        <v>28.623333330000001</v>
      </c>
      <c r="G1190">
        <v>1.6074999999999999</v>
      </c>
      <c r="H1190">
        <v>0.74166666699999995</v>
      </c>
      <c r="I1190">
        <v>2.2583333329999999</v>
      </c>
      <c r="J1190">
        <v>5589.0191670000004</v>
      </c>
      <c r="K1190">
        <v>4986.5208329999996</v>
      </c>
      <c r="L1190">
        <v>6337.2083329999996</v>
      </c>
      <c r="M1190">
        <v>16.918333329999999</v>
      </c>
      <c r="N1190">
        <v>15.65666667</v>
      </c>
      <c r="O1190">
        <v>18.358333330000001</v>
      </c>
      <c r="Q1190" t="s">
        <v>393</v>
      </c>
      <c r="R1190" t="s">
        <v>10545</v>
      </c>
      <c r="S1190" t="s">
        <v>9058</v>
      </c>
      <c r="T1190" t="s">
        <v>9061</v>
      </c>
    </row>
  </sheetData>
  <pageMargins left="0.511811024" right="0.511811024" top="0.78740157499999996" bottom="0.78740157499999996" header="0.31496062000000002" footer="0.3149606200000000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18"/>
  <dimension ref="A1:U413"/>
  <sheetViews>
    <sheetView topLeftCell="A374" workbookViewId="0">
      <selection sqref="A1:A2"/>
    </sheetView>
  </sheetViews>
  <sheetFormatPr defaultRowHeight="15" x14ac:dyDescent="0.25"/>
  <cols>
    <col min="1" max="1" width="28.5703125" customWidth="1"/>
    <col min="3" max="3" width="33.85546875" bestFit="1" customWidth="1"/>
  </cols>
  <sheetData>
    <row r="1" spans="1:21" x14ac:dyDescent="0.25">
      <c r="A1" s="671" t="s">
        <v>120</v>
      </c>
      <c r="B1" s="671" t="s">
        <v>215</v>
      </c>
      <c r="C1" s="672" t="s">
        <v>5696</v>
      </c>
      <c r="D1" s="671" t="s">
        <v>5697</v>
      </c>
      <c r="E1" s="671" t="s">
        <v>5698</v>
      </c>
      <c r="F1" s="671" t="s">
        <v>5699</v>
      </c>
      <c r="G1" s="671"/>
      <c r="H1" s="671"/>
      <c r="I1" s="671"/>
      <c r="J1" s="671"/>
      <c r="K1" s="671"/>
      <c r="L1" s="671"/>
      <c r="M1" s="671"/>
      <c r="N1" s="671"/>
      <c r="O1" s="671"/>
      <c r="P1" s="671"/>
      <c r="Q1" s="671"/>
      <c r="R1" s="671"/>
      <c r="S1" s="187"/>
      <c r="T1" s="187"/>
      <c r="U1" s="187"/>
    </row>
    <row r="2" spans="1:21" ht="45" x14ac:dyDescent="0.25">
      <c r="A2" s="671"/>
      <c r="B2" s="671"/>
      <c r="C2" s="673"/>
      <c r="D2" s="671"/>
      <c r="E2" s="671"/>
      <c r="F2" s="160" t="s">
        <v>5700</v>
      </c>
      <c r="G2" s="160" t="s">
        <v>5701</v>
      </c>
      <c r="H2" s="160" t="s">
        <v>5702</v>
      </c>
      <c r="I2" s="160" t="s">
        <v>5703</v>
      </c>
      <c r="J2" s="160" t="s">
        <v>5704</v>
      </c>
      <c r="K2" s="160" t="s">
        <v>5705</v>
      </c>
      <c r="L2" s="160" t="s">
        <v>5706</v>
      </c>
      <c r="M2" s="160" t="s">
        <v>5707</v>
      </c>
      <c r="N2" s="160" t="s">
        <v>5708</v>
      </c>
      <c r="O2" s="160" t="s">
        <v>5709</v>
      </c>
      <c r="P2" s="160" t="s">
        <v>5710</v>
      </c>
      <c r="Q2" s="160" t="s">
        <v>5711</v>
      </c>
      <c r="R2" s="160" t="s">
        <v>5712</v>
      </c>
      <c r="S2" s="187"/>
      <c r="T2" s="160" t="s">
        <v>5713</v>
      </c>
      <c r="U2" s="161" t="s">
        <v>5714</v>
      </c>
    </row>
    <row r="3" spans="1:21" x14ac:dyDescent="0.25">
      <c r="A3" s="162" t="s">
        <v>4324</v>
      </c>
      <c r="B3" s="149" t="s">
        <v>234</v>
      </c>
      <c r="C3" s="159" t="str">
        <f t="shared" ref="C3:C66" si="0">CONCATENATE(A3,", ",B3)</f>
        <v>Feijó, AC</v>
      </c>
      <c r="D3" s="163">
        <v>-8.14</v>
      </c>
      <c r="E3" s="149">
        <v>163</v>
      </c>
      <c r="F3" s="164">
        <v>25.534811829999999</v>
      </c>
      <c r="G3" s="164">
        <v>25.957440479999999</v>
      </c>
      <c r="H3" s="164">
        <v>25.97150538</v>
      </c>
      <c r="I3" s="164">
        <v>26.150138890000001</v>
      </c>
      <c r="J3" s="164">
        <v>25.0625</v>
      </c>
      <c r="K3" s="164">
        <v>26.854861110000002</v>
      </c>
      <c r="L3" s="164">
        <v>24.984677420000001</v>
      </c>
      <c r="M3" s="164">
        <v>27.392607529999999</v>
      </c>
      <c r="N3" s="164">
        <v>27.49319444</v>
      </c>
      <c r="O3" s="164">
        <v>26.346774190000001</v>
      </c>
      <c r="P3" s="164">
        <v>26.047361110000001</v>
      </c>
      <c r="Q3" s="164">
        <v>25.17486559</v>
      </c>
      <c r="R3" s="164">
        <v>26.080894830833333</v>
      </c>
      <c r="S3" s="159">
        <f>SUMIFS(Aux_Lista!AE:AE,Aux_Lista!AC:AC,Aux_TBS!B3,Aux_Lista!AD:AD,Aux_TBS!A3)</f>
        <v>8</v>
      </c>
      <c r="T3" s="159" t="s">
        <v>235</v>
      </c>
      <c r="U3" s="159">
        <v>38</v>
      </c>
    </row>
    <row r="4" spans="1:21" x14ac:dyDescent="0.25">
      <c r="A4" s="162" t="s">
        <v>4405</v>
      </c>
      <c r="B4" s="149" t="s">
        <v>234</v>
      </c>
      <c r="C4" s="159" t="str">
        <f t="shared" si="0"/>
        <v>Manoel Urbano, AC</v>
      </c>
      <c r="D4" s="163">
        <v>-9.3699999999999992</v>
      </c>
      <c r="E4" s="149">
        <v>206</v>
      </c>
      <c r="F4" s="164">
        <v>24.802284950000001</v>
      </c>
      <c r="G4" s="164">
        <v>24.62723214</v>
      </c>
      <c r="H4" s="164">
        <v>24.745026880000001</v>
      </c>
      <c r="I4" s="164">
        <v>24.852499999999999</v>
      </c>
      <c r="J4" s="164">
        <v>25.174193549999998</v>
      </c>
      <c r="K4" s="164">
        <v>23.280972219999999</v>
      </c>
      <c r="L4" s="164">
        <v>23.69919355</v>
      </c>
      <c r="M4" s="164">
        <v>24.623790320000001</v>
      </c>
      <c r="N4" s="164">
        <v>25.553611109999999</v>
      </c>
      <c r="O4" s="164">
        <v>26.058870970000001</v>
      </c>
      <c r="P4" s="164">
        <v>25.814861109999999</v>
      </c>
      <c r="Q4" s="164">
        <v>25.198924730000002</v>
      </c>
      <c r="R4" s="164">
        <v>24.869288460833332</v>
      </c>
      <c r="S4" s="159">
        <f>SUMIFS(Aux_Lista!AE:AE,Aux_Lista!AC:AC,Aux_TBS!B4,Aux_Lista!AD:AD,Aux_TBS!A4)</f>
        <v>8</v>
      </c>
      <c r="T4" s="159" t="s">
        <v>235</v>
      </c>
      <c r="U4" s="159">
        <v>38</v>
      </c>
    </row>
    <row r="5" spans="1:21" x14ac:dyDescent="0.25">
      <c r="A5" s="162" t="s">
        <v>4198</v>
      </c>
      <c r="B5" s="149" t="s">
        <v>234</v>
      </c>
      <c r="C5" s="159" t="str">
        <f t="shared" si="0"/>
        <v>Porto Walter, AC</v>
      </c>
      <c r="D5" s="163">
        <v>-8.27</v>
      </c>
      <c r="E5" s="149">
        <v>240</v>
      </c>
      <c r="F5" s="164">
        <v>25.931586020000001</v>
      </c>
      <c r="G5" s="164">
        <v>25.95044643</v>
      </c>
      <c r="H5" s="164">
        <v>25.831317200000001</v>
      </c>
      <c r="I5" s="164">
        <v>26.242361110000001</v>
      </c>
      <c r="J5" s="164">
        <v>25.43185484</v>
      </c>
      <c r="K5" s="164">
        <v>26.840972220000001</v>
      </c>
      <c r="L5" s="164">
        <v>24.97715054</v>
      </c>
      <c r="M5" s="164">
        <v>27.393951609999998</v>
      </c>
      <c r="N5" s="164">
        <v>28.477083329999999</v>
      </c>
      <c r="O5" s="164">
        <v>27.314516130000001</v>
      </c>
      <c r="P5" s="164">
        <v>26.47583333</v>
      </c>
      <c r="Q5" s="164">
        <v>25.537903230000001</v>
      </c>
      <c r="R5" s="164">
        <v>26.367081332499996</v>
      </c>
      <c r="S5" s="159">
        <f>SUMIFS(Aux_Lista!AE:AE,Aux_Lista!AC:AC,Aux_TBS!B5,Aux_Lista!AD:AD,Aux_TBS!A5)</f>
        <v>8</v>
      </c>
      <c r="T5" s="159" t="s">
        <v>235</v>
      </c>
      <c r="U5" s="159">
        <v>38</v>
      </c>
    </row>
    <row r="6" spans="1:21" x14ac:dyDescent="0.25">
      <c r="A6" s="162" t="s">
        <v>4776</v>
      </c>
      <c r="B6" s="149" t="s">
        <v>234</v>
      </c>
      <c r="C6" s="159" t="str">
        <f t="shared" si="0"/>
        <v>Rio Branco, AC</v>
      </c>
      <c r="D6" s="163">
        <v>-9.9600000000000009</v>
      </c>
      <c r="E6" s="149">
        <v>220</v>
      </c>
      <c r="F6" s="164">
        <v>25.056989250000001</v>
      </c>
      <c r="G6" s="164">
        <v>24.5827381</v>
      </c>
      <c r="H6" s="164">
        <v>24.93239247</v>
      </c>
      <c r="I6" s="164">
        <v>24.661944439999999</v>
      </c>
      <c r="J6" s="164">
        <v>24.88104839</v>
      </c>
      <c r="K6" s="164">
        <v>22.95972222</v>
      </c>
      <c r="L6" s="164">
        <v>24.157392470000001</v>
      </c>
      <c r="M6" s="164">
        <v>26.00564516</v>
      </c>
      <c r="N6" s="164">
        <v>26.354166670000001</v>
      </c>
      <c r="O6" s="164">
        <v>26.737500000000001</v>
      </c>
      <c r="P6" s="164">
        <v>26.162777779999999</v>
      </c>
      <c r="Q6" s="164">
        <v>24.844892470000001</v>
      </c>
      <c r="R6" s="164">
        <v>25.111434118333335</v>
      </c>
      <c r="S6" s="159">
        <f>SUMIFS(Aux_Lista!AE:AE,Aux_Lista!AC:AC,Aux_TBS!B6,Aux_Lista!AD:AD,Aux_TBS!A6)</f>
        <v>8</v>
      </c>
      <c r="T6" s="159" t="s">
        <v>235</v>
      </c>
      <c r="U6" s="159">
        <v>38</v>
      </c>
    </row>
    <row r="7" spans="1:21" x14ac:dyDescent="0.25">
      <c r="A7" s="162" t="s">
        <v>5116</v>
      </c>
      <c r="B7" s="149" t="s">
        <v>247</v>
      </c>
      <c r="C7" s="159" t="str">
        <f t="shared" si="0"/>
        <v>Arapiraca, AL</v>
      </c>
      <c r="D7" s="163">
        <v>-9.8000000000000007</v>
      </c>
      <c r="E7" s="149">
        <v>241</v>
      </c>
      <c r="F7" s="164">
        <v>26.406989249999999</v>
      </c>
      <c r="G7" s="164">
        <v>25.772916670000001</v>
      </c>
      <c r="H7" s="164">
        <v>26.377553760000001</v>
      </c>
      <c r="I7" s="164">
        <v>26.119444439999999</v>
      </c>
      <c r="J7" s="164">
        <v>24.18467742</v>
      </c>
      <c r="K7" s="164">
        <v>23.268611109999998</v>
      </c>
      <c r="L7" s="164">
        <v>22.70752688</v>
      </c>
      <c r="M7" s="164">
        <v>22.478897849999999</v>
      </c>
      <c r="N7" s="164">
        <v>23.680972220000001</v>
      </c>
      <c r="O7" s="164">
        <v>25.480107530000002</v>
      </c>
      <c r="P7" s="164">
        <v>25.608472219999999</v>
      </c>
      <c r="Q7" s="164">
        <v>26.097311829999999</v>
      </c>
      <c r="R7" s="164">
        <v>24.848623431666667</v>
      </c>
      <c r="S7" s="159">
        <f>SUMIFS(Aux_Lista!AE:AE,Aux_Lista!AC:AC,Aux_TBS!B7,Aux_Lista!AD:AD,Aux_TBS!A7)</f>
        <v>8</v>
      </c>
      <c r="T7" s="159" t="s">
        <v>248</v>
      </c>
      <c r="U7" s="159">
        <v>38</v>
      </c>
    </row>
    <row r="8" spans="1:21" x14ac:dyDescent="0.25">
      <c r="A8" s="162" t="s">
        <v>5077</v>
      </c>
      <c r="B8" s="149" t="s">
        <v>247</v>
      </c>
      <c r="C8" s="159" t="str">
        <f t="shared" si="0"/>
        <v>Coruripe, AL</v>
      </c>
      <c r="D8" s="163">
        <v>-10.130000000000001</v>
      </c>
      <c r="E8" s="149">
        <v>74</v>
      </c>
      <c r="F8" s="164">
        <v>26.892876340000001</v>
      </c>
      <c r="G8" s="164">
        <v>26.575595239999998</v>
      </c>
      <c r="H8" s="164">
        <v>27.165994619999999</v>
      </c>
      <c r="I8" s="164">
        <v>26.823472219999999</v>
      </c>
      <c r="J8" s="164">
        <v>25.16370968</v>
      </c>
      <c r="K8" s="164">
        <v>24.549166670000002</v>
      </c>
      <c r="L8" s="164">
        <v>23.970967739999999</v>
      </c>
      <c r="M8" s="164">
        <v>23.83534946</v>
      </c>
      <c r="N8" s="164">
        <v>24.667361110000002</v>
      </c>
      <c r="O8" s="164">
        <v>25.984946239999999</v>
      </c>
      <c r="P8" s="164">
        <v>26.264722219999999</v>
      </c>
      <c r="Q8" s="164">
        <v>26.821639780000002</v>
      </c>
      <c r="R8" s="164">
        <v>25.726316776666664</v>
      </c>
      <c r="S8" s="159">
        <f>SUMIFS(Aux_Lista!AE:AE,Aux_Lista!AC:AC,Aux_TBS!B8,Aux_Lista!AD:AD,Aux_TBS!A8)</f>
        <v>8</v>
      </c>
      <c r="T8" s="159" t="s">
        <v>248</v>
      </c>
      <c r="U8" s="159">
        <v>38</v>
      </c>
    </row>
    <row r="9" spans="1:21" x14ac:dyDescent="0.25">
      <c r="A9" s="162" t="s">
        <v>5135</v>
      </c>
      <c r="B9" s="149" t="s">
        <v>247</v>
      </c>
      <c r="C9" s="159" t="str">
        <f t="shared" si="0"/>
        <v>Maceió, AL</v>
      </c>
      <c r="D9" s="163">
        <v>-9.67</v>
      </c>
      <c r="E9" s="149">
        <v>64</v>
      </c>
      <c r="F9" s="164">
        <v>26.736693549999998</v>
      </c>
      <c r="G9" s="164">
        <v>26.294791669999999</v>
      </c>
      <c r="H9" s="164">
        <v>26.84798387</v>
      </c>
      <c r="I9" s="164">
        <v>26.621527780000001</v>
      </c>
      <c r="J9" s="164">
        <v>25.106048390000002</v>
      </c>
      <c r="K9" s="164">
        <v>24.23416667</v>
      </c>
      <c r="L9" s="164">
        <v>23.809543009999999</v>
      </c>
      <c r="M9" s="164">
        <v>23.655913980000001</v>
      </c>
      <c r="N9" s="164">
        <v>24.483611109999998</v>
      </c>
      <c r="O9" s="164">
        <v>25.766935480000001</v>
      </c>
      <c r="P9" s="164">
        <v>26.04972222</v>
      </c>
      <c r="Q9" s="164">
        <v>26.714381719999999</v>
      </c>
      <c r="R9" s="164">
        <v>25.526776620833335</v>
      </c>
      <c r="S9" s="159">
        <f>SUMIFS(Aux_Lista!AE:AE,Aux_Lista!AC:AC,Aux_TBS!B9,Aux_Lista!AD:AD,Aux_TBS!A9)</f>
        <v>8</v>
      </c>
      <c r="T9" s="159" t="s">
        <v>248</v>
      </c>
      <c r="U9" s="159">
        <v>38</v>
      </c>
    </row>
    <row r="10" spans="1:21" x14ac:dyDescent="0.25">
      <c r="A10" s="162" t="s">
        <v>5311</v>
      </c>
      <c r="B10" s="149" t="s">
        <v>247</v>
      </c>
      <c r="C10" s="159" t="str">
        <f t="shared" si="0"/>
        <v>Palmeira dos Índios, AL</v>
      </c>
      <c r="D10" s="163">
        <v>-9.41</v>
      </c>
      <c r="E10" s="149">
        <v>275</v>
      </c>
      <c r="F10" s="164">
        <v>27.204973119999998</v>
      </c>
      <c r="G10" s="164">
        <v>26.251339290000001</v>
      </c>
      <c r="H10" s="164">
        <v>26.96599462</v>
      </c>
      <c r="I10" s="164">
        <v>26.498055560000001</v>
      </c>
      <c r="J10" s="164">
        <v>24.2405914</v>
      </c>
      <c r="K10" s="164">
        <v>23.202777780000002</v>
      </c>
      <c r="L10" s="164">
        <v>22.75887097</v>
      </c>
      <c r="M10" s="164">
        <v>22.620161289999999</v>
      </c>
      <c r="N10" s="164">
        <v>24.086805559999998</v>
      </c>
      <c r="O10" s="164">
        <v>26.31155914</v>
      </c>
      <c r="P10" s="164">
        <v>26.42736111</v>
      </c>
      <c r="Q10" s="164">
        <v>26.84704301</v>
      </c>
      <c r="R10" s="164">
        <v>25.284627737499999</v>
      </c>
      <c r="S10" s="159">
        <f>SUMIFS(Aux_Lista!AE:AE,Aux_Lista!AC:AC,Aux_TBS!B10,Aux_Lista!AD:AD,Aux_TBS!A10)</f>
        <v>8</v>
      </c>
      <c r="T10" s="159" t="s">
        <v>248</v>
      </c>
      <c r="U10" s="159">
        <v>38</v>
      </c>
    </row>
    <row r="11" spans="1:21" x14ac:dyDescent="0.25">
      <c r="A11" s="162" t="s">
        <v>5529</v>
      </c>
      <c r="B11" s="149" t="s">
        <v>247</v>
      </c>
      <c r="C11" s="159" t="str">
        <f t="shared" si="0"/>
        <v>Pão de Açúcar, AL</v>
      </c>
      <c r="D11" s="163">
        <v>-9.75</v>
      </c>
      <c r="E11" s="149">
        <v>19</v>
      </c>
      <c r="F11" s="164">
        <v>29.765725809999999</v>
      </c>
      <c r="G11" s="164">
        <v>28.811755949999998</v>
      </c>
      <c r="H11" s="164">
        <v>29.975403230000001</v>
      </c>
      <c r="I11" s="164">
        <v>28.62916667</v>
      </c>
      <c r="J11" s="164">
        <v>25.990725810000001</v>
      </c>
      <c r="K11" s="164">
        <v>24.76388889</v>
      </c>
      <c r="L11" s="164">
        <v>24.181182799999998</v>
      </c>
      <c r="M11" s="164">
        <v>24.127553760000001</v>
      </c>
      <c r="N11" s="164">
        <v>25.40291667</v>
      </c>
      <c r="O11" s="164">
        <v>28.138709680000002</v>
      </c>
      <c r="P11" s="164">
        <v>28.673472220000001</v>
      </c>
      <c r="Q11" s="164">
        <v>29.01491935</v>
      </c>
      <c r="R11" s="164">
        <v>27.289618403333336</v>
      </c>
      <c r="S11" s="159">
        <f>SUMIFS(Aux_Lista!AE:AE,Aux_Lista!AC:AC,Aux_TBS!B11,Aux_Lista!AD:AD,Aux_TBS!A11)</f>
        <v>8</v>
      </c>
      <c r="T11" s="159" t="s">
        <v>248</v>
      </c>
      <c r="U11" s="159">
        <v>38</v>
      </c>
    </row>
    <row r="12" spans="1:21" x14ac:dyDescent="0.25">
      <c r="A12" s="162" t="s">
        <v>5134</v>
      </c>
      <c r="B12" s="149" t="s">
        <v>247</v>
      </c>
      <c r="C12" s="159" t="str">
        <f t="shared" si="0"/>
        <v>São Luís do Quitunde, AL</v>
      </c>
      <c r="D12" s="163">
        <v>-9.2899999999999991</v>
      </c>
      <c r="E12" s="149">
        <v>19</v>
      </c>
      <c r="F12" s="164">
        <v>26.621102149999999</v>
      </c>
      <c r="G12" s="164">
        <v>26.144196430000001</v>
      </c>
      <c r="H12" s="164">
        <v>26.67862903</v>
      </c>
      <c r="I12" s="164">
        <v>26.490694439999999</v>
      </c>
      <c r="J12" s="164">
        <v>25.180376339999999</v>
      </c>
      <c r="K12" s="164">
        <v>24.184583329999999</v>
      </c>
      <c r="L12" s="164">
        <v>23.710215049999999</v>
      </c>
      <c r="M12" s="164">
        <v>23.567741940000001</v>
      </c>
      <c r="N12" s="164">
        <v>24.42930556</v>
      </c>
      <c r="O12" s="164">
        <v>25.645564520000001</v>
      </c>
      <c r="P12" s="164">
        <v>25.891388890000002</v>
      </c>
      <c r="Q12" s="164">
        <v>26.56908602</v>
      </c>
      <c r="R12" s="164">
        <v>25.426073641666665</v>
      </c>
      <c r="S12" s="159">
        <f>SUMIFS(Aux_Lista!AE:AE,Aux_Lista!AC:AC,Aux_TBS!B12,Aux_Lista!AD:AD,Aux_TBS!A12)</f>
        <v>8</v>
      </c>
      <c r="T12" s="159" t="s">
        <v>248</v>
      </c>
      <c r="U12" s="159">
        <v>38</v>
      </c>
    </row>
    <row r="13" spans="1:21" x14ac:dyDescent="0.25">
      <c r="A13" s="162" t="s">
        <v>4381</v>
      </c>
      <c r="B13" s="149" t="s">
        <v>268</v>
      </c>
      <c r="C13" s="159" t="str">
        <f t="shared" si="0"/>
        <v>Autazes, AM</v>
      </c>
      <c r="D13" s="163">
        <v>-3.58</v>
      </c>
      <c r="E13" s="149">
        <v>28</v>
      </c>
      <c r="F13" s="164">
        <v>26.04153226</v>
      </c>
      <c r="G13" s="164">
        <v>25.960863100000001</v>
      </c>
      <c r="H13" s="164">
        <v>26.107526880000002</v>
      </c>
      <c r="I13" s="164">
        <v>26.322916670000001</v>
      </c>
      <c r="J13" s="164">
        <v>26.003629029999999</v>
      </c>
      <c r="K13" s="164">
        <v>26.131111109999999</v>
      </c>
      <c r="L13" s="164">
        <v>26.89596774</v>
      </c>
      <c r="M13" s="164">
        <v>27.431182799999998</v>
      </c>
      <c r="N13" s="164">
        <v>27.05763889</v>
      </c>
      <c r="O13" s="164">
        <v>26.861962370000001</v>
      </c>
      <c r="P13" s="164">
        <v>26.740416669999998</v>
      </c>
      <c r="Q13" s="164">
        <v>26.458064520000001</v>
      </c>
      <c r="R13" s="164">
        <v>26.501067669999998</v>
      </c>
      <c r="S13" s="159">
        <f>SUMIFS(Aux_Lista!AE:AE,Aux_Lista!AC:AC,Aux_TBS!B13,Aux_Lista!AD:AD,Aux_TBS!A13)</f>
        <v>8</v>
      </c>
      <c r="T13" s="159" t="s">
        <v>235</v>
      </c>
      <c r="U13" s="159">
        <v>38</v>
      </c>
    </row>
    <row r="14" spans="1:21" x14ac:dyDescent="0.25">
      <c r="A14" s="162" t="s">
        <v>4377</v>
      </c>
      <c r="B14" s="149" t="s">
        <v>268</v>
      </c>
      <c r="C14" s="159" t="str">
        <f t="shared" si="0"/>
        <v>Barcelos, AM</v>
      </c>
      <c r="D14" s="163">
        <v>-0.99</v>
      </c>
      <c r="E14" s="149">
        <v>17</v>
      </c>
      <c r="F14" s="164">
        <v>25.436424729999999</v>
      </c>
      <c r="G14" s="164">
        <v>26.15848214</v>
      </c>
      <c r="H14" s="164">
        <v>25.591129030000001</v>
      </c>
      <c r="I14" s="164">
        <v>26.128611110000001</v>
      </c>
      <c r="J14" s="164">
        <v>25.900940859999999</v>
      </c>
      <c r="K14" s="164">
        <v>25.4925</v>
      </c>
      <c r="L14" s="164">
        <v>26.018413979999998</v>
      </c>
      <c r="M14" s="164">
        <v>26.411155910000002</v>
      </c>
      <c r="N14" s="164">
        <v>26.930277780000001</v>
      </c>
      <c r="O14" s="164">
        <v>26.684946239999999</v>
      </c>
      <c r="P14" s="164">
        <v>27.229444440000002</v>
      </c>
      <c r="Q14" s="164">
        <v>27.2672043</v>
      </c>
      <c r="R14" s="164">
        <v>26.270794210000002</v>
      </c>
      <c r="S14" s="159">
        <f>SUMIFS(Aux_Lista!AE:AE,Aux_Lista!AC:AC,Aux_TBS!B14,Aux_Lista!AD:AD,Aux_TBS!A14)</f>
        <v>8</v>
      </c>
      <c r="T14" s="159" t="s">
        <v>235</v>
      </c>
      <c r="U14" s="159">
        <v>38</v>
      </c>
    </row>
    <row r="15" spans="1:21" x14ac:dyDescent="0.25">
      <c r="A15" s="162" t="s">
        <v>4305</v>
      </c>
      <c r="B15" s="149" t="s">
        <v>268</v>
      </c>
      <c r="C15" s="159" t="str">
        <f t="shared" si="0"/>
        <v>Coari, AM</v>
      </c>
      <c r="D15" s="163">
        <v>-4.0999999999999996</v>
      </c>
      <c r="E15" s="149">
        <v>43</v>
      </c>
      <c r="F15" s="164">
        <v>25.884543010000002</v>
      </c>
      <c r="G15" s="164">
        <v>26.060416669999999</v>
      </c>
      <c r="H15" s="164">
        <v>26.138440859999999</v>
      </c>
      <c r="I15" s="164">
        <v>26.250555559999999</v>
      </c>
      <c r="J15" s="164">
        <v>25.4</v>
      </c>
      <c r="K15" s="164">
        <v>25.542361110000002</v>
      </c>
      <c r="L15" s="164">
        <v>26.443010749999999</v>
      </c>
      <c r="M15" s="164">
        <v>27.308064519999999</v>
      </c>
      <c r="N15" s="164">
        <v>26.499027779999999</v>
      </c>
      <c r="O15" s="164">
        <v>26.429838709999999</v>
      </c>
      <c r="P15" s="164">
        <v>26.740416669999998</v>
      </c>
      <c r="Q15" s="164">
        <v>26.297311830000002</v>
      </c>
      <c r="R15" s="164">
        <v>26.249498955833332</v>
      </c>
      <c r="S15" s="159">
        <f>SUMIFS(Aux_Lista!AE:AE,Aux_Lista!AC:AC,Aux_TBS!B15,Aux_Lista!AD:AD,Aux_TBS!A15)</f>
        <v>8</v>
      </c>
      <c r="T15" s="159" t="s">
        <v>235</v>
      </c>
      <c r="U15" s="159">
        <v>38</v>
      </c>
    </row>
    <row r="16" spans="1:21" x14ac:dyDescent="0.25">
      <c r="A16" s="162" t="s">
        <v>3170</v>
      </c>
      <c r="B16" s="149" t="s">
        <v>268</v>
      </c>
      <c r="C16" s="159" t="str">
        <f t="shared" si="0"/>
        <v>Humaitá, AM</v>
      </c>
      <c r="D16" s="163">
        <v>-7.55</v>
      </c>
      <c r="E16" s="149">
        <v>72</v>
      </c>
      <c r="F16" s="164">
        <v>26.016532260000002</v>
      </c>
      <c r="G16" s="164">
        <v>25.934374999999999</v>
      </c>
      <c r="H16" s="164">
        <v>25.945295699999999</v>
      </c>
      <c r="I16" s="164">
        <v>25.963750000000001</v>
      </c>
      <c r="J16" s="164">
        <v>25.86236559</v>
      </c>
      <c r="K16" s="164">
        <v>25.5075</v>
      </c>
      <c r="L16" s="164">
        <v>25.952688169999998</v>
      </c>
      <c r="M16" s="164">
        <v>26.735752690000002</v>
      </c>
      <c r="N16" s="164">
        <v>27.228194439999999</v>
      </c>
      <c r="O16" s="164">
        <v>27.351478490000002</v>
      </c>
      <c r="P16" s="164">
        <v>26.96875</v>
      </c>
      <c r="Q16" s="164">
        <v>25.937365589999999</v>
      </c>
      <c r="R16" s="164">
        <v>26.283670660833334</v>
      </c>
      <c r="S16" s="159">
        <f>SUMIFS(Aux_Lista!AE:AE,Aux_Lista!AC:AC,Aux_TBS!B16,Aux_Lista!AD:AD,Aux_TBS!A16)</f>
        <v>8</v>
      </c>
      <c r="T16" s="159" t="s">
        <v>235</v>
      </c>
      <c r="U16" s="159">
        <v>38</v>
      </c>
    </row>
    <row r="17" spans="1:21" x14ac:dyDescent="0.25">
      <c r="A17" s="162" t="s">
        <v>4292</v>
      </c>
      <c r="B17" s="149" t="s">
        <v>268</v>
      </c>
      <c r="C17" s="159" t="str">
        <f t="shared" si="0"/>
        <v>Itacoatiara, AM</v>
      </c>
      <c r="D17" s="163">
        <v>-3.13</v>
      </c>
      <c r="E17" s="149">
        <v>45</v>
      </c>
      <c r="F17" s="164">
        <v>26.012903229999999</v>
      </c>
      <c r="G17" s="164">
        <v>25.641815480000002</v>
      </c>
      <c r="H17" s="164">
        <v>26.068817200000002</v>
      </c>
      <c r="I17" s="164">
        <v>26.11638889</v>
      </c>
      <c r="J17" s="164">
        <v>25.762903229999999</v>
      </c>
      <c r="K17" s="164">
        <v>26.029861109999999</v>
      </c>
      <c r="L17" s="164">
        <v>26.659677420000001</v>
      </c>
      <c r="M17" s="164">
        <v>27.25282258</v>
      </c>
      <c r="N17" s="164">
        <v>27.28569444</v>
      </c>
      <c r="O17" s="164">
        <v>27.106048390000002</v>
      </c>
      <c r="P17" s="164">
        <v>26.764861109999998</v>
      </c>
      <c r="Q17" s="164">
        <v>26.390591400000002</v>
      </c>
      <c r="R17" s="164">
        <v>26.424365373333334</v>
      </c>
      <c r="S17" s="159">
        <f>SUMIFS(Aux_Lista!AE:AE,Aux_Lista!AC:AC,Aux_TBS!B17,Aux_Lista!AD:AD,Aux_TBS!A17)</f>
        <v>8</v>
      </c>
      <c r="T17" s="159" t="s">
        <v>235</v>
      </c>
      <c r="U17" s="159">
        <v>38</v>
      </c>
    </row>
    <row r="18" spans="1:21" x14ac:dyDescent="0.25">
      <c r="A18" s="162" t="s">
        <v>4274</v>
      </c>
      <c r="B18" s="149" t="s">
        <v>268</v>
      </c>
      <c r="C18" s="159" t="str">
        <f t="shared" si="0"/>
        <v>Manacapuru, AM</v>
      </c>
      <c r="D18" s="163">
        <v>-3.29</v>
      </c>
      <c r="E18" s="149">
        <v>19</v>
      </c>
      <c r="F18" s="164">
        <v>26.035618280000001</v>
      </c>
      <c r="G18" s="164">
        <v>25.975000000000001</v>
      </c>
      <c r="H18" s="164">
        <v>26.16653226</v>
      </c>
      <c r="I18" s="164">
        <v>26.333749999999998</v>
      </c>
      <c r="J18" s="164">
        <v>25.928897849999998</v>
      </c>
      <c r="K18" s="164">
        <v>26.473333329999999</v>
      </c>
      <c r="L18" s="164">
        <v>27.39314516</v>
      </c>
      <c r="M18" s="164">
        <v>27.898118279999998</v>
      </c>
      <c r="N18" s="164">
        <v>27.502916670000001</v>
      </c>
      <c r="O18" s="164">
        <v>27.021639780000001</v>
      </c>
      <c r="P18" s="164">
        <v>27.024583329999999</v>
      </c>
      <c r="Q18" s="164">
        <v>26.59556452</v>
      </c>
      <c r="R18" s="164">
        <v>26.695758288333327</v>
      </c>
      <c r="S18" s="159">
        <f>SUMIFS(Aux_Lista!AE:AE,Aux_Lista!AC:AC,Aux_TBS!B18,Aux_Lista!AD:AD,Aux_TBS!A18)</f>
        <v>8</v>
      </c>
      <c r="T18" s="159" t="s">
        <v>235</v>
      </c>
      <c r="U18" s="159">
        <v>38</v>
      </c>
    </row>
    <row r="19" spans="1:21" x14ac:dyDescent="0.25">
      <c r="A19" s="162" t="s">
        <v>4306</v>
      </c>
      <c r="B19" s="149" t="s">
        <v>268</v>
      </c>
      <c r="C19" s="159" t="str">
        <f t="shared" si="0"/>
        <v>Manaus, AM</v>
      </c>
      <c r="D19" s="163">
        <v>-3.1</v>
      </c>
      <c r="E19" s="149">
        <v>67</v>
      </c>
      <c r="F19" s="164">
        <v>26.754569889999999</v>
      </c>
      <c r="G19" s="164">
        <v>26.819494049999999</v>
      </c>
      <c r="H19" s="164">
        <v>27.571102150000002</v>
      </c>
      <c r="I19" s="164">
        <v>26.424583330000001</v>
      </c>
      <c r="J19" s="164">
        <v>27.00416667</v>
      </c>
      <c r="K19" s="164">
        <v>26.793333329999999</v>
      </c>
      <c r="L19" s="164">
        <v>26.734005379999999</v>
      </c>
      <c r="M19" s="164">
        <v>27.9327957</v>
      </c>
      <c r="N19" s="164">
        <v>28.966944439999999</v>
      </c>
      <c r="O19" s="164">
        <v>28.248252690000001</v>
      </c>
      <c r="P19" s="164">
        <v>27.32680556</v>
      </c>
      <c r="Q19" s="164">
        <v>26.74583333</v>
      </c>
      <c r="R19" s="164">
        <v>27.276823876666665</v>
      </c>
      <c r="S19" s="159">
        <f>SUMIFS(Aux_Lista!AE:AE,Aux_Lista!AC:AC,Aux_TBS!B19,Aux_Lista!AD:AD,Aux_TBS!A19)</f>
        <v>8</v>
      </c>
      <c r="T19" s="159" t="s">
        <v>235</v>
      </c>
      <c r="U19" s="159">
        <v>38</v>
      </c>
    </row>
    <row r="20" spans="1:21" x14ac:dyDescent="0.25">
      <c r="A20" s="162" t="s">
        <v>4453</v>
      </c>
      <c r="B20" s="149" t="s">
        <v>268</v>
      </c>
      <c r="C20" s="159" t="str">
        <f t="shared" si="0"/>
        <v>Maués, AM</v>
      </c>
      <c r="D20" s="163">
        <v>-3.4</v>
      </c>
      <c r="E20" s="149">
        <v>35</v>
      </c>
      <c r="F20" s="164">
        <v>25.852956989999999</v>
      </c>
      <c r="G20" s="164">
        <v>25.221130949999999</v>
      </c>
      <c r="H20" s="164">
        <v>25.581451609999998</v>
      </c>
      <c r="I20" s="164">
        <v>25.917777780000002</v>
      </c>
      <c r="J20" s="164">
        <v>25.614112899999999</v>
      </c>
      <c r="K20" s="164">
        <v>25.83666667</v>
      </c>
      <c r="L20" s="164">
        <v>26.61747312</v>
      </c>
      <c r="M20" s="164">
        <v>27.536962370000001</v>
      </c>
      <c r="N20" s="164">
        <v>27.78541667</v>
      </c>
      <c r="O20" s="164">
        <v>27.926344090000001</v>
      </c>
      <c r="P20" s="164">
        <v>28.19125</v>
      </c>
      <c r="Q20" s="164">
        <v>26.710215049999999</v>
      </c>
      <c r="R20" s="164">
        <v>26.565979850000002</v>
      </c>
      <c r="S20" s="159">
        <f>SUMIFS(Aux_Lista!AE:AE,Aux_Lista!AC:AC,Aux_TBS!B20,Aux_Lista!AD:AD,Aux_TBS!A20)</f>
        <v>8</v>
      </c>
      <c r="T20" s="159" t="s">
        <v>235</v>
      </c>
      <c r="U20" s="159">
        <v>38</v>
      </c>
    </row>
    <row r="21" spans="1:21" x14ac:dyDescent="0.25">
      <c r="A21" s="162" t="s">
        <v>5171</v>
      </c>
      <c r="B21" s="149" t="s">
        <v>268</v>
      </c>
      <c r="C21" s="159" t="str">
        <f t="shared" si="0"/>
        <v>Parintins, AM</v>
      </c>
      <c r="D21" s="163">
        <v>-2.64</v>
      </c>
      <c r="E21" s="149">
        <v>35</v>
      </c>
      <c r="F21" s="164">
        <v>26.47768817</v>
      </c>
      <c r="G21" s="164">
        <v>26.006250000000001</v>
      </c>
      <c r="H21" s="164">
        <v>25.978225810000001</v>
      </c>
      <c r="I21" s="164">
        <v>26.34111111</v>
      </c>
      <c r="J21" s="164">
        <v>26.13991935</v>
      </c>
      <c r="K21" s="164">
        <v>26.494444439999999</v>
      </c>
      <c r="L21" s="164">
        <v>27.232123659999999</v>
      </c>
      <c r="M21" s="164">
        <v>28.66653226</v>
      </c>
      <c r="N21" s="164">
        <v>29.303194439999999</v>
      </c>
      <c r="O21" s="164">
        <v>29.231989250000002</v>
      </c>
      <c r="P21" s="164">
        <v>29.735972220000001</v>
      </c>
      <c r="Q21" s="164">
        <v>28.191532259999999</v>
      </c>
      <c r="R21" s="164">
        <v>27.483248580833333</v>
      </c>
      <c r="S21" s="159">
        <f>SUMIFS(Aux_Lista!AE:AE,Aux_Lista!AC:AC,Aux_TBS!B21,Aux_Lista!AD:AD,Aux_TBS!A21)</f>
        <v>8</v>
      </c>
      <c r="T21" s="159" t="s">
        <v>235</v>
      </c>
      <c r="U21" s="159">
        <v>38</v>
      </c>
    </row>
    <row r="22" spans="1:21" x14ac:dyDescent="0.25">
      <c r="A22" s="162" t="s">
        <v>4460</v>
      </c>
      <c r="B22" s="149" t="s">
        <v>268</v>
      </c>
      <c r="C22" s="159" t="str">
        <f t="shared" si="0"/>
        <v>Presidente Figueiredo, AM</v>
      </c>
      <c r="D22" s="163">
        <v>-2.06</v>
      </c>
      <c r="E22" s="149">
        <v>92</v>
      </c>
      <c r="F22" s="164">
        <v>25.55268817</v>
      </c>
      <c r="G22" s="164">
        <v>25.519940479999999</v>
      </c>
      <c r="H22" s="164">
        <v>25.52284946</v>
      </c>
      <c r="I22" s="164">
        <v>26.11222222</v>
      </c>
      <c r="J22" s="164">
        <v>25.796505379999999</v>
      </c>
      <c r="K22" s="164">
        <v>25.886388889999999</v>
      </c>
      <c r="L22" s="164">
        <v>26.608333330000001</v>
      </c>
      <c r="M22" s="164">
        <v>27.613709679999999</v>
      </c>
      <c r="N22" s="164">
        <v>27.8475</v>
      </c>
      <c r="O22" s="164">
        <v>27.901478489999999</v>
      </c>
      <c r="P22" s="164">
        <v>28.325972220000001</v>
      </c>
      <c r="Q22" s="164">
        <v>26.986693549999998</v>
      </c>
      <c r="R22" s="164">
        <v>26.639523489166663</v>
      </c>
      <c r="S22" s="159">
        <f>SUMIFS(Aux_Lista!AE:AE,Aux_Lista!AC:AC,Aux_TBS!B22,Aux_Lista!AD:AD,Aux_TBS!A22)</f>
        <v>8</v>
      </c>
      <c r="T22" s="159" t="s">
        <v>235</v>
      </c>
      <c r="U22" s="159">
        <v>38</v>
      </c>
    </row>
    <row r="23" spans="1:21" x14ac:dyDescent="0.25">
      <c r="A23" s="162" t="s">
        <v>5261</v>
      </c>
      <c r="B23" s="149" t="s">
        <v>268</v>
      </c>
      <c r="C23" s="159" t="str">
        <f t="shared" si="0"/>
        <v>Urucará, AM</v>
      </c>
      <c r="D23" s="163">
        <v>-2.5299999999999998</v>
      </c>
      <c r="E23" s="149">
        <v>17</v>
      </c>
      <c r="F23" s="164">
        <v>26.43709677</v>
      </c>
      <c r="G23" s="164">
        <v>25.999255949999998</v>
      </c>
      <c r="H23" s="164">
        <v>26.1077957</v>
      </c>
      <c r="I23" s="164">
        <v>26.341249999999999</v>
      </c>
      <c r="J23" s="164">
        <v>25.98642473</v>
      </c>
      <c r="K23" s="164">
        <v>26.513194439999999</v>
      </c>
      <c r="L23" s="164">
        <v>27.535080650000001</v>
      </c>
      <c r="M23" s="164">
        <v>28.759946240000001</v>
      </c>
      <c r="N23" s="164">
        <v>29.362361109999998</v>
      </c>
      <c r="O23" s="164">
        <v>29.066129029999999</v>
      </c>
      <c r="P23" s="164">
        <v>29.404166669999999</v>
      </c>
      <c r="Q23" s="164">
        <v>27.93790323</v>
      </c>
      <c r="R23" s="164">
        <v>27.454217043333333</v>
      </c>
      <c r="S23" s="159">
        <f>SUMIFS(Aux_Lista!AE:AE,Aux_Lista!AC:AC,Aux_TBS!B23,Aux_Lista!AD:AD,Aux_TBS!A23)</f>
        <v>8</v>
      </c>
      <c r="T23" s="159" t="s">
        <v>235</v>
      </c>
      <c r="U23" s="159">
        <v>38</v>
      </c>
    </row>
    <row r="24" spans="1:21" x14ac:dyDescent="0.25">
      <c r="A24" s="162" t="s">
        <v>4457</v>
      </c>
      <c r="B24" s="149" t="s">
        <v>279</v>
      </c>
      <c r="C24" s="159" t="str">
        <f t="shared" si="0"/>
        <v>Macapá, AP</v>
      </c>
      <c r="D24" s="163">
        <v>0.04</v>
      </c>
      <c r="E24" s="149">
        <v>15</v>
      </c>
      <c r="F24" s="164">
        <v>25.107392470000001</v>
      </c>
      <c r="G24" s="164">
        <v>24.63794643</v>
      </c>
      <c r="H24" s="164">
        <v>25.15819892</v>
      </c>
      <c r="I24" s="164">
        <v>25.567499999999999</v>
      </c>
      <c r="J24" s="164">
        <v>25.214381719999999</v>
      </c>
      <c r="K24" s="164">
        <v>25.002777779999999</v>
      </c>
      <c r="L24" s="164">
        <v>25.076747309999998</v>
      </c>
      <c r="M24" s="164">
        <v>26.040456989999999</v>
      </c>
      <c r="N24" s="164">
        <v>26.859722219999998</v>
      </c>
      <c r="O24" s="164">
        <v>27.229301079999999</v>
      </c>
      <c r="P24" s="164">
        <v>27.621111110000001</v>
      </c>
      <c r="Q24" s="164">
        <v>25.77473118</v>
      </c>
      <c r="R24" s="164">
        <v>25.77418893416667</v>
      </c>
      <c r="S24" s="159">
        <f>SUMIFS(Aux_Lista!AE:AE,Aux_Lista!AC:AC,Aux_TBS!B24,Aux_Lista!AD:AD,Aux_TBS!A24)</f>
        <v>8</v>
      </c>
      <c r="T24" s="159" t="s">
        <v>235</v>
      </c>
      <c r="U24" s="159">
        <v>38</v>
      </c>
    </row>
    <row r="25" spans="1:21" x14ac:dyDescent="0.25">
      <c r="A25" s="162" t="s">
        <v>4462</v>
      </c>
      <c r="B25" s="149" t="s">
        <v>279</v>
      </c>
      <c r="C25" s="159" t="str">
        <f t="shared" si="0"/>
        <v>Oiapoque, AP</v>
      </c>
      <c r="D25" s="163">
        <v>3.81</v>
      </c>
      <c r="E25" s="149">
        <v>21</v>
      </c>
      <c r="F25" s="164">
        <v>24.450672040000001</v>
      </c>
      <c r="G25" s="164">
        <v>24.586755950000001</v>
      </c>
      <c r="H25" s="164">
        <v>25.153091400000001</v>
      </c>
      <c r="I25" s="164">
        <v>25.462083329999999</v>
      </c>
      <c r="J25" s="164">
        <v>25.43145161</v>
      </c>
      <c r="K25" s="164">
        <v>25.025416669999998</v>
      </c>
      <c r="L25" s="164">
        <v>25.2766129</v>
      </c>
      <c r="M25" s="164">
        <v>26.03776882</v>
      </c>
      <c r="N25" s="164">
        <v>26.33888889</v>
      </c>
      <c r="O25" s="164">
        <v>26.962499999999999</v>
      </c>
      <c r="P25" s="164">
        <v>26.684305559999999</v>
      </c>
      <c r="Q25" s="164">
        <v>25.28306452</v>
      </c>
      <c r="R25" s="164">
        <v>25.557717640833332</v>
      </c>
      <c r="S25" s="159">
        <f>SUMIFS(Aux_Lista!AE:AE,Aux_Lista!AC:AC,Aux_TBS!B25,Aux_Lista!AD:AD,Aux_TBS!A25)</f>
        <v>8</v>
      </c>
      <c r="T25" s="159" t="s">
        <v>235</v>
      </c>
      <c r="U25" s="159">
        <v>38</v>
      </c>
    </row>
    <row r="26" spans="1:21" x14ac:dyDescent="0.25">
      <c r="A26" s="162" t="s">
        <v>4458</v>
      </c>
      <c r="B26" s="149" t="s">
        <v>279</v>
      </c>
      <c r="C26" s="159" t="str">
        <f t="shared" si="0"/>
        <v>Porto Grande, AP</v>
      </c>
      <c r="D26" s="163">
        <v>0.7</v>
      </c>
      <c r="E26" s="149">
        <v>77</v>
      </c>
      <c r="F26" s="164">
        <v>25.107392470000001</v>
      </c>
      <c r="G26" s="164">
        <v>24.63794643</v>
      </c>
      <c r="H26" s="164">
        <v>25.15819892</v>
      </c>
      <c r="I26" s="164">
        <v>25.567499999999999</v>
      </c>
      <c r="J26" s="164">
        <v>25.214381719999999</v>
      </c>
      <c r="K26" s="164">
        <v>25.002777779999999</v>
      </c>
      <c r="L26" s="164">
        <v>25.076747309999998</v>
      </c>
      <c r="M26" s="164">
        <v>26.040456989999999</v>
      </c>
      <c r="N26" s="164">
        <v>26.859722219999998</v>
      </c>
      <c r="O26" s="164">
        <v>27.229301079999999</v>
      </c>
      <c r="P26" s="164">
        <v>27.621111110000001</v>
      </c>
      <c r="Q26" s="164">
        <v>25.77473118</v>
      </c>
      <c r="R26" s="164">
        <v>25.77418893416667</v>
      </c>
      <c r="S26" s="159">
        <f>SUMIFS(Aux_Lista!AE:AE,Aux_Lista!AC:AC,Aux_TBS!B26,Aux_Lista!AD:AD,Aux_TBS!A26)</f>
        <v>8</v>
      </c>
      <c r="T26" s="159" t="s">
        <v>235</v>
      </c>
      <c r="U26" s="159">
        <v>38</v>
      </c>
    </row>
    <row r="27" spans="1:21" x14ac:dyDescent="0.25">
      <c r="A27" s="162" t="s">
        <v>4461</v>
      </c>
      <c r="B27" s="149" t="s">
        <v>279</v>
      </c>
      <c r="C27" s="159" t="str">
        <f t="shared" si="0"/>
        <v>Tartarugalzinho, AP</v>
      </c>
      <c r="D27" s="163">
        <v>1.5</v>
      </c>
      <c r="E27" s="149">
        <v>21</v>
      </c>
      <c r="F27" s="164">
        <v>25.332795699999998</v>
      </c>
      <c r="G27" s="164">
        <v>24.946279759999999</v>
      </c>
      <c r="H27" s="164">
        <v>25.596774190000001</v>
      </c>
      <c r="I27" s="164">
        <v>25.81555556</v>
      </c>
      <c r="J27" s="164">
        <v>25.36465054</v>
      </c>
      <c r="K27" s="164">
        <v>25.156388889999999</v>
      </c>
      <c r="L27" s="164">
        <v>25.929435479999999</v>
      </c>
      <c r="M27" s="164">
        <v>26.571505380000001</v>
      </c>
      <c r="N27" s="164">
        <v>26.911666669999999</v>
      </c>
      <c r="O27" s="164">
        <v>27.362634409999998</v>
      </c>
      <c r="P27" s="164">
        <v>27.353194439999999</v>
      </c>
      <c r="Q27" s="164">
        <v>25.505241940000001</v>
      </c>
      <c r="R27" s="164">
        <v>25.987176913333329</v>
      </c>
      <c r="S27" s="159">
        <f>SUMIFS(Aux_Lista!AE:AE,Aux_Lista!AC:AC,Aux_TBS!B27,Aux_Lista!AD:AD,Aux_TBS!A27)</f>
        <v>8</v>
      </c>
      <c r="T27" s="159" t="s">
        <v>235</v>
      </c>
      <c r="U27" s="159">
        <v>38</v>
      </c>
    </row>
    <row r="28" spans="1:21" x14ac:dyDescent="0.25">
      <c r="A28" s="162" t="s">
        <v>1946</v>
      </c>
      <c r="B28" s="149" t="s">
        <v>289</v>
      </c>
      <c r="C28" s="159" t="str">
        <f t="shared" si="0"/>
        <v>Amargosa, BA</v>
      </c>
      <c r="D28" s="163">
        <v>-13.01</v>
      </c>
      <c r="E28" s="149">
        <v>407</v>
      </c>
      <c r="F28" s="164">
        <v>24.718548389999999</v>
      </c>
      <c r="G28" s="164">
        <v>25.16919643</v>
      </c>
      <c r="H28" s="164">
        <v>25.455913979999998</v>
      </c>
      <c r="I28" s="164">
        <v>24.135416670000001</v>
      </c>
      <c r="J28" s="164">
        <v>23.59086022</v>
      </c>
      <c r="K28" s="164">
        <v>21.756250000000001</v>
      </c>
      <c r="L28" s="164">
        <v>20.2188172</v>
      </c>
      <c r="M28" s="164">
        <v>20.59180108</v>
      </c>
      <c r="N28" s="164">
        <v>21.42583333</v>
      </c>
      <c r="O28" s="164">
        <v>22.89408602</v>
      </c>
      <c r="P28" s="164">
        <v>24.403888890000001</v>
      </c>
      <c r="Q28" s="164">
        <v>23.908467739999999</v>
      </c>
      <c r="R28" s="164">
        <v>23.189089995833331</v>
      </c>
      <c r="S28" s="159">
        <f>SUMIFS(Aux_Lista!AE:AE,Aux_Lista!AC:AC,Aux_TBS!B28,Aux_Lista!AD:AD,Aux_TBS!A28)</f>
        <v>8</v>
      </c>
      <c r="T28" s="159" t="s">
        <v>248</v>
      </c>
      <c r="U28" s="159">
        <v>38</v>
      </c>
    </row>
    <row r="29" spans="1:21" x14ac:dyDescent="0.25">
      <c r="A29" s="162" t="s">
        <v>5592</v>
      </c>
      <c r="B29" s="149" t="s">
        <v>289</v>
      </c>
      <c r="C29" s="159" t="str">
        <f t="shared" si="0"/>
        <v>Barra, BA</v>
      </c>
      <c r="D29" s="163">
        <v>-11.08</v>
      </c>
      <c r="E29" s="149">
        <v>403</v>
      </c>
      <c r="F29" s="164">
        <v>27.166397849999999</v>
      </c>
      <c r="G29" s="164">
        <v>27.324553569999999</v>
      </c>
      <c r="H29" s="164">
        <v>27.163844090000001</v>
      </c>
      <c r="I29" s="164">
        <v>25.933888889999999</v>
      </c>
      <c r="J29" s="164">
        <v>25.260887100000001</v>
      </c>
      <c r="K29" s="164">
        <v>24.72666667</v>
      </c>
      <c r="L29" s="164">
        <v>25.007795699999999</v>
      </c>
      <c r="M29" s="164">
        <v>26.288172039999999</v>
      </c>
      <c r="N29" s="164">
        <v>29.139722219999999</v>
      </c>
      <c r="O29" s="164">
        <v>28.281586019999999</v>
      </c>
      <c r="P29" s="164">
        <v>28.624166670000001</v>
      </c>
      <c r="Q29" s="164">
        <v>26.681048390000001</v>
      </c>
      <c r="R29" s="164">
        <v>26.799894100833338</v>
      </c>
      <c r="S29" s="159">
        <f>SUMIFS(Aux_Lista!AE:AE,Aux_Lista!AC:AC,Aux_TBS!B29,Aux_Lista!AD:AD,Aux_TBS!A29)</f>
        <v>6</v>
      </c>
      <c r="T29" s="159" t="s">
        <v>248</v>
      </c>
      <c r="U29" s="159">
        <v>38</v>
      </c>
    </row>
    <row r="30" spans="1:21" x14ac:dyDescent="0.25">
      <c r="A30" s="162" t="s">
        <v>5682</v>
      </c>
      <c r="B30" s="149" t="s">
        <v>289</v>
      </c>
      <c r="C30" s="159" t="str">
        <f t="shared" si="0"/>
        <v>Barreiras, BA</v>
      </c>
      <c r="D30" s="163">
        <v>-12.15</v>
      </c>
      <c r="E30" s="149">
        <v>470</v>
      </c>
      <c r="F30" s="164">
        <v>26.284274190000001</v>
      </c>
      <c r="G30" s="164">
        <v>24.269196430000001</v>
      </c>
      <c r="H30" s="164">
        <v>25.20013441</v>
      </c>
      <c r="I30" s="164">
        <v>25.194444440000002</v>
      </c>
      <c r="J30" s="164">
        <v>24.949059139999999</v>
      </c>
      <c r="K30" s="164">
        <v>23.004305559999999</v>
      </c>
      <c r="L30" s="164">
        <v>23.433870970000001</v>
      </c>
      <c r="M30" s="164">
        <v>24.741935479999999</v>
      </c>
      <c r="N30" s="164">
        <v>27.061111109999999</v>
      </c>
      <c r="O30" s="164">
        <v>26.557526880000001</v>
      </c>
      <c r="P30" s="164">
        <v>25.75305556</v>
      </c>
      <c r="Q30" s="164">
        <v>24.984005379999999</v>
      </c>
      <c r="R30" s="164">
        <v>25.119409962500001</v>
      </c>
      <c r="S30" s="159">
        <f>SUMIFS(Aux_Lista!AE:AE,Aux_Lista!AC:AC,Aux_TBS!B30,Aux_Lista!AD:AD,Aux_TBS!A30)</f>
        <v>7</v>
      </c>
      <c r="T30" s="159" t="s">
        <v>248</v>
      </c>
      <c r="U30" s="159">
        <v>38</v>
      </c>
    </row>
    <row r="31" spans="1:21" x14ac:dyDescent="0.25">
      <c r="A31" s="162" t="s">
        <v>1390</v>
      </c>
      <c r="B31" s="149" t="s">
        <v>289</v>
      </c>
      <c r="C31" s="159" t="str">
        <f t="shared" si="0"/>
        <v>Belmonte, BA</v>
      </c>
      <c r="D31" s="163">
        <v>-16.09</v>
      </c>
      <c r="E31" s="149">
        <v>88</v>
      </c>
      <c r="F31" s="164">
        <v>25.809811830000001</v>
      </c>
      <c r="G31" s="164">
        <v>25.381250000000001</v>
      </c>
      <c r="H31" s="164">
        <v>25.734274190000001</v>
      </c>
      <c r="I31" s="164">
        <v>24.364305559999998</v>
      </c>
      <c r="J31" s="164">
        <v>23.418010750000001</v>
      </c>
      <c r="K31" s="164">
        <v>21.174305560000001</v>
      </c>
      <c r="L31" s="164">
        <v>21.388172040000001</v>
      </c>
      <c r="M31" s="164">
        <v>21.344489249999999</v>
      </c>
      <c r="N31" s="164">
        <v>22.689305560000001</v>
      </c>
      <c r="O31" s="164">
        <v>23.856048390000002</v>
      </c>
      <c r="P31" s="164">
        <v>24.603750000000002</v>
      </c>
      <c r="Q31" s="164">
        <v>25.74811828</v>
      </c>
      <c r="R31" s="164">
        <v>23.792653450833331</v>
      </c>
      <c r="S31" s="159">
        <f>SUMIFS(Aux_Lista!AE:AE,Aux_Lista!AC:AC,Aux_TBS!B31,Aux_Lista!AD:AD,Aux_TBS!A31)</f>
        <v>8</v>
      </c>
      <c r="T31" s="159" t="s">
        <v>248</v>
      </c>
      <c r="U31" s="159">
        <v>38</v>
      </c>
    </row>
    <row r="32" spans="1:21" x14ac:dyDescent="0.25">
      <c r="A32" s="162" t="s">
        <v>5552</v>
      </c>
      <c r="B32" s="149" t="s">
        <v>289</v>
      </c>
      <c r="C32" s="159" t="str">
        <f t="shared" si="0"/>
        <v>Bom Jesus da Lapa, BA</v>
      </c>
      <c r="D32" s="163">
        <v>-13.26</v>
      </c>
      <c r="E32" s="149">
        <v>440</v>
      </c>
      <c r="F32" s="164">
        <v>26.116666670000001</v>
      </c>
      <c r="G32" s="164">
        <v>26.763988099999999</v>
      </c>
      <c r="H32" s="164">
        <v>27.052553759999999</v>
      </c>
      <c r="I32" s="164">
        <v>25.03430556</v>
      </c>
      <c r="J32" s="164">
        <v>24.038978490000002</v>
      </c>
      <c r="K32" s="164">
        <v>24.067638890000001</v>
      </c>
      <c r="L32" s="164">
        <v>24.9155914</v>
      </c>
      <c r="M32" s="164">
        <v>26.066129029999999</v>
      </c>
      <c r="N32" s="164">
        <v>29.074583329999999</v>
      </c>
      <c r="O32" s="164">
        <v>28.019623660000001</v>
      </c>
      <c r="P32" s="164">
        <v>27.492361110000001</v>
      </c>
      <c r="Q32" s="164">
        <v>26.40766129</v>
      </c>
      <c r="R32" s="164">
        <v>26.254173440833338</v>
      </c>
      <c r="S32" s="159">
        <f>SUMIFS(Aux_Lista!AE:AE,Aux_Lista!AC:AC,Aux_TBS!B32,Aux_Lista!AD:AD,Aux_TBS!A32)</f>
        <v>6</v>
      </c>
      <c r="T32" s="159" t="s">
        <v>248</v>
      </c>
      <c r="U32" s="159">
        <v>38</v>
      </c>
    </row>
    <row r="33" spans="1:21" x14ac:dyDescent="0.25">
      <c r="A33" s="162" t="s">
        <v>2392</v>
      </c>
      <c r="B33" s="149" t="s">
        <v>289</v>
      </c>
      <c r="C33" s="159" t="str">
        <f t="shared" si="0"/>
        <v>Brumado, BA</v>
      </c>
      <c r="D33" s="163">
        <v>-14.18</v>
      </c>
      <c r="E33" s="149">
        <v>470</v>
      </c>
      <c r="F33" s="164">
        <v>24.64502688</v>
      </c>
      <c r="G33" s="164">
        <v>26.345089290000001</v>
      </c>
      <c r="H33" s="164">
        <v>27.2141129</v>
      </c>
      <c r="I33" s="164">
        <v>24.09486111</v>
      </c>
      <c r="J33" s="164">
        <v>22.468548389999999</v>
      </c>
      <c r="K33" s="164">
        <v>21.793194440000001</v>
      </c>
      <c r="L33" s="164">
        <v>22.564247309999999</v>
      </c>
      <c r="M33" s="164">
        <v>23.72056452</v>
      </c>
      <c r="N33" s="164">
        <v>26.41222222</v>
      </c>
      <c r="O33" s="164">
        <v>27.22715054</v>
      </c>
      <c r="P33" s="164">
        <v>27.885694440000002</v>
      </c>
      <c r="Q33" s="164">
        <v>27.726344090000001</v>
      </c>
      <c r="R33" s="164">
        <v>25.174754677500001</v>
      </c>
      <c r="S33" s="159">
        <f>SUMIFS(Aux_Lista!AE:AE,Aux_Lista!AC:AC,Aux_TBS!B33,Aux_Lista!AD:AD,Aux_TBS!A33)</f>
        <v>5</v>
      </c>
      <c r="T33" s="159" t="s">
        <v>248</v>
      </c>
      <c r="U33" s="159">
        <v>38</v>
      </c>
    </row>
    <row r="34" spans="1:21" x14ac:dyDescent="0.25">
      <c r="A34" s="162" t="s">
        <v>5595</v>
      </c>
      <c r="B34" s="149" t="s">
        <v>289</v>
      </c>
      <c r="C34" s="159" t="str">
        <f t="shared" si="0"/>
        <v>Buritirama, BA</v>
      </c>
      <c r="D34" s="163">
        <v>-10.72</v>
      </c>
      <c r="E34" s="149">
        <v>502</v>
      </c>
      <c r="F34" s="164">
        <v>25.590725809999999</v>
      </c>
      <c r="G34" s="164">
        <v>27.243005950000001</v>
      </c>
      <c r="H34" s="164">
        <v>25.007123660000001</v>
      </c>
      <c r="I34" s="164">
        <v>24.172361110000001</v>
      </c>
      <c r="J34" s="164">
        <v>23.665860219999999</v>
      </c>
      <c r="K34" s="164">
        <v>23.077222219999999</v>
      </c>
      <c r="L34" s="164">
        <v>23.450403229999999</v>
      </c>
      <c r="M34" s="164">
        <v>25.375672040000001</v>
      </c>
      <c r="N34" s="164">
        <v>27.995972219999999</v>
      </c>
      <c r="O34" s="164">
        <v>26.73185484</v>
      </c>
      <c r="P34" s="164">
        <v>27.731666669999999</v>
      </c>
      <c r="Q34" s="164">
        <v>25.42392473</v>
      </c>
      <c r="R34" s="164">
        <v>25.455482725</v>
      </c>
      <c r="S34" s="159">
        <f>SUMIFS(Aux_Lista!AE:AE,Aux_Lista!AC:AC,Aux_TBS!B34,Aux_Lista!AD:AD,Aux_TBS!A34)</f>
        <v>6</v>
      </c>
      <c r="T34" s="159" t="s">
        <v>248</v>
      </c>
      <c r="U34" s="159">
        <v>38</v>
      </c>
    </row>
    <row r="35" spans="1:21" x14ac:dyDescent="0.25">
      <c r="A35" s="162" t="s">
        <v>5032</v>
      </c>
      <c r="B35" s="149" t="s">
        <v>289</v>
      </c>
      <c r="C35" s="159" t="str">
        <f t="shared" si="0"/>
        <v>Caravelas, BA</v>
      </c>
      <c r="D35" s="163">
        <v>-17.73</v>
      </c>
      <c r="E35" s="149">
        <v>3</v>
      </c>
      <c r="F35" s="164">
        <v>26.255510749999999</v>
      </c>
      <c r="G35" s="164">
        <v>26.854613100000002</v>
      </c>
      <c r="H35" s="164">
        <v>26.96680108</v>
      </c>
      <c r="I35" s="164">
        <v>25.509861109999999</v>
      </c>
      <c r="J35" s="164">
        <v>24.054704300000001</v>
      </c>
      <c r="K35" s="164">
        <v>22.846666670000001</v>
      </c>
      <c r="L35" s="164">
        <v>22.666263440000002</v>
      </c>
      <c r="M35" s="164">
        <v>23.056317199999999</v>
      </c>
      <c r="N35" s="164">
        <v>24.392222220000001</v>
      </c>
      <c r="O35" s="164">
        <v>25.070833329999999</v>
      </c>
      <c r="P35" s="164">
        <v>25.788888889999999</v>
      </c>
      <c r="Q35" s="164">
        <v>26.912634409999999</v>
      </c>
      <c r="R35" s="164">
        <v>25.031276375000001</v>
      </c>
      <c r="S35" s="159">
        <f>SUMIFS(Aux_Lista!AE:AE,Aux_Lista!AC:AC,Aux_TBS!B35,Aux_Lista!AD:AD,Aux_TBS!A35)</f>
        <v>8</v>
      </c>
      <c r="T35" s="159" t="s">
        <v>248</v>
      </c>
      <c r="U35" s="159">
        <v>38</v>
      </c>
    </row>
    <row r="36" spans="1:21" x14ac:dyDescent="0.25">
      <c r="A36" s="162" t="s">
        <v>5013</v>
      </c>
      <c r="B36" s="149" t="s">
        <v>289</v>
      </c>
      <c r="C36" s="159" t="str">
        <f t="shared" si="0"/>
        <v>Conde, BA</v>
      </c>
      <c r="D36" s="163">
        <v>-11.81</v>
      </c>
      <c r="E36" s="149">
        <v>14</v>
      </c>
      <c r="F36" s="164">
        <v>27.269354839999998</v>
      </c>
      <c r="G36" s="164">
        <v>26.953422620000001</v>
      </c>
      <c r="H36" s="164">
        <v>27.27701613</v>
      </c>
      <c r="I36" s="164">
        <v>26.821388890000001</v>
      </c>
      <c r="J36" s="164">
        <v>25.026478489999999</v>
      </c>
      <c r="K36" s="164">
        <v>24.682916670000001</v>
      </c>
      <c r="L36" s="164">
        <v>24.027284949999999</v>
      </c>
      <c r="M36" s="164">
        <v>24.055107530000001</v>
      </c>
      <c r="N36" s="164">
        <v>24.780277779999999</v>
      </c>
      <c r="O36" s="164">
        <v>26.229704300000002</v>
      </c>
      <c r="P36" s="164">
        <v>26.62055556</v>
      </c>
      <c r="Q36" s="164">
        <v>27.54206989</v>
      </c>
      <c r="R36" s="164">
        <v>25.940464804166666</v>
      </c>
      <c r="S36" s="159">
        <f>SUMIFS(Aux_Lista!AE:AE,Aux_Lista!AC:AC,Aux_TBS!B36,Aux_Lista!AD:AD,Aux_TBS!A36)</f>
        <v>8</v>
      </c>
      <c r="T36" s="159" t="s">
        <v>248</v>
      </c>
      <c r="U36" s="159">
        <v>38</v>
      </c>
    </row>
    <row r="37" spans="1:21" x14ac:dyDescent="0.25">
      <c r="A37" s="162" t="s">
        <v>3054</v>
      </c>
      <c r="B37" s="149" t="s">
        <v>289</v>
      </c>
      <c r="C37" s="159" t="str">
        <f t="shared" si="0"/>
        <v>Correntina, BA</v>
      </c>
      <c r="D37" s="163">
        <v>-13.33</v>
      </c>
      <c r="E37" s="149">
        <v>549</v>
      </c>
      <c r="F37" s="164">
        <v>24.263709680000002</v>
      </c>
      <c r="G37" s="164">
        <v>24.50327381</v>
      </c>
      <c r="H37" s="164">
        <v>23.775806450000001</v>
      </c>
      <c r="I37" s="164">
        <v>23.82152778</v>
      </c>
      <c r="J37" s="164">
        <v>22.81155914</v>
      </c>
      <c r="K37" s="164">
        <v>21.318611109999999</v>
      </c>
      <c r="L37" s="164">
        <v>20.541935479999999</v>
      </c>
      <c r="M37" s="164">
        <v>22.760483870000002</v>
      </c>
      <c r="N37" s="164">
        <v>25.226805559999999</v>
      </c>
      <c r="O37" s="164">
        <v>27.431048390000001</v>
      </c>
      <c r="P37" s="164">
        <v>25.31666667</v>
      </c>
      <c r="Q37" s="164">
        <v>24.163575269999999</v>
      </c>
      <c r="R37" s="164">
        <v>23.827916934166669</v>
      </c>
      <c r="S37" s="159">
        <f>SUMIFS(Aux_Lista!AE:AE,Aux_Lista!AC:AC,Aux_TBS!B37,Aux_Lista!AD:AD,Aux_TBS!A37)</f>
        <v>6</v>
      </c>
      <c r="T37" s="159" t="s">
        <v>248</v>
      </c>
      <c r="U37" s="159">
        <v>38</v>
      </c>
    </row>
    <row r="38" spans="1:21" x14ac:dyDescent="0.25">
      <c r="A38" s="162" t="s">
        <v>2214</v>
      </c>
      <c r="B38" s="149" t="s">
        <v>289</v>
      </c>
      <c r="C38" s="159" t="str">
        <f t="shared" si="0"/>
        <v>Cruz das Almas, BA</v>
      </c>
      <c r="D38" s="163">
        <v>-12.67</v>
      </c>
      <c r="E38" s="149">
        <v>226</v>
      </c>
      <c r="F38" s="164">
        <v>26.188172040000001</v>
      </c>
      <c r="G38" s="164">
        <v>25.981547620000001</v>
      </c>
      <c r="H38" s="164">
        <v>25.263709680000002</v>
      </c>
      <c r="I38" s="164">
        <v>24.765972219999998</v>
      </c>
      <c r="J38" s="164">
        <v>24.232392470000001</v>
      </c>
      <c r="K38" s="164">
        <v>21.854583330000001</v>
      </c>
      <c r="L38" s="164">
        <v>21.064650539999999</v>
      </c>
      <c r="M38" s="164">
        <v>21.26034946</v>
      </c>
      <c r="N38" s="164">
        <v>22.220833330000001</v>
      </c>
      <c r="O38" s="164">
        <v>23.803494619999999</v>
      </c>
      <c r="P38" s="164">
        <v>24.893888889999999</v>
      </c>
      <c r="Q38" s="164">
        <v>25.68655914</v>
      </c>
      <c r="R38" s="164">
        <v>23.934679445</v>
      </c>
      <c r="S38" s="159">
        <f>SUMIFS(Aux_Lista!AE:AE,Aux_Lista!AC:AC,Aux_TBS!B38,Aux_Lista!AD:AD,Aux_TBS!A38)</f>
        <v>8</v>
      </c>
      <c r="T38" s="159" t="s">
        <v>248</v>
      </c>
      <c r="U38" s="159">
        <v>38</v>
      </c>
    </row>
    <row r="39" spans="1:21" x14ac:dyDescent="0.25">
      <c r="A39" s="162" t="s">
        <v>2665</v>
      </c>
      <c r="B39" s="149" t="s">
        <v>289</v>
      </c>
      <c r="C39" s="159" t="str">
        <f t="shared" si="0"/>
        <v>Umburanas, BA</v>
      </c>
      <c r="D39" s="163">
        <v>-10.46</v>
      </c>
      <c r="E39" s="149">
        <v>637</v>
      </c>
      <c r="F39" s="164">
        <v>25.097311829999999</v>
      </c>
      <c r="G39" s="164">
        <v>24.790178569999998</v>
      </c>
      <c r="H39" s="164">
        <v>25.695161290000001</v>
      </c>
      <c r="I39" s="164">
        <v>23.602222220000002</v>
      </c>
      <c r="J39" s="164">
        <v>22.455107529999999</v>
      </c>
      <c r="K39" s="164">
        <v>21.698472219999999</v>
      </c>
      <c r="L39" s="164">
        <v>21.786021510000001</v>
      </c>
      <c r="M39" s="164">
        <v>22.578763439999999</v>
      </c>
      <c r="N39" s="164">
        <v>24.765138889999999</v>
      </c>
      <c r="O39" s="164">
        <v>24.601478490000002</v>
      </c>
      <c r="P39" s="164">
        <v>23.93375</v>
      </c>
      <c r="Q39" s="164">
        <v>25.162096770000002</v>
      </c>
      <c r="R39" s="164">
        <v>23.84714189666667</v>
      </c>
      <c r="S39" s="159">
        <f>SUMIFS(Aux_Lista!AE:AE,Aux_Lista!AC:AC,Aux_TBS!B39,Aux_Lista!AD:AD,Aux_TBS!A39)</f>
        <v>5</v>
      </c>
      <c r="T39" s="159" t="s">
        <v>248</v>
      </c>
      <c r="U39" s="159">
        <v>38</v>
      </c>
    </row>
    <row r="40" spans="1:21" x14ac:dyDescent="0.25">
      <c r="A40" s="162" t="s">
        <v>3546</v>
      </c>
      <c r="B40" s="149" t="s">
        <v>289</v>
      </c>
      <c r="C40" s="159" t="str">
        <f t="shared" si="0"/>
        <v>Euclides da Cunha, BA</v>
      </c>
      <c r="D40" s="163">
        <v>-10.54</v>
      </c>
      <c r="E40" s="149">
        <v>432</v>
      </c>
      <c r="F40" s="164">
        <v>26.076344089999999</v>
      </c>
      <c r="G40" s="164">
        <v>26.585267859999998</v>
      </c>
      <c r="H40" s="164">
        <v>26.59663978</v>
      </c>
      <c r="I40" s="164">
        <v>24.507361110000002</v>
      </c>
      <c r="J40" s="164">
        <v>22.43844086</v>
      </c>
      <c r="K40" s="164">
        <v>21.248333330000001</v>
      </c>
      <c r="L40" s="164">
        <v>20.25053763</v>
      </c>
      <c r="M40" s="164">
        <v>21.237231179999998</v>
      </c>
      <c r="N40" s="164">
        <v>22.88625</v>
      </c>
      <c r="O40" s="164">
        <v>24.771102150000001</v>
      </c>
      <c r="P40" s="164">
        <v>26.69722222</v>
      </c>
      <c r="Q40" s="164">
        <v>26.209274189999999</v>
      </c>
      <c r="R40" s="164">
        <v>24.125333699999999</v>
      </c>
      <c r="S40" s="159">
        <f>SUMIFS(Aux_Lista!AE:AE,Aux_Lista!AC:AC,Aux_TBS!B40,Aux_Lista!AD:AD,Aux_TBS!A40)</f>
        <v>7</v>
      </c>
      <c r="T40" s="159" t="s">
        <v>248</v>
      </c>
      <c r="U40" s="159">
        <v>38</v>
      </c>
    </row>
    <row r="41" spans="1:21" x14ac:dyDescent="0.25">
      <c r="A41" s="162" t="s">
        <v>5296</v>
      </c>
      <c r="B41" s="149" t="s">
        <v>289</v>
      </c>
      <c r="C41" s="159" t="str">
        <f t="shared" si="0"/>
        <v>Feira de Santana, BA</v>
      </c>
      <c r="D41" s="163">
        <v>-12.27</v>
      </c>
      <c r="E41" s="149">
        <v>231</v>
      </c>
      <c r="F41" s="164">
        <v>26.430376339999999</v>
      </c>
      <c r="G41" s="164">
        <v>27.1391369</v>
      </c>
      <c r="H41" s="164">
        <v>27.097580650000001</v>
      </c>
      <c r="I41" s="164">
        <v>25.17013889</v>
      </c>
      <c r="J41" s="164">
        <v>24.428360219999998</v>
      </c>
      <c r="K41" s="164">
        <v>22.653472220000001</v>
      </c>
      <c r="L41" s="164">
        <v>21.631854839999999</v>
      </c>
      <c r="M41" s="164">
        <v>21.207661290000001</v>
      </c>
      <c r="N41" s="164">
        <v>22.142638890000001</v>
      </c>
      <c r="O41" s="164">
        <v>25.062634410000001</v>
      </c>
      <c r="P41" s="164">
        <v>26.064166669999999</v>
      </c>
      <c r="Q41" s="164">
        <v>26.315456990000001</v>
      </c>
      <c r="R41" s="164">
        <v>24.611956525833335</v>
      </c>
      <c r="S41" s="159">
        <f>SUMIFS(Aux_Lista!AE:AE,Aux_Lista!AC:AC,Aux_TBS!B41,Aux_Lista!AD:AD,Aux_TBS!A41)</f>
        <v>8</v>
      </c>
      <c r="T41" s="159" t="s">
        <v>248</v>
      </c>
      <c r="U41" s="159">
        <v>38</v>
      </c>
    </row>
    <row r="42" spans="1:21" x14ac:dyDescent="0.25">
      <c r="A42" s="162" t="s">
        <v>5157</v>
      </c>
      <c r="B42" s="149" t="s">
        <v>289</v>
      </c>
      <c r="C42" s="159" t="str">
        <f t="shared" si="0"/>
        <v>Guanambi, BA</v>
      </c>
      <c r="D42" s="163">
        <v>-14.21</v>
      </c>
      <c r="E42" s="149">
        <v>551</v>
      </c>
      <c r="F42" s="164">
        <v>25.930376339999999</v>
      </c>
      <c r="G42" s="164">
        <v>27.126934519999999</v>
      </c>
      <c r="H42" s="164">
        <v>27.231586020000002</v>
      </c>
      <c r="I42" s="164">
        <v>24.73986111</v>
      </c>
      <c r="J42" s="164">
        <v>23.59610215</v>
      </c>
      <c r="K42" s="164">
        <v>23.594583329999999</v>
      </c>
      <c r="L42" s="164">
        <v>23.9733871</v>
      </c>
      <c r="M42" s="164">
        <v>24.531989249999999</v>
      </c>
      <c r="N42" s="164">
        <v>27.477222220000002</v>
      </c>
      <c r="O42" s="164">
        <v>26.74153226</v>
      </c>
      <c r="P42" s="164">
        <v>26.885277779999999</v>
      </c>
      <c r="Q42" s="164">
        <v>26.142473119999998</v>
      </c>
      <c r="R42" s="164">
        <v>25.664277100000003</v>
      </c>
      <c r="S42" s="159">
        <f>SUMIFS(Aux_Lista!AE:AE,Aux_Lista!AC:AC,Aux_TBS!B42,Aux_Lista!AD:AD,Aux_TBS!A42)</f>
        <v>6</v>
      </c>
      <c r="T42" s="159" t="s">
        <v>248</v>
      </c>
      <c r="U42" s="159">
        <v>38</v>
      </c>
    </row>
    <row r="43" spans="1:21" x14ac:dyDescent="0.25">
      <c r="A43" s="162" t="s">
        <v>5568</v>
      </c>
      <c r="B43" s="149" t="s">
        <v>289</v>
      </c>
      <c r="C43" s="159" t="str">
        <f t="shared" si="0"/>
        <v>Ibotirama, BA</v>
      </c>
      <c r="D43" s="163">
        <v>-12.19</v>
      </c>
      <c r="E43" s="149">
        <v>430</v>
      </c>
      <c r="F43" s="164">
        <v>26.397715049999999</v>
      </c>
      <c r="G43" s="164">
        <v>26.72931548</v>
      </c>
      <c r="H43" s="164">
        <v>26.81196237</v>
      </c>
      <c r="I43" s="164">
        <v>25.187638889999999</v>
      </c>
      <c r="J43" s="164">
        <v>25.964784949999999</v>
      </c>
      <c r="K43" s="164">
        <v>25.176527780000001</v>
      </c>
      <c r="L43" s="164">
        <v>24.86518817</v>
      </c>
      <c r="M43" s="164">
        <v>26.581317200000001</v>
      </c>
      <c r="N43" s="164">
        <v>28.758749999999999</v>
      </c>
      <c r="O43" s="164">
        <v>30.420564519999999</v>
      </c>
      <c r="P43" s="164">
        <v>28.14083333</v>
      </c>
      <c r="Q43" s="164">
        <v>25.75846774</v>
      </c>
      <c r="R43" s="164">
        <v>26.73275545666667</v>
      </c>
      <c r="S43" s="159">
        <f>SUMIFS(Aux_Lista!AE:AE,Aux_Lista!AC:AC,Aux_TBS!B43,Aux_Lista!AD:AD,Aux_TBS!A43)</f>
        <v>7</v>
      </c>
      <c r="T43" s="159" t="s">
        <v>248</v>
      </c>
      <c r="U43" s="159">
        <v>38</v>
      </c>
    </row>
    <row r="44" spans="1:21" x14ac:dyDescent="0.25">
      <c r="A44" s="162" t="s">
        <v>1949</v>
      </c>
      <c r="B44" s="149" t="s">
        <v>289</v>
      </c>
      <c r="C44" s="159" t="str">
        <f t="shared" si="0"/>
        <v>Ilhéus, BA</v>
      </c>
      <c r="D44" s="163">
        <v>-14.79</v>
      </c>
      <c r="E44" s="149">
        <v>78</v>
      </c>
      <c r="F44" s="164">
        <v>25.190994620000001</v>
      </c>
      <c r="G44" s="164">
        <v>25.211755950000001</v>
      </c>
      <c r="H44" s="164">
        <v>24.762231180000001</v>
      </c>
      <c r="I44" s="164">
        <v>24.229722219999999</v>
      </c>
      <c r="J44" s="164">
        <v>23.337096769999999</v>
      </c>
      <c r="K44" s="164">
        <v>22.038194440000002</v>
      </c>
      <c r="L44" s="164">
        <v>21.049327959999999</v>
      </c>
      <c r="M44" s="164">
        <v>21.412231179999999</v>
      </c>
      <c r="N44" s="164">
        <v>21.854583330000001</v>
      </c>
      <c r="O44" s="164">
        <v>23.35268817</v>
      </c>
      <c r="P44" s="164">
        <v>24.056805560000001</v>
      </c>
      <c r="Q44" s="164">
        <v>25.006182800000001</v>
      </c>
      <c r="R44" s="164">
        <v>23.458484514999999</v>
      </c>
      <c r="S44" s="159">
        <f>SUMIFS(Aux_Lista!AE:AE,Aux_Lista!AC:AC,Aux_TBS!B44,Aux_Lista!AD:AD,Aux_TBS!A44)</f>
        <v>8</v>
      </c>
      <c r="T44" s="159" t="s">
        <v>248</v>
      </c>
      <c r="U44" s="159">
        <v>38</v>
      </c>
    </row>
    <row r="45" spans="1:21" x14ac:dyDescent="0.25">
      <c r="A45" s="162" t="s">
        <v>5295</v>
      </c>
      <c r="B45" s="149" t="s">
        <v>289</v>
      </c>
      <c r="C45" s="159" t="str">
        <f t="shared" si="0"/>
        <v>Ipiaú, BA</v>
      </c>
      <c r="D45" s="163">
        <v>-14.14</v>
      </c>
      <c r="E45" s="149">
        <v>135</v>
      </c>
      <c r="F45" s="164">
        <v>25.782795700000001</v>
      </c>
      <c r="G45" s="164">
        <v>26.113244049999999</v>
      </c>
      <c r="H45" s="164">
        <v>26.219892470000001</v>
      </c>
      <c r="I45" s="164">
        <v>24.838194439999999</v>
      </c>
      <c r="J45" s="164">
        <v>24.250806449999999</v>
      </c>
      <c r="K45" s="164">
        <v>23.966249999999999</v>
      </c>
      <c r="L45" s="164">
        <v>21.975940860000001</v>
      </c>
      <c r="M45" s="164">
        <v>21.8483871</v>
      </c>
      <c r="N45" s="164">
        <v>23.435555560000001</v>
      </c>
      <c r="O45" s="164">
        <v>25.09798387</v>
      </c>
      <c r="P45" s="164">
        <v>24.979027779999999</v>
      </c>
      <c r="Q45" s="164">
        <v>26.358602149999999</v>
      </c>
      <c r="R45" s="164">
        <v>24.572223369166668</v>
      </c>
      <c r="S45" s="159">
        <f>SUMIFS(Aux_Lista!AE:AE,Aux_Lista!AC:AC,Aux_TBS!B45,Aux_Lista!AD:AD,Aux_TBS!A45)</f>
        <v>8</v>
      </c>
      <c r="T45" s="159" t="s">
        <v>248</v>
      </c>
      <c r="U45" s="159">
        <v>38</v>
      </c>
    </row>
    <row r="46" spans="1:21" x14ac:dyDescent="0.25">
      <c r="A46" s="162" t="s">
        <v>2677</v>
      </c>
      <c r="B46" s="149" t="s">
        <v>289</v>
      </c>
      <c r="C46" s="159" t="str">
        <f t="shared" si="0"/>
        <v>Irecê, BA</v>
      </c>
      <c r="D46" s="163">
        <v>-11.33</v>
      </c>
      <c r="E46" s="149">
        <v>755</v>
      </c>
      <c r="F46" s="164">
        <v>24.14973118</v>
      </c>
      <c r="G46" s="164">
        <v>24.59925595</v>
      </c>
      <c r="H46" s="164">
        <v>25.956451609999998</v>
      </c>
      <c r="I46" s="164">
        <v>23.700694439999999</v>
      </c>
      <c r="J46" s="164">
        <v>22.779704299999999</v>
      </c>
      <c r="K46" s="164">
        <v>22.129027780000001</v>
      </c>
      <c r="L46" s="164">
        <v>22.009677419999999</v>
      </c>
      <c r="M46" s="164">
        <v>22.512365590000002</v>
      </c>
      <c r="N46" s="164">
        <v>25.186111109999999</v>
      </c>
      <c r="O46" s="164">
        <v>24.96787634</v>
      </c>
      <c r="P46" s="164">
        <v>24.913888889999999</v>
      </c>
      <c r="Q46" s="164">
        <v>24.506317200000002</v>
      </c>
      <c r="R46" s="164">
        <v>23.950925150833331</v>
      </c>
      <c r="S46" s="159">
        <f>SUMIFS(Aux_Lista!AE:AE,Aux_Lista!AC:AC,Aux_TBS!B46,Aux_Lista!AD:AD,Aux_TBS!A46)</f>
        <v>6</v>
      </c>
      <c r="T46" s="159" t="s">
        <v>248</v>
      </c>
      <c r="U46" s="159">
        <v>38</v>
      </c>
    </row>
    <row r="47" spans="1:21" x14ac:dyDescent="0.25">
      <c r="A47" s="162" t="s">
        <v>5178</v>
      </c>
      <c r="B47" s="149" t="s">
        <v>289</v>
      </c>
      <c r="C47" s="159" t="str">
        <f t="shared" si="0"/>
        <v>Itaberaba, BA</v>
      </c>
      <c r="D47" s="163">
        <v>-12.53</v>
      </c>
      <c r="E47" s="149">
        <v>250</v>
      </c>
      <c r="F47" s="164">
        <v>26.226881720000002</v>
      </c>
      <c r="G47" s="164">
        <v>26.219494050000002</v>
      </c>
      <c r="H47" s="164">
        <v>25.787634409999999</v>
      </c>
      <c r="I47" s="164">
        <v>25.650416669999998</v>
      </c>
      <c r="J47" s="164">
        <v>24.39637097</v>
      </c>
      <c r="K47" s="164">
        <v>22.268194439999998</v>
      </c>
      <c r="L47" s="164">
        <v>22.3077957</v>
      </c>
      <c r="M47" s="164">
        <v>23.269354839999998</v>
      </c>
      <c r="N47" s="164">
        <v>24.043194440000001</v>
      </c>
      <c r="O47" s="164">
        <v>25.66236559</v>
      </c>
      <c r="P47" s="164">
        <v>26.508472220000002</v>
      </c>
      <c r="Q47" s="164">
        <v>26.901747310000001</v>
      </c>
      <c r="R47" s="164">
        <v>24.936826863333337</v>
      </c>
      <c r="S47" s="159">
        <f>SUMIFS(Aux_Lista!AE:AE,Aux_Lista!AC:AC,Aux_TBS!B47,Aux_Lista!AD:AD,Aux_TBS!A47)</f>
        <v>8</v>
      </c>
      <c r="T47" s="159" t="s">
        <v>248</v>
      </c>
      <c r="U47" s="159">
        <v>38</v>
      </c>
    </row>
    <row r="48" spans="1:21" x14ac:dyDescent="0.25">
      <c r="A48" s="162" t="s">
        <v>5164</v>
      </c>
      <c r="B48" s="149" t="s">
        <v>289</v>
      </c>
      <c r="C48" s="159" t="str">
        <f t="shared" si="0"/>
        <v>Itapetinga, BA</v>
      </c>
      <c r="D48" s="163">
        <v>-15.24</v>
      </c>
      <c r="E48" s="149">
        <v>279</v>
      </c>
      <c r="F48" s="164">
        <v>26.914381720000002</v>
      </c>
      <c r="G48" s="164">
        <v>27.018750000000001</v>
      </c>
      <c r="H48" s="164">
        <v>25.94032258</v>
      </c>
      <c r="I48" s="164">
        <v>24.642222220000001</v>
      </c>
      <c r="J48" s="164">
        <v>23.716263439999999</v>
      </c>
      <c r="K48" s="164">
        <v>22.320138889999999</v>
      </c>
      <c r="L48" s="164">
        <v>21.799731179999998</v>
      </c>
      <c r="M48" s="164">
        <v>21.94637097</v>
      </c>
      <c r="N48" s="164">
        <v>24.087499999999999</v>
      </c>
      <c r="O48" s="164">
        <v>25.15524194</v>
      </c>
      <c r="P48" s="164">
        <v>25.660833329999999</v>
      </c>
      <c r="Q48" s="164">
        <v>27.051881720000001</v>
      </c>
      <c r="R48" s="164">
        <v>24.687803165833333</v>
      </c>
      <c r="S48" s="159">
        <f>SUMIFS(Aux_Lista!AE:AE,Aux_Lista!AC:AC,Aux_TBS!B48,Aux_Lista!AD:AD,Aux_TBS!A48)</f>
        <v>5</v>
      </c>
      <c r="T48" s="159" t="s">
        <v>248</v>
      </c>
      <c r="U48" s="159">
        <v>38</v>
      </c>
    </row>
    <row r="49" spans="1:21" x14ac:dyDescent="0.25">
      <c r="A49" s="162" t="s">
        <v>3444</v>
      </c>
      <c r="B49" s="149" t="s">
        <v>289</v>
      </c>
      <c r="C49" s="159" t="str">
        <f t="shared" si="0"/>
        <v>Itiruçu, BA</v>
      </c>
      <c r="D49" s="163">
        <v>-13.53</v>
      </c>
      <c r="E49" s="149">
        <v>756</v>
      </c>
      <c r="F49" s="164">
        <v>22.8172043</v>
      </c>
      <c r="G49" s="164">
        <v>23.367261899999999</v>
      </c>
      <c r="H49" s="164">
        <v>23.170161289999999</v>
      </c>
      <c r="I49" s="164">
        <v>21.57222222</v>
      </c>
      <c r="J49" s="164">
        <v>21.337903229999998</v>
      </c>
      <c r="K49" s="164">
        <v>19.04861111</v>
      </c>
      <c r="L49" s="164">
        <v>18.119758059999999</v>
      </c>
      <c r="M49" s="164">
        <v>17.842607529999999</v>
      </c>
      <c r="N49" s="164">
        <v>18.99402778</v>
      </c>
      <c r="O49" s="164">
        <v>21.914784950000001</v>
      </c>
      <c r="P49" s="164">
        <v>22.191388889999999</v>
      </c>
      <c r="Q49" s="164">
        <v>22.493279569999999</v>
      </c>
      <c r="R49" s="164">
        <v>21.072434235833335</v>
      </c>
      <c r="S49" s="159">
        <f>SUMIFS(Aux_Lista!AE:AE,Aux_Lista!AC:AC,Aux_TBS!B49,Aux_Lista!AD:AD,Aux_TBS!A49)</f>
        <v>5</v>
      </c>
      <c r="T49" s="159" t="s">
        <v>248</v>
      </c>
      <c r="U49" s="159">
        <v>38</v>
      </c>
    </row>
    <row r="50" spans="1:21" x14ac:dyDescent="0.25">
      <c r="A50" s="162" t="s">
        <v>2349</v>
      </c>
      <c r="B50" s="149" t="s">
        <v>289</v>
      </c>
      <c r="C50" s="159" t="str">
        <f t="shared" si="0"/>
        <v>Jacobina, BA</v>
      </c>
      <c r="D50" s="163">
        <v>-11.21</v>
      </c>
      <c r="E50" s="149">
        <v>453</v>
      </c>
      <c r="F50" s="164">
        <v>25.241801079999998</v>
      </c>
      <c r="G50" s="164">
        <v>25.266666669999999</v>
      </c>
      <c r="H50" s="164">
        <v>26.779032260000001</v>
      </c>
      <c r="I50" s="164">
        <v>24.888333329999998</v>
      </c>
      <c r="J50" s="164">
        <v>22.7547043</v>
      </c>
      <c r="K50" s="164">
        <v>22.16111111</v>
      </c>
      <c r="L50" s="164">
        <v>22.173387099999999</v>
      </c>
      <c r="M50" s="164">
        <v>22.384274189999999</v>
      </c>
      <c r="N50" s="164">
        <v>24.851805559999999</v>
      </c>
      <c r="O50" s="164">
        <v>25.09892473</v>
      </c>
      <c r="P50" s="164">
        <v>24.735555560000002</v>
      </c>
      <c r="Q50" s="164">
        <v>26.07419355</v>
      </c>
      <c r="R50" s="164">
        <v>24.367482453333334</v>
      </c>
      <c r="S50" s="159">
        <f>SUMIFS(Aux_Lista!AE:AE,Aux_Lista!AC:AC,Aux_TBS!B50,Aux_Lista!AD:AD,Aux_TBS!A50)</f>
        <v>8</v>
      </c>
      <c r="T50" s="159" t="s">
        <v>248</v>
      </c>
      <c r="U50" s="159">
        <v>38</v>
      </c>
    </row>
    <row r="51" spans="1:21" x14ac:dyDescent="0.25">
      <c r="A51" s="162" t="s">
        <v>5174</v>
      </c>
      <c r="B51" s="149" t="s">
        <v>289</v>
      </c>
      <c r="C51" s="159" t="str">
        <f t="shared" si="0"/>
        <v>Lençóis, BA</v>
      </c>
      <c r="D51" s="163">
        <v>-12.56</v>
      </c>
      <c r="E51" s="149">
        <v>439</v>
      </c>
      <c r="F51" s="164">
        <v>26.227822580000002</v>
      </c>
      <c r="G51" s="164">
        <v>26.92410714</v>
      </c>
      <c r="H51" s="164">
        <v>26.019758060000001</v>
      </c>
      <c r="I51" s="164">
        <v>24.482222220000001</v>
      </c>
      <c r="J51" s="164">
        <v>24.064516130000001</v>
      </c>
      <c r="K51" s="164">
        <v>22.54180556</v>
      </c>
      <c r="L51" s="164">
        <v>21.733736560000001</v>
      </c>
      <c r="M51" s="164">
        <v>23.337365590000001</v>
      </c>
      <c r="N51" s="164">
        <v>24.598749999999999</v>
      </c>
      <c r="O51" s="164">
        <v>26.303763440000001</v>
      </c>
      <c r="P51" s="164">
        <v>26.505833330000002</v>
      </c>
      <c r="Q51" s="164">
        <v>25.6780914</v>
      </c>
      <c r="R51" s="164">
        <v>24.868147667500001</v>
      </c>
      <c r="S51" s="159">
        <f>SUMIFS(Aux_Lista!AE:AE,Aux_Lista!AC:AC,Aux_TBS!B51,Aux_Lista!AD:AD,Aux_TBS!A51)</f>
        <v>8</v>
      </c>
      <c r="T51" s="159" t="s">
        <v>248</v>
      </c>
      <c r="U51" s="159">
        <v>38</v>
      </c>
    </row>
    <row r="52" spans="1:21" x14ac:dyDescent="0.25">
      <c r="A52" s="162" t="s">
        <v>2305</v>
      </c>
      <c r="B52" s="149" t="s">
        <v>289</v>
      </c>
      <c r="C52" s="159" t="str">
        <f t="shared" si="0"/>
        <v>Macajuba, BA</v>
      </c>
      <c r="D52" s="163">
        <v>-12.14</v>
      </c>
      <c r="E52" s="149">
        <v>380</v>
      </c>
      <c r="F52" s="164">
        <v>25.50510753</v>
      </c>
      <c r="G52" s="164">
        <v>25.502976189999998</v>
      </c>
      <c r="H52" s="164">
        <v>25.045833330000001</v>
      </c>
      <c r="I52" s="164">
        <v>24.818333330000002</v>
      </c>
      <c r="J52" s="164">
        <v>23.194354839999999</v>
      </c>
      <c r="K52" s="164">
        <v>21.355694440000001</v>
      </c>
      <c r="L52" s="164">
        <v>20.983064519999999</v>
      </c>
      <c r="M52" s="164">
        <v>22.259005380000001</v>
      </c>
      <c r="N52" s="164">
        <v>23.261111110000002</v>
      </c>
      <c r="O52" s="164">
        <v>25.057123659999998</v>
      </c>
      <c r="P52" s="164">
        <v>25.575833329999998</v>
      </c>
      <c r="Q52" s="164">
        <v>26.21505376</v>
      </c>
      <c r="R52" s="164">
        <v>24.064457618333332</v>
      </c>
      <c r="S52" s="159">
        <f>SUMIFS(Aux_Lista!AE:AE,Aux_Lista!AC:AC,Aux_TBS!B52,Aux_Lista!AD:AD,Aux_TBS!A52)</f>
        <v>8</v>
      </c>
      <c r="T52" s="159" t="s">
        <v>248</v>
      </c>
      <c r="U52" s="159">
        <v>38</v>
      </c>
    </row>
    <row r="53" spans="1:21" x14ac:dyDescent="0.25">
      <c r="A53" s="162" t="s">
        <v>5030</v>
      </c>
      <c r="B53" s="149" t="s">
        <v>289</v>
      </c>
      <c r="C53" s="159" t="str">
        <f t="shared" si="0"/>
        <v>Maraú, BA</v>
      </c>
      <c r="D53" s="163">
        <v>-13.91</v>
      </c>
      <c r="E53" s="149">
        <v>10</v>
      </c>
      <c r="F53" s="164">
        <v>26.952016130000001</v>
      </c>
      <c r="G53" s="164">
        <v>26.557291670000001</v>
      </c>
      <c r="H53" s="164">
        <v>27.517338710000001</v>
      </c>
      <c r="I53" s="164">
        <v>25.990555560000001</v>
      </c>
      <c r="J53" s="164">
        <v>24.919892470000001</v>
      </c>
      <c r="K53" s="164">
        <v>23.988611110000001</v>
      </c>
      <c r="L53" s="164">
        <v>23.772983870000001</v>
      </c>
      <c r="M53" s="164">
        <v>23.71169355</v>
      </c>
      <c r="N53" s="164">
        <v>25.08666667</v>
      </c>
      <c r="O53" s="164">
        <v>25.904569890000001</v>
      </c>
      <c r="P53" s="164">
        <v>26.459166669999998</v>
      </c>
      <c r="Q53" s="164">
        <v>27.27419355</v>
      </c>
      <c r="R53" s="164">
        <v>25.677914987499999</v>
      </c>
      <c r="S53" s="159">
        <f>SUMIFS(Aux_Lista!AE:AE,Aux_Lista!AC:AC,Aux_TBS!B53,Aux_Lista!AD:AD,Aux_TBS!A53)</f>
        <v>8</v>
      </c>
      <c r="T53" s="159" t="s">
        <v>248</v>
      </c>
      <c r="U53" s="159">
        <v>38</v>
      </c>
    </row>
    <row r="54" spans="1:21" x14ac:dyDescent="0.25">
      <c r="A54" s="162" t="s">
        <v>5241</v>
      </c>
      <c r="B54" s="149" t="s">
        <v>289</v>
      </c>
      <c r="C54" s="159" t="str">
        <f t="shared" si="0"/>
        <v>Paulo Afonso, BA</v>
      </c>
      <c r="D54" s="163">
        <v>-9.41</v>
      </c>
      <c r="E54" s="149">
        <v>253</v>
      </c>
      <c r="F54" s="164">
        <v>27.705376340000001</v>
      </c>
      <c r="G54" s="164">
        <v>28.201041669999999</v>
      </c>
      <c r="H54" s="164">
        <v>28.321639780000002</v>
      </c>
      <c r="I54" s="164">
        <v>27.54402778</v>
      </c>
      <c r="J54" s="164">
        <v>25.812634410000001</v>
      </c>
      <c r="K54" s="164">
        <v>23.55430556</v>
      </c>
      <c r="L54" s="164">
        <v>23.193817200000002</v>
      </c>
      <c r="M54" s="164">
        <v>23.447446240000001</v>
      </c>
      <c r="N54" s="164">
        <v>24.784166670000001</v>
      </c>
      <c r="O54" s="164">
        <v>27.23413978</v>
      </c>
      <c r="P54" s="164">
        <v>27.912916670000001</v>
      </c>
      <c r="Q54" s="164">
        <v>28.318279570000001</v>
      </c>
      <c r="R54" s="164">
        <v>26.335815972500001</v>
      </c>
      <c r="S54" s="159">
        <f>SUMIFS(Aux_Lista!AE:AE,Aux_Lista!AC:AC,Aux_TBS!B54,Aux_Lista!AD:AD,Aux_TBS!A54)</f>
        <v>7</v>
      </c>
      <c r="T54" s="159" t="s">
        <v>248</v>
      </c>
      <c r="U54" s="159">
        <v>38</v>
      </c>
    </row>
    <row r="55" spans="1:21" x14ac:dyDescent="0.25">
      <c r="A55" s="162" t="s">
        <v>569</v>
      </c>
      <c r="B55" s="149" t="s">
        <v>289</v>
      </c>
      <c r="C55" s="159" t="str">
        <f t="shared" si="0"/>
        <v>Piatã, BA</v>
      </c>
      <c r="D55" s="163">
        <v>-13.16</v>
      </c>
      <c r="E55" s="149">
        <v>1290</v>
      </c>
      <c r="F55" s="164">
        <v>20.57002688</v>
      </c>
      <c r="G55" s="164">
        <v>21.190029760000002</v>
      </c>
      <c r="H55" s="164">
        <v>22.029032260000001</v>
      </c>
      <c r="I55" s="164">
        <v>19.82041667</v>
      </c>
      <c r="J55" s="164">
        <v>18.159274190000001</v>
      </c>
      <c r="K55" s="164">
        <v>17.677916669999998</v>
      </c>
      <c r="L55" s="164">
        <v>17.610618280000001</v>
      </c>
      <c r="M55" s="164">
        <v>17.78319892</v>
      </c>
      <c r="N55" s="164">
        <v>20.392222220000001</v>
      </c>
      <c r="O55" s="164">
        <v>20.638306450000002</v>
      </c>
      <c r="P55" s="164">
        <v>20.829583329999998</v>
      </c>
      <c r="Q55" s="164">
        <v>20.982661289999999</v>
      </c>
      <c r="R55" s="164">
        <v>19.806940576666666</v>
      </c>
      <c r="S55" s="159">
        <f>SUMIFS(Aux_Lista!AE:AE,Aux_Lista!AC:AC,Aux_TBS!B55,Aux_Lista!AD:AD,Aux_TBS!A55)</f>
        <v>5</v>
      </c>
      <c r="T55" s="159" t="s">
        <v>248</v>
      </c>
      <c r="U55" s="159">
        <v>38</v>
      </c>
    </row>
    <row r="56" spans="1:21" x14ac:dyDescent="0.25">
      <c r="A56" s="162" t="s">
        <v>2046</v>
      </c>
      <c r="B56" s="149" t="s">
        <v>289</v>
      </c>
      <c r="C56" s="159" t="str">
        <f t="shared" si="0"/>
        <v>Porto Seguro, BA</v>
      </c>
      <c r="D56" s="163">
        <v>-16.39</v>
      </c>
      <c r="E56" s="149">
        <v>85</v>
      </c>
      <c r="F56" s="164">
        <v>25.060752690000001</v>
      </c>
      <c r="G56" s="164">
        <v>25.114136899999998</v>
      </c>
      <c r="H56" s="164">
        <v>25.692876340000002</v>
      </c>
      <c r="I56" s="164">
        <v>24.40180556</v>
      </c>
      <c r="J56" s="164">
        <v>22.683602149999999</v>
      </c>
      <c r="K56" s="164">
        <v>21.86222222</v>
      </c>
      <c r="L56" s="164">
        <v>21.458064520000001</v>
      </c>
      <c r="M56" s="164">
        <v>21.43508065</v>
      </c>
      <c r="N56" s="164">
        <v>22.828055559999999</v>
      </c>
      <c r="O56" s="164">
        <v>23.735752690000002</v>
      </c>
      <c r="P56" s="164">
        <v>24.785972220000001</v>
      </c>
      <c r="Q56" s="164">
        <v>25.954569889999998</v>
      </c>
      <c r="R56" s="164">
        <v>23.751074282499999</v>
      </c>
      <c r="S56" s="159">
        <f>SUMIFS(Aux_Lista!AE:AE,Aux_Lista!AC:AC,Aux_TBS!B56,Aux_Lista!AD:AD,Aux_TBS!A56)</f>
        <v>8</v>
      </c>
      <c r="T56" s="159" t="s">
        <v>248</v>
      </c>
      <c r="U56" s="159">
        <v>38</v>
      </c>
    </row>
    <row r="57" spans="1:21" x14ac:dyDescent="0.25">
      <c r="A57" s="162" t="s">
        <v>2123</v>
      </c>
      <c r="B57" s="149" t="s">
        <v>289</v>
      </c>
      <c r="C57" s="159" t="str">
        <f t="shared" si="0"/>
        <v>Queimadas, BA</v>
      </c>
      <c r="D57" s="163">
        <v>-10.98</v>
      </c>
      <c r="E57" s="149">
        <v>315</v>
      </c>
      <c r="F57" s="164">
        <v>27.74018817</v>
      </c>
      <c r="G57" s="164">
        <v>27.38556548</v>
      </c>
      <c r="H57" s="164">
        <v>28.824999999999999</v>
      </c>
      <c r="I57" s="164">
        <v>27.294583329999998</v>
      </c>
      <c r="J57" s="164">
        <v>24.443010749999999</v>
      </c>
      <c r="K57" s="164">
        <v>23.46611111</v>
      </c>
      <c r="L57" s="164">
        <v>23.53360215</v>
      </c>
      <c r="M57" s="164">
        <v>23.451747309999998</v>
      </c>
      <c r="N57" s="164">
        <v>25.994444439999999</v>
      </c>
      <c r="O57" s="164">
        <v>26.66518817</v>
      </c>
      <c r="P57" s="164">
        <v>27.24361111</v>
      </c>
      <c r="Q57" s="164">
        <v>27.654569890000001</v>
      </c>
      <c r="R57" s="164">
        <v>26.1414684925</v>
      </c>
      <c r="S57" s="159">
        <f>SUMIFS(Aux_Lista!AE:AE,Aux_Lista!AC:AC,Aux_TBS!B57,Aux_Lista!AD:AD,Aux_TBS!A57)</f>
        <v>8</v>
      </c>
      <c r="T57" s="159" t="s">
        <v>248</v>
      </c>
      <c r="U57" s="159">
        <v>38</v>
      </c>
    </row>
    <row r="58" spans="1:21" x14ac:dyDescent="0.25">
      <c r="A58" s="162" t="s">
        <v>4199</v>
      </c>
      <c r="B58" s="149" t="s">
        <v>289</v>
      </c>
      <c r="C58" s="159" t="str">
        <f t="shared" si="0"/>
        <v>Remanso, BA</v>
      </c>
      <c r="D58" s="163">
        <v>-9.6199999999999992</v>
      </c>
      <c r="E58" s="149">
        <v>401</v>
      </c>
      <c r="F58" s="164">
        <v>27.073924730000002</v>
      </c>
      <c r="G58" s="164">
        <v>26.814583330000001</v>
      </c>
      <c r="H58" s="164">
        <v>26.63346774</v>
      </c>
      <c r="I58" s="164">
        <v>25.586111110000001</v>
      </c>
      <c r="J58" s="164">
        <v>26.01075269</v>
      </c>
      <c r="K58" s="164">
        <v>25.657499999999999</v>
      </c>
      <c r="L58" s="164">
        <v>25.886021509999999</v>
      </c>
      <c r="M58" s="164">
        <v>26.353897849999999</v>
      </c>
      <c r="N58" s="164">
        <v>28.270555559999998</v>
      </c>
      <c r="O58" s="164">
        <v>27.747311830000001</v>
      </c>
      <c r="P58" s="164">
        <v>28.258472220000002</v>
      </c>
      <c r="Q58" s="164">
        <v>27.51397849</v>
      </c>
      <c r="R58" s="164">
        <v>26.817214754999998</v>
      </c>
      <c r="S58" s="159">
        <f>SUMIFS(Aux_Lista!AE:AE,Aux_Lista!AC:AC,Aux_TBS!B58,Aux_Lista!AD:AD,Aux_TBS!A58)</f>
        <v>7</v>
      </c>
      <c r="T58" s="159" t="s">
        <v>248</v>
      </c>
      <c r="U58" s="159">
        <v>38</v>
      </c>
    </row>
    <row r="59" spans="1:21" x14ac:dyDescent="0.25">
      <c r="A59" s="162" t="s">
        <v>5140</v>
      </c>
      <c r="B59" s="149" t="s">
        <v>289</v>
      </c>
      <c r="C59" s="159" t="str">
        <f t="shared" si="0"/>
        <v>Salvador, BA</v>
      </c>
      <c r="D59" s="163">
        <v>-12.97</v>
      </c>
      <c r="E59" s="149">
        <v>51</v>
      </c>
      <c r="F59" s="164">
        <v>27.208602150000001</v>
      </c>
      <c r="G59" s="164">
        <v>26.943154759999999</v>
      </c>
      <c r="H59" s="164">
        <v>27.552284950000001</v>
      </c>
      <c r="I59" s="164">
        <v>26.304722219999999</v>
      </c>
      <c r="J59" s="164">
        <v>25.020833329999999</v>
      </c>
      <c r="K59" s="164">
        <v>24.82833333</v>
      </c>
      <c r="L59" s="164">
        <v>24.237768819999999</v>
      </c>
      <c r="M59" s="164">
        <v>24.154166669999999</v>
      </c>
      <c r="N59" s="164">
        <v>24.96347222</v>
      </c>
      <c r="O59" s="164">
        <v>25.672446239999999</v>
      </c>
      <c r="P59" s="164">
        <v>26.27819444</v>
      </c>
      <c r="Q59" s="164">
        <v>27.262903229999999</v>
      </c>
      <c r="R59" s="164">
        <v>25.868906863333336</v>
      </c>
      <c r="S59" s="159">
        <f>SUMIFS(Aux_Lista!AE:AE,Aux_Lista!AC:AC,Aux_TBS!B59,Aux_Lista!AD:AD,Aux_TBS!A59)</f>
        <v>8</v>
      </c>
      <c r="T59" s="159" t="s">
        <v>248</v>
      </c>
      <c r="U59" s="159">
        <v>38</v>
      </c>
    </row>
    <row r="60" spans="1:21" x14ac:dyDescent="0.25">
      <c r="A60" s="162" t="s">
        <v>5680</v>
      </c>
      <c r="B60" s="149" t="s">
        <v>289</v>
      </c>
      <c r="C60" s="159" t="str">
        <f t="shared" si="0"/>
        <v>Santa Rita de Cássia, BA</v>
      </c>
      <c r="D60" s="163">
        <v>-11.01</v>
      </c>
      <c r="E60" s="149">
        <v>450</v>
      </c>
      <c r="F60" s="164">
        <v>25.826612900000001</v>
      </c>
      <c r="G60" s="164">
        <v>27.159821430000001</v>
      </c>
      <c r="H60" s="164">
        <v>26.027688170000001</v>
      </c>
      <c r="I60" s="164">
        <v>25.36375</v>
      </c>
      <c r="J60" s="164">
        <v>26.52607527</v>
      </c>
      <c r="K60" s="164">
        <v>24.714027779999999</v>
      </c>
      <c r="L60" s="164">
        <v>24.327284949999999</v>
      </c>
      <c r="M60" s="164">
        <v>24.210080649999998</v>
      </c>
      <c r="N60" s="164">
        <v>27.319861110000002</v>
      </c>
      <c r="O60" s="164">
        <v>28.384139780000002</v>
      </c>
      <c r="P60" s="164">
        <v>27.464444440000001</v>
      </c>
      <c r="Q60" s="164">
        <v>25.43655914</v>
      </c>
      <c r="R60" s="164">
        <v>26.063362135000006</v>
      </c>
      <c r="S60" s="159">
        <f>SUMIFS(Aux_Lista!AE:AE,Aux_Lista!AC:AC,Aux_TBS!B60,Aux_Lista!AD:AD,Aux_TBS!A60)</f>
        <v>6</v>
      </c>
      <c r="T60" s="159" t="s">
        <v>248</v>
      </c>
      <c r="U60" s="159">
        <v>38</v>
      </c>
    </row>
    <row r="61" spans="1:21" x14ac:dyDescent="0.25">
      <c r="A61" s="162" t="s">
        <v>2380</v>
      </c>
      <c r="B61" s="149" t="s">
        <v>289</v>
      </c>
      <c r="C61" s="159" t="str">
        <f t="shared" si="0"/>
        <v>Senhor do Bonfim, BA</v>
      </c>
      <c r="D61" s="163">
        <v>-10.44</v>
      </c>
      <c r="E61" s="149">
        <v>548</v>
      </c>
      <c r="F61" s="164">
        <v>25.43239247</v>
      </c>
      <c r="G61" s="164">
        <v>26.46279762</v>
      </c>
      <c r="H61" s="164">
        <v>25.78494624</v>
      </c>
      <c r="I61" s="164">
        <v>24.149027780000001</v>
      </c>
      <c r="J61" s="164">
        <v>22.325806450000002</v>
      </c>
      <c r="K61" s="164">
        <v>21.14</v>
      </c>
      <c r="L61" s="164">
        <v>20.10591398</v>
      </c>
      <c r="M61" s="164">
        <v>21.548790319999998</v>
      </c>
      <c r="N61" s="164">
        <v>23.27597222</v>
      </c>
      <c r="O61" s="164">
        <v>24.819354839999999</v>
      </c>
      <c r="P61" s="164">
        <v>26.568750000000001</v>
      </c>
      <c r="Q61" s="164">
        <v>24.880241940000001</v>
      </c>
      <c r="R61" s="164">
        <v>23.874499488333331</v>
      </c>
      <c r="S61" s="159">
        <f>SUMIFS(Aux_Lista!AE:AE,Aux_Lista!AC:AC,Aux_TBS!B61,Aux_Lista!AD:AD,Aux_TBS!A61)</f>
        <v>7</v>
      </c>
      <c r="T61" s="159" t="s">
        <v>248</v>
      </c>
      <c r="U61" s="159">
        <v>38</v>
      </c>
    </row>
    <row r="62" spans="1:21" x14ac:dyDescent="0.25">
      <c r="A62" s="162" t="s">
        <v>3504</v>
      </c>
      <c r="B62" s="149" t="s">
        <v>289</v>
      </c>
      <c r="C62" s="159" t="str">
        <f t="shared" si="0"/>
        <v>Serrinha, BA</v>
      </c>
      <c r="D62" s="163">
        <v>-11.66</v>
      </c>
      <c r="E62" s="149">
        <v>339</v>
      </c>
      <c r="F62" s="164">
        <v>26.255376340000002</v>
      </c>
      <c r="G62" s="164">
        <v>25.831547619999998</v>
      </c>
      <c r="H62" s="164">
        <v>27.193010749999999</v>
      </c>
      <c r="I62" s="164">
        <v>25.915138890000001</v>
      </c>
      <c r="J62" s="164">
        <v>22.581720430000001</v>
      </c>
      <c r="K62" s="164">
        <v>21.486249999999998</v>
      </c>
      <c r="L62" s="164">
        <v>20.422177420000001</v>
      </c>
      <c r="M62" s="164">
        <v>21.341666669999999</v>
      </c>
      <c r="N62" s="164">
        <v>23.091805560000001</v>
      </c>
      <c r="O62" s="164">
        <v>24.245430110000001</v>
      </c>
      <c r="P62" s="164">
        <v>26.216249999999999</v>
      </c>
      <c r="Q62" s="164">
        <v>25.362768819999999</v>
      </c>
      <c r="R62" s="164">
        <v>24.161928550833334</v>
      </c>
      <c r="S62" s="159">
        <f>SUMIFS(Aux_Lista!AE:AE,Aux_Lista!AC:AC,Aux_TBS!B62,Aux_Lista!AD:AD,Aux_TBS!A62)</f>
        <v>8</v>
      </c>
      <c r="T62" s="159" t="s">
        <v>248</v>
      </c>
      <c r="U62" s="159">
        <v>38</v>
      </c>
    </row>
    <row r="63" spans="1:21" x14ac:dyDescent="0.25">
      <c r="A63" s="162" t="s">
        <v>5234</v>
      </c>
      <c r="B63" s="149" t="s">
        <v>289</v>
      </c>
      <c r="C63" s="159" t="str">
        <f t="shared" si="0"/>
        <v>Uauá, BA</v>
      </c>
      <c r="D63" s="163">
        <v>-9.83</v>
      </c>
      <c r="E63" s="149">
        <v>453</v>
      </c>
      <c r="F63" s="164">
        <v>26.275537629999999</v>
      </c>
      <c r="G63" s="164">
        <v>27.216666669999999</v>
      </c>
      <c r="H63" s="164">
        <v>27.00887097</v>
      </c>
      <c r="I63" s="164">
        <v>25.678611109999999</v>
      </c>
      <c r="J63" s="164">
        <v>23.618548390000001</v>
      </c>
      <c r="K63" s="164">
        <v>22.996527780000001</v>
      </c>
      <c r="L63" s="164">
        <v>22.945295699999999</v>
      </c>
      <c r="M63" s="164">
        <v>22.971370969999999</v>
      </c>
      <c r="N63" s="164">
        <v>25.582638889999998</v>
      </c>
      <c r="O63" s="164">
        <v>26.319892469999999</v>
      </c>
      <c r="P63" s="164">
        <v>27.063472220000001</v>
      </c>
      <c r="Q63" s="164">
        <v>27.355376339999999</v>
      </c>
      <c r="R63" s="164">
        <v>25.419400761666669</v>
      </c>
      <c r="S63" s="159">
        <f>SUMIFS(Aux_Lista!AE:AE,Aux_Lista!AC:AC,Aux_TBS!B63,Aux_Lista!AD:AD,Aux_TBS!A63)</f>
        <v>6</v>
      </c>
      <c r="T63" s="159" t="s">
        <v>248</v>
      </c>
      <c r="U63" s="159">
        <v>38</v>
      </c>
    </row>
    <row r="64" spans="1:21" x14ac:dyDescent="0.25">
      <c r="A64" s="162" t="s">
        <v>1829</v>
      </c>
      <c r="B64" s="149" t="s">
        <v>289</v>
      </c>
      <c r="C64" s="159" t="str">
        <f t="shared" si="0"/>
        <v>Una, BA</v>
      </c>
      <c r="D64" s="163">
        <v>-15.28</v>
      </c>
      <c r="E64" s="149">
        <v>82</v>
      </c>
      <c r="F64" s="164">
        <v>25.439650539999999</v>
      </c>
      <c r="G64" s="164">
        <v>25.369791670000001</v>
      </c>
      <c r="H64" s="164">
        <v>25.754032259999999</v>
      </c>
      <c r="I64" s="164">
        <v>24.592361109999999</v>
      </c>
      <c r="J64" s="164">
        <v>23.34986559</v>
      </c>
      <c r="K64" s="164">
        <v>22.584166669999998</v>
      </c>
      <c r="L64" s="164">
        <v>22.209139780000001</v>
      </c>
      <c r="M64" s="164">
        <v>22.21733871</v>
      </c>
      <c r="N64" s="164">
        <v>23.33361111</v>
      </c>
      <c r="O64" s="164">
        <v>24.249865589999999</v>
      </c>
      <c r="P64" s="164">
        <v>24.83319444</v>
      </c>
      <c r="Q64" s="164">
        <v>25.996908600000001</v>
      </c>
      <c r="R64" s="164">
        <v>24.160827172499996</v>
      </c>
      <c r="S64" s="159">
        <f>SUMIFS(Aux_Lista!AE:AE,Aux_Lista!AC:AC,Aux_TBS!B64,Aux_Lista!AD:AD,Aux_TBS!A64)</f>
        <v>8</v>
      </c>
      <c r="T64" s="159" t="s">
        <v>248</v>
      </c>
      <c r="U64" s="159">
        <v>38</v>
      </c>
    </row>
    <row r="65" spans="1:21" x14ac:dyDescent="0.25">
      <c r="A65" s="162" t="s">
        <v>2282</v>
      </c>
      <c r="B65" s="149" t="s">
        <v>289</v>
      </c>
      <c r="C65" s="159" t="str">
        <f t="shared" si="0"/>
        <v>Valença, BA</v>
      </c>
      <c r="D65" s="163">
        <v>-13.37</v>
      </c>
      <c r="E65" s="149">
        <v>39</v>
      </c>
      <c r="F65" s="164">
        <v>25.127956990000001</v>
      </c>
      <c r="G65" s="164">
        <v>25.33035714</v>
      </c>
      <c r="H65" s="164">
        <v>26.43844086</v>
      </c>
      <c r="I65" s="164">
        <v>24.729722219999999</v>
      </c>
      <c r="J65" s="164">
        <v>24.037500000000001</v>
      </c>
      <c r="K65" s="164">
        <v>23.956666670000001</v>
      </c>
      <c r="L65" s="164">
        <v>21.791801079999999</v>
      </c>
      <c r="M65" s="164">
        <v>21.753629029999999</v>
      </c>
      <c r="N65" s="164">
        <v>22.99930556</v>
      </c>
      <c r="O65" s="164">
        <v>24.39637097</v>
      </c>
      <c r="P65" s="164">
        <v>24.47625</v>
      </c>
      <c r="Q65" s="164">
        <v>25.513844089999999</v>
      </c>
      <c r="R65" s="164">
        <v>24.212653717500004</v>
      </c>
      <c r="S65" s="159">
        <f>SUMIFS(Aux_Lista!AE:AE,Aux_Lista!AC:AC,Aux_TBS!B65,Aux_Lista!AD:AD,Aux_TBS!A65)</f>
        <v>8</v>
      </c>
      <c r="T65" s="159" t="s">
        <v>248</v>
      </c>
      <c r="U65" s="159">
        <v>38</v>
      </c>
    </row>
    <row r="66" spans="1:21" x14ac:dyDescent="0.25">
      <c r="A66" s="162" t="s">
        <v>2366</v>
      </c>
      <c r="B66" s="149" t="s">
        <v>289</v>
      </c>
      <c r="C66" s="159" t="str">
        <f t="shared" si="0"/>
        <v>Vitória da Conquista, BA</v>
      </c>
      <c r="D66" s="163">
        <v>-14.87</v>
      </c>
      <c r="E66" s="149">
        <v>870</v>
      </c>
      <c r="F66" s="164">
        <v>21.63763441</v>
      </c>
      <c r="G66" s="164">
        <v>21.526041670000001</v>
      </c>
      <c r="H66" s="164">
        <v>22.801344090000001</v>
      </c>
      <c r="I66" s="164">
        <v>20.753611110000001</v>
      </c>
      <c r="J66" s="164">
        <v>18.954973119999998</v>
      </c>
      <c r="K66" s="164">
        <v>18.47625</v>
      </c>
      <c r="L66" s="164">
        <v>18.100000000000001</v>
      </c>
      <c r="M66" s="164">
        <v>18.28319892</v>
      </c>
      <c r="N66" s="164">
        <v>20.735138890000002</v>
      </c>
      <c r="O66" s="164">
        <v>21.50241935</v>
      </c>
      <c r="P66" s="164">
        <v>21.929166670000001</v>
      </c>
      <c r="Q66" s="164">
        <v>22.570295699999999</v>
      </c>
      <c r="R66" s="164">
        <v>20.605839494166666</v>
      </c>
      <c r="S66" s="159">
        <f>SUMIFS(Aux_Lista!AE:AE,Aux_Lista!AC:AC,Aux_TBS!B66,Aux_Lista!AD:AD,Aux_TBS!A66)</f>
        <v>5</v>
      </c>
      <c r="T66" s="159" t="s">
        <v>248</v>
      </c>
      <c r="U66" s="159">
        <v>38</v>
      </c>
    </row>
    <row r="67" spans="1:21" x14ac:dyDescent="0.25">
      <c r="A67" s="162" t="s">
        <v>4258</v>
      </c>
      <c r="B67" s="149" t="s">
        <v>300</v>
      </c>
      <c r="C67" s="159" t="str">
        <f t="shared" ref="C67:C130" si="1">CONCATENATE(A67,", ",B67)</f>
        <v>Acaraú, CE</v>
      </c>
      <c r="D67" s="163">
        <v>-3.12</v>
      </c>
      <c r="E67" s="149">
        <v>76</v>
      </c>
      <c r="F67" s="164">
        <v>27.123387099999999</v>
      </c>
      <c r="G67" s="164">
        <v>28.179017859999998</v>
      </c>
      <c r="H67" s="164">
        <v>27.496639779999999</v>
      </c>
      <c r="I67" s="164">
        <v>26.88138889</v>
      </c>
      <c r="J67" s="164">
        <v>25.220026879999999</v>
      </c>
      <c r="K67" s="164">
        <v>25.471666670000001</v>
      </c>
      <c r="L67" s="164">
        <v>25.518682800000001</v>
      </c>
      <c r="M67" s="164">
        <v>26.119086020000001</v>
      </c>
      <c r="N67" s="164">
        <v>26.69458333</v>
      </c>
      <c r="O67" s="164">
        <v>26.368682799999998</v>
      </c>
      <c r="P67" s="164">
        <v>27.00069444</v>
      </c>
      <c r="Q67" s="164">
        <v>27.29206989</v>
      </c>
      <c r="R67" s="164">
        <v>26.613827204999996</v>
      </c>
      <c r="S67" s="159">
        <f>SUMIFS(Aux_Lista!AE:AE,Aux_Lista!AC:AC,Aux_TBS!B67,Aux_Lista!AD:AD,Aux_TBS!A67)</f>
        <v>8</v>
      </c>
      <c r="T67" s="159" t="s">
        <v>248</v>
      </c>
      <c r="U67" s="159">
        <v>38</v>
      </c>
    </row>
    <row r="68" spans="1:21" x14ac:dyDescent="0.25">
      <c r="A68" s="162" t="s">
        <v>5304</v>
      </c>
      <c r="B68" s="149" t="s">
        <v>300</v>
      </c>
      <c r="C68" s="159" t="str">
        <f t="shared" si="1"/>
        <v>Barbalha, CE</v>
      </c>
      <c r="D68" s="163">
        <v>-7.3</v>
      </c>
      <c r="E68" s="149">
        <v>409</v>
      </c>
      <c r="F68" s="164">
        <v>26.495161289999999</v>
      </c>
      <c r="G68" s="164">
        <v>25.1203869</v>
      </c>
      <c r="H68" s="164">
        <v>25.37782258</v>
      </c>
      <c r="I68" s="164">
        <v>24.317083329999999</v>
      </c>
      <c r="J68" s="164">
        <v>24.320161290000001</v>
      </c>
      <c r="K68" s="164">
        <v>23.994861109999999</v>
      </c>
      <c r="L68" s="164">
        <v>24.141532260000002</v>
      </c>
      <c r="M68" s="164">
        <v>24.945295699999999</v>
      </c>
      <c r="N68" s="164">
        <v>26.642499999999998</v>
      </c>
      <c r="O68" s="164">
        <v>27.230510750000001</v>
      </c>
      <c r="P68" s="164">
        <v>27.81736111</v>
      </c>
      <c r="Q68" s="164">
        <v>26.678225810000001</v>
      </c>
      <c r="R68" s="164">
        <v>25.590075177499997</v>
      </c>
      <c r="S68" s="159">
        <f>SUMIFS(Aux_Lista!AE:AE,Aux_Lista!AC:AC,Aux_TBS!B68,Aux_Lista!AD:AD,Aux_TBS!A68)</f>
        <v>7</v>
      </c>
      <c r="T68" s="159" t="s">
        <v>248</v>
      </c>
      <c r="U68" s="159">
        <v>38</v>
      </c>
    </row>
    <row r="69" spans="1:21" x14ac:dyDescent="0.25">
      <c r="A69" s="162" t="s">
        <v>5253</v>
      </c>
      <c r="B69" s="149" t="s">
        <v>300</v>
      </c>
      <c r="C69" s="159" t="str">
        <f t="shared" si="1"/>
        <v>Campos Sales, CE</v>
      </c>
      <c r="D69" s="163">
        <v>-7.08</v>
      </c>
      <c r="E69" s="149">
        <v>572</v>
      </c>
      <c r="F69" s="164">
        <v>26.181720429999999</v>
      </c>
      <c r="G69" s="164">
        <v>24.150892859999999</v>
      </c>
      <c r="H69" s="164">
        <v>24.09556452</v>
      </c>
      <c r="I69" s="164">
        <v>23.23</v>
      </c>
      <c r="J69" s="164">
        <v>23.075403229999999</v>
      </c>
      <c r="K69" s="164">
        <v>22.743055559999998</v>
      </c>
      <c r="L69" s="164">
        <v>23.21357527</v>
      </c>
      <c r="M69" s="164">
        <v>24.185483869999999</v>
      </c>
      <c r="N69" s="164">
        <v>26.399583329999999</v>
      </c>
      <c r="O69" s="164">
        <v>26.92862903</v>
      </c>
      <c r="P69" s="164">
        <v>27.602638890000001</v>
      </c>
      <c r="Q69" s="164">
        <v>26.54663978</v>
      </c>
      <c r="R69" s="164">
        <v>24.862765564166665</v>
      </c>
      <c r="S69" s="159">
        <f>SUMIFS(Aux_Lista!AE:AE,Aux_Lista!AC:AC,Aux_TBS!B69,Aux_Lista!AD:AD,Aux_TBS!A69)</f>
        <v>7</v>
      </c>
      <c r="T69" s="159" t="s">
        <v>248</v>
      </c>
      <c r="U69" s="159">
        <v>38</v>
      </c>
    </row>
    <row r="70" spans="1:21" x14ac:dyDescent="0.25">
      <c r="A70" s="162" t="s">
        <v>5276</v>
      </c>
      <c r="B70" s="149" t="s">
        <v>300</v>
      </c>
      <c r="C70" s="159" t="str">
        <f t="shared" si="1"/>
        <v>Crateús, CE</v>
      </c>
      <c r="D70" s="163">
        <v>-5.19</v>
      </c>
      <c r="E70" s="149">
        <v>291</v>
      </c>
      <c r="F70" s="164">
        <v>27.447043010000002</v>
      </c>
      <c r="G70" s="164">
        <v>29.200297620000001</v>
      </c>
      <c r="H70" s="164">
        <v>25.451881719999999</v>
      </c>
      <c r="I70" s="164">
        <v>25.084583330000001</v>
      </c>
      <c r="J70" s="164">
        <v>25.225000000000001</v>
      </c>
      <c r="K70" s="164">
        <v>25.14458333</v>
      </c>
      <c r="L70" s="164">
        <v>25.3030914</v>
      </c>
      <c r="M70" s="164">
        <v>26.466129030000001</v>
      </c>
      <c r="N70" s="164">
        <v>28.27791667</v>
      </c>
      <c r="O70" s="164">
        <v>28.94596774</v>
      </c>
      <c r="P70" s="164">
        <v>29.513611109999999</v>
      </c>
      <c r="Q70" s="164">
        <v>29.226344090000001</v>
      </c>
      <c r="R70" s="164">
        <v>27.107204087499998</v>
      </c>
      <c r="S70" s="159">
        <f>SUMIFS(Aux_Lista!AE:AE,Aux_Lista!AC:AC,Aux_TBS!B70,Aux_Lista!AD:AD,Aux_TBS!A70)</f>
        <v>7</v>
      </c>
      <c r="T70" s="159" t="s">
        <v>248</v>
      </c>
      <c r="U70" s="159">
        <v>38</v>
      </c>
    </row>
    <row r="71" spans="1:21" x14ac:dyDescent="0.25">
      <c r="A71" s="162" t="s">
        <v>4109</v>
      </c>
      <c r="B71" s="149" t="s">
        <v>300</v>
      </c>
      <c r="C71" s="159" t="str">
        <f t="shared" si="1"/>
        <v>Fortaleza, CE</v>
      </c>
      <c r="D71" s="163">
        <v>-3.8</v>
      </c>
      <c r="E71" s="149">
        <v>41</v>
      </c>
      <c r="F71" s="164">
        <v>27.435752690000001</v>
      </c>
      <c r="G71" s="164">
        <v>26.733035709999999</v>
      </c>
      <c r="H71" s="164">
        <v>26.095833330000001</v>
      </c>
      <c r="I71" s="164">
        <v>25.886527780000002</v>
      </c>
      <c r="J71" s="164">
        <v>25.831182800000001</v>
      </c>
      <c r="K71" s="164">
        <v>25.973055559999999</v>
      </c>
      <c r="L71" s="164">
        <v>25.84287634</v>
      </c>
      <c r="M71" s="164">
        <v>26.299596770000001</v>
      </c>
      <c r="N71" s="164">
        <v>27.104444440000002</v>
      </c>
      <c r="O71" s="164">
        <v>27.13575269</v>
      </c>
      <c r="P71" s="164">
        <v>27.683472219999999</v>
      </c>
      <c r="Q71" s="164">
        <v>27.828763439999999</v>
      </c>
      <c r="R71" s="164">
        <v>26.654191147500001</v>
      </c>
      <c r="S71" s="159">
        <f>SUMIFS(Aux_Lista!AE:AE,Aux_Lista!AC:AC,Aux_TBS!B71,Aux_Lista!AD:AD,Aux_TBS!A71)</f>
        <v>8</v>
      </c>
      <c r="T71" s="159" t="s">
        <v>248</v>
      </c>
      <c r="U71" s="159">
        <v>38</v>
      </c>
    </row>
    <row r="72" spans="1:21" x14ac:dyDescent="0.25">
      <c r="A72" s="162" t="s">
        <v>2334</v>
      </c>
      <c r="B72" s="149" t="s">
        <v>300</v>
      </c>
      <c r="C72" s="159" t="str">
        <f t="shared" si="1"/>
        <v>Guaramiranga, CE</v>
      </c>
      <c r="D72" s="163">
        <v>-4.26</v>
      </c>
      <c r="E72" s="149">
        <v>38</v>
      </c>
      <c r="F72" s="164">
        <v>21.413037630000002</v>
      </c>
      <c r="G72" s="164">
        <v>20.863392860000001</v>
      </c>
      <c r="H72" s="164">
        <v>20.73508065</v>
      </c>
      <c r="I72" s="164">
        <v>20.835972219999999</v>
      </c>
      <c r="J72" s="164">
        <v>20.656989249999999</v>
      </c>
      <c r="K72" s="164">
        <v>20.236388890000001</v>
      </c>
      <c r="L72" s="164">
        <v>19.73736559</v>
      </c>
      <c r="M72" s="164">
        <v>20.043951610000001</v>
      </c>
      <c r="N72" s="164">
        <v>20.49888889</v>
      </c>
      <c r="O72" s="164">
        <v>20.7547043</v>
      </c>
      <c r="P72" s="164">
        <v>21.068194439999999</v>
      </c>
      <c r="Q72" s="164">
        <v>21.439516130000001</v>
      </c>
      <c r="R72" s="164">
        <v>20.690290205</v>
      </c>
      <c r="S72" s="159">
        <f>SUMIFS(Aux_Lista!AE:AE,Aux_Lista!AC:AC,Aux_TBS!B72,Aux_Lista!AD:AD,Aux_TBS!A72)</f>
        <v>5</v>
      </c>
      <c r="T72" s="159" t="s">
        <v>248</v>
      </c>
      <c r="U72" s="159">
        <v>38</v>
      </c>
    </row>
    <row r="73" spans="1:21" x14ac:dyDescent="0.25">
      <c r="A73" s="162" t="s">
        <v>758</v>
      </c>
      <c r="B73" s="149" t="s">
        <v>300</v>
      </c>
      <c r="C73" s="159" t="str">
        <f t="shared" si="1"/>
        <v>Iguatu, CE</v>
      </c>
      <c r="D73" s="163">
        <v>-6.36</v>
      </c>
      <c r="E73" s="149">
        <v>233</v>
      </c>
      <c r="F73" s="164">
        <v>27.371639779999999</v>
      </c>
      <c r="G73" s="164">
        <v>28.542559520000001</v>
      </c>
      <c r="H73" s="164">
        <v>25.248387099999999</v>
      </c>
      <c r="I73" s="164">
        <v>25.29097222</v>
      </c>
      <c r="J73" s="164">
        <v>24.762499999999999</v>
      </c>
      <c r="K73" s="164">
        <v>25.86902778</v>
      </c>
      <c r="L73" s="164">
        <v>27.021236559999998</v>
      </c>
      <c r="M73" s="164">
        <v>27.395564520000001</v>
      </c>
      <c r="N73" s="164">
        <v>28.503194440000001</v>
      </c>
      <c r="O73" s="164">
        <v>28.705107529999999</v>
      </c>
      <c r="P73" s="164">
        <v>28.454583329999998</v>
      </c>
      <c r="Q73" s="164">
        <v>27.150403229999998</v>
      </c>
      <c r="R73" s="164">
        <v>27.026264667500001</v>
      </c>
      <c r="S73" s="159">
        <f>SUMIFS(Aux_Lista!AE:AE,Aux_Lista!AC:AC,Aux_TBS!B73,Aux_Lista!AD:AD,Aux_TBS!A73)</f>
        <v>7</v>
      </c>
      <c r="T73" s="159" t="s">
        <v>248</v>
      </c>
      <c r="U73" s="159">
        <v>38</v>
      </c>
    </row>
    <row r="74" spans="1:21" x14ac:dyDescent="0.25">
      <c r="A74" s="162" t="s">
        <v>5127</v>
      </c>
      <c r="B74" s="149" t="s">
        <v>300</v>
      </c>
      <c r="C74" s="159" t="str">
        <f t="shared" si="1"/>
        <v>Itapipoca, CE</v>
      </c>
      <c r="D74" s="163">
        <v>-3.48</v>
      </c>
      <c r="E74" s="149">
        <v>102</v>
      </c>
      <c r="F74" s="164">
        <v>27.515053760000001</v>
      </c>
      <c r="G74" s="164">
        <v>26.563839290000001</v>
      </c>
      <c r="H74" s="164">
        <v>25.690456990000001</v>
      </c>
      <c r="I74" s="164">
        <v>25.525833330000001</v>
      </c>
      <c r="J74" s="164">
        <v>25.717607529999999</v>
      </c>
      <c r="K74" s="164">
        <v>26.251944439999999</v>
      </c>
      <c r="L74" s="164">
        <v>26.357123659999999</v>
      </c>
      <c r="M74" s="164">
        <v>27.161290319999999</v>
      </c>
      <c r="N74" s="164">
        <v>27.782222220000001</v>
      </c>
      <c r="O74" s="164">
        <v>27.622983869999999</v>
      </c>
      <c r="P74" s="164">
        <v>28.13097222</v>
      </c>
      <c r="Q74" s="164">
        <v>28.367338709999999</v>
      </c>
      <c r="R74" s="164">
        <v>26.890555528333334</v>
      </c>
      <c r="S74" s="159">
        <f>SUMIFS(Aux_Lista!AE:AE,Aux_Lista!AC:AC,Aux_TBS!B74,Aux_Lista!AD:AD,Aux_TBS!A74)</f>
        <v>8</v>
      </c>
      <c r="T74" s="159" t="s">
        <v>248</v>
      </c>
      <c r="U74" s="159">
        <v>38</v>
      </c>
    </row>
    <row r="75" spans="1:21" x14ac:dyDescent="0.25">
      <c r="A75" s="162" t="s">
        <v>5310</v>
      </c>
      <c r="B75" s="149" t="s">
        <v>300</v>
      </c>
      <c r="C75" s="159" t="str">
        <f t="shared" si="1"/>
        <v>Jaguaribe, CE</v>
      </c>
      <c r="D75" s="163">
        <v>-5.91</v>
      </c>
      <c r="E75" s="149">
        <v>184</v>
      </c>
      <c r="F75" s="164">
        <v>29.1922043</v>
      </c>
      <c r="G75" s="164">
        <v>27.00178571</v>
      </c>
      <c r="H75" s="164">
        <v>26.815994620000001</v>
      </c>
      <c r="I75" s="164">
        <v>26.178750000000001</v>
      </c>
      <c r="J75" s="164">
        <v>26.021505380000001</v>
      </c>
      <c r="K75" s="164">
        <v>26.060138890000001</v>
      </c>
      <c r="L75" s="164">
        <v>26.408467739999999</v>
      </c>
      <c r="M75" s="164">
        <v>27.723252689999999</v>
      </c>
      <c r="N75" s="164">
        <v>28.962083329999999</v>
      </c>
      <c r="O75" s="164">
        <v>29.205376340000001</v>
      </c>
      <c r="P75" s="164">
        <v>29.936250000000001</v>
      </c>
      <c r="Q75" s="164">
        <v>29.820161290000001</v>
      </c>
      <c r="R75" s="164">
        <v>27.777164190833332</v>
      </c>
      <c r="S75" s="159">
        <f>SUMIFS(Aux_Lista!AE:AE,Aux_Lista!AC:AC,Aux_TBS!B75,Aux_Lista!AD:AD,Aux_TBS!A75)</f>
        <v>7</v>
      </c>
      <c r="T75" s="159" t="s">
        <v>248</v>
      </c>
      <c r="U75" s="159">
        <v>38</v>
      </c>
    </row>
    <row r="76" spans="1:21" x14ac:dyDescent="0.25">
      <c r="A76" s="162" t="s">
        <v>4432</v>
      </c>
      <c r="B76" s="149" t="s">
        <v>300</v>
      </c>
      <c r="C76" s="159" t="str">
        <f t="shared" si="1"/>
        <v>Jaguaruana, CE</v>
      </c>
      <c r="D76" s="163">
        <v>-4.79</v>
      </c>
      <c r="E76" s="149">
        <v>12</v>
      </c>
      <c r="F76" s="164">
        <v>28.339919349999999</v>
      </c>
      <c r="G76" s="164">
        <v>28.655208330000001</v>
      </c>
      <c r="H76" s="164">
        <v>26.5936828</v>
      </c>
      <c r="I76" s="164">
        <v>26.444166670000001</v>
      </c>
      <c r="J76" s="164">
        <v>26.460887100000001</v>
      </c>
      <c r="K76" s="164">
        <v>25.737500000000001</v>
      </c>
      <c r="L76" s="164">
        <v>25.93145161</v>
      </c>
      <c r="M76" s="164">
        <v>26.639381719999999</v>
      </c>
      <c r="N76" s="164">
        <v>27.6</v>
      </c>
      <c r="O76" s="164">
        <v>28.10685484</v>
      </c>
      <c r="P76" s="164">
        <v>28.190277779999999</v>
      </c>
      <c r="Q76" s="164">
        <v>28.343951610000001</v>
      </c>
      <c r="R76" s="164">
        <v>27.253606817499996</v>
      </c>
      <c r="S76" s="159">
        <f>SUMIFS(Aux_Lista!AE:AE,Aux_Lista!AC:AC,Aux_TBS!B76,Aux_Lista!AD:AD,Aux_TBS!A76)</f>
        <v>8</v>
      </c>
      <c r="T76" s="159" t="s">
        <v>248</v>
      </c>
      <c r="U76" s="159">
        <v>38</v>
      </c>
    </row>
    <row r="77" spans="1:21" x14ac:dyDescent="0.25">
      <c r="A77" s="162" t="s">
        <v>5315</v>
      </c>
      <c r="B77" s="149" t="s">
        <v>300</v>
      </c>
      <c r="C77" s="159" t="str">
        <f t="shared" si="1"/>
        <v>Morada Nova, CE</v>
      </c>
      <c r="D77" s="163">
        <v>-5.1100000000000003</v>
      </c>
      <c r="E77" s="149">
        <v>44</v>
      </c>
      <c r="F77" s="164">
        <v>28.454435480000001</v>
      </c>
      <c r="G77" s="164">
        <v>27.056398810000001</v>
      </c>
      <c r="H77" s="164">
        <v>26.86142473</v>
      </c>
      <c r="I77" s="164">
        <v>26.18222222</v>
      </c>
      <c r="J77" s="164">
        <v>26.141532260000002</v>
      </c>
      <c r="K77" s="164">
        <v>25.672777780000001</v>
      </c>
      <c r="L77" s="164">
        <v>26.28494624</v>
      </c>
      <c r="M77" s="164">
        <v>26.953763439999999</v>
      </c>
      <c r="N77" s="164">
        <v>27.410138889999999</v>
      </c>
      <c r="O77" s="164">
        <v>27.721774190000001</v>
      </c>
      <c r="P77" s="164">
        <v>28.23875</v>
      </c>
      <c r="Q77" s="164">
        <v>28.66142473</v>
      </c>
      <c r="R77" s="164">
        <v>27.136632397499998</v>
      </c>
      <c r="S77" s="159">
        <f>SUMIFS(Aux_Lista!AE:AE,Aux_Lista!AC:AC,Aux_TBS!B77,Aux_Lista!AD:AD,Aux_TBS!A77)</f>
        <v>7</v>
      </c>
      <c r="T77" s="159" t="s">
        <v>248</v>
      </c>
      <c r="U77" s="159">
        <v>38</v>
      </c>
    </row>
    <row r="78" spans="1:21" x14ac:dyDescent="0.25">
      <c r="A78" s="162" t="s">
        <v>5272</v>
      </c>
      <c r="B78" s="149" t="s">
        <v>300</v>
      </c>
      <c r="C78" s="159" t="str">
        <f t="shared" si="1"/>
        <v>Quixeramobim, CE</v>
      </c>
      <c r="D78" s="163">
        <v>-5.2</v>
      </c>
      <c r="E78" s="149">
        <v>80</v>
      </c>
      <c r="F78" s="164">
        <v>28.15067204</v>
      </c>
      <c r="G78" s="164">
        <v>26.738392860000001</v>
      </c>
      <c r="H78" s="164">
        <v>25.751075270000001</v>
      </c>
      <c r="I78" s="164">
        <v>25.18222222</v>
      </c>
      <c r="J78" s="164">
        <v>24.89543011</v>
      </c>
      <c r="K78" s="164">
        <v>24.538611110000002</v>
      </c>
      <c r="L78" s="164">
        <v>24.694758060000002</v>
      </c>
      <c r="M78" s="164">
        <v>25.68051075</v>
      </c>
      <c r="N78" s="164">
        <v>27.12986111</v>
      </c>
      <c r="O78" s="164">
        <v>27.831854839999998</v>
      </c>
      <c r="P78" s="164">
        <v>28.32375</v>
      </c>
      <c r="Q78" s="164">
        <v>28.315994620000001</v>
      </c>
      <c r="R78" s="164">
        <v>26.436094415833338</v>
      </c>
      <c r="S78" s="159">
        <f>SUMIFS(Aux_Lista!AE:AE,Aux_Lista!AC:AC,Aux_TBS!B78,Aux_Lista!AD:AD,Aux_TBS!A78)</f>
        <v>7</v>
      </c>
      <c r="T78" s="159" t="s">
        <v>248</v>
      </c>
      <c r="U78" s="159">
        <v>38</v>
      </c>
    </row>
    <row r="79" spans="1:21" x14ac:dyDescent="0.25">
      <c r="A79" s="162" t="s">
        <v>5297</v>
      </c>
      <c r="B79" s="149" t="s">
        <v>300</v>
      </c>
      <c r="C79" s="159" t="str">
        <f t="shared" si="1"/>
        <v>Tauá, CE</v>
      </c>
      <c r="D79" s="163">
        <v>-6.02</v>
      </c>
      <c r="E79" s="149">
        <v>415</v>
      </c>
      <c r="F79" s="164">
        <v>26.706451609999998</v>
      </c>
      <c r="G79" s="164">
        <v>25.7702381</v>
      </c>
      <c r="H79" s="164">
        <v>24.333736559999998</v>
      </c>
      <c r="I79" s="164">
        <v>24.28833333</v>
      </c>
      <c r="J79" s="164">
        <v>23.865053759999999</v>
      </c>
      <c r="K79" s="164">
        <v>23.89763889</v>
      </c>
      <c r="L79" s="164">
        <v>24.879032259999999</v>
      </c>
      <c r="M79" s="164">
        <v>26.14784946</v>
      </c>
      <c r="N79" s="164">
        <v>28.00263889</v>
      </c>
      <c r="O79" s="164">
        <v>28.679166670000001</v>
      </c>
      <c r="P79" s="164">
        <v>29.00972222</v>
      </c>
      <c r="Q79" s="164">
        <v>28.722849459999999</v>
      </c>
      <c r="R79" s="164">
        <v>26.191892600833338</v>
      </c>
      <c r="S79" s="159">
        <f>SUMIFS(Aux_Lista!AE:AE,Aux_Lista!AC:AC,Aux_TBS!B79,Aux_Lista!AD:AD,Aux_TBS!A79)</f>
        <v>7</v>
      </c>
      <c r="T79" s="159" t="s">
        <v>248</v>
      </c>
      <c r="U79" s="159">
        <v>38</v>
      </c>
    </row>
    <row r="80" spans="1:21" x14ac:dyDescent="0.25">
      <c r="A80" s="162" t="s">
        <v>2186</v>
      </c>
      <c r="B80" s="149" t="s">
        <v>309</v>
      </c>
      <c r="C80" s="159" t="str">
        <f t="shared" si="1"/>
        <v>Brasília, DF</v>
      </c>
      <c r="D80" s="163">
        <v>-15.78</v>
      </c>
      <c r="E80" s="149">
        <v>1160</v>
      </c>
      <c r="F80" s="164">
        <v>22.08346774</v>
      </c>
      <c r="G80" s="164">
        <v>22.423809519999999</v>
      </c>
      <c r="H80" s="164">
        <v>21.105510750000001</v>
      </c>
      <c r="I80" s="164">
        <v>21.783194439999999</v>
      </c>
      <c r="J80" s="164">
        <v>20.78319892</v>
      </c>
      <c r="K80" s="164">
        <v>19.498333330000001</v>
      </c>
      <c r="L80" s="164">
        <v>19.958064520000001</v>
      </c>
      <c r="M80" s="164">
        <v>19.629569889999999</v>
      </c>
      <c r="N80" s="164">
        <v>22.113055559999999</v>
      </c>
      <c r="O80" s="164">
        <v>21.202553760000001</v>
      </c>
      <c r="P80" s="164">
        <v>21.019444440000001</v>
      </c>
      <c r="Q80" s="164">
        <v>21.51034946</v>
      </c>
      <c r="R80" s="164">
        <v>21.092546027500003</v>
      </c>
      <c r="S80" s="159">
        <f>SUMIFS(Aux_Lista!AE:AE,Aux_Lista!AC:AC,Aux_TBS!B80,Aux_Lista!AD:AD,Aux_TBS!A80)</f>
        <v>4</v>
      </c>
      <c r="T80" s="159" t="s">
        <v>310</v>
      </c>
      <c r="U80" s="159">
        <v>40</v>
      </c>
    </row>
    <row r="81" spans="1:21" x14ac:dyDescent="0.25">
      <c r="A81" s="162" t="s">
        <v>2822</v>
      </c>
      <c r="B81" s="149" t="s">
        <v>322</v>
      </c>
      <c r="C81" s="159" t="str">
        <f t="shared" si="1"/>
        <v>Planaltina, GO</v>
      </c>
      <c r="D81" s="163">
        <v>-15.53</v>
      </c>
      <c r="E81" s="149">
        <v>1200</v>
      </c>
      <c r="F81" s="164">
        <v>21.747043009999999</v>
      </c>
      <c r="G81" s="164">
        <v>21.760416670000001</v>
      </c>
      <c r="H81" s="164">
        <v>22.02379032</v>
      </c>
      <c r="I81" s="164">
        <v>20.907499999999999</v>
      </c>
      <c r="J81" s="164">
        <v>19.814650539999999</v>
      </c>
      <c r="K81" s="164">
        <v>18.69611111</v>
      </c>
      <c r="L81" s="164">
        <v>19.292338709999999</v>
      </c>
      <c r="M81" s="164">
        <v>20.13481183</v>
      </c>
      <c r="N81" s="164">
        <v>22.492638889999998</v>
      </c>
      <c r="O81" s="164">
        <v>21.664112899999999</v>
      </c>
      <c r="P81" s="164">
        <v>22.00791667</v>
      </c>
      <c r="Q81" s="164">
        <v>20.992204300000001</v>
      </c>
      <c r="R81" s="164">
        <v>20.961127912499997</v>
      </c>
      <c r="S81" s="159">
        <f>SUMIFS(Aux_Lista!AE:AE,Aux_Lista!AC:AC,Aux_TBS!B81,Aux_Lista!AD:AD,Aux_TBS!A81)</f>
        <v>6</v>
      </c>
      <c r="T81" s="159" t="s">
        <v>310</v>
      </c>
      <c r="U81" s="159">
        <v>40</v>
      </c>
    </row>
    <row r="82" spans="1:21" x14ac:dyDescent="0.25">
      <c r="A82" s="162" t="s">
        <v>3539</v>
      </c>
      <c r="B82" s="149" t="s">
        <v>317</v>
      </c>
      <c r="C82" s="159" t="str">
        <f t="shared" si="1"/>
        <v>Alegre, ES</v>
      </c>
      <c r="D82" s="163">
        <v>-20.76</v>
      </c>
      <c r="E82" s="149">
        <v>138</v>
      </c>
      <c r="F82" s="164">
        <v>25.51169355</v>
      </c>
      <c r="G82" s="164">
        <v>25.443154759999999</v>
      </c>
      <c r="H82" s="164">
        <v>26.671370970000002</v>
      </c>
      <c r="I82" s="164">
        <v>24.830694439999998</v>
      </c>
      <c r="J82" s="164">
        <v>21.263037629999999</v>
      </c>
      <c r="K82" s="164">
        <v>21.01166667</v>
      </c>
      <c r="L82" s="164">
        <v>21.057526880000001</v>
      </c>
      <c r="M82" s="164">
        <v>21.732526880000002</v>
      </c>
      <c r="N82" s="164">
        <v>22.877777779999999</v>
      </c>
      <c r="O82" s="164">
        <v>24.209543010000001</v>
      </c>
      <c r="P82" s="164">
        <v>26.7925</v>
      </c>
      <c r="Q82" s="164">
        <v>26.14973118</v>
      </c>
      <c r="R82" s="164">
        <v>23.962601979166667</v>
      </c>
      <c r="S82" s="159">
        <f>SUMIFS(Aux_Lista!AE:AE,Aux_Lista!AC:AC,Aux_TBS!B82,Aux_Lista!AD:AD,Aux_TBS!A82)</f>
        <v>5</v>
      </c>
      <c r="T82" s="159" t="s">
        <v>318</v>
      </c>
      <c r="U82" s="159">
        <v>40</v>
      </c>
    </row>
    <row r="83" spans="1:21" x14ac:dyDescent="0.25">
      <c r="A83" s="162" t="s">
        <v>2012</v>
      </c>
      <c r="B83" s="149" t="s">
        <v>317</v>
      </c>
      <c r="C83" s="159" t="str">
        <f t="shared" si="1"/>
        <v>Alfredo Chaves, ES</v>
      </c>
      <c r="D83" s="163">
        <v>-20.64</v>
      </c>
      <c r="E83" s="149">
        <v>35</v>
      </c>
      <c r="F83" s="164">
        <v>26.08763441</v>
      </c>
      <c r="G83" s="164">
        <v>25.673065480000002</v>
      </c>
      <c r="H83" s="164">
        <v>25.542607530000002</v>
      </c>
      <c r="I83" s="164">
        <v>25.200694439999999</v>
      </c>
      <c r="J83" s="164">
        <v>21.99852151</v>
      </c>
      <c r="K83" s="164">
        <v>21.286805560000001</v>
      </c>
      <c r="L83" s="164">
        <v>20.765725809999999</v>
      </c>
      <c r="M83" s="164">
        <v>22.65900538</v>
      </c>
      <c r="N83" s="164">
        <v>21.930555559999998</v>
      </c>
      <c r="O83" s="164">
        <v>24.260887100000001</v>
      </c>
      <c r="P83" s="164">
        <v>23.313749999999999</v>
      </c>
      <c r="Q83" s="164">
        <v>24.366935479999999</v>
      </c>
      <c r="R83" s="164">
        <v>23.590515688333326</v>
      </c>
      <c r="S83" s="159">
        <f>SUMIFS(Aux_Lista!AE:AE,Aux_Lista!AC:AC,Aux_TBS!B83,Aux_Lista!AD:AD,Aux_TBS!A83)</f>
        <v>8</v>
      </c>
      <c r="T83" s="159" t="s">
        <v>318</v>
      </c>
      <c r="U83" s="159">
        <v>40</v>
      </c>
    </row>
    <row r="84" spans="1:21" x14ac:dyDescent="0.25">
      <c r="A84" s="162" t="s">
        <v>1877</v>
      </c>
      <c r="B84" s="149" t="s">
        <v>317</v>
      </c>
      <c r="C84" s="159" t="str">
        <f t="shared" si="1"/>
        <v>Linhares, ES</v>
      </c>
      <c r="D84" s="163">
        <v>-19.39</v>
      </c>
      <c r="E84" s="149">
        <v>40</v>
      </c>
      <c r="F84" s="164">
        <v>26.33158602</v>
      </c>
      <c r="G84" s="164">
        <v>25.595833330000001</v>
      </c>
      <c r="H84" s="164">
        <v>26.419489250000002</v>
      </c>
      <c r="I84" s="164">
        <v>25.24958333</v>
      </c>
      <c r="J84" s="164">
        <v>22.831720430000001</v>
      </c>
      <c r="K84" s="164">
        <v>22.19611111</v>
      </c>
      <c r="L84" s="164">
        <v>22.02513441</v>
      </c>
      <c r="M84" s="164">
        <v>21.574731180000001</v>
      </c>
      <c r="N84" s="164">
        <v>22</v>
      </c>
      <c r="O84" s="164">
        <v>24.528629030000001</v>
      </c>
      <c r="P84" s="164">
        <v>25.903472220000001</v>
      </c>
      <c r="Q84" s="164">
        <v>26.73830645</v>
      </c>
      <c r="R84" s="164">
        <v>24.282883063333333</v>
      </c>
      <c r="S84" s="159">
        <f>SUMIFS(Aux_Lista!AE:AE,Aux_Lista!AC:AC,Aux_TBS!B84,Aux_Lista!AD:AD,Aux_TBS!A84)</f>
        <v>8</v>
      </c>
      <c r="T84" s="159" t="s">
        <v>318</v>
      </c>
      <c r="U84" s="159">
        <v>40</v>
      </c>
    </row>
    <row r="85" spans="1:21" x14ac:dyDescent="0.25">
      <c r="A85" s="162" t="s">
        <v>5110</v>
      </c>
      <c r="B85" s="149" t="s">
        <v>317</v>
      </c>
      <c r="C85" s="159" t="str">
        <f t="shared" si="1"/>
        <v>Nova Venécia, ES</v>
      </c>
      <c r="D85" s="163">
        <v>-18.7</v>
      </c>
      <c r="E85" s="149">
        <v>154</v>
      </c>
      <c r="F85" s="164">
        <v>25.243682799999998</v>
      </c>
      <c r="G85" s="164">
        <v>26.245089289999999</v>
      </c>
      <c r="H85" s="164">
        <v>26.56666667</v>
      </c>
      <c r="I85" s="164">
        <v>24.311944440000001</v>
      </c>
      <c r="J85" s="164">
        <v>22.408333330000001</v>
      </c>
      <c r="K85" s="164">
        <v>21.518750000000001</v>
      </c>
      <c r="L85" s="164">
        <v>21.911021510000001</v>
      </c>
      <c r="M85" s="164">
        <v>21.983467739999998</v>
      </c>
      <c r="N85" s="164">
        <v>24.390277780000002</v>
      </c>
      <c r="O85" s="164">
        <v>24.639516130000001</v>
      </c>
      <c r="P85" s="164">
        <v>25.75111111</v>
      </c>
      <c r="Q85" s="164">
        <v>26.260215049999999</v>
      </c>
      <c r="R85" s="164">
        <v>24.269172987500003</v>
      </c>
      <c r="S85" s="159">
        <f>SUMIFS(Aux_Lista!AE:AE,Aux_Lista!AC:AC,Aux_TBS!B85,Aux_Lista!AD:AD,Aux_TBS!A85)</f>
        <v>8</v>
      </c>
      <c r="T85" s="159" t="s">
        <v>318</v>
      </c>
      <c r="U85" s="159">
        <v>40</v>
      </c>
    </row>
    <row r="86" spans="1:21" x14ac:dyDescent="0.25">
      <c r="A86" s="162" t="s">
        <v>3164</v>
      </c>
      <c r="B86" s="149" t="s">
        <v>317</v>
      </c>
      <c r="C86" s="159" t="str">
        <f t="shared" si="1"/>
        <v>Presidente Kennedy, ES</v>
      </c>
      <c r="D86" s="163">
        <v>-21.1</v>
      </c>
      <c r="E86" s="149">
        <v>80</v>
      </c>
      <c r="F86" s="164">
        <v>25.538844090000001</v>
      </c>
      <c r="G86" s="164">
        <v>26.5827381</v>
      </c>
      <c r="H86" s="164">
        <v>26.04206989</v>
      </c>
      <c r="I86" s="164">
        <v>23.86791667</v>
      </c>
      <c r="J86" s="164">
        <v>22.48319892</v>
      </c>
      <c r="K86" s="164">
        <v>20.577500000000001</v>
      </c>
      <c r="L86" s="164">
        <v>21.488172039999998</v>
      </c>
      <c r="M86" s="164">
        <v>21.61895161</v>
      </c>
      <c r="N86" s="164">
        <v>23.44875</v>
      </c>
      <c r="O86" s="164">
        <v>23.59663978</v>
      </c>
      <c r="P86" s="164">
        <v>26.267222220000001</v>
      </c>
      <c r="Q86" s="164">
        <v>26.297849459999998</v>
      </c>
      <c r="R86" s="164">
        <v>23.984154398333335</v>
      </c>
      <c r="S86" s="159">
        <f>SUMIFS(Aux_Lista!AE:AE,Aux_Lista!AC:AC,Aux_TBS!B86,Aux_Lista!AD:AD,Aux_TBS!A86)</f>
        <v>8</v>
      </c>
      <c r="T86" s="159" t="s">
        <v>318</v>
      </c>
      <c r="U86" s="159">
        <v>40</v>
      </c>
    </row>
    <row r="87" spans="1:21" x14ac:dyDescent="0.25">
      <c r="A87" s="162" t="s">
        <v>341</v>
      </c>
      <c r="B87" s="149" t="s">
        <v>317</v>
      </c>
      <c r="C87" s="159" t="str">
        <f t="shared" si="1"/>
        <v>Santa Teresa, ES</v>
      </c>
      <c r="D87" s="163">
        <v>-19.989999999999998</v>
      </c>
      <c r="E87" s="149">
        <v>998</v>
      </c>
      <c r="F87" s="164">
        <v>20.087499999999999</v>
      </c>
      <c r="G87" s="164">
        <v>20.589285709999999</v>
      </c>
      <c r="H87" s="164">
        <v>20.7547043</v>
      </c>
      <c r="I87" s="164">
        <v>18.678194439999999</v>
      </c>
      <c r="J87" s="164">
        <v>16.99905914</v>
      </c>
      <c r="K87" s="164">
        <v>15.855694440000001</v>
      </c>
      <c r="L87" s="164">
        <v>16.56854839</v>
      </c>
      <c r="M87" s="164">
        <v>16.038172039999999</v>
      </c>
      <c r="N87" s="164">
        <v>18.180138889999998</v>
      </c>
      <c r="O87" s="164">
        <v>18.535080650000001</v>
      </c>
      <c r="P87" s="164">
        <v>20.270138889999998</v>
      </c>
      <c r="Q87" s="164">
        <v>20.572715049999999</v>
      </c>
      <c r="R87" s="164">
        <v>18.594102661666664</v>
      </c>
      <c r="S87" s="159">
        <f>SUMIFS(Aux_Lista!AE:AE,Aux_Lista!AC:AC,Aux_TBS!B87,Aux_Lista!AD:AD,Aux_TBS!A87)</f>
        <v>8</v>
      </c>
      <c r="T87" s="159" t="s">
        <v>318</v>
      </c>
      <c r="U87" s="159">
        <v>40</v>
      </c>
    </row>
    <row r="88" spans="1:21" x14ac:dyDescent="0.25">
      <c r="A88" s="162" t="s">
        <v>3361</v>
      </c>
      <c r="B88" s="149" t="s">
        <v>317</v>
      </c>
      <c r="C88" s="159" t="str">
        <f t="shared" si="1"/>
        <v>São Mateus, ES</v>
      </c>
      <c r="D88" s="163">
        <v>-18.72</v>
      </c>
      <c r="E88" s="149">
        <v>39</v>
      </c>
      <c r="F88" s="164">
        <v>26.298252690000002</v>
      </c>
      <c r="G88" s="164">
        <v>25.280059519999998</v>
      </c>
      <c r="H88" s="164">
        <v>25.84274194</v>
      </c>
      <c r="I88" s="164">
        <v>24.810555560000001</v>
      </c>
      <c r="J88" s="164">
        <v>22.569623660000001</v>
      </c>
      <c r="K88" s="164">
        <v>21.188472220000001</v>
      </c>
      <c r="L88" s="164">
        <v>21.413037630000002</v>
      </c>
      <c r="M88" s="164">
        <v>20.966263439999999</v>
      </c>
      <c r="N88" s="164">
        <v>21.517083329999998</v>
      </c>
      <c r="O88" s="164">
        <v>24.37271505</v>
      </c>
      <c r="P88" s="164">
        <v>25.59333333</v>
      </c>
      <c r="Q88" s="164">
        <v>26.578629029999998</v>
      </c>
      <c r="R88" s="164">
        <v>23.869230616666666</v>
      </c>
      <c r="S88" s="159">
        <f>SUMIFS(Aux_Lista!AE:AE,Aux_Lista!AC:AC,Aux_TBS!B88,Aux_Lista!AD:AD,Aux_TBS!A88)</f>
        <v>8</v>
      </c>
      <c r="T88" s="159" t="s">
        <v>318</v>
      </c>
      <c r="U88" s="159">
        <v>40</v>
      </c>
    </row>
    <row r="89" spans="1:21" x14ac:dyDescent="0.25">
      <c r="A89" s="162" t="s">
        <v>3353</v>
      </c>
      <c r="B89" s="149" t="s">
        <v>317</v>
      </c>
      <c r="C89" s="159" t="str">
        <f t="shared" si="1"/>
        <v>Vitória, ES</v>
      </c>
      <c r="D89" s="163">
        <v>-20.32</v>
      </c>
      <c r="E89" s="149">
        <v>9</v>
      </c>
      <c r="F89" s="164">
        <v>26.35026882</v>
      </c>
      <c r="G89" s="164">
        <v>25.76056548</v>
      </c>
      <c r="H89" s="164">
        <v>26.653629030000001</v>
      </c>
      <c r="I89" s="164">
        <v>25.341388890000001</v>
      </c>
      <c r="J89" s="164">
        <v>22.837365590000001</v>
      </c>
      <c r="K89" s="164">
        <v>21.983333330000001</v>
      </c>
      <c r="L89" s="164">
        <v>22.381720430000001</v>
      </c>
      <c r="M89" s="164">
        <v>21.68655914</v>
      </c>
      <c r="N89" s="164">
        <v>22.073333330000001</v>
      </c>
      <c r="O89" s="164">
        <v>24.41236559</v>
      </c>
      <c r="P89" s="164">
        <v>26.499861110000001</v>
      </c>
      <c r="Q89" s="164">
        <v>26.864112899999999</v>
      </c>
      <c r="R89" s="164">
        <v>24.403708636666668</v>
      </c>
      <c r="S89" s="159">
        <f>SUMIFS(Aux_Lista!AE:AE,Aux_Lista!AC:AC,Aux_TBS!B89,Aux_Lista!AD:AD,Aux_TBS!A89)</f>
        <v>8</v>
      </c>
      <c r="T89" s="159" t="s">
        <v>318</v>
      </c>
      <c r="U89" s="159">
        <v>40</v>
      </c>
    </row>
    <row r="90" spans="1:21" x14ac:dyDescent="0.25">
      <c r="A90" s="162" t="s">
        <v>2369</v>
      </c>
      <c r="B90" s="149" t="s">
        <v>322</v>
      </c>
      <c r="C90" s="159" t="str">
        <f t="shared" si="1"/>
        <v>Alto Paraíso de Goiás, GO</v>
      </c>
      <c r="D90" s="163">
        <v>-14.13</v>
      </c>
      <c r="E90" s="149">
        <v>1260</v>
      </c>
      <c r="F90" s="164">
        <v>21.004032259999999</v>
      </c>
      <c r="G90" s="164">
        <v>21.546279760000001</v>
      </c>
      <c r="H90" s="164">
        <v>21.134139780000002</v>
      </c>
      <c r="I90" s="164">
        <v>20.459444439999999</v>
      </c>
      <c r="J90" s="164">
        <v>20.4641129</v>
      </c>
      <c r="K90" s="164">
        <v>18.673055560000002</v>
      </c>
      <c r="L90" s="164">
        <v>18.672446239999999</v>
      </c>
      <c r="M90" s="164">
        <v>19.532795700000001</v>
      </c>
      <c r="N90" s="164">
        <v>22.33958333</v>
      </c>
      <c r="O90" s="164">
        <v>22.383064520000001</v>
      </c>
      <c r="P90" s="164">
        <v>20.244305560000001</v>
      </c>
      <c r="Q90" s="164">
        <v>20.65349462</v>
      </c>
      <c r="R90" s="164">
        <v>20.592229555833338</v>
      </c>
      <c r="S90" s="159">
        <f>SUMIFS(Aux_Lista!AE:AE,Aux_Lista!AC:AC,Aux_TBS!B90,Aux_Lista!AD:AD,Aux_TBS!A90)</f>
        <v>6</v>
      </c>
      <c r="T90" s="159" t="s">
        <v>310</v>
      </c>
      <c r="U90" s="159">
        <v>40</v>
      </c>
    </row>
    <row r="91" spans="1:21" x14ac:dyDescent="0.25">
      <c r="A91" s="162" t="s">
        <v>5674</v>
      </c>
      <c r="B91" s="149" t="s">
        <v>322</v>
      </c>
      <c r="C91" s="159" t="str">
        <f t="shared" si="1"/>
        <v>Aragarças, GO</v>
      </c>
      <c r="D91" s="163">
        <v>-15.9</v>
      </c>
      <c r="E91" s="149">
        <v>347</v>
      </c>
      <c r="F91" s="164">
        <v>26.35080645</v>
      </c>
      <c r="G91" s="164">
        <v>25.862946430000001</v>
      </c>
      <c r="H91" s="164">
        <v>26.323790320000001</v>
      </c>
      <c r="I91" s="164">
        <v>25.479027779999999</v>
      </c>
      <c r="J91" s="164">
        <v>24.804301079999998</v>
      </c>
      <c r="K91" s="164">
        <v>23.05875</v>
      </c>
      <c r="L91" s="164">
        <v>24.362231179999998</v>
      </c>
      <c r="M91" s="164">
        <v>25.972715050000001</v>
      </c>
      <c r="N91" s="164">
        <v>28.106944439999999</v>
      </c>
      <c r="O91" s="164">
        <v>27.317338710000001</v>
      </c>
      <c r="P91" s="164">
        <v>26.55722222</v>
      </c>
      <c r="Q91" s="164">
        <v>25.335483870000001</v>
      </c>
      <c r="R91" s="164">
        <v>25.794296460833337</v>
      </c>
      <c r="S91" s="159">
        <f>SUMIFS(Aux_Lista!AE:AE,Aux_Lista!AC:AC,Aux_TBS!B91,Aux_Lista!AD:AD,Aux_TBS!A91)</f>
        <v>6</v>
      </c>
      <c r="T91" s="159" t="s">
        <v>310</v>
      </c>
      <c r="U91" s="159">
        <v>40</v>
      </c>
    </row>
    <row r="92" spans="1:21" x14ac:dyDescent="0.25">
      <c r="A92" s="162" t="s">
        <v>2406</v>
      </c>
      <c r="B92" s="149" t="s">
        <v>322</v>
      </c>
      <c r="C92" s="159" t="str">
        <f t="shared" si="1"/>
        <v>Caiapônia, GO</v>
      </c>
      <c r="D92" s="163">
        <v>-16.96</v>
      </c>
      <c r="E92" s="149">
        <v>737</v>
      </c>
      <c r="F92" s="164">
        <v>22.829166669999999</v>
      </c>
      <c r="G92" s="164">
        <v>23.096577379999999</v>
      </c>
      <c r="H92" s="164">
        <v>23.134005380000001</v>
      </c>
      <c r="I92" s="164">
        <v>23.21236111</v>
      </c>
      <c r="J92" s="164">
        <v>21.818817200000002</v>
      </c>
      <c r="K92" s="164">
        <v>21.664583329999999</v>
      </c>
      <c r="L92" s="164">
        <v>21.505241940000001</v>
      </c>
      <c r="M92" s="164">
        <v>24.003629029999999</v>
      </c>
      <c r="N92" s="164">
        <v>24.84972222</v>
      </c>
      <c r="O92" s="164">
        <v>25.274999999999999</v>
      </c>
      <c r="P92" s="164">
        <v>24.199583329999999</v>
      </c>
      <c r="Q92" s="164">
        <v>23.478494619999999</v>
      </c>
      <c r="R92" s="164">
        <v>23.255598517500001</v>
      </c>
      <c r="S92" s="159">
        <f>SUMIFS(Aux_Lista!AE:AE,Aux_Lista!AC:AC,Aux_TBS!B92,Aux_Lista!AD:AD,Aux_TBS!A92)</f>
        <v>6</v>
      </c>
      <c r="T92" s="159" t="s">
        <v>310</v>
      </c>
      <c r="U92" s="159">
        <v>40</v>
      </c>
    </row>
    <row r="93" spans="1:21" x14ac:dyDescent="0.25">
      <c r="A93" s="162" t="s">
        <v>2315</v>
      </c>
      <c r="B93" s="149" t="s">
        <v>322</v>
      </c>
      <c r="C93" s="159" t="str">
        <f t="shared" si="1"/>
        <v>Catalão, GO</v>
      </c>
      <c r="D93" s="163">
        <v>-18.16</v>
      </c>
      <c r="E93" s="149">
        <v>890</v>
      </c>
      <c r="F93" s="164">
        <v>22.842473120000001</v>
      </c>
      <c r="G93" s="164">
        <v>22.628869049999999</v>
      </c>
      <c r="H93" s="164">
        <v>22.435483869999999</v>
      </c>
      <c r="I93" s="164">
        <v>22.851111110000002</v>
      </c>
      <c r="J93" s="164">
        <v>20.62083333</v>
      </c>
      <c r="K93" s="164">
        <v>20.74361111</v>
      </c>
      <c r="L93" s="164">
        <v>20.114919350000001</v>
      </c>
      <c r="M93" s="164">
        <v>22.983736560000001</v>
      </c>
      <c r="N93" s="164">
        <v>23.952361109999998</v>
      </c>
      <c r="O93" s="164">
        <v>24.959005380000001</v>
      </c>
      <c r="P93" s="164">
        <v>23.2425</v>
      </c>
      <c r="Q93" s="164">
        <v>22.728763440000002</v>
      </c>
      <c r="R93" s="164">
        <v>22.508638952500004</v>
      </c>
      <c r="S93" s="159">
        <f>SUMIFS(Aux_Lista!AE:AE,Aux_Lista!AC:AC,Aux_TBS!B93,Aux_Lista!AD:AD,Aux_TBS!A93)</f>
        <v>6</v>
      </c>
      <c r="T93" s="159" t="s">
        <v>310</v>
      </c>
      <c r="U93" s="159">
        <v>40</v>
      </c>
    </row>
    <row r="94" spans="1:21" x14ac:dyDescent="0.25">
      <c r="A94" s="162" t="s">
        <v>2002</v>
      </c>
      <c r="B94" s="149" t="s">
        <v>322</v>
      </c>
      <c r="C94" s="159" t="str">
        <f t="shared" si="1"/>
        <v>Cristalina, GO</v>
      </c>
      <c r="D94" s="163">
        <v>-16.79</v>
      </c>
      <c r="E94" s="149">
        <v>1202</v>
      </c>
      <c r="F94" s="164">
        <v>21.326881719999999</v>
      </c>
      <c r="G94" s="164">
        <v>21.675892860000001</v>
      </c>
      <c r="H94" s="164">
        <v>21.96263441</v>
      </c>
      <c r="I94" s="164">
        <v>20.127777779999999</v>
      </c>
      <c r="J94" s="164">
        <v>19.056182799999998</v>
      </c>
      <c r="K94" s="164">
        <v>18.190416670000001</v>
      </c>
      <c r="L94" s="164">
        <v>19.974059140000001</v>
      </c>
      <c r="M94" s="164">
        <v>19.731451610000001</v>
      </c>
      <c r="N94" s="164">
        <v>22.441527780000001</v>
      </c>
      <c r="O94" s="164">
        <v>21.34892473</v>
      </c>
      <c r="P94" s="164">
        <v>22.3325</v>
      </c>
      <c r="Q94" s="164">
        <v>20.612768819999999</v>
      </c>
      <c r="R94" s="164">
        <v>20.731751526666667</v>
      </c>
      <c r="S94" s="159">
        <f>SUMIFS(Aux_Lista!AE:AE,Aux_Lista!AC:AC,Aux_TBS!B94,Aux_Lista!AD:AD,Aux_TBS!A94)</f>
        <v>4</v>
      </c>
      <c r="T94" s="159" t="s">
        <v>310</v>
      </c>
      <c r="U94" s="159">
        <v>40</v>
      </c>
    </row>
    <row r="95" spans="1:21" x14ac:dyDescent="0.25">
      <c r="A95" s="162" t="s">
        <v>5560</v>
      </c>
      <c r="B95" s="149" t="s">
        <v>322</v>
      </c>
      <c r="C95" s="159" t="str">
        <f t="shared" si="1"/>
        <v>Goianésia, GO</v>
      </c>
      <c r="D95" s="163">
        <v>-15.32</v>
      </c>
      <c r="E95" s="149">
        <v>667</v>
      </c>
      <c r="F95" s="164">
        <v>24.44919355</v>
      </c>
      <c r="G95" s="164">
        <v>25.004761899999998</v>
      </c>
      <c r="H95" s="164">
        <v>24.699731180000001</v>
      </c>
      <c r="I95" s="164">
        <v>24.463333330000001</v>
      </c>
      <c r="J95" s="164">
        <v>24.141666669999999</v>
      </c>
      <c r="K95" s="164">
        <v>22.86902778</v>
      </c>
      <c r="L95" s="164">
        <v>23.497311830000001</v>
      </c>
      <c r="M95" s="164">
        <v>24.416801079999999</v>
      </c>
      <c r="N95" s="164">
        <v>27.092500000000001</v>
      </c>
      <c r="O95" s="164">
        <v>26.080107529999999</v>
      </c>
      <c r="P95" s="164">
        <v>23.61069444</v>
      </c>
      <c r="Q95" s="164">
        <v>24.137365590000002</v>
      </c>
      <c r="R95" s="164">
        <v>24.538541240000001</v>
      </c>
      <c r="S95" s="159">
        <f>SUMIFS(Aux_Lista!AE:AE,Aux_Lista!AC:AC,Aux_TBS!B95,Aux_Lista!AD:AD,Aux_TBS!A95)</f>
        <v>6</v>
      </c>
      <c r="T95" s="159" t="s">
        <v>310</v>
      </c>
      <c r="U95" s="159">
        <v>40</v>
      </c>
    </row>
    <row r="96" spans="1:21" x14ac:dyDescent="0.25">
      <c r="A96" s="162" t="s">
        <v>2787</v>
      </c>
      <c r="B96" s="149" t="s">
        <v>322</v>
      </c>
      <c r="C96" s="159" t="str">
        <f t="shared" si="1"/>
        <v>Goiânia, GO</v>
      </c>
      <c r="D96" s="163">
        <v>-15.37</v>
      </c>
      <c r="E96" s="149">
        <v>770</v>
      </c>
      <c r="F96" s="164">
        <v>23.853225810000001</v>
      </c>
      <c r="G96" s="164">
        <v>24.135416670000001</v>
      </c>
      <c r="H96" s="164">
        <v>23.424059140000001</v>
      </c>
      <c r="I96" s="164">
        <v>23.454583329999998</v>
      </c>
      <c r="J96" s="164">
        <v>21.11801075</v>
      </c>
      <c r="K96" s="164">
        <v>20.63930556</v>
      </c>
      <c r="L96" s="164">
        <v>20.512903229999999</v>
      </c>
      <c r="M96" s="164">
        <v>22.590188170000001</v>
      </c>
      <c r="N96" s="164">
        <v>25.047638890000002</v>
      </c>
      <c r="O96" s="164">
        <v>24.99112903</v>
      </c>
      <c r="P96" s="164">
        <v>24.05833333</v>
      </c>
      <c r="Q96" s="164">
        <v>25.029032260000001</v>
      </c>
      <c r="R96" s="164">
        <v>23.237818847499998</v>
      </c>
      <c r="S96" s="159">
        <f>SUMIFS(Aux_Lista!AE:AE,Aux_Lista!AC:AC,Aux_TBS!B96,Aux_Lista!AD:AD,Aux_TBS!A96)</f>
        <v>6</v>
      </c>
      <c r="T96" s="159" t="s">
        <v>310</v>
      </c>
      <c r="U96" s="159">
        <v>40</v>
      </c>
    </row>
    <row r="97" spans="1:21" x14ac:dyDescent="0.25">
      <c r="A97" s="162" t="s">
        <v>4702</v>
      </c>
      <c r="B97" s="149" t="s">
        <v>322</v>
      </c>
      <c r="C97" s="159" t="str">
        <f t="shared" si="1"/>
        <v>Goiás, GO</v>
      </c>
      <c r="D97" s="163">
        <v>-15.93</v>
      </c>
      <c r="E97" s="149">
        <v>512</v>
      </c>
      <c r="F97" s="164">
        <v>25.019758060000001</v>
      </c>
      <c r="G97" s="164">
        <v>24.716815480000001</v>
      </c>
      <c r="H97" s="164">
        <v>25.318951609999999</v>
      </c>
      <c r="I97" s="164">
        <v>24.45</v>
      </c>
      <c r="J97" s="164">
        <v>24.006720430000001</v>
      </c>
      <c r="K97" s="164">
        <v>23.184305559999999</v>
      </c>
      <c r="L97" s="164">
        <v>24.543548390000002</v>
      </c>
      <c r="M97" s="164">
        <v>25.981317199999999</v>
      </c>
      <c r="N97" s="164">
        <v>27.322500000000002</v>
      </c>
      <c r="O97" s="164">
        <v>25.427822580000001</v>
      </c>
      <c r="P97" s="164">
        <v>25.355555559999999</v>
      </c>
      <c r="Q97" s="164">
        <v>24.42903226</v>
      </c>
      <c r="R97" s="164">
        <v>24.979693927499998</v>
      </c>
      <c r="S97" s="159">
        <f>SUMIFS(Aux_Lista!AE:AE,Aux_Lista!AC:AC,Aux_TBS!B97,Aux_Lista!AD:AD,Aux_TBS!A97)</f>
        <v>7</v>
      </c>
      <c r="T97" s="159" t="s">
        <v>310</v>
      </c>
      <c r="U97" s="159">
        <v>40</v>
      </c>
    </row>
    <row r="98" spans="1:21" x14ac:dyDescent="0.25">
      <c r="A98" s="162" t="s">
        <v>3058</v>
      </c>
      <c r="B98" s="149" t="s">
        <v>322</v>
      </c>
      <c r="C98" s="159" t="str">
        <f t="shared" si="1"/>
        <v>Itapaci, GO</v>
      </c>
      <c r="D98" s="163">
        <v>-14.95</v>
      </c>
      <c r="E98" s="149">
        <v>522</v>
      </c>
      <c r="F98" s="164">
        <v>24.257661290000001</v>
      </c>
      <c r="G98" s="164">
        <v>24.095833330000001</v>
      </c>
      <c r="H98" s="164">
        <v>23.55</v>
      </c>
      <c r="I98" s="164">
        <v>24.158055560000001</v>
      </c>
      <c r="J98" s="164">
        <v>22.640994620000001</v>
      </c>
      <c r="K98" s="164">
        <v>21.30805556</v>
      </c>
      <c r="L98" s="164">
        <v>22.42956989</v>
      </c>
      <c r="M98" s="164">
        <v>22.158736560000001</v>
      </c>
      <c r="N98" s="164">
        <v>25.756666670000001</v>
      </c>
      <c r="O98" s="164">
        <v>27.01680108</v>
      </c>
      <c r="P98" s="164">
        <v>25.242361110000001</v>
      </c>
      <c r="Q98" s="164">
        <v>24.24677419</v>
      </c>
      <c r="R98" s="164">
        <v>23.905125821666669</v>
      </c>
      <c r="S98" s="159">
        <f>SUMIFS(Aux_Lista!AE:AE,Aux_Lista!AC:AC,Aux_TBS!B98,Aux_Lista!AD:AD,Aux_TBS!A98)</f>
        <v>6</v>
      </c>
      <c r="T98" s="159" t="s">
        <v>310</v>
      </c>
      <c r="U98" s="159">
        <v>40</v>
      </c>
    </row>
    <row r="99" spans="1:21" x14ac:dyDescent="0.25">
      <c r="A99" s="162" t="s">
        <v>2943</v>
      </c>
      <c r="B99" s="149" t="s">
        <v>322</v>
      </c>
      <c r="C99" s="159" t="str">
        <f t="shared" si="1"/>
        <v>Itumbiara, GO</v>
      </c>
      <c r="D99" s="163">
        <v>-18.41</v>
      </c>
      <c r="E99" s="149">
        <v>488</v>
      </c>
      <c r="F99" s="164">
        <v>24.764247309999998</v>
      </c>
      <c r="G99" s="164">
        <v>25.141666669999999</v>
      </c>
      <c r="H99" s="164">
        <v>24.962903229999998</v>
      </c>
      <c r="I99" s="164">
        <v>23.419305560000002</v>
      </c>
      <c r="J99" s="164">
        <v>22.392876340000001</v>
      </c>
      <c r="K99" s="164">
        <v>20.344027780000001</v>
      </c>
      <c r="L99" s="164">
        <v>22.299327959999999</v>
      </c>
      <c r="M99" s="164">
        <v>23.235215050000001</v>
      </c>
      <c r="N99" s="164">
        <v>24.953055559999999</v>
      </c>
      <c r="O99" s="164">
        <v>25.119220429999999</v>
      </c>
      <c r="P99" s="164">
        <v>25.85083333</v>
      </c>
      <c r="Q99" s="164">
        <v>24.607392470000001</v>
      </c>
      <c r="R99" s="164">
        <v>23.92417264083333</v>
      </c>
      <c r="S99" s="159">
        <f>SUMIFS(Aux_Lista!AE:AE,Aux_Lista!AC:AC,Aux_TBS!B99,Aux_Lista!AD:AD,Aux_TBS!A99)</f>
        <v>6</v>
      </c>
      <c r="T99" s="159" t="s">
        <v>310</v>
      </c>
      <c r="U99" s="159">
        <v>40</v>
      </c>
    </row>
    <row r="100" spans="1:21" x14ac:dyDescent="0.25">
      <c r="A100" s="162" t="s">
        <v>3055</v>
      </c>
      <c r="B100" s="149" t="s">
        <v>322</v>
      </c>
      <c r="C100" s="159" t="str">
        <f t="shared" si="1"/>
        <v>Jataí, GO</v>
      </c>
      <c r="D100" s="163">
        <v>-17.88</v>
      </c>
      <c r="E100" s="149">
        <v>582</v>
      </c>
      <c r="F100" s="164">
        <v>23.180645160000001</v>
      </c>
      <c r="G100" s="164">
        <v>22.841220239999998</v>
      </c>
      <c r="H100" s="164">
        <v>22.76586022</v>
      </c>
      <c r="I100" s="164">
        <v>22.56847222</v>
      </c>
      <c r="J100" s="164">
        <v>19.758602150000002</v>
      </c>
      <c r="K100" s="164">
        <v>19.85055556</v>
      </c>
      <c r="L100" s="164">
        <v>19.52473118</v>
      </c>
      <c r="M100" s="164">
        <v>22.561290320000001</v>
      </c>
      <c r="N100" s="164">
        <v>23.465833329999999</v>
      </c>
      <c r="O100" s="164">
        <v>24.505913979999999</v>
      </c>
      <c r="P100" s="164">
        <v>24.106249999999999</v>
      </c>
      <c r="Q100" s="164">
        <v>23.9063172</v>
      </c>
      <c r="R100" s="164">
        <v>22.419640963333336</v>
      </c>
      <c r="S100" s="159">
        <f>SUMIFS(Aux_Lista!AE:AE,Aux_Lista!AC:AC,Aux_TBS!B100,Aux_Lista!AD:AD,Aux_TBS!A100)</f>
        <v>6</v>
      </c>
      <c r="T100" s="159" t="s">
        <v>310</v>
      </c>
      <c r="U100" s="159">
        <v>40</v>
      </c>
    </row>
    <row r="101" spans="1:21" x14ac:dyDescent="0.25">
      <c r="A101" s="162" t="s">
        <v>2089</v>
      </c>
      <c r="B101" s="149" t="s">
        <v>322</v>
      </c>
      <c r="C101" s="159" t="str">
        <f t="shared" si="1"/>
        <v>Luziânia, GO</v>
      </c>
      <c r="D101" s="163">
        <v>-16.25</v>
      </c>
      <c r="E101" s="149">
        <v>958</v>
      </c>
      <c r="F101" s="164">
        <v>22.483064519999999</v>
      </c>
      <c r="G101" s="164">
        <v>22.593005949999998</v>
      </c>
      <c r="H101" s="164">
        <v>22.724193549999999</v>
      </c>
      <c r="I101" s="164">
        <v>21.521805560000001</v>
      </c>
      <c r="J101" s="164">
        <v>20.746505379999999</v>
      </c>
      <c r="K101" s="164">
        <v>19.69055556</v>
      </c>
      <c r="L101" s="164">
        <v>21.476344090000001</v>
      </c>
      <c r="M101" s="164">
        <v>21.46733871</v>
      </c>
      <c r="N101" s="164">
        <v>23.653472220000001</v>
      </c>
      <c r="O101" s="164">
        <v>22.50282258</v>
      </c>
      <c r="P101" s="164">
        <v>23.147916670000001</v>
      </c>
      <c r="Q101" s="164">
        <v>21.856182799999999</v>
      </c>
      <c r="R101" s="164">
        <v>21.988600632499999</v>
      </c>
      <c r="S101" s="159">
        <f>SUMIFS(Aux_Lista!AE:AE,Aux_Lista!AC:AC,Aux_TBS!B101,Aux_Lista!AD:AD,Aux_TBS!A101)</f>
        <v>4</v>
      </c>
      <c r="T101" s="159" t="s">
        <v>310</v>
      </c>
      <c r="U101" s="159">
        <v>40</v>
      </c>
    </row>
    <row r="102" spans="1:21" x14ac:dyDescent="0.25">
      <c r="A102" s="162" t="s">
        <v>3051</v>
      </c>
      <c r="B102" s="149" t="s">
        <v>322</v>
      </c>
      <c r="C102" s="159" t="str">
        <f t="shared" si="1"/>
        <v>Mineiros, GO</v>
      </c>
      <c r="D102" s="163">
        <v>-17.57</v>
      </c>
      <c r="E102" s="149">
        <v>706</v>
      </c>
      <c r="F102" s="164">
        <v>22.992876339999999</v>
      </c>
      <c r="G102" s="164">
        <v>22.829464290000001</v>
      </c>
      <c r="H102" s="164">
        <v>22.82836022</v>
      </c>
      <c r="I102" s="164">
        <v>22.467916670000001</v>
      </c>
      <c r="J102" s="164">
        <v>20.039516129999999</v>
      </c>
      <c r="K102" s="164">
        <v>18.923749999999998</v>
      </c>
      <c r="L102" s="164">
        <v>20.327016130000001</v>
      </c>
      <c r="M102" s="164">
        <v>22.001747309999999</v>
      </c>
      <c r="N102" s="164">
        <v>24.15736111</v>
      </c>
      <c r="O102" s="164">
        <v>24.223521510000001</v>
      </c>
      <c r="P102" s="164">
        <v>24.441388889999999</v>
      </c>
      <c r="Q102" s="164">
        <v>23.302956989999998</v>
      </c>
      <c r="R102" s="164">
        <v>22.3779896325</v>
      </c>
      <c r="S102" s="159">
        <f>SUMIFS(Aux_Lista!AE:AE,Aux_Lista!AC:AC,Aux_TBS!B102,Aux_Lista!AD:AD,Aux_TBS!A102)</f>
        <v>6</v>
      </c>
      <c r="T102" s="159" t="s">
        <v>310</v>
      </c>
      <c r="U102" s="159">
        <v>40</v>
      </c>
    </row>
    <row r="103" spans="1:21" x14ac:dyDescent="0.25">
      <c r="A103" s="162" t="s">
        <v>4648</v>
      </c>
      <c r="B103" s="149" t="s">
        <v>322</v>
      </c>
      <c r="C103" s="159" t="str">
        <f t="shared" si="1"/>
        <v>Monte Alegre de Goiás, GO</v>
      </c>
      <c r="D103" s="163">
        <v>-13.5</v>
      </c>
      <c r="E103" s="149">
        <v>1253</v>
      </c>
      <c r="F103" s="164">
        <v>25.16048387</v>
      </c>
      <c r="G103" s="164">
        <v>24.870238100000002</v>
      </c>
      <c r="H103" s="164">
        <v>25.374731180000001</v>
      </c>
      <c r="I103" s="164">
        <v>24.273888889999998</v>
      </c>
      <c r="J103" s="164">
        <v>23.362231179999998</v>
      </c>
      <c r="K103" s="164">
        <v>23.257638889999999</v>
      </c>
      <c r="L103" s="164">
        <v>23.962768820000001</v>
      </c>
      <c r="M103" s="164">
        <v>25.953091400000002</v>
      </c>
      <c r="N103" s="164">
        <v>27.62013889</v>
      </c>
      <c r="O103" s="164">
        <v>25.59663978</v>
      </c>
      <c r="P103" s="164">
        <v>25.326111109999999</v>
      </c>
      <c r="Q103" s="164">
        <v>24.82419355</v>
      </c>
      <c r="R103" s="164">
        <v>24.965179638333336</v>
      </c>
      <c r="S103" s="159">
        <f>SUMIFS(Aux_Lista!AE:AE,Aux_Lista!AC:AC,Aux_TBS!B103,Aux_Lista!AD:AD,Aux_TBS!A103)</f>
        <v>7</v>
      </c>
      <c r="T103" s="159" t="s">
        <v>310</v>
      </c>
      <c r="U103" s="159">
        <v>40</v>
      </c>
    </row>
    <row r="104" spans="1:21" x14ac:dyDescent="0.25">
      <c r="A104" s="162" t="s">
        <v>3052</v>
      </c>
      <c r="B104" s="149" t="s">
        <v>322</v>
      </c>
      <c r="C104" s="159" t="str">
        <f t="shared" si="1"/>
        <v>Morrinhos, GO</v>
      </c>
      <c r="D104" s="163">
        <v>-17.73</v>
      </c>
      <c r="E104" s="149">
        <v>771</v>
      </c>
      <c r="F104" s="164">
        <v>23.342069890000001</v>
      </c>
      <c r="G104" s="164">
        <v>23.286160710000001</v>
      </c>
      <c r="H104" s="164">
        <v>23.48602151</v>
      </c>
      <c r="I104" s="164">
        <v>23.016249999999999</v>
      </c>
      <c r="J104" s="164">
        <v>20.122983869999999</v>
      </c>
      <c r="K104" s="164">
        <v>19.62541667</v>
      </c>
      <c r="L104" s="164">
        <v>20.352956989999999</v>
      </c>
      <c r="M104" s="164">
        <v>21.45</v>
      </c>
      <c r="N104" s="164">
        <v>24.534861110000001</v>
      </c>
      <c r="O104" s="164">
        <v>23.05873656</v>
      </c>
      <c r="P104" s="164">
        <v>23.123611109999999</v>
      </c>
      <c r="Q104" s="164">
        <v>23.24341398</v>
      </c>
      <c r="R104" s="164">
        <v>22.386873533333333</v>
      </c>
      <c r="S104" s="159">
        <f>SUMIFS(Aux_Lista!AE:AE,Aux_Lista!AC:AC,Aux_TBS!B104,Aux_Lista!AD:AD,Aux_TBS!A104)</f>
        <v>6</v>
      </c>
      <c r="T104" s="159" t="s">
        <v>310</v>
      </c>
      <c r="U104" s="159">
        <v>40</v>
      </c>
    </row>
    <row r="105" spans="1:21" x14ac:dyDescent="0.25">
      <c r="A105" s="162" t="s">
        <v>2381</v>
      </c>
      <c r="B105" s="149" t="s">
        <v>322</v>
      </c>
      <c r="C105" s="159" t="str">
        <f t="shared" si="1"/>
        <v>Niquelândia, GO</v>
      </c>
      <c r="D105" s="163">
        <v>-14.47</v>
      </c>
      <c r="E105" s="149">
        <v>583</v>
      </c>
      <c r="F105" s="164">
        <v>23.812231180000001</v>
      </c>
      <c r="G105" s="164">
        <v>24.425000000000001</v>
      </c>
      <c r="H105" s="164">
        <v>23.484543009999999</v>
      </c>
      <c r="I105" s="164">
        <v>24.520416669999999</v>
      </c>
      <c r="J105" s="164">
        <v>23.560483869999999</v>
      </c>
      <c r="K105" s="164">
        <v>23.267916670000002</v>
      </c>
      <c r="L105" s="164">
        <v>22.88575269</v>
      </c>
      <c r="M105" s="164">
        <v>25.155645159999999</v>
      </c>
      <c r="N105" s="164">
        <v>26.813888890000001</v>
      </c>
      <c r="O105" s="164">
        <v>25.845967739999999</v>
      </c>
      <c r="P105" s="164">
        <v>24.636805559999999</v>
      </c>
      <c r="Q105" s="164">
        <v>23.387365590000002</v>
      </c>
      <c r="R105" s="164">
        <v>24.316334752499998</v>
      </c>
      <c r="S105" s="159">
        <f>SUMIFS(Aux_Lista!AE:AE,Aux_Lista!AC:AC,Aux_TBS!B105,Aux_Lista!AD:AD,Aux_TBS!A105)</f>
        <v>6</v>
      </c>
      <c r="T105" s="159" t="s">
        <v>310</v>
      </c>
      <c r="U105" s="159">
        <v>40</v>
      </c>
    </row>
    <row r="106" spans="1:21" x14ac:dyDescent="0.25">
      <c r="A106" s="162" t="s">
        <v>2977</v>
      </c>
      <c r="B106" s="149" t="s">
        <v>322</v>
      </c>
      <c r="C106" s="159" t="str">
        <f t="shared" si="1"/>
        <v>Paraúna, GO</v>
      </c>
      <c r="D106" s="163">
        <v>-16.96</v>
      </c>
      <c r="E106" s="149">
        <v>678</v>
      </c>
      <c r="F106" s="164">
        <v>24.496102149999999</v>
      </c>
      <c r="G106" s="164">
        <v>24.445238100000001</v>
      </c>
      <c r="H106" s="164">
        <v>24.36841398</v>
      </c>
      <c r="I106" s="164">
        <v>23.778472220000001</v>
      </c>
      <c r="J106" s="164">
        <v>21.72432796</v>
      </c>
      <c r="K106" s="164">
        <v>21.917361110000002</v>
      </c>
      <c r="L106" s="164">
        <v>21.64973118</v>
      </c>
      <c r="M106" s="164">
        <v>24.771236559999998</v>
      </c>
      <c r="N106" s="164">
        <v>25.592500000000001</v>
      </c>
      <c r="O106" s="164">
        <v>26.395698920000001</v>
      </c>
      <c r="P106" s="164">
        <v>24.70027778</v>
      </c>
      <c r="Q106" s="164">
        <v>24.173387099999999</v>
      </c>
      <c r="R106" s="164">
        <v>24.001062255000004</v>
      </c>
      <c r="S106" s="159">
        <f>SUMIFS(Aux_Lista!AE:AE,Aux_Lista!AC:AC,Aux_TBS!B106,Aux_Lista!AD:AD,Aux_TBS!A106)</f>
        <v>6</v>
      </c>
      <c r="T106" s="159" t="s">
        <v>310</v>
      </c>
      <c r="U106" s="159">
        <v>40</v>
      </c>
    </row>
    <row r="107" spans="1:21" x14ac:dyDescent="0.25">
      <c r="A107" s="162" t="s">
        <v>2935</v>
      </c>
      <c r="B107" s="149" t="s">
        <v>322</v>
      </c>
      <c r="C107" s="159" t="str">
        <f t="shared" si="1"/>
        <v>Pires do Rio, GO</v>
      </c>
      <c r="D107" s="163">
        <v>-17.309999999999999</v>
      </c>
      <c r="E107" s="149">
        <v>752</v>
      </c>
      <c r="F107" s="164">
        <v>23.629838710000001</v>
      </c>
      <c r="G107" s="164">
        <v>24.012202380000002</v>
      </c>
      <c r="H107" s="164">
        <v>23.84986559</v>
      </c>
      <c r="I107" s="164">
        <v>22.569722219999999</v>
      </c>
      <c r="J107" s="164">
        <v>21.290322580000002</v>
      </c>
      <c r="K107" s="164">
        <v>19.764166670000002</v>
      </c>
      <c r="L107" s="164">
        <v>21.40349462</v>
      </c>
      <c r="M107" s="164">
        <v>22.35497312</v>
      </c>
      <c r="N107" s="164">
        <v>24.352916669999999</v>
      </c>
      <c r="O107" s="164">
        <v>23.950940859999999</v>
      </c>
      <c r="P107" s="164">
        <v>24.65208333</v>
      </c>
      <c r="Q107" s="164">
        <v>23.555376339999999</v>
      </c>
      <c r="R107" s="164">
        <v>22.948825257500001</v>
      </c>
      <c r="S107" s="159">
        <f>SUMIFS(Aux_Lista!AE:AE,Aux_Lista!AC:AC,Aux_TBS!B107,Aux_Lista!AD:AD,Aux_TBS!A107)</f>
        <v>4</v>
      </c>
      <c r="T107" s="159" t="s">
        <v>310</v>
      </c>
      <c r="U107" s="159">
        <v>40</v>
      </c>
    </row>
    <row r="108" spans="1:21" x14ac:dyDescent="0.25">
      <c r="A108" s="162" t="s">
        <v>2068</v>
      </c>
      <c r="B108" s="149" t="s">
        <v>322</v>
      </c>
      <c r="C108" s="159" t="str">
        <f t="shared" si="1"/>
        <v>Posse, GO</v>
      </c>
      <c r="D108" s="163">
        <v>-14.09</v>
      </c>
      <c r="E108" s="149">
        <v>834</v>
      </c>
      <c r="F108" s="164">
        <v>24.300940860000001</v>
      </c>
      <c r="G108" s="164">
        <v>25.29866071</v>
      </c>
      <c r="H108" s="164">
        <v>24.225000000000001</v>
      </c>
      <c r="I108" s="164">
        <v>24.461111110000001</v>
      </c>
      <c r="J108" s="164">
        <v>24.825672040000001</v>
      </c>
      <c r="K108" s="164">
        <v>23.142083329999998</v>
      </c>
      <c r="L108" s="164">
        <v>23.698790320000001</v>
      </c>
      <c r="M108" s="164">
        <v>24.2594086</v>
      </c>
      <c r="N108" s="164">
        <v>26.471527779999999</v>
      </c>
      <c r="O108" s="164">
        <v>24.475940860000001</v>
      </c>
      <c r="P108" s="164">
        <v>24.63513889</v>
      </c>
      <c r="Q108" s="164">
        <v>23.571102150000002</v>
      </c>
      <c r="R108" s="164">
        <v>24.447114720833337</v>
      </c>
      <c r="S108" s="159">
        <f>SUMIFS(Aux_Lista!AE:AE,Aux_Lista!AC:AC,Aux_TBS!B108,Aux_Lista!AD:AD,Aux_TBS!A108)</f>
        <v>6</v>
      </c>
      <c r="T108" s="159" t="s">
        <v>310</v>
      </c>
      <c r="U108" s="159">
        <v>40</v>
      </c>
    </row>
    <row r="109" spans="1:21" x14ac:dyDescent="0.25">
      <c r="A109" s="162" t="s">
        <v>2394</v>
      </c>
      <c r="B109" s="149" t="s">
        <v>322</v>
      </c>
      <c r="C109" s="159" t="str">
        <f t="shared" si="1"/>
        <v>Rio Verde, GO</v>
      </c>
      <c r="D109" s="163">
        <v>-17.8</v>
      </c>
      <c r="E109" s="149">
        <v>782</v>
      </c>
      <c r="F109" s="164">
        <v>22.56948925</v>
      </c>
      <c r="G109" s="164">
        <v>22.715624999999999</v>
      </c>
      <c r="H109" s="164">
        <v>22.66841398</v>
      </c>
      <c r="I109" s="164">
        <v>22.754722220000001</v>
      </c>
      <c r="J109" s="164">
        <v>20.798387099999999</v>
      </c>
      <c r="K109" s="164">
        <v>21.189305560000001</v>
      </c>
      <c r="L109" s="164">
        <v>21.415456989999999</v>
      </c>
      <c r="M109" s="164">
        <v>23.837768820000001</v>
      </c>
      <c r="N109" s="164">
        <v>24.15847222</v>
      </c>
      <c r="O109" s="164">
        <v>24.736962370000001</v>
      </c>
      <c r="P109" s="164">
        <v>23.359444440000001</v>
      </c>
      <c r="Q109" s="164">
        <v>23.425403230000001</v>
      </c>
      <c r="R109" s="164">
        <v>22.802454265000005</v>
      </c>
      <c r="S109" s="159">
        <f>SUMIFS(Aux_Lista!AE:AE,Aux_Lista!AC:AC,Aux_TBS!B109,Aux_Lista!AD:AD,Aux_TBS!A109)</f>
        <v>6</v>
      </c>
      <c r="T109" s="159" t="s">
        <v>310</v>
      </c>
      <c r="U109" s="159">
        <v>40</v>
      </c>
    </row>
    <row r="110" spans="1:21" x14ac:dyDescent="0.25">
      <c r="A110" s="162" t="s">
        <v>2893</v>
      </c>
      <c r="B110" s="149" t="s">
        <v>322</v>
      </c>
      <c r="C110" s="159" t="str">
        <f t="shared" si="1"/>
        <v>São Simão, GO</v>
      </c>
      <c r="D110" s="163">
        <v>-18.989999999999998</v>
      </c>
      <c r="E110" s="149">
        <v>489</v>
      </c>
      <c r="F110" s="164">
        <v>24.691801080000001</v>
      </c>
      <c r="G110" s="164">
        <v>24.99821429</v>
      </c>
      <c r="H110" s="164">
        <v>25.169489250000002</v>
      </c>
      <c r="I110" s="164">
        <v>24.119861109999999</v>
      </c>
      <c r="J110" s="164">
        <v>22.954435480000001</v>
      </c>
      <c r="K110" s="164">
        <v>20.332222219999998</v>
      </c>
      <c r="L110" s="164">
        <v>22.50376344</v>
      </c>
      <c r="M110" s="164">
        <v>23.01908602</v>
      </c>
      <c r="N110" s="164">
        <v>24.855694440000001</v>
      </c>
      <c r="O110" s="164">
        <v>24.93803763</v>
      </c>
      <c r="P110" s="164">
        <v>25.728750000000002</v>
      </c>
      <c r="Q110" s="164">
        <v>24.58763441</v>
      </c>
      <c r="R110" s="164">
        <v>23.991582447500004</v>
      </c>
      <c r="S110" s="159">
        <f>SUMIFS(Aux_Lista!AE:AE,Aux_Lista!AC:AC,Aux_TBS!B110,Aux_Lista!AD:AD,Aux_TBS!A110)</f>
        <v>6</v>
      </c>
      <c r="T110" s="159" t="s">
        <v>310</v>
      </c>
      <c r="U110" s="159">
        <v>40</v>
      </c>
    </row>
    <row r="111" spans="1:21" x14ac:dyDescent="0.25">
      <c r="A111" s="162" t="s">
        <v>4981</v>
      </c>
      <c r="B111" s="149" t="s">
        <v>328</v>
      </c>
      <c r="C111" s="159" t="str">
        <f t="shared" si="1"/>
        <v>Alto Parnaíba, MA</v>
      </c>
      <c r="D111" s="163">
        <v>-9.11</v>
      </c>
      <c r="E111" s="149">
        <v>281</v>
      </c>
      <c r="F111" s="164">
        <v>25.771236559999998</v>
      </c>
      <c r="G111" s="164">
        <v>24.953869050000002</v>
      </c>
      <c r="H111" s="164">
        <v>25.61330645</v>
      </c>
      <c r="I111" s="164">
        <v>25.33472222</v>
      </c>
      <c r="J111" s="164">
        <v>24.890322579999999</v>
      </c>
      <c r="K111" s="164">
        <v>25.051527780000001</v>
      </c>
      <c r="L111" s="164">
        <v>24.711559139999999</v>
      </c>
      <c r="M111" s="164">
        <v>25.819892469999999</v>
      </c>
      <c r="N111" s="164">
        <v>28.045694439999998</v>
      </c>
      <c r="O111" s="164">
        <v>26.329435480000001</v>
      </c>
      <c r="P111" s="164">
        <v>26.831527779999998</v>
      </c>
      <c r="Q111" s="164">
        <v>25.592607529999999</v>
      </c>
      <c r="R111" s="164">
        <v>25.745475123333332</v>
      </c>
      <c r="S111" s="159">
        <f>SUMIFS(Aux_Lista!AE:AE,Aux_Lista!AC:AC,Aux_TBS!B111,Aux_Lista!AD:AD,Aux_TBS!A111)</f>
        <v>7</v>
      </c>
      <c r="T111" s="159" t="s">
        <v>248</v>
      </c>
      <c r="U111" s="159">
        <v>38</v>
      </c>
    </row>
    <row r="112" spans="1:21" x14ac:dyDescent="0.25">
      <c r="A112" s="162" t="s">
        <v>4851</v>
      </c>
      <c r="B112" s="149" t="s">
        <v>328</v>
      </c>
      <c r="C112" s="159" t="str">
        <f t="shared" si="1"/>
        <v>Bacabal, MA</v>
      </c>
      <c r="D112" s="163">
        <v>-4.24</v>
      </c>
      <c r="E112" s="149">
        <v>28</v>
      </c>
      <c r="F112" s="164">
        <v>26.510483870000002</v>
      </c>
      <c r="G112" s="164">
        <v>26.163988100000001</v>
      </c>
      <c r="H112" s="164">
        <v>26.29758065</v>
      </c>
      <c r="I112" s="164">
        <v>25.88666667</v>
      </c>
      <c r="J112" s="164">
        <v>26.254569889999999</v>
      </c>
      <c r="K112" s="164">
        <v>26.84444444</v>
      </c>
      <c r="L112" s="164">
        <v>26.65201613</v>
      </c>
      <c r="M112" s="164">
        <v>27.633333329999999</v>
      </c>
      <c r="N112" s="164">
        <v>28.768611109999998</v>
      </c>
      <c r="O112" s="164">
        <v>29.234677420000001</v>
      </c>
      <c r="P112" s="164">
        <v>28.897777779999998</v>
      </c>
      <c r="Q112" s="164">
        <v>28.124865589999999</v>
      </c>
      <c r="R112" s="164">
        <v>27.272417915000002</v>
      </c>
      <c r="S112" s="159">
        <f>SUMIFS(Aux_Lista!AE:AE,Aux_Lista!AC:AC,Aux_TBS!B112,Aux_Lista!AD:AD,Aux_TBS!A112)</f>
        <v>8</v>
      </c>
      <c r="T112" s="159" t="s">
        <v>248</v>
      </c>
      <c r="U112" s="159">
        <v>38</v>
      </c>
    </row>
    <row r="113" spans="1:21" x14ac:dyDescent="0.25">
      <c r="A113" s="162" t="s">
        <v>4912</v>
      </c>
      <c r="B113" s="149" t="s">
        <v>328</v>
      </c>
      <c r="C113" s="159" t="str">
        <f t="shared" si="1"/>
        <v>Balsas, MA</v>
      </c>
      <c r="D113" s="163">
        <v>-7.46</v>
      </c>
      <c r="E113" s="149">
        <v>254</v>
      </c>
      <c r="F113" s="164">
        <v>25.547311830000002</v>
      </c>
      <c r="G113" s="164">
        <v>25.179464289999999</v>
      </c>
      <c r="H113" s="164">
        <v>25.77002688</v>
      </c>
      <c r="I113" s="164">
        <v>25.122916669999999</v>
      </c>
      <c r="J113" s="164">
        <v>25.135215049999999</v>
      </c>
      <c r="K113" s="164">
        <v>25.187361110000001</v>
      </c>
      <c r="L113" s="164">
        <v>25.433064519999999</v>
      </c>
      <c r="M113" s="164">
        <v>26.611827959999999</v>
      </c>
      <c r="N113" s="164">
        <v>28.380694439999999</v>
      </c>
      <c r="O113" s="164">
        <v>26.794220429999999</v>
      </c>
      <c r="P113" s="164">
        <v>26.90319444</v>
      </c>
      <c r="Q113" s="164">
        <v>25.29341398</v>
      </c>
      <c r="R113" s="164">
        <v>25.946559300000001</v>
      </c>
      <c r="S113" s="159">
        <f>SUMIFS(Aux_Lista!AE:AE,Aux_Lista!AC:AC,Aux_TBS!B113,Aux_Lista!AD:AD,Aux_TBS!A113)</f>
        <v>7</v>
      </c>
      <c r="T113" s="159" t="s">
        <v>248</v>
      </c>
      <c r="U113" s="159">
        <v>38</v>
      </c>
    </row>
    <row r="114" spans="1:21" x14ac:dyDescent="0.25">
      <c r="A114" s="162" t="s">
        <v>4803</v>
      </c>
      <c r="B114" s="149" t="s">
        <v>328</v>
      </c>
      <c r="C114" s="159" t="str">
        <f t="shared" si="1"/>
        <v>Barra do Corda, MA</v>
      </c>
      <c r="D114" s="163">
        <v>-5.51</v>
      </c>
      <c r="E114" s="149">
        <v>153</v>
      </c>
      <c r="F114" s="164">
        <v>26.005376340000002</v>
      </c>
      <c r="G114" s="164">
        <v>25.399553569999998</v>
      </c>
      <c r="H114" s="164">
        <v>25.75094086</v>
      </c>
      <c r="I114" s="164">
        <v>25.362916670000001</v>
      </c>
      <c r="J114" s="164">
        <v>25.21034946</v>
      </c>
      <c r="K114" s="164">
        <v>25.581250000000001</v>
      </c>
      <c r="L114" s="164">
        <v>25.760215049999999</v>
      </c>
      <c r="M114" s="164">
        <v>26.395295699999998</v>
      </c>
      <c r="N114" s="164">
        <v>27.72402778</v>
      </c>
      <c r="O114" s="164">
        <v>27.815053760000001</v>
      </c>
      <c r="P114" s="164">
        <v>27.999861110000001</v>
      </c>
      <c r="Q114" s="164">
        <v>26.366263440000001</v>
      </c>
      <c r="R114" s="164">
        <v>26.280925311666667</v>
      </c>
      <c r="S114" s="159">
        <f>SUMIFS(Aux_Lista!AE:AE,Aux_Lista!AC:AC,Aux_TBS!B114,Aux_Lista!AD:AD,Aux_TBS!A114)</f>
        <v>7</v>
      </c>
      <c r="T114" s="159" t="s">
        <v>248</v>
      </c>
      <c r="U114" s="159">
        <v>38</v>
      </c>
    </row>
    <row r="115" spans="1:21" x14ac:dyDescent="0.25">
      <c r="A115" s="162" t="s">
        <v>4407</v>
      </c>
      <c r="B115" s="149" t="s">
        <v>328</v>
      </c>
      <c r="C115" s="159" t="str">
        <f t="shared" si="1"/>
        <v>Buriticupu, MA</v>
      </c>
      <c r="D115" s="163">
        <v>-4.32</v>
      </c>
      <c r="E115" s="149">
        <v>175</v>
      </c>
      <c r="F115" s="164">
        <v>26.03870968</v>
      </c>
      <c r="G115" s="164">
        <v>25.224851189999999</v>
      </c>
      <c r="H115" s="164">
        <v>25.232526880000002</v>
      </c>
      <c r="I115" s="164">
        <v>24.869166669999998</v>
      </c>
      <c r="J115" s="164">
        <v>25.14408602</v>
      </c>
      <c r="K115" s="164">
        <v>25.53569444</v>
      </c>
      <c r="L115" s="164">
        <v>25.69784946</v>
      </c>
      <c r="M115" s="164">
        <v>26.503897850000001</v>
      </c>
      <c r="N115" s="164">
        <v>27.573333330000001</v>
      </c>
      <c r="O115" s="164">
        <v>27.50228495</v>
      </c>
      <c r="P115" s="164">
        <v>27.75305556</v>
      </c>
      <c r="Q115" s="164">
        <v>27.226881720000002</v>
      </c>
      <c r="R115" s="164">
        <v>26.191861479166665</v>
      </c>
      <c r="S115" s="159">
        <f>SUMIFS(Aux_Lista!AE:AE,Aux_Lista!AC:AC,Aux_TBS!B115,Aux_Lista!AD:AD,Aux_TBS!A115)</f>
        <v>8</v>
      </c>
      <c r="T115" s="159" t="s">
        <v>248</v>
      </c>
      <c r="U115" s="159">
        <v>38</v>
      </c>
    </row>
    <row r="116" spans="1:21" x14ac:dyDescent="0.25">
      <c r="A116" s="162" t="s">
        <v>4922</v>
      </c>
      <c r="B116" s="149" t="s">
        <v>328</v>
      </c>
      <c r="C116" s="159" t="str">
        <f t="shared" si="1"/>
        <v>Carolina, MA</v>
      </c>
      <c r="D116" s="163">
        <v>-7.34</v>
      </c>
      <c r="E116" s="149">
        <v>192</v>
      </c>
      <c r="F116" s="164">
        <v>25.501747309999999</v>
      </c>
      <c r="G116" s="164">
        <v>25.80744048</v>
      </c>
      <c r="H116" s="164">
        <v>26.269892469999998</v>
      </c>
      <c r="I116" s="164">
        <v>25.59819444</v>
      </c>
      <c r="J116" s="164">
        <v>25.636962369999999</v>
      </c>
      <c r="K116" s="164">
        <v>26.560138890000001</v>
      </c>
      <c r="L116" s="164">
        <v>27.017741940000001</v>
      </c>
      <c r="M116" s="164">
        <v>28.26908602</v>
      </c>
      <c r="N116" s="164">
        <v>29.120972219999999</v>
      </c>
      <c r="O116" s="164">
        <v>26.938575270000001</v>
      </c>
      <c r="P116" s="164">
        <v>26.289305559999999</v>
      </c>
      <c r="Q116" s="164">
        <v>25.901881719999999</v>
      </c>
      <c r="R116" s="164">
        <v>26.575994890833332</v>
      </c>
      <c r="S116" s="159">
        <f>SUMIFS(Aux_Lista!AE:AE,Aux_Lista!AC:AC,Aux_TBS!B116,Aux_Lista!AD:AD,Aux_TBS!A116)</f>
        <v>7</v>
      </c>
      <c r="T116" s="159" t="s">
        <v>248</v>
      </c>
      <c r="U116" s="159">
        <v>38</v>
      </c>
    </row>
    <row r="117" spans="1:21" x14ac:dyDescent="0.25">
      <c r="A117" s="162" t="s">
        <v>4910</v>
      </c>
      <c r="B117" s="149" t="s">
        <v>328</v>
      </c>
      <c r="C117" s="159" t="str">
        <f t="shared" si="1"/>
        <v>Caxias, MA</v>
      </c>
      <c r="D117" s="163">
        <v>-4.82</v>
      </c>
      <c r="E117" s="149">
        <v>76</v>
      </c>
      <c r="F117" s="164">
        <v>26.306317199999999</v>
      </c>
      <c r="G117" s="164">
        <v>25.87172619</v>
      </c>
      <c r="H117" s="164">
        <v>25.887231180000001</v>
      </c>
      <c r="I117" s="164">
        <v>25.633888890000001</v>
      </c>
      <c r="J117" s="164">
        <v>25.492204300000001</v>
      </c>
      <c r="K117" s="164">
        <v>25.304722219999999</v>
      </c>
      <c r="L117" s="164">
        <v>25.136155909999999</v>
      </c>
      <c r="M117" s="164">
        <v>25.59193548</v>
      </c>
      <c r="N117" s="164">
        <v>27.317638890000001</v>
      </c>
      <c r="O117" s="164">
        <v>27.994086020000001</v>
      </c>
      <c r="P117" s="164">
        <v>28.446249999999999</v>
      </c>
      <c r="Q117" s="164">
        <v>27.51491935</v>
      </c>
      <c r="R117" s="164">
        <v>26.374756302500003</v>
      </c>
      <c r="S117" s="159">
        <f>SUMIFS(Aux_Lista!AE:AE,Aux_Lista!AC:AC,Aux_TBS!B117,Aux_Lista!AD:AD,Aux_TBS!A117)</f>
        <v>7</v>
      </c>
      <c r="T117" s="159" t="s">
        <v>248</v>
      </c>
      <c r="U117" s="159">
        <v>38</v>
      </c>
    </row>
    <row r="118" spans="1:21" x14ac:dyDescent="0.25">
      <c r="A118" s="162" t="s">
        <v>5303</v>
      </c>
      <c r="B118" s="149" t="s">
        <v>328</v>
      </c>
      <c r="C118" s="159" t="str">
        <f t="shared" si="1"/>
        <v>Chapadinha, MA</v>
      </c>
      <c r="D118" s="163">
        <v>-3.74</v>
      </c>
      <c r="E118" s="149">
        <v>91</v>
      </c>
      <c r="F118" s="164">
        <v>26.842204299999999</v>
      </c>
      <c r="G118" s="164">
        <v>25.820089289999999</v>
      </c>
      <c r="H118" s="164">
        <v>25.891397850000001</v>
      </c>
      <c r="I118" s="164">
        <v>25.448333330000001</v>
      </c>
      <c r="J118" s="164">
        <v>25.474193549999999</v>
      </c>
      <c r="K118" s="164">
        <v>25.934583329999999</v>
      </c>
      <c r="L118" s="164">
        <v>26.355645160000002</v>
      </c>
      <c r="M118" s="164">
        <v>27.33293011</v>
      </c>
      <c r="N118" s="164">
        <v>28.17777778</v>
      </c>
      <c r="O118" s="164">
        <v>28.29018817</v>
      </c>
      <c r="P118" s="164">
        <v>28.72583333</v>
      </c>
      <c r="Q118" s="164">
        <v>28.366666670000001</v>
      </c>
      <c r="R118" s="164">
        <v>26.888320239166671</v>
      </c>
      <c r="S118" s="159">
        <f>SUMIFS(Aux_Lista!AE:AE,Aux_Lista!AC:AC,Aux_TBS!B118,Aux_Lista!AD:AD,Aux_TBS!A118)</f>
        <v>8</v>
      </c>
      <c r="T118" s="159" t="s">
        <v>248</v>
      </c>
      <c r="U118" s="159">
        <v>38</v>
      </c>
    </row>
    <row r="119" spans="1:21" x14ac:dyDescent="0.25">
      <c r="A119" s="162" t="s">
        <v>1438</v>
      </c>
      <c r="B119" s="149" t="s">
        <v>328</v>
      </c>
      <c r="C119" s="159" t="str">
        <f t="shared" si="1"/>
        <v>Colinas, MA</v>
      </c>
      <c r="D119" s="163">
        <v>-6.03</v>
      </c>
      <c r="E119" s="149">
        <v>179</v>
      </c>
      <c r="F119" s="164">
        <v>25.988575269999998</v>
      </c>
      <c r="G119" s="164">
        <v>25.275148810000001</v>
      </c>
      <c r="H119" s="164">
        <v>25.662096770000002</v>
      </c>
      <c r="I119" s="164">
        <v>25.404583330000001</v>
      </c>
      <c r="J119" s="164">
        <v>25.299596770000001</v>
      </c>
      <c r="K119" s="164">
        <v>25.42166667</v>
      </c>
      <c r="L119" s="164">
        <v>25.426209679999999</v>
      </c>
      <c r="M119" s="164">
        <v>26.080376340000001</v>
      </c>
      <c r="N119" s="164">
        <v>27.706250000000001</v>
      </c>
      <c r="O119" s="164">
        <v>27.522580649999998</v>
      </c>
      <c r="P119" s="164">
        <v>27.255138890000001</v>
      </c>
      <c r="Q119" s="164">
        <v>25.581720430000001</v>
      </c>
      <c r="R119" s="164">
        <v>26.05199530083334</v>
      </c>
      <c r="S119" s="159">
        <f>SUMIFS(Aux_Lista!AE:AE,Aux_Lista!AC:AC,Aux_TBS!B119,Aux_Lista!AD:AD,Aux_TBS!A119)</f>
        <v>7</v>
      </c>
      <c r="T119" s="159" t="s">
        <v>248</v>
      </c>
      <c r="U119" s="159">
        <v>38</v>
      </c>
    </row>
    <row r="120" spans="1:21" x14ac:dyDescent="0.25">
      <c r="A120" s="162" t="s">
        <v>5000</v>
      </c>
      <c r="B120" s="149" t="s">
        <v>328</v>
      </c>
      <c r="C120" s="159" t="str">
        <f t="shared" si="1"/>
        <v>Estreito, MA</v>
      </c>
      <c r="D120" s="163">
        <v>-6.65</v>
      </c>
      <c r="E120" s="149">
        <v>180</v>
      </c>
      <c r="F120" s="164">
        <v>25.986559140000001</v>
      </c>
      <c r="G120" s="164">
        <v>26.37410714</v>
      </c>
      <c r="H120" s="164">
        <v>24.943682800000001</v>
      </c>
      <c r="I120" s="164">
        <v>25.12652778</v>
      </c>
      <c r="J120" s="164">
        <v>25.146639780000001</v>
      </c>
      <c r="K120" s="164">
        <v>24.39347222</v>
      </c>
      <c r="L120" s="164">
        <v>24.613037630000001</v>
      </c>
      <c r="M120" s="164">
        <v>26.515053760000001</v>
      </c>
      <c r="N120" s="164">
        <v>27.323194440000002</v>
      </c>
      <c r="O120" s="164">
        <v>27.514247309999998</v>
      </c>
      <c r="P120" s="164">
        <v>26.289305559999999</v>
      </c>
      <c r="Q120" s="164">
        <v>25.901881719999999</v>
      </c>
      <c r="R120" s="164">
        <v>25.843975773333337</v>
      </c>
      <c r="S120" s="159">
        <f>SUMIFS(Aux_Lista!AE:AE,Aux_Lista!AC:AC,Aux_TBS!B120,Aux_Lista!AD:AD,Aux_TBS!A120)</f>
        <v>7</v>
      </c>
      <c r="T120" s="159" t="s">
        <v>248</v>
      </c>
      <c r="U120" s="159">
        <v>38</v>
      </c>
    </row>
    <row r="121" spans="1:21" x14ac:dyDescent="0.25">
      <c r="A121" s="162" t="s">
        <v>4074</v>
      </c>
      <c r="B121" s="149" t="s">
        <v>328</v>
      </c>
      <c r="C121" s="159" t="str">
        <f t="shared" si="1"/>
        <v>Barreirinhas, MA</v>
      </c>
      <c r="D121" s="163">
        <v>-2.59</v>
      </c>
      <c r="E121" s="149">
        <v>0</v>
      </c>
      <c r="F121" s="164">
        <v>27.909677420000001</v>
      </c>
      <c r="G121" s="164">
        <v>27.011755950000001</v>
      </c>
      <c r="H121" s="164">
        <v>27.089919349999999</v>
      </c>
      <c r="I121" s="164">
        <v>26.40736111</v>
      </c>
      <c r="J121" s="164">
        <v>26.49623656</v>
      </c>
      <c r="K121" s="164">
        <v>27.151666670000001</v>
      </c>
      <c r="L121" s="164">
        <v>27.546236560000001</v>
      </c>
      <c r="M121" s="164">
        <v>27.965591400000001</v>
      </c>
      <c r="N121" s="164">
        <v>27.955416670000002</v>
      </c>
      <c r="O121" s="164">
        <v>27.899596769999999</v>
      </c>
      <c r="P121" s="164">
        <v>28.09222222</v>
      </c>
      <c r="Q121" s="164">
        <v>28.386424730000002</v>
      </c>
      <c r="R121" s="164">
        <v>27.492675450833332</v>
      </c>
      <c r="S121" s="159">
        <f>SUMIFS(Aux_Lista!AE:AE,Aux_Lista!AC:AC,Aux_TBS!B121,Aux_Lista!AD:AD,Aux_TBS!A121)</f>
        <v>8</v>
      </c>
      <c r="T121" s="159" t="s">
        <v>248</v>
      </c>
      <c r="U121" s="159">
        <v>38</v>
      </c>
    </row>
    <row r="122" spans="1:21" x14ac:dyDescent="0.25">
      <c r="A122" s="162" t="s">
        <v>5324</v>
      </c>
      <c r="B122" s="149" t="s">
        <v>328</v>
      </c>
      <c r="C122" s="159" t="str">
        <f t="shared" si="1"/>
        <v>Humberto de Campos, MA</v>
      </c>
      <c r="D122" s="163">
        <v>-2.27</v>
      </c>
      <c r="E122" s="149">
        <v>0</v>
      </c>
      <c r="F122" s="164">
        <v>27.559408600000001</v>
      </c>
      <c r="G122" s="164">
        <v>26.914136899999999</v>
      </c>
      <c r="H122" s="164">
        <v>27.007795699999999</v>
      </c>
      <c r="I122" s="164">
        <v>26.372638890000001</v>
      </c>
      <c r="J122" s="164">
        <v>26.291666670000001</v>
      </c>
      <c r="K122" s="164">
        <v>27.154583330000001</v>
      </c>
      <c r="L122" s="164">
        <v>27.50698925</v>
      </c>
      <c r="M122" s="164">
        <v>27.811424729999999</v>
      </c>
      <c r="N122" s="164">
        <v>27.734722219999998</v>
      </c>
      <c r="O122" s="164">
        <v>27.731720429999999</v>
      </c>
      <c r="P122" s="164">
        <v>27.967083330000001</v>
      </c>
      <c r="Q122" s="164">
        <v>28.192338710000001</v>
      </c>
      <c r="R122" s="164">
        <v>27.353709063333337</v>
      </c>
      <c r="S122" s="159">
        <f>SUMIFS(Aux_Lista!AE:AE,Aux_Lista!AC:AC,Aux_TBS!B122,Aux_Lista!AD:AD,Aux_TBS!A122)</f>
        <v>8</v>
      </c>
      <c r="T122" s="159" t="s">
        <v>248</v>
      </c>
      <c r="U122" s="159">
        <v>38</v>
      </c>
    </row>
    <row r="123" spans="1:21" x14ac:dyDescent="0.25">
      <c r="A123" s="162" t="s">
        <v>4844</v>
      </c>
      <c r="B123" s="149" t="s">
        <v>328</v>
      </c>
      <c r="C123" s="159" t="str">
        <f t="shared" si="1"/>
        <v>Grajaú, MA</v>
      </c>
      <c r="D123" s="163">
        <v>-5.82</v>
      </c>
      <c r="E123" s="149">
        <v>230</v>
      </c>
      <c r="F123" s="164">
        <v>25.789381720000002</v>
      </c>
      <c r="G123" s="164">
        <v>25.229166670000001</v>
      </c>
      <c r="H123" s="164">
        <v>25.5266129</v>
      </c>
      <c r="I123" s="164">
        <v>24.959444439999999</v>
      </c>
      <c r="J123" s="164">
        <v>25.137231180000001</v>
      </c>
      <c r="K123" s="164">
        <v>25.736249999999998</v>
      </c>
      <c r="L123" s="164">
        <v>25.981317199999999</v>
      </c>
      <c r="M123" s="164">
        <v>26.34327957</v>
      </c>
      <c r="N123" s="164">
        <v>27.244444439999999</v>
      </c>
      <c r="O123" s="164">
        <v>27.258602150000002</v>
      </c>
      <c r="P123" s="164">
        <v>27.795000000000002</v>
      </c>
      <c r="Q123" s="164">
        <v>26.485349459999998</v>
      </c>
      <c r="R123" s="164">
        <v>26.123839977500001</v>
      </c>
      <c r="S123" s="159">
        <f>SUMIFS(Aux_Lista!AE:AE,Aux_Lista!AC:AC,Aux_TBS!B123,Aux_Lista!AD:AD,Aux_TBS!A123)</f>
        <v>7</v>
      </c>
      <c r="T123" s="159" t="s">
        <v>248</v>
      </c>
      <c r="U123" s="159">
        <v>38</v>
      </c>
    </row>
    <row r="124" spans="1:21" x14ac:dyDescent="0.25">
      <c r="A124" s="162" t="s">
        <v>4891</v>
      </c>
      <c r="B124" s="149" t="s">
        <v>328</v>
      </c>
      <c r="C124" s="159" t="str">
        <f t="shared" si="1"/>
        <v>Imperatriz, MA</v>
      </c>
      <c r="D124" s="163">
        <v>-5.56</v>
      </c>
      <c r="E124" s="149">
        <v>126</v>
      </c>
      <c r="F124" s="164">
        <v>26.680107530000001</v>
      </c>
      <c r="G124" s="164">
        <v>26.10431548</v>
      </c>
      <c r="H124" s="164">
        <v>26.351881720000002</v>
      </c>
      <c r="I124" s="164">
        <v>25.807777779999999</v>
      </c>
      <c r="J124" s="164">
        <v>25.977284950000001</v>
      </c>
      <c r="K124" s="164">
        <v>26.423749999999998</v>
      </c>
      <c r="L124" s="164">
        <v>26.76680108</v>
      </c>
      <c r="M124" s="164">
        <v>27.170833330000001</v>
      </c>
      <c r="N124" s="164">
        <v>28.06736111</v>
      </c>
      <c r="O124" s="164">
        <v>28.283333330000001</v>
      </c>
      <c r="P124" s="164">
        <v>28.359444440000001</v>
      </c>
      <c r="Q124" s="164">
        <v>26.632258060000002</v>
      </c>
      <c r="R124" s="164">
        <v>26.885429067499999</v>
      </c>
      <c r="S124" s="159">
        <f>SUMIFS(Aux_Lista!AE:AE,Aux_Lista!AC:AC,Aux_TBS!B124,Aux_Lista!AD:AD,Aux_TBS!A124)</f>
        <v>7</v>
      </c>
      <c r="T124" s="159" t="s">
        <v>248</v>
      </c>
      <c r="U124" s="159">
        <v>38</v>
      </c>
    </row>
    <row r="125" spans="1:21" x14ac:dyDescent="0.25">
      <c r="A125" s="162" t="s">
        <v>4084</v>
      </c>
      <c r="B125" s="149" t="s">
        <v>328</v>
      </c>
      <c r="C125" s="159" t="str">
        <f t="shared" si="1"/>
        <v>São Luís, MA</v>
      </c>
      <c r="D125" s="163">
        <v>-2.5299999999999998</v>
      </c>
      <c r="E125" s="149">
        <v>56</v>
      </c>
      <c r="F125" s="164">
        <v>26.378494620000001</v>
      </c>
      <c r="G125" s="164">
        <v>25.719047620000001</v>
      </c>
      <c r="H125" s="164">
        <v>26.22392473</v>
      </c>
      <c r="I125" s="164">
        <v>26.140277780000002</v>
      </c>
      <c r="J125" s="164">
        <v>27.067338710000001</v>
      </c>
      <c r="K125" s="164">
        <v>26.658611109999999</v>
      </c>
      <c r="L125" s="164">
        <v>26.620698919999999</v>
      </c>
      <c r="M125" s="164">
        <v>26.697177419999999</v>
      </c>
      <c r="N125" s="164">
        <v>27.047916669999999</v>
      </c>
      <c r="O125" s="164">
        <v>27.401344089999998</v>
      </c>
      <c r="P125" s="164">
        <v>27.450555560000002</v>
      </c>
      <c r="Q125" s="164">
        <v>27.575537629999999</v>
      </c>
      <c r="R125" s="164">
        <v>26.748410405000001</v>
      </c>
      <c r="S125" s="159">
        <f>SUMIFS(Aux_Lista!AE:AE,Aux_Lista!AC:AC,Aux_TBS!B125,Aux_Lista!AD:AD,Aux_TBS!A125)</f>
        <v>8</v>
      </c>
      <c r="T125" s="159" t="s">
        <v>248</v>
      </c>
      <c r="U125" s="159">
        <v>38</v>
      </c>
    </row>
    <row r="126" spans="1:21" x14ac:dyDescent="0.25">
      <c r="A126" s="162" t="s">
        <v>4165</v>
      </c>
      <c r="B126" s="149" t="s">
        <v>328</v>
      </c>
      <c r="C126" s="159" t="str">
        <f t="shared" si="1"/>
        <v>Turiaçu, MA</v>
      </c>
      <c r="D126" s="163">
        <v>-1.66</v>
      </c>
      <c r="E126" s="149">
        <v>41</v>
      </c>
      <c r="F126" s="164">
        <v>26.733064519999999</v>
      </c>
      <c r="G126" s="164">
        <v>25.688541669999999</v>
      </c>
      <c r="H126" s="164">
        <v>25.607526880000002</v>
      </c>
      <c r="I126" s="164">
        <v>25.43041667</v>
      </c>
      <c r="J126" s="164">
        <v>25.184408600000001</v>
      </c>
      <c r="K126" s="164">
        <v>25.919166669999999</v>
      </c>
      <c r="L126" s="164">
        <v>26.446774189999999</v>
      </c>
      <c r="M126" s="164">
        <v>26.972177420000001</v>
      </c>
      <c r="N126" s="164">
        <v>27.274027780000001</v>
      </c>
      <c r="O126" s="164">
        <v>27.379569889999999</v>
      </c>
      <c r="P126" s="164">
        <v>27.688055559999999</v>
      </c>
      <c r="Q126" s="164">
        <v>27.921102149999999</v>
      </c>
      <c r="R126" s="164">
        <v>26.520402666666669</v>
      </c>
      <c r="S126" s="159">
        <f>SUMIFS(Aux_Lista!AE:AE,Aux_Lista!AC:AC,Aux_TBS!B126,Aux_Lista!AD:AD,Aux_TBS!A126)</f>
        <v>8</v>
      </c>
      <c r="T126" s="159" t="s">
        <v>248</v>
      </c>
      <c r="U126" s="159">
        <v>38</v>
      </c>
    </row>
    <row r="127" spans="1:21" x14ac:dyDescent="0.25">
      <c r="A127" s="162" t="s">
        <v>2850</v>
      </c>
      <c r="B127" s="149" t="s">
        <v>333</v>
      </c>
      <c r="C127" s="159" t="str">
        <f t="shared" si="1"/>
        <v>Águas Vermelhas, MG</v>
      </c>
      <c r="D127" s="163">
        <v>-15.75</v>
      </c>
      <c r="E127" s="149">
        <v>740</v>
      </c>
      <c r="F127" s="164">
        <v>22.459139780000001</v>
      </c>
      <c r="G127" s="164">
        <v>23.067857140000001</v>
      </c>
      <c r="H127" s="164">
        <v>23.5672043</v>
      </c>
      <c r="I127" s="164">
        <v>21.604444440000002</v>
      </c>
      <c r="J127" s="164">
        <v>19.191397850000001</v>
      </c>
      <c r="K127" s="164">
        <v>18.75819444</v>
      </c>
      <c r="L127" s="164">
        <v>18.319758060000002</v>
      </c>
      <c r="M127" s="164">
        <v>19.244758059999999</v>
      </c>
      <c r="N127" s="164">
        <v>22.146249999999998</v>
      </c>
      <c r="O127" s="164">
        <v>22.833064520000001</v>
      </c>
      <c r="P127" s="164">
        <v>22.689444439999999</v>
      </c>
      <c r="Q127" s="164">
        <v>22.960483870000001</v>
      </c>
      <c r="R127" s="164">
        <v>21.403499741666668</v>
      </c>
      <c r="S127" s="159">
        <f>SUMIFS(Aux_Lista!AE:AE,Aux_Lista!AC:AC,Aux_TBS!B127,Aux_Lista!AD:AD,Aux_TBS!A127)</f>
        <v>5</v>
      </c>
      <c r="T127" s="159" t="s">
        <v>318</v>
      </c>
      <c r="U127" s="159">
        <v>40</v>
      </c>
    </row>
    <row r="128" spans="1:21" x14ac:dyDescent="0.25">
      <c r="A128" s="162" t="s">
        <v>5082</v>
      </c>
      <c r="B128" s="149" t="s">
        <v>333</v>
      </c>
      <c r="C128" s="159" t="str">
        <f t="shared" si="1"/>
        <v>Aimorés, MG</v>
      </c>
      <c r="D128" s="163">
        <v>-19.5</v>
      </c>
      <c r="E128" s="149">
        <v>84</v>
      </c>
      <c r="F128" s="164">
        <v>25.370161289999999</v>
      </c>
      <c r="G128" s="164">
        <v>26.968601190000001</v>
      </c>
      <c r="H128" s="164">
        <v>27.33763441</v>
      </c>
      <c r="I128" s="164">
        <v>24.554861110000001</v>
      </c>
      <c r="J128" s="164">
        <v>22.647177419999998</v>
      </c>
      <c r="K128" s="164">
        <v>21.57111111</v>
      </c>
      <c r="L128" s="164">
        <v>22.03830645</v>
      </c>
      <c r="M128" s="164">
        <v>22.703897850000001</v>
      </c>
      <c r="N128" s="164">
        <v>25.206805559999999</v>
      </c>
      <c r="O128" s="164">
        <v>25.256182800000001</v>
      </c>
      <c r="P128" s="164">
        <v>26.43305556</v>
      </c>
      <c r="Q128" s="164">
        <v>26.107258059999999</v>
      </c>
      <c r="R128" s="164">
        <v>24.682921067500001</v>
      </c>
      <c r="S128" s="159">
        <f>SUMIFS(Aux_Lista!AE:AE,Aux_Lista!AC:AC,Aux_TBS!B128,Aux_Lista!AD:AD,Aux_TBS!A128)</f>
        <v>5</v>
      </c>
      <c r="T128" s="159" t="s">
        <v>318</v>
      </c>
      <c r="U128" s="159">
        <v>40</v>
      </c>
    </row>
    <row r="129" spans="1:21" x14ac:dyDescent="0.25">
      <c r="A129" s="162" t="s">
        <v>5166</v>
      </c>
      <c r="B129" s="149" t="s">
        <v>333</v>
      </c>
      <c r="C129" s="159" t="str">
        <f t="shared" si="1"/>
        <v>Almenara, MG</v>
      </c>
      <c r="D129" s="163">
        <v>-16.18</v>
      </c>
      <c r="E129" s="149">
        <v>208</v>
      </c>
      <c r="F129" s="164">
        <v>26.372983869999999</v>
      </c>
      <c r="G129" s="164">
        <v>27.416071429999999</v>
      </c>
      <c r="H129" s="164">
        <v>27.637903229999999</v>
      </c>
      <c r="I129" s="164">
        <v>25.134583330000002</v>
      </c>
      <c r="J129" s="164">
        <v>23.252016130000001</v>
      </c>
      <c r="K129" s="164">
        <v>22.549583330000001</v>
      </c>
      <c r="L129" s="164">
        <v>22.30833333</v>
      </c>
      <c r="M129" s="164">
        <v>22.578763439999999</v>
      </c>
      <c r="N129" s="164">
        <v>25.051111110000001</v>
      </c>
      <c r="O129" s="164">
        <v>25.991935479999999</v>
      </c>
      <c r="P129" s="164">
        <v>26.84111111</v>
      </c>
      <c r="Q129" s="164">
        <v>27.630376340000002</v>
      </c>
      <c r="R129" s="164">
        <v>25.230397677499997</v>
      </c>
      <c r="S129" s="159">
        <f>SUMIFS(Aux_Lista!AE:AE,Aux_Lista!AC:AC,Aux_TBS!B129,Aux_Lista!AD:AD,Aux_TBS!A129)</f>
        <v>5</v>
      </c>
      <c r="T129" s="159" t="s">
        <v>318</v>
      </c>
      <c r="U129" s="159">
        <v>40</v>
      </c>
    </row>
    <row r="130" spans="1:21" x14ac:dyDescent="0.25">
      <c r="A130" s="162" t="s">
        <v>2202</v>
      </c>
      <c r="B130" s="149" t="s">
        <v>333</v>
      </c>
      <c r="C130" s="159" t="str">
        <f t="shared" si="1"/>
        <v>Araxá, MG</v>
      </c>
      <c r="D130" s="163">
        <v>-19.59</v>
      </c>
      <c r="E130" s="149">
        <v>1020</v>
      </c>
      <c r="F130" s="164">
        <v>22.998387099999999</v>
      </c>
      <c r="G130" s="164">
        <v>23.465922620000001</v>
      </c>
      <c r="H130" s="164">
        <v>22.468413980000001</v>
      </c>
      <c r="I130" s="164">
        <v>21.45861111</v>
      </c>
      <c r="J130" s="164">
        <v>19.693279570000001</v>
      </c>
      <c r="K130" s="164">
        <v>19.266527780000001</v>
      </c>
      <c r="L130" s="164">
        <v>18.65913978</v>
      </c>
      <c r="M130" s="164">
        <v>21.194892469999999</v>
      </c>
      <c r="N130" s="164">
        <v>21.685694439999999</v>
      </c>
      <c r="O130" s="164">
        <v>23.169892470000001</v>
      </c>
      <c r="P130" s="164">
        <v>21.788472219999999</v>
      </c>
      <c r="Q130" s="164">
        <v>21.121505379999999</v>
      </c>
      <c r="R130" s="164">
        <v>21.41422824333333</v>
      </c>
      <c r="S130" s="159">
        <f>SUMIFS(Aux_Lista!AE:AE,Aux_Lista!AC:AC,Aux_TBS!B130,Aux_Lista!AD:AD,Aux_TBS!A130)</f>
        <v>3</v>
      </c>
      <c r="T130" s="159" t="s">
        <v>318</v>
      </c>
      <c r="U130" s="159">
        <v>40</v>
      </c>
    </row>
    <row r="131" spans="1:21" x14ac:dyDescent="0.25">
      <c r="A131" s="162" t="s">
        <v>2258</v>
      </c>
      <c r="B131" s="149" t="s">
        <v>333</v>
      </c>
      <c r="C131" s="159" t="str">
        <f t="shared" ref="C131:C194" si="2">CONCATENATE(A131,", ",B131)</f>
        <v>Belo Horizonte, MG</v>
      </c>
      <c r="D131" s="163">
        <v>-19.82</v>
      </c>
      <c r="E131" s="149">
        <v>869</v>
      </c>
      <c r="F131" s="164">
        <v>22.992741939999998</v>
      </c>
      <c r="G131" s="164">
        <v>22.599107140000001</v>
      </c>
      <c r="H131" s="164">
        <v>23.988978490000001</v>
      </c>
      <c r="I131" s="164">
        <v>22.419444439999999</v>
      </c>
      <c r="J131" s="164">
        <v>19.867338709999999</v>
      </c>
      <c r="K131" s="164">
        <v>19.414583329999999</v>
      </c>
      <c r="L131" s="164">
        <v>19.38252688</v>
      </c>
      <c r="M131" s="164">
        <v>20.035752689999999</v>
      </c>
      <c r="N131" s="164">
        <v>21.724305560000001</v>
      </c>
      <c r="O131" s="164">
        <v>22.50416667</v>
      </c>
      <c r="P131" s="164">
        <v>24.081805559999999</v>
      </c>
      <c r="Q131" s="164">
        <v>22.11653226</v>
      </c>
      <c r="R131" s="164">
        <v>21.7606069725</v>
      </c>
      <c r="S131" s="159">
        <f>SUMIFS(Aux_Lista!AE:AE,Aux_Lista!AC:AC,Aux_TBS!B131,Aux_Lista!AD:AD,Aux_TBS!A131)</f>
        <v>3</v>
      </c>
      <c r="T131" s="159" t="s">
        <v>318</v>
      </c>
      <c r="U131" s="159">
        <v>40</v>
      </c>
    </row>
    <row r="132" spans="1:21" x14ac:dyDescent="0.25">
      <c r="A132" s="162" t="s">
        <v>2243</v>
      </c>
      <c r="B132" s="149" t="s">
        <v>333</v>
      </c>
      <c r="C132" s="159" t="str">
        <f t="shared" si="2"/>
        <v>Buritis, MG</v>
      </c>
      <c r="D132" s="163">
        <v>-15.62</v>
      </c>
      <c r="E132" s="149">
        <v>894</v>
      </c>
      <c r="F132" s="164">
        <v>22.529704299999999</v>
      </c>
      <c r="G132" s="164">
        <v>23.947470240000001</v>
      </c>
      <c r="H132" s="164">
        <v>23.07002688</v>
      </c>
      <c r="I132" s="164">
        <v>21.56180556</v>
      </c>
      <c r="J132" s="164">
        <v>20.306720429999999</v>
      </c>
      <c r="K132" s="164">
        <v>19.937361110000001</v>
      </c>
      <c r="L132" s="164">
        <v>21.21169355</v>
      </c>
      <c r="M132" s="164">
        <v>21.572983870000002</v>
      </c>
      <c r="N132" s="164">
        <v>24.296944440000001</v>
      </c>
      <c r="O132" s="164">
        <v>23.208198920000001</v>
      </c>
      <c r="P132" s="164">
        <v>23.592361109999999</v>
      </c>
      <c r="Q132" s="164">
        <v>22.245430110000001</v>
      </c>
      <c r="R132" s="164">
        <v>22.290058376666668</v>
      </c>
      <c r="S132" s="159">
        <f>SUMIFS(Aux_Lista!AE:AE,Aux_Lista!AC:AC,Aux_TBS!B132,Aux_Lista!AD:AD,Aux_TBS!A132)</f>
        <v>6</v>
      </c>
      <c r="T132" s="159" t="s">
        <v>318</v>
      </c>
      <c r="U132" s="159">
        <v>40</v>
      </c>
    </row>
    <row r="133" spans="1:21" x14ac:dyDescent="0.25">
      <c r="A133" s="162" t="s">
        <v>1081</v>
      </c>
      <c r="B133" s="149" t="s">
        <v>333</v>
      </c>
      <c r="C133" s="159" t="str">
        <f t="shared" si="2"/>
        <v>Caldas, MG</v>
      </c>
      <c r="D133" s="163">
        <v>-21.92</v>
      </c>
      <c r="E133" s="149">
        <v>1150</v>
      </c>
      <c r="F133" s="164">
        <v>20.49946237</v>
      </c>
      <c r="G133" s="164">
        <v>20.60520833</v>
      </c>
      <c r="H133" s="164">
        <v>20.496102149999999</v>
      </c>
      <c r="I133" s="164">
        <v>19.101111110000002</v>
      </c>
      <c r="J133" s="164">
        <v>14.8061828</v>
      </c>
      <c r="K133" s="164">
        <v>13.47847222</v>
      </c>
      <c r="L133" s="164">
        <v>13.2672043</v>
      </c>
      <c r="M133" s="164">
        <v>15.10215054</v>
      </c>
      <c r="N133" s="164">
        <v>18.284166670000001</v>
      </c>
      <c r="O133" s="164">
        <v>18.424462370000001</v>
      </c>
      <c r="P133" s="164">
        <v>19.390694440000001</v>
      </c>
      <c r="Q133" s="164">
        <v>21.1561828</v>
      </c>
      <c r="R133" s="164">
        <v>17.88428334166667</v>
      </c>
      <c r="S133" s="159">
        <f>SUMIFS(Aux_Lista!AE:AE,Aux_Lista!AC:AC,Aux_TBS!B133,Aux_Lista!AD:AD,Aux_TBS!A133)</f>
        <v>3</v>
      </c>
      <c r="T133" s="159" t="s">
        <v>318</v>
      </c>
      <c r="U133" s="159">
        <v>40</v>
      </c>
    </row>
    <row r="134" spans="1:21" x14ac:dyDescent="0.25">
      <c r="A134" s="162" t="s">
        <v>600</v>
      </c>
      <c r="B134" s="149" t="s">
        <v>333</v>
      </c>
      <c r="C134" s="159" t="str">
        <f t="shared" si="2"/>
        <v>Capelinha, MG</v>
      </c>
      <c r="D134" s="163">
        <v>-17.690000000000001</v>
      </c>
      <c r="E134" s="149">
        <v>932</v>
      </c>
      <c r="F134" s="164">
        <v>21.472715050000001</v>
      </c>
      <c r="G134" s="164">
        <v>21.771428570000001</v>
      </c>
      <c r="H134" s="164">
        <v>21.89180108</v>
      </c>
      <c r="I134" s="164">
        <v>19.89805556</v>
      </c>
      <c r="J134" s="164">
        <v>17.867338709999999</v>
      </c>
      <c r="K134" s="164">
        <v>17.436666670000001</v>
      </c>
      <c r="L134" s="164">
        <v>17.681317199999999</v>
      </c>
      <c r="M134" s="164">
        <v>18.0891129</v>
      </c>
      <c r="N134" s="164">
        <v>20.87125</v>
      </c>
      <c r="O134" s="164">
        <v>21.124865589999999</v>
      </c>
      <c r="P134" s="164">
        <v>21.822361109999999</v>
      </c>
      <c r="Q134" s="164">
        <v>21.197983870000002</v>
      </c>
      <c r="R134" s="164">
        <v>20.093741359166668</v>
      </c>
      <c r="S134" s="159">
        <f>SUMIFS(Aux_Lista!AE:AE,Aux_Lista!AC:AC,Aux_TBS!B134,Aux_Lista!AD:AD,Aux_TBS!A134)</f>
        <v>3</v>
      </c>
      <c r="T134" s="159" t="s">
        <v>318</v>
      </c>
      <c r="U134" s="159">
        <v>40</v>
      </c>
    </row>
    <row r="135" spans="1:21" x14ac:dyDescent="0.25">
      <c r="A135" s="162" t="s">
        <v>3454</v>
      </c>
      <c r="B135" s="149" t="s">
        <v>333</v>
      </c>
      <c r="C135" s="159" t="str">
        <f t="shared" si="2"/>
        <v>Carangola, MG</v>
      </c>
      <c r="D135" s="163">
        <v>-20.73</v>
      </c>
      <c r="E135" s="149">
        <v>399</v>
      </c>
      <c r="F135" s="164">
        <v>22.735215050000001</v>
      </c>
      <c r="G135" s="164">
        <v>23.5046131</v>
      </c>
      <c r="H135" s="164">
        <v>22.839784949999999</v>
      </c>
      <c r="I135" s="164">
        <v>22.548333329999998</v>
      </c>
      <c r="J135" s="164">
        <v>18.942876340000002</v>
      </c>
      <c r="K135" s="164">
        <v>18.24291667</v>
      </c>
      <c r="L135" s="164">
        <v>17.328897850000001</v>
      </c>
      <c r="M135" s="164">
        <v>20.550134409999998</v>
      </c>
      <c r="N135" s="164">
        <v>23.747222220000001</v>
      </c>
      <c r="O135" s="164">
        <v>23.24811828</v>
      </c>
      <c r="P135" s="164">
        <v>25.811250000000001</v>
      </c>
      <c r="Q135" s="164">
        <v>25.064650539999999</v>
      </c>
      <c r="R135" s="164">
        <v>22.047001061666666</v>
      </c>
      <c r="S135" s="159">
        <f>SUMIFS(Aux_Lista!AE:AE,Aux_Lista!AC:AC,Aux_TBS!B135,Aux_Lista!AD:AD,Aux_TBS!A135)</f>
        <v>2</v>
      </c>
      <c r="T135" s="159" t="s">
        <v>318</v>
      </c>
      <c r="U135" s="159">
        <v>40</v>
      </c>
    </row>
    <row r="136" spans="1:21" x14ac:dyDescent="0.25">
      <c r="A136" s="162" t="s">
        <v>2112</v>
      </c>
      <c r="B136" s="149" t="s">
        <v>333</v>
      </c>
      <c r="C136" s="159" t="str">
        <f t="shared" si="2"/>
        <v>Caratinga, MG</v>
      </c>
      <c r="D136" s="163">
        <v>-19.79</v>
      </c>
      <c r="E136" s="149">
        <v>615</v>
      </c>
      <c r="F136" s="164">
        <v>23.359811830000002</v>
      </c>
      <c r="G136" s="164">
        <v>24.198363100000002</v>
      </c>
      <c r="H136" s="164">
        <v>23.87311828</v>
      </c>
      <c r="I136" s="164">
        <v>21.641527780000001</v>
      </c>
      <c r="J136" s="164">
        <v>19.422311830000002</v>
      </c>
      <c r="K136" s="164">
        <v>18.315000000000001</v>
      </c>
      <c r="L136" s="164">
        <v>18.919623659999999</v>
      </c>
      <c r="M136" s="164">
        <v>19.776344089999998</v>
      </c>
      <c r="N136" s="164">
        <v>22.250555559999999</v>
      </c>
      <c r="O136" s="164">
        <v>22.55873656</v>
      </c>
      <c r="P136" s="164">
        <v>23.659861110000001</v>
      </c>
      <c r="Q136" s="164">
        <v>23.43696237</v>
      </c>
      <c r="R136" s="164">
        <v>21.784351347500003</v>
      </c>
      <c r="S136" s="159">
        <f>SUMIFS(Aux_Lista!AE:AE,Aux_Lista!AC:AC,Aux_TBS!B136,Aux_Lista!AD:AD,Aux_TBS!A136)</f>
        <v>3</v>
      </c>
      <c r="T136" s="159" t="s">
        <v>318</v>
      </c>
      <c r="U136" s="159">
        <v>40</v>
      </c>
    </row>
    <row r="137" spans="1:21" x14ac:dyDescent="0.25">
      <c r="A137" s="162" t="s">
        <v>2205</v>
      </c>
      <c r="B137" s="149" t="s">
        <v>333</v>
      </c>
      <c r="C137" s="159" t="str">
        <f t="shared" si="2"/>
        <v>Chapada Gaúcha, MG</v>
      </c>
      <c r="D137" s="163">
        <v>-15.31</v>
      </c>
      <c r="E137" s="149">
        <v>880</v>
      </c>
      <c r="F137" s="164">
        <v>23.209677419999998</v>
      </c>
      <c r="G137" s="164">
        <v>23.279166669999999</v>
      </c>
      <c r="H137" s="164">
        <v>23.807930110000001</v>
      </c>
      <c r="I137" s="164">
        <v>22.09</v>
      </c>
      <c r="J137" s="164">
        <v>20.68803763</v>
      </c>
      <c r="K137" s="164">
        <v>20.350416670000001</v>
      </c>
      <c r="L137" s="164">
        <v>21.474059140000001</v>
      </c>
      <c r="M137" s="164">
        <v>21.986693549999998</v>
      </c>
      <c r="N137" s="164">
        <v>24.921944440000001</v>
      </c>
      <c r="O137" s="164">
        <v>23.77849462</v>
      </c>
      <c r="P137" s="164">
        <v>24.220138890000001</v>
      </c>
      <c r="Q137" s="164">
        <v>22.696774189999999</v>
      </c>
      <c r="R137" s="164">
        <v>22.708611110833331</v>
      </c>
      <c r="S137" s="159">
        <f>SUMIFS(Aux_Lista!AE:AE,Aux_Lista!AC:AC,Aux_TBS!B137,Aux_Lista!AD:AD,Aux_TBS!A137)</f>
        <v>6</v>
      </c>
      <c r="T137" s="159" t="s">
        <v>318</v>
      </c>
      <c r="U137" s="159">
        <v>40</v>
      </c>
    </row>
    <row r="138" spans="1:21" x14ac:dyDescent="0.25">
      <c r="A138" s="162" t="s">
        <v>2930</v>
      </c>
      <c r="B138" s="149" t="s">
        <v>333</v>
      </c>
      <c r="C138" s="159" t="str">
        <f t="shared" si="2"/>
        <v>Conceição das Alagoas, MG</v>
      </c>
      <c r="D138" s="163">
        <v>-19.989999999999998</v>
      </c>
      <c r="E138" s="149">
        <v>568</v>
      </c>
      <c r="F138" s="164">
        <v>23.721370969999999</v>
      </c>
      <c r="G138" s="164">
        <v>23.690922619999998</v>
      </c>
      <c r="H138" s="164">
        <v>23.407392470000001</v>
      </c>
      <c r="I138" s="164">
        <v>22.841944439999999</v>
      </c>
      <c r="J138" s="164">
        <v>19.46169355</v>
      </c>
      <c r="K138" s="164">
        <v>19.998611109999999</v>
      </c>
      <c r="L138" s="164">
        <v>19.572177419999999</v>
      </c>
      <c r="M138" s="164">
        <v>22.71922043</v>
      </c>
      <c r="N138" s="164">
        <v>23.768888889999999</v>
      </c>
      <c r="O138" s="164">
        <v>25.678897849999998</v>
      </c>
      <c r="P138" s="164">
        <v>24.515555559999999</v>
      </c>
      <c r="Q138" s="164">
        <v>23.990456989999998</v>
      </c>
      <c r="R138" s="164">
        <v>22.780594358333335</v>
      </c>
      <c r="S138" s="159">
        <f>SUMIFS(Aux_Lista!AE:AE,Aux_Lista!AC:AC,Aux_TBS!B138,Aux_Lista!AD:AD,Aux_TBS!A138)</f>
        <v>6</v>
      </c>
      <c r="T138" s="159" t="s">
        <v>318</v>
      </c>
      <c r="U138" s="159">
        <v>40</v>
      </c>
    </row>
    <row r="139" spans="1:21" x14ac:dyDescent="0.25">
      <c r="A139" s="162" t="s">
        <v>2854</v>
      </c>
      <c r="B139" s="149" t="s">
        <v>333</v>
      </c>
      <c r="C139" s="159" t="str">
        <f t="shared" si="2"/>
        <v>Curvelo, MG</v>
      </c>
      <c r="D139" s="163">
        <v>-18.760000000000002</v>
      </c>
      <c r="E139" s="149">
        <v>670</v>
      </c>
      <c r="F139" s="164">
        <v>24.143413979999998</v>
      </c>
      <c r="G139" s="164">
        <v>24.53035714</v>
      </c>
      <c r="H139" s="164">
        <v>24.61935484</v>
      </c>
      <c r="I139" s="164">
        <v>22.411944439999999</v>
      </c>
      <c r="J139" s="164">
        <v>20.651478489999999</v>
      </c>
      <c r="K139" s="164">
        <v>19.16069444</v>
      </c>
      <c r="L139" s="164">
        <v>20.51908602</v>
      </c>
      <c r="M139" s="164">
        <v>21.026747310000001</v>
      </c>
      <c r="N139" s="164">
        <v>24.431666669999998</v>
      </c>
      <c r="O139" s="164">
        <v>23.984274190000001</v>
      </c>
      <c r="P139" s="164">
        <v>25.32069444</v>
      </c>
      <c r="Q139" s="164">
        <v>23.476881720000002</v>
      </c>
      <c r="R139" s="164">
        <v>22.856382806666669</v>
      </c>
      <c r="S139" s="159">
        <f>SUMIFS(Aux_Lista!AE:AE,Aux_Lista!AC:AC,Aux_TBS!B139,Aux_Lista!AD:AD,Aux_TBS!A139)</f>
        <v>3</v>
      </c>
      <c r="T139" s="159" t="s">
        <v>318</v>
      </c>
      <c r="U139" s="159">
        <v>40</v>
      </c>
    </row>
    <row r="140" spans="1:21" x14ac:dyDescent="0.25">
      <c r="A140" s="162" t="s">
        <v>521</v>
      </c>
      <c r="B140" s="149" t="s">
        <v>333</v>
      </c>
      <c r="C140" s="159" t="str">
        <f t="shared" si="2"/>
        <v>Diamantina, MG</v>
      </c>
      <c r="D140" s="163">
        <v>-18.23</v>
      </c>
      <c r="E140" s="149">
        <v>1356</v>
      </c>
      <c r="F140" s="164">
        <v>19.810349460000001</v>
      </c>
      <c r="G140" s="164">
        <v>20.139434519999998</v>
      </c>
      <c r="H140" s="164">
        <v>20.644758060000001</v>
      </c>
      <c r="I140" s="164">
        <v>18.352499999999999</v>
      </c>
      <c r="J140" s="164">
        <v>16.836827960000001</v>
      </c>
      <c r="K140" s="164">
        <v>15.843611109999999</v>
      </c>
      <c r="L140" s="164">
        <v>16.887096769999999</v>
      </c>
      <c r="M140" s="164">
        <v>16.55497312</v>
      </c>
      <c r="N140" s="164">
        <v>19.34527778</v>
      </c>
      <c r="O140" s="164">
        <v>19.085215049999999</v>
      </c>
      <c r="P140" s="164">
        <v>20.547638890000002</v>
      </c>
      <c r="Q140" s="164">
        <v>19.540322580000002</v>
      </c>
      <c r="R140" s="164">
        <v>18.632333774999999</v>
      </c>
      <c r="S140" s="159">
        <f>SUMIFS(Aux_Lista!AE:AE,Aux_Lista!AC:AC,Aux_TBS!B140,Aux_Lista!AD:AD,Aux_TBS!A140)</f>
        <v>3</v>
      </c>
      <c r="T140" s="159" t="s">
        <v>318</v>
      </c>
      <c r="U140" s="159">
        <v>40</v>
      </c>
    </row>
    <row r="141" spans="1:21" x14ac:dyDescent="0.25">
      <c r="A141" s="162" t="s">
        <v>2384</v>
      </c>
      <c r="B141" s="149" t="s">
        <v>333</v>
      </c>
      <c r="C141" s="159" t="str">
        <f t="shared" si="2"/>
        <v>Dores do Indaiá, MG</v>
      </c>
      <c r="D141" s="163">
        <v>-19.46</v>
      </c>
      <c r="E141" s="149">
        <v>722</v>
      </c>
      <c r="F141" s="164">
        <v>22.973521510000001</v>
      </c>
      <c r="G141" s="164">
        <v>23.612202379999999</v>
      </c>
      <c r="H141" s="164">
        <v>22.712096769999999</v>
      </c>
      <c r="I141" s="164">
        <v>22.660555559999999</v>
      </c>
      <c r="J141" s="164">
        <v>20.051612899999999</v>
      </c>
      <c r="K141" s="164">
        <v>19.930972220000001</v>
      </c>
      <c r="L141" s="164">
        <v>18.768548389999999</v>
      </c>
      <c r="M141" s="164">
        <v>21.569354839999999</v>
      </c>
      <c r="N141" s="164">
        <v>21.94388889</v>
      </c>
      <c r="O141" s="164">
        <v>24.209139780000001</v>
      </c>
      <c r="P141" s="164">
        <v>22.858750000000001</v>
      </c>
      <c r="Q141" s="164">
        <v>22.669758059999999</v>
      </c>
      <c r="R141" s="164">
        <v>21.996700108333332</v>
      </c>
      <c r="S141" s="159">
        <f>SUMIFS(Aux_Lista!AE:AE,Aux_Lista!AC:AC,Aux_TBS!B141,Aux_Lista!AD:AD,Aux_TBS!A141)</f>
        <v>3</v>
      </c>
      <c r="T141" s="159" t="s">
        <v>318</v>
      </c>
      <c r="U141" s="159">
        <v>40</v>
      </c>
    </row>
    <row r="142" spans="1:21" x14ac:dyDescent="0.25">
      <c r="A142" s="162" t="s">
        <v>5430</v>
      </c>
      <c r="B142" s="149" t="s">
        <v>333</v>
      </c>
      <c r="C142" s="159" t="str">
        <f t="shared" si="2"/>
        <v>Espinosa, MG</v>
      </c>
      <c r="D142" s="163">
        <v>-14.92</v>
      </c>
      <c r="E142" s="149">
        <v>570</v>
      </c>
      <c r="F142" s="164">
        <v>24.937768819999999</v>
      </c>
      <c r="G142" s="164">
        <v>26.388541669999999</v>
      </c>
      <c r="H142" s="164">
        <v>26.406989249999999</v>
      </c>
      <c r="I142" s="164">
        <v>24.172499999999999</v>
      </c>
      <c r="J142" s="164">
        <v>22.793145160000002</v>
      </c>
      <c r="K142" s="164">
        <v>22.758888890000001</v>
      </c>
      <c r="L142" s="164">
        <v>23.228360219999999</v>
      </c>
      <c r="M142" s="164">
        <v>24.249193550000001</v>
      </c>
      <c r="N142" s="164">
        <v>27.17694444</v>
      </c>
      <c r="O142" s="164">
        <v>26.479166670000001</v>
      </c>
      <c r="P142" s="164">
        <v>26.16597222</v>
      </c>
      <c r="Q142" s="164">
        <v>25.59180108</v>
      </c>
      <c r="R142" s="164">
        <v>25.0291059975</v>
      </c>
      <c r="S142" s="159">
        <f>SUMIFS(Aux_Lista!AE:AE,Aux_Lista!AC:AC,Aux_TBS!B142,Aux_Lista!AD:AD,Aux_TBS!A142)</f>
        <v>6</v>
      </c>
      <c r="T142" s="159" t="s">
        <v>318</v>
      </c>
      <c r="U142" s="159">
        <v>40</v>
      </c>
    </row>
    <row r="143" spans="1:21" x14ac:dyDescent="0.25">
      <c r="A143" s="162" t="s">
        <v>3990</v>
      </c>
      <c r="B143" s="149" t="s">
        <v>333</v>
      </c>
      <c r="C143" s="159" t="str">
        <f t="shared" si="2"/>
        <v>Florestal, MG</v>
      </c>
      <c r="D143" s="163">
        <v>-19.89</v>
      </c>
      <c r="E143" s="149">
        <v>742</v>
      </c>
      <c r="F143" s="164">
        <v>22.804301079999998</v>
      </c>
      <c r="G143" s="164">
        <v>22.99672619</v>
      </c>
      <c r="H143" s="164">
        <v>22.912096770000002</v>
      </c>
      <c r="I143" s="164">
        <v>20.445555559999999</v>
      </c>
      <c r="J143" s="164">
        <v>18.17163978</v>
      </c>
      <c r="K143" s="164">
        <v>16.46763889</v>
      </c>
      <c r="L143" s="164">
        <v>14.84475806</v>
      </c>
      <c r="M143" s="164">
        <v>17.992741939999998</v>
      </c>
      <c r="N143" s="164">
        <v>19.439305560000001</v>
      </c>
      <c r="O143" s="164">
        <v>22.465188170000001</v>
      </c>
      <c r="P143" s="164">
        <v>22.165833330000002</v>
      </c>
      <c r="Q143" s="164">
        <v>21.83629032</v>
      </c>
      <c r="R143" s="164">
        <v>20.211839637499999</v>
      </c>
      <c r="S143" s="159">
        <f>SUMIFS(Aux_Lista!AE:AE,Aux_Lista!AC:AC,Aux_TBS!B143,Aux_Lista!AD:AD,Aux_TBS!A143)</f>
        <v>2</v>
      </c>
      <c r="T143" s="159" t="s">
        <v>318</v>
      </c>
      <c r="U143" s="159">
        <v>40</v>
      </c>
    </row>
    <row r="144" spans="1:21" x14ac:dyDescent="0.25">
      <c r="A144" s="162" t="s">
        <v>2395</v>
      </c>
      <c r="B144" s="149" t="s">
        <v>333</v>
      </c>
      <c r="C144" s="159" t="str">
        <f t="shared" si="2"/>
        <v>Formiga, MG</v>
      </c>
      <c r="D144" s="163">
        <v>-20.46</v>
      </c>
      <c r="E144" s="149">
        <v>878</v>
      </c>
      <c r="F144" s="164">
        <v>22.13104839</v>
      </c>
      <c r="G144" s="164">
        <v>22.628869049999999</v>
      </c>
      <c r="H144" s="164">
        <v>22.168682799999999</v>
      </c>
      <c r="I144" s="164">
        <v>21.57680556</v>
      </c>
      <c r="J144" s="164">
        <v>18.533870969999999</v>
      </c>
      <c r="K144" s="164">
        <v>18.558194440000001</v>
      </c>
      <c r="L144" s="164">
        <v>17.319220430000001</v>
      </c>
      <c r="M144" s="164">
        <v>20.549193549999998</v>
      </c>
      <c r="N144" s="164">
        <v>20.696666669999999</v>
      </c>
      <c r="O144" s="164">
        <v>23.27567204</v>
      </c>
      <c r="P144" s="164">
        <v>21.991666670000001</v>
      </c>
      <c r="Q144" s="164">
        <v>21.798790319999998</v>
      </c>
      <c r="R144" s="164">
        <v>20.935723407499999</v>
      </c>
      <c r="S144" s="159">
        <f>SUMIFS(Aux_Lista!AE:AE,Aux_Lista!AC:AC,Aux_TBS!B144,Aux_Lista!AD:AD,Aux_TBS!A144)</f>
        <v>2</v>
      </c>
      <c r="T144" s="159" t="s">
        <v>318</v>
      </c>
      <c r="U144" s="159">
        <v>40</v>
      </c>
    </row>
    <row r="145" spans="1:21" x14ac:dyDescent="0.25">
      <c r="A145" s="162" t="s">
        <v>1996</v>
      </c>
      <c r="B145" s="149" t="s">
        <v>333</v>
      </c>
      <c r="C145" s="159" t="str">
        <f t="shared" si="2"/>
        <v>Governador Valadares, MG</v>
      </c>
      <c r="D145" s="163">
        <v>-18.850000000000001</v>
      </c>
      <c r="E145" s="149">
        <v>263</v>
      </c>
      <c r="F145" s="164">
        <v>24.8391129</v>
      </c>
      <c r="G145" s="164">
        <v>26.259374999999999</v>
      </c>
      <c r="H145" s="164">
        <v>26.154569890000001</v>
      </c>
      <c r="I145" s="164">
        <v>23.759444439999999</v>
      </c>
      <c r="J145" s="164">
        <v>21.553360219999998</v>
      </c>
      <c r="K145" s="164">
        <v>21.130416669999999</v>
      </c>
      <c r="L145" s="164">
        <v>21.01263441</v>
      </c>
      <c r="M145" s="164">
        <v>22.175268819999999</v>
      </c>
      <c r="N145" s="164">
        <v>24.878888889999999</v>
      </c>
      <c r="O145" s="164">
        <v>25.2858871</v>
      </c>
      <c r="P145" s="164">
        <v>26.155277779999999</v>
      </c>
      <c r="Q145" s="164">
        <v>25.397983870000001</v>
      </c>
      <c r="R145" s="164">
        <v>24.050184999166664</v>
      </c>
      <c r="S145" s="159">
        <f>SUMIFS(Aux_Lista!AE:AE,Aux_Lista!AC:AC,Aux_TBS!B145,Aux_Lista!AD:AD,Aux_TBS!A145)</f>
        <v>5</v>
      </c>
      <c r="T145" s="159" t="s">
        <v>318</v>
      </c>
      <c r="U145" s="159">
        <v>40</v>
      </c>
    </row>
    <row r="146" spans="1:21" x14ac:dyDescent="0.25">
      <c r="A146" s="162" t="s">
        <v>2253</v>
      </c>
      <c r="B146" s="149" t="s">
        <v>333</v>
      </c>
      <c r="C146" s="159" t="str">
        <f t="shared" si="2"/>
        <v>Guarda-Mor, MG</v>
      </c>
      <c r="D146" s="163">
        <v>-17.77</v>
      </c>
      <c r="E146" s="149">
        <v>616</v>
      </c>
      <c r="F146" s="164">
        <v>21.7905914</v>
      </c>
      <c r="G146" s="164">
        <v>22.233630949999998</v>
      </c>
      <c r="H146" s="164">
        <v>22.581182800000001</v>
      </c>
      <c r="I146" s="164">
        <v>20.624027779999999</v>
      </c>
      <c r="J146" s="164">
        <v>19.407526879999999</v>
      </c>
      <c r="K146" s="164">
        <v>18.14458333</v>
      </c>
      <c r="L146" s="164">
        <v>19.799596770000001</v>
      </c>
      <c r="M146" s="164">
        <v>19.92715054</v>
      </c>
      <c r="N146" s="164">
        <v>22.85541667</v>
      </c>
      <c r="O146" s="164">
        <v>21.874731180000001</v>
      </c>
      <c r="P146" s="164">
        <v>22.95902778</v>
      </c>
      <c r="Q146" s="164">
        <v>21.49435484</v>
      </c>
      <c r="R146" s="164">
        <v>21.14098507666667</v>
      </c>
      <c r="S146" s="159">
        <f>SUMIFS(Aux_Lista!AE:AE,Aux_Lista!AC:AC,Aux_TBS!B146,Aux_Lista!AD:AD,Aux_TBS!A146)</f>
        <v>6</v>
      </c>
      <c r="T146" s="159" t="s">
        <v>318</v>
      </c>
      <c r="U146" s="159">
        <v>40</v>
      </c>
    </row>
    <row r="147" spans="1:21" x14ac:dyDescent="0.25">
      <c r="A147" s="162" t="s">
        <v>473</v>
      </c>
      <c r="B147" s="149" t="s">
        <v>333</v>
      </c>
      <c r="C147" s="159" t="str">
        <f t="shared" si="2"/>
        <v>Ibirité, MG</v>
      </c>
      <c r="D147" s="163">
        <v>-20.03</v>
      </c>
      <c r="E147" s="149">
        <v>1208</v>
      </c>
      <c r="F147" s="164">
        <v>20.902150540000001</v>
      </c>
      <c r="G147" s="164">
        <v>21.432291670000001</v>
      </c>
      <c r="H147" s="164">
        <v>21.670967739999998</v>
      </c>
      <c r="I147" s="164">
        <v>19.88138889</v>
      </c>
      <c r="J147" s="164">
        <v>18.34327957</v>
      </c>
      <c r="K147" s="164">
        <v>17.005833330000002</v>
      </c>
      <c r="L147" s="164">
        <v>18.559005379999999</v>
      </c>
      <c r="M147" s="164">
        <v>18.22674731</v>
      </c>
      <c r="N147" s="164">
        <v>21.01958333</v>
      </c>
      <c r="O147" s="164">
        <v>20.49435484</v>
      </c>
      <c r="P147" s="164">
        <v>21.856111110000001</v>
      </c>
      <c r="Q147" s="164">
        <v>20.185483869999999</v>
      </c>
      <c r="R147" s="164">
        <v>19.964766465</v>
      </c>
      <c r="S147" s="159">
        <f>SUMIFS(Aux_Lista!AE:AE,Aux_Lista!AC:AC,Aux_TBS!B147,Aux_Lista!AD:AD,Aux_TBS!A147)</f>
        <v>2</v>
      </c>
      <c r="T147" s="159" t="s">
        <v>318</v>
      </c>
      <c r="U147" s="159">
        <v>40</v>
      </c>
    </row>
    <row r="148" spans="1:21" x14ac:dyDescent="0.25">
      <c r="A148" s="162" t="s">
        <v>2640</v>
      </c>
      <c r="B148" s="149" t="s">
        <v>333</v>
      </c>
      <c r="C148" s="159" t="str">
        <f t="shared" si="2"/>
        <v>Itaobim, MG</v>
      </c>
      <c r="D148" s="163">
        <v>-16.34</v>
      </c>
      <c r="E148" s="149">
        <v>266</v>
      </c>
      <c r="F148" s="164">
        <v>25.684543009999999</v>
      </c>
      <c r="G148" s="164">
        <v>26.903124999999999</v>
      </c>
      <c r="H148" s="164">
        <v>27.55967742</v>
      </c>
      <c r="I148" s="164">
        <v>24.422361110000001</v>
      </c>
      <c r="J148" s="164">
        <v>22.40537634</v>
      </c>
      <c r="K148" s="164">
        <v>22.616527779999998</v>
      </c>
      <c r="L148" s="164">
        <v>22.731182799999999</v>
      </c>
      <c r="M148" s="164">
        <v>23.84798387</v>
      </c>
      <c r="N148" s="164">
        <v>27.035138889999999</v>
      </c>
      <c r="O148" s="164">
        <v>26.425000000000001</v>
      </c>
      <c r="P148" s="164">
        <v>26.49027778</v>
      </c>
      <c r="Q148" s="164">
        <v>26.634543010000002</v>
      </c>
      <c r="R148" s="164">
        <v>25.229644750833334</v>
      </c>
      <c r="S148" s="159">
        <f>SUMIFS(Aux_Lista!AE:AE,Aux_Lista!AC:AC,Aux_TBS!B148,Aux_Lista!AD:AD,Aux_TBS!A148)</f>
        <v>5</v>
      </c>
      <c r="T148" s="159" t="s">
        <v>318</v>
      </c>
      <c r="U148" s="159">
        <v>40</v>
      </c>
    </row>
    <row r="149" spans="1:21" x14ac:dyDescent="0.25">
      <c r="A149" s="162" t="s">
        <v>3046</v>
      </c>
      <c r="B149" s="149" t="s">
        <v>333</v>
      </c>
      <c r="C149" s="159" t="str">
        <f t="shared" si="2"/>
        <v>Ituiutaba, MG</v>
      </c>
      <c r="D149" s="163">
        <v>-18.97</v>
      </c>
      <c r="E149" s="149">
        <v>560</v>
      </c>
      <c r="F149" s="164">
        <v>24.19637097</v>
      </c>
      <c r="G149" s="164">
        <v>23.86532738</v>
      </c>
      <c r="H149" s="164">
        <v>23.981182799999999</v>
      </c>
      <c r="I149" s="164">
        <v>23.385972219999999</v>
      </c>
      <c r="J149" s="164">
        <v>20.315860220000001</v>
      </c>
      <c r="K149" s="164">
        <v>20.78</v>
      </c>
      <c r="L149" s="164">
        <v>20.074462369999999</v>
      </c>
      <c r="M149" s="164">
        <v>23.59233871</v>
      </c>
      <c r="N149" s="164">
        <v>24.419583329999998</v>
      </c>
      <c r="O149" s="164">
        <v>25.42997312</v>
      </c>
      <c r="P149" s="164">
        <v>24.702638889999999</v>
      </c>
      <c r="Q149" s="164">
        <v>24.48924731</v>
      </c>
      <c r="R149" s="164">
        <v>23.269413110000002</v>
      </c>
      <c r="S149" s="159">
        <f>SUMIFS(Aux_Lista!AE:AE,Aux_Lista!AC:AC,Aux_TBS!B149,Aux_Lista!AD:AD,Aux_TBS!A149)</f>
        <v>6</v>
      </c>
      <c r="T149" s="159" t="s">
        <v>318</v>
      </c>
      <c r="U149" s="159">
        <v>40</v>
      </c>
    </row>
    <row r="150" spans="1:21" x14ac:dyDescent="0.25">
      <c r="A150" s="162" t="s">
        <v>2105</v>
      </c>
      <c r="B150" s="149" t="s">
        <v>333</v>
      </c>
      <c r="C150" s="159" t="str">
        <f t="shared" si="2"/>
        <v>João Pinheiro, MG</v>
      </c>
      <c r="D150" s="163">
        <v>-17.78</v>
      </c>
      <c r="E150" s="149">
        <v>870</v>
      </c>
      <c r="F150" s="164">
        <v>23.131317200000002</v>
      </c>
      <c r="G150" s="164">
        <v>23.696874999999999</v>
      </c>
      <c r="H150" s="164">
        <v>23.91465054</v>
      </c>
      <c r="I150" s="164">
        <v>21.872499999999999</v>
      </c>
      <c r="J150" s="164">
        <v>20.814112900000001</v>
      </c>
      <c r="K150" s="164">
        <v>19.585000000000001</v>
      </c>
      <c r="L150" s="164">
        <v>21.381317200000002</v>
      </c>
      <c r="M150" s="164">
        <v>21.209139780000001</v>
      </c>
      <c r="N150" s="164">
        <v>24.128611110000001</v>
      </c>
      <c r="O150" s="164">
        <v>23.19314516</v>
      </c>
      <c r="P150" s="164">
        <v>24.24291667</v>
      </c>
      <c r="Q150" s="164">
        <v>22.33481183</v>
      </c>
      <c r="R150" s="164">
        <v>22.458699782500002</v>
      </c>
      <c r="S150" s="159">
        <f>SUMIFS(Aux_Lista!AE:AE,Aux_Lista!AC:AC,Aux_TBS!B150,Aux_Lista!AD:AD,Aux_TBS!A150)</f>
        <v>6</v>
      </c>
      <c r="T150" s="159" t="s">
        <v>318</v>
      </c>
      <c r="U150" s="159">
        <v>40</v>
      </c>
    </row>
    <row r="151" spans="1:21" x14ac:dyDescent="0.25">
      <c r="A151" s="162" t="s">
        <v>510</v>
      </c>
      <c r="B151" s="149" t="s">
        <v>333</v>
      </c>
      <c r="C151" s="159" t="str">
        <f t="shared" si="2"/>
        <v>Juiz de Fora, MG</v>
      </c>
      <c r="D151" s="163">
        <v>-21.76</v>
      </c>
      <c r="E151" s="149">
        <v>950</v>
      </c>
      <c r="F151" s="164">
        <v>19.99301075</v>
      </c>
      <c r="G151" s="164">
        <v>20.920833330000001</v>
      </c>
      <c r="H151" s="164">
        <v>20.468951610000001</v>
      </c>
      <c r="I151" s="164">
        <v>19.829583329999998</v>
      </c>
      <c r="J151" s="164">
        <v>17.255376340000002</v>
      </c>
      <c r="K151" s="164">
        <v>16.151111109999999</v>
      </c>
      <c r="L151" s="164">
        <v>16.41236559</v>
      </c>
      <c r="M151" s="164">
        <v>17.990860219999998</v>
      </c>
      <c r="N151" s="164">
        <v>17.126388890000001</v>
      </c>
      <c r="O151" s="164">
        <v>19.460215049999999</v>
      </c>
      <c r="P151" s="164">
        <v>18.44083333</v>
      </c>
      <c r="Q151" s="164">
        <v>19.24717742</v>
      </c>
      <c r="R151" s="164">
        <v>18.608058914166666</v>
      </c>
      <c r="S151" s="159">
        <f>SUMIFS(Aux_Lista!AE:AE,Aux_Lista!AC:AC,Aux_TBS!B151,Aux_Lista!AD:AD,Aux_TBS!A151)</f>
        <v>3</v>
      </c>
      <c r="T151" s="159" t="s">
        <v>318</v>
      </c>
      <c r="U151" s="159">
        <v>40</v>
      </c>
    </row>
    <row r="152" spans="1:21" x14ac:dyDescent="0.25">
      <c r="A152" s="162" t="s">
        <v>1896</v>
      </c>
      <c r="B152" s="149" t="s">
        <v>333</v>
      </c>
      <c r="C152" s="159" t="str">
        <f t="shared" si="2"/>
        <v>Mantena, MG</v>
      </c>
      <c r="D152" s="163">
        <v>-18.78</v>
      </c>
      <c r="E152" s="149">
        <v>214</v>
      </c>
      <c r="F152" s="164">
        <v>25.178897849999998</v>
      </c>
      <c r="G152" s="164">
        <v>26.6764881</v>
      </c>
      <c r="H152" s="164">
        <v>26.74153226</v>
      </c>
      <c r="I152" s="164">
        <v>24.343611110000001</v>
      </c>
      <c r="J152" s="164">
        <v>22.14596774</v>
      </c>
      <c r="K152" s="164">
        <v>21.24472222</v>
      </c>
      <c r="L152" s="164">
        <v>21.37405914</v>
      </c>
      <c r="M152" s="164">
        <v>22.007392469999999</v>
      </c>
      <c r="N152" s="164">
        <v>24.600277779999999</v>
      </c>
      <c r="O152" s="164">
        <v>25.0094086</v>
      </c>
      <c r="P152" s="164">
        <v>26.142222220000001</v>
      </c>
      <c r="Q152" s="164">
        <v>25.819220430000001</v>
      </c>
      <c r="R152" s="164">
        <v>24.273649993333333</v>
      </c>
      <c r="S152" s="159">
        <f>SUMIFS(Aux_Lista!AE:AE,Aux_Lista!AC:AC,Aux_TBS!B152,Aux_Lista!AD:AD,Aux_TBS!A152)</f>
        <v>5</v>
      </c>
      <c r="T152" s="159" t="s">
        <v>318</v>
      </c>
      <c r="U152" s="159">
        <v>40</v>
      </c>
    </row>
    <row r="153" spans="1:21" x14ac:dyDescent="0.25">
      <c r="A153" s="162" t="s">
        <v>646</v>
      </c>
      <c r="B153" s="149" t="s">
        <v>333</v>
      </c>
      <c r="C153" s="159" t="str">
        <f t="shared" si="2"/>
        <v>Maria da Fé, MG</v>
      </c>
      <c r="D153" s="163">
        <v>-22.31</v>
      </c>
      <c r="E153" s="149">
        <v>1276</v>
      </c>
      <c r="F153" s="164">
        <v>18.624865589999999</v>
      </c>
      <c r="G153" s="164">
        <v>18.872470239999998</v>
      </c>
      <c r="H153" s="164">
        <v>18.031586019999999</v>
      </c>
      <c r="I153" s="164">
        <v>17.115138890000001</v>
      </c>
      <c r="J153" s="164">
        <v>13.376209680000001</v>
      </c>
      <c r="K153" s="164">
        <v>13.410555560000001</v>
      </c>
      <c r="L153" s="164">
        <v>11.665994619999999</v>
      </c>
      <c r="M153" s="164">
        <v>15.02540323</v>
      </c>
      <c r="N153" s="164">
        <v>15.08597222</v>
      </c>
      <c r="O153" s="164">
        <v>18.293548390000002</v>
      </c>
      <c r="P153" s="164">
        <v>17.450694439999999</v>
      </c>
      <c r="Q153" s="164">
        <v>18.274462369999998</v>
      </c>
      <c r="R153" s="164">
        <v>16.268908437500002</v>
      </c>
      <c r="S153" s="159">
        <f>SUMIFS(Aux_Lista!AE:AE,Aux_Lista!AC:AC,Aux_TBS!B153,Aux_Lista!AD:AD,Aux_TBS!A153)</f>
        <v>2</v>
      </c>
      <c r="T153" s="159" t="s">
        <v>318</v>
      </c>
      <c r="U153" s="159">
        <v>40</v>
      </c>
    </row>
    <row r="154" spans="1:21" x14ac:dyDescent="0.25">
      <c r="A154" s="162" t="s">
        <v>2619</v>
      </c>
      <c r="B154" s="149" t="s">
        <v>333</v>
      </c>
      <c r="C154" s="159" t="str">
        <f t="shared" si="2"/>
        <v>Porteirinha, MG</v>
      </c>
      <c r="D154" s="163">
        <v>-15.09</v>
      </c>
      <c r="E154" s="149">
        <v>460</v>
      </c>
      <c r="F154" s="164">
        <v>25.276881719999999</v>
      </c>
      <c r="G154" s="164">
        <v>26.031398809999999</v>
      </c>
      <c r="H154" s="164">
        <v>26.18333333</v>
      </c>
      <c r="I154" s="164">
        <v>24.277222219999999</v>
      </c>
      <c r="J154" s="164">
        <v>22.612096770000001</v>
      </c>
      <c r="K154" s="164">
        <v>22.41902778</v>
      </c>
      <c r="L154" s="164">
        <v>22.56061828</v>
      </c>
      <c r="M154" s="164">
        <v>23.854301079999999</v>
      </c>
      <c r="N154" s="164">
        <v>26.91680556</v>
      </c>
      <c r="O154" s="164">
        <v>26.78266129</v>
      </c>
      <c r="P154" s="164">
        <v>26.075138890000002</v>
      </c>
      <c r="Q154" s="164">
        <v>25.169623659999999</v>
      </c>
      <c r="R154" s="164">
        <v>24.846592449166664</v>
      </c>
      <c r="S154" s="159">
        <f>SUMIFS(Aux_Lista!AE:AE,Aux_Lista!AC:AC,Aux_TBS!B154,Aux_Lista!AD:AD,Aux_TBS!A154)</f>
        <v>6</v>
      </c>
      <c r="T154" s="159" t="s">
        <v>318</v>
      </c>
      <c r="U154" s="159">
        <v>40</v>
      </c>
    </row>
    <row r="155" spans="1:21" x14ac:dyDescent="0.25">
      <c r="A155" s="162" t="s">
        <v>3041</v>
      </c>
      <c r="B155" s="149" t="s">
        <v>333</v>
      </c>
      <c r="C155" s="159" t="str">
        <f t="shared" si="2"/>
        <v>Montalvânia, MG</v>
      </c>
      <c r="D155" s="163">
        <v>-14.42</v>
      </c>
      <c r="E155" s="149">
        <v>512</v>
      </c>
      <c r="F155" s="164">
        <v>24.178494619999999</v>
      </c>
      <c r="G155" s="164">
        <v>24.537797619999999</v>
      </c>
      <c r="H155" s="164">
        <v>24.947983870000002</v>
      </c>
      <c r="I155" s="164">
        <v>23.517499999999998</v>
      </c>
      <c r="J155" s="164">
        <v>21.340322579999999</v>
      </c>
      <c r="K155" s="164">
        <v>20.796250000000001</v>
      </c>
      <c r="L155" s="164">
        <v>20.896102150000001</v>
      </c>
      <c r="M155" s="164">
        <v>23.101075269999999</v>
      </c>
      <c r="N155" s="164">
        <v>26.323194440000002</v>
      </c>
      <c r="O155" s="164">
        <v>26.082258060000001</v>
      </c>
      <c r="P155" s="164">
        <v>24.975277779999999</v>
      </c>
      <c r="Q155" s="164">
        <v>24.163037630000002</v>
      </c>
      <c r="R155" s="164">
        <v>23.738274501666666</v>
      </c>
      <c r="S155" s="159">
        <f>SUMIFS(Aux_Lista!AE:AE,Aux_Lista!AC:AC,Aux_TBS!B155,Aux_Lista!AD:AD,Aux_TBS!A155)</f>
        <v>6</v>
      </c>
      <c r="T155" s="159" t="s">
        <v>318</v>
      </c>
      <c r="U155" s="159">
        <v>40</v>
      </c>
    </row>
    <row r="156" spans="1:21" x14ac:dyDescent="0.25">
      <c r="A156" s="162" t="s">
        <v>845</v>
      </c>
      <c r="B156" s="149" t="s">
        <v>333</v>
      </c>
      <c r="C156" s="159" t="str">
        <f t="shared" si="2"/>
        <v>Camanducaia, MG</v>
      </c>
      <c r="D156" s="163">
        <v>-22.86</v>
      </c>
      <c r="E156" s="149">
        <v>1500</v>
      </c>
      <c r="F156" s="164">
        <v>17.728225810000001</v>
      </c>
      <c r="G156" s="164">
        <v>16.959821430000002</v>
      </c>
      <c r="H156" s="164">
        <v>17.4061828</v>
      </c>
      <c r="I156" s="164">
        <v>16.505555560000001</v>
      </c>
      <c r="J156" s="164">
        <v>13.48091398</v>
      </c>
      <c r="K156" s="164">
        <v>12.23833333</v>
      </c>
      <c r="L156" s="164">
        <v>11.399865589999999</v>
      </c>
      <c r="M156" s="164">
        <v>13.165994619999999</v>
      </c>
      <c r="N156" s="164">
        <v>14.30875</v>
      </c>
      <c r="O156" s="164">
        <v>17.568682800000001</v>
      </c>
      <c r="P156" s="164">
        <v>16.338194439999999</v>
      </c>
      <c r="Q156" s="164">
        <v>16.339919349999999</v>
      </c>
      <c r="R156" s="164">
        <v>15.286703309166668</v>
      </c>
      <c r="S156" s="159">
        <f>SUMIFS(Aux_Lista!AE:AE,Aux_Lista!AC:AC,Aux_TBS!B156,Aux_Lista!AD:AD,Aux_TBS!A156)</f>
        <v>3</v>
      </c>
      <c r="T156" s="159" t="s">
        <v>318</v>
      </c>
      <c r="U156" s="159">
        <v>40</v>
      </c>
    </row>
    <row r="157" spans="1:21" x14ac:dyDescent="0.25">
      <c r="A157" s="162" t="s">
        <v>2796</v>
      </c>
      <c r="B157" s="149" t="s">
        <v>333</v>
      </c>
      <c r="C157" s="159" t="str">
        <f t="shared" si="2"/>
        <v>Montes Claros, MG</v>
      </c>
      <c r="D157" s="163">
        <v>-16.739999999999998</v>
      </c>
      <c r="E157" s="149">
        <v>646</v>
      </c>
      <c r="F157" s="164">
        <v>24.360752690000002</v>
      </c>
      <c r="G157" s="164">
        <v>24.62872024</v>
      </c>
      <c r="H157" s="164">
        <v>24.598118280000001</v>
      </c>
      <c r="I157" s="164">
        <v>24.415138890000001</v>
      </c>
      <c r="J157" s="164">
        <v>22.33293011</v>
      </c>
      <c r="K157" s="164">
        <v>20.945138889999999</v>
      </c>
      <c r="L157" s="164">
        <v>20.379032259999999</v>
      </c>
      <c r="M157" s="164">
        <v>22.203763439999999</v>
      </c>
      <c r="N157" s="164">
        <v>24.144444440000001</v>
      </c>
      <c r="O157" s="164">
        <v>25.057123659999998</v>
      </c>
      <c r="P157" s="164">
        <v>25.437777780000001</v>
      </c>
      <c r="Q157" s="164">
        <v>25.636290320000001</v>
      </c>
      <c r="R157" s="164">
        <v>23.67826925</v>
      </c>
      <c r="S157" s="159">
        <f>SUMIFS(Aux_Lista!AE:AE,Aux_Lista!AC:AC,Aux_TBS!B157,Aux_Lista!AD:AD,Aux_TBS!A157)</f>
        <v>6</v>
      </c>
      <c r="T157" s="159" t="s">
        <v>318</v>
      </c>
      <c r="U157" s="159">
        <v>40</v>
      </c>
    </row>
    <row r="158" spans="1:21" x14ac:dyDescent="0.25">
      <c r="A158" s="162" t="s">
        <v>3286</v>
      </c>
      <c r="B158" s="149" t="s">
        <v>333</v>
      </c>
      <c r="C158" s="159" t="str">
        <f t="shared" si="2"/>
        <v>Muriaé, MG</v>
      </c>
      <c r="D158" s="163">
        <v>-21.13</v>
      </c>
      <c r="E158" s="149">
        <v>297</v>
      </c>
      <c r="F158" s="164">
        <v>24.7813172</v>
      </c>
      <c r="G158" s="164">
        <v>25.740029759999999</v>
      </c>
      <c r="H158" s="164">
        <v>25.401881719999999</v>
      </c>
      <c r="I158" s="164">
        <v>22.835694440000001</v>
      </c>
      <c r="J158" s="164">
        <v>21.453897850000001</v>
      </c>
      <c r="K158" s="164">
        <v>19.416250000000002</v>
      </c>
      <c r="L158" s="164">
        <v>20.67997312</v>
      </c>
      <c r="M158" s="164">
        <v>20.715322579999999</v>
      </c>
      <c r="N158" s="164">
        <v>23.752500000000001</v>
      </c>
      <c r="O158" s="164">
        <v>23.429435479999999</v>
      </c>
      <c r="P158" s="164">
        <v>25.96347222</v>
      </c>
      <c r="Q158" s="164">
        <v>24.999865589999999</v>
      </c>
      <c r="R158" s="164">
        <v>23.264136663333332</v>
      </c>
      <c r="S158" s="159">
        <f>SUMIFS(Aux_Lista!AE:AE,Aux_Lista!AC:AC,Aux_TBS!B158,Aux_Lista!AD:AD,Aux_TBS!A158)</f>
        <v>3</v>
      </c>
      <c r="T158" s="159" t="s">
        <v>318</v>
      </c>
      <c r="U158" s="159">
        <v>40</v>
      </c>
    </row>
    <row r="159" spans="1:21" x14ac:dyDescent="0.25">
      <c r="A159" s="162" t="s">
        <v>542</v>
      </c>
      <c r="B159" s="149" t="s">
        <v>333</v>
      </c>
      <c r="C159" s="159" t="str">
        <f t="shared" si="2"/>
        <v>Ouro Branco, MG</v>
      </c>
      <c r="D159" s="163">
        <v>-20.52</v>
      </c>
      <c r="E159" s="149">
        <v>1061</v>
      </c>
      <c r="F159" s="164">
        <v>20.801478490000001</v>
      </c>
      <c r="G159" s="164">
        <v>21.537351189999999</v>
      </c>
      <c r="H159" s="164">
        <v>21.360752690000002</v>
      </c>
      <c r="I159" s="164">
        <v>19.231249999999999</v>
      </c>
      <c r="J159" s="164">
        <v>17.917741939999999</v>
      </c>
      <c r="K159" s="164">
        <v>16.447361109999999</v>
      </c>
      <c r="L159" s="164">
        <v>17.831989249999999</v>
      </c>
      <c r="M159" s="164">
        <v>17.640322579999999</v>
      </c>
      <c r="N159" s="164">
        <v>20.707222219999998</v>
      </c>
      <c r="O159" s="164">
        <v>20.092069890000001</v>
      </c>
      <c r="P159" s="164">
        <v>21.900416669999998</v>
      </c>
      <c r="Q159" s="164">
        <v>20.785349459999999</v>
      </c>
      <c r="R159" s="164">
        <v>19.687775457499999</v>
      </c>
      <c r="S159" s="159">
        <f>SUMIFS(Aux_Lista!AE:AE,Aux_Lista!AC:AC,Aux_TBS!B159,Aux_Lista!AD:AD,Aux_TBS!A159)</f>
        <v>3</v>
      </c>
      <c r="T159" s="159" t="s">
        <v>318</v>
      </c>
      <c r="U159" s="159">
        <v>40</v>
      </c>
    </row>
    <row r="160" spans="1:21" x14ac:dyDescent="0.25">
      <c r="A160" s="162" t="s">
        <v>658</v>
      </c>
      <c r="B160" s="149" t="s">
        <v>333</v>
      </c>
      <c r="C160" s="159" t="str">
        <f t="shared" si="2"/>
        <v>Passa Quatro, MG</v>
      </c>
      <c r="D160" s="163">
        <v>-22.39</v>
      </c>
      <c r="E160" s="149">
        <v>1040</v>
      </c>
      <c r="F160" s="164">
        <v>21.533467739999999</v>
      </c>
      <c r="G160" s="164">
        <v>21.40401786</v>
      </c>
      <c r="H160" s="164">
        <v>20.000672040000001</v>
      </c>
      <c r="I160" s="164">
        <v>18.939166669999999</v>
      </c>
      <c r="J160" s="164">
        <v>15.93803763</v>
      </c>
      <c r="K160" s="164">
        <v>15.22611111</v>
      </c>
      <c r="L160" s="164">
        <v>14.596370970000001</v>
      </c>
      <c r="M160" s="164">
        <v>17.22768817</v>
      </c>
      <c r="N160" s="164">
        <v>16.942499999999999</v>
      </c>
      <c r="O160" s="164">
        <v>19.468548389999999</v>
      </c>
      <c r="P160" s="164">
        <v>18.883749999999999</v>
      </c>
      <c r="Q160" s="164">
        <v>19.492876339999999</v>
      </c>
      <c r="R160" s="164">
        <v>18.30443391</v>
      </c>
      <c r="S160" s="159">
        <f>SUMIFS(Aux_Lista!AE:AE,Aux_Lista!AC:AC,Aux_TBS!B160,Aux_Lista!AD:AD,Aux_TBS!A160)</f>
        <v>2</v>
      </c>
      <c r="T160" s="159" t="s">
        <v>318</v>
      </c>
      <c r="U160" s="159">
        <v>40</v>
      </c>
    </row>
    <row r="161" spans="1:21" x14ac:dyDescent="0.25">
      <c r="A161" s="162" t="s">
        <v>2959</v>
      </c>
      <c r="B161" s="149" t="s">
        <v>333</v>
      </c>
      <c r="C161" s="159" t="str">
        <f t="shared" si="2"/>
        <v>Passos, MG</v>
      </c>
      <c r="D161" s="163">
        <v>-20.75</v>
      </c>
      <c r="E161" s="149">
        <v>875</v>
      </c>
      <c r="F161" s="164">
        <v>22.158467739999999</v>
      </c>
      <c r="G161" s="164">
        <v>22.303125000000001</v>
      </c>
      <c r="H161" s="164">
        <v>21.65524194</v>
      </c>
      <c r="I161" s="164">
        <v>20.92930556</v>
      </c>
      <c r="J161" s="164">
        <v>17.779704299999999</v>
      </c>
      <c r="K161" s="164">
        <v>18.142638890000001</v>
      </c>
      <c r="L161" s="164">
        <v>17.119758059999999</v>
      </c>
      <c r="M161" s="164">
        <v>20.0797043</v>
      </c>
      <c r="N161" s="164">
        <v>20.780972219999999</v>
      </c>
      <c r="O161" s="164">
        <v>22.801344090000001</v>
      </c>
      <c r="P161" s="164">
        <v>22.18791667</v>
      </c>
      <c r="Q161" s="164">
        <v>22.25228495</v>
      </c>
      <c r="R161" s="164">
        <v>20.682538643333331</v>
      </c>
      <c r="S161" s="159">
        <f>SUMIFS(Aux_Lista!AE:AE,Aux_Lista!AC:AC,Aux_TBS!B161,Aux_Lista!AD:AD,Aux_TBS!A161)</f>
        <v>4</v>
      </c>
      <c r="T161" s="159" t="s">
        <v>318</v>
      </c>
      <c r="U161" s="159">
        <v>40</v>
      </c>
    </row>
    <row r="162" spans="1:21" x14ac:dyDescent="0.25">
      <c r="A162" s="162" t="s">
        <v>1025</v>
      </c>
      <c r="B162" s="149" t="s">
        <v>333</v>
      </c>
      <c r="C162" s="159" t="str">
        <f t="shared" si="2"/>
        <v>Patrocínio, MG</v>
      </c>
      <c r="D162" s="163">
        <v>-18.940000000000001</v>
      </c>
      <c r="E162" s="149">
        <v>976</v>
      </c>
      <c r="F162" s="164">
        <v>21.261962369999999</v>
      </c>
      <c r="G162" s="164">
        <v>21.59598214</v>
      </c>
      <c r="H162" s="164">
        <v>21.004973119999999</v>
      </c>
      <c r="I162" s="164">
        <v>20.919444439999999</v>
      </c>
      <c r="J162" s="164">
        <v>18.309811830000001</v>
      </c>
      <c r="K162" s="164">
        <v>17.901250000000001</v>
      </c>
      <c r="L162" s="164">
        <v>16.731182799999999</v>
      </c>
      <c r="M162" s="164">
        <v>19.830241940000001</v>
      </c>
      <c r="N162" s="164">
        <v>20.940416670000001</v>
      </c>
      <c r="O162" s="164">
        <v>22.762903229999999</v>
      </c>
      <c r="P162" s="164">
        <v>21.648888889999998</v>
      </c>
      <c r="Q162" s="164">
        <v>21.077688169999998</v>
      </c>
      <c r="R162" s="164">
        <v>20.332062133333334</v>
      </c>
      <c r="S162" s="159">
        <f>SUMIFS(Aux_Lista!AE:AE,Aux_Lista!AC:AC,Aux_TBS!B162,Aux_Lista!AD:AD,Aux_TBS!A162)</f>
        <v>4</v>
      </c>
      <c r="T162" s="159" t="s">
        <v>318</v>
      </c>
      <c r="U162" s="159">
        <v>40</v>
      </c>
    </row>
    <row r="163" spans="1:21" x14ac:dyDescent="0.25">
      <c r="A163" s="162" t="s">
        <v>2949</v>
      </c>
      <c r="B163" s="149" t="s">
        <v>333</v>
      </c>
      <c r="C163" s="159" t="str">
        <f t="shared" si="2"/>
        <v>Pirapora, MG</v>
      </c>
      <c r="D163" s="163">
        <v>-17.34</v>
      </c>
      <c r="E163" s="149">
        <v>489</v>
      </c>
      <c r="F163" s="164">
        <v>24.861559140000001</v>
      </c>
      <c r="G163" s="164">
        <v>25.553720240000001</v>
      </c>
      <c r="H163" s="164">
        <v>25.339650540000001</v>
      </c>
      <c r="I163" s="164">
        <v>23.40027778</v>
      </c>
      <c r="J163" s="164">
        <v>21.383064520000001</v>
      </c>
      <c r="K163" s="164">
        <v>20.642777779999999</v>
      </c>
      <c r="L163" s="164">
        <v>21.597849459999999</v>
      </c>
      <c r="M163" s="164">
        <v>22.54341398</v>
      </c>
      <c r="N163" s="164">
        <v>25.49583333</v>
      </c>
      <c r="O163" s="164">
        <v>25.125268819999999</v>
      </c>
      <c r="P163" s="164">
        <v>25.348888890000001</v>
      </c>
      <c r="Q163" s="164">
        <v>23.565860220000001</v>
      </c>
      <c r="R163" s="164">
        <v>23.738180391666663</v>
      </c>
      <c r="S163" s="159">
        <f>SUMIFS(Aux_Lista!AE:AE,Aux_Lista!AC:AC,Aux_TBS!B163,Aux_Lista!AD:AD,Aux_TBS!A163)</f>
        <v>4</v>
      </c>
      <c r="T163" s="159" t="s">
        <v>318</v>
      </c>
      <c r="U163" s="159">
        <v>40</v>
      </c>
    </row>
    <row r="164" spans="1:21" x14ac:dyDescent="0.25">
      <c r="A164" s="162" t="s">
        <v>2679</v>
      </c>
      <c r="B164" s="149" t="s">
        <v>333</v>
      </c>
      <c r="C164" s="159" t="str">
        <f t="shared" si="2"/>
        <v>Rio Pardo de Minas, MG</v>
      </c>
      <c r="D164" s="163">
        <v>-15.72</v>
      </c>
      <c r="E164" s="149">
        <v>853</v>
      </c>
      <c r="F164" s="164">
        <v>22.477956989999999</v>
      </c>
      <c r="G164" s="164">
        <v>23.039880950000001</v>
      </c>
      <c r="H164" s="164">
        <v>23.58534946</v>
      </c>
      <c r="I164" s="164">
        <v>21.360972220000001</v>
      </c>
      <c r="J164" s="164">
        <v>18.990456989999998</v>
      </c>
      <c r="K164" s="164">
        <v>19.17208333</v>
      </c>
      <c r="L164" s="164">
        <v>19.023521509999998</v>
      </c>
      <c r="M164" s="164">
        <v>19.765725809999999</v>
      </c>
      <c r="N164" s="164">
        <v>22.781805559999999</v>
      </c>
      <c r="O164" s="164">
        <v>22.81438172</v>
      </c>
      <c r="P164" s="164">
        <v>23.145555559999998</v>
      </c>
      <c r="Q164" s="164">
        <v>22.92715054</v>
      </c>
      <c r="R164" s="164">
        <v>21.590403386666665</v>
      </c>
      <c r="S164" s="159">
        <f>SUMIFS(Aux_Lista!AE:AE,Aux_Lista!AC:AC,Aux_TBS!B164,Aux_Lista!AD:AD,Aux_TBS!A164)</f>
        <v>5</v>
      </c>
      <c r="T164" s="159" t="s">
        <v>318</v>
      </c>
      <c r="U164" s="159">
        <v>40</v>
      </c>
    </row>
    <row r="165" spans="1:21" x14ac:dyDescent="0.25">
      <c r="A165" s="162" t="s">
        <v>2967</v>
      </c>
      <c r="B165" s="149" t="s">
        <v>333</v>
      </c>
      <c r="C165" s="159" t="str">
        <f t="shared" si="2"/>
        <v>Sacramento, MG</v>
      </c>
      <c r="D165" s="163">
        <v>-19.86</v>
      </c>
      <c r="E165" s="149">
        <v>912</v>
      </c>
      <c r="F165" s="164">
        <v>22.419086020000002</v>
      </c>
      <c r="G165" s="164">
        <v>22.88244048</v>
      </c>
      <c r="H165" s="164">
        <v>23.484677420000001</v>
      </c>
      <c r="I165" s="164">
        <v>22.443750000000001</v>
      </c>
      <c r="J165" s="164">
        <v>19.33158602</v>
      </c>
      <c r="K165" s="164">
        <v>19.173749999999998</v>
      </c>
      <c r="L165" s="164">
        <v>19.029569890000001</v>
      </c>
      <c r="M165" s="164">
        <v>20.890456990000001</v>
      </c>
      <c r="N165" s="164">
        <v>23.654444439999999</v>
      </c>
      <c r="O165" s="164">
        <v>22.596908599999999</v>
      </c>
      <c r="P165" s="164">
        <v>22.142083329999998</v>
      </c>
      <c r="Q165" s="164">
        <v>23.634946240000001</v>
      </c>
      <c r="R165" s="164">
        <v>21.806974952499999</v>
      </c>
      <c r="S165" s="159">
        <f>SUMIFS(Aux_Lista!AE:AE,Aux_Lista!AC:AC,Aux_TBS!B165,Aux_Lista!AD:AD,Aux_TBS!A165)</f>
        <v>3</v>
      </c>
      <c r="T165" s="159" t="s">
        <v>318</v>
      </c>
      <c r="U165" s="159">
        <v>40</v>
      </c>
    </row>
    <row r="166" spans="1:21" x14ac:dyDescent="0.25">
      <c r="A166" s="162" t="s">
        <v>2954</v>
      </c>
      <c r="B166" s="149" t="s">
        <v>333</v>
      </c>
      <c r="C166" s="159" t="str">
        <f t="shared" si="2"/>
        <v>Salinas, MG</v>
      </c>
      <c r="D166" s="163">
        <v>-16.170000000000002</v>
      </c>
      <c r="E166" s="149">
        <v>495</v>
      </c>
      <c r="F166" s="164">
        <v>24.396639780000001</v>
      </c>
      <c r="G166" s="164">
        <v>24.99494048</v>
      </c>
      <c r="H166" s="164">
        <v>25.118279569999999</v>
      </c>
      <c r="I166" s="164">
        <v>23.20861111</v>
      </c>
      <c r="J166" s="164">
        <v>20.3577957</v>
      </c>
      <c r="K166" s="164">
        <v>20.320277780000001</v>
      </c>
      <c r="L166" s="164">
        <v>20.096908599999999</v>
      </c>
      <c r="M166" s="164">
        <v>21.921908599999998</v>
      </c>
      <c r="N166" s="164">
        <v>25.12763889</v>
      </c>
      <c r="O166" s="164">
        <v>25.16276882</v>
      </c>
      <c r="P166" s="164">
        <v>24.241944440000001</v>
      </c>
      <c r="Q166" s="164">
        <v>24.46451613</v>
      </c>
      <c r="R166" s="164">
        <v>23.284352491666667</v>
      </c>
      <c r="S166" s="159">
        <f>SUMIFS(Aux_Lista!AE:AE,Aux_Lista!AC:AC,Aux_TBS!B166,Aux_Lista!AD:AD,Aux_TBS!A166)</f>
        <v>3</v>
      </c>
      <c r="T166" s="159" t="s">
        <v>318</v>
      </c>
      <c r="U166" s="159">
        <v>40</v>
      </c>
    </row>
    <row r="167" spans="1:21" x14ac:dyDescent="0.25">
      <c r="A167" s="162" t="s">
        <v>692</v>
      </c>
      <c r="B167" s="149" t="s">
        <v>333</v>
      </c>
      <c r="C167" s="159" t="str">
        <f t="shared" si="2"/>
        <v>São João del Rei, MG</v>
      </c>
      <c r="D167" s="163">
        <v>-21.14</v>
      </c>
      <c r="E167" s="149">
        <v>991</v>
      </c>
      <c r="F167" s="164">
        <v>21.430645160000001</v>
      </c>
      <c r="G167" s="164">
        <v>22.186160709999999</v>
      </c>
      <c r="H167" s="164">
        <v>21.827688169999998</v>
      </c>
      <c r="I167" s="164">
        <v>19.419305560000002</v>
      </c>
      <c r="J167" s="164">
        <v>17.564112900000001</v>
      </c>
      <c r="K167" s="164">
        <v>15.60486111</v>
      </c>
      <c r="L167" s="164">
        <v>15.59717742</v>
      </c>
      <c r="M167" s="164">
        <v>18.307661289999999</v>
      </c>
      <c r="N167" s="164">
        <v>18.37916667</v>
      </c>
      <c r="O167" s="164">
        <v>20.175403230000001</v>
      </c>
      <c r="P167" s="164">
        <v>20.41444444</v>
      </c>
      <c r="Q167" s="164">
        <v>21.56008065</v>
      </c>
      <c r="R167" s="164">
        <v>19.372225609166666</v>
      </c>
      <c r="S167" s="159">
        <f>SUMIFS(Aux_Lista!AE:AE,Aux_Lista!AC:AC,Aux_TBS!B167,Aux_Lista!AD:AD,Aux_TBS!A167)</f>
        <v>2</v>
      </c>
      <c r="T167" s="159" t="s">
        <v>318</v>
      </c>
      <c r="U167" s="159">
        <v>40</v>
      </c>
    </row>
    <row r="168" spans="1:21" x14ac:dyDescent="0.25">
      <c r="A168" s="162" t="s">
        <v>3997</v>
      </c>
      <c r="B168" s="149" t="s">
        <v>333</v>
      </c>
      <c r="C168" s="159" t="str">
        <f t="shared" si="2"/>
        <v>São Romão, MG</v>
      </c>
      <c r="D168" s="163">
        <v>-16.37</v>
      </c>
      <c r="E168" s="149">
        <v>460</v>
      </c>
      <c r="F168" s="164">
        <v>24.73413978</v>
      </c>
      <c r="G168" s="164">
        <v>25.1764881</v>
      </c>
      <c r="H168" s="164">
        <v>25.33575269</v>
      </c>
      <c r="I168" s="164">
        <v>23.520416669999999</v>
      </c>
      <c r="J168" s="164">
        <v>21.285215050000001</v>
      </c>
      <c r="K168" s="164">
        <v>20.53458333</v>
      </c>
      <c r="L168" s="164">
        <v>20.83817204</v>
      </c>
      <c r="M168" s="164">
        <v>22.548252690000002</v>
      </c>
      <c r="N168" s="164">
        <v>26.12833333</v>
      </c>
      <c r="O168" s="164">
        <v>26.464919349999999</v>
      </c>
      <c r="P168" s="164">
        <v>26.809027780000001</v>
      </c>
      <c r="Q168" s="164">
        <v>25.008198920000002</v>
      </c>
      <c r="R168" s="164">
        <v>24.031958310833332</v>
      </c>
      <c r="S168" s="159">
        <f>SUMIFS(Aux_Lista!AE:AE,Aux_Lista!AC:AC,Aux_TBS!B168,Aux_Lista!AD:AD,Aux_TBS!A168)</f>
        <v>6</v>
      </c>
      <c r="T168" s="159" t="s">
        <v>318</v>
      </c>
      <c r="U168" s="159">
        <v>40</v>
      </c>
    </row>
    <row r="169" spans="1:21" x14ac:dyDescent="0.25">
      <c r="A169" s="162" t="s">
        <v>2013</v>
      </c>
      <c r="B169" s="149" t="s">
        <v>333</v>
      </c>
      <c r="C169" s="159" t="str">
        <f t="shared" si="2"/>
        <v>Serra dos Aimorés, MG</v>
      </c>
      <c r="D169" s="163">
        <v>-17.78</v>
      </c>
      <c r="E169" s="149">
        <v>208</v>
      </c>
      <c r="F169" s="164">
        <v>26.448521509999999</v>
      </c>
      <c r="G169" s="164">
        <v>24.643005949999999</v>
      </c>
      <c r="H169" s="164">
        <v>25.331989249999999</v>
      </c>
      <c r="I169" s="164">
        <v>24.360416669999999</v>
      </c>
      <c r="J169" s="164">
        <v>22.312365589999999</v>
      </c>
      <c r="K169" s="164">
        <v>21.230555559999999</v>
      </c>
      <c r="L169" s="164">
        <v>21.367607530000001</v>
      </c>
      <c r="M169" s="164">
        <v>20.704569889999998</v>
      </c>
      <c r="N169" s="164">
        <v>21.267916670000002</v>
      </c>
      <c r="O169" s="164">
        <v>22.926612899999999</v>
      </c>
      <c r="P169" s="164">
        <v>23.724583330000002</v>
      </c>
      <c r="Q169" s="164">
        <v>24.832661290000001</v>
      </c>
      <c r="R169" s="164">
        <v>23.262567178333331</v>
      </c>
      <c r="S169" s="159">
        <f>SUMIFS(Aux_Lista!AE:AE,Aux_Lista!AC:AC,Aux_TBS!B169,Aux_Lista!AD:AD,Aux_TBS!A169)</f>
        <v>5</v>
      </c>
      <c r="T169" s="159" t="s">
        <v>318</v>
      </c>
      <c r="U169" s="159">
        <v>40</v>
      </c>
    </row>
    <row r="170" spans="1:21" x14ac:dyDescent="0.25">
      <c r="A170" s="162" t="s">
        <v>2035</v>
      </c>
      <c r="B170" s="149" t="s">
        <v>333</v>
      </c>
      <c r="C170" s="159" t="str">
        <f t="shared" si="2"/>
        <v>Teófilo Otoni, MG</v>
      </c>
      <c r="D170" s="163">
        <v>-17.86</v>
      </c>
      <c r="E170" s="149">
        <v>475</v>
      </c>
      <c r="F170" s="164">
        <v>25.407392470000001</v>
      </c>
      <c r="G170" s="164">
        <v>23.71547619</v>
      </c>
      <c r="H170" s="164">
        <v>24.639381719999999</v>
      </c>
      <c r="I170" s="164">
        <v>23.445</v>
      </c>
      <c r="J170" s="164">
        <v>21.020295699999998</v>
      </c>
      <c r="K170" s="164">
        <v>19.870277779999999</v>
      </c>
      <c r="L170" s="164">
        <v>20.512231180000001</v>
      </c>
      <c r="M170" s="164">
        <v>20.308870970000001</v>
      </c>
      <c r="N170" s="164">
        <v>20.946249999999999</v>
      </c>
      <c r="O170" s="164">
        <v>22.422715050000001</v>
      </c>
      <c r="P170" s="164">
        <v>22.588194439999999</v>
      </c>
      <c r="Q170" s="164">
        <v>23.821236559999999</v>
      </c>
      <c r="R170" s="164">
        <v>22.391443504999998</v>
      </c>
      <c r="S170" s="159">
        <f>SUMIFS(Aux_Lista!AE:AE,Aux_Lista!AC:AC,Aux_TBS!B170,Aux_Lista!AD:AD,Aux_TBS!A170)</f>
        <v>5</v>
      </c>
      <c r="T170" s="159" t="s">
        <v>318</v>
      </c>
      <c r="U170" s="159">
        <v>40</v>
      </c>
    </row>
    <row r="171" spans="1:21" x14ac:dyDescent="0.25">
      <c r="A171" s="162" t="s">
        <v>1807</v>
      </c>
      <c r="B171" s="149" t="s">
        <v>333</v>
      </c>
      <c r="C171" s="159" t="str">
        <f t="shared" si="2"/>
        <v>Timóteo, MG</v>
      </c>
      <c r="D171" s="163">
        <v>-19.579999999999998</v>
      </c>
      <c r="E171" s="149">
        <v>333</v>
      </c>
      <c r="F171" s="164">
        <v>23.479838709999999</v>
      </c>
      <c r="G171" s="164">
        <v>24.567261899999998</v>
      </c>
      <c r="H171" s="164">
        <v>24.55551075</v>
      </c>
      <c r="I171" s="164">
        <v>22.480694440000001</v>
      </c>
      <c r="J171" s="164">
        <v>21.027284949999999</v>
      </c>
      <c r="K171" s="164">
        <v>20.473472220000001</v>
      </c>
      <c r="L171" s="164">
        <v>20.67258065</v>
      </c>
      <c r="M171" s="164">
        <v>21.174327959999999</v>
      </c>
      <c r="N171" s="164">
        <v>23.589444440000001</v>
      </c>
      <c r="O171" s="164">
        <v>23.436693550000001</v>
      </c>
      <c r="P171" s="164">
        <v>24.900416669999998</v>
      </c>
      <c r="Q171" s="164">
        <v>23.802553759999999</v>
      </c>
      <c r="R171" s="164">
        <v>22.846673333333332</v>
      </c>
      <c r="S171" s="159">
        <f>SUMIFS(Aux_Lista!AE:AE,Aux_Lista!AC:AC,Aux_TBS!B171,Aux_Lista!AD:AD,Aux_TBS!A171)</f>
        <v>3</v>
      </c>
      <c r="T171" s="159" t="s">
        <v>318</v>
      </c>
      <c r="U171" s="159">
        <v>40</v>
      </c>
    </row>
    <row r="172" spans="1:21" x14ac:dyDescent="0.25">
      <c r="A172" s="162" t="s">
        <v>1989</v>
      </c>
      <c r="B172" s="149" t="s">
        <v>333</v>
      </c>
      <c r="C172" s="159" t="str">
        <f t="shared" si="2"/>
        <v>Três Marias, MG</v>
      </c>
      <c r="D172" s="163">
        <v>-18.21</v>
      </c>
      <c r="E172" s="149">
        <v>921</v>
      </c>
      <c r="F172" s="164">
        <v>22.763709680000002</v>
      </c>
      <c r="G172" s="164">
        <v>23.394642860000001</v>
      </c>
      <c r="H172" s="164">
        <v>23.321236559999999</v>
      </c>
      <c r="I172" s="164">
        <v>21.3475</v>
      </c>
      <c r="J172" s="164">
        <v>20.39408602</v>
      </c>
      <c r="K172" s="164">
        <v>18.934722220000001</v>
      </c>
      <c r="L172" s="164">
        <v>20.913575269999999</v>
      </c>
      <c r="M172" s="164">
        <v>20.62258065</v>
      </c>
      <c r="N172" s="164">
        <v>23.505416669999999</v>
      </c>
      <c r="O172" s="164">
        <v>22.519892469999998</v>
      </c>
      <c r="P172" s="164">
        <v>23.87013889</v>
      </c>
      <c r="Q172" s="164">
        <v>22.158736560000001</v>
      </c>
      <c r="R172" s="164">
        <v>21.978853154166668</v>
      </c>
      <c r="S172" s="159">
        <f>SUMIFS(Aux_Lista!AE:AE,Aux_Lista!AC:AC,Aux_TBS!B172,Aux_Lista!AD:AD,Aux_TBS!A172)</f>
        <v>4</v>
      </c>
      <c r="T172" s="159" t="s">
        <v>318</v>
      </c>
      <c r="U172" s="159">
        <v>40</v>
      </c>
    </row>
    <row r="173" spans="1:21" x14ac:dyDescent="0.25">
      <c r="A173" s="162" t="s">
        <v>2339</v>
      </c>
      <c r="B173" s="149" t="s">
        <v>333</v>
      </c>
      <c r="C173" s="159" t="str">
        <f t="shared" si="2"/>
        <v>Uberlândia, MG</v>
      </c>
      <c r="D173" s="163">
        <v>-18.920000000000002</v>
      </c>
      <c r="E173" s="149">
        <v>869</v>
      </c>
      <c r="F173" s="164">
        <v>22.965591400000001</v>
      </c>
      <c r="G173" s="164">
        <v>23.393452379999999</v>
      </c>
      <c r="H173" s="164">
        <v>24.64919355</v>
      </c>
      <c r="I173" s="164">
        <v>23.77444444</v>
      </c>
      <c r="J173" s="164">
        <v>21.046908599999998</v>
      </c>
      <c r="K173" s="164">
        <v>20.647083330000001</v>
      </c>
      <c r="L173" s="164">
        <v>20.389650540000002</v>
      </c>
      <c r="M173" s="164">
        <v>21.9688172</v>
      </c>
      <c r="N173" s="164">
        <v>24.69347222</v>
      </c>
      <c r="O173" s="164">
        <v>24.24153226</v>
      </c>
      <c r="P173" s="164">
        <v>23.42013889</v>
      </c>
      <c r="Q173" s="164">
        <v>24.221774190000001</v>
      </c>
      <c r="R173" s="164">
        <v>22.951004916666662</v>
      </c>
      <c r="S173" s="159">
        <f>SUMIFS(Aux_Lista!AE:AE,Aux_Lista!AC:AC,Aux_TBS!B173,Aux_Lista!AD:AD,Aux_TBS!A173)</f>
        <v>4</v>
      </c>
      <c r="T173" s="159" t="s">
        <v>318</v>
      </c>
      <c r="U173" s="159">
        <v>40</v>
      </c>
    </row>
    <row r="174" spans="1:21" x14ac:dyDescent="0.25">
      <c r="A174" s="162" t="s">
        <v>2964</v>
      </c>
      <c r="B174" s="149" t="s">
        <v>333</v>
      </c>
      <c r="C174" s="159" t="str">
        <f t="shared" si="2"/>
        <v>Unaí, MG</v>
      </c>
      <c r="D174" s="163">
        <v>-16.36</v>
      </c>
      <c r="E174" s="149">
        <v>631</v>
      </c>
      <c r="F174" s="164">
        <v>24.15</v>
      </c>
      <c r="G174" s="164">
        <v>24.449255950000001</v>
      </c>
      <c r="H174" s="164">
        <v>24.74395161</v>
      </c>
      <c r="I174" s="164">
        <v>22.949305559999999</v>
      </c>
      <c r="J174" s="164">
        <v>21.506182800000001</v>
      </c>
      <c r="K174" s="164">
        <v>20.544722220000001</v>
      </c>
      <c r="L174" s="164">
        <v>21.670026880000002</v>
      </c>
      <c r="M174" s="164">
        <v>22.52795699</v>
      </c>
      <c r="N174" s="164">
        <v>25.55833333</v>
      </c>
      <c r="O174" s="164">
        <v>24.608333330000001</v>
      </c>
      <c r="P174" s="164">
        <v>24.948472219999999</v>
      </c>
      <c r="Q174" s="164">
        <v>23.6561828</v>
      </c>
      <c r="R174" s="164">
        <v>23.442726974166671</v>
      </c>
      <c r="S174" s="159">
        <f>SUMIFS(Aux_Lista!AE:AE,Aux_Lista!AC:AC,Aux_TBS!B174,Aux_Lista!AD:AD,Aux_TBS!A174)</f>
        <v>6</v>
      </c>
      <c r="T174" s="159" t="s">
        <v>318</v>
      </c>
      <c r="U174" s="159">
        <v>40</v>
      </c>
    </row>
    <row r="175" spans="1:21" x14ac:dyDescent="0.25">
      <c r="A175" s="162" t="s">
        <v>708</v>
      </c>
      <c r="B175" s="149" t="s">
        <v>333</v>
      </c>
      <c r="C175" s="159" t="str">
        <f t="shared" si="2"/>
        <v>Varginha, MG</v>
      </c>
      <c r="D175" s="163">
        <v>-21.55</v>
      </c>
      <c r="E175" s="149">
        <v>955</v>
      </c>
      <c r="F175" s="164">
        <v>21.160618280000001</v>
      </c>
      <c r="G175" s="164">
        <v>21.594791669999999</v>
      </c>
      <c r="H175" s="164">
        <v>21.130241940000001</v>
      </c>
      <c r="I175" s="164">
        <v>20.062777780000001</v>
      </c>
      <c r="J175" s="164">
        <v>17.138172040000001</v>
      </c>
      <c r="K175" s="164">
        <v>16.859444440000001</v>
      </c>
      <c r="L175" s="164">
        <v>16.220833330000001</v>
      </c>
      <c r="M175" s="164">
        <v>19.001747309999999</v>
      </c>
      <c r="N175" s="164">
        <v>18.89722222</v>
      </c>
      <c r="O175" s="164">
        <v>21.412096770000002</v>
      </c>
      <c r="P175" s="164">
        <v>20.40777778</v>
      </c>
      <c r="Q175" s="164">
        <v>20.878360220000001</v>
      </c>
      <c r="R175" s="164">
        <v>19.563673648333335</v>
      </c>
      <c r="S175" s="159">
        <f>SUMIFS(Aux_Lista!AE:AE,Aux_Lista!AC:AC,Aux_TBS!B175,Aux_Lista!AD:AD,Aux_TBS!A175)</f>
        <v>2</v>
      </c>
      <c r="T175" s="159" t="s">
        <v>318</v>
      </c>
      <c r="U175" s="159">
        <v>40</v>
      </c>
    </row>
    <row r="176" spans="1:21" x14ac:dyDescent="0.25">
      <c r="A176" s="162" t="s">
        <v>709</v>
      </c>
      <c r="B176" s="149" t="s">
        <v>333</v>
      </c>
      <c r="C176" s="159" t="str">
        <f t="shared" si="2"/>
        <v>Viçosa, MG</v>
      </c>
      <c r="D176" s="163">
        <v>-20.75</v>
      </c>
      <c r="E176" s="149">
        <v>712</v>
      </c>
      <c r="F176" s="164">
        <v>21.622983869999999</v>
      </c>
      <c r="G176" s="164">
        <v>22.18794643</v>
      </c>
      <c r="H176" s="164">
        <v>21.922446239999999</v>
      </c>
      <c r="I176" s="164">
        <v>19.83847222</v>
      </c>
      <c r="J176" s="164">
        <v>17.773118279999998</v>
      </c>
      <c r="K176" s="164">
        <v>16.063888890000001</v>
      </c>
      <c r="L176" s="164">
        <v>17.302956989999998</v>
      </c>
      <c r="M176" s="164">
        <v>17.31532258</v>
      </c>
      <c r="N176" s="164">
        <v>20.68680556</v>
      </c>
      <c r="O176" s="164">
        <v>21.098655910000002</v>
      </c>
      <c r="P176" s="164">
        <v>22.520416669999999</v>
      </c>
      <c r="Q176" s="164">
        <v>21.738172039999998</v>
      </c>
      <c r="R176" s="164">
        <v>20.005932139999999</v>
      </c>
      <c r="S176" s="159">
        <f>SUMIFS(Aux_Lista!AE:AE,Aux_Lista!AC:AC,Aux_TBS!B176,Aux_Lista!AD:AD,Aux_TBS!A176)</f>
        <v>3</v>
      </c>
      <c r="T176" s="159" t="s">
        <v>318</v>
      </c>
      <c r="U176" s="159">
        <v>40</v>
      </c>
    </row>
    <row r="177" spans="1:21" x14ac:dyDescent="0.25">
      <c r="A177" s="162" t="s">
        <v>3683</v>
      </c>
      <c r="B177" s="149" t="s">
        <v>336</v>
      </c>
      <c r="C177" s="159" t="str">
        <f t="shared" si="2"/>
        <v>Amambaí, MS</v>
      </c>
      <c r="D177" s="163">
        <v>-23</v>
      </c>
      <c r="E177" s="149">
        <v>431</v>
      </c>
      <c r="F177" s="164">
        <v>24.033870969999999</v>
      </c>
      <c r="G177" s="164">
        <v>24.568154759999999</v>
      </c>
      <c r="H177" s="164">
        <v>24.967473120000001</v>
      </c>
      <c r="I177" s="164">
        <v>23.095833330000001</v>
      </c>
      <c r="J177" s="164">
        <v>19.980376339999999</v>
      </c>
      <c r="K177" s="164">
        <v>15.436249999999999</v>
      </c>
      <c r="L177" s="164">
        <v>19.40336022</v>
      </c>
      <c r="M177" s="164">
        <v>19.925268819999999</v>
      </c>
      <c r="N177" s="164">
        <v>18.803333330000001</v>
      </c>
      <c r="O177" s="164">
        <v>23.59475806</v>
      </c>
      <c r="P177" s="164">
        <v>24.038472219999999</v>
      </c>
      <c r="Q177" s="164">
        <v>25.459946240000001</v>
      </c>
      <c r="R177" s="164">
        <v>21.9422581175</v>
      </c>
      <c r="S177" s="159">
        <f>SUMIFS(Aux_Lista!AE:AE,Aux_Lista!AC:AC,Aux_TBS!B177,Aux_Lista!AD:AD,Aux_TBS!A177)</f>
        <v>3</v>
      </c>
      <c r="T177" s="159" t="s">
        <v>310</v>
      </c>
      <c r="U177" s="159">
        <v>40</v>
      </c>
    </row>
    <row r="178" spans="1:21" x14ac:dyDescent="0.25">
      <c r="A178" s="162" t="s">
        <v>2358</v>
      </c>
      <c r="B178" s="149" t="s">
        <v>336</v>
      </c>
      <c r="C178" s="159" t="str">
        <f t="shared" si="2"/>
        <v>Campo Grande, MS</v>
      </c>
      <c r="D178" s="163">
        <v>-20.440000000000001</v>
      </c>
      <c r="E178" s="149">
        <v>530</v>
      </c>
      <c r="F178" s="164">
        <v>24.276881719999999</v>
      </c>
      <c r="G178" s="164">
        <v>24.272172619999999</v>
      </c>
      <c r="H178" s="164">
        <v>24.230645160000002</v>
      </c>
      <c r="I178" s="164">
        <v>23.33694444</v>
      </c>
      <c r="J178" s="164">
        <v>20.05497312</v>
      </c>
      <c r="K178" s="164">
        <v>20.17472222</v>
      </c>
      <c r="L178" s="164">
        <v>22.797849459999998</v>
      </c>
      <c r="M178" s="164">
        <v>23.740725810000001</v>
      </c>
      <c r="N178" s="164">
        <v>22.531388889999999</v>
      </c>
      <c r="O178" s="164">
        <v>25.21545699</v>
      </c>
      <c r="P178" s="164">
        <v>25.361944439999998</v>
      </c>
      <c r="Q178" s="164">
        <v>25.381854839999999</v>
      </c>
      <c r="R178" s="164">
        <v>23.447963309166667</v>
      </c>
      <c r="S178" s="159">
        <f>SUMIFS(Aux_Lista!AE:AE,Aux_Lista!AC:AC,Aux_TBS!B178,Aux_Lista!AD:AD,Aux_TBS!A178)</f>
        <v>6</v>
      </c>
      <c r="T178" s="159" t="s">
        <v>310</v>
      </c>
      <c r="U178" s="159">
        <v>40</v>
      </c>
    </row>
    <row r="179" spans="1:21" x14ac:dyDescent="0.25">
      <c r="A179" s="162" t="s">
        <v>2388</v>
      </c>
      <c r="B179" s="149" t="s">
        <v>336</v>
      </c>
      <c r="C179" s="159" t="str">
        <f t="shared" si="2"/>
        <v>Chapadão do Sul, MS</v>
      </c>
      <c r="D179" s="163">
        <v>-18.79</v>
      </c>
      <c r="E179" s="149">
        <v>818</v>
      </c>
      <c r="F179" s="164">
        <v>22.559408600000001</v>
      </c>
      <c r="G179" s="164">
        <v>22.387499999999999</v>
      </c>
      <c r="H179" s="164">
        <v>22.378629029999999</v>
      </c>
      <c r="I179" s="164">
        <v>22.471527779999999</v>
      </c>
      <c r="J179" s="164">
        <v>19.563575270000001</v>
      </c>
      <c r="K179" s="164">
        <v>20.084444439999999</v>
      </c>
      <c r="L179" s="164">
        <v>21.415053759999999</v>
      </c>
      <c r="M179" s="164">
        <v>23.290725810000001</v>
      </c>
      <c r="N179" s="164">
        <v>22.692083329999999</v>
      </c>
      <c r="O179" s="164">
        <v>24.168145160000002</v>
      </c>
      <c r="P179" s="164">
        <v>24.441388889999999</v>
      </c>
      <c r="Q179" s="164">
        <v>23.302956989999998</v>
      </c>
      <c r="R179" s="164">
        <v>22.396286588333329</v>
      </c>
      <c r="S179" s="159">
        <f>SUMIFS(Aux_Lista!AE:AE,Aux_Lista!AC:AC,Aux_TBS!B179,Aux_Lista!AD:AD,Aux_TBS!A179)</f>
        <v>6</v>
      </c>
      <c r="T179" s="159" t="s">
        <v>310</v>
      </c>
      <c r="U179" s="159">
        <v>40</v>
      </c>
    </row>
    <row r="180" spans="1:21" x14ac:dyDescent="0.25">
      <c r="A180" s="162" t="s">
        <v>3048</v>
      </c>
      <c r="B180" s="149" t="s">
        <v>336</v>
      </c>
      <c r="C180" s="159" t="str">
        <f t="shared" si="2"/>
        <v>Corumbá, MS</v>
      </c>
      <c r="D180" s="163">
        <v>-19.010000000000002</v>
      </c>
      <c r="E180" s="149">
        <v>126</v>
      </c>
      <c r="F180" s="164">
        <v>27.702553760000001</v>
      </c>
      <c r="G180" s="164">
        <v>27.555505950000001</v>
      </c>
      <c r="H180" s="164">
        <v>28.118279569999999</v>
      </c>
      <c r="I180" s="164">
        <v>27.642916670000002</v>
      </c>
      <c r="J180" s="164">
        <v>22.172311830000002</v>
      </c>
      <c r="K180" s="164">
        <v>23.05236111</v>
      </c>
      <c r="L180" s="164">
        <v>21.857661289999999</v>
      </c>
      <c r="M180" s="164">
        <v>21.968010750000001</v>
      </c>
      <c r="N180" s="164">
        <v>28.425138889999999</v>
      </c>
      <c r="O180" s="164">
        <v>26.996505379999999</v>
      </c>
      <c r="P180" s="164">
        <v>26.750833329999999</v>
      </c>
      <c r="Q180" s="164">
        <v>28.823521509999999</v>
      </c>
      <c r="R180" s="164">
        <v>25.922133336666665</v>
      </c>
      <c r="S180" s="159">
        <f>SUMIFS(Aux_Lista!AE:AE,Aux_Lista!AC:AC,Aux_TBS!B180,Aux_Lista!AD:AD,Aux_TBS!A180)</f>
        <v>8</v>
      </c>
      <c r="T180" s="159" t="s">
        <v>310</v>
      </c>
      <c r="U180" s="159">
        <v>40</v>
      </c>
    </row>
    <row r="181" spans="1:21" x14ac:dyDescent="0.25">
      <c r="A181" s="162" t="s">
        <v>5194</v>
      </c>
      <c r="B181" s="149" t="s">
        <v>336</v>
      </c>
      <c r="C181" s="159" t="str">
        <f t="shared" si="2"/>
        <v>Coxim, MS</v>
      </c>
      <c r="D181" s="163">
        <v>-18.3</v>
      </c>
      <c r="E181" s="149">
        <v>252</v>
      </c>
      <c r="F181" s="164">
        <v>26.00698925</v>
      </c>
      <c r="G181" s="164">
        <v>25.890773809999999</v>
      </c>
      <c r="H181" s="164">
        <v>25.654704299999999</v>
      </c>
      <c r="I181" s="164">
        <v>24.64763889</v>
      </c>
      <c r="J181" s="164">
        <v>21.360887099999999</v>
      </c>
      <c r="K181" s="164">
        <v>21.425972219999998</v>
      </c>
      <c r="L181" s="164">
        <v>21.532795700000001</v>
      </c>
      <c r="M181" s="164">
        <v>24.792741939999999</v>
      </c>
      <c r="N181" s="164">
        <v>25.50041667</v>
      </c>
      <c r="O181" s="164">
        <v>26.64637097</v>
      </c>
      <c r="P181" s="164">
        <v>27.03875</v>
      </c>
      <c r="Q181" s="164">
        <v>26.185349460000001</v>
      </c>
      <c r="R181" s="164">
        <v>24.723615859166667</v>
      </c>
      <c r="S181" s="159">
        <f>SUMIFS(Aux_Lista!AE:AE,Aux_Lista!AC:AC,Aux_TBS!B181,Aux_Lista!AD:AD,Aux_TBS!A181)</f>
        <v>6</v>
      </c>
      <c r="T181" s="159" t="s">
        <v>310</v>
      </c>
      <c r="U181" s="159">
        <v>40</v>
      </c>
    </row>
    <row r="182" spans="1:21" x14ac:dyDescent="0.25">
      <c r="A182" s="162" t="s">
        <v>3515</v>
      </c>
      <c r="B182" s="149" t="s">
        <v>336</v>
      </c>
      <c r="C182" s="159" t="str">
        <f t="shared" si="2"/>
        <v>Dourados, MS</v>
      </c>
      <c r="D182" s="163">
        <v>-22.22</v>
      </c>
      <c r="E182" s="149">
        <v>469</v>
      </c>
      <c r="F182" s="164">
        <v>24.490994619999999</v>
      </c>
      <c r="G182" s="164">
        <v>24.284821430000001</v>
      </c>
      <c r="H182" s="164">
        <v>24.40725806</v>
      </c>
      <c r="I182" s="164">
        <v>22.674305560000001</v>
      </c>
      <c r="J182" s="164">
        <v>19.127016130000001</v>
      </c>
      <c r="K182" s="164">
        <v>17.97361111</v>
      </c>
      <c r="L182" s="164">
        <v>21.60819892</v>
      </c>
      <c r="M182" s="164">
        <v>21.852822580000002</v>
      </c>
      <c r="N182" s="164">
        <v>20.6175</v>
      </c>
      <c r="O182" s="164">
        <v>24.58534946</v>
      </c>
      <c r="P182" s="164">
        <v>24.690277779999999</v>
      </c>
      <c r="Q182" s="164">
        <v>25.915725810000001</v>
      </c>
      <c r="R182" s="164">
        <v>22.685656788333336</v>
      </c>
      <c r="S182" s="159">
        <f>SUMIFS(Aux_Lista!AE:AE,Aux_Lista!AC:AC,Aux_TBS!B182,Aux_Lista!AD:AD,Aux_TBS!A182)</f>
        <v>3</v>
      </c>
      <c r="T182" s="159" t="s">
        <v>310</v>
      </c>
      <c r="U182" s="159">
        <v>40</v>
      </c>
    </row>
    <row r="183" spans="1:21" x14ac:dyDescent="0.25">
      <c r="A183" s="162" t="s">
        <v>3409</v>
      </c>
      <c r="B183" s="149" t="s">
        <v>336</v>
      </c>
      <c r="C183" s="159" t="str">
        <f t="shared" si="2"/>
        <v>Ivinhema, MS</v>
      </c>
      <c r="D183" s="163">
        <v>-22.31</v>
      </c>
      <c r="E183" s="149">
        <v>373</v>
      </c>
      <c r="F183" s="164">
        <v>25.948790320000001</v>
      </c>
      <c r="G183" s="164">
        <v>25.871577380000002</v>
      </c>
      <c r="H183" s="164">
        <v>25.937634410000001</v>
      </c>
      <c r="I183" s="164">
        <v>24.133888890000001</v>
      </c>
      <c r="J183" s="164">
        <v>18.924462370000001</v>
      </c>
      <c r="K183" s="164">
        <v>20.66791667</v>
      </c>
      <c r="L183" s="164">
        <v>21.654166669999999</v>
      </c>
      <c r="M183" s="164">
        <v>22.147177419999998</v>
      </c>
      <c r="N183" s="164">
        <v>21.58402778</v>
      </c>
      <c r="O183" s="164">
        <v>25.49905914</v>
      </c>
      <c r="P183" s="164">
        <v>25.554861110000001</v>
      </c>
      <c r="Q183" s="164">
        <v>26.45147849</v>
      </c>
      <c r="R183" s="164">
        <v>23.697920054166662</v>
      </c>
      <c r="S183" s="159">
        <f>SUMIFS(Aux_Lista!AE:AE,Aux_Lista!AC:AC,Aux_TBS!B183,Aux_Lista!AD:AD,Aux_TBS!A183)</f>
        <v>5</v>
      </c>
      <c r="T183" s="159" t="s">
        <v>310</v>
      </c>
      <c r="U183" s="159">
        <v>40</v>
      </c>
    </row>
    <row r="184" spans="1:21" x14ac:dyDescent="0.25">
      <c r="A184" s="162" t="s">
        <v>3500</v>
      </c>
      <c r="B184" s="149" t="s">
        <v>336</v>
      </c>
      <c r="C184" s="159" t="str">
        <f t="shared" si="2"/>
        <v>Juti, MS</v>
      </c>
      <c r="D184" s="163">
        <v>-22.86</v>
      </c>
      <c r="E184" s="149">
        <v>379</v>
      </c>
      <c r="F184" s="164">
        <v>24.670161289999999</v>
      </c>
      <c r="G184" s="164">
        <v>25.59702381</v>
      </c>
      <c r="H184" s="164">
        <v>26.047715050000001</v>
      </c>
      <c r="I184" s="164">
        <v>24.610555560000002</v>
      </c>
      <c r="J184" s="164">
        <v>21.435349460000001</v>
      </c>
      <c r="K184" s="164">
        <v>16.991111109999999</v>
      </c>
      <c r="L184" s="164">
        <v>17.616801079999998</v>
      </c>
      <c r="M184" s="164">
        <v>20.420833330000001</v>
      </c>
      <c r="N184" s="164">
        <v>21.14194444</v>
      </c>
      <c r="O184" s="164">
        <v>23.84327957</v>
      </c>
      <c r="P184" s="164">
        <v>26.765138889999999</v>
      </c>
      <c r="Q184" s="164">
        <v>25.696774189999999</v>
      </c>
      <c r="R184" s="164">
        <v>22.903057314999998</v>
      </c>
      <c r="S184" s="159">
        <f>SUMIFS(Aux_Lista!AE:AE,Aux_Lista!AC:AC,Aux_TBS!B184,Aux_Lista!AD:AD,Aux_TBS!A184)</f>
        <v>3</v>
      </c>
      <c r="T184" s="159" t="s">
        <v>310</v>
      </c>
      <c r="U184" s="159">
        <v>40</v>
      </c>
    </row>
    <row r="185" spans="1:21" x14ac:dyDescent="0.25">
      <c r="A185" s="162" t="s">
        <v>5667</v>
      </c>
      <c r="B185" s="149" t="s">
        <v>336</v>
      </c>
      <c r="C185" s="159" t="str">
        <f t="shared" si="2"/>
        <v>Miranda, MS</v>
      </c>
      <c r="D185" s="163">
        <v>-20.239999999999998</v>
      </c>
      <c r="E185" s="149">
        <v>140</v>
      </c>
      <c r="F185" s="164">
        <v>26.738172039999998</v>
      </c>
      <c r="G185" s="164">
        <v>26.674404760000002</v>
      </c>
      <c r="H185" s="164">
        <v>26.913172039999999</v>
      </c>
      <c r="I185" s="164">
        <v>26.084861109999999</v>
      </c>
      <c r="J185" s="164">
        <v>21.19166667</v>
      </c>
      <c r="K185" s="164">
        <v>21.14</v>
      </c>
      <c r="L185" s="164">
        <v>20.194354839999999</v>
      </c>
      <c r="M185" s="164">
        <v>21.400268820000001</v>
      </c>
      <c r="N185" s="164">
        <v>27.76847222</v>
      </c>
      <c r="O185" s="164">
        <v>24.887365590000002</v>
      </c>
      <c r="P185" s="164">
        <v>24.945277780000001</v>
      </c>
      <c r="Q185" s="164">
        <v>27.646639780000001</v>
      </c>
      <c r="R185" s="164">
        <v>24.632054637500001</v>
      </c>
      <c r="S185" s="159">
        <f>SUMIFS(Aux_Lista!AE:AE,Aux_Lista!AC:AC,Aux_TBS!B185,Aux_Lista!AD:AD,Aux_TBS!A185)</f>
        <v>5</v>
      </c>
      <c r="T185" s="159" t="s">
        <v>310</v>
      </c>
      <c r="U185" s="159">
        <v>40</v>
      </c>
    </row>
    <row r="186" spans="1:21" x14ac:dyDescent="0.25">
      <c r="A186" s="162" t="s">
        <v>3926</v>
      </c>
      <c r="B186" s="149" t="s">
        <v>376</v>
      </c>
      <c r="C186" s="159" t="str">
        <f t="shared" si="2"/>
        <v>Santa Rosa de Viterbo, SP</v>
      </c>
      <c r="D186" s="163">
        <v>-18.989999999999998</v>
      </c>
      <c r="E186" s="149">
        <v>104</v>
      </c>
      <c r="F186" s="164">
        <v>26.46975806</v>
      </c>
      <c r="G186" s="164">
        <v>27.0327381</v>
      </c>
      <c r="H186" s="164">
        <v>26.683198919999999</v>
      </c>
      <c r="I186" s="164">
        <v>24.963750000000001</v>
      </c>
      <c r="J186" s="164">
        <v>21.690994620000001</v>
      </c>
      <c r="K186" s="164">
        <v>20.206111109999998</v>
      </c>
      <c r="L186" s="164">
        <v>22.064247309999999</v>
      </c>
      <c r="M186" s="164">
        <v>24.398387100000001</v>
      </c>
      <c r="N186" s="164">
        <v>23.578888890000002</v>
      </c>
      <c r="O186" s="164">
        <v>26.839919349999999</v>
      </c>
      <c r="P186" s="164">
        <v>27.487638889999999</v>
      </c>
      <c r="Q186" s="164">
        <v>27.281854840000001</v>
      </c>
      <c r="R186" s="164">
        <v>24.891457265833335</v>
      </c>
      <c r="S186" s="159">
        <f>SUMIFS(Aux_Lista!AE:AE,Aux_Lista!AC:AC,Aux_TBS!B186,Aux_Lista!AD:AD,Aux_TBS!A186)</f>
        <v>4</v>
      </c>
      <c r="T186" s="159" t="s">
        <v>318</v>
      </c>
      <c r="U186" s="159">
        <v>40</v>
      </c>
    </row>
    <row r="187" spans="1:21" x14ac:dyDescent="0.25">
      <c r="A187" s="162" t="s">
        <v>3518</v>
      </c>
      <c r="B187" s="149" t="s">
        <v>336</v>
      </c>
      <c r="C187" s="159" t="str">
        <f t="shared" si="2"/>
        <v>Ponta Porã, MS</v>
      </c>
      <c r="D187" s="163">
        <v>-22.54</v>
      </c>
      <c r="E187" s="149">
        <v>650</v>
      </c>
      <c r="F187" s="164">
        <v>24.021639780000001</v>
      </c>
      <c r="G187" s="164">
        <v>24.856547620000001</v>
      </c>
      <c r="H187" s="164">
        <v>24.646102150000001</v>
      </c>
      <c r="I187" s="164">
        <v>21.588611109999999</v>
      </c>
      <c r="J187" s="164">
        <v>16.557661289999999</v>
      </c>
      <c r="K187" s="164">
        <v>18.60652778</v>
      </c>
      <c r="L187" s="164">
        <v>18.795026880000002</v>
      </c>
      <c r="M187" s="164">
        <v>18.611827959999999</v>
      </c>
      <c r="N187" s="164">
        <v>20.69722222</v>
      </c>
      <c r="O187" s="164">
        <v>20.985483869999999</v>
      </c>
      <c r="P187" s="164">
        <v>22.08736111</v>
      </c>
      <c r="Q187" s="164">
        <v>24.309946239999999</v>
      </c>
      <c r="R187" s="164">
        <v>21.3136631675</v>
      </c>
      <c r="S187" s="159">
        <f>SUMIFS(Aux_Lista!AE:AE,Aux_Lista!AC:AC,Aux_TBS!B187,Aux_Lista!AD:AD,Aux_TBS!A187)</f>
        <v>3</v>
      </c>
      <c r="T187" s="159" t="s">
        <v>310</v>
      </c>
      <c r="U187" s="159">
        <v>40</v>
      </c>
    </row>
    <row r="188" spans="1:21" x14ac:dyDescent="0.25">
      <c r="A188" s="162" t="s">
        <v>5536</v>
      </c>
      <c r="B188" s="149" t="s">
        <v>336</v>
      </c>
      <c r="C188" s="159" t="str">
        <f t="shared" si="2"/>
        <v>Porto Murtinho, MS</v>
      </c>
      <c r="D188" s="163">
        <v>-21.7</v>
      </c>
      <c r="E188" s="149">
        <v>85</v>
      </c>
      <c r="F188" s="164">
        <v>28.370430110000001</v>
      </c>
      <c r="G188" s="164">
        <v>27.7</v>
      </c>
      <c r="H188" s="164">
        <v>27.9688172</v>
      </c>
      <c r="I188" s="164">
        <v>26.413472219999999</v>
      </c>
      <c r="J188" s="164">
        <v>20.207123660000001</v>
      </c>
      <c r="K188" s="164">
        <v>21.60013889</v>
      </c>
      <c r="L188" s="164">
        <v>19.264784949999999</v>
      </c>
      <c r="M188" s="164">
        <v>20.234946239999999</v>
      </c>
      <c r="N188" s="164">
        <v>27.204722220000001</v>
      </c>
      <c r="O188" s="164">
        <v>27.193682800000001</v>
      </c>
      <c r="P188" s="164">
        <v>31.026944440000001</v>
      </c>
      <c r="Q188" s="164">
        <v>28.42580645</v>
      </c>
      <c r="R188" s="164">
        <v>25.467572431666667</v>
      </c>
      <c r="S188" s="159">
        <f>SUMIFS(Aux_Lista!AE:AE,Aux_Lista!AC:AC,Aux_TBS!B188,Aux_Lista!AD:AD,Aux_TBS!A188)</f>
        <v>5</v>
      </c>
      <c r="T188" s="159" t="s">
        <v>310</v>
      </c>
      <c r="U188" s="159">
        <v>40</v>
      </c>
    </row>
    <row r="189" spans="1:21" x14ac:dyDescent="0.25">
      <c r="A189" s="162" t="s">
        <v>3854</v>
      </c>
      <c r="B189" s="149" t="s">
        <v>336</v>
      </c>
      <c r="C189" s="159" t="str">
        <f t="shared" si="2"/>
        <v>Rio Brilhante, MS</v>
      </c>
      <c r="D189" s="163">
        <v>-21.78</v>
      </c>
      <c r="E189" s="149">
        <v>329</v>
      </c>
      <c r="F189" s="164">
        <v>24.608064519999999</v>
      </c>
      <c r="G189" s="164">
        <v>25.390476190000001</v>
      </c>
      <c r="H189" s="164">
        <v>25.74341398</v>
      </c>
      <c r="I189" s="164">
        <v>24.02416667</v>
      </c>
      <c r="J189" s="164">
        <v>21.333736559999998</v>
      </c>
      <c r="K189" s="164">
        <v>17.59305556</v>
      </c>
      <c r="L189" s="164">
        <v>20.90766129</v>
      </c>
      <c r="M189" s="164">
        <v>22.34287634</v>
      </c>
      <c r="N189" s="164">
        <v>21.140972219999998</v>
      </c>
      <c r="O189" s="164">
        <v>24.992607530000001</v>
      </c>
      <c r="P189" s="164">
        <v>25.25791667</v>
      </c>
      <c r="Q189" s="164">
        <v>26.169758059999999</v>
      </c>
      <c r="R189" s="164">
        <v>23.292058799166668</v>
      </c>
      <c r="S189" s="159">
        <f>SUMIFS(Aux_Lista!AE:AE,Aux_Lista!AC:AC,Aux_TBS!B189,Aux_Lista!AD:AD,Aux_TBS!A189)</f>
        <v>3</v>
      </c>
      <c r="T189" s="159" t="s">
        <v>310</v>
      </c>
      <c r="U189" s="159">
        <v>40</v>
      </c>
    </row>
    <row r="190" spans="1:21" x14ac:dyDescent="0.25">
      <c r="A190" s="162" t="s">
        <v>3315</v>
      </c>
      <c r="B190" s="149" t="s">
        <v>336</v>
      </c>
      <c r="C190" s="159" t="str">
        <f t="shared" si="2"/>
        <v>Sete Quedas, MS</v>
      </c>
      <c r="D190" s="163">
        <v>-23.97</v>
      </c>
      <c r="E190" s="149">
        <v>402</v>
      </c>
      <c r="F190" s="164">
        <v>24.46075269</v>
      </c>
      <c r="G190" s="164">
        <v>25.54910714</v>
      </c>
      <c r="H190" s="164">
        <v>25.698790320000001</v>
      </c>
      <c r="I190" s="164">
        <v>23.86861111</v>
      </c>
      <c r="J190" s="164">
        <v>20.259543010000002</v>
      </c>
      <c r="K190" s="164">
        <v>15.685</v>
      </c>
      <c r="L190" s="164">
        <v>20.304435479999999</v>
      </c>
      <c r="M190" s="164">
        <v>20.11008065</v>
      </c>
      <c r="N190" s="164">
        <v>18.938749999999999</v>
      </c>
      <c r="O190" s="164">
        <v>23.196505380000001</v>
      </c>
      <c r="P190" s="164">
        <v>24.18819444</v>
      </c>
      <c r="Q190" s="164">
        <v>25.87728495</v>
      </c>
      <c r="R190" s="164">
        <v>22.3447545975</v>
      </c>
      <c r="S190" s="159">
        <f>SUMIFS(Aux_Lista!AE:AE,Aux_Lista!AC:AC,Aux_TBS!B190,Aux_Lista!AD:AD,Aux_TBS!A190)</f>
        <v>3</v>
      </c>
      <c r="T190" s="159" t="s">
        <v>310</v>
      </c>
      <c r="U190" s="159">
        <v>40</v>
      </c>
    </row>
    <row r="191" spans="1:21" x14ac:dyDescent="0.25">
      <c r="A191" s="162" t="s">
        <v>3395</v>
      </c>
      <c r="B191" s="149" t="s">
        <v>336</v>
      </c>
      <c r="C191" s="159" t="str">
        <f t="shared" si="2"/>
        <v>Sidrolândia, MS</v>
      </c>
      <c r="D191" s="163">
        <v>-20.98</v>
      </c>
      <c r="E191" s="149">
        <v>464</v>
      </c>
      <c r="F191" s="164">
        <v>24.672983869999999</v>
      </c>
      <c r="G191" s="164">
        <v>25.276488100000002</v>
      </c>
      <c r="H191" s="164">
        <v>25.355779569999999</v>
      </c>
      <c r="I191" s="164">
        <v>24.902222219999999</v>
      </c>
      <c r="J191" s="164">
        <v>21.93897849</v>
      </c>
      <c r="K191" s="164">
        <v>18.689166669999999</v>
      </c>
      <c r="L191" s="164">
        <v>19.436290320000001</v>
      </c>
      <c r="M191" s="164">
        <v>21.25846774</v>
      </c>
      <c r="N191" s="164">
        <v>22.381111109999999</v>
      </c>
      <c r="O191" s="164">
        <v>24.514112900000001</v>
      </c>
      <c r="P191" s="164">
        <v>26.482500000000002</v>
      </c>
      <c r="Q191" s="164">
        <v>25.3344086</v>
      </c>
      <c r="R191" s="164">
        <v>23.353542465833339</v>
      </c>
      <c r="S191" s="159">
        <f>SUMIFS(Aux_Lista!AE:AE,Aux_Lista!AC:AC,Aux_TBS!B191,Aux_Lista!AD:AD,Aux_TBS!A191)</f>
        <v>5</v>
      </c>
      <c r="T191" s="159" t="s">
        <v>310</v>
      </c>
      <c r="U191" s="159">
        <v>40</v>
      </c>
    </row>
    <row r="192" spans="1:21" x14ac:dyDescent="0.25">
      <c r="A192" s="162" t="s">
        <v>3551</v>
      </c>
      <c r="B192" s="149" t="s">
        <v>336</v>
      </c>
      <c r="C192" s="159" t="str">
        <f t="shared" si="2"/>
        <v>Três Lagoas, MS</v>
      </c>
      <c r="D192" s="163">
        <v>-20.75</v>
      </c>
      <c r="E192" s="149">
        <v>313</v>
      </c>
      <c r="F192" s="164">
        <v>25.796505379999999</v>
      </c>
      <c r="G192" s="164">
        <v>25.939583330000001</v>
      </c>
      <c r="H192" s="164">
        <v>25.443951609999999</v>
      </c>
      <c r="I192" s="164">
        <v>24.53166667</v>
      </c>
      <c r="J192" s="164">
        <v>20.473521510000001</v>
      </c>
      <c r="K192" s="164">
        <v>20.838055560000001</v>
      </c>
      <c r="L192" s="164">
        <v>21.443951609999999</v>
      </c>
      <c r="M192" s="164">
        <v>24.0672043</v>
      </c>
      <c r="N192" s="164">
        <v>23.36597222</v>
      </c>
      <c r="O192" s="164">
        <v>26.64180108</v>
      </c>
      <c r="P192" s="164">
        <v>26.551111110000001</v>
      </c>
      <c r="Q192" s="164">
        <v>27.1969086</v>
      </c>
      <c r="R192" s="164">
        <v>24.357519415000002</v>
      </c>
      <c r="S192" s="159">
        <f>SUMIFS(Aux_Lista!AE:AE,Aux_Lista!AC:AC,Aux_TBS!B192,Aux_Lista!AD:AD,Aux_TBS!A192)</f>
        <v>6</v>
      </c>
      <c r="T192" s="159" t="s">
        <v>310</v>
      </c>
      <c r="U192" s="159">
        <v>40</v>
      </c>
    </row>
    <row r="193" spans="1:21" x14ac:dyDescent="0.25">
      <c r="A193" s="162" t="s">
        <v>2075</v>
      </c>
      <c r="B193" s="149" t="s">
        <v>340</v>
      </c>
      <c r="C193" s="159" t="str">
        <f t="shared" si="2"/>
        <v>Água Boa, MT</v>
      </c>
      <c r="D193" s="163">
        <v>-14.05</v>
      </c>
      <c r="E193" s="149">
        <v>432</v>
      </c>
      <c r="F193" s="164">
        <v>25.344892470000001</v>
      </c>
      <c r="G193" s="164">
        <v>24.819791670000001</v>
      </c>
      <c r="H193" s="164">
        <v>25.225134409999999</v>
      </c>
      <c r="I193" s="164">
        <v>24.374444440000001</v>
      </c>
      <c r="J193" s="164">
        <v>24.118145160000001</v>
      </c>
      <c r="K193" s="164">
        <v>23.023611110000001</v>
      </c>
      <c r="L193" s="164">
        <v>24.552284950000001</v>
      </c>
      <c r="M193" s="164">
        <v>25.703629029999998</v>
      </c>
      <c r="N193" s="164">
        <v>26.69430556</v>
      </c>
      <c r="O193" s="164">
        <v>25.58064516</v>
      </c>
      <c r="P193" s="164">
        <v>25.369861109999999</v>
      </c>
      <c r="Q193" s="164">
        <v>24.562231180000001</v>
      </c>
      <c r="R193" s="164">
        <v>24.9474146875</v>
      </c>
      <c r="S193" s="159">
        <f>SUMIFS(Aux_Lista!AE:AE,Aux_Lista!AC:AC,Aux_TBS!B193,Aux_Lista!AD:AD,Aux_TBS!A193)</f>
        <v>6</v>
      </c>
      <c r="T193" s="159" t="s">
        <v>310</v>
      </c>
      <c r="U193" s="159">
        <v>40</v>
      </c>
    </row>
    <row r="194" spans="1:21" x14ac:dyDescent="0.25">
      <c r="A194" s="162" t="s">
        <v>2376</v>
      </c>
      <c r="B194" s="149" t="s">
        <v>340</v>
      </c>
      <c r="C194" s="159" t="str">
        <f t="shared" si="2"/>
        <v>Alto Taquari, MT</v>
      </c>
      <c r="D194" s="163">
        <v>-17.82</v>
      </c>
      <c r="E194" s="149">
        <v>875</v>
      </c>
      <c r="F194" s="164">
        <v>22.636827960000002</v>
      </c>
      <c r="G194" s="164">
        <v>21.920535709999999</v>
      </c>
      <c r="H194" s="164">
        <v>21.966263439999999</v>
      </c>
      <c r="I194" s="164">
        <v>22.26166667</v>
      </c>
      <c r="J194" s="164">
        <v>20.126209679999999</v>
      </c>
      <c r="K194" s="164">
        <v>20.672916669999999</v>
      </c>
      <c r="L194" s="164">
        <v>21.448924730000002</v>
      </c>
      <c r="M194" s="164">
        <v>23.66653226</v>
      </c>
      <c r="N194" s="164">
        <v>23.6175</v>
      </c>
      <c r="O194" s="164">
        <v>23.67715054</v>
      </c>
      <c r="P194" s="164">
        <v>23.359027780000002</v>
      </c>
      <c r="Q194" s="164">
        <v>22.666935479999999</v>
      </c>
      <c r="R194" s="164">
        <v>22.33504091</v>
      </c>
      <c r="S194" s="159">
        <f>SUMIFS(Aux_Lista!AE:AE,Aux_Lista!AC:AC,Aux_TBS!B194,Aux_Lista!AD:AD,Aux_TBS!A194)</f>
        <v>6</v>
      </c>
      <c r="T194" s="159" t="s">
        <v>310</v>
      </c>
      <c r="U194" s="159">
        <v>40</v>
      </c>
    </row>
    <row r="195" spans="1:21" x14ac:dyDescent="0.25">
      <c r="A195" s="162" t="s">
        <v>5003</v>
      </c>
      <c r="B195" s="149" t="s">
        <v>340</v>
      </c>
      <c r="C195" s="159" t="str">
        <f t="shared" ref="C195:C258" si="3">CONCATENATE(A195,", ",B195)</f>
        <v>Apiacás, MT</v>
      </c>
      <c r="D195" s="163">
        <v>-9.5399999999999991</v>
      </c>
      <c r="E195" s="149">
        <v>220</v>
      </c>
      <c r="F195" s="164">
        <v>24.84744624</v>
      </c>
      <c r="G195" s="164">
        <v>24.916666670000001</v>
      </c>
      <c r="H195" s="164">
        <v>24.808467740000001</v>
      </c>
      <c r="I195" s="164">
        <v>25.743749999999999</v>
      </c>
      <c r="J195" s="164">
        <v>25.289919350000002</v>
      </c>
      <c r="K195" s="164">
        <v>25.03347222</v>
      </c>
      <c r="L195" s="164">
        <v>25.19032258</v>
      </c>
      <c r="M195" s="164">
        <v>26.975672039999999</v>
      </c>
      <c r="N195" s="164">
        <v>26.810833330000001</v>
      </c>
      <c r="O195" s="164">
        <v>26.620026880000001</v>
      </c>
      <c r="P195" s="164">
        <v>25.93263889</v>
      </c>
      <c r="Q195" s="164">
        <v>25.622446239999999</v>
      </c>
      <c r="R195" s="164">
        <v>25.649305181666666</v>
      </c>
      <c r="S195" s="159">
        <f>SUMIFS(Aux_Lista!AE:AE,Aux_Lista!AC:AC,Aux_TBS!B195,Aux_Lista!AD:AD,Aux_TBS!A195)</f>
        <v>8</v>
      </c>
      <c r="T195" s="159" t="s">
        <v>310</v>
      </c>
      <c r="U195" s="159">
        <v>40</v>
      </c>
    </row>
    <row r="196" spans="1:21" x14ac:dyDescent="0.25">
      <c r="A196" s="162" t="s">
        <v>2402</v>
      </c>
      <c r="B196" s="149" t="s">
        <v>340</v>
      </c>
      <c r="C196" s="159" t="str">
        <f t="shared" si="3"/>
        <v>Campo Novo do Parecis, MT</v>
      </c>
      <c r="D196" s="163">
        <v>-13.68</v>
      </c>
      <c r="E196" s="149">
        <v>570</v>
      </c>
      <c r="F196" s="164">
        <v>24.368682799999998</v>
      </c>
      <c r="G196" s="164">
        <v>24.195535710000001</v>
      </c>
      <c r="H196" s="164">
        <v>23.96774194</v>
      </c>
      <c r="I196" s="164">
        <v>24.178055560000001</v>
      </c>
      <c r="J196" s="164">
        <v>23.709274189999999</v>
      </c>
      <c r="K196" s="164">
        <v>23.16444444</v>
      </c>
      <c r="L196" s="164">
        <v>22.93185484</v>
      </c>
      <c r="M196" s="164">
        <v>23.530645159999999</v>
      </c>
      <c r="N196" s="164">
        <v>24.56319444</v>
      </c>
      <c r="O196" s="164">
        <v>24.912231179999999</v>
      </c>
      <c r="P196" s="164">
        <v>24.420416670000002</v>
      </c>
      <c r="Q196" s="164">
        <v>25.041801079999999</v>
      </c>
      <c r="R196" s="164">
        <v>24.081989834166666</v>
      </c>
      <c r="S196" s="159">
        <f>SUMIFS(Aux_Lista!AE:AE,Aux_Lista!AC:AC,Aux_TBS!B196,Aux_Lista!AD:AD,Aux_TBS!A196)</f>
        <v>5</v>
      </c>
      <c r="T196" s="159" t="s">
        <v>310</v>
      </c>
      <c r="U196" s="159">
        <v>40</v>
      </c>
    </row>
    <row r="197" spans="1:21" x14ac:dyDescent="0.25">
      <c r="A197" s="162" t="s">
        <v>2393</v>
      </c>
      <c r="B197" s="149" t="s">
        <v>340</v>
      </c>
      <c r="C197" s="159" t="str">
        <f t="shared" si="3"/>
        <v>Campo Verde, MT</v>
      </c>
      <c r="D197" s="163">
        <v>-15.55</v>
      </c>
      <c r="E197" s="149">
        <v>749</v>
      </c>
      <c r="F197" s="164">
        <v>22.415456989999999</v>
      </c>
      <c r="G197" s="164">
        <v>22.635714289999999</v>
      </c>
      <c r="H197" s="164">
        <v>22.874865589999999</v>
      </c>
      <c r="I197" s="164">
        <v>22.506111109999999</v>
      </c>
      <c r="J197" s="164">
        <v>20.883602150000002</v>
      </c>
      <c r="K197" s="164">
        <v>20.975000000000001</v>
      </c>
      <c r="L197" s="164">
        <v>22.790860219999999</v>
      </c>
      <c r="M197" s="164">
        <v>25.169892470000001</v>
      </c>
      <c r="N197" s="164">
        <v>24.862777779999998</v>
      </c>
      <c r="O197" s="164">
        <v>24.462768820000001</v>
      </c>
      <c r="P197" s="164">
        <v>23.85125</v>
      </c>
      <c r="Q197" s="164">
        <v>22.971774190000001</v>
      </c>
      <c r="R197" s="164">
        <v>23.033339467499999</v>
      </c>
      <c r="S197" s="159">
        <f>SUMIFS(Aux_Lista!AE:AE,Aux_Lista!AC:AC,Aux_TBS!B197,Aux_Lista!AD:AD,Aux_TBS!A197)</f>
        <v>6</v>
      </c>
      <c r="T197" s="159" t="s">
        <v>310</v>
      </c>
      <c r="U197" s="159">
        <v>40</v>
      </c>
    </row>
    <row r="198" spans="1:21" x14ac:dyDescent="0.25">
      <c r="A198" s="162" t="s">
        <v>4463</v>
      </c>
      <c r="B198" s="149" t="s">
        <v>340</v>
      </c>
      <c r="C198" s="159" t="str">
        <f t="shared" si="3"/>
        <v>Carlinda, MT</v>
      </c>
      <c r="D198" s="163">
        <v>-9.9700000000000006</v>
      </c>
      <c r="E198" s="149">
        <v>300</v>
      </c>
      <c r="F198" s="164">
        <v>25.0358871</v>
      </c>
      <c r="G198" s="164">
        <v>24.779910709999999</v>
      </c>
      <c r="H198" s="164">
        <v>24.949865590000002</v>
      </c>
      <c r="I198" s="164">
        <v>24.9575</v>
      </c>
      <c r="J198" s="164">
        <v>25.151881719999999</v>
      </c>
      <c r="K198" s="164">
        <v>25.270416669999999</v>
      </c>
      <c r="L198" s="164">
        <v>26.26075269</v>
      </c>
      <c r="M198" s="164">
        <v>26.90255376</v>
      </c>
      <c r="N198" s="164">
        <v>26.2575</v>
      </c>
      <c r="O198" s="164">
        <v>25.93696237</v>
      </c>
      <c r="P198" s="164">
        <v>25.52597222</v>
      </c>
      <c r="Q198" s="164">
        <v>24.852956989999999</v>
      </c>
      <c r="R198" s="164">
        <v>25.490179984999997</v>
      </c>
      <c r="S198" s="159">
        <f>SUMIFS(Aux_Lista!AE:AE,Aux_Lista!AC:AC,Aux_TBS!B198,Aux_Lista!AD:AD,Aux_TBS!A198)</f>
        <v>8</v>
      </c>
      <c r="T198" s="159" t="s">
        <v>310</v>
      </c>
      <c r="U198" s="159">
        <v>40</v>
      </c>
    </row>
    <row r="199" spans="1:21" x14ac:dyDescent="0.25">
      <c r="A199" s="162" t="s">
        <v>3056</v>
      </c>
      <c r="B199" s="149" t="s">
        <v>340</v>
      </c>
      <c r="C199" s="159" t="str">
        <f t="shared" si="3"/>
        <v>Comodoro, MT</v>
      </c>
      <c r="D199" s="163">
        <v>-13.66</v>
      </c>
      <c r="E199" s="149">
        <v>591</v>
      </c>
      <c r="F199" s="164">
        <v>23.543548390000002</v>
      </c>
      <c r="G199" s="164">
        <v>23.109523809999999</v>
      </c>
      <c r="H199" s="164">
        <v>23.020698920000001</v>
      </c>
      <c r="I199" s="164">
        <v>23.148472219999999</v>
      </c>
      <c r="J199" s="164">
        <v>20.421236560000001</v>
      </c>
      <c r="K199" s="164">
        <v>20.41416667</v>
      </c>
      <c r="L199" s="164">
        <v>20.613709679999999</v>
      </c>
      <c r="M199" s="164">
        <v>20.933870970000001</v>
      </c>
      <c r="N199" s="164">
        <v>22.992361110000001</v>
      </c>
      <c r="O199" s="164">
        <v>23.871505379999999</v>
      </c>
      <c r="P199" s="164">
        <v>23.649027780000001</v>
      </c>
      <c r="Q199" s="164">
        <v>23.51680108</v>
      </c>
      <c r="R199" s="164">
        <v>22.436243547499998</v>
      </c>
      <c r="S199" s="159">
        <f>SUMIFS(Aux_Lista!AE:AE,Aux_Lista!AC:AC,Aux_TBS!B199,Aux_Lista!AD:AD,Aux_TBS!A199)</f>
        <v>5</v>
      </c>
      <c r="T199" s="159" t="s">
        <v>310</v>
      </c>
      <c r="U199" s="159">
        <v>40</v>
      </c>
    </row>
    <row r="200" spans="1:21" x14ac:dyDescent="0.25">
      <c r="A200" s="162" t="s">
        <v>4897</v>
      </c>
      <c r="B200" s="149" t="s">
        <v>340</v>
      </c>
      <c r="C200" s="159" t="str">
        <f t="shared" si="3"/>
        <v>Confresa, MT</v>
      </c>
      <c r="D200" s="163">
        <v>-10.65</v>
      </c>
      <c r="E200" s="149">
        <v>237</v>
      </c>
      <c r="F200" s="164">
        <v>25.594489249999999</v>
      </c>
      <c r="G200" s="164">
        <v>25.108035709999999</v>
      </c>
      <c r="H200" s="164">
        <v>25.961827960000001</v>
      </c>
      <c r="I200" s="164">
        <v>25.34791667</v>
      </c>
      <c r="J200" s="164">
        <v>25.531586019999999</v>
      </c>
      <c r="K200" s="164">
        <v>25.734444440000001</v>
      </c>
      <c r="L200" s="164">
        <v>26.508736559999999</v>
      </c>
      <c r="M200" s="164">
        <v>27.494758059999999</v>
      </c>
      <c r="N200" s="164">
        <v>27.67736111</v>
      </c>
      <c r="O200" s="164">
        <v>26.37177419</v>
      </c>
      <c r="P200" s="164">
        <v>26.376805560000001</v>
      </c>
      <c r="Q200" s="164">
        <v>25.84422043</v>
      </c>
      <c r="R200" s="164">
        <v>26.129329663333333</v>
      </c>
      <c r="S200" s="159">
        <f>SUMIFS(Aux_Lista!AE:AE,Aux_Lista!AC:AC,Aux_TBS!B200,Aux_Lista!AD:AD,Aux_TBS!A200)</f>
        <v>7</v>
      </c>
      <c r="T200" s="159" t="s">
        <v>310</v>
      </c>
      <c r="U200" s="159">
        <v>40</v>
      </c>
    </row>
    <row r="201" spans="1:21" x14ac:dyDescent="0.25">
      <c r="A201" s="162" t="s">
        <v>5002</v>
      </c>
      <c r="B201" s="149" t="s">
        <v>340</v>
      </c>
      <c r="C201" s="159" t="str">
        <f t="shared" si="3"/>
        <v>Cotriguaçu, MT</v>
      </c>
      <c r="D201" s="163">
        <v>-9.86</v>
      </c>
      <c r="E201" s="149">
        <v>261</v>
      </c>
      <c r="F201" s="164">
        <v>24.12177419</v>
      </c>
      <c r="G201" s="164">
        <v>24.245238100000002</v>
      </c>
      <c r="H201" s="164">
        <v>23.97069892</v>
      </c>
      <c r="I201" s="164">
        <v>24.5625</v>
      </c>
      <c r="J201" s="164">
        <v>24.106317199999999</v>
      </c>
      <c r="K201" s="164">
        <v>23.61861111</v>
      </c>
      <c r="L201" s="164">
        <v>23.88575269</v>
      </c>
      <c r="M201" s="164">
        <v>25.71827957</v>
      </c>
      <c r="N201" s="164">
        <v>25.51694444</v>
      </c>
      <c r="O201" s="164">
        <v>25.759005380000001</v>
      </c>
      <c r="P201" s="164">
        <v>25.190277779999999</v>
      </c>
      <c r="Q201" s="164">
        <v>24.761290320000001</v>
      </c>
      <c r="R201" s="164">
        <v>24.621390808333331</v>
      </c>
      <c r="S201" s="159">
        <f>SUMIFS(Aux_Lista!AE:AE,Aux_Lista!AC:AC,Aux_TBS!B201,Aux_Lista!AD:AD,Aux_TBS!A201)</f>
        <v>8</v>
      </c>
      <c r="T201" s="159" t="s">
        <v>310</v>
      </c>
      <c r="U201" s="159">
        <v>40</v>
      </c>
    </row>
    <row r="202" spans="1:21" x14ac:dyDescent="0.25">
      <c r="A202" s="162" t="s">
        <v>5588</v>
      </c>
      <c r="B202" s="149" t="s">
        <v>340</v>
      </c>
      <c r="C202" s="159" t="str">
        <f t="shared" si="3"/>
        <v>Cuiabá, MT</v>
      </c>
      <c r="D202" s="163">
        <v>-15.62</v>
      </c>
      <c r="E202" s="149">
        <v>151</v>
      </c>
      <c r="F202" s="164">
        <v>27.394892469999998</v>
      </c>
      <c r="G202" s="164">
        <v>27.0483631</v>
      </c>
      <c r="H202" s="164">
        <v>26.118817199999999</v>
      </c>
      <c r="I202" s="164">
        <v>24.814305560000001</v>
      </c>
      <c r="J202" s="164">
        <v>25.696639780000002</v>
      </c>
      <c r="K202" s="164">
        <v>22.844583329999999</v>
      </c>
      <c r="L202" s="164">
        <v>24.120161289999999</v>
      </c>
      <c r="M202" s="164">
        <v>25.999731180000001</v>
      </c>
      <c r="N202" s="164">
        <v>27.23</v>
      </c>
      <c r="O202" s="164">
        <v>28.538978490000002</v>
      </c>
      <c r="P202" s="164">
        <v>28.351805559999999</v>
      </c>
      <c r="Q202" s="164">
        <v>27.05645161</v>
      </c>
      <c r="R202" s="164">
        <v>26.26789413083333</v>
      </c>
      <c r="S202" s="159">
        <f>SUMIFS(Aux_Lista!AE:AE,Aux_Lista!AC:AC,Aux_TBS!B202,Aux_Lista!AD:AD,Aux_TBS!A202)</f>
        <v>7</v>
      </c>
      <c r="T202" s="159" t="s">
        <v>310</v>
      </c>
      <c r="U202" s="159">
        <v>40</v>
      </c>
    </row>
    <row r="203" spans="1:21" x14ac:dyDescent="0.25">
      <c r="A203" s="162" t="s">
        <v>4935</v>
      </c>
      <c r="B203" s="149" t="s">
        <v>340</v>
      </c>
      <c r="C203" s="159" t="str">
        <f t="shared" si="3"/>
        <v>Gaúcha do Norte, MT</v>
      </c>
      <c r="D203" s="163">
        <v>-13.18</v>
      </c>
      <c r="E203" s="149">
        <v>379</v>
      </c>
      <c r="F203" s="164">
        <v>25.449865590000002</v>
      </c>
      <c r="G203" s="164">
        <v>24.89479167</v>
      </c>
      <c r="H203" s="164">
        <v>25.63158602</v>
      </c>
      <c r="I203" s="164">
        <v>24.951111109999999</v>
      </c>
      <c r="J203" s="164">
        <v>24.84327957</v>
      </c>
      <c r="K203" s="164">
        <v>23.876388890000001</v>
      </c>
      <c r="L203" s="164">
        <v>24.582258060000001</v>
      </c>
      <c r="M203" s="164">
        <v>25.269354839999998</v>
      </c>
      <c r="N203" s="164">
        <v>26.670694439999998</v>
      </c>
      <c r="O203" s="164">
        <v>25.90443548</v>
      </c>
      <c r="P203" s="164">
        <v>25.802916669999998</v>
      </c>
      <c r="Q203" s="164">
        <v>24.725537630000002</v>
      </c>
      <c r="R203" s="164">
        <v>25.216851664166668</v>
      </c>
      <c r="S203" s="159">
        <f>SUMIFS(Aux_Lista!AE:AE,Aux_Lista!AC:AC,Aux_TBS!B203,Aux_Lista!AD:AD,Aux_TBS!A203)</f>
        <v>6</v>
      </c>
      <c r="T203" s="159" t="s">
        <v>310</v>
      </c>
      <c r="U203" s="159">
        <v>40</v>
      </c>
    </row>
    <row r="204" spans="1:21" x14ac:dyDescent="0.25">
      <c r="A204" s="162" t="s">
        <v>4988</v>
      </c>
      <c r="B204" s="149" t="s">
        <v>340</v>
      </c>
      <c r="C204" s="159" t="str">
        <f t="shared" si="3"/>
        <v>Guarantã do Norte, MT</v>
      </c>
      <c r="D204" s="163">
        <v>-9.7899999999999991</v>
      </c>
      <c r="E204" s="149">
        <v>320</v>
      </c>
      <c r="F204" s="164">
        <v>25.004569889999999</v>
      </c>
      <c r="G204" s="164">
        <v>24.44017857</v>
      </c>
      <c r="H204" s="164">
        <v>25.024865590000001</v>
      </c>
      <c r="I204" s="164">
        <v>25.40666667</v>
      </c>
      <c r="J204" s="164">
        <v>25.215725809999999</v>
      </c>
      <c r="K204" s="164">
        <v>23.98875</v>
      </c>
      <c r="L204" s="164">
        <v>24.37459677</v>
      </c>
      <c r="M204" s="164">
        <v>24.86989247</v>
      </c>
      <c r="N204" s="164">
        <v>25.34333333</v>
      </c>
      <c r="O204" s="164">
        <v>25.554838709999999</v>
      </c>
      <c r="P204" s="164">
        <v>25.760972219999999</v>
      </c>
      <c r="Q204" s="164">
        <v>25.477284950000001</v>
      </c>
      <c r="R204" s="164">
        <v>25.038472915</v>
      </c>
      <c r="S204" s="159">
        <f>SUMIFS(Aux_Lista!AE:AE,Aux_Lista!AC:AC,Aux_TBS!B204,Aux_Lista!AD:AD,Aux_TBS!A204)</f>
        <v>8</v>
      </c>
      <c r="T204" s="159" t="s">
        <v>310</v>
      </c>
      <c r="U204" s="159">
        <v>40</v>
      </c>
    </row>
    <row r="205" spans="1:21" x14ac:dyDescent="0.25">
      <c r="A205" s="162" t="s">
        <v>5665</v>
      </c>
      <c r="B205" s="149" t="s">
        <v>340</v>
      </c>
      <c r="C205" s="159" t="str">
        <f t="shared" si="3"/>
        <v>Guiratinga, MT</v>
      </c>
      <c r="D205" s="163">
        <v>-16.34</v>
      </c>
      <c r="E205" s="149">
        <v>526</v>
      </c>
      <c r="F205" s="164">
        <v>24.91330645</v>
      </c>
      <c r="G205" s="164">
        <v>24.456250000000001</v>
      </c>
      <c r="H205" s="164">
        <v>24.519623660000001</v>
      </c>
      <c r="I205" s="164">
        <v>24.430138889999998</v>
      </c>
      <c r="J205" s="164">
        <v>22.387768820000002</v>
      </c>
      <c r="K205" s="164">
        <v>22.531527780000001</v>
      </c>
      <c r="L205" s="164">
        <v>22.89919355</v>
      </c>
      <c r="M205" s="164">
        <v>25.968548389999999</v>
      </c>
      <c r="N205" s="164">
        <v>26.797361110000001</v>
      </c>
      <c r="O205" s="164">
        <v>26.7672043</v>
      </c>
      <c r="P205" s="164">
        <v>25.744166669999998</v>
      </c>
      <c r="Q205" s="164">
        <v>24.925537630000001</v>
      </c>
      <c r="R205" s="164">
        <v>24.695052270833333</v>
      </c>
      <c r="S205" s="159">
        <f>SUMIFS(Aux_Lista!AE:AE,Aux_Lista!AC:AC,Aux_TBS!B205,Aux_Lista!AD:AD,Aux_TBS!A205)</f>
        <v>6</v>
      </c>
      <c r="T205" s="159" t="s">
        <v>310</v>
      </c>
      <c r="U205" s="159">
        <v>40</v>
      </c>
    </row>
    <row r="206" spans="1:21" x14ac:dyDescent="0.25">
      <c r="A206" s="162" t="s">
        <v>2382</v>
      </c>
      <c r="B206" s="149" t="s">
        <v>340</v>
      </c>
      <c r="C206" s="159" t="str">
        <f t="shared" si="3"/>
        <v>Itiquira, MT</v>
      </c>
      <c r="D206" s="163">
        <v>-17.18</v>
      </c>
      <c r="E206" s="149">
        <v>585</v>
      </c>
      <c r="F206" s="164">
        <v>24.31155914</v>
      </c>
      <c r="G206" s="164">
        <v>25.219494050000002</v>
      </c>
      <c r="H206" s="164">
        <v>24.977284950000001</v>
      </c>
      <c r="I206" s="164">
        <v>24.40291667</v>
      </c>
      <c r="J206" s="164">
        <v>21.75510753</v>
      </c>
      <c r="K206" s="164">
        <v>21.15958333</v>
      </c>
      <c r="L206" s="164">
        <v>22.797177420000001</v>
      </c>
      <c r="M206" s="164">
        <v>24.419220429999999</v>
      </c>
      <c r="N206" s="164">
        <v>24.986249999999998</v>
      </c>
      <c r="O206" s="164">
        <v>25.537634409999999</v>
      </c>
      <c r="P206" s="164">
        <v>24.935694439999999</v>
      </c>
      <c r="Q206" s="164">
        <v>23.8702957</v>
      </c>
      <c r="R206" s="164">
        <v>24.031018172500001</v>
      </c>
      <c r="S206" s="159">
        <f>SUMIFS(Aux_Lista!AE:AE,Aux_Lista!AC:AC,Aux_TBS!B206,Aux_Lista!AD:AD,Aux_TBS!A206)</f>
        <v>6</v>
      </c>
      <c r="T206" s="159" t="s">
        <v>310</v>
      </c>
      <c r="U206" s="159">
        <v>40</v>
      </c>
    </row>
    <row r="207" spans="1:21" x14ac:dyDescent="0.25">
      <c r="A207" s="162" t="s">
        <v>5004</v>
      </c>
      <c r="B207" s="149" t="s">
        <v>340</v>
      </c>
      <c r="C207" s="159" t="str">
        <f t="shared" si="3"/>
        <v>Juara, MT</v>
      </c>
      <c r="D207" s="163">
        <v>-11.26</v>
      </c>
      <c r="E207" s="149">
        <v>260</v>
      </c>
      <c r="F207" s="164">
        <v>25.422715050000001</v>
      </c>
      <c r="G207" s="164">
        <v>25.727678569999998</v>
      </c>
      <c r="H207" s="164">
        <v>25.925134409999998</v>
      </c>
      <c r="I207" s="164">
        <v>26.36902778</v>
      </c>
      <c r="J207" s="164">
        <v>25.264516130000001</v>
      </c>
      <c r="K207" s="164">
        <v>25.340555559999999</v>
      </c>
      <c r="L207" s="164">
        <v>24.71922043</v>
      </c>
      <c r="M207" s="164">
        <v>25.485349459999998</v>
      </c>
      <c r="N207" s="164">
        <v>28.297916669999999</v>
      </c>
      <c r="O207" s="164">
        <v>26.899462369999998</v>
      </c>
      <c r="P207" s="164">
        <v>25.817638890000001</v>
      </c>
      <c r="Q207" s="164">
        <v>25.37634409</v>
      </c>
      <c r="R207" s="164">
        <v>25.88712995083333</v>
      </c>
      <c r="S207" s="159">
        <f>SUMIFS(Aux_Lista!AE:AE,Aux_Lista!AC:AC,Aux_TBS!B207,Aux_Lista!AD:AD,Aux_TBS!A207)</f>
        <v>8</v>
      </c>
      <c r="T207" s="159" t="s">
        <v>310</v>
      </c>
      <c r="U207" s="159">
        <v>40</v>
      </c>
    </row>
    <row r="208" spans="1:21" x14ac:dyDescent="0.25">
      <c r="A208" s="162" t="s">
        <v>4464</v>
      </c>
      <c r="B208" s="149" t="s">
        <v>340</v>
      </c>
      <c r="C208" s="159" t="str">
        <f t="shared" si="3"/>
        <v>Juína, MT</v>
      </c>
      <c r="D208" s="163">
        <v>-11.38</v>
      </c>
      <c r="E208" s="149">
        <v>200</v>
      </c>
      <c r="F208" s="164">
        <v>24.807930110000001</v>
      </c>
      <c r="G208" s="164">
        <v>24.571874999999999</v>
      </c>
      <c r="H208" s="164">
        <v>24.482258059999999</v>
      </c>
      <c r="I208" s="164">
        <v>24.565694440000001</v>
      </c>
      <c r="J208" s="164">
        <v>24.577284949999999</v>
      </c>
      <c r="K208" s="164">
        <v>23.47319444</v>
      </c>
      <c r="L208" s="164">
        <v>24.411155910000002</v>
      </c>
      <c r="M208" s="164">
        <v>25.663978490000002</v>
      </c>
      <c r="N208" s="164">
        <v>25.591388890000001</v>
      </c>
      <c r="O208" s="164">
        <v>25.92997312</v>
      </c>
      <c r="P208" s="164">
        <v>25.458749999999998</v>
      </c>
      <c r="Q208" s="164">
        <v>24.58064516</v>
      </c>
      <c r="R208" s="164">
        <v>24.842844047499998</v>
      </c>
      <c r="S208" s="159">
        <f>SUMIFS(Aux_Lista!AE:AE,Aux_Lista!AC:AC,Aux_TBS!B208,Aux_Lista!AD:AD,Aux_TBS!A208)</f>
        <v>8</v>
      </c>
      <c r="T208" s="159" t="s">
        <v>310</v>
      </c>
      <c r="U208" s="159">
        <v>40</v>
      </c>
    </row>
    <row r="209" spans="1:21" x14ac:dyDescent="0.25">
      <c r="A209" s="162" t="s">
        <v>5666</v>
      </c>
      <c r="B209" s="149" t="s">
        <v>340</v>
      </c>
      <c r="C209" s="159" t="str">
        <f t="shared" si="3"/>
        <v>Nova Maringá, MT</v>
      </c>
      <c r="D209" s="163">
        <v>-13.04</v>
      </c>
      <c r="E209" s="149">
        <v>353</v>
      </c>
      <c r="F209" s="164">
        <v>26.578763439999999</v>
      </c>
      <c r="G209" s="164">
        <v>26.6547619</v>
      </c>
      <c r="H209" s="164">
        <v>27.05739247</v>
      </c>
      <c r="I209" s="164">
        <v>27.922777780000001</v>
      </c>
      <c r="J209" s="164">
        <v>26.902822579999999</v>
      </c>
      <c r="K209" s="164">
        <v>23.947916670000001</v>
      </c>
      <c r="L209" s="164">
        <v>24.335215049999999</v>
      </c>
      <c r="M209" s="164">
        <v>25.49865591</v>
      </c>
      <c r="N209" s="164">
        <v>26.502500000000001</v>
      </c>
      <c r="O209" s="164">
        <v>26.96680108</v>
      </c>
      <c r="P209" s="164">
        <v>27.206111109999998</v>
      </c>
      <c r="Q209" s="164">
        <v>26.449059139999999</v>
      </c>
      <c r="R209" s="164">
        <v>26.335231427499995</v>
      </c>
      <c r="S209" s="159">
        <f>SUMIFS(Aux_Lista!AE:AE,Aux_Lista!AC:AC,Aux_TBS!B209,Aux_Lista!AD:AD,Aux_TBS!A209)</f>
        <v>5</v>
      </c>
      <c r="T209" s="159" t="s">
        <v>310</v>
      </c>
      <c r="U209" s="159">
        <v>40</v>
      </c>
    </row>
    <row r="210" spans="1:21" x14ac:dyDescent="0.25">
      <c r="A210" s="162" t="s">
        <v>4977</v>
      </c>
      <c r="B210" s="149" t="s">
        <v>340</v>
      </c>
      <c r="C210" s="159" t="str">
        <f t="shared" si="3"/>
        <v>Novo Mundo, MT</v>
      </c>
      <c r="D210" s="163">
        <v>-12.52</v>
      </c>
      <c r="E210" s="149">
        <v>431</v>
      </c>
      <c r="F210" s="164">
        <v>24.549327959999999</v>
      </c>
      <c r="G210" s="164">
        <v>24.214732139999999</v>
      </c>
      <c r="H210" s="164">
        <v>23.828091400000002</v>
      </c>
      <c r="I210" s="164">
        <v>23.731666669999999</v>
      </c>
      <c r="J210" s="164">
        <v>23.359408599999998</v>
      </c>
      <c r="K210" s="164">
        <v>23.200833329999998</v>
      </c>
      <c r="L210" s="164">
        <v>25.292876339999999</v>
      </c>
      <c r="M210" s="164">
        <v>27.280645159999999</v>
      </c>
      <c r="N210" s="164">
        <v>26.508055559999999</v>
      </c>
      <c r="O210" s="164">
        <v>26.090188170000001</v>
      </c>
      <c r="P210" s="164">
        <v>24.881111109999999</v>
      </c>
      <c r="Q210" s="164">
        <v>24.251747309999999</v>
      </c>
      <c r="R210" s="164">
        <v>24.765723645833333</v>
      </c>
      <c r="S210" s="159">
        <f>SUMIFS(Aux_Lista!AE:AE,Aux_Lista!AC:AC,Aux_TBS!B210,Aux_Lista!AD:AD,Aux_TBS!A210)</f>
        <v>8</v>
      </c>
      <c r="T210" s="159" t="s">
        <v>310</v>
      </c>
      <c r="U210" s="159">
        <v>40</v>
      </c>
    </row>
    <row r="211" spans="1:21" x14ac:dyDescent="0.25">
      <c r="A211" s="162" t="s">
        <v>3057</v>
      </c>
      <c r="B211" s="149" t="s">
        <v>340</v>
      </c>
      <c r="C211" s="159" t="str">
        <f t="shared" si="3"/>
        <v>Paranatinga, MT</v>
      </c>
      <c r="D211" s="163">
        <v>-14.43</v>
      </c>
      <c r="E211" s="149">
        <v>474</v>
      </c>
      <c r="F211" s="164">
        <v>24.140053760000001</v>
      </c>
      <c r="G211" s="164">
        <v>24.13735119</v>
      </c>
      <c r="H211" s="164">
        <v>24.241801079999998</v>
      </c>
      <c r="I211" s="164">
        <v>24.516388890000002</v>
      </c>
      <c r="J211" s="164">
        <v>23.07930108</v>
      </c>
      <c r="K211" s="164">
        <v>22.456805559999999</v>
      </c>
      <c r="L211" s="164">
        <v>22.514381719999999</v>
      </c>
      <c r="M211" s="164">
        <v>25.47298387</v>
      </c>
      <c r="N211" s="164">
        <v>26.78569444</v>
      </c>
      <c r="O211" s="164">
        <v>26.384139780000002</v>
      </c>
      <c r="P211" s="164">
        <v>25.11111111</v>
      </c>
      <c r="Q211" s="164">
        <v>24.621908600000001</v>
      </c>
      <c r="R211" s="164">
        <v>24.455160090000003</v>
      </c>
      <c r="S211" s="159">
        <f>SUMIFS(Aux_Lista!AE:AE,Aux_Lista!AC:AC,Aux_TBS!B211,Aux_Lista!AD:AD,Aux_TBS!A211)</f>
        <v>6</v>
      </c>
      <c r="T211" s="159" t="s">
        <v>310</v>
      </c>
      <c r="U211" s="159">
        <v>40</v>
      </c>
    </row>
    <row r="212" spans="1:21" x14ac:dyDescent="0.25">
      <c r="A212" s="162" t="s">
        <v>5537</v>
      </c>
      <c r="B212" s="149" t="s">
        <v>340</v>
      </c>
      <c r="C212" s="159" t="str">
        <f t="shared" si="3"/>
        <v>Pontes e Lacerda, MT</v>
      </c>
      <c r="D212" s="163">
        <v>-15.25</v>
      </c>
      <c r="E212" s="149">
        <v>256</v>
      </c>
      <c r="F212" s="164">
        <v>26.141666669999999</v>
      </c>
      <c r="G212" s="164">
        <v>25.491964289999999</v>
      </c>
      <c r="H212" s="164">
        <v>25.333198920000001</v>
      </c>
      <c r="I212" s="164">
        <v>25.561944440000001</v>
      </c>
      <c r="J212" s="164">
        <v>24.21075269</v>
      </c>
      <c r="K212" s="164">
        <v>22.374027779999999</v>
      </c>
      <c r="L212" s="164">
        <v>23.156854840000001</v>
      </c>
      <c r="M212" s="164">
        <v>24.956720430000001</v>
      </c>
      <c r="N212" s="164">
        <v>26.23263889</v>
      </c>
      <c r="O212" s="164">
        <v>27.673655910000001</v>
      </c>
      <c r="P212" s="164">
        <v>26.931666669999998</v>
      </c>
      <c r="Q212" s="164">
        <v>25.991263440000001</v>
      </c>
      <c r="R212" s="164">
        <v>25.338029580833336</v>
      </c>
      <c r="S212" s="159">
        <f>SUMIFS(Aux_Lista!AE:AE,Aux_Lista!AC:AC,Aux_TBS!B212,Aux_Lista!AD:AD,Aux_TBS!A212)</f>
        <v>5</v>
      </c>
      <c r="T212" s="159" t="s">
        <v>310</v>
      </c>
      <c r="U212" s="159">
        <v>40</v>
      </c>
    </row>
    <row r="213" spans="1:21" x14ac:dyDescent="0.25">
      <c r="A213" s="162" t="s">
        <v>5693</v>
      </c>
      <c r="B213" s="149" t="s">
        <v>340</v>
      </c>
      <c r="C213" s="159" t="str">
        <f t="shared" si="3"/>
        <v>Porto Estrela, MT</v>
      </c>
      <c r="D213" s="163">
        <v>-15.32</v>
      </c>
      <c r="E213" s="149">
        <v>145</v>
      </c>
      <c r="F213" s="164">
        <v>26.52701613</v>
      </c>
      <c r="G213" s="164">
        <v>26.104166670000001</v>
      </c>
      <c r="H213" s="164">
        <v>26.058198919999999</v>
      </c>
      <c r="I213" s="164">
        <v>24.942499999999999</v>
      </c>
      <c r="J213" s="164">
        <v>22.923790319999998</v>
      </c>
      <c r="K213" s="164">
        <v>21.715277780000001</v>
      </c>
      <c r="L213" s="164">
        <v>22.922849459999998</v>
      </c>
      <c r="M213" s="164">
        <v>25.61465054</v>
      </c>
      <c r="N213" s="164">
        <v>26.31180556</v>
      </c>
      <c r="O213" s="164">
        <v>27.491666670000001</v>
      </c>
      <c r="P213" s="164">
        <v>27.750555559999999</v>
      </c>
      <c r="Q213" s="164">
        <v>26.428494619999999</v>
      </c>
      <c r="R213" s="164">
        <v>25.399247685833334</v>
      </c>
      <c r="S213" s="159">
        <f>SUMIFS(Aux_Lista!AE:AE,Aux_Lista!AC:AC,Aux_TBS!B213,Aux_Lista!AD:AD,Aux_TBS!A213)</f>
        <v>8</v>
      </c>
      <c r="T213" s="159" t="s">
        <v>310</v>
      </c>
      <c r="U213" s="159">
        <v>40</v>
      </c>
    </row>
    <row r="214" spans="1:21" x14ac:dyDescent="0.25">
      <c r="A214" s="162" t="s">
        <v>4931</v>
      </c>
      <c r="B214" s="149" t="s">
        <v>340</v>
      </c>
      <c r="C214" s="159" t="str">
        <f t="shared" si="3"/>
        <v>Querência, MT</v>
      </c>
      <c r="D214" s="163">
        <v>-12.63</v>
      </c>
      <c r="E214" s="149">
        <v>382</v>
      </c>
      <c r="F214" s="164">
        <v>25.087096769999999</v>
      </c>
      <c r="G214" s="164">
        <v>24.587648810000001</v>
      </c>
      <c r="H214" s="164">
        <v>25.315591399999999</v>
      </c>
      <c r="I214" s="164">
        <v>24.706250000000001</v>
      </c>
      <c r="J214" s="164">
        <v>24.331854839999998</v>
      </c>
      <c r="K214" s="164">
        <v>23.797361110000001</v>
      </c>
      <c r="L214" s="164">
        <v>24.677956989999998</v>
      </c>
      <c r="M214" s="164">
        <v>25.5530914</v>
      </c>
      <c r="N214" s="164">
        <v>26.301111110000001</v>
      </c>
      <c r="O214" s="164">
        <v>25.46129032</v>
      </c>
      <c r="P214" s="164">
        <v>25.773472219999999</v>
      </c>
      <c r="Q214" s="164">
        <v>24.726344090000001</v>
      </c>
      <c r="R214" s="164">
        <v>25.026589088333328</v>
      </c>
      <c r="S214" s="159">
        <f>SUMIFS(Aux_Lista!AE:AE,Aux_Lista!AC:AC,Aux_TBS!B214,Aux_Lista!AD:AD,Aux_TBS!A214)</f>
        <v>7</v>
      </c>
      <c r="T214" s="159" t="s">
        <v>310</v>
      </c>
      <c r="U214" s="159">
        <v>40</v>
      </c>
    </row>
    <row r="215" spans="1:21" x14ac:dyDescent="0.25">
      <c r="A215" s="162" t="s">
        <v>5683</v>
      </c>
      <c r="B215" s="149" t="s">
        <v>340</v>
      </c>
      <c r="C215" s="159" t="str">
        <f t="shared" si="3"/>
        <v>Rondonópolis, MT</v>
      </c>
      <c r="D215" s="163">
        <v>-16.47</v>
      </c>
      <c r="E215" s="149">
        <v>284</v>
      </c>
      <c r="F215" s="164">
        <v>25.600403230000001</v>
      </c>
      <c r="G215" s="164">
        <v>25.44166667</v>
      </c>
      <c r="H215" s="164">
        <v>25.86612903</v>
      </c>
      <c r="I215" s="164">
        <v>25.639027779999999</v>
      </c>
      <c r="J215" s="164">
        <v>25.082392469999998</v>
      </c>
      <c r="K215" s="164">
        <v>24.16375</v>
      </c>
      <c r="L215" s="164">
        <v>22.987903230000001</v>
      </c>
      <c r="M215" s="164">
        <v>26.01397849</v>
      </c>
      <c r="N215" s="164">
        <v>25.42319444</v>
      </c>
      <c r="O215" s="164">
        <v>27.33064516</v>
      </c>
      <c r="P215" s="164">
        <v>26.727222220000002</v>
      </c>
      <c r="Q215" s="164">
        <v>25.62258065</v>
      </c>
      <c r="R215" s="164">
        <v>25.491574447499996</v>
      </c>
      <c r="S215" s="159">
        <f>SUMIFS(Aux_Lista!AE:AE,Aux_Lista!AC:AC,Aux_TBS!B215,Aux_Lista!AD:AD,Aux_TBS!A215)</f>
        <v>6</v>
      </c>
      <c r="T215" s="159" t="s">
        <v>310</v>
      </c>
      <c r="U215" s="159">
        <v>40</v>
      </c>
    </row>
    <row r="216" spans="1:21" x14ac:dyDescent="0.25">
      <c r="A216" s="162" t="s">
        <v>5625</v>
      </c>
      <c r="B216" s="149" t="s">
        <v>340</v>
      </c>
      <c r="C216" s="159" t="str">
        <f t="shared" si="3"/>
        <v>Salto do Céu, MT</v>
      </c>
      <c r="D216" s="163">
        <v>-15.12</v>
      </c>
      <c r="E216" s="149">
        <v>303</v>
      </c>
      <c r="F216" s="164">
        <v>25.26263441</v>
      </c>
      <c r="G216" s="164">
        <v>25.223958329999999</v>
      </c>
      <c r="H216" s="164">
        <v>25.161962370000001</v>
      </c>
      <c r="I216" s="164">
        <v>24.77680556</v>
      </c>
      <c r="J216" s="164">
        <v>23.705510749999998</v>
      </c>
      <c r="K216" s="164">
        <v>21.264722219999999</v>
      </c>
      <c r="L216" s="164">
        <v>22.087096769999999</v>
      </c>
      <c r="M216" s="164">
        <v>23.62782258</v>
      </c>
      <c r="N216" s="164">
        <v>25.052638890000001</v>
      </c>
      <c r="O216" s="164">
        <v>26.84556452</v>
      </c>
      <c r="P216" s="164">
        <v>26.261111110000002</v>
      </c>
      <c r="Q216" s="164">
        <v>25.528629030000001</v>
      </c>
      <c r="R216" s="164">
        <v>24.566538045000001</v>
      </c>
      <c r="S216" s="159">
        <f>SUMIFS(Aux_Lista!AE:AE,Aux_Lista!AC:AC,Aux_TBS!B216,Aux_Lista!AD:AD,Aux_TBS!A216)</f>
        <v>5</v>
      </c>
      <c r="T216" s="159" t="s">
        <v>310</v>
      </c>
      <c r="U216" s="159">
        <v>40</v>
      </c>
    </row>
    <row r="217" spans="1:21" x14ac:dyDescent="0.25">
      <c r="A217" s="162" t="s">
        <v>3040</v>
      </c>
      <c r="B217" s="149" t="s">
        <v>340</v>
      </c>
      <c r="C217" s="159" t="str">
        <f t="shared" si="3"/>
        <v>Santo Antônio do Leste, MT</v>
      </c>
      <c r="D217" s="163">
        <v>-14.93</v>
      </c>
      <c r="E217" s="149">
        <v>648</v>
      </c>
      <c r="F217" s="164">
        <v>24.350403230000001</v>
      </c>
      <c r="G217" s="164">
        <v>23.649553569999998</v>
      </c>
      <c r="H217" s="164">
        <v>24.0266129</v>
      </c>
      <c r="I217" s="164">
        <v>23.181249999999999</v>
      </c>
      <c r="J217" s="164">
        <v>22.752688169999999</v>
      </c>
      <c r="K217" s="164">
        <v>21.361666670000002</v>
      </c>
      <c r="L217" s="164">
        <v>23.076344089999999</v>
      </c>
      <c r="M217" s="164">
        <v>24.31209677</v>
      </c>
      <c r="N217" s="164">
        <v>25.05763889</v>
      </c>
      <c r="O217" s="164">
        <v>24.560349460000001</v>
      </c>
      <c r="P217" s="164">
        <v>24.404166669999999</v>
      </c>
      <c r="Q217" s="164">
        <v>23.43091398</v>
      </c>
      <c r="R217" s="164">
        <v>23.680307033333335</v>
      </c>
      <c r="S217" s="159">
        <f>SUMIFS(Aux_Lista!AE:AE,Aux_Lista!AC:AC,Aux_TBS!B217,Aux_Lista!AD:AD,Aux_TBS!A217)</f>
        <v>6</v>
      </c>
      <c r="T217" s="159" t="s">
        <v>310</v>
      </c>
      <c r="U217" s="159">
        <v>40</v>
      </c>
    </row>
    <row r="218" spans="1:21" x14ac:dyDescent="0.25">
      <c r="A218" s="162" t="s">
        <v>4797</v>
      </c>
      <c r="B218" s="149" t="s">
        <v>340</v>
      </c>
      <c r="C218" s="159" t="str">
        <f t="shared" si="3"/>
        <v>São Félix do Araguaia, MT</v>
      </c>
      <c r="D218" s="163">
        <v>-11.62</v>
      </c>
      <c r="E218" s="149">
        <v>218</v>
      </c>
      <c r="F218" s="164">
        <v>26.080913979999998</v>
      </c>
      <c r="G218" s="164">
        <v>26.34702381</v>
      </c>
      <c r="H218" s="164">
        <v>26.77419355</v>
      </c>
      <c r="I218" s="164">
        <v>25.569444440000002</v>
      </c>
      <c r="J218" s="164">
        <v>25.567338710000001</v>
      </c>
      <c r="K218" s="164">
        <v>25.274305559999998</v>
      </c>
      <c r="L218" s="164">
        <v>25.672715050000001</v>
      </c>
      <c r="M218" s="164">
        <v>26.794623659999999</v>
      </c>
      <c r="N218" s="164">
        <v>27.770555559999998</v>
      </c>
      <c r="O218" s="164">
        <v>26.365322580000001</v>
      </c>
      <c r="P218" s="164">
        <v>26.425277779999998</v>
      </c>
      <c r="Q218" s="164">
        <v>26.05362903</v>
      </c>
      <c r="R218" s="164">
        <v>26.22461197583333</v>
      </c>
      <c r="S218" s="159">
        <f>SUMIFS(Aux_Lista!AE:AE,Aux_Lista!AC:AC,Aux_TBS!B218,Aux_Lista!AD:AD,Aux_TBS!A218)</f>
        <v>7</v>
      </c>
      <c r="T218" s="159" t="s">
        <v>310</v>
      </c>
      <c r="U218" s="159">
        <v>40</v>
      </c>
    </row>
    <row r="219" spans="1:21" x14ac:dyDescent="0.25">
      <c r="A219" s="162" t="s">
        <v>5691</v>
      </c>
      <c r="B219" s="149" t="s">
        <v>340</v>
      </c>
      <c r="C219" s="159" t="str">
        <f t="shared" si="3"/>
        <v>São José do Rio Claro, MT</v>
      </c>
      <c r="D219" s="163">
        <v>-13.45</v>
      </c>
      <c r="E219" s="149">
        <v>350</v>
      </c>
      <c r="F219" s="164">
        <v>24.859677420000001</v>
      </c>
      <c r="G219" s="164">
        <v>25.209970240000001</v>
      </c>
      <c r="H219" s="164">
        <v>25.150940859999999</v>
      </c>
      <c r="I219" s="164">
        <v>25.061111109999999</v>
      </c>
      <c r="J219" s="164">
        <v>24.67715054</v>
      </c>
      <c r="K219" s="164">
        <v>23.730555559999999</v>
      </c>
      <c r="L219" s="164">
        <v>22.526209680000001</v>
      </c>
      <c r="M219" s="164">
        <v>24.330107529999999</v>
      </c>
      <c r="N219" s="164">
        <v>24.594722220000001</v>
      </c>
      <c r="O219" s="164">
        <v>26.662096770000002</v>
      </c>
      <c r="P219" s="164">
        <v>25.839166670000001</v>
      </c>
      <c r="Q219" s="164">
        <v>24.744758059999999</v>
      </c>
      <c r="R219" s="164">
        <v>24.782205555000001</v>
      </c>
      <c r="S219" s="159">
        <f>SUMIFS(Aux_Lista!AE:AE,Aux_Lista!AC:AC,Aux_TBS!B219,Aux_Lista!AD:AD,Aux_TBS!A219)</f>
        <v>5</v>
      </c>
      <c r="T219" s="159" t="s">
        <v>310</v>
      </c>
      <c r="U219" s="159">
        <v>40</v>
      </c>
    </row>
    <row r="220" spans="1:21" x14ac:dyDescent="0.25">
      <c r="A220" s="162" t="s">
        <v>4995</v>
      </c>
      <c r="B220" s="149" t="s">
        <v>340</v>
      </c>
      <c r="C220" s="159" t="str">
        <f t="shared" si="3"/>
        <v>Sinop, MT</v>
      </c>
      <c r="D220" s="163">
        <v>-11.86</v>
      </c>
      <c r="E220" s="149">
        <v>371</v>
      </c>
      <c r="F220" s="164">
        <v>23.996505379999999</v>
      </c>
      <c r="G220" s="164">
        <v>24.00818452</v>
      </c>
      <c r="H220" s="164">
        <v>24.355376339999999</v>
      </c>
      <c r="I220" s="164">
        <v>24.721111109999999</v>
      </c>
      <c r="J220" s="164">
        <v>24.058467740000001</v>
      </c>
      <c r="K220" s="164">
        <v>24.074444440000001</v>
      </c>
      <c r="L220" s="164">
        <v>25.211155909999999</v>
      </c>
      <c r="M220" s="164">
        <v>27.524059139999999</v>
      </c>
      <c r="N220" s="164">
        <v>26.913194440000002</v>
      </c>
      <c r="O220" s="164">
        <v>26.232392470000001</v>
      </c>
      <c r="P220" s="164">
        <v>25.169861109999999</v>
      </c>
      <c r="Q220" s="164">
        <v>24.58763441</v>
      </c>
      <c r="R220" s="164">
        <v>25.071032250833337</v>
      </c>
      <c r="S220" s="159">
        <f>SUMIFS(Aux_Lista!AE:AE,Aux_Lista!AC:AC,Aux_TBS!B220,Aux_Lista!AD:AD,Aux_TBS!A220)</f>
        <v>8</v>
      </c>
      <c r="T220" s="159" t="s">
        <v>310</v>
      </c>
      <c r="U220" s="159">
        <v>40</v>
      </c>
    </row>
    <row r="221" spans="1:21" x14ac:dyDescent="0.25">
      <c r="A221" s="162" t="s">
        <v>4973</v>
      </c>
      <c r="B221" s="149" t="s">
        <v>340</v>
      </c>
      <c r="C221" s="159" t="str">
        <f t="shared" si="3"/>
        <v>Sorriso, MT</v>
      </c>
      <c r="D221" s="163">
        <v>-12.55</v>
      </c>
      <c r="E221" s="149">
        <v>380</v>
      </c>
      <c r="F221" s="164">
        <v>24.794892470000001</v>
      </c>
      <c r="G221" s="164">
        <v>24.987500000000001</v>
      </c>
      <c r="H221" s="164">
        <v>24.954569889999998</v>
      </c>
      <c r="I221" s="164">
        <v>25.50902778</v>
      </c>
      <c r="J221" s="164">
        <v>25.06626344</v>
      </c>
      <c r="K221" s="164">
        <v>25.06888889</v>
      </c>
      <c r="L221" s="164">
        <v>24.55645161</v>
      </c>
      <c r="M221" s="164">
        <v>26.048655910000001</v>
      </c>
      <c r="N221" s="164">
        <v>26.43486111</v>
      </c>
      <c r="O221" s="164">
        <v>25.875672040000001</v>
      </c>
      <c r="P221" s="164">
        <v>25.435416669999999</v>
      </c>
      <c r="Q221" s="164">
        <v>25.60685484</v>
      </c>
      <c r="R221" s="164">
        <v>25.361587887500004</v>
      </c>
      <c r="S221" s="159">
        <f>SUMIFS(Aux_Lista!AE:AE,Aux_Lista!AC:AC,Aux_TBS!B221,Aux_Lista!AD:AD,Aux_TBS!A221)</f>
        <v>5</v>
      </c>
      <c r="T221" s="159" t="s">
        <v>310</v>
      </c>
      <c r="U221" s="159">
        <v>40</v>
      </c>
    </row>
    <row r="222" spans="1:21" x14ac:dyDescent="0.25">
      <c r="A222" s="162" t="s">
        <v>5284</v>
      </c>
      <c r="B222" s="149" t="s">
        <v>340</v>
      </c>
      <c r="C222" s="159" t="str">
        <f t="shared" si="3"/>
        <v>Tangará da Serra, MT</v>
      </c>
      <c r="D222" s="163">
        <v>-14.62</v>
      </c>
      <c r="E222" s="149">
        <v>322</v>
      </c>
      <c r="F222" s="164">
        <v>25.245161289999999</v>
      </c>
      <c r="G222" s="164">
        <v>24.628422619999998</v>
      </c>
      <c r="H222" s="164">
        <v>24.481586020000002</v>
      </c>
      <c r="I222" s="164">
        <v>23.437222219999999</v>
      </c>
      <c r="J222" s="164">
        <v>24.97056452</v>
      </c>
      <c r="K222" s="164">
        <v>24.681666669999998</v>
      </c>
      <c r="L222" s="164">
        <v>22.644623660000001</v>
      </c>
      <c r="M222" s="164">
        <v>25.775268820000001</v>
      </c>
      <c r="N222" s="164">
        <v>23.564861109999999</v>
      </c>
      <c r="O222" s="164">
        <v>25.999731180000001</v>
      </c>
      <c r="P222" s="164">
        <v>25.510416670000001</v>
      </c>
      <c r="Q222" s="164">
        <v>24.571505380000001</v>
      </c>
      <c r="R222" s="164">
        <v>24.62591918</v>
      </c>
      <c r="S222" s="159">
        <f>SUMIFS(Aux_Lista!AE:AE,Aux_Lista!AC:AC,Aux_TBS!B222,Aux_Lista!AD:AD,Aux_TBS!A222)</f>
        <v>7</v>
      </c>
      <c r="T222" s="159" t="s">
        <v>310</v>
      </c>
      <c r="U222" s="159">
        <v>40</v>
      </c>
    </row>
    <row r="223" spans="1:21" x14ac:dyDescent="0.25">
      <c r="A223" s="162" t="s">
        <v>5677</v>
      </c>
      <c r="B223" s="149" t="s">
        <v>340</v>
      </c>
      <c r="C223" s="159" t="str">
        <f t="shared" si="3"/>
        <v>Vila Bela da Santíssima Trindade, MT</v>
      </c>
      <c r="D223" s="163">
        <v>-15.01</v>
      </c>
      <c r="E223" s="149">
        <v>222</v>
      </c>
      <c r="F223" s="164">
        <v>26.114919350000001</v>
      </c>
      <c r="G223" s="164">
        <v>25.442708329999999</v>
      </c>
      <c r="H223" s="164">
        <v>25.646774189999999</v>
      </c>
      <c r="I223" s="164">
        <v>25.741111109999999</v>
      </c>
      <c r="J223" s="164">
        <v>22.127956990000001</v>
      </c>
      <c r="K223" s="164">
        <v>22.748750000000001</v>
      </c>
      <c r="L223" s="164">
        <v>22.207392469999998</v>
      </c>
      <c r="M223" s="164">
        <v>22.8</v>
      </c>
      <c r="N223" s="164">
        <v>26.506111109999999</v>
      </c>
      <c r="O223" s="164">
        <v>26.6030914</v>
      </c>
      <c r="P223" s="164">
        <v>25.581944440000001</v>
      </c>
      <c r="Q223" s="164">
        <v>26.233467739999998</v>
      </c>
      <c r="R223" s="164">
        <v>24.812852260833335</v>
      </c>
      <c r="S223" s="159">
        <f>SUMIFS(Aux_Lista!AE:AE,Aux_Lista!AC:AC,Aux_TBS!B223,Aux_Lista!AD:AD,Aux_TBS!A223)</f>
        <v>5</v>
      </c>
      <c r="T223" s="159" t="s">
        <v>310</v>
      </c>
      <c r="U223" s="159">
        <v>40</v>
      </c>
    </row>
    <row r="224" spans="1:21" x14ac:dyDescent="0.25">
      <c r="A224" s="162" t="s">
        <v>2167</v>
      </c>
      <c r="B224" s="149" t="s">
        <v>344</v>
      </c>
      <c r="C224" s="159" t="str">
        <f t="shared" si="3"/>
        <v>Belém, PA</v>
      </c>
      <c r="D224" s="163">
        <v>-1.46</v>
      </c>
      <c r="E224" s="149">
        <v>24</v>
      </c>
      <c r="F224" s="164">
        <v>26.511827960000002</v>
      </c>
      <c r="G224" s="164">
        <v>26.984523809999999</v>
      </c>
      <c r="H224" s="164">
        <v>27.36142473</v>
      </c>
      <c r="I224" s="164">
        <v>26.624444440000001</v>
      </c>
      <c r="J224" s="164">
        <v>27.193817200000002</v>
      </c>
      <c r="K224" s="164">
        <v>27.086388889999998</v>
      </c>
      <c r="L224" s="164">
        <v>27.18185484</v>
      </c>
      <c r="M224" s="164">
        <v>27.390994620000001</v>
      </c>
      <c r="N224" s="164">
        <v>27.74027778</v>
      </c>
      <c r="O224" s="164">
        <v>27.512499999999999</v>
      </c>
      <c r="P224" s="164">
        <v>27.481805560000002</v>
      </c>
      <c r="Q224" s="164">
        <v>26.838037629999999</v>
      </c>
      <c r="R224" s="164">
        <v>27.158991454999995</v>
      </c>
      <c r="S224" s="159">
        <f>SUMIFS(Aux_Lista!AE:AE,Aux_Lista!AC:AC,Aux_TBS!B224,Aux_Lista!AD:AD,Aux_TBS!A224)</f>
        <v>8</v>
      </c>
      <c r="T224" s="159" t="s">
        <v>235</v>
      </c>
      <c r="U224" s="159">
        <v>38</v>
      </c>
    </row>
    <row r="225" spans="1:21" x14ac:dyDescent="0.25">
      <c r="A225" s="162" t="s">
        <v>4204</v>
      </c>
      <c r="B225" s="149" t="s">
        <v>344</v>
      </c>
      <c r="C225" s="159" t="str">
        <f t="shared" si="3"/>
        <v>Bragança, PA</v>
      </c>
      <c r="D225" s="163">
        <v>-1.05</v>
      </c>
      <c r="E225" s="149">
        <v>33</v>
      </c>
      <c r="F225" s="164">
        <v>26.84475806</v>
      </c>
      <c r="G225" s="164">
        <v>25.47142857</v>
      </c>
      <c r="H225" s="164">
        <v>25.548118280000001</v>
      </c>
      <c r="I225" s="164">
        <v>25.227222220000002</v>
      </c>
      <c r="J225" s="164">
        <v>25.600672039999999</v>
      </c>
      <c r="K225" s="164">
        <v>25.523472219999999</v>
      </c>
      <c r="L225" s="164">
        <v>25.8125</v>
      </c>
      <c r="M225" s="164">
        <v>26.778091400000001</v>
      </c>
      <c r="N225" s="164">
        <v>27.36375</v>
      </c>
      <c r="O225" s="164">
        <v>27.674462370000001</v>
      </c>
      <c r="P225" s="164">
        <v>27.939305560000001</v>
      </c>
      <c r="Q225" s="164">
        <v>27.811290320000001</v>
      </c>
      <c r="R225" s="164">
        <v>26.466255919999998</v>
      </c>
      <c r="S225" s="159">
        <f>SUMIFS(Aux_Lista!AE:AE,Aux_Lista!AC:AC,Aux_TBS!B225,Aux_Lista!AD:AD,Aux_TBS!A225)</f>
        <v>8</v>
      </c>
      <c r="T225" s="159" t="s">
        <v>235</v>
      </c>
      <c r="U225" s="159">
        <v>38</v>
      </c>
    </row>
    <row r="226" spans="1:21" x14ac:dyDescent="0.25">
      <c r="A226" s="162" t="s">
        <v>4194</v>
      </c>
      <c r="B226" s="149" t="s">
        <v>344</v>
      </c>
      <c r="C226" s="159" t="str">
        <f t="shared" si="3"/>
        <v>Cametá, PA</v>
      </c>
      <c r="D226" s="163">
        <v>-2.25</v>
      </c>
      <c r="E226" s="149">
        <v>22</v>
      </c>
      <c r="F226" s="164">
        <v>26.77607527</v>
      </c>
      <c r="G226" s="164">
        <v>26.307738100000002</v>
      </c>
      <c r="H226" s="164">
        <v>26.23736559</v>
      </c>
      <c r="I226" s="164">
        <v>26.331250000000001</v>
      </c>
      <c r="J226" s="164">
        <v>26.256317200000002</v>
      </c>
      <c r="K226" s="164">
        <v>26.86902778</v>
      </c>
      <c r="L226" s="164">
        <v>27.652419349999999</v>
      </c>
      <c r="M226" s="164">
        <v>28.017607529999999</v>
      </c>
      <c r="N226" s="164">
        <v>27.88180556</v>
      </c>
      <c r="O226" s="164">
        <v>28.369086020000001</v>
      </c>
      <c r="P226" s="164">
        <v>28.288611110000002</v>
      </c>
      <c r="Q226" s="164">
        <v>27.53736559</v>
      </c>
      <c r="R226" s="164">
        <v>27.210389091666666</v>
      </c>
      <c r="S226" s="159">
        <f>SUMIFS(Aux_Lista!AE:AE,Aux_Lista!AC:AC,Aux_TBS!B226,Aux_Lista!AD:AD,Aux_TBS!A226)</f>
        <v>8</v>
      </c>
      <c r="T226" s="159" t="s">
        <v>235</v>
      </c>
      <c r="U226" s="159">
        <v>38</v>
      </c>
    </row>
    <row r="227" spans="1:21" x14ac:dyDescent="0.25">
      <c r="A227" s="162" t="s">
        <v>4336</v>
      </c>
      <c r="B227" s="149" t="s">
        <v>344</v>
      </c>
      <c r="C227" s="159" t="str">
        <f t="shared" si="3"/>
        <v>Castanhal, PA</v>
      </c>
      <c r="D227" s="163">
        <v>-1.3</v>
      </c>
      <c r="E227" s="149">
        <v>65</v>
      </c>
      <c r="F227" s="164">
        <v>26.624865589999999</v>
      </c>
      <c r="G227" s="164">
        <v>25.702083330000001</v>
      </c>
      <c r="H227" s="164">
        <v>25.16518817</v>
      </c>
      <c r="I227" s="164">
        <v>25.522916670000001</v>
      </c>
      <c r="J227" s="164">
        <v>25.799596770000001</v>
      </c>
      <c r="K227" s="164">
        <v>26.17055556</v>
      </c>
      <c r="L227" s="164">
        <v>26.094489249999999</v>
      </c>
      <c r="M227" s="164">
        <v>26.280107529999999</v>
      </c>
      <c r="N227" s="164">
        <v>26.480694440000001</v>
      </c>
      <c r="O227" s="164">
        <v>26.81572581</v>
      </c>
      <c r="P227" s="164">
        <v>27.123611109999999</v>
      </c>
      <c r="Q227" s="164">
        <v>26.632661290000001</v>
      </c>
      <c r="R227" s="164">
        <v>26.201041293333333</v>
      </c>
      <c r="S227" s="159">
        <f>SUMIFS(Aux_Lista!AE:AE,Aux_Lista!AC:AC,Aux_TBS!B227,Aux_Lista!AD:AD,Aux_TBS!A227)</f>
        <v>8</v>
      </c>
      <c r="T227" s="159" t="s">
        <v>235</v>
      </c>
      <c r="U227" s="159">
        <v>38</v>
      </c>
    </row>
    <row r="228" spans="1:21" x14ac:dyDescent="0.25">
      <c r="A228" s="162" t="s">
        <v>5260</v>
      </c>
      <c r="B228" s="149" t="s">
        <v>344</v>
      </c>
      <c r="C228" s="159" t="str">
        <f t="shared" si="3"/>
        <v>Conceição do Araguaia, PA</v>
      </c>
      <c r="D228" s="163">
        <v>-6.28</v>
      </c>
      <c r="E228" s="149">
        <v>180</v>
      </c>
      <c r="F228" s="164">
        <v>26.573118279999999</v>
      </c>
      <c r="G228" s="164">
        <v>25.858630949999998</v>
      </c>
      <c r="H228" s="164">
        <v>26.104838709999999</v>
      </c>
      <c r="I228" s="164">
        <v>25.500277780000001</v>
      </c>
      <c r="J228" s="164">
        <v>25.768817200000001</v>
      </c>
      <c r="K228" s="164">
        <v>26.730555559999999</v>
      </c>
      <c r="L228" s="164">
        <v>27.22069892</v>
      </c>
      <c r="M228" s="164">
        <v>27.99852151</v>
      </c>
      <c r="N228" s="164">
        <v>28.993055559999998</v>
      </c>
      <c r="O228" s="164">
        <v>27.892338710000001</v>
      </c>
      <c r="P228" s="164">
        <v>26.684305559999999</v>
      </c>
      <c r="Q228" s="164">
        <v>25.816935480000001</v>
      </c>
      <c r="R228" s="164">
        <v>26.761841184999994</v>
      </c>
      <c r="S228" s="159">
        <f>SUMIFS(Aux_Lista!AE:AE,Aux_Lista!AC:AC,Aux_TBS!B228,Aux_Lista!AD:AD,Aux_TBS!A228)</f>
        <v>8</v>
      </c>
      <c r="T228" s="159" t="s">
        <v>235</v>
      </c>
      <c r="U228" s="159">
        <v>38</v>
      </c>
    </row>
    <row r="229" spans="1:21" x14ac:dyDescent="0.25">
      <c r="A229" s="162" t="s">
        <v>4398</v>
      </c>
      <c r="B229" s="149" t="s">
        <v>344</v>
      </c>
      <c r="C229" s="159" t="str">
        <f t="shared" si="3"/>
        <v>Itaituba, PA</v>
      </c>
      <c r="D229" s="163">
        <v>-4.28</v>
      </c>
      <c r="E229" s="149">
        <v>13</v>
      </c>
      <c r="F229" s="164">
        <v>26.440456990000001</v>
      </c>
      <c r="G229" s="164">
        <v>26.097321430000001</v>
      </c>
      <c r="H229" s="164">
        <v>26.170833330000001</v>
      </c>
      <c r="I229" s="164">
        <v>26.32069444</v>
      </c>
      <c r="J229" s="164">
        <v>26.192473119999999</v>
      </c>
      <c r="K229" s="164">
        <v>26.44277778</v>
      </c>
      <c r="L229" s="164">
        <v>27.146236559999998</v>
      </c>
      <c r="M229" s="164">
        <v>27.816397850000001</v>
      </c>
      <c r="N229" s="164">
        <v>27.876249999999999</v>
      </c>
      <c r="O229" s="164">
        <v>28.004973119999999</v>
      </c>
      <c r="P229" s="164">
        <v>27.37833333</v>
      </c>
      <c r="Q229" s="164">
        <v>26.404166669999999</v>
      </c>
      <c r="R229" s="164">
        <v>26.857576218333332</v>
      </c>
      <c r="S229" s="159">
        <f>SUMIFS(Aux_Lista!AE:AE,Aux_Lista!AC:AC,Aux_TBS!B229,Aux_Lista!AD:AD,Aux_TBS!A229)</f>
        <v>8</v>
      </c>
      <c r="T229" s="159" t="s">
        <v>235</v>
      </c>
      <c r="U229" s="159">
        <v>38</v>
      </c>
    </row>
    <row r="230" spans="1:21" x14ac:dyDescent="0.25">
      <c r="A230" s="162" t="s">
        <v>4420</v>
      </c>
      <c r="B230" s="149" t="s">
        <v>344</v>
      </c>
      <c r="C230" s="159" t="str">
        <f t="shared" si="3"/>
        <v>Marabá, PA</v>
      </c>
      <c r="D230" s="163">
        <v>-5.37</v>
      </c>
      <c r="E230" s="149">
        <v>84</v>
      </c>
      <c r="F230" s="164">
        <v>25.852553759999999</v>
      </c>
      <c r="G230" s="164">
        <v>26.103571429999999</v>
      </c>
      <c r="H230" s="164">
        <v>26.518817200000001</v>
      </c>
      <c r="I230" s="164">
        <v>26.585277779999998</v>
      </c>
      <c r="J230" s="164">
        <v>26.894220430000001</v>
      </c>
      <c r="K230" s="164">
        <v>26.447916670000001</v>
      </c>
      <c r="L230" s="164">
        <v>25.914919350000002</v>
      </c>
      <c r="M230" s="164">
        <v>26.427822580000001</v>
      </c>
      <c r="N230" s="164">
        <v>27.291944440000002</v>
      </c>
      <c r="O230" s="164">
        <v>26.980107530000002</v>
      </c>
      <c r="P230" s="164">
        <v>26.94541667</v>
      </c>
      <c r="Q230" s="164">
        <v>25.96962366</v>
      </c>
      <c r="R230" s="164">
        <v>26.494349291666669</v>
      </c>
      <c r="S230" s="159">
        <f>SUMIFS(Aux_Lista!AE:AE,Aux_Lista!AC:AC,Aux_TBS!B230,Aux_Lista!AD:AD,Aux_TBS!A230)</f>
        <v>8</v>
      </c>
      <c r="T230" s="159" t="s">
        <v>235</v>
      </c>
      <c r="U230" s="159">
        <v>38</v>
      </c>
    </row>
    <row r="231" spans="1:21" x14ac:dyDescent="0.25">
      <c r="A231" s="162" t="s">
        <v>4357</v>
      </c>
      <c r="B231" s="149" t="s">
        <v>344</v>
      </c>
      <c r="C231" s="159" t="str">
        <f t="shared" si="3"/>
        <v>Novo Repartimento, PA</v>
      </c>
      <c r="D231" s="163">
        <v>-4.26</v>
      </c>
      <c r="E231" s="149">
        <v>113</v>
      </c>
      <c r="F231" s="164">
        <v>25.731720429999999</v>
      </c>
      <c r="G231" s="164">
        <v>25.607440480000001</v>
      </c>
      <c r="H231" s="164">
        <v>25.898655909999999</v>
      </c>
      <c r="I231" s="164">
        <v>25.39458333</v>
      </c>
      <c r="J231" s="164">
        <v>25.370430110000001</v>
      </c>
      <c r="K231" s="164">
        <v>26.263750000000002</v>
      </c>
      <c r="L231" s="164">
        <v>26.867741939999998</v>
      </c>
      <c r="M231" s="164">
        <v>27.3344086</v>
      </c>
      <c r="N231" s="164">
        <v>27.314444439999999</v>
      </c>
      <c r="O231" s="164">
        <v>27.33534946</v>
      </c>
      <c r="P231" s="164">
        <v>26.775138890000001</v>
      </c>
      <c r="Q231" s="164">
        <v>25.881451609999999</v>
      </c>
      <c r="R231" s="164">
        <v>26.31459293333333</v>
      </c>
      <c r="S231" s="159">
        <f>SUMIFS(Aux_Lista!AE:AE,Aux_Lista!AC:AC,Aux_TBS!B231,Aux_Lista!AD:AD,Aux_TBS!A231)</f>
        <v>8</v>
      </c>
      <c r="T231" s="159" t="s">
        <v>235</v>
      </c>
      <c r="U231" s="159">
        <v>38</v>
      </c>
    </row>
    <row r="232" spans="1:21" x14ac:dyDescent="0.25">
      <c r="A232" s="162" t="s">
        <v>4423</v>
      </c>
      <c r="B232" s="149" t="s">
        <v>344</v>
      </c>
      <c r="C232" s="159" t="str">
        <f t="shared" si="3"/>
        <v>Pacajá, PA</v>
      </c>
      <c r="D232" s="163">
        <v>-3.84</v>
      </c>
      <c r="E232" s="149">
        <v>108</v>
      </c>
      <c r="F232" s="164">
        <v>25.565994620000001</v>
      </c>
      <c r="G232" s="164">
        <v>25.434523810000002</v>
      </c>
      <c r="H232" s="164">
        <v>25.634274189999999</v>
      </c>
      <c r="I232" s="164">
        <v>25.742638889999998</v>
      </c>
      <c r="J232" s="164">
        <v>25.662500000000001</v>
      </c>
      <c r="K232" s="164">
        <v>25.620694440000001</v>
      </c>
      <c r="L232" s="164">
        <v>25.904569890000001</v>
      </c>
      <c r="M232" s="164">
        <v>26.479838709999999</v>
      </c>
      <c r="N232" s="164">
        <v>27.085277779999998</v>
      </c>
      <c r="O232" s="164">
        <v>27.041397849999999</v>
      </c>
      <c r="P232" s="164">
        <v>26.987777779999998</v>
      </c>
      <c r="Q232" s="164">
        <v>25.983870970000002</v>
      </c>
      <c r="R232" s="164">
        <v>26.09527991083333</v>
      </c>
      <c r="S232" s="159">
        <f>SUMIFS(Aux_Lista!AE:AE,Aux_Lista!AC:AC,Aux_TBS!B232,Aux_Lista!AD:AD,Aux_TBS!A232)</f>
        <v>8</v>
      </c>
      <c r="T232" s="159" t="s">
        <v>235</v>
      </c>
      <c r="U232" s="159">
        <v>38</v>
      </c>
    </row>
    <row r="233" spans="1:21" x14ac:dyDescent="0.25">
      <c r="A233" s="162" t="s">
        <v>4752</v>
      </c>
      <c r="B233" s="149" t="s">
        <v>344</v>
      </c>
      <c r="C233" s="159" t="str">
        <f t="shared" si="3"/>
        <v>Paragominas, PA</v>
      </c>
      <c r="D233" s="163">
        <v>-3.01</v>
      </c>
      <c r="E233" s="149">
        <v>101</v>
      </c>
      <c r="F233" s="164">
        <v>25.606720429999999</v>
      </c>
      <c r="G233" s="164">
        <v>25.5766369</v>
      </c>
      <c r="H233" s="164">
        <v>25.262903229999999</v>
      </c>
      <c r="I233" s="164">
        <v>25.436527779999999</v>
      </c>
      <c r="J233" s="164">
        <v>25.77755376</v>
      </c>
      <c r="K233" s="164">
        <v>25.71458333</v>
      </c>
      <c r="L233" s="164">
        <v>25.793010750000001</v>
      </c>
      <c r="M233" s="164">
        <v>26.714247310000001</v>
      </c>
      <c r="N233" s="164">
        <v>27.41041667</v>
      </c>
      <c r="O233" s="164">
        <v>27.9780914</v>
      </c>
      <c r="P233" s="164">
        <v>27.879583329999999</v>
      </c>
      <c r="Q233" s="164">
        <v>27.243279569999999</v>
      </c>
      <c r="R233" s="164">
        <v>26.366129538333336</v>
      </c>
      <c r="S233" s="159">
        <f>SUMIFS(Aux_Lista!AE:AE,Aux_Lista!AC:AC,Aux_TBS!B233,Aux_Lista!AD:AD,Aux_TBS!A233)</f>
        <v>8</v>
      </c>
      <c r="T233" s="159" t="s">
        <v>235</v>
      </c>
      <c r="U233" s="159">
        <v>38</v>
      </c>
    </row>
    <row r="234" spans="1:21" x14ac:dyDescent="0.25">
      <c r="A234" s="162" t="s">
        <v>4456</v>
      </c>
      <c r="B234" s="149" t="s">
        <v>344</v>
      </c>
      <c r="C234" s="159" t="str">
        <f t="shared" si="3"/>
        <v>Placas, PA</v>
      </c>
      <c r="D234" s="163">
        <v>-3.86</v>
      </c>
      <c r="E234" s="149">
        <v>96</v>
      </c>
      <c r="F234" s="164">
        <v>25.692876340000002</v>
      </c>
      <c r="G234" s="164">
        <v>25.50639881</v>
      </c>
      <c r="H234" s="164">
        <v>25.463844089999998</v>
      </c>
      <c r="I234" s="164">
        <v>25.500277780000001</v>
      </c>
      <c r="J234" s="164">
        <v>25.47016129</v>
      </c>
      <c r="K234" s="164">
        <v>25.831527779999998</v>
      </c>
      <c r="L234" s="164">
        <v>26.208064520000001</v>
      </c>
      <c r="M234" s="164">
        <v>26.886021509999999</v>
      </c>
      <c r="N234" s="164">
        <v>27.461805559999998</v>
      </c>
      <c r="O234" s="164">
        <v>27.564516130000001</v>
      </c>
      <c r="P234" s="164">
        <v>27.094722220000001</v>
      </c>
      <c r="Q234" s="164">
        <v>26.472715050000001</v>
      </c>
      <c r="R234" s="164">
        <v>26.262744256666664</v>
      </c>
      <c r="S234" s="159">
        <f>SUMIFS(Aux_Lista!AE:AE,Aux_Lista!AC:AC,Aux_TBS!B234,Aux_Lista!AD:AD,Aux_TBS!A234)</f>
        <v>8</v>
      </c>
      <c r="T234" s="159" t="s">
        <v>235</v>
      </c>
      <c r="U234" s="159">
        <v>38</v>
      </c>
    </row>
    <row r="235" spans="1:21" x14ac:dyDescent="0.25">
      <c r="A235" s="162" t="s">
        <v>4754</v>
      </c>
      <c r="B235" s="149" t="s">
        <v>344</v>
      </c>
      <c r="C235" s="159" t="str">
        <f t="shared" si="3"/>
        <v>Rondon do Pará, PA</v>
      </c>
      <c r="D235" s="163">
        <v>-4.78</v>
      </c>
      <c r="E235" s="149">
        <v>221</v>
      </c>
      <c r="F235" s="164">
        <v>25.82513441</v>
      </c>
      <c r="G235" s="164">
        <v>25.376190480000002</v>
      </c>
      <c r="H235" s="164">
        <v>25.50147849</v>
      </c>
      <c r="I235" s="164">
        <v>25.232222220000001</v>
      </c>
      <c r="J235" s="164">
        <v>25.241397849999998</v>
      </c>
      <c r="K235" s="164">
        <v>25.739166669999999</v>
      </c>
      <c r="L235" s="164">
        <v>26.360618280000001</v>
      </c>
      <c r="M235" s="164">
        <v>26.981720429999999</v>
      </c>
      <c r="N235" s="164">
        <v>27.28166667</v>
      </c>
      <c r="O235" s="164">
        <v>27.734543009999999</v>
      </c>
      <c r="P235" s="164">
        <v>28.024999999999999</v>
      </c>
      <c r="Q235" s="164">
        <v>26.6969086</v>
      </c>
      <c r="R235" s="164">
        <v>26.333003925833328</v>
      </c>
      <c r="S235" s="159">
        <f>SUMIFS(Aux_Lista!AE:AE,Aux_Lista!AC:AC,Aux_TBS!B235,Aux_Lista!AD:AD,Aux_TBS!A235)</f>
        <v>8</v>
      </c>
      <c r="T235" s="159" t="s">
        <v>235</v>
      </c>
      <c r="U235" s="159">
        <v>38</v>
      </c>
    </row>
    <row r="236" spans="1:21" x14ac:dyDescent="0.25">
      <c r="A236" s="162" t="s">
        <v>4101</v>
      </c>
      <c r="B236" s="149" t="s">
        <v>344</v>
      </c>
      <c r="C236" s="159" t="str">
        <f t="shared" si="3"/>
        <v>Salinópolis, PA</v>
      </c>
      <c r="D236" s="163">
        <v>-0.62</v>
      </c>
      <c r="E236" s="149">
        <v>20</v>
      </c>
      <c r="F236" s="164">
        <v>27.41465054</v>
      </c>
      <c r="G236" s="164">
        <v>25.94122024</v>
      </c>
      <c r="H236" s="164">
        <v>26.3702957</v>
      </c>
      <c r="I236" s="164">
        <v>26.28875</v>
      </c>
      <c r="J236" s="164">
        <v>25.934139779999999</v>
      </c>
      <c r="K236" s="164">
        <v>26.209583330000001</v>
      </c>
      <c r="L236" s="164">
        <v>27.341666669999999</v>
      </c>
      <c r="M236" s="164">
        <v>27.8</v>
      </c>
      <c r="N236" s="164">
        <v>27.93819444</v>
      </c>
      <c r="O236" s="164">
        <v>28.079838710000001</v>
      </c>
      <c r="P236" s="164">
        <v>28.214166670000001</v>
      </c>
      <c r="Q236" s="164">
        <v>28.293145160000002</v>
      </c>
      <c r="R236" s="164">
        <v>27.152137603333333</v>
      </c>
      <c r="S236" s="159">
        <f>SUMIFS(Aux_Lista!AE:AE,Aux_Lista!AC:AC,Aux_TBS!B236,Aux_Lista!AD:AD,Aux_TBS!A236)</f>
        <v>8</v>
      </c>
      <c r="T236" s="159" t="s">
        <v>235</v>
      </c>
      <c r="U236" s="159">
        <v>38</v>
      </c>
    </row>
    <row r="237" spans="1:21" x14ac:dyDescent="0.25">
      <c r="A237" s="162" t="s">
        <v>4805</v>
      </c>
      <c r="B237" s="149" t="s">
        <v>344</v>
      </c>
      <c r="C237" s="159" t="str">
        <f t="shared" si="3"/>
        <v>Santana do Araguaia, PA</v>
      </c>
      <c r="D237" s="163">
        <v>-9.34</v>
      </c>
      <c r="E237" s="149">
        <v>168</v>
      </c>
      <c r="F237" s="164">
        <v>26.20564516</v>
      </c>
      <c r="G237" s="164">
        <v>25.504910710000001</v>
      </c>
      <c r="H237" s="164">
        <v>26.079166669999999</v>
      </c>
      <c r="I237" s="164">
        <v>25.679444440000001</v>
      </c>
      <c r="J237" s="164">
        <v>25.81908602</v>
      </c>
      <c r="K237" s="164">
        <v>26.029444439999999</v>
      </c>
      <c r="L237" s="164">
        <v>26.213037629999999</v>
      </c>
      <c r="M237" s="164">
        <v>27.442741940000001</v>
      </c>
      <c r="N237" s="164">
        <v>27.935416669999999</v>
      </c>
      <c r="O237" s="164">
        <v>26.481182799999999</v>
      </c>
      <c r="P237" s="164">
        <v>26.52</v>
      </c>
      <c r="Q237" s="164">
        <v>26.013306450000002</v>
      </c>
      <c r="R237" s="164">
        <v>26.326948577499994</v>
      </c>
      <c r="S237" s="159">
        <f>SUMIFS(Aux_Lista!AE:AE,Aux_Lista!AC:AC,Aux_TBS!B237,Aux_Lista!AD:AD,Aux_TBS!A237)</f>
        <v>8</v>
      </c>
      <c r="T237" s="159" t="s">
        <v>235</v>
      </c>
      <c r="U237" s="159">
        <v>38</v>
      </c>
    </row>
    <row r="238" spans="1:21" x14ac:dyDescent="0.25">
      <c r="A238" s="162" t="s">
        <v>4420</v>
      </c>
      <c r="B238" s="149" t="s">
        <v>344</v>
      </c>
      <c r="C238" s="159" t="str">
        <f t="shared" si="3"/>
        <v>Marabá, PA</v>
      </c>
      <c r="D238" s="163">
        <v>-6.08</v>
      </c>
      <c r="E238" s="149">
        <v>719</v>
      </c>
      <c r="F238" s="164">
        <v>22.81061828</v>
      </c>
      <c r="G238" s="164">
        <v>22.356547620000001</v>
      </c>
      <c r="H238" s="164">
        <v>22.75887097</v>
      </c>
      <c r="I238" s="164">
        <v>22.29513889</v>
      </c>
      <c r="J238" s="164">
        <v>22.420967739999998</v>
      </c>
      <c r="K238" s="164">
        <v>23.98416667</v>
      </c>
      <c r="L238" s="164">
        <v>25.219489249999999</v>
      </c>
      <c r="M238" s="164">
        <v>25.815188169999999</v>
      </c>
      <c r="N238" s="164">
        <v>24.888472220000001</v>
      </c>
      <c r="O238" s="164">
        <v>24.295967739999998</v>
      </c>
      <c r="P238" s="164">
        <v>24.305833329999999</v>
      </c>
      <c r="Q238" s="164">
        <v>22.727419350000002</v>
      </c>
      <c r="R238" s="164">
        <v>23.656556685833337</v>
      </c>
      <c r="S238" s="159">
        <f>SUMIFS(Aux_Lista!AE:AE,Aux_Lista!AC:AC,Aux_TBS!B238,Aux_Lista!AD:AD,Aux_TBS!A238)</f>
        <v>8</v>
      </c>
      <c r="T238" s="159" t="s">
        <v>235</v>
      </c>
      <c r="U238" s="159">
        <v>38</v>
      </c>
    </row>
    <row r="239" spans="1:21" x14ac:dyDescent="0.25">
      <c r="A239" s="162" t="s">
        <v>4121</v>
      </c>
      <c r="B239" s="149" t="s">
        <v>344</v>
      </c>
      <c r="C239" s="159" t="str">
        <f t="shared" si="3"/>
        <v>Soure, PA</v>
      </c>
      <c r="D239" s="163">
        <v>-0.81</v>
      </c>
      <c r="E239" s="149">
        <v>11</v>
      </c>
      <c r="F239" s="164">
        <v>27.609543009999999</v>
      </c>
      <c r="G239" s="164">
        <v>28.012797620000001</v>
      </c>
      <c r="H239" s="164">
        <v>28.295833330000001</v>
      </c>
      <c r="I239" s="164">
        <v>27.394027779999998</v>
      </c>
      <c r="J239" s="164">
        <v>27.965322579999999</v>
      </c>
      <c r="K239" s="164">
        <v>27.46430556</v>
      </c>
      <c r="L239" s="164">
        <v>27.80833333</v>
      </c>
      <c r="M239" s="164">
        <v>28.261290320000001</v>
      </c>
      <c r="N239" s="164">
        <v>28.406805559999999</v>
      </c>
      <c r="O239" s="164">
        <v>28.480241939999999</v>
      </c>
      <c r="P239" s="164">
        <v>28.595555560000001</v>
      </c>
      <c r="Q239" s="164">
        <v>28.59193548</v>
      </c>
      <c r="R239" s="164">
        <v>28.073832672500004</v>
      </c>
      <c r="S239" s="159">
        <f>SUMIFS(Aux_Lista!AE:AE,Aux_Lista!AC:AC,Aux_TBS!B239,Aux_Lista!AD:AD,Aux_TBS!A239)</f>
        <v>8</v>
      </c>
      <c r="T239" s="159" t="s">
        <v>235</v>
      </c>
      <c r="U239" s="159">
        <v>38</v>
      </c>
    </row>
    <row r="240" spans="1:21" x14ac:dyDescent="0.25">
      <c r="A240" s="162" t="s">
        <v>4666</v>
      </c>
      <c r="B240" s="149" t="s">
        <v>344</v>
      </c>
      <c r="C240" s="159" t="str">
        <f t="shared" si="3"/>
        <v>Tomé-Açu, PA</v>
      </c>
      <c r="D240" s="163">
        <v>-2.59</v>
      </c>
      <c r="E240" s="149">
        <v>38</v>
      </c>
      <c r="F240" s="164">
        <v>25.289516129999999</v>
      </c>
      <c r="G240" s="164">
        <v>25.104017859999999</v>
      </c>
      <c r="H240" s="164">
        <v>25.054301079999998</v>
      </c>
      <c r="I240" s="164">
        <v>25.335416670000001</v>
      </c>
      <c r="J240" s="164">
        <v>25.602553759999999</v>
      </c>
      <c r="K240" s="164">
        <v>25.719583329999999</v>
      </c>
      <c r="L240" s="164">
        <v>25.720295700000001</v>
      </c>
      <c r="M240" s="164">
        <v>26.479435479999999</v>
      </c>
      <c r="N240" s="164">
        <v>26.628611110000001</v>
      </c>
      <c r="O240" s="164">
        <v>27.013440859999999</v>
      </c>
      <c r="P240" s="164">
        <v>27.024722220000001</v>
      </c>
      <c r="Q240" s="164">
        <v>26.938306449999999</v>
      </c>
      <c r="R240" s="164">
        <v>25.992516720833333</v>
      </c>
      <c r="S240" s="159">
        <f>SUMIFS(Aux_Lista!AE:AE,Aux_Lista!AC:AC,Aux_TBS!B240,Aux_Lista!AD:AD,Aux_TBS!A240)</f>
        <v>8</v>
      </c>
      <c r="T240" s="159" t="s">
        <v>235</v>
      </c>
      <c r="U240" s="159">
        <v>38</v>
      </c>
    </row>
    <row r="241" spans="1:21" x14ac:dyDescent="0.25">
      <c r="A241" s="162" t="s">
        <v>4229</v>
      </c>
      <c r="B241" s="149" t="s">
        <v>344</v>
      </c>
      <c r="C241" s="159" t="str">
        <f t="shared" si="3"/>
        <v>Tucuruí, PA</v>
      </c>
      <c r="D241" s="163">
        <v>-3.82</v>
      </c>
      <c r="E241" s="149">
        <v>148</v>
      </c>
      <c r="F241" s="164">
        <v>26.513172040000001</v>
      </c>
      <c r="G241" s="164">
        <v>27.00416667</v>
      </c>
      <c r="H241" s="164">
        <v>27.3483871</v>
      </c>
      <c r="I241" s="164">
        <v>26.63777778</v>
      </c>
      <c r="J241" s="164">
        <v>27.726478490000002</v>
      </c>
      <c r="K241" s="164">
        <v>27.561527779999999</v>
      </c>
      <c r="L241" s="164">
        <v>27.915456989999999</v>
      </c>
      <c r="M241" s="164">
        <v>27.626747309999999</v>
      </c>
      <c r="N241" s="164">
        <v>27.624444440000001</v>
      </c>
      <c r="O241" s="164">
        <v>27.862903230000001</v>
      </c>
      <c r="P241" s="164">
        <v>27.69763889</v>
      </c>
      <c r="Q241" s="164">
        <v>26.787903230000001</v>
      </c>
      <c r="R241" s="164">
        <v>27.358883662499995</v>
      </c>
      <c r="S241" s="159">
        <f>SUMIFS(Aux_Lista!AE:AE,Aux_Lista!AC:AC,Aux_TBS!B241,Aux_Lista!AD:AD,Aux_TBS!A241)</f>
        <v>8</v>
      </c>
      <c r="T241" s="159" t="s">
        <v>235</v>
      </c>
      <c r="U241" s="159">
        <v>38</v>
      </c>
    </row>
    <row r="242" spans="1:21" x14ac:dyDescent="0.25">
      <c r="A242" s="162" t="s">
        <v>2340</v>
      </c>
      <c r="B242" s="149" t="s">
        <v>348</v>
      </c>
      <c r="C242" s="159" t="str">
        <f t="shared" si="3"/>
        <v>Areia, PB</v>
      </c>
      <c r="D242" s="163">
        <v>-6.96</v>
      </c>
      <c r="E242" s="149">
        <v>575</v>
      </c>
      <c r="F242" s="164">
        <v>23.759005380000001</v>
      </c>
      <c r="G242" s="164">
        <v>22.91443452</v>
      </c>
      <c r="H242" s="164">
        <v>23.435349460000001</v>
      </c>
      <c r="I242" s="164">
        <v>23.152222219999999</v>
      </c>
      <c r="J242" s="164">
        <v>22.4</v>
      </c>
      <c r="K242" s="164">
        <v>21.397500000000001</v>
      </c>
      <c r="L242" s="164">
        <v>20.7813172</v>
      </c>
      <c r="M242" s="164">
        <v>20.798387099999999</v>
      </c>
      <c r="N242" s="164">
        <v>21.637638890000002</v>
      </c>
      <c r="O242" s="164">
        <v>22.675403230000001</v>
      </c>
      <c r="P242" s="164">
        <v>23.021805560000001</v>
      </c>
      <c r="Q242" s="164">
        <v>23.714381719999999</v>
      </c>
      <c r="R242" s="164">
        <v>22.473953773333335</v>
      </c>
      <c r="S242" s="159">
        <f>SUMIFS(Aux_Lista!AE:AE,Aux_Lista!AC:AC,Aux_TBS!B242,Aux_Lista!AD:AD,Aux_TBS!A242)</f>
        <v>8</v>
      </c>
      <c r="T242" s="159" t="s">
        <v>248</v>
      </c>
      <c r="U242" s="159">
        <v>38</v>
      </c>
    </row>
    <row r="243" spans="1:21" x14ac:dyDescent="0.25">
      <c r="A243" s="162" t="s">
        <v>5192</v>
      </c>
      <c r="B243" s="149" t="s">
        <v>348</v>
      </c>
      <c r="C243" s="159" t="str">
        <f t="shared" si="3"/>
        <v>Cabaceiras, PB</v>
      </c>
      <c r="D243" s="163">
        <v>-7.48</v>
      </c>
      <c r="E243" s="149">
        <v>436</v>
      </c>
      <c r="F243" s="164">
        <v>27.027688170000001</v>
      </c>
      <c r="G243" s="164">
        <v>26.123809519999998</v>
      </c>
      <c r="H243" s="164">
        <v>26.731586020000002</v>
      </c>
      <c r="I243" s="164">
        <v>25.925972219999998</v>
      </c>
      <c r="J243" s="164">
        <v>24.81814516</v>
      </c>
      <c r="K243" s="164">
        <v>23.45291667</v>
      </c>
      <c r="L243" s="164">
        <v>23.109677420000001</v>
      </c>
      <c r="M243" s="164">
        <v>23.078763439999999</v>
      </c>
      <c r="N243" s="164">
        <v>24.859444440000001</v>
      </c>
      <c r="O243" s="164">
        <v>26.150940859999999</v>
      </c>
      <c r="P243" s="164">
        <v>26.31583333</v>
      </c>
      <c r="Q243" s="164">
        <v>26.959005380000001</v>
      </c>
      <c r="R243" s="164">
        <v>25.379481885833332</v>
      </c>
      <c r="S243" s="159">
        <f>SUMIFS(Aux_Lista!AE:AE,Aux_Lista!AC:AC,Aux_TBS!B243,Aux_Lista!AD:AD,Aux_TBS!A243)</f>
        <v>8</v>
      </c>
      <c r="T243" s="159" t="s">
        <v>248</v>
      </c>
      <c r="U243" s="159">
        <v>38</v>
      </c>
    </row>
    <row r="244" spans="1:21" x14ac:dyDescent="0.25">
      <c r="A244" s="162" t="s">
        <v>4155</v>
      </c>
      <c r="B244" s="149" t="s">
        <v>348</v>
      </c>
      <c r="C244" s="159" t="str">
        <f t="shared" si="3"/>
        <v>Mataraca, PB</v>
      </c>
      <c r="D244" s="163">
        <v>-6.61</v>
      </c>
      <c r="E244" s="149">
        <v>136</v>
      </c>
      <c r="F244" s="164">
        <v>25.789381720000002</v>
      </c>
      <c r="G244" s="164">
        <v>25.392559519999999</v>
      </c>
      <c r="H244" s="164">
        <v>25.885483870000002</v>
      </c>
      <c r="I244" s="164">
        <v>26.039027780000001</v>
      </c>
      <c r="J244" s="164">
        <v>25.057258059999999</v>
      </c>
      <c r="K244" s="164">
        <v>23.750972220000001</v>
      </c>
      <c r="L244" s="164">
        <v>23.236962370000001</v>
      </c>
      <c r="M244" s="164">
        <v>23.274999999999999</v>
      </c>
      <c r="N244" s="164">
        <v>24.23875</v>
      </c>
      <c r="O244" s="164">
        <v>24.63897849</v>
      </c>
      <c r="P244" s="164">
        <v>25.184583329999999</v>
      </c>
      <c r="Q244" s="164">
        <v>25.773387100000001</v>
      </c>
      <c r="R244" s="164">
        <v>24.855195371666667</v>
      </c>
      <c r="S244" s="159">
        <f>SUMIFS(Aux_Lista!AE:AE,Aux_Lista!AC:AC,Aux_TBS!B244,Aux_Lista!AD:AD,Aux_TBS!A244)</f>
        <v>8</v>
      </c>
      <c r="T244" s="159" t="s">
        <v>248</v>
      </c>
      <c r="U244" s="159">
        <v>38</v>
      </c>
    </row>
    <row r="245" spans="1:21" x14ac:dyDescent="0.25">
      <c r="A245" s="162" t="s">
        <v>2308</v>
      </c>
      <c r="B245" s="149" t="s">
        <v>348</v>
      </c>
      <c r="C245" s="159" t="str">
        <f t="shared" si="3"/>
        <v>Campina Grande, PB</v>
      </c>
      <c r="D245" s="163">
        <v>-7.23</v>
      </c>
      <c r="E245" s="149">
        <v>548</v>
      </c>
      <c r="F245" s="164">
        <v>24.92580645</v>
      </c>
      <c r="G245" s="164">
        <v>23.99583333</v>
      </c>
      <c r="H245" s="164">
        <v>24.567473119999999</v>
      </c>
      <c r="I245" s="164">
        <v>24.242361110000001</v>
      </c>
      <c r="J245" s="164">
        <v>23.440188169999999</v>
      </c>
      <c r="K245" s="164">
        <v>22.983194439999998</v>
      </c>
      <c r="L245" s="164">
        <v>21.669758059999999</v>
      </c>
      <c r="M245" s="164">
        <v>21.846370969999999</v>
      </c>
      <c r="N245" s="164">
        <v>22.856805560000002</v>
      </c>
      <c r="O245" s="164">
        <v>23.89180108</v>
      </c>
      <c r="P245" s="164">
        <v>24.207638889999998</v>
      </c>
      <c r="Q245" s="164">
        <v>24.883333329999999</v>
      </c>
      <c r="R245" s="164">
        <v>23.625880375833333</v>
      </c>
      <c r="S245" s="159">
        <f>SUMIFS(Aux_Lista!AE:AE,Aux_Lista!AC:AC,Aux_TBS!B245,Aux_Lista!AD:AD,Aux_TBS!A245)</f>
        <v>8</v>
      </c>
      <c r="T245" s="159" t="s">
        <v>248</v>
      </c>
      <c r="U245" s="159">
        <v>38</v>
      </c>
    </row>
    <row r="246" spans="1:21" x14ac:dyDescent="0.25">
      <c r="A246" s="162" t="s">
        <v>5015</v>
      </c>
      <c r="B246" s="149" t="s">
        <v>348</v>
      </c>
      <c r="C246" s="159" t="str">
        <f t="shared" si="3"/>
        <v>João Pessoa, PB</v>
      </c>
      <c r="D246" s="163">
        <v>-7.11</v>
      </c>
      <c r="E246" s="149">
        <v>44</v>
      </c>
      <c r="F246" s="164">
        <v>27.087768820000001</v>
      </c>
      <c r="G246" s="164">
        <v>27.709672619999999</v>
      </c>
      <c r="H246" s="164">
        <v>27.039381720000002</v>
      </c>
      <c r="I246" s="164">
        <v>26.292222219999999</v>
      </c>
      <c r="J246" s="164">
        <v>25.738440860000001</v>
      </c>
      <c r="K246" s="164">
        <v>24.649583329999999</v>
      </c>
      <c r="L246" s="164">
        <v>24.188172040000001</v>
      </c>
      <c r="M246" s="164">
        <v>24.233870970000002</v>
      </c>
      <c r="N246" s="164">
        <v>25.583333329999999</v>
      </c>
      <c r="O246" s="164">
        <v>26.127956990000001</v>
      </c>
      <c r="P246" s="164">
        <v>26.709861109999999</v>
      </c>
      <c r="Q246" s="164">
        <v>26.962499999999999</v>
      </c>
      <c r="R246" s="164">
        <v>26.026897000833333</v>
      </c>
      <c r="S246" s="159">
        <f>SUMIFS(Aux_Lista!AE:AE,Aux_Lista!AC:AC,Aux_TBS!B246,Aux_Lista!AD:AD,Aux_TBS!A246)</f>
        <v>8</v>
      </c>
      <c r="T246" s="159" t="s">
        <v>248</v>
      </c>
      <c r="U246" s="159">
        <v>38</v>
      </c>
    </row>
    <row r="247" spans="1:21" x14ac:dyDescent="0.25">
      <c r="A247" s="162" t="s">
        <v>2385</v>
      </c>
      <c r="B247" s="149" t="s">
        <v>348</v>
      </c>
      <c r="C247" s="159" t="str">
        <f t="shared" si="3"/>
        <v>Monteiro, PB</v>
      </c>
      <c r="D247" s="163">
        <v>-7.89</v>
      </c>
      <c r="E247" s="149">
        <v>604</v>
      </c>
      <c r="F247" s="164">
        <v>26.201209680000002</v>
      </c>
      <c r="G247" s="164">
        <v>24.859375</v>
      </c>
      <c r="H247" s="164">
        <v>25.499193550000001</v>
      </c>
      <c r="I247" s="164">
        <v>24.41527778</v>
      </c>
      <c r="J247" s="164">
        <v>23.240322580000001</v>
      </c>
      <c r="K247" s="164">
        <v>21.991527779999998</v>
      </c>
      <c r="L247" s="164">
        <v>21.74395161</v>
      </c>
      <c r="M247" s="164">
        <v>21.88252688</v>
      </c>
      <c r="N247" s="164">
        <v>23.947083330000002</v>
      </c>
      <c r="O247" s="164">
        <v>25.481317199999999</v>
      </c>
      <c r="P247" s="164">
        <v>25.67055556</v>
      </c>
      <c r="Q247" s="164">
        <v>25.97392473</v>
      </c>
      <c r="R247" s="164">
        <v>24.242188806666672</v>
      </c>
      <c r="S247" s="159">
        <f>SUMIFS(Aux_Lista!AE:AE,Aux_Lista!AC:AC,Aux_TBS!B247,Aux_Lista!AD:AD,Aux_TBS!A247)</f>
        <v>6</v>
      </c>
      <c r="T247" s="159" t="s">
        <v>248</v>
      </c>
      <c r="U247" s="159">
        <v>38</v>
      </c>
    </row>
    <row r="248" spans="1:21" x14ac:dyDescent="0.25">
      <c r="A248" s="162" t="s">
        <v>5291</v>
      </c>
      <c r="B248" s="149" t="s">
        <v>348</v>
      </c>
      <c r="C248" s="159" t="str">
        <f t="shared" si="3"/>
        <v>Patos, PB</v>
      </c>
      <c r="D248" s="163">
        <v>-7.02</v>
      </c>
      <c r="E248" s="149">
        <v>249</v>
      </c>
      <c r="F248" s="164">
        <v>28.741397849999998</v>
      </c>
      <c r="G248" s="164">
        <v>26.998809519999998</v>
      </c>
      <c r="H248" s="164">
        <v>27.079435480000001</v>
      </c>
      <c r="I248" s="164">
        <v>26.335416670000001</v>
      </c>
      <c r="J248" s="164">
        <v>25.94596774</v>
      </c>
      <c r="K248" s="164">
        <v>25.19430556</v>
      </c>
      <c r="L248" s="164">
        <v>25.714247310000001</v>
      </c>
      <c r="M248" s="164">
        <v>25.964247310000001</v>
      </c>
      <c r="N248" s="164">
        <v>27.74736111</v>
      </c>
      <c r="O248" s="164">
        <v>28.894623660000001</v>
      </c>
      <c r="P248" s="164">
        <v>29.122222220000001</v>
      </c>
      <c r="Q248" s="164">
        <v>29.14543011</v>
      </c>
      <c r="R248" s="164">
        <v>27.240288711666665</v>
      </c>
      <c r="S248" s="159">
        <f>SUMIFS(Aux_Lista!AE:AE,Aux_Lista!AC:AC,Aux_TBS!B248,Aux_Lista!AD:AD,Aux_TBS!A248)</f>
        <v>7</v>
      </c>
      <c r="T248" s="159" t="s">
        <v>248</v>
      </c>
      <c r="U248" s="159">
        <v>38</v>
      </c>
    </row>
    <row r="249" spans="1:21" x14ac:dyDescent="0.25">
      <c r="A249" s="162" t="s">
        <v>4627</v>
      </c>
      <c r="B249" s="149" t="s">
        <v>348</v>
      </c>
      <c r="C249" s="159" t="str">
        <f t="shared" si="3"/>
        <v>Sousa, PB</v>
      </c>
      <c r="D249" s="163">
        <v>-6.84</v>
      </c>
      <c r="E249" s="149">
        <v>234</v>
      </c>
      <c r="F249" s="164">
        <v>26.728763440000002</v>
      </c>
      <c r="G249" s="164">
        <v>27.311755949999998</v>
      </c>
      <c r="H249" s="164">
        <v>27.90349462</v>
      </c>
      <c r="I249" s="164">
        <v>26.981249999999999</v>
      </c>
      <c r="J249" s="164">
        <v>26.266129029999998</v>
      </c>
      <c r="K249" s="164">
        <v>24.37388889</v>
      </c>
      <c r="L249" s="164">
        <v>24.65806452</v>
      </c>
      <c r="M249" s="164">
        <v>26.55362903</v>
      </c>
      <c r="N249" s="164">
        <v>27.750277780000001</v>
      </c>
      <c r="O249" s="164">
        <v>27.40672043</v>
      </c>
      <c r="P249" s="164">
        <v>28.116250000000001</v>
      </c>
      <c r="Q249" s="164">
        <v>27.94637097</v>
      </c>
      <c r="R249" s="164">
        <v>26.833049554999999</v>
      </c>
      <c r="S249" s="159">
        <f>SUMIFS(Aux_Lista!AE:AE,Aux_Lista!AC:AC,Aux_TBS!B249,Aux_Lista!AD:AD,Aux_TBS!A249)</f>
        <v>7</v>
      </c>
      <c r="T249" s="159" t="s">
        <v>248</v>
      </c>
      <c r="U249" s="159">
        <v>38</v>
      </c>
    </row>
    <row r="250" spans="1:21" x14ac:dyDescent="0.25">
      <c r="A250" s="162" t="s">
        <v>2399</v>
      </c>
      <c r="B250" s="149" t="s">
        <v>323</v>
      </c>
      <c r="C250" s="159" t="str">
        <f t="shared" si="3"/>
        <v>Arcoverde, PE</v>
      </c>
      <c r="D250" s="163">
        <v>-8.42</v>
      </c>
      <c r="E250" s="149">
        <v>681</v>
      </c>
      <c r="F250" s="164">
        <v>25.723790319999999</v>
      </c>
      <c r="G250" s="164">
        <v>24.50178571</v>
      </c>
      <c r="H250" s="164">
        <v>24.971236560000001</v>
      </c>
      <c r="I250" s="164">
        <v>24.09416667</v>
      </c>
      <c r="J250" s="164">
        <v>22.422715050000001</v>
      </c>
      <c r="K250" s="164">
        <v>21.239722220000001</v>
      </c>
      <c r="L250" s="164">
        <v>20.878494620000001</v>
      </c>
      <c r="M250" s="164">
        <v>20.857930110000002</v>
      </c>
      <c r="N250" s="164">
        <v>23.065972219999999</v>
      </c>
      <c r="O250" s="164">
        <v>24.947983870000002</v>
      </c>
      <c r="P250" s="164">
        <v>25.154166669999999</v>
      </c>
      <c r="Q250" s="164">
        <v>25.245026880000001</v>
      </c>
      <c r="R250" s="164">
        <v>23.591915908333334</v>
      </c>
      <c r="S250" s="159">
        <f>SUMIFS(Aux_Lista!AE:AE,Aux_Lista!AC:AC,Aux_TBS!B250,Aux_Lista!AD:AD,Aux_TBS!A250)</f>
        <v>7</v>
      </c>
      <c r="T250" s="159" t="s">
        <v>248</v>
      </c>
      <c r="U250" s="159">
        <v>38</v>
      </c>
    </row>
    <row r="251" spans="1:21" x14ac:dyDescent="0.25">
      <c r="A251" s="162" t="s">
        <v>5244</v>
      </c>
      <c r="B251" s="149" t="s">
        <v>323</v>
      </c>
      <c r="C251" s="159" t="str">
        <f t="shared" si="3"/>
        <v>Cabrobó, PE</v>
      </c>
      <c r="D251" s="163">
        <v>-8.5</v>
      </c>
      <c r="E251" s="149">
        <v>342</v>
      </c>
      <c r="F251" s="164">
        <v>28.560349460000001</v>
      </c>
      <c r="G251" s="164">
        <v>27.011755950000001</v>
      </c>
      <c r="H251" s="164">
        <v>27.402419349999999</v>
      </c>
      <c r="I251" s="164">
        <v>25.864305559999998</v>
      </c>
      <c r="J251" s="164">
        <v>24.529973120000001</v>
      </c>
      <c r="K251" s="164">
        <v>24.286944439999999</v>
      </c>
      <c r="L251" s="164">
        <v>24.617204300000001</v>
      </c>
      <c r="M251" s="164">
        <v>25.030510750000001</v>
      </c>
      <c r="N251" s="164">
        <v>27.377500000000001</v>
      </c>
      <c r="O251" s="164">
        <v>28.642741940000001</v>
      </c>
      <c r="P251" s="164">
        <v>29.36861111</v>
      </c>
      <c r="Q251" s="164">
        <v>28.68655914</v>
      </c>
      <c r="R251" s="164">
        <v>26.781572926666666</v>
      </c>
      <c r="S251" s="159">
        <f>SUMIFS(Aux_Lista!AE:AE,Aux_Lista!AC:AC,Aux_TBS!B251,Aux_Lista!AD:AD,Aux_TBS!A251)</f>
        <v>7</v>
      </c>
      <c r="T251" s="159" t="s">
        <v>248</v>
      </c>
      <c r="U251" s="159">
        <v>38</v>
      </c>
    </row>
    <row r="252" spans="1:21" x14ac:dyDescent="0.25">
      <c r="A252" s="162" t="s">
        <v>2386</v>
      </c>
      <c r="B252" s="149" t="s">
        <v>323</v>
      </c>
      <c r="C252" s="159" t="str">
        <f t="shared" si="3"/>
        <v>Caruaru, PE</v>
      </c>
      <c r="D252" s="163">
        <v>-8.24</v>
      </c>
      <c r="E252" s="149">
        <v>550</v>
      </c>
      <c r="F252" s="164">
        <v>25.004301080000001</v>
      </c>
      <c r="G252" s="164">
        <v>23.90357143</v>
      </c>
      <c r="H252" s="164">
        <v>24.270833329999999</v>
      </c>
      <c r="I252" s="164">
        <v>24.312638889999999</v>
      </c>
      <c r="J252" s="164">
        <v>23.43696237</v>
      </c>
      <c r="K252" s="164">
        <v>21.89083333</v>
      </c>
      <c r="L252" s="164">
        <v>21.254838710000001</v>
      </c>
      <c r="M252" s="164">
        <v>21.264784949999999</v>
      </c>
      <c r="N252" s="164">
        <v>22.354583330000001</v>
      </c>
      <c r="O252" s="164">
        <v>23.798790319999998</v>
      </c>
      <c r="P252" s="164">
        <v>23.96805556</v>
      </c>
      <c r="Q252" s="164">
        <v>24.643682800000001</v>
      </c>
      <c r="R252" s="164">
        <v>23.341989675000004</v>
      </c>
      <c r="S252" s="159">
        <f>SUMIFS(Aux_Lista!AE:AE,Aux_Lista!AC:AC,Aux_TBS!B252,Aux_Lista!AD:AD,Aux_TBS!A252)</f>
        <v>8</v>
      </c>
      <c r="T252" s="159" t="s">
        <v>248</v>
      </c>
      <c r="U252" s="159">
        <v>38</v>
      </c>
    </row>
    <row r="253" spans="1:21" x14ac:dyDescent="0.25">
      <c r="A253" s="162" t="s">
        <v>3303</v>
      </c>
      <c r="B253" s="149" t="s">
        <v>323</v>
      </c>
      <c r="C253" s="159" t="str">
        <f t="shared" si="3"/>
        <v>Floresta, PE</v>
      </c>
      <c r="D253" s="163">
        <v>-8.61</v>
      </c>
      <c r="E253" s="149">
        <v>329</v>
      </c>
      <c r="F253" s="164">
        <v>28.242876339999999</v>
      </c>
      <c r="G253" s="164">
        <v>27.096279760000002</v>
      </c>
      <c r="H253" s="164">
        <v>27.9</v>
      </c>
      <c r="I253" s="164">
        <v>26.170416670000002</v>
      </c>
      <c r="J253" s="164">
        <v>24.808064519999999</v>
      </c>
      <c r="K253" s="164">
        <v>23.940694440000001</v>
      </c>
      <c r="L253" s="164">
        <v>24.108064519999999</v>
      </c>
      <c r="M253" s="164">
        <v>24.295967739999998</v>
      </c>
      <c r="N253" s="164">
        <v>26.71986111</v>
      </c>
      <c r="O253" s="164">
        <v>28.62258065</v>
      </c>
      <c r="P253" s="164">
        <v>28.854027779999999</v>
      </c>
      <c r="Q253" s="164">
        <v>28.5</v>
      </c>
      <c r="R253" s="164">
        <v>26.604902794166666</v>
      </c>
      <c r="S253" s="159">
        <f>SUMIFS(Aux_Lista!AE:AE,Aux_Lista!AC:AC,Aux_TBS!B253,Aux_Lista!AD:AD,Aux_TBS!A253)</f>
        <v>7</v>
      </c>
      <c r="T253" s="159" t="s">
        <v>248</v>
      </c>
      <c r="U253" s="159">
        <v>38</v>
      </c>
    </row>
    <row r="254" spans="1:21" x14ac:dyDescent="0.25">
      <c r="A254" s="162" t="s">
        <v>2400</v>
      </c>
      <c r="B254" s="149" t="s">
        <v>323</v>
      </c>
      <c r="C254" s="159" t="str">
        <f t="shared" si="3"/>
        <v>Garanhuns, PE</v>
      </c>
      <c r="D254" s="163">
        <v>-8.89</v>
      </c>
      <c r="E254" s="149">
        <v>823</v>
      </c>
      <c r="F254" s="164">
        <v>22.64825269</v>
      </c>
      <c r="G254" s="164">
        <v>23.21696429</v>
      </c>
      <c r="H254" s="164">
        <v>22.568413979999999</v>
      </c>
      <c r="I254" s="164">
        <v>21.980972220000002</v>
      </c>
      <c r="J254" s="164">
        <v>20.471236560000001</v>
      </c>
      <c r="K254" s="164">
        <v>18.991944440000001</v>
      </c>
      <c r="L254" s="164">
        <v>18.15725806</v>
      </c>
      <c r="M254" s="164">
        <v>18.67956989</v>
      </c>
      <c r="N254" s="164">
        <v>19.748611109999999</v>
      </c>
      <c r="O254" s="164">
        <v>20.606048390000002</v>
      </c>
      <c r="P254" s="164">
        <v>22.544583329999998</v>
      </c>
      <c r="Q254" s="164">
        <v>23.039112899999999</v>
      </c>
      <c r="R254" s="164">
        <v>21.054413988333334</v>
      </c>
      <c r="S254" s="159">
        <f>SUMIFS(Aux_Lista!AE:AE,Aux_Lista!AC:AC,Aux_TBS!B254,Aux_Lista!AD:AD,Aux_TBS!A254)</f>
        <v>5</v>
      </c>
      <c r="T254" s="159" t="s">
        <v>248</v>
      </c>
      <c r="U254" s="159">
        <v>38</v>
      </c>
    </row>
    <row r="255" spans="1:21" x14ac:dyDescent="0.25">
      <c r="A255" s="162" t="s">
        <v>5602</v>
      </c>
      <c r="B255" s="149" t="s">
        <v>323</v>
      </c>
      <c r="C255" s="159" t="str">
        <f t="shared" si="3"/>
        <v>Ibimirim, PE</v>
      </c>
      <c r="D255" s="163">
        <v>-8.51</v>
      </c>
      <c r="E255" s="149">
        <v>448</v>
      </c>
      <c r="F255" s="164">
        <v>27.82137097</v>
      </c>
      <c r="G255" s="164">
        <v>26.493154759999999</v>
      </c>
      <c r="H255" s="164">
        <v>27.394220430000001</v>
      </c>
      <c r="I255" s="164">
        <v>25.711388889999998</v>
      </c>
      <c r="J255" s="164">
        <v>23.759274189999999</v>
      </c>
      <c r="K255" s="164">
        <v>22.600416670000001</v>
      </c>
      <c r="L255" s="164">
        <v>22.63158602</v>
      </c>
      <c r="M255" s="164">
        <v>22.927284950000001</v>
      </c>
      <c r="N255" s="164">
        <v>25.338194439999999</v>
      </c>
      <c r="O255" s="164">
        <v>27.55873656</v>
      </c>
      <c r="P255" s="164">
        <v>27.724444439999999</v>
      </c>
      <c r="Q255" s="164">
        <v>27.290053759999999</v>
      </c>
      <c r="R255" s="164">
        <v>25.60417717333333</v>
      </c>
      <c r="S255" s="159">
        <f>SUMIFS(Aux_Lista!AE:AE,Aux_Lista!AC:AC,Aux_TBS!B255,Aux_Lista!AD:AD,Aux_TBS!A255)</f>
        <v>8</v>
      </c>
      <c r="T255" s="159" t="s">
        <v>248</v>
      </c>
      <c r="U255" s="159">
        <v>38</v>
      </c>
    </row>
    <row r="256" spans="1:21" x14ac:dyDescent="0.25">
      <c r="A256" s="162" t="s">
        <v>5090</v>
      </c>
      <c r="B256" s="149" t="s">
        <v>323</v>
      </c>
      <c r="C256" s="159" t="str">
        <f t="shared" si="3"/>
        <v>Palmares, PE</v>
      </c>
      <c r="D256" s="163">
        <v>-8.67</v>
      </c>
      <c r="E256" s="149">
        <v>180</v>
      </c>
      <c r="F256" s="164">
        <v>26.661155910000002</v>
      </c>
      <c r="G256" s="164">
        <v>25.76889881</v>
      </c>
      <c r="H256" s="164">
        <v>26.55551075</v>
      </c>
      <c r="I256" s="164">
        <v>25.953888890000002</v>
      </c>
      <c r="J256" s="164">
        <v>24.8125</v>
      </c>
      <c r="K256" s="164">
        <v>23.63</v>
      </c>
      <c r="L256" s="164">
        <v>23.009274189999999</v>
      </c>
      <c r="M256" s="164">
        <v>23.077688169999998</v>
      </c>
      <c r="N256" s="164">
        <v>24.16333333</v>
      </c>
      <c r="O256" s="164">
        <v>25.32836022</v>
      </c>
      <c r="P256" s="164">
        <v>25.530694440000001</v>
      </c>
      <c r="Q256" s="164">
        <v>26.184005379999999</v>
      </c>
      <c r="R256" s="164">
        <v>25.056275840833333</v>
      </c>
      <c r="S256" s="159">
        <f>SUMIFS(Aux_Lista!AE:AE,Aux_Lista!AC:AC,Aux_TBS!B256,Aux_Lista!AD:AD,Aux_TBS!A256)</f>
        <v>8</v>
      </c>
      <c r="T256" s="159" t="s">
        <v>248</v>
      </c>
      <c r="U256" s="159">
        <v>38</v>
      </c>
    </row>
    <row r="257" spans="1:21" x14ac:dyDescent="0.25">
      <c r="A257" s="162" t="s">
        <v>5206</v>
      </c>
      <c r="B257" s="149" t="s">
        <v>323</v>
      </c>
      <c r="C257" s="159" t="str">
        <f t="shared" si="3"/>
        <v>Petrolina, PE</v>
      </c>
      <c r="D257" s="163">
        <v>-9.39</v>
      </c>
      <c r="E257" s="149">
        <v>370</v>
      </c>
      <c r="F257" s="164">
        <v>28.529166669999999</v>
      </c>
      <c r="G257" s="164">
        <v>27.060565480000001</v>
      </c>
      <c r="H257" s="164">
        <v>27.8030914</v>
      </c>
      <c r="I257" s="164">
        <v>26.127500000000001</v>
      </c>
      <c r="J257" s="164">
        <v>25.00698925</v>
      </c>
      <c r="K257" s="164">
        <v>24.735416669999999</v>
      </c>
      <c r="L257" s="164">
        <v>24.983333330000001</v>
      </c>
      <c r="M257" s="164">
        <v>25.45107527</v>
      </c>
      <c r="N257" s="164">
        <v>27.841805560000001</v>
      </c>
      <c r="O257" s="164">
        <v>28.057123659999998</v>
      </c>
      <c r="P257" s="164">
        <v>28.83583333</v>
      </c>
      <c r="Q257" s="164">
        <v>28.504301080000001</v>
      </c>
      <c r="R257" s="164">
        <v>26.91135014166667</v>
      </c>
      <c r="S257" s="159">
        <f>SUMIFS(Aux_Lista!AE:AE,Aux_Lista!AC:AC,Aux_TBS!B257,Aux_Lista!AD:AD,Aux_TBS!A257)</f>
        <v>7</v>
      </c>
      <c r="T257" s="159" t="s">
        <v>248</v>
      </c>
      <c r="U257" s="159">
        <v>38</v>
      </c>
    </row>
    <row r="258" spans="1:21" x14ac:dyDescent="0.25">
      <c r="A258" s="162" t="s">
        <v>4110</v>
      </c>
      <c r="B258" s="149" t="s">
        <v>323</v>
      </c>
      <c r="C258" s="159" t="str">
        <f t="shared" si="3"/>
        <v>Recife, PE</v>
      </c>
      <c r="D258" s="163">
        <v>-8.0500000000000007</v>
      </c>
      <c r="E258" s="149">
        <v>10</v>
      </c>
      <c r="F258" s="164">
        <v>26.772983870000001</v>
      </c>
      <c r="G258" s="164">
        <v>27.405505949999998</v>
      </c>
      <c r="H258" s="164">
        <v>26.371370970000001</v>
      </c>
      <c r="I258" s="164">
        <v>26.412777779999999</v>
      </c>
      <c r="J258" s="164">
        <v>25.109677420000001</v>
      </c>
      <c r="K258" s="164">
        <v>24.534722219999999</v>
      </c>
      <c r="L258" s="164">
        <v>23.94354839</v>
      </c>
      <c r="M258" s="164">
        <v>24.11653226</v>
      </c>
      <c r="N258" s="164">
        <v>24.855694440000001</v>
      </c>
      <c r="O258" s="164">
        <v>26.356182799999999</v>
      </c>
      <c r="P258" s="164">
        <v>26.62166667</v>
      </c>
      <c r="Q258" s="164">
        <v>26.652822579999999</v>
      </c>
      <c r="R258" s="164">
        <v>25.762790445833332</v>
      </c>
      <c r="S258" s="159">
        <f>SUMIFS(Aux_Lista!AE:AE,Aux_Lista!AC:AC,Aux_TBS!B258,Aux_Lista!AD:AD,Aux_TBS!A258)</f>
        <v>8</v>
      </c>
      <c r="T258" s="159" t="s">
        <v>248</v>
      </c>
      <c r="U258" s="159">
        <v>38</v>
      </c>
    </row>
    <row r="259" spans="1:21" x14ac:dyDescent="0.25">
      <c r="A259" s="162" t="s">
        <v>5277</v>
      </c>
      <c r="B259" s="149" t="s">
        <v>323</v>
      </c>
      <c r="C259" s="159" t="str">
        <f t="shared" ref="C259:C322" si="4">CONCATENATE(A259,", ",B259)</f>
        <v>Serra Talhada, PE</v>
      </c>
      <c r="D259" s="163">
        <v>-7.95</v>
      </c>
      <c r="E259" s="149">
        <v>461</v>
      </c>
      <c r="F259" s="164">
        <v>25.566129029999999</v>
      </c>
      <c r="G259" s="164">
        <v>26.38005952</v>
      </c>
      <c r="H259" s="164">
        <v>25.421370970000002</v>
      </c>
      <c r="I259" s="164">
        <v>24.62277778</v>
      </c>
      <c r="J259" s="164">
        <v>23.435887099999999</v>
      </c>
      <c r="K259" s="164">
        <v>22.574305559999999</v>
      </c>
      <c r="L259" s="164">
        <v>22.805645160000001</v>
      </c>
      <c r="M259" s="164">
        <v>23.388844089999999</v>
      </c>
      <c r="N259" s="164">
        <v>26.168333329999999</v>
      </c>
      <c r="O259" s="164">
        <v>27.639784949999999</v>
      </c>
      <c r="P259" s="164">
        <v>27.95027778</v>
      </c>
      <c r="Q259" s="164">
        <v>27.306989250000001</v>
      </c>
      <c r="R259" s="164">
        <v>25.271700376666669</v>
      </c>
      <c r="S259" s="159">
        <f>SUMIFS(Aux_Lista!AE:AE,Aux_Lista!AC:AC,Aux_TBS!B259,Aux_Lista!AD:AD,Aux_TBS!A259)</f>
        <v>6</v>
      </c>
      <c r="T259" s="159" t="s">
        <v>248</v>
      </c>
      <c r="U259" s="159">
        <v>38</v>
      </c>
    </row>
    <row r="260" spans="1:21" x14ac:dyDescent="0.25">
      <c r="A260" s="162" t="s">
        <v>5222</v>
      </c>
      <c r="B260" s="149" t="s">
        <v>323</v>
      </c>
      <c r="C260" s="159" t="str">
        <f t="shared" si="4"/>
        <v>Surubim, PE</v>
      </c>
      <c r="D260" s="163">
        <v>-7.84</v>
      </c>
      <c r="E260" s="149">
        <v>418</v>
      </c>
      <c r="F260" s="164">
        <v>25.84986559</v>
      </c>
      <c r="G260" s="164">
        <v>24.914285710000001</v>
      </c>
      <c r="H260" s="164">
        <v>25.141935480000001</v>
      </c>
      <c r="I260" s="164">
        <v>25.17166667</v>
      </c>
      <c r="J260" s="164">
        <v>24.246639779999999</v>
      </c>
      <c r="K260" s="164">
        <v>22.577361109999998</v>
      </c>
      <c r="L260" s="164">
        <v>22.047043009999999</v>
      </c>
      <c r="M260" s="164">
        <v>22.035752689999999</v>
      </c>
      <c r="N260" s="164">
        <v>23.322916670000001</v>
      </c>
      <c r="O260" s="164">
        <v>24.67392473</v>
      </c>
      <c r="P260" s="164">
        <v>24.94805556</v>
      </c>
      <c r="Q260" s="164">
        <v>25.733870970000002</v>
      </c>
      <c r="R260" s="164">
        <v>24.221943164166674</v>
      </c>
      <c r="S260" s="159">
        <f>SUMIFS(Aux_Lista!AE:AE,Aux_Lista!AC:AC,Aux_TBS!B260,Aux_Lista!AD:AD,Aux_TBS!A260)</f>
        <v>8</v>
      </c>
      <c r="T260" s="159" t="s">
        <v>248</v>
      </c>
      <c r="U260" s="159">
        <v>38</v>
      </c>
    </row>
    <row r="261" spans="1:21" x14ac:dyDescent="0.25">
      <c r="A261" s="162" t="s">
        <v>5519</v>
      </c>
      <c r="B261" s="149" t="s">
        <v>357</v>
      </c>
      <c r="C261" s="159" t="str">
        <f t="shared" si="4"/>
        <v>Alvorada do Gurguéia, PI</v>
      </c>
      <c r="D261" s="163">
        <v>-8.44</v>
      </c>
      <c r="E261" s="149">
        <v>270</v>
      </c>
      <c r="F261" s="164">
        <v>25.568951609999999</v>
      </c>
      <c r="G261" s="164">
        <v>24.83080357</v>
      </c>
      <c r="H261" s="164">
        <v>25.365053759999999</v>
      </c>
      <c r="I261" s="164">
        <v>24.880694439999999</v>
      </c>
      <c r="J261" s="164">
        <v>24.84704301</v>
      </c>
      <c r="K261" s="164">
        <v>24.826111109999999</v>
      </c>
      <c r="L261" s="164">
        <v>26.28413978</v>
      </c>
      <c r="M261" s="164">
        <v>27.679301079999998</v>
      </c>
      <c r="N261" s="164">
        <v>28.667777780000002</v>
      </c>
      <c r="O261" s="164">
        <v>28.244758059999999</v>
      </c>
      <c r="P261" s="164">
        <v>28.293888890000002</v>
      </c>
      <c r="Q261" s="164">
        <v>26.0797043</v>
      </c>
      <c r="R261" s="164">
        <v>26.2973522825</v>
      </c>
      <c r="S261" s="159">
        <f>SUMIFS(Aux_Lista!AE:AE,Aux_Lista!AC:AC,Aux_TBS!B261,Aux_Lista!AD:AD,Aux_TBS!A261)</f>
        <v>7</v>
      </c>
      <c r="T261" s="159" t="s">
        <v>248</v>
      </c>
      <c r="U261" s="159">
        <v>38</v>
      </c>
    </row>
    <row r="262" spans="1:21" x14ac:dyDescent="0.25">
      <c r="A262" s="162" t="s">
        <v>1517</v>
      </c>
      <c r="B262" s="149" t="s">
        <v>357</v>
      </c>
      <c r="C262" s="159" t="str">
        <f t="shared" si="4"/>
        <v>Bom Jesus, PI</v>
      </c>
      <c r="D262" s="163">
        <v>-9.07</v>
      </c>
      <c r="E262" s="149">
        <v>331</v>
      </c>
      <c r="F262" s="164">
        <v>25.68790323</v>
      </c>
      <c r="G262" s="164">
        <v>25.313839290000001</v>
      </c>
      <c r="H262" s="164">
        <v>25.481720429999999</v>
      </c>
      <c r="I262" s="164">
        <v>25.221944440000001</v>
      </c>
      <c r="J262" s="164">
        <v>24.929838709999999</v>
      </c>
      <c r="K262" s="164">
        <v>24.878194440000001</v>
      </c>
      <c r="L262" s="164">
        <v>25.449731180000001</v>
      </c>
      <c r="M262" s="164">
        <v>27.487903230000001</v>
      </c>
      <c r="N262" s="164">
        <v>30.2225</v>
      </c>
      <c r="O262" s="164">
        <v>27.945698920000002</v>
      </c>
      <c r="P262" s="164">
        <v>28.20861111</v>
      </c>
      <c r="Q262" s="164">
        <v>25.862096770000001</v>
      </c>
      <c r="R262" s="164">
        <v>26.390831812499997</v>
      </c>
      <c r="S262" s="159">
        <f>SUMIFS(Aux_Lista!AE:AE,Aux_Lista!AC:AC,Aux_TBS!B262,Aux_Lista!AD:AD,Aux_TBS!A262)</f>
        <v>7</v>
      </c>
      <c r="T262" s="159" t="s">
        <v>248</v>
      </c>
      <c r="U262" s="159">
        <v>38</v>
      </c>
    </row>
    <row r="263" spans="1:21" x14ac:dyDescent="0.25">
      <c r="A263" s="162" t="s">
        <v>3294</v>
      </c>
      <c r="B263" s="149" t="s">
        <v>357</v>
      </c>
      <c r="C263" s="159" t="str">
        <f t="shared" si="4"/>
        <v>Caracol, PI</v>
      </c>
      <c r="D263" s="163">
        <v>-9.2899999999999991</v>
      </c>
      <c r="E263" s="149">
        <v>100</v>
      </c>
      <c r="F263" s="164">
        <v>24.569758060000002</v>
      </c>
      <c r="G263" s="164">
        <v>26.725892859999998</v>
      </c>
      <c r="H263" s="164">
        <v>23.78642473</v>
      </c>
      <c r="I263" s="164">
        <v>23.633333329999999</v>
      </c>
      <c r="J263" s="164">
        <v>23.248387099999999</v>
      </c>
      <c r="K263" s="164">
        <v>21.845416669999999</v>
      </c>
      <c r="L263" s="164">
        <v>22.374865589999999</v>
      </c>
      <c r="M263" s="164">
        <v>24.140053760000001</v>
      </c>
      <c r="N263" s="164">
        <v>26.700555560000002</v>
      </c>
      <c r="O263" s="164">
        <v>27.31155914</v>
      </c>
      <c r="P263" s="164">
        <v>27.49625</v>
      </c>
      <c r="Q263" s="164">
        <v>24.740053759999999</v>
      </c>
      <c r="R263" s="164">
        <v>24.714379213333331</v>
      </c>
      <c r="S263" s="159">
        <f>SUMIFS(Aux_Lista!AE:AE,Aux_Lista!AC:AC,Aux_TBS!B263,Aux_Lista!AD:AD,Aux_TBS!A263)</f>
        <v>7</v>
      </c>
      <c r="T263" s="159" t="s">
        <v>248</v>
      </c>
      <c r="U263" s="159">
        <v>38</v>
      </c>
    </row>
    <row r="264" spans="1:21" x14ac:dyDescent="0.25">
      <c r="A264" s="162" t="s">
        <v>5687</v>
      </c>
      <c r="B264" s="149" t="s">
        <v>357</v>
      </c>
      <c r="C264" s="159" t="str">
        <f t="shared" si="4"/>
        <v>Castelo do Piauí, PI</v>
      </c>
      <c r="D264" s="163">
        <v>-5.35</v>
      </c>
      <c r="E264" s="149">
        <v>286</v>
      </c>
      <c r="F264" s="164">
        <v>26.7405914</v>
      </c>
      <c r="G264" s="164">
        <v>28.229166670000001</v>
      </c>
      <c r="H264" s="164">
        <v>28.124731180000001</v>
      </c>
      <c r="I264" s="164">
        <v>28.189305560000001</v>
      </c>
      <c r="J264" s="164">
        <v>24.764784949999999</v>
      </c>
      <c r="K264" s="164">
        <v>24.928055560000001</v>
      </c>
      <c r="L264" s="164">
        <v>25.377150539999999</v>
      </c>
      <c r="M264" s="164">
        <v>26.57137097</v>
      </c>
      <c r="N264" s="164">
        <v>28.706111109999998</v>
      </c>
      <c r="O264" s="164">
        <v>28.8438172</v>
      </c>
      <c r="P264" s="164">
        <v>29.408055560000001</v>
      </c>
      <c r="Q264" s="164">
        <v>28.181182799999998</v>
      </c>
      <c r="R264" s="164">
        <v>27.338693624999994</v>
      </c>
      <c r="S264" s="159">
        <f>SUMIFS(Aux_Lista!AE:AE,Aux_Lista!AC:AC,Aux_TBS!B264,Aux_Lista!AD:AD,Aux_TBS!A264)</f>
        <v>7</v>
      </c>
      <c r="T264" s="159" t="s">
        <v>248</v>
      </c>
      <c r="U264" s="159">
        <v>38</v>
      </c>
    </row>
    <row r="265" spans="1:21" x14ac:dyDescent="0.25">
      <c r="A265" s="162" t="s">
        <v>4737</v>
      </c>
      <c r="B265" s="149" t="s">
        <v>357</v>
      </c>
      <c r="C265" s="159" t="str">
        <f t="shared" si="4"/>
        <v>Esperantina, PI</v>
      </c>
      <c r="D265" s="163">
        <v>-3.9</v>
      </c>
      <c r="E265" s="149">
        <v>65</v>
      </c>
      <c r="F265" s="164">
        <v>27.300940860000001</v>
      </c>
      <c r="G265" s="164">
        <v>26.110565480000002</v>
      </c>
      <c r="H265" s="164">
        <v>25.831451609999998</v>
      </c>
      <c r="I265" s="164">
        <v>25.619861109999999</v>
      </c>
      <c r="J265" s="164">
        <v>25.527284949999999</v>
      </c>
      <c r="K265" s="164">
        <v>25.89569444</v>
      </c>
      <c r="L265" s="164">
        <v>26.268951609999998</v>
      </c>
      <c r="M265" s="164">
        <v>27.235618280000001</v>
      </c>
      <c r="N265" s="164">
        <v>28.237083330000001</v>
      </c>
      <c r="O265" s="164">
        <v>28.58629032</v>
      </c>
      <c r="P265" s="164">
        <v>28.677222220000001</v>
      </c>
      <c r="Q265" s="164">
        <v>28.41424731</v>
      </c>
      <c r="R265" s="164">
        <v>26.975434293333333</v>
      </c>
      <c r="S265" s="159">
        <f>SUMIFS(Aux_Lista!AE:AE,Aux_Lista!AC:AC,Aux_TBS!B265,Aux_Lista!AD:AD,Aux_TBS!A265)</f>
        <v>8</v>
      </c>
      <c r="T265" s="159" t="s">
        <v>248</v>
      </c>
      <c r="U265" s="159">
        <v>38</v>
      </c>
    </row>
    <row r="266" spans="1:21" x14ac:dyDescent="0.25">
      <c r="A266" s="162" t="s">
        <v>5271</v>
      </c>
      <c r="B266" s="149" t="s">
        <v>357</v>
      </c>
      <c r="C266" s="159" t="str">
        <f t="shared" si="4"/>
        <v>Floriano, PI</v>
      </c>
      <c r="D266" s="163">
        <v>-6.77</v>
      </c>
      <c r="E266" s="149">
        <v>123</v>
      </c>
      <c r="F266" s="164">
        <v>28.015591400000002</v>
      </c>
      <c r="G266" s="164">
        <v>26.11488095</v>
      </c>
      <c r="H266" s="164">
        <v>26.474731179999999</v>
      </c>
      <c r="I266" s="164">
        <v>26.272500000000001</v>
      </c>
      <c r="J266" s="164">
        <v>26.953897850000001</v>
      </c>
      <c r="K266" s="164">
        <v>26.11680556</v>
      </c>
      <c r="L266" s="164">
        <v>27.015725809999999</v>
      </c>
      <c r="M266" s="164">
        <v>28.667741939999999</v>
      </c>
      <c r="N266" s="164">
        <v>30.055138889999998</v>
      </c>
      <c r="O266" s="164">
        <v>29.43091398</v>
      </c>
      <c r="P266" s="164">
        <v>28.06625</v>
      </c>
      <c r="Q266" s="164">
        <v>27.68844086</v>
      </c>
      <c r="R266" s="164">
        <v>27.572718201666671</v>
      </c>
      <c r="S266" s="159">
        <f>SUMIFS(Aux_Lista!AE:AE,Aux_Lista!AC:AC,Aux_TBS!B266,Aux_Lista!AD:AD,Aux_TBS!A266)</f>
        <v>7</v>
      </c>
      <c r="T266" s="159" t="s">
        <v>248</v>
      </c>
      <c r="U266" s="159">
        <v>38</v>
      </c>
    </row>
    <row r="267" spans="1:21" x14ac:dyDescent="0.25">
      <c r="A267" s="162" t="s">
        <v>5217</v>
      </c>
      <c r="B267" s="149" t="s">
        <v>357</v>
      </c>
      <c r="C267" s="159" t="str">
        <f t="shared" si="4"/>
        <v>Gilbués, PI</v>
      </c>
      <c r="D267" s="163">
        <v>-9.8699999999999992</v>
      </c>
      <c r="E267" s="149">
        <v>425</v>
      </c>
      <c r="F267" s="164">
        <v>25.65766129</v>
      </c>
      <c r="G267" s="164">
        <v>26.45133929</v>
      </c>
      <c r="H267" s="164">
        <v>26.29341398</v>
      </c>
      <c r="I267" s="164">
        <v>26.213611109999999</v>
      </c>
      <c r="J267" s="164">
        <v>25.911693549999999</v>
      </c>
      <c r="K267" s="164">
        <v>24.500138889999999</v>
      </c>
      <c r="L267" s="164">
        <v>25.297715050000001</v>
      </c>
      <c r="M267" s="164">
        <v>27.30591398</v>
      </c>
      <c r="N267" s="164">
        <v>29.770416669999999</v>
      </c>
      <c r="O267" s="164">
        <v>27.374731180000001</v>
      </c>
      <c r="P267" s="164">
        <v>27.654166669999999</v>
      </c>
      <c r="Q267" s="164">
        <v>25.55873656</v>
      </c>
      <c r="R267" s="164">
        <v>26.499128185</v>
      </c>
      <c r="S267" s="159">
        <f>SUMIFS(Aux_Lista!AE:AE,Aux_Lista!AC:AC,Aux_TBS!B267,Aux_Lista!AD:AD,Aux_TBS!A267)</f>
        <v>7</v>
      </c>
      <c r="T267" s="159" t="s">
        <v>248</v>
      </c>
      <c r="U267" s="159">
        <v>38</v>
      </c>
    </row>
    <row r="268" spans="1:21" x14ac:dyDescent="0.25">
      <c r="A268" s="162" t="s">
        <v>5685</v>
      </c>
      <c r="B268" s="149" t="s">
        <v>357</v>
      </c>
      <c r="C268" s="159" t="str">
        <f t="shared" si="4"/>
        <v>Oeiras, PI</v>
      </c>
      <c r="D268" s="163">
        <v>-6.97</v>
      </c>
      <c r="E268" s="149">
        <v>156</v>
      </c>
      <c r="F268" s="164">
        <v>26.45336022</v>
      </c>
      <c r="G268" s="164">
        <v>25.879761899999998</v>
      </c>
      <c r="H268" s="164">
        <v>25.970833330000001</v>
      </c>
      <c r="I268" s="164">
        <v>25.55541667</v>
      </c>
      <c r="J268" s="164">
        <v>25.35497312</v>
      </c>
      <c r="K268" s="164">
        <v>24.734999999999999</v>
      </c>
      <c r="L268" s="164">
        <v>25.196639780000002</v>
      </c>
      <c r="M268" s="164">
        <v>27.08293011</v>
      </c>
      <c r="N268" s="164">
        <v>29.098472220000001</v>
      </c>
      <c r="O268" s="164">
        <v>29.155913980000001</v>
      </c>
      <c r="P268" s="164">
        <v>29.41486111</v>
      </c>
      <c r="Q268" s="164">
        <v>27.614784950000001</v>
      </c>
      <c r="R268" s="164">
        <v>26.792745615833336</v>
      </c>
      <c r="S268" s="159">
        <f>SUMIFS(Aux_Lista!AE:AE,Aux_Lista!AC:AC,Aux_TBS!B268,Aux_Lista!AD:AD,Aux_TBS!A268)</f>
        <v>7</v>
      </c>
      <c r="T268" s="159" t="s">
        <v>248</v>
      </c>
      <c r="U268" s="159">
        <v>38</v>
      </c>
    </row>
    <row r="269" spans="1:21" x14ac:dyDescent="0.25">
      <c r="A269" s="162" t="s">
        <v>5207</v>
      </c>
      <c r="B269" s="149" t="s">
        <v>357</v>
      </c>
      <c r="C269" s="159" t="str">
        <f t="shared" si="4"/>
        <v>Parnaíba, PI</v>
      </c>
      <c r="D269" s="163">
        <v>-2.9</v>
      </c>
      <c r="E269" s="149">
        <v>80</v>
      </c>
      <c r="F269" s="164">
        <v>26.911962370000001</v>
      </c>
      <c r="G269" s="164">
        <v>28.009374999999999</v>
      </c>
      <c r="H269" s="164">
        <v>27.265994620000001</v>
      </c>
      <c r="I269" s="164">
        <v>25.730277780000002</v>
      </c>
      <c r="J269" s="164">
        <v>26.200672040000001</v>
      </c>
      <c r="K269" s="164">
        <v>26.18152778</v>
      </c>
      <c r="L269" s="164">
        <v>26.407392470000001</v>
      </c>
      <c r="M269" s="164">
        <v>27.459543010000001</v>
      </c>
      <c r="N269" s="164">
        <v>28.200138890000002</v>
      </c>
      <c r="O269" s="164">
        <v>28.332123660000001</v>
      </c>
      <c r="P269" s="164">
        <v>29.14083333</v>
      </c>
      <c r="Q269" s="164">
        <v>28.354838709999999</v>
      </c>
      <c r="R269" s="164">
        <v>27.34955663833334</v>
      </c>
      <c r="S269" s="159">
        <f>SUMIFS(Aux_Lista!AE:AE,Aux_Lista!AC:AC,Aux_TBS!B269,Aux_Lista!AD:AD,Aux_TBS!A269)</f>
        <v>8</v>
      </c>
      <c r="T269" s="159" t="s">
        <v>248</v>
      </c>
      <c r="U269" s="159">
        <v>38</v>
      </c>
    </row>
    <row r="270" spans="1:21" x14ac:dyDescent="0.25">
      <c r="A270" s="162" t="s">
        <v>5122</v>
      </c>
      <c r="B270" s="149" t="s">
        <v>357</v>
      </c>
      <c r="C270" s="159" t="str">
        <f t="shared" si="4"/>
        <v>Paulistana, PI</v>
      </c>
      <c r="D270" s="163">
        <v>-8.14</v>
      </c>
      <c r="E270" s="149">
        <v>374</v>
      </c>
      <c r="F270" s="164">
        <v>27.02795699</v>
      </c>
      <c r="G270" s="164">
        <v>28.720684519999999</v>
      </c>
      <c r="H270" s="164">
        <v>28.380913979999999</v>
      </c>
      <c r="I270" s="164">
        <v>26.938472220000001</v>
      </c>
      <c r="J270" s="164">
        <v>28.512231180000001</v>
      </c>
      <c r="K270" s="164">
        <v>26.04666667</v>
      </c>
      <c r="L270" s="164">
        <v>25.53319892</v>
      </c>
      <c r="M270" s="164">
        <v>26.090591400000001</v>
      </c>
      <c r="N270" s="164">
        <v>27.596250000000001</v>
      </c>
      <c r="O270" s="164">
        <v>29.691935480000001</v>
      </c>
      <c r="P270" s="164">
        <v>29.701250000000002</v>
      </c>
      <c r="Q270" s="164">
        <v>26.84180108</v>
      </c>
      <c r="R270" s="164">
        <v>27.590162703333331</v>
      </c>
      <c r="S270" s="159">
        <f>SUMIFS(Aux_Lista!AE:AE,Aux_Lista!AC:AC,Aux_TBS!B270,Aux_Lista!AD:AD,Aux_TBS!A270)</f>
        <v>7</v>
      </c>
      <c r="T270" s="159" t="s">
        <v>248</v>
      </c>
      <c r="U270" s="159">
        <v>38</v>
      </c>
    </row>
    <row r="271" spans="1:21" x14ac:dyDescent="0.25">
      <c r="A271" s="162" t="s">
        <v>5524</v>
      </c>
      <c r="B271" s="149" t="s">
        <v>357</v>
      </c>
      <c r="C271" s="159" t="str">
        <f t="shared" si="4"/>
        <v>Picos, PI</v>
      </c>
      <c r="D271" s="163">
        <v>-7.07</v>
      </c>
      <c r="E271" s="149">
        <v>233</v>
      </c>
      <c r="F271" s="164">
        <v>27.17903226</v>
      </c>
      <c r="G271" s="164">
        <v>28.653273810000002</v>
      </c>
      <c r="H271" s="164">
        <v>27.746370970000001</v>
      </c>
      <c r="I271" s="164">
        <v>26.59708333</v>
      </c>
      <c r="J271" s="164">
        <v>27.45887097</v>
      </c>
      <c r="K271" s="164">
        <v>26.35430556</v>
      </c>
      <c r="L271" s="164">
        <v>26.26169355</v>
      </c>
      <c r="M271" s="164">
        <v>27.944220430000001</v>
      </c>
      <c r="N271" s="164">
        <v>30.22583333</v>
      </c>
      <c r="O271" s="164">
        <v>30.33252688</v>
      </c>
      <c r="P271" s="164">
        <v>31.21458333</v>
      </c>
      <c r="Q271" s="164">
        <v>28.740994619999999</v>
      </c>
      <c r="R271" s="164">
        <v>28.225732419999996</v>
      </c>
      <c r="S271" s="159">
        <f>SUMIFS(Aux_Lista!AE:AE,Aux_Lista!AC:AC,Aux_TBS!B271,Aux_Lista!AD:AD,Aux_TBS!A271)</f>
        <v>7</v>
      </c>
      <c r="T271" s="159" t="s">
        <v>248</v>
      </c>
      <c r="U271" s="159">
        <v>38</v>
      </c>
    </row>
    <row r="272" spans="1:21" x14ac:dyDescent="0.25">
      <c r="A272" s="162" t="s">
        <v>5648</v>
      </c>
      <c r="B272" s="149" t="s">
        <v>357</v>
      </c>
      <c r="C272" s="159" t="str">
        <f t="shared" si="4"/>
        <v>Piripiri, PI</v>
      </c>
      <c r="D272" s="163">
        <v>-4.2699999999999996</v>
      </c>
      <c r="E272" s="149">
        <v>161</v>
      </c>
      <c r="F272" s="164">
        <v>27.34139785</v>
      </c>
      <c r="G272" s="164">
        <v>28.442857140000001</v>
      </c>
      <c r="H272" s="164">
        <v>27.37459677</v>
      </c>
      <c r="I272" s="164">
        <v>27.028888890000001</v>
      </c>
      <c r="J272" s="164">
        <v>27.15725806</v>
      </c>
      <c r="K272" s="164">
        <v>26.933611110000001</v>
      </c>
      <c r="L272" s="164">
        <v>27.77284946</v>
      </c>
      <c r="M272" s="164">
        <v>28.392069889999998</v>
      </c>
      <c r="N272" s="164">
        <v>29.316527780000001</v>
      </c>
      <c r="O272" s="164">
        <v>28.976612899999999</v>
      </c>
      <c r="P272" s="164">
        <v>28.95972222</v>
      </c>
      <c r="Q272" s="164">
        <v>27.219489249999999</v>
      </c>
      <c r="R272" s="164">
        <v>27.909656776666665</v>
      </c>
      <c r="S272" s="159">
        <f>SUMIFS(Aux_Lista!AE:AE,Aux_Lista!AC:AC,Aux_TBS!B272,Aux_Lista!AD:AD,Aux_TBS!A272)</f>
        <v>7</v>
      </c>
      <c r="T272" s="159" t="s">
        <v>248</v>
      </c>
      <c r="U272" s="159">
        <v>38</v>
      </c>
    </row>
    <row r="273" spans="1:21" x14ac:dyDescent="0.25">
      <c r="A273" s="162" t="s">
        <v>4473</v>
      </c>
      <c r="B273" s="149" t="s">
        <v>357</v>
      </c>
      <c r="C273" s="159" t="str">
        <f t="shared" si="4"/>
        <v>São João do Piauí, PI</v>
      </c>
      <c r="D273" s="163">
        <v>-8.36</v>
      </c>
      <c r="E273" s="149">
        <v>235</v>
      </c>
      <c r="F273" s="164">
        <v>26.62916667</v>
      </c>
      <c r="G273" s="164">
        <v>28.57633929</v>
      </c>
      <c r="H273" s="164">
        <v>27.698387100000001</v>
      </c>
      <c r="I273" s="164">
        <v>27.297499999999999</v>
      </c>
      <c r="J273" s="164">
        <v>29.30551075</v>
      </c>
      <c r="K273" s="164">
        <v>27.811111109999999</v>
      </c>
      <c r="L273" s="164">
        <v>27.334274189999999</v>
      </c>
      <c r="M273" s="164">
        <v>27.865456989999998</v>
      </c>
      <c r="N273" s="164">
        <v>29.283750000000001</v>
      </c>
      <c r="O273" s="164">
        <v>30.303225810000001</v>
      </c>
      <c r="P273" s="164">
        <v>29.610277780000001</v>
      </c>
      <c r="Q273" s="164">
        <v>27.232526880000002</v>
      </c>
      <c r="R273" s="164">
        <v>28.245627214166671</v>
      </c>
      <c r="S273" s="159">
        <f>SUMIFS(Aux_Lista!AE:AE,Aux_Lista!AC:AC,Aux_TBS!B273,Aux_Lista!AD:AD,Aux_TBS!A273)</f>
        <v>7</v>
      </c>
      <c r="T273" s="159" t="s">
        <v>248</v>
      </c>
      <c r="U273" s="159">
        <v>38</v>
      </c>
    </row>
    <row r="274" spans="1:21" x14ac:dyDescent="0.25">
      <c r="A274" s="162" t="s">
        <v>4678</v>
      </c>
      <c r="B274" s="149" t="s">
        <v>357</v>
      </c>
      <c r="C274" s="159" t="str">
        <f t="shared" si="4"/>
        <v>São Pedro do Piauí, PI</v>
      </c>
      <c r="D274" s="163">
        <v>-5.91</v>
      </c>
      <c r="E274" s="149">
        <v>287</v>
      </c>
      <c r="F274" s="164">
        <v>25.654704299999999</v>
      </c>
      <c r="G274" s="164">
        <v>26.365625000000001</v>
      </c>
      <c r="H274" s="164">
        <v>25.93373656</v>
      </c>
      <c r="I274" s="164">
        <v>25.917777780000002</v>
      </c>
      <c r="J274" s="164">
        <v>25.910080650000001</v>
      </c>
      <c r="K274" s="164">
        <v>24.77263889</v>
      </c>
      <c r="L274" s="164">
        <v>24.97163978</v>
      </c>
      <c r="M274" s="164">
        <v>25.84663978</v>
      </c>
      <c r="N274" s="164">
        <v>27.976388889999999</v>
      </c>
      <c r="O274" s="164">
        <v>27.596370969999999</v>
      </c>
      <c r="P274" s="164">
        <v>28.072777779999999</v>
      </c>
      <c r="Q274" s="164">
        <v>25.867741939999998</v>
      </c>
      <c r="R274" s="164">
        <v>26.240510193333336</v>
      </c>
      <c r="S274" s="159">
        <f>SUMIFS(Aux_Lista!AE:AE,Aux_Lista!AC:AC,Aux_TBS!B274,Aux_Lista!AD:AD,Aux_TBS!A274)</f>
        <v>7</v>
      </c>
      <c r="T274" s="159" t="s">
        <v>248</v>
      </c>
      <c r="U274" s="159">
        <v>38</v>
      </c>
    </row>
    <row r="275" spans="1:21" x14ac:dyDescent="0.25">
      <c r="A275" s="162" t="s">
        <v>4972</v>
      </c>
      <c r="B275" s="149" t="s">
        <v>357</v>
      </c>
      <c r="C275" s="159" t="str">
        <f t="shared" si="4"/>
        <v>São Raimundo Nonato, PI</v>
      </c>
      <c r="D275" s="163">
        <v>-9.0299999999999994</v>
      </c>
      <c r="E275" s="149">
        <v>402</v>
      </c>
      <c r="F275" s="164">
        <v>27.536962370000001</v>
      </c>
      <c r="G275" s="164">
        <v>28.40625</v>
      </c>
      <c r="H275" s="164">
        <v>27.136155909999999</v>
      </c>
      <c r="I275" s="164">
        <v>26.53763889</v>
      </c>
      <c r="J275" s="164">
        <v>26.565860220000001</v>
      </c>
      <c r="K275" s="164">
        <v>25.530416670000001</v>
      </c>
      <c r="L275" s="164">
        <v>24.926209679999999</v>
      </c>
      <c r="M275" s="164">
        <v>26.68239247</v>
      </c>
      <c r="N275" s="164">
        <v>28.228611109999999</v>
      </c>
      <c r="O275" s="164">
        <v>27.692069889999999</v>
      </c>
      <c r="P275" s="164">
        <v>28.05458333</v>
      </c>
      <c r="Q275" s="164">
        <v>27.253494620000001</v>
      </c>
      <c r="R275" s="164">
        <v>27.045887096666664</v>
      </c>
      <c r="S275" s="159">
        <f>SUMIFS(Aux_Lista!AE:AE,Aux_Lista!AC:AC,Aux_TBS!B275,Aux_Lista!AD:AD,Aux_TBS!A275)</f>
        <v>7</v>
      </c>
      <c r="T275" s="159" t="s">
        <v>248</v>
      </c>
      <c r="U275" s="159">
        <v>38</v>
      </c>
    </row>
    <row r="276" spans="1:21" x14ac:dyDescent="0.25">
      <c r="A276" s="162" t="s">
        <v>4940</v>
      </c>
      <c r="B276" s="149" t="s">
        <v>357</v>
      </c>
      <c r="C276" s="159" t="str">
        <f t="shared" si="4"/>
        <v>Teresina, PI</v>
      </c>
      <c r="D276" s="163">
        <v>-5.09</v>
      </c>
      <c r="E276" s="149">
        <v>74</v>
      </c>
      <c r="F276" s="164">
        <v>27.346774190000001</v>
      </c>
      <c r="G276" s="164">
        <v>26.48169643</v>
      </c>
      <c r="H276" s="164">
        <v>27.715725809999999</v>
      </c>
      <c r="I276" s="164">
        <v>27.103611109999999</v>
      </c>
      <c r="J276" s="164">
        <v>27.376747309999999</v>
      </c>
      <c r="K276" s="164">
        <v>26.551666669999999</v>
      </c>
      <c r="L276" s="164">
        <v>26.863844090000001</v>
      </c>
      <c r="M276" s="164">
        <v>28.330913979999998</v>
      </c>
      <c r="N276" s="164">
        <v>29.316527780000001</v>
      </c>
      <c r="O276" s="164">
        <v>28.976612899999999</v>
      </c>
      <c r="P276" s="164">
        <v>28.95972222</v>
      </c>
      <c r="Q276" s="164">
        <v>27.214247310000001</v>
      </c>
      <c r="R276" s="164">
        <v>27.68650748333334</v>
      </c>
      <c r="S276" s="159">
        <f>SUMIFS(Aux_Lista!AE:AE,Aux_Lista!AC:AC,Aux_TBS!B276,Aux_Lista!AD:AD,Aux_TBS!A276)</f>
        <v>7</v>
      </c>
      <c r="T276" s="159" t="s">
        <v>248</v>
      </c>
      <c r="U276" s="159">
        <v>38</v>
      </c>
    </row>
    <row r="277" spans="1:21" x14ac:dyDescent="0.25">
      <c r="A277" s="162" t="s">
        <v>5230</v>
      </c>
      <c r="B277" s="149" t="s">
        <v>357</v>
      </c>
      <c r="C277" s="159" t="str">
        <f t="shared" si="4"/>
        <v>Uruçuí, PI</v>
      </c>
      <c r="D277" s="163">
        <v>-7.47</v>
      </c>
      <c r="E277" s="149">
        <v>393</v>
      </c>
      <c r="F277" s="164">
        <v>25.463844089999998</v>
      </c>
      <c r="G277" s="164">
        <v>24.42782738</v>
      </c>
      <c r="H277" s="164">
        <v>24.802956989999998</v>
      </c>
      <c r="I277" s="164">
        <v>24.62277778</v>
      </c>
      <c r="J277" s="164">
        <v>24.682258059999999</v>
      </c>
      <c r="K277" s="164">
        <v>24.824027780000002</v>
      </c>
      <c r="L277" s="164">
        <v>25.93655914</v>
      </c>
      <c r="M277" s="164">
        <v>27.117204300000001</v>
      </c>
      <c r="N277" s="164">
        <v>28.854027779999999</v>
      </c>
      <c r="O277" s="164">
        <v>26.912096770000002</v>
      </c>
      <c r="P277" s="164">
        <v>26.64236111</v>
      </c>
      <c r="Q277" s="164">
        <v>25.40295699</v>
      </c>
      <c r="R277" s="164">
        <v>25.807408180833335</v>
      </c>
      <c r="S277" s="159">
        <f>SUMIFS(Aux_Lista!AE:AE,Aux_Lista!AC:AC,Aux_TBS!B277,Aux_Lista!AD:AD,Aux_TBS!A277)</f>
        <v>7</v>
      </c>
      <c r="T277" s="159" t="s">
        <v>248</v>
      </c>
      <c r="U277" s="159">
        <v>38</v>
      </c>
    </row>
    <row r="278" spans="1:21" x14ac:dyDescent="0.25">
      <c r="A278" s="162" t="s">
        <v>5542</v>
      </c>
      <c r="B278" s="149" t="s">
        <v>357</v>
      </c>
      <c r="C278" s="159" t="str">
        <f t="shared" si="4"/>
        <v>Valença do Piauí, PI</v>
      </c>
      <c r="D278" s="163">
        <v>-6.4</v>
      </c>
      <c r="E278" s="149">
        <v>301</v>
      </c>
      <c r="F278" s="164">
        <v>26.318682800000001</v>
      </c>
      <c r="G278" s="164">
        <v>27.710863100000001</v>
      </c>
      <c r="H278" s="164">
        <v>26.860349459999998</v>
      </c>
      <c r="I278" s="164">
        <v>26.615138890000001</v>
      </c>
      <c r="J278" s="164">
        <v>25.135483870000002</v>
      </c>
      <c r="K278" s="164">
        <v>25.313749999999999</v>
      </c>
      <c r="L278" s="164">
        <v>25.615725810000001</v>
      </c>
      <c r="M278" s="164">
        <v>26.593145159999999</v>
      </c>
      <c r="N278" s="164">
        <v>28.863194440000001</v>
      </c>
      <c r="O278" s="164">
        <v>28.951747309999998</v>
      </c>
      <c r="P278" s="164">
        <v>29.491527779999998</v>
      </c>
      <c r="Q278" s="164">
        <v>27.45564516</v>
      </c>
      <c r="R278" s="164">
        <v>27.077104481666669</v>
      </c>
      <c r="S278" s="159">
        <f>SUMIFS(Aux_Lista!AE:AE,Aux_Lista!AC:AC,Aux_TBS!B278,Aux_Lista!AD:AD,Aux_TBS!A278)</f>
        <v>7</v>
      </c>
      <c r="T278" s="159" t="s">
        <v>248</v>
      </c>
      <c r="U278" s="159">
        <v>38</v>
      </c>
    </row>
    <row r="279" spans="1:21" x14ac:dyDescent="0.25">
      <c r="A279" s="162" t="s">
        <v>710</v>
      </c>
      <c r="B279" s="149" t="s">
        <v>311</v>
      </c>
      <c r="C279" s="159" t="str">
        <f t="shared" si="4"/>
        <v>Castro, PR</v>
      </c>
      <c r="D279" s="163">
        <v>-24.79</v>
      </c>
      <c r="E279" s="149">
        <v>1008</v>
      </c>
      <c r="F279" s="164">
        <v>19.416397849999999</v>
      </c>
      <c r="G279" s="164">
        <v>20.488392860000001</v>
      </c>
      <c r="H279" s="164">
        <v>19.244623659999998</v>
      </c>
      <c r="I279" s="164">
        <v>17.296388889999999</v>
      </c>
      <c r="J279" s="164">
        <v>13.93360215</v>
      </c>
      <c r="K279" s="164">
        <v>13.665416670000001</v>
      </c>
      <c r="L279" s="164">
        <v>13.44596774</v>
      </c>
      <c r="M279" s="164">
        <v>14.943010749999999</v>
      </c>
      <c r="N279" s="164">
        <v>14.57847222</v>
      </c>
      <c r="O279" s="164">
        <v>17.738978490000001</v>
      </c>
      <c r="P279" s="164">
        <v>18.40777778</v>
      </c>
      <c r="Q279" s="164">
        <v>19.568682800000001</v>
      </c>
      <c r="R279" s="164">
        <v>16.893975988333334</v>
      </c>
      <c r="S279" s="159">
        <f>SUMIFS(Aux_Lista!AE:AE,Aux_Lista!AC:AC,Aux_TBS!B279,Aux_Lista!AD:AD,Aux_TBS!A279)</f>
        <v>1</v>
      </c>
      <c r="T279" s="159" t="s">
        <v>363</v>
      </c>
      <c r="U279" s="159">
        <v>40</v>
      </c>
    </row>
    <row r="280" spans="1:21" x14ac:dyDescent="0.25">
      <c r="A280" s="162" t="s">
        <v>3248</v>
      </c>
      <c r="B280" s="149" t="s">
        <v>311</v>
      </c>
      <c r="C280" s="159" t="str">
        <f t="shared" si="4"/>
        <v>Cidade Gaúcha, PR</v>
      </c>
      <c r="D280" s="163">
        <v>-23.36</v>
      </c>
      <c r="E280" s="149">
        <v>381</v>
      </c>
      <c r="F280" s="164">
        <v>24.78266129</v>
      </c>
      <c r="G280" s="164">
        <v>25.70223214</v>
      </c>
      <c r="H280" s="164">
        <v>25.238037630000001</v>
      </c>
      <c r="I280" s="164">
        <v>22.909861110000001</v>
      </c>
      <c r="J280" s="164">
        <v>19.329838710000001</v>
      </c>
      <c r="K280" s="164">
        <v>17.88291667</v>
      </c>
      <c r="L280" s="164">
        <v>20.796102149999999</v>
      </c>
      <c r="M280" s="164">
        <v>21.251612900000001</v>
      </c>
      <c r="N280" s="164">
        <v>20.50902778</v>
      </c>
      <c r="O280" s="164">
        <v>24.371908600000001</v>
      </c>
      <c r="P280" s="164">
        <v>24.72513889</v>
      </c>
      <c r="Q280" s="164">
        <v>26.45793011</v>
      </c>
      <c r="R280" s="164">
        <v>22.829772331666671</v>
      </c>
      <c r="S280" s="159">
        <f>SUMIFS(Aux_Lista!AE:AE,Aux_Lista!AC:AC,Aux_TBS!B280,Aux_Lista!AD:AD,Aux_TBS!A280)</f>
        <v>3</v>
      </c>
      <c r="T280" s="159" t="s">
        <v>363</v>
      </c>
      <c r="U280" s="159">
        <v>40</v>
      </c>
    </row>
    <row r="281" spans="1:21" x14ac:dyDescent="0.25">
      <c r="A281" s="162" t="s">
        <v>1551</v>
      </c>
      <c r="B281" s="149" t="s">
        <v>311</v>
      </c>
      <c r="C281" s="159" t="str">
        <f t="shared" si="4"/>
        <v>Clevelândia, PR</v>
      </c>
      <c r="D281" s="163">
        <v>-26.42</v>
      </c>
      <c r="E281" s="149">
        <v>980</v>
      </c>
      <c r="F281" s="164">
        <v>19.423252690000002</v>
      </c>
      <c r="G281" s="164">
        <v>21.154613099999999</v>
      </c>
      <c r="H281" s="164">
        <v>20.617607530000001</v>
      </c>
      <c r="I281" s="164">
        <v>18.630416669999999</v>
      </c>
      <c r="J281" s="164">
        <v>16.257123660000001</v>
      </c>
      <c r="K281" s="164">
        <v>13.018333330000001</v>
      </c>
      <c r="L281" s="164">
        <v>15.45846774</v>
      </c>
      <c r="M281" s="164">
        <v>15.24865591</v>
      </c>
      <c r="N281" s="164">
        <v>13.745972220000001</v>
      </c>
      <c r="O281" s="164">
        <v>17.617338709999999</v>
      </c>
      <c r="P281" s="164">
        <v>19.307777779999999</v>
      </c>
      <c r="Q281" s="164">
        <v>20.510080649999999</v>
      </c>
      <c r="R281" s="164">
        <v>17.582469999166666</v>
      </c>
      <c r="S281" s="159">
        <f>SUMIFS(Aux_Lista!AE:AE,Aux_Lista!AC:AC,Aux_TBS!B281,Aux_Lista!AD:AD,Aux_TBS!A281)</f>
        <v>1</v>
      </c>
      <c r="T281" s="159" t="s">
        <v>363</v>
      </c>
      <c r="U281" s="159">
        <v>40</v>
      </c>
    </row>
    <row r="282" spans="1:21" x14ac:dyDescent="0.25">
      <c r="A282" s="162" t="s">
        <v>711</v>
      </c>
      <c r="B282" s="149" t="s">
        <v>311</v>
      </c>
      <c r="C282" s="159" t="str">
        <f t="shared" si="4"/>
        <v>Curitiba, PR</v>
      </c>
      <c r="D282" s="163">
        <v>-25.43</v>
      </c>
      <c r="E282" s="149">
        <v>924</v>
      </c>
      <c r="F282" s="164">
        <v>19.61841398</v>
      </c>
      <c r="G282" s="164">
        <v>20.869642859999999</v>
      </c>
      <c r="H282" s="164">
        <v>19.941935480000001</v>
      </c>
      <c r="I282" s="164">
        <v>17.85347222</v>
      </c>
      <c r="J282" s="164">
        <v>15.018817200000001</v>
      </c>
      <c r="K282" s="164">
        <v>14.712638889999999</v>
      </c>
      <c r="L282" s="164">
        <v>15.39018817</v>
      </c>
      <c r="M282" s="164">
        <v>15.72459677</v>
      </c>
      <c r="N282" s="164">
        <v>14.61972222</v>
      </c>
      <c r="O282" s="164">
        <v>17.5983871</v>
      </c>
      <c r="P282" s="164">
        <v>18.009861109999999</v>
      </c>
      <c r="Q282" s="164">
        <v>19.409677420000001</v>
      </c>
      <c r="R282" s="164">
        <v>17.397279451666666</v>
      </c>
      <c r="S282" s="159">
        <f>SUMIFS(Aux_Lista!AE:AE,Aux_Lista!AC:AC,Aux_TBS!B282,Aux_Lista!AD:AD,Aux_TBS!A282)</f>
        <v>1</v>
      </c>
      <c r="T282" s="159" t="s">
        <v>363</v>
      </c>
      <c r="U282" s="159">
        <v>40</v>
      </c>
    </row>
    <row r="283" spans="1:21" x14ac:dyDescent="0.25">
      <c r="A283" s="162" t="s">
        <v>3407</v>
      </c>
      <c r="B283" s="149" t="s">
        <v>311</v>
      </c>
      <c r="C283" s="159" t="str">
        <f t="shared" si="4"/>
        <v>Diamante do Norte, PR</v>
      </c>
      <c r="D283" s="163">
        <v>-22.64</v>
      </c>
      <c r="E283" s="149">
        <v>362</v>
      </c>
      <c r="F283" s="164">
        <v>24.587499999999999</v>
      </c>
      <c r="G283" s="164">
        <v>25.64241071</v>
      </c>
      <c r="H283" s="164">
        <v>24.929166670000001</v>
      </c>
      <c r="I283" s="164">
        <v>22.858472219999999</v>
      </c>
      <c r="J283" s="164">
        <v>19.237096770000001</v>
      </c>
      <c r="K283" s="164">
        <v>18.32152778</v>
      </c>
      <c r="L283" s="164">
        <v>20.785349459999999</v>
      </c>
      <c r="M283" s="164">
        <v>21.55403226</v>
      </c>
      <c r="N283" s="164">
        <v>20.536666669999999</v>
      </c>
      <c r="O283" s="164">
        <v>24.496908600000001</v>
      </c>
      <c r="P283" s="164">
        <v>24.511111110000002</v>
      </c>
      <c r="Q283" s="164">
        <v>26.195295699999999</v>
      </c>
      <c r="R283" s="164">
        <v>22.804628162499998</v>
      </c>
      <c r="S283" s="159">
        <f>SUMIFS(Aux_Lista!AE:AE,Aux_Lista!AC:AC,Aux_TBS!B283,Aux_Lista!AD:AD,Aux_TBS!A283)</f>
        <v>3</v>
      </c>
      <c r="T283" s="159" t="s">
        <v>363</v>
      </c>
      <c r="U283" s="159">
        <v>40</v>
      </c>
    </row>
    <row r="284" spans="1:21" x14ac:dyDescent="0.25">
      <c r="A284" s="162" t="s">
        <v>1729</v>
      </c>
      <c r="B284" s="149" t="s">
        <v>311</v>
      </c>
      <c r="C284" s="159" t="str">
        <f t="shared" si="4"/>
        <v>Dois Vizinhos, PR</v>
      </c>
      <c r="D284" s="163">
        <v>-25.69</v>
      </c>
      <c r="E284" s="149">
        <v>520</v>
      </c>
      <c r="F284" s="164">
        <v>23.181586020000001</v>
      </c>
      <c r="G284" s="164">
        <v>23.450595239999998</v>
      </c>
      <c r="H284" s="164">
        <v>22.699865590000002</v>
      </c>
      <c r="I284" s="164">
        <v>19.299305560000001</v>
      </c>
      <c r="J284" s="164">
        <v>16.765322579999999</v>
      </c>
      <c r="K284" s="164">
        <v>14.682499999999999</v>
      </c>
      <c r="L284" s="164">
        <v>17.616801079999998</v>
      </c>
      <c r="M284" s="164">
        <v>18.511424730000002</v>
      </c>
      <c r="N284" s="164">
        <v>17.216666669999999</v>
      </c>
      <c r="O284" s="164">
        <v>20.830107529999999</v>
      </c>
      <c r="P284" s="164">
        <v>22.31180556</v>
      </c>
      <c r="Q284" s="164">
        <v>23.766397850000001</v>
      </c>
      <c r="R284" s="164">
        <v>20.027698200833335</v>
      </c>
      <c r="S284" s="159">
        <f>SUMIFS(Aux_Lista!AE:AE,Aux_Lista!AC:AC,Aux_TBS!B284,Aux_Lista!AD:AD,Aux_TBS!A284)</f>
        <v>2</v>
      </c>
      <c r="T284" s="159" t="s">
        <v>363</v>
      </c>
      <c r="U284" s="159">
        <v>40</v>
      </c>
    </row>
    <row r="285" spans="1:21" x14ac:dyDescent="0.25">
      <c r="A285" s="162" t="s">
        <v>3585</v>
      </c>
      <c r="B285" s="149" t="s">
        <v>311</v>
      </c>
      <c r="C285" s="159" t="str">
        <f t="shared" si="4"/>
        <v>Foz do Iguaçu, PR</v>
      </c>
      <c r="D285" s="163">
        <v>-25.6</v>
      </c>
      <c r="E285" s="149">
        <v>231</v>
      </c>
      <c r="F285" s="164">
        <v>25.994220429999999</v>
      </c>
      <c r="G285" s="164">
        <v>26.32857143</v>
      </c>
      <c r="H285" s="164">
        <v>25.117607530000001</v>
      </c>
      <c r="I285" s="164">
        <v>22.489027780000001</v>
      </c>
      <c r="J285" s="164">
        <v>18.87311828</v>
      </c>
      <c r="K285" s="164">
        <v>14.294166669999999</v>
      </c>
      <c r="L285" s="164">
        <v>14.926881720000001</v>
      </c>
      <c r="M285" s="164">
        <v>18.649999999999999</v>
      </c>
      <c r="N285" s="164">
        <v>18.796388889999999</v>
      </c>
      <c r="O285" s="164">
        <v>22.173387099999999</v>
      </c>
      <c r="P285" s="164">
        <v>25.766249999999999</v>
      </c>
      <c r="Q285" s="164">
        <v>25.393682800000001</v>
      </c>
      <c r="R285" s="164">
        <v>21.566941885833341</v>
      </c>
      <c r="S285" s="159">
        <f>SUMIFS(Aux_Lista!AE:AE,Aux_Lista!AC:AC,Aux_TBS!B285,Aux_Lista!AD:AD,Aux_TBS!A285)</f>
        <v>3</v>
      </c>
      <c r="T285" s="159" t="s">
        <v>363</v>
      </c>
      <c r="U285" s="159">
        <v>40</v>
      </c>
    </row>
    <row r="286" spans="1:21" x14ac:dyDescent="0.25">
      <c r="A286" s="162" t="s">
        <v>1751</v>
      </c>
      <c r="B286" s="149" t="s">
        <v>311</v>
      </c>
      <c r="C286" s="159" t="str">
        <f t="shared" si="4"/>
        <v>General Carneiro, PR</v>
      </c>
      <c r="D286" s="163">
        <v>-26.4</v>
      </c>
      <c r="E286" s="149">
        <v>1018</v>
      </c>
      <c r="F286" s="164">
        <v>18.568010749999999</v>
      </c>
      <c r="G286" s="164">
        <v>20.177976189999999</v>
      </c>
      <c r="H286" s="164">
        <v>19.23413978</v>
      </c>
      <c r="I286" s="164">
        <v>15.71777778</v>
      </c>
      <c r="J286" s="164">
        <v>13.80215054</v>
      </c>
      <c r="K286" s="164">
        <v>11.342083329999999</v>
      </c>
      <c r="L286" s="164">
        <v>11.923387099999999</v>
      </c>
      <c r="M286" s="164">
        <v>13.62446237</v>
      </c>
      <c r="N286" s="164">
        <v>13.07375</v>
      </c>
      <c r="O286" s="164">
        <v>16.480376339999999</v>
      </c>
      <c r="P286" s="164">
        <v>17.420277779999999</v>
      </c>
      <c r="Q286" s="164">
        <v>18.967069890000001</v>
      </c>
      <c r="R286" s="164">
        <v>15.860955154166666</v>
      </c>
      <c r="S286" s="159">
        <f>SUMIFS(Aux_Lista!AE:AE,Aux_Lista!AC:AC,Aux_TBS!B286,Aux_Lista!AD:AD,Aux_TBS!A286)</f>
        <v>2</v>
      </c>
      <c r="T286" s="159" t="s">
        <v>363</v>
      </c>
      <c r="U286" s="159">
        <v>40</v>
      </c>
    </row>
    <row r="287" spans="1:21" x14ac:dyDescent="0.25">
      <c r="A287" s="162" t="s">
        <v>712</v>
      </c>
      <c r="B287" s="149" t="s">
        <v>311</v>
      </c>
      <c r="C287" s="159" t="str">
        <f t="shared" si="4"/>
        <v>Ibaiti, PR</v>
      </c>
      <c r="D287" s="163">
        <v>-23.77</v>
      </c>
      <c r="E287" s="149">
        <v>930</v>
      </c>
      <c r="F287" s="164">
        <v>21.779973120000001</v>
      </c>
      <c r="G287" s="164">
        <v>23.456101189999998</v>
      </c>
      <c r="H287" s="164">
        <v>23.09045699</v>
      </c>
      <c r="I287" s="164">
        <v>20.205138890000001</v>
      </c>
      <c r="J287" s="164">
        <v>17.417741939999999</v>
      </c>
      <c r="K287" s="164">
        <v>16.710972219999999</v>
      </c>
      <c r="L287" s="164">
        <v>18.31196237</v>
      </c>
      <c r="M287" s="164">
        <v>18.68561828</v>
      </c>
      <c r="N287" s="164">
        <v>18.16680556</v>
      </c>
      <c r="O287" s="164">
        <v>21.11330645</v>
      </c>
      <c r="P287" s="164">
        <v>21.246388889999999</v>
      </c>
      <c r="Q287" s="164">
        <v>22.559139779999999</v>
      </c>
      <c r="R287" s="164">
        <v>20.228633806666668</v>
      </c>
      <c r="S287" s="159">
        <f>SUMIFS(Aux_Lista!AE:AE,Aux_Lista!AC:AC,Aux_TBS!B287,Aux_Lista!AD:AD,Aux_TBS!A287)</f>
        <v>2</v>
      </c>
      <c r="T287" s="159" t="s">
        <v>363</v>
      </c>
      <c r="U287" s="159">
        <v>40</v>
      </c>
    </row>
    <row r="288" spans="1:21" x14ac:dyDescent="0.25">
      <c r="A288" s="162" t="s">
        <v>3370</v>
      </c>
      <c r="B288" s="149" t="s">
        <v>311</v>
      </c>
      <c r="C288" s="159" t="str">
        <f t="shared" si="4"/>
        <v>Icaraíma, PR</v>
      </c>
      <c r="D288" s="163">
        <v>-23.4</v>
      </c>
      <c r="E288" s="149">
        <v>385</v>
      </c>
      <c r="F288" s="164">
        <v>25.455510749999998</v>
      </c>
      <c r="G288" s="164">
        <v>26.215922620000001</v>
      </c>
      <c r="H288" s="164">
        <v>25.354435479999999</v>
      </c>
      <c r="I288" s="164">
        <v>23.16111111</v>
      </c>
      <c r="J288" s="164">
        <v>18.41330645</v>
      </c>
      <c r="K288" s="164">
        <v>19.628888889999999</v>
      </c>
      <c r="L288" s="164">
        <v>18.777419349999999</v>
      </c>
      <c r="M288" s="164">
        <v>19.958736559999998</v>
      </c>
      <c r="N288" s="164">
        <v>22.288194440000002</v>
      </c>
      <c r="O288" s="164">
        <v>21.892876340000001</v>
      </c>
      <c r="P288" s="164">
        <v>23.496805559999999</v>
      </c>
      <c r="Q288" s="164">
        <v>24.674327959999999</v>
      </c>
      <c r="R288" s="164">
        <v>22.443127959166663</v>
      </c>
      <c r="S288" s="159">
        <f>SUMIFS(Aux_Lista!AE:AE,Aux_Lista!AC:AC,Aux_TBS!B288,Aux_Lista!AD:AD,Aux_TBS!A288)</f>
        <v>3</v>
      </c>
      <c r="T288" s="159" t="s">
        <v>363</v>
      </c>
      <c r="U288" s="159">
        <v>40</v>
      </c>
    </row>
    <row r="289" spans="1:21" x14ac:dyDescent="0.25">
      <c r="A289" s="162" t="s">
        <v>3076</v>
      </c>
      <c r="B289" s="149" t="s">
        <v>311</v>
      </c>
      <c r="C289" s="159" t="str">
        <f t="shared" si="4"/>
        <v>Paranaguá, PR</v>
      </c>
      <c r="D289" s="163">
        <v>-25.57</v>
      </c>
      <c r="E289" s="149">
        <v>1</v>
      </c>
      <c r="F289" s="164">
        <v>24.33763441</v>
      </c>
      <c r="G289" s="164">
        <v>24.80238095</v>
      </c>
      <c r="H289" s="164">
        <v>24.267069889999998</v>
      </c>
      <c r="I289" s="164">
        <v>21.89569444</v>
      </c>
      <c r="J289" s="164">
        <v>19.63534946</v>
      </c>
      <c r="K289" s="164">
        <v>17.52263889</v>
      </c>
      <c r="L289" s="164">
        <v>18.459677419999998</v>
      </c>
      <c r="M289" s="164">
        <v>18.780645159999999</v>
      </c>
      <c r="N289" s="164">
        <v>18.270277780000001</v>
      </c>
      <c r="O289" s="164">
        <v>20.699596769999999</v>
      </c>
      <c r="P289" s="164">
        <v>21.99027778</v>
      </c>
      <c r="Q289" s="164">
        <v>22.303494619999999</v>
      </c>
      <c r="R289" s="164">
        <v>21.080394797500002</v>
      </c>
      <c r="S289" s="159">
        <f>SUMIFS(Aux_Lista!AE:AE,Aux_Lista!AC:AC,Aux_TBS!B289,Aux_Lista!AD:AD,Aux_TBS!A289)</f>
        <v>3</v>
      </c>
      <c r="T289" s="159" t="s">
        <v>363</v>
      </c>
      <c r="U289" s="159">
        <v>40</v>
      </c>
    </row>
    <row r="290" spans="1:21" x14ac:dyDescent="0.25">
      <c r="A290" s="162" t="s">
        <v>1400</v>
      </c>
      <c r="B290" s="149" t="s">
        <v>311</v>
      </c>
      <c r="C290" s="159" t="str">
        <f t="shared" si="4"/>
        <v>Inácio Martins, PR</v>
      </c>
      <c r="D290" s="163">
        <v>-25.57</v>
      </c>
      <c r="E290" s="149">
        <v>1260</v>
      </c>
      <c r="F290" s="164">
        <v>19.496505379999999</v>
      </c>
      <c r="G290" s="164">
        <v>19.376190480000002</v>
      </c>
      <c r="H290" s="164">
        <v>19.757661290000001</v>
      </c>
      <c r="I290" s="164">
        <v>16.943611109999999</v>
      </c>
      <c r="J290" s="164">
        <v>13.113844090000001</v>
      </c>
      <c r="K290" s="164">
        <v>14.20805556</v>
      </c>
      <c r="L290" s="164">
        <v>11.971370970000001</v>
      </c>
      <c r="M290" s="164">
        <v>13.74005376</v>
      </c>
      <c r="N290" s="164">
        <v>17.279305560000001</v>
      </c>
      <c r="O290" s="164">
        <v>14.77836022</v>
      </c>
      <c r="P290" s="164">
        <v>17.19458333</v>
      </c>
      <c r="Q290" s="164">
        <v>17.92862903</v>
      </c>
      <c r="R290" s="164">
        <v>16.315680898333333</v>
      </c>
      <c r="S290" s="159">
        <f>SUMIFS(Aux_Lista!AE:AE,Aux_Lista!AC:AC,Aux_TBS!B290,Aux_Lista!AD:AD,Aux_TBS!A290)</f>
        <v>2</v>
      </c>
      <c r="T290" s="159" t="s">
        <v>363</v>
      </c>
      <c r="U290" s="159">
        <v>40</v>
      </c>
    </row>
    <row r="291" spans="1:21" x14ac:dyDescent="0.25">
      <c r="A291" s="162" t="s">
        <v>1747</v>
      </c>
      <c r="B291" s="149" t="s">
        <v>311</v>
      </c>
      <c r="C291" s="159" t="str">
        <f t="shared" si="4"/>
        <v>Ivaí, PR</v>
      </c>
      <c r="D291" s="163">
        <v>-25.01</v>
      </c>
      <c r="E291" s="149">
        <v>808</v>
      </c>
      <c r="F291" s="164">
        <v>22.39314516</v>
      </c>
      <c r="G291" s="164">
        <v>22.217559519999998</v>
      </c>
      <c r="H291" s="164">
        <v>22.163575269999999</v>
      </c>
      <c r="I291" s="164">
        <v>19.757638889999999</v>
      </c>
      <c r="J291" s="164">
        <v>15.8375</v>
      </c>
      <c r="K291" s="164">
        <v>15.717083329999999</v>
      </c>
      <c r="L291" s="164">
        <v>13.794892470000001</v>
      </c>
      <c r="M291" s="164">
        <v>17.295967739999998</v>
      </c>
      <c r="N291" s="164">
        <v>16.766388890000002</v>
      </c>
      <c r="O291" s="164">
        <v>20.190188169999999</v>
      </c>
      <c r="P291" s="164">
        <v>20.632361110000002</v>
      </c>
      <c r="Q291" s="164">
        <v>22.50981183</v>
      </c>
      <c r="R291" s="164">
        <v>19.106342698333332</v>
      </c>
      <c r="S291" s="159">
        <f>SUMIFS(Aux_Lista!AE:AE,Aux_Lista!AC:AC,Aux_TBS!B291,Aux_Lista!AD:AD,Aux_TBS!A291)</f>
        <v>2</v>
      </c>
      <c r="T291" s="159" t="s">
        <v>363</v>
      </c>
      <c r="U291" s="159">
        <v>40</v>
      </c>
    </row>
    <row r="292" spans="1:21" x14ac:dyDescent="0.25">
      <c r="A292" s="162" t="s">
        <v>3545</v>
      </c>
      <c r="B292" s="149" t="s">
        <v>311</v>
      </c>
      <c r="C292" s="159" t="str">
        <f t="shared" si="4"/>
        <v>Joaquim Távora, PR</v>
      </c>
      <c r="D292" s="163">
        <v>-23.5</v>
      </c>
      <c r="E292" s="149">
        <v>522</v>
      </c>
      <c r="F292" s="164">
        <v>22.955913979999998</v>
      </c>
      <c r="G292" s="164">
        <v>23.466815480000001</v>
      </c>
      <c r="H292" s="164">
        <v>22.759005380000001</v>
      </c>
      <c r="I292" s="164">
        <v>20.703749999999999</v>
      </c>
      <c r="J292" s="164">
        <v>16.90443548</v>
      </c>
      <c r="K292" s="164">
        <v>16.533194439999999</v>
      </c>
      <c r="L292" s="164">
        <v>17.27889785</v>
      </c>
      <c r="M292" s="164">
        <v>18.972849459999999</v>
      </c>
      <c r="N292" s="164">
        <v>18.74847222</v>
      </c>
      <c r="O292" s="164">
        <v>22.04663978</v>
      </c>
      <c r="P292" s="164">
        <v>22.390138889999999</v>
      </c>
      <c r="Q292" s="164">
        <v>23.54112903</v>
      </c>
      <c r="R292" s="164">
        <v>20.525103499166665</v>
      </c>
      <c r="S292" s="159">
        <f>SUMIFS(Aux_Lista!AE:AE,Aux_Lista!AC:AC,Aux_TBS!B292,Aux_Lista!AD:AD,Aux_TBS!A292)</f>
        <v>2</v>
      </c>
      <c r="T292" s="159" t="s">
        <v>363</v>
      </c>
      <c r="U292" s="159">
        <v>40</v>
      </c>
    </row>
    <row r="293" spans="1:21" x14ac:dyDescent="0.25">
      <c r="A293" s="162" t="s">
        <v>3780</v>
      </c>
      <c r="B293" s="149" t="s">
        <v>311</v>
      </c>
      <c r="C293" s="159" t="str">
        <f t="shared" si="4"/>
        <v>Londrina, PR</v>
      </c>
      <c r="D293" s="163">
        <v>-23.38</v>
      </c>
      <c r="E293" s="149">
        <v>566</v>
      </c>
      <c r="F293" s="164">
        <v>23.900403229999998</v>
      </c>
      <c r="G293" s="164">
        <v>23.98854167</v>
      </c>
      <c r="H293" s="164">
        <v>24.199596769999999</v>
      </c>
      <c r="I293" s="164">
        <v>22.925416670000001</v>
      </c>
      <c r="J293" s="164">
        <v>18.535215050000001</v>
      </c>
      <c r="K293" s="164">
        <v>18.684583329999999</v>
      </c>
      <c r="L293" s="164">
        <v>16.613440860000001</v>
      </c>
      <c r="M293" s="164">
        <v>19.711827960000001</v>
      </c>
      <c r="N293" s="164">
        <v>23.300694440000001</v>
      </c>
      <c r="O293" s="164">
        <v>23.494086020000001</v>
      </c>
      <c r="P293" s="164">
        <v>22.737500000000001</v>
      </c>
      <c r="Q293" s="164">
        <v>24.097715050000001</v>
      </c>
      <c r="R293" s="164">
        <v>21.849085087500001</v>
      </c>
      <c r="S293" s="159">
        <f>SUMIFS(Aux_Lista!AE:AE,Aux_Lista!AC:AC,Aux_TBS!B293,Aux_Lista!AD:AD,Aux_TBS!A293)</f>
        <v>3</v>
      </c>
      <c r="T293" s="159" t="s">
        <v>363</v>
      </c>
      <c r="U293" s="159">
        <v>40</v>
      </c>
    </row>
    <row r="294" spans="1:21" x14ac:dyDescent="0.25">
      <c r="A294" s="162" t="s">
        <v>3440</v>
      </c>
      <c r="B294" s="149" t="s">
        <v>311</v>
      </c>
      <c r="C294" s="159" t="str">
        <f t="shared" si="4"/>
        <v>Marechal Cândido Rondon, PR</v>
      </c>
      <c r="D294" s="163">
        <v>-24.56</v>
      </c>
      <c r="E294" s="149">
        <v>392</v>
      </c>
      <c r="F294" s="164">
        <v>23.90537634</v>
      </c>
      <c r="G294" s="164">
        <v>24.328422620000001</v>
      </c>
      <c r="H294" s="164">
        <v>24.061827959999999</v>
      </c>
      <c r="I294" s="164">
        <v>21.392777779999999</v>
      </c>
      <c r="J294" s="164">
        <v>17.76908602</v>
      </c>
      <c r="K294" s="164">
        <v>15.836527780000001</v>
      </c>
      <c r="L294" s="164">
        <v>19.274999999999999</v>
      </c>
      <c r="M294" s="164">
        <v>20.186693550000001</v>
      </c>
      <c r="N294" s="164">
        <v>18.60430556</v>
      </c>
      <c r="O294" s="164">
        <v>23.16612903</v>
      </c>
      <c r="P294" s="164">
        <v>23.507222219999999</v>
      </c>
      <c r="Q294" s="164">
        <v>24.884274189999999</v>
      </c>
      <c r="R294" s="164">
        <v>21.409803587499997</v>
      </c>
      <c r="S294" s="159">
        <f>SUMIFS(Aux_Lista!AE:AE,Aux_Lista!AC:AC,Aux_TBS!B294,Aux_Lista!AD:AD,Aux_TBS!A294)</f>
        <v>3</v>
      </c>
      <c r="T294" s="159" t="s">
        <v>363</v>
      </c>
      <c r="U294" s="159">
        <v>40</v>
      </c>
    </row>
    <row r="295" spans="1:21" x14ac:dyDescent="0.25">
      <c r="A295" s="162" t="s">
        <v>3414</v>
      </c>
      <c r="B295" s="149" t="s">
        <v>311</v>
      </c>
      <c r="C295" s="159" t="str">
        <f t="shared" si="4"/>
        <v>Maringá, PR</v>
      </c>
      <c r="D295" s="163">
        <v>-23.42</v>
      </c>
      <c r="E295" s="149">
        <v>542</v>
      </c>
      <c r="F295" s="164">
        <v>24.389516130000001</v>
      </c>
      <c r="G295" s="164">
        <v>24.858184519999998</v>
      </c>
      <c r="H295" s="164">
        <v>25.305107530000001</v>
      </c>
      <c r="I295" s="164">
        <v>24.014583330000001</v>
      </c>
      <c r="J295" s="164">
        <v>19.588709680000001</v>
      </c>
      <c r="K295" s="164">
        <v>20.261944440000001</v>
      </c>
      <c r="L295" s="164">
        <v>18.854838709999999</v>
      </c>
      <c r="M295" s="164">
        <v>21.024999999999999</v>
      </c>
      <c r="N295" s="164">
        <v>25.160555559999999</v>
      </c>
      <c r="O295" s="164">
        <v>23.925268819999999</v>
      </c>
      <c r="P295" s="164">
        <v>24.015138889999999</v>
      </c>
      <c r="Q295" s="164">
        <v>25.146102150000001</v>
      </c>
      <c r="R295" s="164">
        <v>23.04541248</v>
      </c>
      <c r="S295" s="159">
        <f>SUMIFS(Aux_Lista!AE:AE,Aux_Lista!AC:AC,Aux_TBS!B295,Aux_Lista!AD:AD,Aux_TBS!A295)</f>
        <v>1</v>
      </c>
      <c r="T295" s="159" t="s">
        <v>363</v>
      </c>
      <c r="U295" s="159">
        <v>40</v>
      </c>
    </row>
    <row r="296" spans="1:21" x14ac:dyDescent="0.25">
      <c r="A296" s="162" t="s">
        <v>2229</v>
      </c>
      <c r="B296" s="149" t="s">
        <v>311</v>
      </c>
      <c r="C296" s="159" t="str">
        <f t="shared" si="4"/>
        <v>Nova Fátima, PR</v>
      </c>
      <c r="D296" s="163">
        <v>-23.43</v>
      </c>
      <c r="E296" s="149">
        <v>668</v>
      </c>
      <c r="F296" s="164">
        <v>21.870698919999999</v>
      </c>
      <c r="G296" s="164">
        <v>22.617261899999999</v>
      </c>
      <c r="H296" s="164">
        <v>22.12688172</v>
      </c>
      <c r="I296" s="164">
        <v>20.775694439999999</v>
      </c>
      <c r="J296" s="164">
        <v>18.44637097</v>
      </c>
      <c r="K296" s="164">
        <v>19.487361109999998</v>
      </c>
      <c r="L296" s="164">
        <v>16.929704300000001</v>
      </c>
      <c r="M296" s="164">
        <v>19.543951610000001</v>
      </c>
      <c r="N296" s="164">
        <v>23.169583329999998</v>
      </c>
      <c r="O296" s="164">
        <v>19.977822580000002</v>
      </c>
      <c r="P296" s="164">
        <v>21.96430556</v>
      </c>
      <c r="Q296" s="164">
        <v>22.59139785</v>
      </c>
      <c r="R296" s="164">
        <v>20.791752857499997</v>
      </c>
      <c r="S296" s="159">
        <f>SUMIFS(Aux_Lista!AE:AE,Aux_Lista!AC:AC,Aux_TBS!B296,Aux_Lista!AD:AD,Aux_TBS!A296)</f>
        <v>3</v>
      </c>
      <c r="T296" s="159" t="s">
        <v>363</v>
      </c>
      <c r="U296" s="159">
        <v>40</v>
      </c>
    </row>
    <row r="297" spans="1:21" x14ac:dyDescent="0.25">
      <c r="A297" s="162" t="s">
        <v>566</v>
      </c>
      <c r="B297" s="149" t="s">
        <v>311</v>
      </c>
      <c r="C297" s="159" t="str">
        <f t="shared" si="4"/>
        <v>Nova Tebas, PR</v>
      </c>
      <c r="D297" s="163">
        <v>-24.44</v>
      </c>
      <c r="E297" s="149">
        <v>654</v>
      </c>
      <c r="F297" s="164">
        <v>22.421370970000002</v>
      </c>
      <c r="G297" s="164">
        <v>22.937351190000001</v>
      </c>
      <c r="H297" s="164">
        <v>22.291263440000002</v>
      </c>
      <c r="I297" s="164">
        <v>19.985972220000001</v>
      </c>
      <c r="J297" s="164">
        <v>17.33252688</v>
      </c>
      <c r="K297" s="164">
        <v>16.06666667</v>
      </c>
      <c r="L297" s="164">
        <v>17.93844086</v>
      </c>
      <c r="M297" s="164">
        <v>18.72580645</v>
      </c>
      <c r="N297" s="164">
        <v>18.085000000000001</v>
      </c>
      <c r="O297" s="164">
        <v>21.425000000000001</v>
      </c>
      <c r="P297" s="164">
        <v>21.933611110000001</v>
      </c>
      <c r="Q297" s="164">
        <v>23.389784949999999</v>
      </c>
      <c r="R297" s="164">
        <v>20.211066228333333</v>
      </c>
      <c r="S297" s="159">
        <f>SUMIFS(Aux_Lista!AE:AE,Aux_Lista!AC:AC,Aux_TBS!B297,Aux_Lista!AD:AD,Aux_TBS!A297)</f>
        <v>2</v>
      </c>
      <c r="T297" s="159" t="s">
        <v>363</v>
      </c>
      <c r="U297" s="159">
        <v>40</v>
      </c>
    </row>
    <row r="298" spans="1:21" x14ac:dyDescent="0.25">
      <c r="A298" s="162" t="s">
        <v>3470</v>
      </c>
      <c r="B298" s="149" t="s">
        <v>311</v>
      </c>
      <c r="C298" s="159" t="str">
        <f t="shared" si="4"/>
        <v>Paranapoema, PR</v>
      </c>
      <c r="D298" s="163">
        <v>-22.49</v>
      </c>
      <c r="E298" s="149">
        <v>311</v>
      </c>
      <c r="F298" s="164">
        <v>24.838709680000001</v>
      </c>
      <c r="G298" s="164">
        <v>25.963839289999999</v>
      </c>
      <c r="H298" s="164">
        <v>24.35497312</v>
      </c>
      <c r="I298" s="164">
        <v>23.104166670000001</v>
      </c>
      <c r="J298" s="164">
        <v>19.152284949999999</v>
      </c>
      <c r="K298" s="164">
        <v>18.648472219999999</v>
      </c>
      <c r="L298" s="164">
        <v>20.4016129</v>
      </c>
      <c r="M298" s="164">
        <v>21.52607527</v>
      </c>
      <c r="N298" s="164">
        <v>20.792777780000002</v>
      </c>
      <c r="O298" s="164">
        <v>24.76491935</v>
      </c>
      <c r="P298" s="164">
        <v>24.684722220000001</v>
      </c>
      <c r="Q298" s="164">
        <v>26.34045699</v>
      </c>
      <c r="R298" s="164">
        <v>22.88108420333333</v>
      </c>
      <c r="S298" s="159">
        <f>SUMIFS(Aux_Lista!AE:AE,Aux_Lista!AC:AC,Aux_TBS!B298,Aux_Lista!AD:AD,Aux_TBS!A298)</f>
        <v>3</v>
      </c>
      <c r="T298" s="159" t="s">
        <v>363</v>
      </c>
      <c r="U298" s="159">
        <v>40</v>
      </c>
    </row>
    <row r="299" spans="1:21" x14ac:dyDescent="0.25">
      <c r="A299" s="162" t="s">
        <v>1620</v>
      </c>
      <c r="B299" s="149" t="s">
        <v>311</v>
      </c>
      <c r="C299" s="159" t="str">
        <f t="shared" si="4"/>
        <v>Planalto, PR</v>
      </c>
      <c r="D299" s="163">
        <v>-25.72</v>
      </c>
      <c r="E299" s="149">
        <v>346</v>
      </c>
      <c r="F299" s="164">
        <v>25.20793011</v>
      </c>
      <c r="G299" s="164">
        <v>25.501041669999999</v>
      </c>
      <c r="H299" s="164">
        <v>24.14596774</v>
      </c>
      <c r="I299" s="164">
        <v>21.05347222</v>
      </c>
      <c r="J299" s="164">
        <v>17.333602150000001</v>
      </c>
      <c r="K299" s="164">
        <v>15.51527778</v>
      </c>
      <c r="L299" s="164">
        <v>18.847311829999999</v>
      </c>
      <c r="M299" s="164">
        <v>19.246505379999999</v>
      </c>
      <c r="N299" s="164">
        <v>18.0975</v>
      </c>
      <c r="O299" s="164">
        <v>22.09986559</v>
      </c>
      <c r="P299" s="164">
        <v>23.765138889999999</v>
      </c>
      <c r="Q299" s="164">
        <v>25.265053760000001</v>
      </c>
      <c r="R299" s="164">
        <v>21.339888926666664</v>
      </c>
      <c r="S299" s="159">
        <f>SUMIFS(Aux_Lista!AE:AE,Aux_Lista!AC:AC,Aux_TBS!B299,Aux_Lista!AD:AD,Aux_TBS!A299)</f>
        <v>2</v>
      </c>
      <c r="T299" s="159" t="s">
        <v>363</v>
      </c>
      <c r="U299" s="159">
        <v>40</v>
      </c>
    </row>
    <row r="300" spans="1:21" x14ac:dyDescent="0.25">
      <c r="A300" s="162" t="s">
        <v>1799</v>
      </c>
      <c r="B300" s="149" t="s">
        <v>358</v>
      </c>
      <c r="C300" s="159" t="str">
        <f t="shared" si="4"/>
        <v>Arraial do Cabo, RJ</v>
      </c>
      <c r="D300" s="163">
        <v>-22.97</v>
      </c>
      <c r="E300" s="149">
        <v>4</v>
      </c>
      <c r="F300" s="164">
        <v>23.199327960000002</v>
      </c>
      <c r="G300" s="164">
        <v>24.702083330000001</v>
      </c>
      <c r="H300" s="164">
        <v>25.243548390000001</v>
      </c>
      <c r="I300" s="164">
        <v>24.525416669999998</v>
      </c>
      <c r="J300" s="164">
        <v>22.59233871</v>
      </c>
      <c r="K300" s="164">
        <v>21.997916669999999</v>
      </c>
      <c r="L300" s="164">
        <v>21.46827957</v>
      </c>
      <c r="M300" s="164">
        <v>21.822043010000002</v>
      </c>
      <c r="N300" s="164">
        <v>21.226388889999999</v>
      </c>
      <c r="O300" s="164">
        <v>22.235483869999999</v>
      </c>
      <c r="P300" s="164">
        <v>22.989166669999999</v>
      </c>
      <c r="Q300" s="164">
        <v>23.304301079999998</v>
      </c>
      <c r="R300" s="164">
        <v>22.942191234999999</v>
      </c>
      <c r="S300" s="159">
        <f>SUMIFS(Aux_Lista!AE:AE,Aux_Lista!AC:AC,Aux_TBS!B300,Aux_Lista!AD:AD,Aux_TBS!A300)</f>
        <v>3</v>
      </c>
      <c r="T300" s="159" t="s">
        <v>318</v>
      </c>
      <c r="U300" s="159">
        <v>40</v>
      </c>
    </row>
    <row r="301" spans="1:21" x14ac:dyDescent="0.25">
      <c r="A301" s="162" t="s">
        <v>3525</v>
      </c>
      <c r="B301" s="149" t="s">
        <v>358</v>
      </c>
      <c r="C301" s="159" t="str">
        <f t="shared" si="4"/>
        <v>Cambuci, RJ</v>
      </c>
      <c r="D301" s="163">
        <v>-21.58</v>
      </c>
      <c r="E301" s="149">
        <v>35</v>
      </c>
      <c r="F301" s="164">
        <v>26.0938172</v>
      </c>
      <c r="G301" s="164">
        <v>25.324999999999999</v>
      </c>
      <c r="H301" s="164">
        <v>25.957392469999998</v>
      </c>
      <c r="I301" s="164">
        <v>25.03944444</v>
      </c>
      <c r="J301" s="164">
        <v>22.243817199999999</v>
      </c>
      <c r="K301" s="164">
        <v>20.21986111</v>
      </c>
      <c r="L301" s="164">
        <v>19.008064520000001</v>
      </c>
      <c r="M301" s="164">
        <v>21.78548387</v>
      </c>
      <c r="N301" s="164">
        <v>21.874444440000001</v>
      </c>
      <c r="O301" s="164">
        <v>24.390053760000001</v>
      </c>
      <c r="P301" s="164">
        <v>23.734722219999998</v>
      </c>
      <c r="Q301" s="164">
        <v>24.097177420000001</v>
      </c>
      <c r="R301" s="164">
        <v>23.314106554166667</v>
      </c>
      <c r="S301" s="159">
        <f>SUMIFS(Aux_Lista!AE:AE,Aux_Lista!AC:AC,Aux_TBS!B301,Aux_Lista!AD:AD,Aux_TBS!A301)</f>
        <v>5</v>
      </c>
      <c r="T301" s="159" t="s">
        <v>318</v>
      </c>
      <c r="U301" s="159">
        <v>40</v>
      </c>
    </row>
    <row r="302" spans="1:21" x14ac:dyDescent="0.25">
      <c r="A302" s="162" t="s">
        <v>3119</v>
      </c>
      <c r="B302" s="149" t="s">
        <v>358</v>
      </c>
      <c r="C302" s="159" t="str">
        <f t="shared" si="4"/>
        <v>Campos dos Goytacazes, RJ</v>
      </c>
      <c r="D302" s="163">
        <v>-21.75</v>
      </c>
      <c r="E302" s="149">
        <v>25</v>
      </c>
      <c r="F302" s="164">
        <v>25.71680108</v>
      </c>
      <c r="G302" s="164">
        <v>26.86904762</v>
      </c>
      <c r="H302" s="164">
        <v>26.247446239999999</v>
      </c>
      <c r="I302" s="164">
        <v>24.05541667</v>
      </c>
      <c r="J302" s="164">
        <v>22.555241939999998</v>
      </c>
      <c r="K302" s="164">
        <v>20.472222219999999</v>
      </c>
      <c r="L302" s="164">
        <v>21.289112899999999</v>
      </c>
      <c r="M302" s="164">
        <v>21.592607529999999</v>
      </c>
      <c r="N302" s="164">
        <v>23.44805556</v>
      </c>
      <c r="O302" s="164">
        <v>23.868145160000001</v>
      </c>
      <c r="P302" s="164">
        <v>26.263472220000001</v>
      </c>
      <c r="Q302" s="164">
        <v>26.00188172</v>
      </c>
      <c r="R302" s="164">
        <v>24.031620905</v>
      </c>
      <c r="S302" s="159">
        <f>SUMIFS(Aux_Lista!AE:AE,Aux_Lista!AC:AC,Aux_TBS!B302,Aux_Lista!AD:AD,Aux_TBS!A302)</f>
        <v>5</v>
      </c>
      <c r="T302" s="159" t="s">
        <v>318</v>
      </c>
      <c r="U302" s="159">
        <v>40</v>
      </c>
    </row>
    <row r="303" spans="1:21" x14ac:dyDescent="0.25">
      <c r="A303" s="162" t="s">
        <v>3301</v>
      </c>
      <c r="B303" s="149" t="s">
        <v>358</v>
      </c>
      <c r="C303" s="159" t="str">
        <f t="shared" si="4"/>
        <v>Duque de Caxias, RJ</v>
      </c>
      <c r="D303" s="163">
        <v>-22.57</v>
      </c>
      <c r="E303" s="149">
        <v>0</v>
      </c>
      <c r="F303" s="164">
        <v>25.733467739999998</v>
      </c>
      <c r="G303" s="164">
        <v>24.594047620000001</v>
      </c>
      <c r="H303" s="164">
        <v>25.507661290000001</v>
      </c>
      <c r="I303" s="164">
        <v>24.741111109999999</v>
      </c>
      <c r="J303" s="164">
        <v>21.83669355</v>
      </c>
      <c r="K303" s="164">
        <v>20.423055560000002</v>
      </c>
      <c r="L303" s="164">
        <v>19.28548387</v>
      </c>
      <c r="M303" s="164">
        <v>22.155510750000001</v>
      </c>
      <c r="N303" s="164">
        <v>21.585416670000001</v>
      </c>
      <c r="O303" s="164">
        <v>21.65672043</v>
      </c>
      <c r="P303" s="164">
        <v>23.596666670000001</v>
      </c>
      <c r="Q303" s="164">
        <v>25.61465054</v>
      </c>
      <c r="R303" s="164">
        <v>23.060873816666668</v>
      </c>
      <c r="S303" s="159">
        <f>SUMIFS(Aux_Lista!AE:AE,Aux_Lista!AC:AC,Aux_TBS!B303,Aux_Lista!AD:AD,Aux_TBS!A303)</f>
        <v>5</v>
      </c>
      <c r="T303" s="159" t="s">
        <v>318</v>
      </c>
      <c r="U303" s="159">
        <v>40</v>
      </c>
    </row>
    <row r="304" spans="1:21" x14ac:dyDescent="0.25">
      <c r="A304" s="162" t="s">
        <v>3119</v>
      </c>
      <c r="B304" s="149" t="s">
        <v>358</v>
      </c>
      <c r="C304" s="159" t="str">
        <f t="shared" si="4"/>
        <v>Campos dos Goytacazes, RJ</v>
      </c>
      <c r="D304" s="163">
        <v>-22.04</v>
      </c>
      <c r="E304" s="149">
        <v>4</v>
      </c>
      <c r="F304" s="164">
        <v>25.15389785</v>
      </c>
      <c r="G304" s="164">
        <v>26.637499999999999</v>
      </c>
      <c r="H304" s="164">
        <v>26.29153226</v>
      </c>
      <c r="I304" s="164">
        <v>24.76958333</v>
      </c>
      <c r="J304" s="164">
        <v>23.74865591</v>
      </c>
      <c r="K304" s="164">
        <v>21.475277779999999</v>
      </c>
      <c r="L304" s="164">
        <v>21.593145159999999</v>
      </c>
      <c r="M304" s="164">
        <v>22.54206989</v>
      </c>
      <c r="N304" s="164">
        <v>21.839444440000001</v>
      </c>
      <c r="O304" s="164">
        <v>23.516935480000001</v>
      </c>
      <c r="P304" s="164">
        <v>23.910555559999999</v>
      </c>
      <c r="Q304" s="164">
        <v>24.16048387</v>
      </c>
      <c r="R304" s="164">
        <v>23.803256794166668</v>
      </c>
      <c r="S304" s="159">
        <f>SUMIFS(Aux_Lista!AE:AE,Aux_Lista!AC:AC,Aux_TBS!B304,Aux_Lista!AD:AD,Aux_TBS!A304)</f>
        <v>5</v>
      </c>
      <c r="T304" s="159" t="s">
        <v>318</v>
      </c>
      <c r="U304" s="159">
        <v>40</v>
      </c>
    </row>
    <row r="305" spans="1:21" x14ac:dyDescent="0.25">
      <c r="A305" s="162" t="s">
        <v>3202</v>
      </c>
      <c r="B305" s="149" t="s">
        <v>358</v>
      </c>
      <c r="C305" s="159" t="str">
        <f t="shared" si="4"/>
        <v>Macaé, RJ</v>
      </c>
      <c r="D305" s="163">
        <v>-22.37</v>
      </c>
      <c r="E305" s="149">
        <v>32</v>
      </c>
      <c r="F305" s="164">
        <v>25.201612900000001</v>
      </c>
      <c r="G305" s="164">
        <v>26.195982140000002</v>
      </c>
      <c r="H305" s="164">
        <v>25.591532260000001</v>
      </c>
      <c r="I305" s="164">
        <v>23.39083333</v>
      </c>
      <c r="J305" s="164">
        <v>22.394892469999998</v>
      </c>
      <c r="K305" s="164">
        <v>20.174166670000002</v>
      </c>
      <c r="L305" s="164">
        <v>21.035080650000001</v>
      </c>
      <c r="M305" s="164">
        <v>21.34287634</v>
      </c>
      <c r="N305" s="164">
        <v>22.844722220000001</v>
      </c>
      <c r="O305" s="164">
        <v>23.162231179999999</v>
      </c>
      <c r="P305" s="164">
        <v>26.046527780000002</v>
      </c>
      <c r="Q305" s="164">
        <v>25.666397849999999</v>
      </c>
      <c r="R305" s="164">
        <v>23.5872379825</v>
      </c>
      <c r="S305" s="159">
        <f>SUMIFS(Aux_Lista!AE:AE,Aux_Lista!AC:AC,Aux_TBS!B305,Aux_Lista!AD:AD,Aux_TBS!A305)</f>
        <v>5</v>
      </c>
      <c r="T305" s="159" t="s">
        <v>318</v>
      </c>
      <c r="U305" s="159">
        <v>40</v>
      </c>
    </row>
    <row r="306" spans="1:21" x14ac:dyDescent="0.25">
      <c r="A306" s="162" t="s">
        <v>2010</v>
      </c>
      <c r="B306" s="149" t="s">
        <v>358</v>
      </c>
      <c r="C306" s="159" t="str">
        <f t="shared" si="4"/>
        <v>Niterói, RJ</v>
      </c>
      <c r="D306" s="163">
        <v>-22.91</v>
      </c>
      <c r="E306" s="149">
        <v>13</v>
      </c>
      <c r="F306" s="164">
        <v>23.49583333</v>
      </c>
      <c r="G306" s="164">
        <v>25.278273810000002</v>
      </c>
      <c r="H306" s="164">
        <v>24.72674731</v>
      </c>
      <c r="I306" s="164">
        <v>22.71013889</v>
      </c>
      <c r="J306" s="164">
        <v>22.3344086</v>
      </c>
      <c r="K306" s="164">
        <v>20.136805559999999</v>
      </c>
      <c r="L306" s="164">
        <v>20.30685484</v>
      </c>
      <c r="M306" s="164">
        <v>21.947580649999999</v>
      </c>
      <c r="N306" s="164">
        <v>19.517638890000001</v>
      </c>
      <c r="O306" s="164">
        <v>20.82607527</v>
      </c>
      <c r="P306" s="164">
        <v>20.74583333</v>
      </c>
      <c r="Q306" s="164">
        <v>21.497849460000001</v>
      </c>
      <c r="R306" s="164">
        <v>21.96033666166667</v>
      </c>
      <c r="S306" s="159">
        <f>SUMIFS(Aux_Lista!AE:AE,Aux_Lista!AC:AC,Aux_TBS!B306,Aux_Lista!AD:AD,Aux_TBS!A306)</f>
        <v>5</v>
      </c>
      <c r="T306" s="159" t="s">
        <v>318</v>
      </c>
      <c r="U306" s="159">
        <v>40</v>
      </c>
    </row>
    <row r="307" spans="1:21" x14ac:dyDescent="0.25">
      <c r="A307" s="162" t="s">
        <v>3511</v>
      </c>
      <c r="B307" s="149" t="s">
        <v>358</v>
      </c>
      <c r="C307" s="159" t="str">
        <f t="shared" si="4"/>
        <v>Parati, RJ</v>
      </c>
      <c r="D307" s="163">
        <v>-23.22</v>
      </c>
      <c r="E307" s="149">
        <v>4</v>
      </c>
      <c r="F307" s="164">
        <v>24.737634409999998</v>
      </c>
      <c r="G307" s="164">
        <v>25.596726189999998</v>
      </c>
      <c r="H307" s="164">
        <v>24.218951610000001</v>
      </c>
      <c r="I307" s="164">
        <v>23.215138889999999</v>
      </c>
      <c r="J307" s="164">
        <v>20.207123660000001</v>
      </c>
      <c r="K307" s="164">
        <v>19.576111109999999</v>
      </c>
      <c r="L307" s="164">
        <v>18.854838709999999</v>
      </c>
      <c r="M307" s="164">
        <v>20.640322579999999</v>
      </c>
      <c r="N307" s="164">
        <v>19.989999999999998</v>
      </c>
      <c r="O307" s="164">
        <v>22.16935484</v>
      </c>
      <c r="P307" s="164">
        <v>22.307083330000001</v>
      </c>
      <c r="Q307" s="164">
        <v>22.881317200000002</v>
      </c>
      <c r="R307" s="164">
        <v>22.032883544166669</v>
      </c>
      <c r="S307" s="159">
        <f>SUMIFS(Aux_Lista!AE:AE,Aux_Lista!AC:AC,Aux_TBS!B307,Aux_Lista!AD:AD,Aux_TBS!A307)</f>
        <v>3</v>
      </c>
      <c r="T307" s="159" t="s">
        <v>318</v>
      </c>
      <c r="U307" s="159">
        <v>40</v>
      </c>
    </row>
    <row r="308" spans="1:21" x14ac:dyDescent="0.25">
      <c r="A308" s="162" t="s">
        <v>843</v>
      </c>
      <c r="B308" s="149" t="s">
        <v>358</v>
      </c>
      <c r="C308" s="159" t="str">
        <f t="shared" si="4"/>
        <v>Petrópolis, RJ</v>
      </c>
      <c r="D308" s="163">
        <v>-22.46</v>
      </c>
      <c r="E308" s="149">
        <v>1777</v>
      </c>
      <c r="F308" s="164">
        <v>15.86505376</v>
      </c>
      <c r="G308" s="164">
        <v>15.88467262</v>
      </c>
      <c r="H308" s="164">
        <v>15.196236559999999</v>
      </c>
      <c r="I308" s="164">
        <v>14.80513889</v>
      </c>
      <c r="J308" s="164">
        <v>11.710887100000001</v>
      </c>
      <c r="K308" s="164">
        <v>11.31569444</v>
      </c>
      <c r="L308" s="164">
        <v>11.60497312</v>
      </c>
      <c r="M308" s="164">
        <v>12.527419350000001</v>
      </c>
      <c r="N308" s="164">
        <v>12.032500000000001</v>
      </c>
      <c r="O308" s="164">
        <v>14.565188170000001</v>
      </c>
      <c r="P308" s="164">
        <v>13.497638889999999</v>
      </c>
      <c r="Q308" s="164">
        <v>14.356317199999999</v>
      </c>
      <c r="R308" s="164">
        <v>13.613476675000001</v>
      </c>
      <c r="S308" s="159">
        <f>SUMIFS(Aux_Lista!AE:AE,Aux_Lista!AC:AC,Aux_TBS!B308,Aux_Lista!AD:AD,Aux_TBS!A308)</f>
        <v>3</v>
      </c>
      <c r="T308" s="159" t="s">
        <v>318</v>
      </c>
      <c r="U308" s="159">
        <v>40</v>
      </c>
    </row>
    <row r="309" spans="1:21" x14ac:dyDescent="0.25">
      <c r="A309" s="162" t="s">
        <v>2342</v>
      </c>
      <c r="B309" s="149" t="s">
        <v>358</v>
      </c>
      <c r="C309" s="159" t="str">
        <f t="shared" si="4"/>
        <v>Resende, RJ</v>
      </c>
      <c r="D309" s="163">
        <v>-22.47</v>
      </c>
      <c r="E309" s="149">
        <v>440</v>
      </c>
      <c r="F309" s="164">
        <v>22.53172043</v>
      </c>
      <c r="G309" s="164">
        <v>22.9641369</v>
      </c>
      <c r="H309" s="164">
        <v>22.907795700000001</v>
      </c>
      <c r="I309" s="164">
        <v>21.854583330000001</v>
      </c>
      <c r="J309" s="164">
        <v>18.87540323</v>
      </c>
      <c r="K309" s="164">
        <v>17.85083333</v>
      </c>
      <c r="L309" s="164">
        <v>17.1563172</v>
      </c>
      <c r="M309" s="164">
        <v>19.5311828</v>
      </c>
      <c r="N309" s="164">
        <v>19.254999999999999</v>
      </c>
      <c r="O309" s="164">
        <v>21.932661289999999</v>
      </c>
      <c r="P309" s="164">
        <v>21.49583333</v>
      </c>
      <c r="Q309" s="164">
        <v>22.205241940000001</v>
      </c>
      <c r="R309" s="164">
        <v>20.713392456666668</v>
      </c>
      <c r="S309" s="159">
        <f>SUMIFS(Aux_Lista!AE:AE,Aux_Lista!AC:AC,Aux_TBS!B309,Aux_Lista!AD:AD,Aux_TBS!A309)</f>
        <v>3</v>
      </c>
      <c r="T309" s="159" t="s">
        <v>318</v>
      </c>
      <c r="U309" s="159">
        <v>40</v>
      </c>
    </row>
    <row r="310" spans="1:21" x14ac:dyDescent="0.25">
      <c r="A310" s="162" t="s">
        <v>3068</v>
      </c>
      <c r="B310" s="149" t="s">
        <v>358</v>
      </c>
      <c r="C310" s="159" t="str">
        <f t="shared" si="4"/>
        <v>Rio de Janeiro, RJ</v>
      </c>
      <c r="D310" s="163">
        <v>-22.86</v>
      </c>
      <c r="E310" s="149">
        <v>45</v>
      </c>
      <c r="F310" s="164">
        <v>25.57419355</v>
      </c>
      <c r="G310" s="164">
        <v>26.037500000000001</v>
      </c>
      <c r="H310" s="164">
        <v>25.780645159999999</v>
      </c>
      <c r="I310" s="164">
        <v>24.412916670000001</v>
      </c>
      <c r="J310" s="164">
        <v>21.342473120000001</v>
      </c>
      <c r="K310" s="164">
        <v>20.62722222</v>
      </c>
      <c r="L310" s="164">
        <v>19.465188170000001</v>
      </c>
      <c r="M310" s="164">
        <v>21.967204299999999</v>
      </c>
      <c r="N310" s="164">
        <v>20.949444440000001</v>
      </c>
      <c r="O310" s="164">
        <v>23.925403230000001</v>
      </c>
      <c r="P310" s="164">
        <v>23.602083329999999</v>
      </c>
      <c r="Q310" s="164">
        <v>24.311693550000001</v>
      </c>
      <c r="R310" s="164">
        <v>23.166330644999999</v>
      </c>
      <c r="S310" s="159">
        <f>SUMIFS(Aux_Lista!AE:AE,Aux_Lista!AC:AC,Aux_TBS!B310,Aux_Lista!AD:AD,Aux_TBS!A310)</f>
        <v>8</v>
      </c>
      <c r="T310" s="159" t="s">
        <v>318</v>
      </c>
      <c r="U310" s="159">
        <v>40</v>
      </c>
    </row>
    <row r="311" spans="1:21" x14ac:dyDescent="0.25">
      <c r="A311" s="162" t="s">
        <v>721</v>
      </c>
      <c r="B311" s="149" t="s">
        <v>358</v>
      </c>
      <c r="C311" s="159" t="str">
        <f t="shared" si="4"/>
        <v>Teresópolis, RJ</v>
      </c>
      <c r="D311" s="163">
        <v>-22.41</v>
      </c>
      <c r="E311" s="149">
        <v>980</v>
      </c>
      <c r="F311" s="164">
        <v>19.93709677</v>
      </c>
      <c r="G311" s="164">
        <v>20.678571430000002</v>
      </c>
      <c r="H311" s="164">
        <v>21.170967739999998</v>
      </c>
      <c r="I311" s="164">
        <v>18.86972222</v>
      </c>
      <c r="J311" s="164">
        <v>15.25349462</v>
      </c>
      <c r="K311" s="164">
        <v>15.76152778</v>
      </c>
      <c r="L311" s="164">
        <v>15.23508065</v>
      </c>
      <c r="M311" s="164">
        <v>15.9438172</v>
      </c>
      <c r="N311" s="164">
        <v>17.143055560000001</v>
      </c>
      <c r="O311" s="164">
        <v>18.350000000000001</v>
      </c>
      <c r="P311" s="164">
        <v>17.439861109999999</v>
      </c>
      <c r="Q311" s="164">
        <v>18.468548389999999</v>
      </c>
      <c r="R311" s="164">
        <v>17.854311955833332</v>
      </c>
      <c r="S311" s="159">
        <f>SUMIFS(Aux_Lista!AE:AE,Aux_Lista!AC:AC,Aux_TBS!B311,Aux_Lista!AD:AD,Aux_TBS!A311)</f>
        <v>2</v>
      </c>
      <c r="T311" s="159" t="s">
        <v>318</v>
      </c>
      <c r="U311" s="159">
        <v>40</v>
      </c>
    </row>
    <row r="312" spans="1:21" x14ac:dyDescent="0.25">
      <c r="A312" s="162" t="s">
        <v>2282</v>
      </c>
      <c r="B312" s="149" t="s">
        <v>358</v>
      </c>
      <c r="C312" s="159" t="str">
        <f t="shared" si="4"/>
        <v>Valença, RJ</v>
      </c>
      <c r="D312" s="163">
        <v>-22.25</v>
      </c>
      <c r="E312" s="149">
        <v>367</v>
      </c>
      <c r="F312" s="164">
        <v>23.504569889999999</v>
      </c>
      <c r="G312" s="164">
        <v>24.669345239999998</v>
      </c>
      <c r="H312" s="164">
        <v>25.061827959999999</v>
      </c>
      <c r="I312" s="164">
        <v>23.32375</v>
      </c>
      <c r="J312" s="164">
        <v>19.127150539999999</v>
      </c>
      <c r="K312" s="164">
        <v>19.00638889</v>
      </c>
      <c r="L312" s="164">
        <v>18.677553759999999</v>
      </c>
      <c r="M312" s="164">
        <v>19.522580649999998</v>
      </c>
      <c r="N312" s="164">
        <v>21.71</v>
      </c>
      <c r="O312" s="164">
        <v>22.136155909999999</v>
      </c>
      <c r="P312" s="164">
        <v>25.348333329999999</v>
      </c>
      <c r="Q312" s="164">
        <v>23.91706989</v>
      </c>
      <c r="R312" s="164">
        <v>22.167060504999998</v>
      </c>
      <c r="S312" s="159">
        <f>SUMIFS(Aux_Lista!AE:AE,Aux_Lista!AC:AC,Aux_TBS!B312,Aux_Lista!AD:AD,Aux_TBS!A312)</f>
        <v>3</v>
      </c>
      <c r="T312" s="159" t="s">
        <v>318</v>
      </c>
      <c r="U312" s="159">
        <v>40</v>
      </c>
    </row>
    <row r="313" spans="1:21" x14ac:dyDescent="0.25">
      <c r="A313" s="162" t="s">
        <v>5316</v>
      </c>
      <c r="B313" s="149" t="s">
        <v>369</v>
      </c>
      <c r="C313" s="159" t="str">
        <f t="shared" si="4"/>
        <v>Apodi, RN</v>
      </c>
      <c r="D313" s="163">
        <v>-5.63</v>
      </c>
      <c r="E313" s="149">
        <v>150</v>
      </c>
      <c r="F313" s="164">
        <v>28.450940859999999</v>
      </c>
      <c r="G313" s="164">
        <v>26.705505949999999</v>
      </c>
      <c r="H313" s="164">
        <v>26.426612899999999</v>
      </c>
      <c r="I313" s="164">
        <v>25.94194444</v>
      </c>
      <c r="J313" s="164">
        <v>25.770564520000001</v>
      </c>
      <c r="K313" s="164">
        <v>25.421388889999999</v>
      </c>
      <c r="L313" s="164">
        <v>25.273655909999999</v>
      </c>
      <c r="M313" s="164">
        <v>25.762096769999999</v>
      </c>
      <c r="N313" s="164">
        <v>26.863611110000001</v>
      </c>
      <c r="O313" s="164">
        <v>27.562768819999999</v>
      </c>
      <c r="P313" s="164">
        <v>28.388194439999999</v>
      </c>
      <c r="Q313" s="164">
        <v>28.55833333</v>
      </c>
      <c r="R313" s="164">
        <v>26.760468161666665</v>
      </c>
      <c r="S313" s="159">
        <f>SUMIFS(Aux_Lista!AE:AE,Aux_Lista!AC:AC,Aux_TBS!B313,Aux_Lista!AD:AD,Aux_TBS!A313)</f>
        <v>8</v>
      </c>
      <c r="T313" s="159" t="s">
        <v>248</v>
      </c>
      <c r="U313" s="159">
        <v>38</v>
      </c>
    </row>
    <row r="314" spans="1:21" x14ac:dyDescent="0.25">
      <c r="A314" s="162" t="s">
        <v>5535</v>
      </c>
      <c r="B314" s="149" t="s">
        <v>369</v>
      </c>
      <c r="C314" s="159" t="str">
        <f t="shared" si="4"/>
        <v>Caicó, RN</v>
      </c>
      <c r="D314" s="163">
        <v>-6.46</v>
      </c>
      <c r="E314" s="149">
        <v>170</v>
      </c>
      <c r="F314" s="164">
        <v>29.248387099999999</v>
      </c>
      <c r="G314" s="164">
        <v>29.244345240000001</v>
      </c>
      <c r="H314" s="164">
        <v>27.06155914</v>
      </c>
      <c r="I314" s="164">
        <v>26.142222220000001</v>
      </c>
      <c r="J314" s="164">
        <v>26.00658602</v>
      </c>
      <c r="K314" s="164">
        <v>25.86527778</v>
      </c>
      <c r="L314" s="164">
        <v>25.912500000000001</v>
      </c>
      <c r="M314" s="164">
        <v>27.01263441</v>
      </c>
      <c r="N314" s="164">
        <v>28.128194440000001</v>
      </c>
      <c r="O314" s="164">
        <v>29.12352151</v>
      </c>
      <c r="P314" s="164">
        <v>29.707777780000001</v>
      </c>
      <c r="Q314" s="164">
        <v>29.939516130000001</v>
      </c>
      <c r="R314" s="164">
        <v>27.782710147500001</v>
      </c>
      <c r="S314" s="159">
        <f>SUMIFS(Aux_Lista!AE:AE,Aux_Lista!AC:AC,Aux_TBS!B314,Aux_Lista!AD:AD,Aux_TBS!A314)</f>
        <v>7</v>
      </c>
      <c r="T314" s="159" t="s">
        <v>248</v>
      </c>
      <c r="U314" s="159">
        <v>38</v>
      </c>
    </row>
    <row r="315" spans="1:21" x14ac:dyDescent="0.25">
      <c r="A315" s="162" t="s">
        <v>4326</v>
      </c>
      <c r="B315" s="149" t="s">
        <v>369</v>
      </c>
      <c r="C315" s="159" t="str">
        <f t="shared" si="4"/>
        <v>Macau, RN</v>
      </c>
      <c r="D315" s="163">
        <v>-5.1100000000000003</v>
      </c>
      <c r="E315" s="149">
        <v>3</v>
      </c>
      <c r="F315" s="164">
        <v>27.58158602</v>
      </c>
      <c r="G315" s="164">
        <v>27.43154762</v>
      </c>
      <c r="H315" s="164">
        <v>27.285752689999999</v>
      </c>
      <c r="I315" s="164">
        <v>26.981944439999999</v>
      </c>
      <c r="J315" s="164">
        <v>26.980645160000002</v>
      </c>
      <c r="K315" s="164">
        <v>26.345416669999999</v>
      </c>
      <c r="L315" s="164">
        <v>26.00752688</v>
      </c>
      <c r="M315" s="164">
        <v>26.112096770000001</v>
      </c>
      <c r="N315" s="164">
        <v>26.733888889999999</v>
      </c>
      <c r="O315" s="164">
        <v>26.600940860000001</v>
      </c>
      <c r="P315" s="164">
        <v>27.154861109999999</v>
      </c>
      <c r="Q315" s="164">
        <v>27.651478489999999</v>
      </c>
      <c r="R315" s="164">
        <v>26.905640466666664</v>
      </c>
      <c r="S315" s="159">
        <f>SUMIFS(Aux_Lista!AE:AE,Aux_Lista!AC:AC,Aux_TBS!B315,Aux_Lista!AD:AD,Aux_TBS!A315)</f>
        <v>8</v>
      </c>
      <c r="T315" s="159" t="s">
        <v>248</v>
      </c>
      <c r="U315" s="159">
        <v>38</v>
      </c>
    </row>
    <row r="316" spans="1:21" x14ac:dyDescent="0.25">
      <c r="A316" s="162" t="s">
        <v>5173</v>
      </c>
      <c r="B316" s="149" t="s">
        <v>369</v>
      </c>
      <c r="C316" s="159" t="str">
        <f t="shared" si="4"/>
        <v>Mossoró, RN</v>
      </c>
      <c r="D316" s="163">
        <v>-5.19</v>
      </c>
      <c r="E316" s="149">
        <v>36</v>
      </c>
      <c r="F316" s="164">
        <v>28.024999999999999</v>
      </c>
      <c r="G316" s="164">
        <v>28.25818452</v>
      </c>
      <c r="H316" s="164">
        <v>26.470967739999999</v>
      </c>
      <c r="I316" s="164">
        <v>26.063888890000001</v>
      </c>
      <c r="J316" s="164">
        <v>25.983467739999998</v>
      </c>
      <c r="K316" s="164">
        <v>25.17847222</v>
      </c>
      <c r="L316" s="164">
        <v>25.215591400000001</v>
      </c>
      <c r="M316" s="164">
        <v>25.69314516</v>
      </c>
      <c r="N316" s="164">
        <v>26.803055560000001</v>
      </c>
      <c r="O316" s="164">
        <v>27.3922043</v>
      </c>
      <c r="P316" s="164">
        <v>27.66</v>
      </c>
      <c r="Q316" s="164">
        <v>27.905913980000001</v>
      </c>
      <c r="R316" s="164">
        <v>26.720824292499998</v>
      </c>
      <c r="S316" s="159">
        <f>SUMIFS(Aux_Lista!AE:AE,Aux_Lista!AC:AC,Aux_TBS!B316,Aux_Lista!AD:AD,Aux_TBS!A316)</f>
        <v>7</v>
      </c>
      <c r="T316" s="159" t="s">
        <v>248</v>
      </c>
      <c r="U316" s="159">
        <v>38</v>
      </c>
    </row>
    <row r="317" spans="1:21" x14ac:dyDescent="0.25">
      <c r="A317" s="162" t="s">
        <v>4327</v>
      </c>
      <c r="B317" s="149" t="s">
        <v>369</v>
      </c>
      <c r="C317" s="159" t="str">
        <f t="shared" si="4"/>
        <v>Natal, RN</v>
      </c>
      <c r="D317" s="163">
        <v>-5.8</v>
      </c>
      <c r="E317" s="149">
        <v>49</v>
      </c>
      <c r="F317" s="164">
        <v>27.58158602</v>
      </c>
      <c r="G317" s="164">
        <v>27.43154762</v>
      </c>
      <c r="H317" s="164">
        <v>27.285752689999999</v>
      </c>
      <c r="I317" s="164">
        <v>26.981944439999999</v>
      </c>
      <c r="J317" s="164">
        <v>26.980645160000002</v>
      </c>
      <c r="K317" s="164">
        <v>26.345416669999999</v>
      </c>
      <c r="L317" s="164">
        <v>26.00752688</v>
      </c>
      <c r="M317" s="164">
        <v>26.112096770000001</v>
      </c>
      <c r="N317" s="164">
        <v>26.733888889999999</v>
      </c>
      <c r="O317" s="164">
        <v>26.600940860000001</v>
      </c>
      <c r="P317" s="164">
        <v>27.154861109999999</v>
      </c>
      <c r="Q317" s="164">
        <v>27.651478489999999</v>
      </c>
      <c r="R317" s="164">
        <v>26.905640466666664</v>
      </c>
      <c r="S317" s="159">
        <f>SUMIFS(Aux_Lista!AE:AE,Aux_Lista!AC:AC,Aux_TBS!B317,Aux_Lista!AD:AD,Aux_TBS!A317)</f>
        <v>8</v>
      </c>
      <c r="T317" s="159" t="s">
        <v>248</v>
      </c>
      <c r="U317" s="159">
        <v>38</v>
      </c>
    </row>
    <row r="318" spans="1:21" x14ac:dyDescent="0.25">
      <c r="A318" s="162" t="s">
        <v>4149</v>
      </c>
      <c r="B318" s="149" t="s">
        <v>369</v>
      </c>
      <c r="C318" s="159" t="str">
        <f t="shared" si="4"/>
        <v>Touros, RN</v>
      </c>
      <c r="D318" s="163">
        <v>-5.16</v>
      </c>
      <c r="E318" s="149">
        <v>17</v>
      </c>
      <c r="F318" s="164">
        <v>28.090591400000001</v>
      </c>
      <c r="G318" s="164">
        <v>28.346279760000002</v>
      </c>
      <c r="H318" s="164">
        <v>27.556317199999999</v>
      </c>
      <c r="I318" s="164">
        <v>26.962638890000001</v>
      </c>
      <c r="J318" s="164">
        <v>26.231317199999999</v>
      </c>
      <c r="K318" s="164">
        <v>25.5</v>
      </c>
      <c r="L318" s="164">
        <v>25.25147849</v>
      </c>
      <c r="M318" s="164">
        <v>25.416397849999999</v>
      </c>
      <c r="N318" s="164">
        <v>26.651111109999999</v>
      </c>
      <c r="O318" s="164">
        <v>27.064516130000001</v>
      </c>
      <c r="P318" s="164">
        <v>27.37875</v>
      </c>
      <c r="Q318" s="164">
        <v>27.755376340000002</v>
      </c>
      <c r="R318" s="164">
        <v>26.85039786416667</v>
      </c>
      <c r="S318" s="159">
        <f>SUMIFS(Aux_Lista!AE:AE,Aux_Lista!AC:AC,Aux_TBS!B318,Aux_Lista!AD:AD,Aux_TBS!A318)</f>
        <v>8</v>
      </c>
      <c r="T318" s="159" t="s">
        <v>248</v>
      </c>
      <c r="U318" s="159">
        <v>38</v>
      </c>
    </row>
    <row r="319" spans="1:21" x14ac:dyDescent="0.25">
      <c r="A319" s="162" t="s">
        <v>4963</v>
      </c>
      <c r="B319" s="149" t="s">
        <v>372</v>
      </c>
      <c r="C319" s="159" t="str">
        <f t="shared" si="4"/>
        <v>Ariquemes, RO</v>
      </c>
      <c r="D319" s="163">
        <v>-9.9499999999999993</v>
      </c>
      <c r="E319" s="149">
        <v>140</v>
      </c>
      <c r="F319" s="164">
        <v>25.524999999999999</v>
      </c>
      <c r="G319" s="164">
        <v>25.147172619999999</v>
      </c>
      <c r="H319" s="164">
        <v>25.53494624</v>
      </c>
      <c r="I319" s="164">
        <v>25.331111109999998</v>
      </c>
      <c r="J319" s="164">
        <v>25.42163978</v>
      </c>
      <c r="K319" s="164">
        <v>24.436944440000001</v>
      </c>
      <c r="L319" s="164">
        <v>24.958198920000001</v>
      </c>
      <c r="M319" s="164">
        <v>26.890994620000001</v>
      </c>
      <c r="N319" s="164">
        <v>26.635972219999999</v>
      </c>
      <c r="O319" s="164">
        <v>26.442473119999999</v>
      </c>
      <c r="P319" s="164">
        <v>25.798888890000001</v>
      </c>
      <c r="Q319" s="164">
        <v>25.40766129</v>
      </c>
      <c r="R319" s="164">
        <v>25.627583604166663</v>
      </c>
      <c r="S319" s="159">
        <f>SUMIFS(Aux_Lista!AE:AE,Aux_Lista!AC:AC,Aux_TBS!B319,Aux_Lista!AD:AD,Aux_TBS!A319)</f>
        <v>8</v>
      </c>
      <c r="T319" s="159" t="s">
        <v>235</v>
      </c>
      <c r="U319" s="159">
        <v>38</v>
      </c>
    </row>
    <row r="320" spans="1:21" x14ac:dyDescent="0.25">
      <c r="A320" s="162" t="s">
        <v>4985</v>
      </c>
      <c r="B320" s="149" t="s">
        <v>372</v>
      </c>
      <c r="C320" s="159" t="str">
        <f t="shared" si="4"/>
        <v>Cacoal, RO</v>
      </c>
      <c r="D320" s="163">
        <v>-11.45</v>
      </c>
      <c r="E320" s="149">
        <v>210</v>
      </c>
      <c r="F320" s="164">
        <v>26.047715050000001</v>
      </c>
      <c r="G320" s="164">
        <v>25.404315480000001</v>
      </c>
      <c r="H320" s="164">
        <v>25.727419350000002</v>
      </c>
      <c r="I320" s="164">
        <v>25.65583333</v>
      </c>
      <c r="J320" s="164">
        <v>25.5983871</v>
      </c>
      <c r="K320" s="164">
        <v>24.468888889999999</v>
      </c>
      <c r="L320" s="164">
        <v>25.90712366</v>
      </c>
      <c r="M320" s="164">
        <v>27.551344090000001</v>
      </c>
      <c r="N320" s="164">
        <v>27.53013889</v>
      </c>
      <c r="O320" s="164">
        <v>27.146639780000001</v>
      </c>
      <c r="P320" s="164">
        <v>26.900138890000001</v>
      </c>
      <c r="Q320" s="164">
        <v>25.747849460000001</v>
      </c>
      <c r="R320" s="164">
        <v>26.140482830833331</v>
      </c>
      <c r="S320" s="159">
        <f>SUMIFS(Aux_Lista!AE:AE,Aux_Lista!AC:AC,Aux_TBS!B320,Aux_Lista!AD:AD,Aux_TBS!A320)</f>
        <v>8</v>
      </c>
      <c r="T320" s="159" t="s">
        <v>235</v>
      </c>
      <c r="U320" s="159">
        <v>38</v>
      </c>
    </row>
    <row r="321" spans="1:21" x14ac:dyDescent="0.25">
      <c r="A321" s="162" t="s">
        <v>4454</v>
      </c>
      <c r="B321" s="149" t="s">
        <v>372</v>
      </c>
      <c r="C321" s="159" t="str">
        <f t="shared" si="4"/>
        <v>Porto Velho, RO</v>
      </c>
      <c r="D321" s="163">
        <v>-8.76</v>
      </c>
      <c r="E321" s="149">
        <v>95</v>
      </c>
      <c r="F321" s="164">
        <v>25.707258060000001</v>
      </c>
      <c r="G321" s="164">
        <v>25.319345240000001</v>
      </c>
      <c r="H321" s="164">
        <v>25.6155914</v>
      </c>
      <c r="I321" s="164">
        <v>25.680972220000001</v>
      </c>
      <c r="J321" s="164">
        <v>25.57419355</v>
      </c>
      <c r="K321" s="164">
        <v>24.978611109999999</v>
      </c>
      <c r="L321" s="164">
        <v>25.4</v>
      </c>
      <c r="M321" s="164">
        <v>26.427553759999999</v>
      </c>
      <c r="N321" s="164">
        <v>26.812361110000001</v>
      </c>
      <c r="O321" s="164">
        <v>27.193413979999999</v>
      </c>
      <c r="P321" s="164">
        <v>26.600694440000002</v>
      </c>
      <c r="Q321" s="164">
        <v>25.830913979999998</v>
      </c>
      <c r="R321" s="164">
        <v>25.928409070833329</v>
      </c>
      <c r="S321" s="159">
        <f>SUMIFS(Aux_Lista!AE:AE,Aux_Lista!AC:AC,Aux_TBS!B321,Aux_Lista!AD:AD,Aux_TBS!A321)</f>
        <v>8</v>
      </c>
      <c r="T321" s="159" t="s">
        <v>235</v>
      </c>
      <c r="U321" s="159">
        <v>38</v>
      </c>
    </row>
    <row r="322" spans="1:21" x14ac:dyDescent="0.25">
      <c r="A322" s="162" t="s">
        <v>2374</v>
      </c>
      <c r="B322" s="149" t="s">
        <v>372</v>
      </c>
      <c r="C322" s="159" t="str">
        <f t="shared" si="4"/>
        <v>Vilhena, RO</v>
      </c>
      <c r="D322" s="163">
        <v>-12.73</v>
      </c>
      <c r="E322" s="149">
        <v>590</v>
      </c>
      <c r="F322" s="164">
        <v>24.010483870000002</v>
      </c>
      <c r="G322" s="164">
        <v>23.561160709999999</v>
      </c>
      <c r="H322" s="164">
        <v>23.727553759999999</v>
      </c>
      <c r="I322" s="164">
        <v>24.198472219999999</v>
      </c>
      <c r="J322" s="164">
        <v>24.15537634</v>
      </c>
      <c r="K322" s="164">
        <v>22.92319444</v>
      </c>
      <c r="L322" s="164">
        <v>23.886290320000001</v>
      </c>
      <c r="M322" s="164">
        <v>25.41518817</v>
      </c>
      <c r="N322" s="164">
        <v>25.282916669999999</v>
      </c>
      <c r="O322" s="164">
        <v>24.929704300000001</v>
      </c>
      <c r="P322" s="164">
        <v>24.62347222</v>
      </c>
      <c r="Q322" s="164">
        <v>23.805376339999999</v>
      </c>
      <c r="R322" s="164">
        <v>24.209932446666667</v>
      </c>
      <c r="S322" s="159">
        <f>SUMIFS(Aux_Lista!AE:AE,Aux_Lista!AC:AC,Aux_TBS!B322,Aux_Lista!AD:AD,Aux_TBS!A322)</f>
        <v>8</v>
      </c>
      <c r="T322" s="159" t="s">
        <v>235</v>
      </c>
      <c r="U322" s="159">
        <v>38</v>
      </c>
    </row>
    <row r="323" spans="1:21" x14ac:dyDescent="0.25">
      <c r="A323" s="162" t="s">
        <v>2233</v>
      </c>
      <c r="B323" s="149" t="s">
        <v>375</v>
      </c>
      <c r="C323" s="159" t="str">
        <f t="shared" ref="C323:C386" si="5">CONCATENATE(A323,", ",B323)</f>
        <v>Boa Vista, RR</v>
      </c>
      <c r="D323" s="163">
        <v>2.8</v>
      </c>
      <c r="E323" s="149">
        <v>90</v>
      </c>
      <c r="F323" s="164">
        <v>27.28413978</v>
      </c>
      <c r="G323" s="164">
        <v>28.05654762</v>
      </c>
      <c r="H323" s="164">
        <v>26.131854839999999</v>
      </c>
      <c r="I323" s="164">
        <v>26.128611110000001</v>
      </c>
      <c r="J323" s="164">
        <v>25.900940859999999</v>
      </c>
      <c r="K323" s="164">
        <v>25.91263889</v>
      </c>
      <c r="L323" s="164">
        <v>26.181317199999999</v>
      </c>
      <c r="M323" s="164">
        <v>27.079032260000002</v>
      </c>
      <c r="N323" s="164">
        <v>28.168888890000002</v>
      </c>
      <c r="O323" s="164">
        <v>28.72956989</v>
      </c>
      <c r="P323" s="164">
        <v>27.431805560000001</v>
      </c>
      <c r="Q323" s="164">
        <v>27.217473120000001</v>
      </c>
      <c r="R323" s="164">
        <v>27.018568335000001</v>
      </c>
      <c r="S323" s="159">
        <f>SUMIFS(Aux_Lista!AE:AE,Aux_Lista!AC:AC,Aux_TBS!B323,Aux_Lista!AD:AD,Aux_TBS!A323)</f>
        <v>8</v>
      </c>
      <c r="T323" s="159" t="s">
        <v>235</v>
      </c>
      <c r="U323" s="159">
        <v>38</v>
      </c>
    </row>
    <row r="324" spans="1:21" x14ac:dyDescent="0.25">
      <c r="A324" s="162" t="s">
        <v>1752</v>
      </c>
      <c r="B324" s="149" t="s">
        <v>236</v>
      </c>
      <c r="C324" s="159" t="str">
        <f t="shared" si="5"/>
        <v>Alegrete, RS</v>
      </c>
      <c r="D324" s="163">
        <v>-29.78</v>
      </c>
      <c r="E324" s="149">
        <v>121</v>
      </c>
      <c r="F324" s="164">
        <v>24.970026879999999</v>
      </c>
      <c r="G324" s="164">
        <v>24.476488100000001</v>
      </c>
      <c r="H324" s="164">
        <v>23.071236559999999</v>
      </c>
      <c r="I324" s="164">
        <v>18.468472219999999</v>
      </c>
      <c r="J324" s="164">
        <v>15.911290320000001</v>
      </c>
      <c r="K324" s="164">
        <v>12.11194444</v>
      </c>
      <c r="L324" s="164">
        <v>14.55806452</v>
      </c>
      <c r="M324" s="164">
        <v>14.41935484</v>
      </c>
      <c r="N324" s="164">
        <v>15.13986111</v>
      </c>
      <c r="O324" s="164">
        <v>19.422849459999998</v>
      </c>
      <c r="P324" s="164">
        <v>23.138194439999999</v>
      </c>
      <c r="Q324" s="164">
        <v>24.439516130000001</v>
      </c>
      <c r="R324" s="164">
        <v>19.177274918333335</v>
      </c>
      <c r="S324" s="159">
        <f>SUMIFS(Aux_Lista!AE:AE,Aux_Lista!AC:AC,Aux_TBS!B324,Aux_Lista!AD:AD,Aux_TBS!A324)</f>
        <v>2</v>
      </c>
      <c r="T324" s="159" t="s">
        <v>363</v>
      </c>
      <c r="U324" s="159">
        <v>40</v>
      </c>
    </row>
    <row r="325" spans="1:21" x14ac:dyDescent="0.25">
      <c r="A325" s="162" t="s">
        <v>1757</v>
      </c>
      <c r="B325" s="149" t="s">
        <v>236</v>
      </c>
      <c r="C325" s="159" t="str">
        <f t="shared" si="5"/>
        <v>Bagé, RS</v>
      </c>
      <c r="D325" s="163">
        <v>-31.33</v>
      </c>
      <c r="E325" s="149">
        <v>230</v>
      </c>
      <c r="F325" s="164">
        <v>23.048118280000001</v>
      </c>
      <c r="G325" s="164">
        <v>22.600892859999998</v>
      </c>
      <c r="H325" s="164">
        <v>21.249731180000001</v>
      </c>
      <c r="I325" s="164">
        <v>17.979583330000001</v>
      </c>
      <c r="J325" s="164">
        <v>14.977016130000001</v>
      </c>
      <c r="K325" s="164">
        <v>11.35388889</v>
      </c>
      <c r="L325" s="164">
        <v>14.44731183</v>
      </c>
      <c r="M325" s="164">
        <v>13.109274190000001</v>
      </c>
      <c r="N325" s="164">
        <v>13.360618280000001</v>
      </c>
      <c r="O325" s="164">
        <v>17.206989249999999</v>
      </c>
      <c r="P325" s="164">
        <v>20.987361109999998</v>
      </c>
      <c r="Q325" s="164">
        <v>21.093010750000001</v>
      </c>
      <c r="R325" s="164">
        <v>17.617816339999997</v>
      </c>
      <c r="S325" s="159">
        <f>SUMIFS(Aux_Lista!AE:AE,Aux_Lista!AC:AC,Aux_TBS!B325,Aux_Lista!AD:AD,Aux_TBS!A325)</f>
        <v>2</v>
      </c>
      <c r="T325" s="159" t="s">
        <v>363</v>
      </c>
      <c r="U325" s="159">
        <v>40</v>
      </c>
    </row>
    <row r="326" spans="1:21" x14ac:dyDescent="0.25">
      <c r="A326" s="162" t="s">
        <v>1319</v>
      </c>
      <c r="B326" s="149" t="s">
        <v>236</v>
      </c>
      <c r="C326" s="159" t="str">
        <f t="shared" si="5"/>
        <v>Bento Gonçalves, RS</v>
      </c>
      <c r="D326" s="163">
        <v>-29.17</v>
      </c>
      <c r="E326" s="149">
        <v>640</v>
      </c>
      <c r="F326" s="164">
        <v>21.339381719999999</v>
      </c>
      <c r="G326" s="164">
        <v>21.210267859999998</v>
      </c>
      <c r="H326" s="164">
        <v>20.580510749999998</v>
      </c>
      <c r="I326" s="164">
        <v>17.298888890000001</v>
      </c>
      <c r="J326" s="164">
        <v>14.765322579999999</v>
      </c>
      <c r="K326" s="164">
        <v>11.793611110000001</v>
      </c>
      <c r="L326" s="164">
        <v>14.94650538</v>
      </c>
      <c r="M326" s="164">
        <v>14.64717742</v>
      </c>
      <c r="N326" s="164">
        <v>13.33375</v>
      </c>
      <c r="O326" s="164">
        <v>16.785349459999999</v>
      </c>
      <c r="P326" s="164">
        <v>19.229444440000002</v>
      </c>
      <c r="Q326" s="164">
        <v>20.348655910000002</v>
      </c>
      <c r="R326" s="164">
        <v>17.189905460000002</v>
      </c>
      <c r="S326" s="159">
        <f>SUMIFS(Aux_Lista!AE:AE,Aux_Lista!AC:AC,Aux_TBS!B326,Aux_Lista!AD:AD,Aux_TBS!A326)</f>
        <v>1</v>
      </c>
      <c r="T326" s="159" t="s">
        <v>363</v>
      </c>
      <c r="U326" s="159">
        <v>40</v>
      </c>
    </row>
    <row r="327" spans="1:21" x14ac:dyDescent="0.25">
      <c r="A327" s="162" t="s">
        <v>1416</v>
      </c>
      <c r="B327" s="149" t="s">
        <v>236</v>
      </c>
      <c r="C327" s="159" t="str">
        <f t="shared" si="5"/>
        <v>Caçapava do Sul, RS</v>
      </c>
      <c r="D327" s="163">
        <v>-30.51</v>
      </c>
      <c r="E327" s="149">
        <v>420</v>
      </c>
      <c r="F327" s="164">
        <v>21.808467740000001</v>
      </c>
      <c r="G327" s="164">
        <v>21.66592262</v>
      </c>
      <c r="H327" s="164">
        <v>20.789516129999999</v>
      </c>
      <c r="I327" s="164">
        <v>17.87916667</v>
      </c>
      <c r="J327" s="164">
        <v>14.912634410000001</v>
      </c>
      <c r="K327" s="164">
        <v>10.308611109999999</v>
      </c>
      <c r="L327" s="164">
        <v>15.76653226</v>
      </c>
      <c r="M327" s="164">
        <v>14.157526880000001</v>
      </c>
      <c r="N327" s="164">
        <v>14.83152778</v>
      </c>
      <c r="O327" s="164">
        <v>17.99395161</v>
      </c>
      <c r="P327" s="164">
        <v>18.37458333</v>
      </c>
      <c r="Q327" s="164">
        <v>22.76680108</v>
      </c>
      <c r="R327" s="164">
        <v>17.604603468333334</v>
      </c>
      <c r="S327" s="159">
        <f>SUMIFS(Aux_Lista!AE:AE,Aux_Lista!AC:AC,Aux_TBS!B327,Aux_Lista!AD:AD,Aux_TBS!A327)</f>
        <v>2</v>
      </c>
      <c r="T327" s="159" t="s">
        <v>363</v>
      </c>
      <c r="U327" s="159">
        <v>40</v>
      </c>
    </row>
    <row r="328" spans="1:21" x14ac:dyDescent="0.25">
      <c r="A328" s="162" t="s">
        <v>1379</v>
      </c>
      <c r="B328" s="149" t="s">
        <v>236</v>
      </c>
      <c r="C328" s="159" t="str">
        <f t="shared" si="5"/>
        <v>Camaquã, RS</v>
      </c>
      <c r="D328" s="163">
        <v>-30.81</v>
      </c>
      <c r="E328" s="149">
        <v>108</v>
      </c>
      <c r="F328" s="164">
        <v>23.006451609999999</v>
      </c>
      <c r="G328" s="164">
        <v>22.32395833</v>
      </c>
      <c r="H328" s="164">
        <v>21.949596769999999</v>
      </c>
      <c r="I328" s="164">
        <v>18.074027780000002</v>
      </c>
      <c r="J328" s="164">
        <v>15.40067204</v>
      </c>
      <c r="K328" s="164">
        <v>12.005416670000001</v>
      </c>
      <c r="L328" s="164">
        <v>14.75564516</v>
      </c>
      <c r="M328" s="164">
        <v>13.217473119999999</v>
      </c>
      <c r="N328" s="164">
        <v>14.52763889</v>
      </c>
      <c r="O328" s="164">
        <v>17.730376339999999</v>
      </c>
      <c r="P328" s="164">
        <v>20.642222220000001</v>
      </c>
      <c r="Q328" s="164">
        <v>21.63346774</v>
      </c>
      <c r="R328" s="164">
        <v>17.938912222499997</v>
      </c>
      <c r="S328" s="159">
        <f>SUMIFS(Aux_Lista!AE:AE,Aux_Lista!AC:AC,Aux_TBS!B328,Aux_Lista!AD:AD,Aux_TBS!A328)</f>
        <v>2</v>
      </c>
      <c r="T328" s="159" t="s">
        <v>363</v>
      </c>
      <c r="U328" s="159">
        <v>40</v>
      </c>
    </row>
    <row r="329" spans="1:21" x14ac:dyDescent="0.25">
      <c r="A329" s="162" t="s">
        <v>1302</v>
      </c>
      <c r="B329" s="149" t="s">
        <v>236</v>
      </c>
      <c r="C329" s="159" t="str">
        <f t="shared" si="5"/>
        <v>Canela, RS</v>
      </c>
      <c r="D329" s="163">
        <v>-29.37</v>
      </c>
      <c r="E329" s="149">
        <v>830</v>
      </c>
      <c r="F329" s="164">
        <v>18.3391129</v>
      </c>
      <c r="G329" s="164">
        <v>19.827976190000001</v>
      </c>
      <c r="H329" s="164">
        <v>18.90712366</v>
      </c>
      <c r="I329" s="164">
        <v>16.309999999999999</v>
      </c>
      <c r="J329" s="164">
        <v>14.18212366</v>
      </c>
      <c r="K329" s="164">
        <v>9.633472222</v>
      </c>
      <c r="L329" s="164">
        <v>10.61236559</v>
      </c>
      <c r="M329" s="164">
        <v>13.56572581</v>
      </c>
      <c r="N329" s="164">
        <v>12.93527778</v>
      </c>
      <c r="O329" s="164">
        <v>14.86102151</v>
      </c>
      <c r="P329" s="164">
        <v>19.693194439999999</v>
      </c>
      <c r="Q329" s="164">
        <v>19.12083333</v>
      </c>
      <c r="R329" s="164">
        <v>15.665685591000001</v>
      </c>
      <c r="S329" s="159">
        <f>SUMIFS(Aux_Lista!AE:AE,Aux_Lista!AC:AC,Aux_TBS!B329,Aux_Lista!AD:AD,Aux_TBS!A329)</f>
        <v>1</v>
      </c>
      <c r="T329" s="159" t="s">
        <v>363</v>
      </c>
      <c r="U329" s="159">
        <v>40</v>
      </c>
    </row>
    <row r="330" spans="1:21" x14ac:dyDescent="0.25">
      <c r="A330" s="162" t="s">
        <v>1298</v>
      </c>
      <c r="B330" s="149" t="s">
        <v>236</v>
      </c>
      <c r="C330" s="159" t="str">
        <f t="shared" si="5"/>
        <v>Canguçu, RS</v>
      </c>
      <c r="D330" s="163">
        <v>-31.41</v>
      </c>
      <c r="E330" s="149">
        <v>464</v>
      </c>
      <c r="F330" s="164">
        <v>19.92715054</v>
      </c>
      <c r="G330" s="164">
        <v>20.96964286</v>
      </c>
      <c r="H330" s="164">
        <v>19.973118280000001</v>
      </c>
      <c r="I330" s="164">
        <v>17.846666670000001</v>
      </c>
      <c r="J330" s="164">
        <v>15.30174731</v>
      </c>
      <c r="K330" s="164">
        <v>10.57777778</v>
      </c>
      <c r="L330" s="164">
        <v>9.9864247309999996</v>
      </c>
      <c r="M330" s="164">
        <v>13.94784946</v>
      </c>
      <c r="N330" s="164">
        <v>12.758749999999999</v>
      </c>
      <c r="O330" s="164">
        <v>15.134677419999999</v>
      </c>
      <c r="P330" s="164">
        <v>19.20597222</v>
      </c>
      <c r="Q330" s="164">
        <v>19.631720430000001</v>
      </c>
      <c r="R330" s="164">
        <v>16.271791475083337</v>
      </c>
      <c r="S330" s="159">
        <f>SUMIFS(Aux_Lista!AE:AE,Aux_Lista!AC:AC,Aux_TBS!B330,Aux_Lista!AD:AD,Aux_TBS!A330)</f>
        <v>2</v>
      </c>
      <c r="T330" s="159" t="s">
        <v>363</v>
      </c>
      <c r="U330" s="159">
        <v>40</v>
      </c>
    </row>
    <row r="331" spans="1:21" x14ac:dyDescent="0.25">
      <c r="A331" s="162" t="s">
        <v>1303</v>
      </c>
      <c r="B331" s="149" t="s">
        <v>236</v>
      </c>
      <c r="C331" s="159" t="str">
        <f t="shared" si="5"/>
        <v>Chuí, RS</v>
      </c>
      <c r="D331" s="163">
        <v>-33.74</v>
      </c>
      <c r="E331" s="149">
        <v>26</v>
      </c>
      <c r="F331" s="164">
        <v>23.018817200000001</v>
      </c>
      <c r="G331" s="164">
        <v>23.54508929</v>
      </c>
      <c r="H331" s="164">
        <v>21.975537630000002</v>
      </c>
      <c r="I331" s="164">
        <v>18.757361110000002</v>
      </c>
      <c r="J331" s="164">
        <v>16.01680108</v>
      </c>
      <c r="K331" s="164">
        <v>11.61111111</v>
      </c>
      <c r="L331" s="164">
        <v>10.643548389999999</v>
      </c>
      <c r="M331" s="164">
        <v>13.658736559999999</v>
      </c>
      <c r="N331" s="164">
        <v>13.48847222</v>
      </c>
      <c r="O331" s="164">
        <v>15.096908600000001</v>
      </c>
      <c r="P331" s="164">
        <v>19.036666669999999</v>
      </c>
      <c r="Q331" s="164">
        <v>20.46680108</v>
      </c>
      <c r="R331" s="164">
        <v>17.276320911666669</v>
      </c>
      <c r="S331" s="159">
        <f>SUMIFS(Aux_Lista!AE:AE,Aux_Lista!AC:AC,Aux_TBS!B331,Aux_Lista!AD:AD,Aux_TBS!A331)</f>
        <v>2</v>
      </c>
      <c r="T331" s="159" t="s">
        <v>363</v>
      </c>
      <c r="U331" s="159">
        <v>40</v>
      </c>
    </row>
    <row r="332" spans="1:21" x14ac:dyDescent="0.25">
      <c r="A332" s="162" t="s">
        <v>1738</v>
      </c>
      <c r="B332" s="149" t="s">
        <v>236</v>
      </c>
      <c r="C332" s="159" t="str">
        <f t="shared" si="5"/>
        <v>Cruz Alta, RS</v>
      </c>
      <c r="D332" s="163">
        <v>-28.6</v>
      </c>
      <c r="E332" s="149">
        <v>432</v>
      </c>
      <c r="F332" s="164">
        <v>23.333736559999998</v>
      </c>
      <c r="G332" s="164">
        <v>22.610714290000001</v>
      </c>
      <c r="H332" s="164">
        <v>21.624327959999999</v>
      </c>
      <c r="I332" s="164">
        <v>18.42736111</v>
      </c>
      <c r="J332" s="164">
        <v>15.922715050000001</v>
      </c>
      <c r="K332" s="164">
        <v>12.531388890000001</v>
      </c>
      <c r="L332" s="164">
        <v>16.215591400000001</v>
      </c>
      <c r="M332" s="164">
        <v>14.778091399999999</v>
      </c>
      <c r="N332" s="164">
        <v>14.187361109999999</v>
      </c>
      <c r="O332" s="164">
        <v>18.327956990000001</v>
      </c>
      <c r="P332" s="164">
        <v>22.001805560000001</v>
      </c>
      <c r="Q332" s="164">
        <v>23.08629032</v>
      </c>
      <c r="R332" s="164">
        <v>18.587278386666664</v>
      </c>
      <c r="S332" s="159">
        <f>SUMIFS(Aux_Lista!AE:AE,Aux_Lista!AC:AC,Aux_TBS!B332,Aux_Lista!AD:AD,Aux_TBS!A332)</f>
        <v>2</v>
      </c>
      <c r="T332" s="159" t="s">
        <v>363</v>
      </c>
      <c r="U332" s="159">
        <v>40</v>
      </c>
    </row>
    <row r="333" spans="1:21" x14ac:dyDescent="0.25">
      <c r="A333" s="162" t="s">
        <v>1734</v>
      </c>
      <c r="B333" s="149" t="s">
        <v>236</v>
      </c>
      <c r="C333" s="159" t="str">
        <f t="shared" si="5"/>
        <v>Erechim, RS</v>
      </c>
      <c r="D333" s="163">
        <v>-27.63</v>
      </c>
      <c r="E333" s="149">
        <v>765</v>
      </c>
      <c r="F333" s="164">
        <v>21.233736560000001</v>
      </c>
      <c r="G333" s="164">
        <v>21.17559524</v>
      </c>
      <c r="H333" s="164">
        <v>20.019220430000001</v>
      </c>
      <c r="I333" s="164">
        <v>16.919444439999999</v>
      </c>
      <c r="J333" s="164">
        <v>14.341263440000001</v>
      </c>
      <c r="K333" s="164">
        <v>12.015000000000001</v>
      </c>
      <c r="L333" s="164">
        <v>16.380510749999999</v>
      </c>
      <c r="M333" s="164">
        <v>15.72862903</v>
      </c>
      <c r="N333" s="164">
        <v>13.95013889</v>
      </c>
      <c r="O333" s="164">
        <v>17.228225810000001</v>
      </c>
      <c r="P333" s="164">
        <v>19.409861110000001</v>
      </c>
      <c r="Q333" s="164">
        <v>21.15013441</v>
      </c>
      <c r="R333" s="164">
        <v>17.462646675833337</v>
      </c>
      <c r="S333" s="159">
        <f>SUMIFS(Aux_Lista!AE:AE,Aux_Lista!AC:AC,Aux_TBS!B333,Aux_Lista!AD:AD,Aux_TBS!A333)</f>
        <v>2</v>
      </c>
      <c r="T333" s="159" t="s">
        <v>363</v>
      </c>
      <c r="U333" s="159">
        <v>40</v>
      </c>
    </row>
    <row r="334" spans="1:21" x14ac:dyDescent="0.25">
      <c r="A334" s="162" t="s">
        <v>1684</v>
      </c>
      <c r="B334" s="149" t="s">
        <v>236</v>
      </c>
      <c r="C334" s="159" t="str">
        <f t="shared" si="5"/>
        <v>Frederico Westphalen, RS</v>
      </c>
      <c r="D334" s="163">
        <v>-27.4</v>
      </c>
      <c r="E334" s="149">
        <v>490</v>
      </c>
      <c r="F334" s="164">
        <v>23.681182799999998</v>
      </c>
      <c r="G334" s="164">
        <v>23.64434524</v>
      </c>
      <c r="H334" s="164">
        <v>22.205913979999998</v>
      </c>
      <c r="I334" s="164">
        <v>18.502777779999999</v>
      </c>
      <c r="J334" s="164">
        <v>15.821236559999999</v>
      </c>
      <c r="K334" s="164">
        <v>12.83888889</v>
      </c>
      <c r="L334" s="164">
        <v>17.526881719999999</v>
      </c>
      <c r="M334" s="164">
        <v>16.906048389999999</v>
      </c>
      <c r="N334" s="164">
        <v>15.76597222</v>
      </c>
      <c r="O334" s="164">
        <v>19.428897849999998</v>
      </c>
      <c r="P334" s="164">
        <v>21.695833329999999</v>
      </c>
      <c r="Q334" s="164">
        <v>23.18696237</v>
      </c>
      <c r="R334" s="164">
        <v>19.2670784275</v>
      </c>
      <c r="S334" s="159">
        <f>SUMIFS(Aux_Lista!AE:AE,Aux_Lista!AC:AC,Aux_TBS!B334,Aux_Lista!AD:AD,Aux_TBS!A334)</f>
        <v>3</v>
      </c>
      <c r="T334" s="159" t="s">
        <v>363</v>
      </c>
      <c r="U334" s="159">
        <v>40</v>
      </c>
    </row>
    <row r="335" spans="1:21" x14ac:dyDescent="0.25">
      <c r="A335" s="162" t="s">
        <v>1419</v>
      </c>
      <c r="B335" s="149" t="s">
        <v>236</v>
      </c>
      <c r="C335" s="159" t="str">
        <f t="shared" si="5"/>
        <v>Jaguarão, RS</v>
      </c>
      <c r="D335" s="163">
        <v>-32.57</v>
      </c>
      <c r="E335" s="149">
        <v>47</v>
      </c>
      <c r="F335" s="164">
        <v>22.80174731</v>
      </c>
      <c r="G335" s="164">
        <v>23.407589290000001</v>
      </c>
      <c r="H335" s="164">
        <v>21.716666669999999</v>
      </c>
      <c r="I335" s="164">
        <v>18.13666667</v>
      </c>
      <c r="J335" s="164">
        <v>15.20658602</v>
      </c>
      <c r="K335" s="164">
        <v>11.251805559999999</v>
      </c>
      <c r="L335" s="164">
        <v>14.61357527</v>
      </c>
      <c r="M335" s="164">
        <v>12.58817204</v>
      </c>
      <c r="N335" s="164">
        <v>14.02819444</v>
      </c>
      <c r="O335" s="164">
        <v>17.878360220000001</v>
      </c>
      <c r="P335" s="164">
        <v>21.295416670000002</v>
      </c>
      <c r="Q335" s="164">
        <v>21.725403230000001</v>
      </c>
      <c r="R335" s="164">
        <v>17.887515282500001</v>
      </c>
      <c r="S335" s="159">
        <f>SUMIFS(Aux_Lista!AE:AE,Aux_Lista!AC:AC,Aux_TBS!B335,Aux_Lista!AD:AD,Aux_TBS!A335)</f>
        <v>2</v>
      </c>
      <c r="T335" s="159" t="s">
        <v>363</v>
      </c>
      <c r="U335" s="159">
        <v>40</v>
      </c>
    </row>
    <row r="336" spans="1:21" x14ac:dyDescent="0.25">
      <c r="A336" s="162" t="s">
        <v>1334</v>
      </c>
      <c r="B336" s="149" t="s">
        <v>236</v>
      </c>
      <c r="C336" s="159" t="str">
        <f t="shared" si="5"/>
        <v>Lagoa Vermelha, RS</v>
      </c>
      <c r="D336" s="163">
        <v>-28.22</v>
      </c>
      <c r="E336" s="149">
        <v>842</v>
      </c>
      <c r="F336" s="164">
        <v>20.3436828</v>
      </c>
      <c r="G336" s="164">
        <v>20.325744050000001</v>
      </c>
      <c r="H336" s="164">
        <v>19.384005380000001</v>
      </c>
      <c r="I336" s="164">
        <v>16.709444439999999</v>
      </c>
      <c r="J336" s="164">
        <v>14.21129032</v>
      </c>
      <c r="K336" s="164">
        <v>11.27</v>
      </c>
      <c r="L336" s="164">
        <v>14.846370970000001</v>
      </c>
      <c r="M336" s="164">
        <v>14.787634410000001</v>
      </c>
      <c r="N336" s="164">
        <v>12.799583330000001</v>
      </c>
      <c r="O336" s="164">
        <v>16.378360220000001</v>
      </c>
      <c r="P336" s="164">
        <v>18.434027780000001</v>
      </c>
      <c r="Q336" s="164">
        <v>20.0672043</v>
      </c>
      <c r="R336" s="164">
        <v>16.629778999999999</v>
      </c>
      <c r="S336" s="159">
        <f>SUMIFS(Aux_Lista!AE:AE,Aux_Lista!AC:AC,Aux_TBS!B336,Aux_Lista!AD:AD,Aux_TBS!A336)</f>
        <v>2</v>
      </c>
      <c r="T336" s="159" t="s">
        <v>363</v>
      </c>
      <c r="U336" s="159">
        <v>40</v>
      </c>
    </row>
    <row r="337" spans="1:21" x14ac:dyDescent="0.25">
      <c r="A337" s="162" t="s">
        <v>1308</v>
      </c>
      <c r="B337" s="149" t="s">
        <v>236</v>
      </c>
      <c r="C337" s="159" t="str">
        <f t="shared" si="5"/>
        <v>Mostardas, RS</v>
      </c>
      <c r="D337" s="163">
        <v>-31.25</v>
      </c>
      <c r="E337" s="149">
        <v>10</v>
      </c>
      <c r="F337" s="164">
        <v>22.505376340000002</v>
      </c>
      <c r="G337" s="164">
        <v>23.748065480000001</v>
      </c>
      <c r="H337" s="164">
        <v>23.43709677</v>
      </c>
      <c r="I337" s="164">
        <v>21.155694440000001</v>
      </c>
      <c r="J337" s="164">
        <v>18.28172043</v>
      </c>
      <c r="K337" s="164">
        <v>13.731111110000001</v>
      </c>
      <c r="L337" s="164">
        <v>13.170833330000001</v>
      </c>
      <c r="M337" s="164">
        <v>14.61680108</v>
      </c>
      <c r="N337" s="164">
        <v>15.38125</v>
      </c>
      <c r="O337" s="164">
        <v>18.713978489999999</v>
      </c>
      <c r="P337" s="164">
        <v>20.678055560000001</v>
      </c>
      <c r="Q337" s="164">
        <v>21.360215050000001</v>
      </c>
      <c r="R337" s="164">
        <v>18.898349839999998</v>
      </c>
      <c r="S337" s="159">
        <f>SUMIFS(Aux_Lista!AE:AE,Aux_Lista!AC:AC,Aux_TBS!B337,Aux_Lista!AD:AD,Aux_TBS!A337)</f>
        <v>2</v>
      </c>
      <c r="T337" s="159" t="s">
        <v>363</v>
      </c>
      <c r="U337" s="159">
        <v>40</v>
      </c>
    </row>
    <row r="338" spans="1:21" x14ac:dyDescent="0.25">
      <c r="A338" s="162" t="s">
        <v>1380</v>
      </c>
      <c r="B338" s="149" t="s">
        <v>236</v>
      </c>
      <c r="C338" s="159" t="str">
        <f t="shared" si="5"/>
        <v>Palmeira das Missões, RS</v>
      </c>
      <c r="D338" s="163">
        <v>-27.92</v>
      </c>
      <c r="E338" s="149">
        <v>642</v>
      </c>
      <c r="F338" s="164">
        <v>21.329435480000001</v>
      </c>
      <c r="G338" s="164">
        <v>22.829464290000001</v>
      </c>
      <c r="H338" s="164">
        <v>21.226344090000001</v>
      </c>
      <c r="I338" s="164">
        <v>18.497638890000001</v>
      </c>
      <c r="J338" s="164">
        <v>15.81733871</v>
      </c>
      <c r="K338" s="164">
        <v>12.67111111</v>
      </c>
      <c r="L338" s="164">
        <v>17.037634409999999</v>
      </c>
      <c r="M338" s="164">
        <v>15.97459677</v>
      </c>
      <c r="N338" s="164">
        <v>14.28027778</v>
      </c>
      <c r="O338" s="164">
        <v>18.108064519999999</v>
      </c>
      <c r="P338" s="164">
        <v>20.845138890000001</v>
      </c>
      <c r="Q338" s="164">
        <v>22.044086020000002</v>
      </c>
      <c r="R338" s="164">
        <v>18.388427580000002</v>
      </c>
      <c r="S338" s="159">
        <f>SUMIFS(Aux_Lista!AE:AE,Aux_Lista!AC:AC,Aux_TBS!B338,Aux_Lista!AD:AD,Aux_TBS!A338)</f>
        <v>2</v>
      </c>
      <c r="T338" s="159" t="s">
        <v>363</v>
      </c>
      <c r="U338" s="159">
        <v>40</v>
      </c>
    </row>
    <row r="339" spans="1:21" x14ac:dyDescent="0.25">
      <c r="A339" s="162" t="s">
        <v>1356</v>
      </c>
      <c r="B339" s="149" t="s">
        <v>236</v>
      </c>
      <c r="C339" s="159" t="str">
        <f t="shared" si="5"/>
        <v>Passo Fundo, RS</v>
      </c>
      <c r="D339" s="163">
        <v>-28.26</v>
      </c>
      <c r="E339" s="149">
        <v>684</v>
      </c>
      <c r="F339" s="164">
        <v>21.414516129999999</v>
      </c>
      <c r="G339" s="164">
        <v>21.11309524</v>
      </c>
      <c r="H339" s="164">
        <v>20.322177419999999</v>
      </c>
      <c r="I339" s="164">
        <v>17.580138890000001</v>
      </c>
      <c r="J339" s="164">
        <v>14.77271505</v>
      </c>
      <c r="K339" s="164">
        <v>12.06986111</v>
      </c>
      <c r="L339" s="164">
        <v>15.3969086</v>
      </c>
      <c r="M339" s="164">
        <v>15.11787634</v>
      </c>
      <c r="N339" s="164">
        <v>13.55402778</v>
      </c>
      <c r="O339" s="164">
        <v>17.385080649999999</v>
      </c>
      <c r="P339" s="164">
        <v>20.002083330000001</v>
      </c>
      <c r="Q339" s="164">
        <v>21.407392470000001</v>
      </c>
      <c r="R339" s="164">
        <v>17.511322750833333</v>
      </c>
      <c r="S339" s="159">
        <f>SUMIFS(Aux_Lista!AE:AE,Aux_Lista!AC:AC,Aux_TBS!B339,Aux_Lista!AD:AD,Aux_TBS!A339)</f>
        <v>2</v>
      </c>
      <c r="T339" s="159" t="s">
        <v>363</v>
      </c>
      <c r="U339" s="159">
        <v>40</v>
      </c>
    </row>
    <row r="340" spans="1:21" x14ac:dyDescent="0.25">
      <c r="A340" s="162" t="s">
        <v>1320</v>
      </c>
      <c r="B340" s="149" t="s">
        <v>236</v>
      </c>
      <c r="C340" s="159" t="str">
        <f t="shared" si="5"/>
        <v>Porto Alegre, RS</v>
      </c>
      <c r="D340" s="163">
        <v>-30.03</v>
      </c>
      <c r="E340" s="149">
        <v>47</v>
      </c>
      <c r="F340" s="164">
        <v>25.324059139999999</v>
      </c>
      <c r="G340" s="164">
        <v>24.32261905</v>
      </c>
      <c r="H340" s="164">
        <v>23.611962370000001</v>
      </c>
      <c r="I340" s="164">
        <v>20.379027780000001</v>
      </c>
      <c r="J340" s="164">
        <v>15.771102150000001</v>
      </c>
      <c r="K340" s="164">
        <v>15.74291667</v>
      </c>
      <c r="L340" s="164">
        <v>17.49717742</v>
      </c>
      <c r="M340" s="164">
        <v>15.575672040000001</v>
      </c>
      <c r="N340" s="164">
        <v>16.326944439999998</v>
      </c>
      <c r="O340" s="164">
        <v>20.371370970000001</v>
      </c>
      <c r="P340" s="164">
        <v>20.74513889</v>
      </c>
      <c r="Q340" s="164">
        <v>24.84704301</v>
      </c>
      <c r="R340" s="164">
        <v>20.042919494166664</v>
      </c>
      <c r="S340" s="159">
        <f>SUMIFS(Aux_Lista!AE:AE,Aux_Lista!AC:AC,Aux_TBS!B340,Aux_Lista!AD:AD,Aux_TBS!A340)</f>
        <v>3</v>
      </c>
      <c r="T340" s="159" t="s">
        <v>363</v>
      </c>
      <c r="U340" s="159">
        <v>40</v>
      </c>
    </row>
    <row r="341" spans="1:21" x14ac:dyDescent="0.25">
      <c r="A341" s="162" t="s">
        <v>1765</v>
      </c>
      <c r="B341" s="149" t="s">
        <v>236</v>
      </c>
      <c r="C341" s="159" t="str">
        <f t="shared" si="5"/>
        <v>Quaraí, RS</v>
      </c>
      <c r="D341" s="163">
        <v>-30.37</v>
      </c>
      <c r="E341" s="149">
        <v>124</v>
      </c>
      <c r="F341" s="164">
        <v>25.399059139999999</v>
      </c>
      <c r="G341" s="164">
        <v>25.36354167</v>
      </c>
      <c r="H341" s="164">
        <v>23.069220430000001</v>
      </c>
      <c r="I341" s="164">
        <v>18.323472219999999</v>
      </c>
      <c r="J341" s="164">
        <v>15.341129029999999</v>
      </c>
      <c r="K341" s="164">
        <v>11.11527778</v>
      </c>
      <c r="L341" s="164">
        <v>15.82069892</v>
      </c>
      <c r="M341" s="164">
        <v>13.457258059999999</v>
      </c>
      <c r="N341" s="164">
        <v>14.708888890000001</v>
      </c>
      <c r="O341" s="164">
        <v>18.796102149999999</v>
      </c>
      <c r="P341" s="164">
        <v>23.014027779999999</v>
      </c>
      <c r="Q341" s="164">
        <v>24.526478489999999</v>
      </c>
      <c r="R341" s="164">
        <v>19.077929546666663</v>
      </c>
      <c r="S341" s="159">
        <f>SUMIFS(Aux_Lista!AE:AE,Aux_Lista!AC:AC,Aux_TBS!B341,Aux_Lista!AD:AD,Aux_TBS!A341)</f>
        <v>2</v>
      </c>
      <c r="T341" s="159" t="s">
        <v>363</v>
      </c>
      <c r="U341" s="159">
        <v>40</v>
      </c>
    </row>
    <row r="342" spans="1:21" x14ac:dyDescent="0.25">
      <c r="A342" s="162" t="s">
        <v>1387</v>
      </c>
      <c r="B342" s="149" t="s">
        <v>236</v>
      </c>
      <c r="C342" s="159" t="str">
        <f t="shared" si="5"/>
        <v>Rio Pardo, RS</v>
      </c>
      <c r="D342" s="163">
        <v>-29.87</v>
      </c>
      <c r="E342" s="149">
        <v>111</v>
      </c>
      <c r="F342" s="164">
        <v>23.555241939999998</v>
      </c>
      <c r="G342" s="164">
        <v>23.54598214</v>
      </c>
      <c r="H342" s="164">
        <v>22.628897850000001</v>
      </c>
      <c r="I342" s="164">
        <v>18.721250000000001</v>
      </c>
      <c r="J342" s="164">
        <v>16.046102149999999</v>
      </c>
      <c r="K342" s="164">
        <v>12.337222219999999</v>
      </c>
      <c r="L342" s="164">
        <v>15.85026882</v>
      </c>
      <c r="M342" s="164">
        <v>14.68494624</v>
      </c>
      <c r="N342" s="164">
        <v>15.17527778</v>
      </c>
      <c r="O342" s="164">
        <v>18.600672039999999</v>
      </c>
      <c r="P342" s="164">
        <v>21.835277779999998</v>
      </c>
      <c r="Q342" s="164">
        <v>22.754301080000001</v>
      </c>
      <c r="R342" s="164">
        <v>18.811286669999998</v>
      </c>
      <c r="S342" s="159">
        <f>SUMIFS(Aux_Lista!AE:AE,Aux_Lista!AC:AC,Aux_TBS!B342,Aux_Lista!AD:AD,Aux_TBS!A342)</f>
        <v>2</v>
      </c>
      <c r="T342" s="159" t="s">
        <v>363</v>
      </c>
      <c r="U342" s="159">
        <v>40</v>
      </c>
    </row>
    <row r="343" spans="1:21" x14ac:dyDescent="0.25">
      <c r="A343" s="162" t="s">
        <v>1750</v>
      </c>
      <c r="B343" s="149" t="s">
        <v>236</v>
      </c>
      <c r="C343" s="159" t="str">
        <f t="shared" si="5"/>
        <v>Santa Maria, RS</v>
      </c>
      <c r="D343" s="163">
        <v>-29.68</v>
      </c>
      <c r="E343" s="149">
        <v>95</v>
      </c>
      <c r="F343" s="164">
        <v>24.927016129999998</v>
      </c>
      <c r="G343" s="164">
        <v>24.82395833</v>
      </c>
      <c r="H343" s="164">
        <v>22.20981183</v>
      </c>
      <c r="I343" s="164">
        <v>18.638055560000002</v>
      </c>
      <c r="J343" s="164">
        <v>16.547043009999999</v>
      </c>
      <c r="K343" s="164">
        <v>15.63236111</v>
      </c>
      <c r="L343" s="164">
        <v>14.426881720000001</v>
      </c>
      <c r="M343" s="164">
        <v>13.41814516</v>
      </c>
      <c r="N343" s="164">
        <v>16.024027780000001</v>
      </c>
      <c r="O343" s="164">
        <v>19.805241939999998</v>
      </c>
      <c r="P343" s="164">
        <v>21.30347222</v>
      </c>
      <c r="Q343" s="164">
        <v>21.158870969999999</v>
      </c>
      <c r="R343" s="164">
        <v>19.076240479999999</v>
      </c>
      <c r="S343" s="159">
        <f>SUMIFS(Aux_Lista!AE:AE,Aux_Lista!AC:AC,Aux_TBS!B343,Aux_Lista!AD:AD,Aux_TBS!A343)</f>
        <v>2</v>
      </c>
      <c r="T343" s="159" t="s">
        <v>363</v>
      </c>
      <c r="U343" s="159">
        <v>40</v>
      </c>
    </row>
    <row r="344" spans="1:21" x14ac:dyDescent="0.25">
      <c r="A344" s="162" t="s">
        <v>1763</v>
      </c>
      <c r="B344" s="149" t="s">
        <v>236</v>
      </c>
      <c r="C344" s="159" t="str">
        <f t="shared" si="5"/>
        <v>Santana do Livramento, RS</v>
      </c>
      <c r="D344" s="163">
        <v>-30.89</v>
      </c>
      <c r="E344" s="149">
        <v>328</v>
      </c>
      <c r="F344" s="164">
        <v>23.362634409999998</v>
      </c>
      <c r="G344" s="164">
        <v>23.14241071</v>
      </c>
      <c r="H344" s="164">
        <v>21.699731180000001</v>
      </c>
      <c r="I344" s="164">
        <v>17.344722220000001</v>
      </c>
      <c r="J344" s="164">
        <v>14.285349460000001</v>
      </c>
      <c r="K344" s="164">
        <v>12.39458333</v>
      </c>
      <c r="L344" s="164">
        <v>12.08696237</v>
      </c>
      <c r="M344" s="164">
        <v>12.566532260000001</v>
      </c>
      <c r="N344" s="164">
        <v>14.75638889</v>
      </c>
      <c r="O344" s="164">
        <v>16.355779569999999</v>
      </c>
      <c r="P344" s="164">
        <v>19.70291667</v>
      </c>
      <c r="Q344" s="164">
        <v>23.616666670000001</v>
      </c>
      <c r="R344" s="164">
        <v>17.609556478333335</v>
      </c>
      <c r="S344" s="159">
        <f>SUMIFS(Aux_Lista!AE:AE,Aux_Lista!AC:AC,Aux_TBS!B344,Aux_Lista!AD:AD,Aux_TBS!A344)</f>
        <v>2</v>
      </c>
      <c r="T344" s="159" t="s">
        <v>363</v>
      </c>
      <c r="U344" s="159">
        <v>40</v>
      </c>
    </row>
    <row r="345" spans="1:21" x14ac:dyDescent="0.25">
      <c r="A345" s="162" t="s">
        <v>1376</v>
      </c>
      <c r="B345" s="149" t="s">
        <v>236</v>
      </c>
      <c r="C345" s="159" t="str">
        <f t="shared" si="5"/>
        <v>Santiago, RS</v>
      </c>
      <c r="D345" s="163">
        <v>-29.19</v>
      </c>
      <c r="E345" s="149">
        <v>394</v>
      </c>
      <c r="F345" s="164">
        <v>23.462096769999999</v>
      </c>
      <c r="G345" s="164">
        <v>23.822767859999999</v>
      </c>
      <c r="H345" s="164">
        <v>22.244489250000001</v>
      </c>
      <c r="I345" s="164">
        <v>19.843888889999999</v>
      </c>
      <c r="J345" s="164">
        <v>16.764516130000001</v>
      </c>
      <c r="K345" s="164">
        <v>11.22458333</v>
      </c>
      <c r="L345" s="164">
        <v>11.964247309999999</v>
      </c>
      <c r="M345" s="164">
        <v>15.701612900000001</v>
      </c>
      <c r="N345" s="164">
        <v>15.00208333</v>
      </c>
      <c r="O345" s="164">
        <v>18.499865589999999</v>
      </c>
      <c r="P345" s="164">
        <v>22.34486111</v>
      </c>
      <c r="Q345" s="164">
        <v>22.934811830000001</v>
      </c>
      <c r="R345" s="164">
        <v>18.650818691666672</v>
      </c>
      <c r="S345" s="159">
        <f>SUMIFS(Aux_Lista!AE:AE,Aux_Lista!AC:AC,Aux_TBS!B345,Aux_Lista!AD:AD,Aux_TBS!A345)</f>
        <v>2</v>
      </c>
      <c r="T345" s="159" t="s">
        <v>363</v>
      </c>
      <c r="U345" s="159">
        <v>40</v>
      </c>
    </row>
    <row r="346" spans="1:21" x14ac:dyDescent="0.25">
      <c r="A346" s="162" t="s">
        <v>1411</v>
      </c>
      <c r="B346" s="149" t="s">
        <v>236</v>
      </c>
      <c r="C346" s="159" t="str">
        <f t="shared" si="5"/>
        <v>Santo Augusto, RS</v>
      </c>
      <c r="D346" s="163">
        <v>-27.85</v>
      </c>
      <c r="E346" s="149">
        <v>550</v>
      </c>
      <c r="F346" s="164">
        <v>23.33763441</v>
      </c>
      <c r="G346" s="164">
        <v>24.504017860000001</v>
      </c>
      <c r="H346" s="164">
        <v>22.367741939999998</v>
      </c>
      <c r="I346" s="164">
        <v>19.05236111</v>
      </c>
      <c r="J346" s="164">
        <v>14.69448925</v>
      </c>
      <c r="K346" s="164">
        <v>15.20805556</v>
      </c>
      <c r="L346" s="164">
        <v>15.40228495</v>
      </c>
      <c r="M346" s="164">
        <v>16.101344090000001</v>
      </c>
      <c r="N346" s="164">
        <v>16.730277780000002</v>
      </c>
      <c r="O346" s="164">
        <v>18.059408600000001</v>
      </c>
      <c r="P346" s="164">
        <v>20.74583333</v>
      </c>
      <c r="Q346" s="164">
        <v>22.757795699999999</v>
      </c>
      <c r="R346" s="164">
        <v>19.080103715000003</v>
      </c>
      <c r="S346" s="159">
        <f>SUMIFS(Aux_Lista!AE:AE,Aux_Lista!AC:AC,Aux_TBS!B346,Aux_Lista!AD:AD,Aux_TBS!A346)</f>
        <v>2</v>
      </c>
      <c r="T346" s="159" t="s">
        <v>363</v>
      </c>
      <c r="U346" s="159">
        <v>40</v>
      </c>
    </row>
    <row r="347" spans="1:21" x14ac:dyDescent="0.25">
      <c r="A347" s="162" t="s">
        <v>1741</v>
      </c>
      <c r="B347" s="149" t="s">
        <v>236</v>
      </c>
      <c r="C347" s="159" t="str">
        <f t="shared" si="5"/>
        <v>São Borja, RS</v>
      </c>
      <c r="D347" s="163">
        <v>-28.66</v>
      </c>
      <c r="E347" s="149">
        <v>83</v>
      </c>
      <c r="F347" s="164">
        <v>26.549193549999998</v>
      </c>
      <c r="G347" s="164">
        <v>25.923065480000002</v>
      </c>
      <c r="H347" s="164">
        <v>24.22903226</v>
      </c>
      <c r="I347" s="164">
        <v>19.849444439999999</v>
      </c>
      <c r="J347" s="164">
        <v>16.568817200000002</v>
      </c>
      <c r="K347" s="164">
        <v>13.80777778</v>
      </c>
      <c r="L347" s="164">
        <v>17.621505379999999</v>
      </c>
      <c r="M347" s="164">
        <v>16.078629029999998</v>
      </c>
      <c r="N347" s="164">
        <v>16.313472220000001</v>
      </c>
      <c r="O347" s="164">
        <v>20.674059140000001</v>
      </c>
      <c r="P347" s="164">
        <v>24.379027780000001</v>
      </c>
      <c r="Q347" s="164">
        <v>26.199059139999999</v>
      </c>
      <c r="R347" s="164">
        <v>20.682756949999998</v>
      </c>
      <c r="S347" s="159">
        <f>SUMIFS(Aux_Lista!AE:AE,Aux_Lista!AC:AC,Aux_TBS!B347,Aux_Lista!AD:AD,Aux_TBS!A347)</f>
        <v>2</v>
      </c>
      <c r="T347" s="159" t="s">
        <v>363</v>
      </c>
      <c r="U347" s="159">
        <v>40</v>
      </c>
    </row>
    <row r="348" spans="1:21" x14ac:dyDescent="0.25">
      <c r="A348" s="162" t="s">
        <v>1755</v>
      </c>
      <c r="B348" s="149" t="s">
        <v>236</v>
      </c>
      <c r="C348" s="159" t="str">
        <f t="shared" si="5"/>
        <v>São Gabriel, RS</v>
      </c>
      <c r="D348" s="163">
        <v>-30.34</v>
      </c>
      <c r="E348" s="149">
        <v>126</v>
      </c>
      <c r="F348" s="164">
        <v>24.790725810000001</v>
      </c>
      <c r="G348" s="164">
        <v>24.344940480000002</v>
      </c>
      <c r="H348" s="164">
        <v>23.047043009999999</v>
      </c>
      <c r="I348" s="164">
        <v>18.07069444</v>
      </c>
      <c r="J348" s="164">
        <v>15.74395161</v>
      </c>
      <c r="K348" s="164">
        <v>12.01847222</v>
      </c>
      <c r="L348" s="164">
        <v>15.568682799999999</v>
      </c>
      <c r="M348" s="164">
        <v>14.112903230000001</v>
      </c>
      <c r="N348" s="164">
        <v>14.967083329999999</v>
      </c>
      <c r="O348" s="164">
        <v>19.065860220000001</v>
      </c>
      <c r="P348" s="164">
        <v>23.091249999999999</v>
      </c>
      <c r="Q348" s="164">
        <v>24.32607527</v>
      </c>
      <c r="R348" s="164">
        <v>19.095640201666665</v>
      </c>
      <c r="S348" s="159">
        <f>SUMIFS(Aux_Lista!AE:AE,Aux_Lista!AC:AC,Aux_TBS!B348,Aux_Lista!AD:AD,Aux_TBS!A348)</f>
        <v>2</v>
      </c>
      <c r="T348" s="159" t="s">
        <v>363</v>
      </c>
      <c r="U348" s="159">
        <v>40</v>
      </c>
    </row>
    <row r="349" spans="1:21" x14ac:dyDescent="0.25">
      <c r="A349" s="162" t="s">
        <v>498</v>
      </c>
      <c r="B349" s="149" t="s">
        <v>236</v>
      </c>
      <c r="C349" s="159" t="str">
        <f t="shared" si="5"/>
        <v>São José dos Ausentes, RS</v>
      </c>
      <c r="D349" s="163">
        <v>-28.75</v>
      </c>
      <c r="E349" s="149">
        <v>1244</v>
      </c>
      <c r="F349" s="164">
        <v>15.79314516</v>
      </c>
      <c r="G349" s="164">
        <v>16.339732139999999</v>
      </c>
      <c r="H349" s="164">
        <v>15.89677419</v>
      </c>
      <c r="I349" s="164">
        <v>14.35791667</v>
      </c>
      <c r="J349" s="164">
        <v>11.80927419</v>
      </c>
      <c r="K349" s="164">
        <v>12.348333330000001</v>
      </c>
      <c r="L349" s="164">
        <v>10.85215054</v>
      </c>
      <c r="M349" s="164">
        <v>12.078897850000001</v>
      </c>
      <c r="N349" s="164">
        <v>14.68430556</v>
      </c>
      <c r="O349" s="164">
        <v>12.665456989999999</v>
      </c>
      <c r="P349" s="164">
        <v>13.818055559999999</v>
      </c>
      <c r="Q349" s="164">
        <v>15.20981183</v>
      </c>
      <c r="R349" s="164">
        <v>13.821154500833336</v>
      </c>
      <c r="S349" s="159">
        <f>SUMIFS(Aux_Lista!AE:AE,Aux_Lista!AC:AC,Aux_TBS!B349,Aux_Lista!AD:AD,Aux_TBS!A349)</f>
        <v>1</v>
      </c>
      <c r="T349" s="159" t="s">
        <v>363</v>
      </c>
      <c r="U349" s="159">
        <v>40</v>
      </c>
    </row>
    <row r="350" spans="1:21" x14ac:dyDescent="0.25">
      <c r="A350" s="162" t="s">
        <v>1748</v>
      </c>
      <c r="B350" s="149" t="s">
        <v>236</v>
      </c>
      <c r="C350" s="159" t="str">
        <f t="shared" si="5"/>
        <v>São Luiz Gonzaga, RS</v>
      </c>
      <c r="D350" s="163">
        <v>-28.41</v>
      </c>
      <c r="E350" s="149">
        <v>245</v>
      </c>
      <c r="F350" s="164">
        <v>25.352419350000002</v>
      </c>
      <c r="G350" s="164">
        <v>24.88005952</v>
      </c>
      <c r="H350" s="164">
        <v>23.471236560000001</v>
      </c>
      <c r="I350" s="164">
        <v>19.979722219999999</v>
      </c>
      <c r="J350" s="164">
        <v>16.77567204</v>
      </c>
      <c r="K350" s="164">
        <v>13.66069444</v>
      </c>
      <c r="L350" s="164">
        <v>18.03413978</v>
      </c>
      <c r="M350" s="164">
        <v>16.231048390000002</v>
      </c>
      <c r="N350" s="164">
        <v>16.121805559999999</v>
      </c>
      <c r="O350" s="164">
        <v>20.047043009999999</v>
      </c>
      <c r="P350" s="164">
        <v>23.62125</v>
      </c>
      <c r="Q350" s="164">
        <v>25.191935480000001</v>
      </c>
      <c r="R350" s="164">
        <v>20.280585529166668</v>
      </c>
      <c r="S350" s="159">
        <f>SUMIFS(Aux_Lista!AE:AE,Aux_Lista!AC:AC,Aux_TBS!B350,Aux_Lista!AD:AD,Aux_TBS!A350)</f>
        <v>2</v>
      </c>
      <c r="T350" s="159" t="s">
        <v>363</v>
      </c>
      <c r="U350" s="159">
        <v>40</v>
      </c>
    </row>
    <row r="351" spans="1:21" x14ac:dyDescent="0.25">
      <c r="A351" s="162" t="s">
        <v>1337</v>
      </c>
      <c r="B351" s="149" t="s">
        <v>236</v>
      </c>
      <c r="C351" s="159" t="str">
        <f t="shared" si="5"/>
        <v>Soledade, RS</v>
      </c>
      <c r="D351" s="163">
        <v>-28.85</v>
      </c>
      <c r="E351" s="149">
        <v>667</v>
      </c>
      <c r="F351" s="164">
        <v>20.353897849999999</v>
      </c>
      <c r="G351" s="164">
        <v>21.647321430000002</v>
      </c>
      <c r="H351" s="164">
        <v>20.813709679999999</v>
      </c>
      <c r="I351" s="164">
        <v>18.837916669999998</v>
      </c>
      <c r="J351" s="164">
        <v>15.76142473</v>
      </c>
      <c r="K351" s="164">
        <v>10.835000000000001</v>
      </c>
      <c r="L351" s="164">
        <v>11.564516129999999</v>
      </c>
      <c r="M351" s="164">
        <v>15.112903230000001</v>
      </c>
      <c r="N351" s="164">
        <v>14.25069444</v>
      </c>
      <c r="O351" s="164">
        <v>16.952688169999998</v>
      </c>
      <c r="P351" s="164">
        <v>21.586111110000001</v>
      </c>
      <c r="Q351" s="164">
        <v>21.37553763</v>
      </c>
      <c r="R351" s="164">
        <v>17.424310089166664</v>
      </c>
      <c r="S351" s="159">
        <f>SUMIFS(Aux_Lista!AE:AE,Aux_Lista!AC:AC,Aux_TBS!B351,Aux_Lista!AD:AD,Aux_TBS!A351)</f>
        <v>2</v>
      </c>
      <c r="T351" s="159" t="s">
        <v>363</v>
      </c>
      <c r="U351" s="159">
        <v>40</v>
      </c>
    </row>
    <row r="352" spans="1:21" x14ac:dyDescent="0.25">
      <c r="A352" s="162" t="s">
        <v>1406</v>
      </c>
      <c r="B352" s="149" t="s">
        <v>236</v>
      </c>
      <c r="C352" s="159" t="str">
        <f t="shared" si="5"/>
        <v>Torres, RS</v>
      </c>
      <c r="D352" s="163">
        <v>-29.33</v>
      </c>
      <c r="E352" s="149">
        <v>5</v>
      </c>
      <c r="F352" s="164">
        <v>23.175672039999998</v>
      </c>
      <c r="G352" s="164">
        <v>22.7016369</v>
      </c>
      <c r="H352" s="164">
        <v>22.267338710000001</v>
      </c>
      <c r="I352" s="164">
        <v>20.0425</v>
      </c>
      <c r="J352" s="164">
        <v>17.390725809999999</v>
      </c>
      <c r="K352" s="164">
        <v>14.09319444</v>
      </c>
      <c r="L352" s="164">
        <v>16.10362903</v>
      </c>
      <c r="M352" s="164">
        <v>15.418951610000001</v>
      </c>
      <c r="N352" s="164">
        <v>15.81152778</v>
      </c>
      <c r="O352" s="164">
        <v>18.755510749999999</v>
      </c>
      <c r="P352" s="164">
        <v>19.7775</v>
      </c>
      <c r="Q352" s="164">
        <v>20.887768820000002</v>
      </c>
      <c r="R352" s="164">
        <v>18.868829657500001</v>
      </c>
      <c r="S352" s="159">
        <f>SUMIFS(Aux_Lista!AE:AE,Aux_Lista!AC:AC,Aux_TBS!B352,Aux_Lista!AD:AD,Aux_TBS!A352)</f>
        <v>3</v>
      </c>
      <c r="T352" s="159" t="s">
        <v>363</v>
      </c>
      <c r="U352" s="159">
        <v>40</v>
      </c>
    </row>
    <row r="353" spans="1:21" x14ac:dyDescent="0.25">
      <c r="A353" s="162" t="s">
        <v>1323</v>
      </c>
      <c r="B353" s="149" t="s">
        <v>236</v>
      </c>
      <c r="C353" s="159" t="str">
        <f t="shared" si="5"/>
        <v>Tramandaí, RS</v>
      </c>
      <c r="D353" s="163">
        <v>-30.01</v>
      </c>
      <c r="E353" s="149">
        <v>1</v>
      </c>
      <c r="F353" s="164">
        <v>22.322043010000002</v>
      </c>
      <c r="G353" s="164">
        <v>23.178125000000001</v>
      </c>
      <c r="H353" s="164">
        <v>23.270295699999998</v>
      </c>
      <c r="I353" s="164">
        <v>20.246527780000001</v>
      </c>
      <c r="J353" s="164">
        <v>17.389381719999999</v>
      </c>
      <c r="K353" s="164">
        <v>13.965972219999999</v>
      </c>
      <c r="L353" s="164">
        <v>16.18884409</v>
      </c>
      <c r="M353" s="164">
        <v>15.44825269</v>
      </c>
      <c r="N353" s="164">
        <v>15.708888890000001</v>
      </c>
      <c r="O353" s="164">
        <v>18.956720430000001</v>
      </c>
      <c r="P353" s="164">
        <v>20.160138889999999</v>
      </c>
      <c r="Q353" s="164">
        <v>21.026344089999998</v>
      </c>
      <c r="R353" s="164">
        <v>18.988461209166669</v>
      </c>
      <c r="S353" s="159">
        <f>SUMIFS(Aux_Lista!AE:AE,Aux_Lista!AC:AC,Aux_TBS!B353,Aux_Lista!AD:AD,Aux_TBS!A353)</f>
        <v>2</v>
      </c>
      <c r="T353" s="159" t="s">
        <v>363</v>
      </c>
      <c r="U353" s="159">
        <v>40</v>
      </c>
    </row>
    <row r="354" spans="1:21" x14ac:dyDescent="0.25">
      <c r="A354" s="162" t="s">
        <v>1753</v>
      </c>
      <c r="B354" s="149" t="s">
        <v>236</v>
      </c>
      <c r="C354" s="159" t="str">
        <f t="shared" si="5"/>
        <v>Uruguaiana, RS</v>
      </c>
      <c r="D354" s="163">
        <v>-29.75</v>
      </c>
      <c r="E354" s="149">
        <v>62</v>
      </c>
      <c r="F354" s="164">
        <v>25.637903229999999</v>
      </c>
      <c r="G354" s="164">
        <v>25.602827380000001</v>
      </c>
      <c r="H354" s="164">
        <v>24.121370970000001</v>
      </c>
      <c r="I354" s="164">
        <v>19.328611110000001</v>
      </c>
      <c r="J354" s="164">
        <v>15.59193548</v>
      </c>
      <c r="K354" s="164">
        <v>14.23027778</v>
      </c>
      <c r="L354" s="164">
        <v>13.45887097</v>
      </c>
      <c r="M354" s="164">
        <v>14.34704301</v>
      </c>
      <c r="N354" s="164">
        <v>16.778472220000001</v>
      </c>
      <c r="O354" s="164">
        <v>18.78077957</v>
      </c>
      <c r="P354" s="164">
        <v>22.153749999999999</v>
      </c>
      <c r="Q354" s="164">
        <v>24.970833330000001</v>
      </c>
      <c r="R354" s="164">
        <v>19.583556254166666</v>
      </c>
      <c r="S354" s="159">
        <f>SUMIFS(Aux_Lista!AE:AE,Aux_Lista!AC:AC,Aux_TBS!B354,Aux_Lista!AD:AD,Aux_TBS!A354)</f>
        <v>2</v>
      </c>
      <c r="T354" s="159" t="s">
        <v>363</v>
      </c>
      <c r="U354" s="159">
        <v>40</v>
      </c>
    </row>
    <row r="355" spans="1:21" x14ac:dyDescent="0.25">
      <c r="A355" s="162" t="s">
        <v>1657</v>
      </c>
      <c r="B355" s="149" t="s">
        <v>236</v>
      </c>
      <c r="C355" s="159" t="str">
        <f t="shared" si="5"/>
        <v>Vacaria, RS</v>
      </c>
      <c r="D355" s="163">
        <v>-28.51</v>
      </c>
      <c r="E355" s="149">
        <v>986</v>
      </c>
      <c r="F355" s="164">
        <v>18.219489249999999</v>
      </c>
      <c r="G355" s="164">
        <v>19.70684524</v>
      </c>
      <c r="H355" s="164">
        <v>18.891935480000001</v>
      </c>
      <c r="I355" s="164">
        <v>16.541527779999999</v>
      </c>
      <c r="J355" s="164">
        <v>13.541801080000001</v>
      </c>
      <c r="K355" s="164">
        <v>9.721944444</v>
      </c>
      <c r="L355" s="164">
        <v>10.611827959999999</v>
      </c>
      <c r="M355" s="164">
        <v>12.83467742</v>
      </c>
      <c r="N355" s="164">
        <v>12.99472222</v>
      </c>
      <c r="O355" s="164">
        <v>15.40107527</v>
      </c>
      <c r="P355" s="164">
        <v>19.8825</v>
      </c>
      <c r="Q355" s="164">
        <v>19.657930109999999</v>
      </c>
      <c r="R355" s="164">
        <v>15.667189687833334</v>
      </c>
      <c r="S355" s="159">
        <f>SUMIFS(Aux_Lista!AE:AE,Aux_Lista!AC:AC,Aux_TBS!B355,Aux_Lista!AD:AD,Aux_TBS!A355)</f>
        <v>1</v>
      </c>
      <c r="T355" s="159" t="s">
        <v>363</v>
      </c>
      <c r="U355" s="159">
        <v>40</v>
      </c>
    </row>
    <row r="356" spans="1:21" x14ac:dyDescent="0.25">
      <c r="A356" s="162" t="s">
        <v>1424</v>
      </c>
      <c r="B356" s="149" t="s">
        <v>27</v>
      </c>
      <c r="C356" s="159" t="str">
        <f t="shared" si="5"/>
        <v>Araranguá, SC</v>
      </c>
      <c r="D356" s="163">
        <v>-28.93</v>
      </c>
      <c r="E356" s="149">
        <v>12</v>
      </c>
      <c r="F356" s="164">
        <v>22.546505379999999</v>
      </c>
      <c r="G356" s="164">
        <v>23.52380952</v>
      </c>
      <c r="H356" s="164">
        <v>22.956720430000001</v>
      </c>
      <c r="I356" s="164">
        <v>20.167777780000002</v>
      </c>
      <c r="J356" s="164">
        <v>17.56572581</v>
      </c>
      <c r="K356" s="164">
        <v>13.964722220000001</v>
      </c>
      <c r="L356" s="164">
        <v>13.238844090000001</v>
      </c>
      <c r="M356" s="164">
        <v>15.96129032</v>
      </c>
      <c r="N356" s="164">
        <v>17.30236111</v>
      </c>
      <c r="O356" s="164">
        <v>18.714650540000001</v>
      </c>
      <c r="P356" s="164">
        <v>23.228333330000002</v>
      </c>
      <c r="Q356" s="164">
        <v>23.570161290000001</v>
      </c>
      <c r="R356" s="164">
        <v>19.395075151666671</v>
      </c>
      <c r="S356" s="159">
        <f>SUMIFS(Aux_Lista!AE:AE,Aux_Lista!AC:AC,Aux_TBS!B356,Aux_Lista!AD:AD,Aux_TBS!A356)</f>
        <v>2</v>
      </c>
      <c r="T356" s="159" t="s">
        <v>363</v>
      </c>
      <c r="U356" s="159">
        <v>40</v>
      </c>
    </row>
    <row r="357" spans="1:21" x14ac:dyDescent="0.25">
      <c r="A357" s="162" t="s">
        <v>1653</v>
      </c>
      <c r="B357" s="149" t="s">
        <v>27</v>
      </c>
      <c r="C357" s="159" t="str">
        <f t="shared" si="5"/>
        <v>Caçador, SC</v>
      </c>
      <c r="D357" s="163">
        <v>-26.82</v>
      </c>
      <c r="E357" s="149">
        <v>952</v>
      </c>
      <c r="F357" s="164">
        <v>18.988172039999998</v>
      </c>
      <c r="G357" s="164">
        <v>20.492410710000001</v>
      </c>
      <c r="H357" s="164">
        <v>19.886021509999999</v>
      </c>
      <c r="I357" s="164">
        <v>15.67930556</v>
      </c>
      <c r="J357" s="164">
        <v>13.34045699</v>
      </c>
      <c r="K357" s="164">
        <v>12.565</v>
      </c>
      <c r="L357" s="164">
        <v>13.952553760000001</v>
      </c>
      <c r="M357" s="164">
        <v>14.79502688</v>
      </c>
      <c r="N357" s="164">
        <v>14.214166669999999</v>
      </c>
      <c r="O357" s="164">
        <v>16.65860215</v>
      </c>
      <c r="P357" s="164">
        <v>17.928055560000001</v>
      </c>
      <c r="Q357" s="164">
        <v>19.260618279999999</v>
      </c>
      <c r="R357" s="164">
        <v>16.480032509166666</v>
      </c>
      <c r="S357" s="159">
        <f>SUMIFS(Aux_Lista!AE:AE,Aux_Lista!AC:AC,Aux_TBS!B357,Aux_Lista!AD:AD,Aux_TBS!A357)</f>
        <v>2</v>
      </c>
      <c r="T357" s="159" t="s">
        <v>363</v>
      </c>
      <c r="U357" s="159">
        <v>40</v>
      </c>
    </row>
    <row r="358" spans="1:21" x14ac:dyDescent="0.25">
      <c r="A358" s="162" t="s">
        <v>1372</v>
      </c>
      <c r="B358" s="149" t="s">
        <v>27</v>
      </c>
      <c r="C358" s="159" t="str">
        <f t="shared" si="5"/>
        <v>Curitibanos, SC</v>
      </c>
      <c r="D358" s="163">
        <v>-27.29</v>
      </c>
      <c r="E358" s="149">
        <v>982</v>
      </c>
      <c r="F358" s="164">
        <v>18.967069890000001</v>
      </c>
      <c r="G358" s="164">
        <v>20.334672619999999</v>
      </c>
      <c r="H358" s="164">
        <v>18.757123660000001</v>
      </c>
      <c r="I358" s="164">
        <v>15.88208333</v>
      </c>
      <c r="J358" s="164">
        <v>13.61169355</v>
      </c>
      <c r="K358" s="164">
        <v>12.51791667</v>
      </c>
      <c r="L358" s="164">
        <v>14.404704300000001</v>
      </c>
      <c r="M358" s="164">
        <v>14.078763439999999</v>
      </c>
      <c r="N358" s="164">
        <v>12.77486111</v>
      </c>
      <c r="O358" s="164">
        <v>15.876209680000001</v>
      </c>
      <c r="P358" s="164">
        <v>17.187222219999999</v>
      </c>
      <c r="Q358" s="164">
        <v>18.883602150000002</v>
      </c>
      <c r="R358" s="164">
        <v>16.106326884999998</v>
      </c>
      <c r="S358" s="159">
        <f>SUMIFS(Aux_Lista!AE:AE,Aux_Lista!AC:AC,Aux_TBS!B358,Aux_Lista!AD:AD,Aux_TBS!A358)</f>
        <v>2</v>
      </c>
      <c r="T358" s="159" t="s">
        <v>363</v>
      </c>
      <c r="U358" s="159">
        <v>40</v>
      </c>
    </row>
    <row r="359" spans="1:21" x14ac:dyDescent="0.25">
      <c r="A359" s="162" t="s">
        <v>1335</v>
      </c>
      <c r="B359" s="149" t="s">
        <v>27</v>
      </c>
      <c r="C359" s="159" t="str">
        <f t="shared" si="5"/>
        <v>Dionísio Cerqueira, SC</v>
      </c>
      <c r="D359" s="163">
        <v>-26.29</v>
      </c>
      <c r="E359" s="149">
        <v>810</v>
      </c>
      <c r="F359" s="164">
        <v>21.321102150000002</v>
      </c>
      <c r="G359" s="164">
        <v>22.839732139999999</v>
      </c>
      <c r="H359" s="164">
        <v>22.998924729999999</v>
      </c>
      <c r="I359" s="164">
        <v>20.931944439999999</v>
      </c>
      <c r="J359" s="164">
        <v>17.096774190000001</v>
      </c>
      <c r="K359" s="164">
        <v>13.47236111</v>
      </c>
      <c r="L359" s="164">
        <v>14.084543010000001</v>
      </c>
      <c r="M359" s="164">
        <v>16.72150538</v>
      </c>
      <c r="N359" s="164">
        <v>16.212222220000001</v>
      </c>
      <c r="O359" s="164">
        <v>19.413575269999999</v>
      </c>
      <c r="P359" s="164">
        <v>23.007361110000002</v>
      </c>
      <c r="Q359" s="164">
        <v>22.551075269999998</v>
      </c>
      <c r="R359" s="164">
        <v>19.220926751666667</v>
      </c>
      <c r="S359" s="159">
        <f>SUMIFS(Aux_Lista!AE:AE,Aux_Lista!AC:AC,Aux_TBS!B359,Aux_Lista!AD:AD,Aux_TBS!A359)</f>
        <v>2</v>
      </c>
      <c r="T359" s="159" t="s">
        <v>363</v>
      </c>
      <c r="U359" s="159">
        <v>40</v>
      </c>
    </row>
    <row r="360" spans="1:21" x14ac:dyDescent="0.25">
      <c r="A360" s="162" t="s">
        <v>29</v>
      </c>
      <c r="B360" s="149" t="s">
        <v>27</v>
      </c>
      <c r="C360" s="159" t="str">
        <f t="shared" si="5"/>
        <v>Florianópolis, SC</v>
      </c>
      <c r="D360" s="163">
        <v>-27.6</v>
      </c>
      <c r="E360" s="149">
        <v>2</v>
      </c>
      <c r="F360" s="164">
        <v>24.288172039999999</v>
      </c>
      <c r="G360" s="164">
        <v>24.19494048</v>
      </c>
      <c r="H360" s="164">
        <v>23.580376340000001</v>
      </c>
      <c r="I360" s="164">
        <v>22.28763889</v>
      </c>
      <c r="J360" s="164">
        <v>19.44072581</v>
      </c>
      <c r="K360" s="164">
        <v>18.650555560000001</v>
      </c>
      <c r="L360" s="164">
        <v>17.541935479999999</v>
      </c>
      <c r="M360" s="164">
        <v>16.44448925</v>
      </c>
      <c r="N360" s="164">
        <v>17.842916670000001</v>
      </c>
      <c r="O360" s="164">
        <v>21.250672040000001</v>
      </c>
      <c r="P360" s="164">
        <v>22.218611110000001</v>
      </c>
      <c r="Q360" s="164">
        <v>23.44166667</v>
      </c>
      <c r="R360" s="164">
        <v>20.931891695000001</v>
      </c>
      <c r="S360" s="159">
        <f>SUMIFS(Aux_Lista!AE:AE,Aux_Lista!AC:AC,Aux_TBS!B360,Aux_Lista!AD:AD,Aux_TBS!A360)</f>
        <v>3</v>
      </c>
      <c r="T360" s="159" t="s">
        <v>363</v>
      </c>
      <c r="U360" s="159">
        <v>40</v>
      </c>
    </row>
    <row r="361" spans="1:21" x14ac:dyDescent="0.25">
      <c r="A361" s="162" t="s">
        <v>1375</v>
      </c>
      <c r="B361" s="149" t="s">
        <v>27</v>
      </c>
      <c r="C361" s="159" t="str">
        <f t="shared" si="5"/>
        <v>Indaial, SC</v>
      </c>
      <c r="D361" s="163">
        <v>-26.92</v>
      </c>
      <c r="E361" s="149">
        <v>86</v>
      </c>
      <c r="F361" s="164">
        <v>23.49112903</v>
      </c>
      <c r="G361" s="164">
        <v>24.25</v>
      </c>
      <c r="H361" s="164">
        <v>23.332123660000001</v>
      </c>
      <c r="I361" s="164">
        <v>20.677499999999998</v>
      </c>
      <c r="J361" s="164">
        <v>17.329032260000002</v>
      </c>
      <c r="K361" s="164">
        <v>14.70569444</v>
      </c>
      <c r="L361" s="164">
        <v>17.282930109999999</v>
      </c>
      <c r="M361" s="164">
        <v>17.722311829999999</v>
      </c>
      <c r="N361" s="164">
        <v>17.140277780000002</v>
      </c>
      <c r="O361" s="164">
        <v>20.008064520000001</v>
      </c>
      <c r="P361" s="164">
        <v>20.807916670000001</v>
      </c>
      <c r="Q361" s="164">
        <v>22.939516130000001</v>
      </c>
      <c r="R361" s="164">
        <v>19.973874702499998</v>
      </c>
      <c r="S361" s="159">
        <f>SUMIFS(Aux_Lista!AE:AE,Aux_Lista!AC:AC,Aux_TBS!B361,Aux_Lista!AD:AD,Aux_TBS!A361)</f>
        <v>3</v>
      </c>
      <c r="T361" s="159" t="s">
        <v>363</v>
      </c>
      <c r="U361" s="159">
        <v>40</v>
      </c>
    </row>
    <row r="362" spans="1:21" x14ac:dyDescent="0.25">
      <c r="A362" s="162" t="s">
        <v>724</v>
      </c>
      <c r="B362" s="149" t="s">
        <v>27</v>
      </c>
      <c r="C362" s="159" t="str">
        <f t="shared" si="5"/>
        <v>Itapoá, SC</v>
      </c>
      <c r="D362" s="163">
        <v>-26.12</v>
      </c>
      <c r="E362" s="149">
        <v>2</v>
      </c>
      <c r="F362" s="164">
        <v>23.4594086</v>
      </c>
      <c r="G362" s="164">
        <v>24.027827380000002</v>
      </c>
      <c r="H362" s="164">
        <v>23.42768817</v>
      </c>
      <c r="I362" s="164">
        <v>20.584166669999998</v>
      </c>
      <c r="J362" s="164">
        <v>17.545564519999999</v>
      </c>
      <c r="K362" s="164">
        <v>15.654305559999999</v>
      </c>
      <c r="L362" s="164">
        <v>16.852016129999999</v>
      </c>
      <c r="M362" s="164">
        <v>17.522043010000001</v>
      </c>
      <c r="N362" s="164">
        <v>17.161666669999999</v>
      </c>
      <c r="O362" s="164">
        <v>19.990053759999999</v>
      </c>
      <c r="P362" s="164">
        <v>21.189444439999999</v>
      </c>
      <c r="Q362" s="164">
        <v>22.131317200000002</v>
      </c>
      <c r="R362" s="164">
        <v>19.962125175833332</v>
      </c>
      <c r="S362" s="159">
        <f>SUMIFS(Aux_Lista!AE:AE,Aux_Lista!AC:AC,Aux_TBS!B362,Aux_Lista!AD:AD,Aux_TBS!A362)</f>
        <v>5</v>
      </c>
      <c r="T362" s="159" t="s">
        <v>363</v>
      </c>
      <c r="U362" s="159">
        <v>40</v>
      </c>
    </row>
    <row r="363" spans="1:21" x14ac:dyDescent="0.25">
      <c r="A363" s="162" t="s">
        <v>1341</v>
      </c>
      <c r="B363" s="149" t="s">
        <v>27</v>
      </c>
      <c r="C363" s="159" t="str">
        <f t="shared" si="5"/>
        <v>Ituporanga, SC</v>
      </c>
      <c r="D363" s="163">
        <v>-27.42</v>
      </c>
      <c r="E363" s="149">
        <v>484</v>
      </c>
      <c r="F363" s="164">
        <v>21.14502688</v>
      </c>
      <c r="G363" s="164">
        <v>22.544345239999998</v>
      </c>
      <c r="H363" s="164">
        <v>21.883333329999999</v>
      </c>
      <c r="I363" s="164">
        <v>19.048888890000001</v>
      </c>
      <c r="J363" s="164">
        <v>15.518548389999999</v>
      </c>
      <c r="K363" s="164">
        <v>12.12763889</v>
      </c>
      <c r="L363" s="164">
        <v>12.278629029999999</v>
      </c>
      <c r="M363" s="164">
        <v>14.6858871</v>
      </c>
      <c r="N363" s="164">
        <v>16.136388889999999</v>
      </c>
      <c r="O363" s="164">
        <v>17.56061828</v>
      </c>
      <c r="P363" s="164">
        <v>22.644444440000001</v>
      </c>
      <c r="Q363" s="164">
        <v>22.576209680000002</v>
      </c>
      <c r="R363" s="164">
        <v>18.179163253333336</v>
      </c>
      <c r="S363" s="159">
        <f>SUMIFS(Aux_Lista!AE:AE,Aux_Lista!AC:AC,Aux_TBS!B363,Aux_Lista!AD:AD,Aux_TBS!A363)</f>
        <v>2</v>
      </c>
      <c r="T363" s="159" t="s">
        <v>363</v>
      </c>
      <c r="U363" s="159">
        <v>40</v>
      </c>
    </row>
    <row r="364" spans="1:21" x14ac:dyDescent="0.25">
      <c r="A364" s="162" t="s">
        <v>1699</v>
      </c>
      <c r="B364" s="149" t="s">
        <v>27</v>
      </c>
      <c r="C364" s="159" t="str">
        <f t="shared" si="5"/>
        <v>Joaçaba, SC</v>
      </c>
      <c r="D364" s="163">
        <v>-27.17</v>
      </c>
      <c r="E364" s="149">
        <v>776</v>
      </c>
      <c r="F364" s="164">
        <v>21.15013441</v>
      </c>
      <c r="G364" s="164">
        <v>20.931249999999999</v>
      </c>
      <c r="H364" s="164">
        <v>20.4108871</v>
      </c>
      <c r="I364" s="164">
        <v>16.524999999999999</v>
      </c>
      <c r="J364" s="164">
        <v>14.496908599999999</v>
      </c>
      <c r="K364" s="164">
        <v>13.48569444</v>
      </c>
      <c r="L364" s="164">
        <v>15.38534946</v>
      </c>
      <c r="M364" s="164">
        <v>16.182661289999999</v>
      </c>
      <c r="N364" s="164">
        <v>15.21097222</v>
      </c>
      <c r="O364" s="164">
        <v>17.669220429999999</v>
      </c>
      <c r="P364" s="164">
        <v>19.318055560000001</v>
      </c>
      <c r="Q364" s="164">
        <v>20.79435484</v>
      </c>
      <c r="R364" s="164">
        <v>17.630040695833333</v>
      </c>
      <c r="S364" s="159">
        <f>SUMIFS(Aux_Lista!AE:AE,Aux_Lista!AC:AC,Aux_TBS!B364,Aux_Lista!AD:AD,Aux_TBS!A364)</f>
        <v>2</v>
      </c>
      <c r="T364" s="159" t="s">
        <v>363</v>
      </c>
      <c r="U364" s="159">
        <v>40</v>
      </c>
    </row>
    <row r="365" spans="1:21" x14ac:dyDescent="0.25">
      <c r="A365" s="162" t="s">
        <v>1409</v>
      </c>
      <c r="B365" s="149" t="s">
        <v>27</v>
      </c>
      <c r="C365" s="159" t="str">
        <f t="shared" si="5"/>
        <v>Major Vieira, SC</v>
      </c>
      <c r="D365" s="163">
        <v>-26.4</v>
      </c>
      <c r="E365" s="149">
        <v>808</v>
      </c>
      <c r="F365" s="164">
        <v>19.226344090000001</v>
      </c>
      <c r="G365" s="164">
        <v>20.62872024</v>
      </c>
      <c r="H365" s="164">
        <v>20.64314516</v>
      </c>
      <c r="I365" s="164">
        <v>17.824861110000001</v>
      </c>
      <c r="J365" s="164">
        <v>14.6780914</v>
      </c>
      <c r="K365" s="164">
        <v>11.440277780000001</v>
      </c>
      <c r="L365" s="164">
        <v>11.53333333</v>
      </c>
      <c r="M365" s="164">
        <v>13.601612899999999</v>
      </c>
      <c r="N365" s="164">
        <v>15.323472219999999</v>
      </c>
      <c r="O365" s="164">
        <v>16.788037630000002</v>
      </c>
      <c r="P365" s="164">
        <v>21.844999999999999</v>
      </c>
      <c r="Q365" s="164">
        <v>20.35215054</v>
      </c>
      <c r="R365" s="164">
        <v>16.990420533333332</v>
      </c>
      <c r="S365" s="159">
        <f>SUMIFS(Aux_Lista!AE:AE,Aux_Lista!AC:AC,Aux_TBS!B365,Aux_Lista!AD:AD,Aux_TBS!A365)</f>
        <v>2</v>
      </c>
      <c r="T365" s="159" t="s">
        <v>363</v>
      </c>
      <c r="U365" s="159">
        <v>40</v>
      </c>
    </row>
    <row r="366" spans="1:21" x14ac:dyDescent="0.25">
      <c r="A366" s="162" t="s">
        <v>1111</v>
      </c>
      <c r="B366" s="149" t="s">
        <v>27</v>
      </c>
      <c r="C366" s="159" t="str">
        <f t="shared" si="5"/>
        <v>Novo Horizonte, SC</v>
      </c>
      <c r="D366" s="163">
        <v>-26.41</v>
      </c>
      <c r="E366" s="149">
        <v>960</v>
      </c>
      <c r="F366" s="164">
        <v>19.90201613</v>
      </c>
      <c r="G366" s="164">
        <v>21.64806548</v>
      </c>
      <c r="H366" s="164">
        <v>21.46827957</v>
      </c>
      <c r="I366" s="164">
        <v>19.91444444</v>
      </c>
      <c r="J366" s="164">
        <v>16.472715050000001</v>
      </c>
      <c r="K366" s="164">
        <v>12.56833333</v>
      </c>
      <c r="L366" s="164">
        <v>12.837365589999999</v>
      </c>
      <c r="M366" s="164">
        <v>15.70362903</v>
      </c>
      <c r="N366" s="164">
        <v>15.43305556</v>
      </c>
      <c r="O366" s="164">
        <v>18.240860219999998</v>
      </c>
      <c r="P366" s="164">
        <v>21.925694440000001</v>
      </c>
      <c r="Q366" s="164">
        <v>21.36895161</v>
      </c>
      <c r="R366" s="164">
        <v>18.123617537500003</v>
      </c>
      <c r="S366" s="159">
        <f>SUMIFS(Aux_Lista!AE:AE,Aux_Lista!AC:AC,Aux_TBS!B366,Aux_Lista!AD:AD,Aux_TBS!A366)</f>
        <v>2</v>
      </c>
      <c r="T366" s="159" t="s">
        <v>363</v>
      </c>
      <c r="U366" s="159">
        <v>40</v>
      </c>
    </row>
    <row r="367" spans="1:21" x14ac:dyDescent="0.25">
      <c r="A367" s="162" t="s">
        <v>1418</v>
      </c>
      <c r="B367" s="149" t="s">
        <v>27</v>
      </c>
      <c r="C367" s="159" t="str">
        <f t="shared" si="5"/>
        <v>Rio Negrinho, SC</v>
      </c>
      <c r="D367" s="163">
        <v>-26.25</v>
      </c>
      <c r="E367" s="149">
        <v>869</v>
      </c>
      <c r="F367" s="164">
        <v>19.226344090000001</v>
      </c>
      <c r="G367" s="164">
        <v>20.501339290000001</v>
      </c>
      <c r="H367" s="164">
        <v>20.308198919999999</v>
      </c>
      <c r="I367" s="164">
        <v>16.52305556</v>
      </c>
      <c r="J367" s="164">
        <v>14.05806452</v>
      </c>
      <c r="K367" s="164">
        <v>12.69569444</v>
      </c>
      <c r="L367" s="164">
        <v>13.327822579999999</v>
      </c>
      <c r="M367" s="164">
        <v>14.70107527</v>
      </c>
      <c r="N367" s="164">
        <v>13.178750000000001</v>
      </c>
      <c r="O367" s="164">
        <v>16.601612899999999</v>
      </c>
      <c r="P367" s="164">
        <v>17.055138889999998</v>
      </c>
      <c r="Q367" s="164">
        <v>18.837499999999999</v>
      </c>
      <c r="R367" s="164">
        <v>16.417883038333333</v>
      </c>
      <c r="S367" s="159">
        <f>SUMIFS(Aux_Lista!AE:AE,Aux_Lista!AC:AC,Aux_TBS!B367,Aux_Lista!AD:AD,Aux_TBS!A367)</f>
        <v>3</v>
      </c>
      <c r="T367" s="159" t="s">
        <v>363</v>
      </c>
      <c r="U367" s="159">
        <v>40</v>
      </c>
    </row>
    <row r="368" spans="1:21" x14ac:dyDescent="0.25">
      <c r="A368" s="162" t="s">
        <v>1089</v>
      </c>
      <c r="B368" s="149" t="s">
        <v>27</v>
      </c>
      <c r="C368" s="159" t="str">
        <f t="shared" si="5"/>
        <v>Laguna, SC</v>
      </c>
      <c r="D368" s="163">
        <v>-28.6</v>
      </c>
      <c r="E368" s="149">
        <v>52</v>
      </c>
      <c r="F368" s="164">
        <v>22.063709679999999</v>
      </c>
      <c r="G368" s="164">
        <v>22.535267860000001</v>
      </c>
      <c r="H368" s="164">
        <v>23.541935479999999</v>
      </c>
      <c r="I368" s="164">
        <v>21.539305559999999</v>
      </c>
      <c r="J368" s="164">
        <v>19.301075269999998</v>
      </c>
      <c r="K368" s="164">
        <v>15.216805559999999</v>
      </c>
      <c r="L368" s="164">
        <v>17.438172040000001</v>
      </c>
      <c r="M368" s="164">
        <v>16.415322580000002</v>
      </c>
      <c r="N368" s="164">
        <v>16.480555559999999</v>
      </c>
      <c r="O368" s="164">
        <v>18.668279569999999</v>
      </c>
      <c r="P368" s="164">
        <v>19.552638890000001</v>
      </c>
      <c r="Q368" s="164">
        <v>20.542607530000002</v>
      </c>
      <c r="R368" s="164">
        <v>19.441306298333334</v>
      </c>
      <c r="S368" s="159">
        <f>SUMIFS(Aux_Lista!AE:AE,Aux_Lista!AC:AC,Aux_TBS!B368,Aux_Lista!AD:AD,Aux_TBS!A368)</f>
        <v>2</v>
      </c>
      <c r="T368" s="159" t="s">
        <v>363</v>
      </c>
      <c r="U368" s="159">
        <v>40</v>
      </c>
    </row>
    <row r="369" spans="1:21" x14ac:dyDescent="0.25">
      <c r="A369" s="162" t="s">
        <v>511</v>
      </c>
      <c r="B369" s="149" t="s">
        <v>27</v>
      </c>
      <c r="C369" s="159" t="str">
        <f t="shared" si="5"/>
        <v>São Joaquim, SC</v>
      </c>
      <c r="D369" s="163">
        <v>-28.28</v>
      </c>
      <c r="E369" s="149">
        <v>1410</v>
      </c>
      <c r="F369" s="164">
        <v>15.950537629999999</v>
      </c>
      <c r="G369" s="164">
        <v>17.46830357</v>
      </c>
      <c r="H369" s="164">
        <v>16.829032260000002</v>
      </c>
      <c r="I369" s="164">
        <v>14.06666667</v>
      </c>
      <c r="J369" s="164">
        <v>11.71155914</v>
      </c>
      <c r="K369" s="164">
        <v>10.35166667</v>
      </c>
      <c r="L369" s="164">
        <v>12.58185484</v>
      </c>
      <c r="M369" s="164">
        <v>11.903763440000001</v>
      </c>
      <c r="N369" s="164">
        <v>10.65319444</v>
      </c>
      <c r="O369" s="164">
        <v>13.00766129</v>
      </c>
      <c r="P369" s="164">
        <v>13.836111109999999</v>
      </c>
      <c r="Q369" s="164">
        <v>15.453897850000001</v>
      </c>
      <c r="R369" s="164">
        <v>13.651187409166667</v>
      </c>
      <c r="S369" s="159">
        <f>SUMIFS(Aux_Lista!AE:AE,Aux_Lista!AC:AC,Aux_TBS!B369,Aux_Lista!AD:AD,Aux_TBS!A369)</f>
        <v>1</v>
      </c>
      <c r="T369" s="159" t="s">
        <v>363</v>
      </c>
      <c r="U369" s="159">
        <v>40</v>
      </c>
    </row>
    <row r="370" spans="1:21" x14ac:dyDescent="0.25">
      <c r="A370" s="162" t="s">
        <v>1393</v>
      </c>
      <c r="B370" s="149" t="s">
        <v>27</v>
      </c>
      <c r="C370" s="159" t="str">
        <f t="shared" si="5"/>
        <v>São Miguel d'Oeste, SC</v>
      </c>
      <c r="D370" s="163">
        <v>-26.78</v>
      </c>
      <c r="E370" s="149">
        <v>665</v>
      </c>
      <c r="F370" s="164">
        <v>22.570698920000002</v>
      </c>
      <c r="G370" s="164">
        <v>24.602232140000002</v>
      </c>
      <c r="H370" s="164">
        <v>23.217204299999999</v>
      </c>
      <c r="I370" s="164">
        <v>19.022916670000001</v>
      </c>
      <c r="J370" s="164">
        <v>16.202553760000001</v>
      </c>
      <c r="K370" s="164">
        <v>13.29972222</v>
      </c>
      <c r="L370" s="164">
        <v>18.586827960000001</v>
      </c>
      <c r="M370" s="164">
        <v>17.799731179999998</v>
      </c>
      <c r="N370" s="164">
        <v>15.601388890000001</v>
      </c>
      <c r="O370" s="164">
        <v>19.634543010000002</v>
      </c>
      <c r="P370" s="164">
        <v>21.832777780000001</v>
      </c>
      <c r="Q370" s="164">
        <v>23.65430108</v>
      </c>
      <c r="R370" s="164">
        <v>19.668741492500001</v>
      </c>
      <c r="S370" s="159">
        <f>SUMIFS(Aux_Lista!AE:AE,Aux_Lista!AC:AC,Aux_TBS!B370,Aux_Lista!AD:AD,Aux_TBS!A370)</f>
        <v>2</v>
      </c>
      <c r="T370" s="159" t="s">
        <v>363</v>
      </c>
      <c r="U370" s="159">
        <v>40</v>
      </c>
    </row>
    <row r="371" spans="1:21" x14ac:dyDescent="0.25">
      <c r="A371" s="162" t="s">
        <v>364</v>
      </c>
      <c r="B371" s="149" t="s">
        <v>27</v>
      </c>
      <c r="C371" s="159" t="str">
        <f t="shared" si="5"/>
        <v>Urubici, SC</v>
      </c>
      <c r="D371" s="163">
        <v>-28.13</v>
      </c>
      <c r="E371" s="149">
        <v>1810</v>
      </c>
      <c r="F371" s="164">
        <v>12.443010749999999</v>
      </c>
      <c r="G371" s="164">
        <v>13.25758929</v>
      </c>
      <c r="H371" s="164">
        <v>13.19784946</v>
      </c>
      <c r="I371" s="164">
        <v>11.90666667</v>
      </c>
      <c r="J371" s="164">
        <v>10.27177419</v>
      </c>
      <c r="K371" s="164">
        <v>7.8927777780000001</v>
      </c>
      <c r="L371" s="164">
        <v>9.7053763439999994</v>
      </c>
      <c r="M371" s="164">
        <v>10.337365589999999</v>
      </c>
      <c r="N371" s="164">
        <v>8.4208333329999991</v>
      </c>
      <c r="O371" s="164">
        <v>10.12123656</v>
      </c>
      <c r="P371" s="164">
        <v>10.43958333</v>
      </c>
      <c r="Q371" s="164">
        <v>12.09744624</v>
      </c>
      <c r="R371" s="164">
        <v>10.840959127916669</v>
      </c>
      <c r="S371" s="159">
        <f>SUMIFS(Aux_Lista!AE:AE,Aux_Lista!AC:AC,Aux_TBS!B371,Aux_Lista!AD:AD,Aux_TBS!A371)</f>
        <v>1</v>
      </c>
      <c r="T371" s="159" t="s">
        <v>363</v>
      </c>
      <c r="U371" s="159">
        <v>40</v>
      </c>
    </row>
    <row r="372" spans="1:21" x14ac:dyDescent="0.25">
      <c r="A372" s="162" t="s">
        <v>1744</v>
      </c>
      <c r="B372" s="149" t="s">
        <v>27</v>
      </c>
      <c r="C372" s="159" t="str">
        <f t="shared" si="5"/>
        <v>Urussanga, SC</v>
      </c>
      <c r="D372" s="163">
        <v>-28.53</v>
      </c>
      <c r="E372" s="149">
        <v>48</v>
      </c>
      <c r="F372" s="164">
        <v>22.638844089999999</v>
      </c>
      <c r="G372" s="164">
        <v>23.80833333</v>
      </c>
      <c r="H372" s="164">
        <v>23.33575269</v>
      </c>
      <c r="I372" s="164">
        <v>20.525138890000001</v>
      </c>
      <c r="J372" s="164">
        <v>17.785080650000001</v>
      </c>
      <c r="K372" s="164">
        <v>14.00111111</v>
      </c>
      <c r="L372" s="164">
        <v>13.449731180000001</v>
      </c>
      <c r="M372" s="164">
        <v>16.660618280000001</v>
      </c>
      <c r="N372" s="164">
        <v>17.35347222</v>
      </c>
      <c r="O372" s="164">
        <v>18.91276882</v>
      </c>
      <c r="P372" s="164">
        <v>23.87805556</v>
      </c>
      <c r="Q372" s="164">
        <v>23.704569889999998</v>
      </c>
      <c r="R372" s="164">
        <v>19.671123059166664</v>
      </c>
      <c r="S372" s="159">
        <f>SUMIFS(Aux_Lista!AE:AE,Aux_Lista!AC:AC,Aux_TBS!B372,Aux_Lista!AD:AD,Aux_TBS!A372)</f>
        <v>2</v>
      </c>
      <c r="T372" s="159" t="s">
        <v>363</v>
      </c>
      <c r="U372" s="159">
        <v>40</v>
      </c>
    </row>
    <row r="373" spans="1:21" x14ac:dyDescent="0.25">
      <c r="A373" s="162" t="s">
        <v>1316</v>
      </c>
      <c r="B373" s="149" t="s">
        <v>27</v>
      </c>
      <c r="C373" s="159" t="str">
        <f t="shared" si="5"/>
        <v>Xanxerê, SC</v>
      </c>
      <c r="D373" s="163">
        <v>-26.94</v>
      </c>
      <c r="E373" s="149">
        <v>889</v>
      </c>
      <c r="F373" s="164">
        <v>20.251747309999999</v>
      </c>
      <c r="G373" s="164">
        <v>21.910565479999999</v>
      </c>
      <c r="H373" s="164">
        <v>21.115456989999998</v>
      </c>
      <c r="I373" s="164">
        <v>17.555972220000001</v>
      </c>
      <c r="J373" s="164">
        <v>15.32526882</v>
      </c>
      <c r="K373" s="164">
        <v>13.57680556</v>
      </c>
      <c r="L373" s="164">
        <v>17.378897850000001</v>
      </c>
      <c r="M373" s="164">
        <v>16.149999999999999</v>
      </c>
      <c r="N373" s="164">
        <v>14.58708333</v>
      </c>
      <c r="O373" s="164">
        <v>17.988978490000001</v>
      </c>
      <c r="P373" s="164">
        <v>19.56930556</v>
      </c>
      <c r="Q373" s="164">
        <v>21.222849459999999</v>
      </c>
      <c r="R373" s="164">
        <v>18.052744255833336</v>
      </c>
      <c r="S373" s="159">
        <f>SUMIFS(Aux_Lista!AE:AE,Aux_Lista!AC:AC,Aux_TBS!B373,Aux_Lista!AD:AD,Aux_TBS!A373)</f>
        <v>2</v>
      </c>
      <c r="T373" s="159" t="s">
        <v>363</v>
      </c>
      <c r="U373" s="159">
        <v>40</v>
      </c>
    </row>
    <row r="374" spans="1:21" x14ac:dyDescent="0.25">
      <c r="A374" s="162" t="s">
        <v>5046</v>
      </c>
      <c r="B374" s="149" t="s">
        <v>298</v>
      </c>
      <c r="C374" s="159" t="str">
        <f t="shared" si="5"/>
        <v>Aracaju, SE</v>
      </c>
      <c r="D374" s="163">
        <v>-10.91</v>
      </c>
      <c r="E374" s="149">
        <v>5</v>
      </c>
      <c r="F374" s="164">
        <v>27.453494620000001</v>
      </c>
      <c r="G374" s="164">
        <v>27.999255949999998</v>
      </c>
      <c r="H374" s="164">
        <v>27.859543009999999</v>
      </c>
      <c r="I374" s="164">
        <v>27.878472219999999</v>
      </c>
      <c r="J374" s="164">
        <v>26.48091398</v>
      </c>
      <c r="K374" s="164">
        <v>25.58736111</v>
      </c>
      <c r="L374" s="164">
        <v>25.00241935</v>
      </c>
      <c r="M374" s="164">
        <v>24.90900538</v>
      </c>
      <c r="N374" s="164">
        <v>25.59791667</v>
      </c>
      <c r="O374" s="164">
        <v>26.041935479999999</v>
      </c>
      <c r="P374" s="164">
        <v>26.399583329999999</v>
      </c>
      <c r="Q374" s="164">
        <v>27.260080649999999</v>
      </c>
      <c r="R374" s="164">
        <v>26.539165145833334</v>
      </c>
      <c r="S374" s="159">
        <f>SUMIFS(Aux_Lista!AE:AE,Aux_Lista!AC:AC,Aux_TBS!B374,Aux_Lista!AD:AD,Aux_TBS!A374)</f>
        <v>8</v>
      </c>
      <c r="T374" s="159" t="s">
        <v>248</v>
      </c>
      <c r="U374" s="159">
        <v>38</v>
      </c>
    </row>
    <row r="375" spans="1:21" x14ac:dyDescent="0.25">
      <c r="A375" s="162" t="s">
        <v>5057</v>
      </c>
      <c r="B375" s="149" t="s">
        <v>298</v>
      </c>
      <c r="C375" s="159" t="str">
        <f t="shared" si="5"/>
        <v>Brejo Grande, SE</v>
      </c>
      <c r="D375" s="163">
        <v>-10.47</v>
      </c>
      <c r="E375" s="149">
        <v>10</v>
      </c>
      <c r="F375" s="164">
        <v>27.379569889999999</v>
      </c>
      <c r="G375" s="164">
        <v>27.254017860000001</v>
      </c>
      <c r="H375" s="164">
        <v>27.47956989</v>
      </c>
      <c r="I375" s="164">
        <v>27.236944439999998</v>
      </c>
      <c r="J375" s="164">
        <v>25.716532260000001</v>
      </c>
      <c r="K375" s="164">
        <v>25.447916670000001</v>
      </c>
      <c r="L375" s="164">
        <v>24.707392469999998</v>
      </c>
      <c r="M375" s="164">
        <v>24.754032259999999</v>
      </c>
      <c r="N375" s="164">
        <v>25.303055560000001</v>
      </c>
      <c r="O375" s="164">
        <v>26.362231179999998</v>
      </c>
      <c r="P375" s="164">
        <v>26.877500000000001</v>
      </c>
      <c r="Q375" s="164">
        <v>27.268010749999998</v>
      </c>
      <c r="R375" s="164">
        <v>26.315564435833334</v>
      </c>
      <c r="S375" s="159">
        <f>SUMIFS(Aux_Lista!AE:AE,Aux_Lista!AC:AC,Aux_TBS!B375,Aux_Lista!AD:AD,Aux_TBS!A375)</f>
        <v>8</v>
      </c>
      <c r="T375" s="159" t="s">
        <v>248</v>
      </c>
      <c r="U375" s="159">
        <v>38</v>
      </c>
    </row>
    <row r="376" spans="1:21" x14ac:dyDescent="0.25">
      <c r="A376" s="162" t="s">
        <v>3519</v>
      </c>
      <c r="B376" s="149" t="s">
        <v>298</v>
      </c>
      <c r="C376" s="159" t="str">
        <f t="shared" si="5"/>
        <v>Carira, SE</v>
      </c>
      <c r="D376" s="163">
        <v>-10.4</v>
      </c>
      <c r="E376" s="149">
        <v>308</v>
      </c>
      <c r="F376" s="164">
        <v>26.264112900000001</v>
      </c>
      <c r="G376" s="164">
        <v>26.028869050000001</v>
      </c>
      <c r="H376" s="164">
        <v>26.543010750000001</v>
      </c>
      <c r="I376" s="164">
        <v>24.981111110000001</v>
      </c>
      <c r="J376" s="164">
        <v>23.1202957</v>
      </c>
      <c r="K376" s="164">
        <v>21.734999999999999</v>
      </c>
      <c r="L376" s="164">
        <v>20.768413979999998</v>
      </c>
      <c r="M376" s="164">
        <v>21.382123660000001</v>
      </c>
      <c r="N376" s="164">
        <v>22.749166670000001</v>
      </c>
      <c r="O376" s="164">
        <v>24.27836022</v>
      </c>
      <c r="P376" s="164">
        <v>26.18041667</v>
      </c>
      <c r="Q376" s="164">
        <v>26.244758059999999</v>
      </c>
      <c r="R376" s="164">
        <v>24.189636564166662</v>
      </c>
      <c r="S376" s="159">
        <f>SUMIFS(Aux_Lista!AE:AE,Aux_Lista!AC:AC,Aux_TBS!B376,Aux_Lista!AD:AD,Aux_TBS!A376)</f>
        <v>8</v>
      </c>
      <c r="T376" s="159" t="s">
        <v>248</v>
      </c>
      <c r="U376" s="159">
        <v>38</v>
      </c>
    </row>
    <row r="377" spans="1:21" x14ac:dyDescent="0.25">
      <c r="A377" s="162" t="s">
        <v>5155</v>
      </c>
      <c r="B377" s="149" t="s">
        <v>298</v>
      </c>
      <c r="C377" s="159" t="str">
        <f t="shared" si="5"/>
        <v>Itabaianinha, SE</v>
      </c>
      <c r="D377" s="163">
        <v>-11.27</v>
      </c>
      <c r="E377" s="149">
        <v>208</v>
      </c>
      <c r="F377" s="164">
        <v>26.658333330000001</v>
      </c>
      <c r="G377" s="164">
        <v>26.07633929</v>
      </c>
      <c r="H377" s="164">
        <v>26.622446239999999</v>
      </c>
      <c r="I377" s="164">
        <v>25.17958333</v>
      </c>
      <c r="J377" s="164">
        <v>24.837365590000001</v>
      </c>
      <c r="K377" s="164">
        <v>22.789305559999999</v>
      </c>
      <c r="L377" s="164">
        <v>22.217069890000001</v>
      </c>
      <c r="M377" s="164">
        <v>21.806586020000001</v>
      </c>
      <c r="N377" s="164">
        <v>22.530694440000001</v>
      </c>
      <c r="O377" s="164">
        <v>24.90524194</v>
      </c>
      <c r="P377" s="164">
        <v>25.45444444</v>
      </c>
      <c r="Q377" s="164">
        <v>26.222849459999999</v>
      </c>
      <c r="R377" s="164">
        <v>24.608354960833335</v>
      </c>
      <c r="S377" s="159">
        <f>SUMIFS(Aux_Lista!AE:AE,Aux_Lista!AC:AC,Aux_TBS!B377,Aux_Lista!AD:AD,Aux_TBS!A377)</f>
        <v>8</v>
      </c>
      <c r="T377" s="159" t="s">
        <v>248</v>
      </c>
      <c r="U377" s="159">
        <v>38</v>
      </c>
    </row>
    <row r="378" spans="1:21" x14ac:dyDescent="0.25">
      <c r="A378" s="162" t="s">
        <v>3506</v>
      </c>
      <c r="B378" s="149" t="s">
        <v>298</v>
      </c>
      <c r="C378" s="159" t="str">
        <f t="shared" si="5"/>
        <v>Poço Verde, SE</v>
      </c>
      <c r="D378" s="163">
        <v>-10.74</v>
      </c>
      <c r="E378" s="149">
        <v>362</v>
      </c>
      <c r="F378" s="164">
        <v>26.189516130000001</v>
      </c>
      <c r="G378" s="164">
        <v>26.12827381</v>
      </c>
      <c r="H378" s="164">
        <v>26.458602150000001</v>
      </c>
      <c r="I378" s="164">
        <v>24.99472222</v>
      </c>
      <c r="J378" s="164">
        <v>22.827822579999999</v>
      </c>
      <c r="K378" s="164">
        <v>21.450416669999999</v>
      </c>
      <c r="L378" s="164">
        <v>20.44596774</v>
      </c>
      <c r="M378" s="164">
        <v>21.146639780000001</v>
      </c>
      <c r="N378" s="164">
        <v>22.768194439999998</v>
      </c>
      <c r="O378" s="164">
        <v>24.126612900000001</v>
      </c>
      <c r="P378" s="164">
        <v>25.79972222</v>
      </c>
      <c r="Q378" s="164">
        <v>25.92069892</v>
      </c>
      <c r="R378" s="164">
        <v>24.02143246333333</v>
      </c>
      <c r="S378" s="159">
        <f>SUMIFS(Aux_Lista!AE:AE,Aux_Lista!AC:AC,Aux_TBS!B378,Aux_Lista!AD:AD,Aux_TBS!A378)</f>
        <v>8</v>
      </c>
      <c r="T378" s="159" t="s">
        <v>248</v>
      </c>
      <c r="U378" s="159">
        <v>38</v>
      </c>
    </row>
    <row r="379" spans="1:21" x14ac:dyDescent="0.25">
      <c r="A379" s="162" t="s">
        <v>3952</v>
      </c>
      <c r="B379" s="149" t="s">
        <v>376</v>
      </c>
      <c r="C379" s="159" t="str">
        <f t="shared" si="5"/>
        <v>Ariranha, SP</v>
      </c>
      <c r="D379" s="163">
        <v>-21.13</v>
      </c>
      <c r="E379" s="149">
        <v>525</v>
      </c>
      <c r="F379" s="164">
        <v>23.674596770000001</v>
      </c>
      <c r="G379" s="164">
        <v>23.997619050000001</v>
      </c>
      <c r="H379" s="164">
        <v>23.19314516</v>
      </c>
      <c r="I379" s="164">
        <v>22.33777778</v>
      </c>
      <c r="J379" s="164">
        <v>18.7188172</v>
      </c>
      <c r="K379" s="164">
        <v>19.06319444</v>
      </c>
      <c r="L379" s="164">
        <v>19.03172043</v>
      </c>
      <c r="M379" s="164">
        <v>21.546370970000002</v>
      </c>
      <c r="N379" s="164">
        <v>21.319166670000001</v>
      </c>
      <c r="O379" s="164">
        <v>24.641935480000001</v>
      </c>
      <c r="P379" s="164">
        <v>24.666666670000001</v>
      </c>
      <c r="Q379" s="164">
        <v>24.187634410000001</v>
      </c>
      <c r="R379" s="164">
        <v>22.19822041916667</v>
      </c>
      <c r="S379" s="159">
        <f>SUMIFS(Aux_Lista!AE:AE,Aux_Lista!AC:AC,Aux_TBS!B379,Aux_Lista!AD:AD,Aux_TBS!A379)</f>
        <v>6</v>
      </c>
      <c r="T379" s="159" t="s">
        <v>318</v>
      </c>
      <c r="U379" s="159">
        <v>40</v>
      </c>
    </row>
    <row r="380" spans="1:21" x14ac:dyDescent="0.25">
      <c r="A380" s="162" t="s">
        <v>726</v>
      </c>
      <c r="B380" s="149" t="s">
        <v>376</v>
      </c>
      <c r="C380" s="159" t="str">
        <f t="shared" si="5"/>
        <v>Avaré, SP</v>
      </c>
      <c r="D380" s="163">
        <v>-23.1</v>
      </c>
      <c r="E380" s="149">
        <v>654</v>
      </c>
      <c r="F380" s="164">
        <v>21.412231179999999</v>
      </c>
      <c r="G380" s="164">
        <v>22.2046131</v>
      </c>
      <c r="H380" s="164">
        <v>21.693682800000001</v>
      </c>
      <c r="I380" s="164">
        <v>19.872083329999999</v>
      </c>
      <c r="J380" s="164">
        <v>16.51491935</v>
      </c>
      <c r="K380" s="164">
        <v>16.62277778</v>
      </c>
      <c r="L380" s="164">
        <v>17.295161289999999</v>
      </c>
      <c r="M380" s="164">
        <v>18.436827959999999</v>
      </c>
      <c r="N380" s="164">
        <v>17.686527779999999</v>
      </c>
      <c r="O380" s="164">
        <v>20.81155914</v>
      </c>
      <c r="P380" s="164">
        <v>20.770138889999998</v>
      </c>
      <c r="Q380" s="164">
        <v>21.94637097</v>
      </c>
      <c r="R380" s="164">
        <v>19.605574464166668</v>
      </c>
      <c r="S380" s="159">
        <f>SUMIFS(Aux_Lista!AE:AE,Aux_Lista!AC:AC,Aux_TBS!B380,Aux_Lista!AD:AD,Aux_TBS!A380)</f>
        <v>3</v>
      </c>
      <c r="T380" s="159" t="s">
        <v>318</v>
      </c>
      <c r="U380" s="159">
        <v>40</v>
      </c>
    </row>
    <row r="381" spans="1:21" x14ac:dyDescent="0.25">
      <c r="A381" s="162" t="s">
        <v>2774</v>
      </c>
      <c r="B381" s="149" t="s">
        <v>376</v>
      </c>
      <c r="C381" s="159" t="str">
        <f t="shared" si="5"/>
        <v>Bauru, SP</v>
      </c>
      <c r="D381" s="163">
        <v>-22.32</v>
      </c>
      <c r="E381" s="149">
        <v>550</v>
      </c>
      <c r="F381" s="164">
        <v>22.0891129</v>
      </c>
      <c r="G381" s="164">
        <v>23.01979167</v>
      </c>
      <c r="H381" s="164">
        <v>22.5094086</v>
      </c>
      <c r="I381" s="164">
        <v>21.072083330000002</v>
      </c>
      <c r="J381" s="164">
        <v>17.828629029999998</v>
      </c>
      <c r="K381" s="164">
        <v>17.913611110000002</v>
      </c>
      <c r="L381" s="164">
        <v>18.398655909999999</v>
      </c>
      <c r="M381" s="164">
        <v>20</v>
      </c>
      <c r="N381" s="164">
        <v>19.574027780000002</v>
      </c>
      <c r="O381" s="164">
        <v>22.391263439999999</v>
      </c>
      <c r="P381" s="164">
        <v>22.353333330000002</v>
      </c>
      <c r="Q381" s="164">
        <v>23.075403229999999</v>
      </c>
      <c r="R381" s="164">
        <v>20.8521100275</v>
      </c>
      <c r="S381" s="159">
        <f>SUMIFS(Aux_Lista!AE:AE,Aux_Lista!AC:AC,Aux_TBS!B381,Aux_Lista!AD:AD,Aux_TBS!A381)</f>
        <v>4</v>
      </c>
      <c r="T381" s="159" t="s">
        <v>318</v>
      </c>
      <c r="U381" s="159">
        <v>40</v>
      </c>
    </row>
    <row r="382" spans="1:21" x14ac:dyDescent="0.25">
      <c r="A382" s="162" t="s">
        <v>3684</v>
      </c>
      <c r="B382" s="149" t="s">
        <v>376</v>
      </c>
      <c r="C382" s="159" t="str">
        <f t="shared" si="5"/>
        <v>Campinas, SP</v>
      </c>
      <c r="D382" s="163">
        <v>-22.82</v>
      </c>
      <c r="E382" s="149">
        <v>640</v>
      </c>
      <c r="F382" s="164">
        <v>22.1563172</v>
      </c>
      <c r="G382" s="164">
        <v>21.356994050000001</v>
      </c>
      <c r="H382" s="164">
        <v>23.762096769999999</v>
      </c>
      <c r="I382" s="164">
        <v>23.853055560000001</v>
      </c>
      <c r="J382" s="164">
        <v>20.10026882</v>
      </c>
      <c r="K382" s="164">
        <v>20.135416670000001</v>
      </c>
      <c r="L382" s="164">
        <v>18.11465054</v>
      </c>
      <c r="M382" s="164">
        <v>21.817338710000001</v>
      </c>
      <c r="N382" s="164">
        <v>20.802499999999998</v>
      </c>
      <c r="O382" s="164">
        <v>25.406854840000001</v>
      </c>
      <c r="P382" s="164">
        <v>22.9025</v>
      </c>
      <c r="Q382" s="164">
        <v>23.995430110000001</v>
      </c>
      <c r="R382" s="164">
        <v>22.033618605833336</v>
      </c>
      <c r="S382" s="159">
        <f>SUMIFS(Aux_Lista!AE:AE,Aux_Lista!AC:AC,Aux_TBS!B382,Aux_Lista!AD:AD,Aux_TBS!A382)</f>
        <v>3</v>
      </c>
      <c r="T382" s="159" t="s">
        <v>318</v>
      </c>
      <c r="U382" s="159">
        <v>40</v>
      </c>
    </row>
    <row r="383" spans="1:21" x14ac:dyDescent="0.25">
      <c r="A383" s="162" t="s">
        <v>729</v>
      </c>
      <c r="B383" s="149" t="s">
        <v>376</v>
      </c>
      <c r="C383" s="159" t="str">
        <f t="shared" si="5"/>
        <v>Campos do Jordão, SP</v>
      </c>
      <c r="D383" s="163">
        <v>-22.74</v>
      </c>
      <c r="E383" s="149">
        <v>1642</v>
      </c>
      <c r="F383" s="164">
        <v>18.097715050000001</v>
      </c>
      <c r="G383" s="164">
        <v>17.979017859999999</v>
      </c>
      <c r="H383" s="164">
        <v>17.057661289999999</v>
      </c>
      <c r="I383" s="164">
        <v>16.140694440000001</v>
      </c>
      <c r="J383" s="164">
        <v>13.21290323</v>
      </c>
      <c r="K383" s="164">
        <v>12.58680556</v>
      </c>
      <c r="L383" s="164">
        <v>11.732392470000001</v>
      </c>
      <c r="M383" s="164">
        <v>14.081048389999999</v>
      </c>
      <c r="N383" s="164">
        <v>13.483888889999999</v>
      </c>
      <c r="O383" s="164">
        <v>16.96075269</v>
      </c>
      <c r="P383" s="164">
        <v>15.86430556</v>
      </c>
      <c r="Q383" s="164">
        <v>16.71075269</v>
      </c>
      <c r="R383" s="164">
        <v>15.325661509999998</v>
      </c>
      <c r="S383" s="159">
        <f>SUMIFS(Aux_Lista!AE:AE,Aux_Lista!AC:AC,Aux_TBS!B383,Aux_Lista!AD:AD,Aux_TBS!A383)</f>
        <v>1</v>
      </c>
      <c r="T383" s="159" t="s">
        <v>318</v>
      </c>
      <c r="U383" s="159">
        <v>40</v>
      </c>
    </row>
    <row r="384" spans="1:21" x14ac:dyDescent="0.25">
      <c r="A384" s="162" t="s">
        <v>2330</v>
      </c>
      <c r="B384" s="149" t="s">
        <v>376</v>
      </c>
      <c r="C384" s="159" t="str">
        <f t="shared" si="5"/>
        <v>Casa Branca, SP</v>
      </c>
      <c r="D384" s="163">
        <v>-21.77</v>
      </c>
      <c r="E384" s="149">
        <v>730</v>
      </c>
      <c r="F384" s="164">
        <v>22.878360220000001</v>
      </c>
      <c r="G384" s="164">
        <v>23.202976190000001</v>
      </c>
      <c r="H384" s="164">
        <v>22.515456990000001</v>
      </c>
      <c r="I384" s="164">
        <v>21.406111110000001</v>
      </c>
      <c r="J384" s="164">
        <v>18.640725809999999</v>
      </c>
      <c r="K384" s="164">
        <v>18.787500000000001</v>
      </c>
      <c r="L384" s="164">
        <v>19.004973119999999</v>
      </c>
      <c r="M384" s="164">
        <v>21.154569890000001</v>
      </c>
      <c r="N384" s="164">
        <v>20.672361110000001</v>
      </c>
      <c r="O384" s="164">
        <v>23.24153226</v>
      </c>
      <c r="P384" s="164">
        <v>22.616527779999998</v>
      </c>
      <c r="Q384" s="164">
        <v>22.586827960000001</v>
      </c>
      <c r="R384" s="164">
        <v>21.392326870000002</v>
      </c>
      <c r="S384" s="159">
        <f>SUMIFS(Aux_Lista!AE:AE,Aux_Lista!AC:AC,Aux_TBS!B384,Aux_Lista!AD:AD,Aux_TBS!A384)</f>
        <v>4</v>
      </c>
      <c r="T384" s="159" t="s">
        <v>318</v>
      </c>
      <c r="U384" s="159">
        <v>40</v>
      </c>
    </row>
    <row r="385" spans="1:21" x14ac:dyDescent="0.25">
      <c r="A385" s="162" t="s">
        <v>2209</v>
      </c>
      <c r="B385" s="149" t="s">
        <v>376</v>
      </c>
      <c r="C385" s="159" t="str">
        <f t="shared" si="5"/>
        <v>Franca, SP</v>
      </c>
      <c r="D385" s="163">
        <v>-20.54</v>
      </c>
      <c r="E385" s="149">
        <v>1026</v>
      </c>
      <c r="F385" s="164">
        <v>21.558467740000001</v>
      </c>
      <c r="G385" s="164">
        <v>21.884970240000001</v>
      </c>
      <c r="H385" s="164">
        <v>21.610752690000002</v>
      </c>
      <c r="I385" s="164">
        <v>21.17472222</v>
      </c>
      <c r="J385" s="164">
        <v>18.583602150000001</v>
      </c>
      <c r="K385" s="164">
        <v>19.038611110000002</v>
      </c>
      <c r="L385" s="164">
        <v>18.97069892</v>
      </c>
      <c r="M385" s="164">
        <v>21.20241935</v>
      </c>
      <c r="N385" s="164">
        <v>21.14805556</v>
      </c>
      <c r="O385" s="164">
        <v>22.92163978</v>
      </c>
      <c r="P385" s="164">
        <v>21.910833329999999</v>
      </c>
      <c r="Q385" s="164">
        <v>21.614784950000001</v>
      </c>
      <c r="R385" s="164">
        <v>20.968296503333331</v>
      </c>
      <c r="S385" s="159">
        <f>SUMIFS(Aux_Lista!AE:AE,Aux_Lista!AC:AC,Aux_TBS!B385,Aux_Lista!AD:AD,Aux_TBS!A385)</f>
        <v>4</v>
      </c>
      <c r="T385" s="159" t="s">
        <v>318</v>
      </c>
      <c r="U385" s="159">
        <v>40</v>
      </c>
    </row>
    <row r="386" spans="1:21" x14ac:dyDescent="0.25">
      <c r="A386" s="162" t="s">
        <v>3881</v>
      </c>
      <c r="B386" s="149" t="s">
        <v>376</v>
      </c>
      <c r="C386" s="159" t="str">
        <f t="shared" si="5"/>
        <v>Ibitinga, SP</v>
      </c>
      <c r="D386" s="163">
        <v>-21.86</v>
      </c>
      <c r="E386" s="149">
        <v>492</v>
      </c>
      <c r="F386" s="164">
        <v>23.360349459999998</v>
      </c>
      <c r="G386" s="164">
        <v>24.12827381</v>
      </c>
      <c r="H386" s="164">
        <v>23.388037629999999</v>
      </c>
      <c r="I386" s="164">
        <v>22.157222220000001</v>
      </c>
      <c r="J386" s="164">
        <v>18.668010750000001</v>
      </c>
      <c r="K386" s="164">
        <v>18.872083329999999</v>
      </c>
      <c r="L386" s="164">
        <v>18.97956989</v>
      </c>
      <c r="M386" s="164">
        <v>21.23602151</v>
      </c>
      <c r="N386" s="164">
        <v>20.83472222</v>
      </c>
      <c r="O386" s="164">
        <v>23.875134410000001</v>
      </c>
      <c r="P386" s="164">
        <v>23.671111109999998</v>
      </c>
      <c r="Q386" s="164">
        <v>23.933870970000001</v>
      </c>
      <c r="R386" s="164">
        <v>21.925367275833334</v>
      </c>
      <c r="S386" s="159">
        <f>SUMIFS(Aux_Lista!AE:AE,Aux_Lista!AC:AC,Aux_TBS!B386,Aux_Lista!AD:AD,Aux_TBS!A386)</f>
        <v>3</v>
      </c>
      <c r="T386" s="159" t="s">
        <v>318</v>
      </c>
      <c r="U386" s="159">
        <v>40</v>
      </c>
    </row>
    <row r="387" spans="1:21" x14ac:dyDescent="0.25">
      <c r="A387" s="162" t="s">
        <v>3472</v>
      </c>
      <c r="B387" s="149" t="s">
        <v>376</v>
      </c>
      <c r="C387" s="159" t="str">
        <f t="shared" ref="C387:C413" si="6">CONCATENATE(A387,", ",B387)</f>
        <v>Iguape, SP</v>
      </c>
      <c r="D387" s="163">
        <v>-24.71</v>
      </c>
      <c r="E387" s="149">
        <v>3</v>
      </c>
      <c r="F387" s="164">
        <v>24.273924730000001</v>
      </c>
      <c r="G387" s="164">
        <v>25.117708329999999</v>
      </c>
      <c r="H387" s="164">
        <v>24.781451610000001</v>
      </c>
      <c r="I387" s="164">
        <v>22.21875</v>
      </c>
      <c r="J387" s="164">
        <v>20.335215049999999</v>
      </c>
      <c r="K387" s="164">
        <v>16.250138889999999</v>
      </c>
      <c r="L387" s="164">
        <v>17.49865591</v>
      </c>
      <c r="M387" s="164">
        <v>18.807661289999999</v>
      </c>
      <c r="N387" s="164">
        <v>18.68041667</v>
      </c>
      <c r="O387" s="164">
        <v>21.178360219999998</v>
      </c>
      <c r="P387" s="164">
        <v>21.931805560000001</v>
      </c>
      <c r="Q387" s="164">
        <v>22.38293011</v>
      </c>
      <c r="R387" s="164">
        <v>21.121418197499999</v>
      </c>
      <c r="S387" s="159">
        <f>SUMIFS(Aux_Lista!AE:AE,Aux_Lista!AC:AC,Aux_TBS!B387,Aux_Lista!AD:AD,Aux_TBS!A387)</f>
        <v>5</v>
      </c>
      <c r="T387" s="159" t="s">
        <v>318</v>
      </c>
      <c r="U387" s="159">
        <v>40</v>
      </c>
    </row>
    <row r="388" spans="1:21" x14ac:dyDescent="0.25">
      <c r="A388" s="162" t="s">
        <v>733</v>
      </c>
      <c r="B388" s="149" t="s">
        <v>376</v>
      </c>
      <c r="C388" s="159" t="str">
        <f t="shared" si="6"/>
        <v>Itapeva, SP</v>
      </c>
      <c r="D388" s="163">
        <v>-23.98</v>
      </c>
      <c r="E388" s="149">
        <v>707</v>
      </c>
      <c r="F388" s="164">
        <v>21.005376340000002</v>
      </c>
      <c r="G388" s="164">
        <v>22.008928569999998</v>
      </c>
      <c r="H388" s="164">
        <v>21.46639785</v>
      </c>
      <c r="I388" s="164">
        <v>19.621527780000001</v>
      </c>
      <c r="J388" s="164">
        <v>16.53494624</v>
      </c>
      <c r="K388" s="164">
        <v>16.042361110000002</v>
      </c>
      <c r="L388" s="164">
        <v>17.01491935</v>
      </c>
      <c r="M388" s="164">
        <v>17.62553763</v>
      </c>
      <c r="N388" s="164">
        <v>17.11597222</v>
      </c>
      <c r="O388" s="164">
        <v>19.71451613</v>
      </c>
      <c r="P388" s="164">
        <v>20.077361109999998</v>
      </c>
      <c r="Q388" s="164">
        <v>21.238978490000001</v>
      </c>
      <c r="R388" s="164">
        <v>19.122235234999998</v>
      </c>
      <c r="S388" s="159">
        <f>SUMIFS(Aux_Lista!AE:AE,Aux_Lista!AC:AC,Aux_TBS!B388,Aux_Lista!AD:AD,Aux_TBS!A388)</f>
        <v>2</v>
      </c>
      <c r="T388" s="159" t="s">
        <v>318</v>
      </c>
      <c r="U388" s="159">
        <v>40</v>
      </c>
    </row>
    <row r="389" spans="1:21" x14ac:dyDescent="0.25">
      <c r="A389" s="162" t="s">
        <v>3542</v>
      </c>
      <c r="B389" s="149" t="s">
        <v>376</v>
      </c>
      <c r="C389" s="159" t="str">
        <f t="shared" si="6"/>
        <v>Itapira, SP</v>
      </c>
      <c r="D389" s="163">
        <v>-22.42</v>
      </c>
      <c r="E389" s="149">
        <v>633</v>
      </c>
      <c r="F389" s="164">
        <v>23.036021510000001</v>
      </c>
      <c r="G389" s="164">
        <v>23.522916670000001</v>
      </c>
      <c r="H389" s="164">
        <v>22.574462369999999</v>
      </c>
      <c r="I389" s="164">
        <v>21.599305560000001</v>
      </c>
      <c r="J389" s="164">
        <v>18.138037629999999</v>
      </c>
      <c r="K389" s="164">
        <v>18.388750000000002</v>
      </c>
      <c r="L389" s="164">
        <v>17.554435479999999</v>
      </c>
      <c r="M389" s="164">
        <v>20.41518817</v>
      </c>
      <c r="N389" s="164">
        <v>20.099861109999999</v>
      </c>
      <c r="O389" s="164">
        <v>23.4688172</v>
      </c>
      <c r="P389" s="164">
        <v>22.857500000000002</v>
      </c>
      <c r="Q389" s="164">
        <v>23.190994620000001</v>
      </c>
      <c r="R389" s="164">
        <v>21.237190860000002</v>
      </c>
      <c r="S389" s="159">
        <f>SUMIFS(Aux_Lista!AE:AE,Aux_Lista!AC:AC,Aux_TBS!B389,Aux_Lista!AD:AD,Aux_TBS!A389)</f>
        <v>3</v>
      </c>
      <c r="T389" s="159" t="s">
        <v>318</v>
      </c>
      <c r="U389" s="159">
        <v>40</v>
      </c>
    </row>
    <row r="390" spans="1:21" x14ac:dyDescent="0.25">
      <c r="A390" s="162" t="s">
        <v>3964</v>
      </c>
      <c r="B390" s="149" t="s">
        <v>376</v>
      </c>
      <c r="C390" s="159" t="str">
        <f t="shared" si="6"/>
        <v>Ituverava, SP</v>
      </c>
      <c r="D390" s="163">
        <v>-20.36</v>
      </c>
      <c r="E390" s="149">
        <v>600</v>
      </c>
      <c r="F390" s="164">
        <v>24.168145160000002</v>
      </c>
      <c r="G390" s="164">
        <v>24.544047620000001</v>
      </c>
      <c r="H390" s="164">
        <v>23.924327959999999</v>
      </c>
      <c r="I390" s="164">
        <v>21.713055560000001</v>
      </c>
      <c r="J390" s="164">
        <v>19.307258059999999</v>
      </c>
      <c r="K390" s="164">
        <v>17.91444444</v>
      </c>
      <c r="L390" s="164">
        <v>20.172849459999998</v>
      </c>
      <c r="M390" s="164">
        <v>20.482526880000002</v>
      </c>
      <c r="N390" s="164">
        <v>23.96833333</v>
      </c>
      <c r="O390" s="164">
        <v>23.479166670000001</v>
      </c>
      <c r="P390" s="164">
        <v>23.307777779999999</v>
      </c>
      <c r="Q390" s="164">
        <v>24.464381719999999</v>
      </c>
      <c r="R390" s="164">
        <v>22.28719288666667</v>
      </c>
      <c r="S390" s="159">
        <f>SUMIFS(Aux_Lista!AE:AE,Aux_Lista!AC:AC,Aux_TBS!B390,Aux_Lista!AD:AD,Aux_TBS!A390)</f>
        <v>4</v>
      </c>
      <c r="T390" s="159" t="s">
        <v>318</v>
      </c>
      <c r="U390" s="159">
        <v>40</v>
      </c>
    </row>
    <row r="391" spans="1:21" x14ac:dyDescent="0.25">
      <c r="A391" s="162" t="s">
        <v>2372</v>
      </c>
      <c r="B391" s="149" t="s">
        <v>376</v>
      </c>
      <c r="C391" s="159" t="str">
        <f t="shared" si="6"/>
        <v>Jales, SP</v>
      </c>
      <c r="D391" s="163">
        <v>-20.27</v>
      </c>
      <c r="E391" s="149">
        <v>457</v>
      </c>
      <c r="F391" s="164">
        <v>24.62405914</v>
      </c>
      <c r="G391" s="164">
        <v>24.66592262</v>
      </c>
      <c r="H391" s="164">
        <v>24.370967740000001</v>
      </c>
      <c r="I391" s="164">
        <v>23.911249999999999</v>
      </c>
      <c r="J391" s="164">
        <v>20.632123660000001</v>
      </c>
      <c r="K391" s="164">
        <v>21.208333329999999</v>
      </c>
      <c r="L391" s="164">
        <v>22.378360220000001</v>
      </c>
      <c r="M391" s="164">
        <v>24.174059140000001</v>
      </c>
      <c r="N391" s="164">
        <v>23.69013889</v>
      </c>
      <c r="O391" s="164">
        <v>26.15819892</v>
      </c>
      <c r="P391" s="164">
        <v>25.575972220000001</v>
      </c>
      <c r="Q391" s="164">
        <v>25.55174731</v>
      </c>
      <c r="R391" s="164">
        <v>23.911761099166664</v>
      </c>
      <c r="S391" s="159">
        <f>SUMIFS(Aux_Lista!AE:AE,Aux_Lista!AC:AC,Aux_TBS!B391,Aux_Lista!AD:AD,Aux_TBS!A391)</f>
        <v>6</v>
      </c>
      <c r="T391" s="159" t="s">
        <v>318</v>
      </c>
      <c r="U391" s="159">
        <v>40</v>
      </c>
    </row>
    <row r="392" spans="1:21" x14ac:dyDescent="0.25">
      <c r="A392" s="162" t="s">
        <v>3884</v>
      </c>
      <c r="B392" s="149" t="s">
        <v>376</v>
      </c>
      <c r="C392" s="159" t="str">
        <f t="shared" si="6"/>
        <v>José Bonifácio, SP</v>
      </c>
      <c r="D392" s="163">
        <v>-21.1</v>
      </c>
      <c r="E392" s="149">
        <v>405</v>
      </c>
      <c r="F392" s="164">
        <v>24.290994619999999</v>
      </c>
      <c r="G392" s="164">
        <v>24.74255952</v>
      </c>
      <c r="H392" s="164">
        <v>24.03037634</v>
      </c>
      <c r="I392" s="164">
        <v>23.237361109999998</v>
      </c>
      <c r="J392" s="164">
        <v>19.21223118</v>
      </c>
      <c r="K392" s="164">
        <v>19.669861109999999</v>
      </c>
      <c r="L392" s="164">
        <v>19.96975806</v>
      </c>
      <c r="M392" s="164">
        <v>22.210887100000001</v>
      </c>
      <c r="N392" s="164">
        <v>21.96722222</v>
      </c>
      <c r="O392" s="164">
        <v>25.012365590000002</v>
      </c>
      <c r="P392" s="164">
        <v>25.398611110000001</v>
      </c>
      <c r="Q392" s="164">
        <v>25.40994624</v>
      </c>
      <c r="R392" s="164">
        <v>22.929347849999999</v>
      </c>
      <c r="S392" s="159">
        <f>SUMIFS(Aux_Lista!AE:AE,Aux_Lista!AC:AC,Aux_TBS!B392,Aux_Lista!AD:AD,Aux_TBS!A392)</f>
        <v>6</v>
      </c>
      <c r="T392" s="159" t="s">
        <v>318</v>
      </c>
      <c r="U392" s="159">
        <v>40</v>
      </c>
    </row>
    <row r="393" spans="1:21" x14ac:dyDescent="0.25">
      <c r="A393" s="162" t="s">
        <v>2892</v>
      </c>
      <c r="B393" s="149" t="s">
        <v>376</v>
      </c>
      <c r="C393" s="159" t="str">
        <f t="shared" si="6"/>
        <v>Lins, SP</v>
      </c>
      <c r="D393" s="163">
        <v>-21.68</v>
      </c>
      <c r="E393" s="149">
        <v>459</v>
      </c>
      <c r="F393" s="164">
        <v>24.073655909999999</v>
      </c>
      <c r="G393" s="164">
        <v>24.7453869</v>
      </c>
      <c r="H393" s="164">
        <v>24.330107529999999</v>
      </c>
      <c r="I393" s="164">
        <v>22.929166670000001</v>
      </c>
      <c r="J393" s="164">
        <v>19.38064516</v>
      </c>
      <c r="K393" s="164">
        <v>19.738472219999998</v>
      </c>
      <c r="L393" s="164">
        <v>20.51357527</v>
      </c>
      <c r="M393" s="164">
        <v>22.109543009999999</v>
      </c>
      <c r="N393" s="164">
        <v>21.56</v>
      </c>
      <c r="O393" s="164">
        <v>24.663978490000002</v>
      </c>
      <c r="P393" s="164">
        <v>24.777638889999999</v>
      </c>
      <c r="Q393" s="164">
        <v>25.247043009999999</v>
      </c>
      <c r="R393" s="164">
        <v>22.839101088333337</v>
      </c>
      <c r="S393" s="159">
        <f>SUMIFS(Aux_Lista!AE:AE,Aux_Lista!AC:AC,Aux_TBS!B393,Aux_Lista!AD:AD,Aux_TBS!A393)</f>
        <v>3</v>
      </c>
      <c r="T393" s="159" t="s">
        <v>318</v>
      </c>
      <c r="U393" s="159">
        <v>40</v>
      </c>
    </row>
    <row r="394" spans="1:21" x14ac:dyDescent="0.25">
      <c r="A394" s="162" t="s">
        <v>3541</v>
      </c>
      <c r="B394" s="149" t="s">
        <v>376</v>
      </c>
      <c r="C394" s="159" t="str">
        <f t="shared" si="6"/>
        <v>Ourinhos, SP</v>
      </c>
      <c r="D394" s="163">
        <v>-22.98</v>
      </c>
      <c r="E394" s="149">
        <v>448</v>
      </c>
      <c r="F394" s="164">
        <v>23.134139780000002</v>
      </c>
      <c r="G394" s="164">
        <v>23.67098214</v>
      </c>
      <c r="H394" s="164">
        <v>22.960483870000001</v>
      </c>
      <c r="I394" s="164">
        <v>21.213333330000001</v>
      </c>
      <c r="J394" s="164">
        <v>17.38897849</v>
      </c>
      <c r="K394" s="164">
        <v>17.05986111</v>
      </c>
      <c r="L394" s="164">
        <v>17.35819892</v>
      </c>
      <c r="M394" s="164">
        <v>19.169892470000001</v>
      </c>
      <c r="N394" s="164">
        <v>19.356111110000001</v>
      </c>
      <c r="O394" s="164">
        <v>22.589784949999999</v>
      </c>
      <c r="P394" s="164">
        <v>22.995416670000001</v>
      </c>
      <c r="Q394" s="164">
        <v>24.305645160000001</v>
      </c>
      <c r="R394" s="164">
        <v>20.933569000000002</v>
      </c>
      <c r="S394" s="159">
        <f>SUMIFS(Aux_Lista!AE:AE,Aux_Lista!AC:AC,Aux_TBS!B394,Aux_Lista!AD:AD,Aux_TBS!A394)</f>
        <v>3</v>
      </c>
      <c r="T394" s="159" t="s">
        <v>318</v>
      </c>
      <c r="U394" s="159">
        <v>40</v>
      </c>
    </row>
    <row r="395" spans="1:21" x14ac:dyDescent="0.25">
      <c r="A395" s="162" t="s">
        <v>3552</v>
      </c>
      <c r="B395" s="149" t="s">
        <v>376</v>
      </c>
      <c r="C395" s="159" t="str">
        <f t="shared" si="6"/>
        <v>Piracicaba, SP</v>
      </c>
      <c r="D395" s="163">
        <v>-22.73</v>
      </c>
      <c r="E395" s="149">
        <v>573</v>
      </c>
      <c r="F395" s="164">
        <v>22.56478495</v>
      </c>
      <c r="G395" s="164">
        <v>23.431845240000001</v>
      </c>
      <c r="H395" s="164">
        <v>22.791801079999999</v>
      </c>
      <c r="I395" s="164">
        <v>21.314861109999999</v>
      </c>
      <c r="J395" s="164">
        <v>17.798790319999998</v>
      </c>
      <c r="K395" s="164">
        <v>17.966666669999999</v>
      </c>
      <c r="L395" s="164">
        <v>17.580913979999998</v>
      </c>
      <c r="M395" s="164">
        <v>19.858064519999999</v>
      </c>
      <c r="N395" s="164">
        <v>19.531388889999999</v>
      </c>
      <c r="O395" s="164">
        <v>22.693682800000001</v>
      </c>
      <c r="P395" s="164">
        <v>22.72666667</v>
      </c>
      <c r="Q395" s="164">
        <v>22.953763439999999</v>
      </c>
      <c r="R395" s="164">
        <v>20.934435805833331</v>
      </c>
      <c r="S395" s="159">
        <f>SUMIFS(Aux_Lista!AE:AE,Aux_Lista!AC:AC,Aux_TBS!B395,Aux_Lista!AD:AD,Aux_TBS!A395)</f>
        <v>2</v>
      </c>
      <c r="T395" s="159" t="s">
        <v>318</v>
      </c>
      <c r="U395" s="159">
        <v>40</v>
      </c>
    </row>
    <row r="396" spans="1:21" x14ac:dyDescent="0.25">
      <c r="A396" s="162" t="s">
        <v>3453</v>
      </c>
      <c r="B396" s="149" t="s">
        <v>376</v>
      </c>
      <c r="C396" s="159" t="str">
        <f t="shared" si="6"/>
        <v>Presidente Prudente, SP</v>
      </c>
      <c r="D396" s="163">
        <v>-22.13</v>
      </c>
      <c r="E396" s="149">
        <v>436</v>
      </c>
      <c r="F396" s="164">
        <v>26.117741939999998</v>
      </c>
      <c r="G396" s="164">
        <v>25.14806548</v>
      </c>
      <c r="H396" s="164">
        <v>25.596236560000001</v>
      </c>
      <c r="I396" s="164">
        <v>23.606805560000002</v>
      </c>
      <c r="J396" s="164">
        <v>19.62688172</v>
      </c>
      <c r="K396" s="164">
        <v>20.668888890000002</v>
      </c>
      <c r="L396" s="164">
        <v>21.789784950000001</v>
      </c>
      <c r="M396" s="164">
        <v>23.694623660000001</v>
      </c>
      <c r="N396" s="164">
        <v>22.6525</v>
      </c>
      <c r="O396" s="164">
        <v>25.1469086</v>
      </c>
      <c r="P396" s="164">
        <v>25.619305560000001</v>
      </c>
      <c r="Q396" s="164">
        <v>25.731451610000001</v>
      </c>
      <c r="R396" s="164">
        <v>23.783266210833336</v>
      </c>
      <c r="S396" s="159">
        <f>SUMIFS(Aux_Lista!AE:AE,Aux_Lista!AC:AC,Aux_TBS!B396,Aux_Lista!AD:AD,Aux_TBS!A396)</f>
        <v>6</v>
      </c>
      <c r="T396" s="159" t="s">
        <v>318</v>
      </c>
      <c r="U396" s="159">
        <v>40</v>
      </c>
    </row>
    <row r="397" spans="1:21" x14ac:dyDescent="0.25">
      <c r="A397" s="162" t="s">
        <v>3977</v>
      </c>
      <c r="B397" s="149" t="s">
        <v>376</v>
      </c>
      <c r="C397" s="159" t="str">
        <f t="shared" si="6"/>
        <v>Rancharia, SP</v>
      </c>
      <c r="D397" s="163">
        <v>-22.37</v>
      </c>
      <c r="E397" s="149">
        <v>350</v>
      </c>
      <c r="F397" s="164">
        <v>23.843548389999999</v>
      </c>
      <c r="G397" s="164">
        <v>24.333482140000001</v>
      </c>
      <c r="H397" s="164">
        <v>23.356182799999999</v>
      </c>
      <c r="I397" s="164">
        <v>21.953611110000001</v>
      </c>
      <c r="J397" s="164">
        <v>17.514784949999999</v>
      </c>
      <c r="K397" s="164">
        <v>17.217916670000001</v>
      </c>
      <c r="L397" s="164">
        <v>17.126075270000001</v>
      </c>
      <c r="M397" s="164">
        <v>19.537634409999999</v>
      </c>
      <c r="N397" s="164">
        <v>19.669444439999999</v>
      </c>
      <c r="O397" s="164">
        <v>23.747311830000001</v>
      </c>
      <c r="P397" s="164">
        <v>23.753194440000001</v>
      </c>
      <c r="Q397" s="164">
        <v>24.66935484</v>
      </c>
      <c r="R397" s="164">
        <v>21.3935451075</v>
      </c>
      <c r="S397" s="159">
        <f>SUMIFS(Aux_Lista!AE:AE,Aux_Lista!AC:AC,Aux_TBS!B397,Aux_Lista!AD:AD,Aux_TBS!A397)</f>
        <v>6</v>
      </c>
      <c r="T397" s="159" t="s">
        <v>318</v>
      </c>
      <c r="U397" s="159">
        <v>40</v>
      </c>
    </row>
    <row r="398" spans="1:21" x14ac:dyDescent="0.25">
      <c r="A398" s="162" t="s">
        <v>737</v>
      </c>
      <c r="B398" s="149" t="s">
        <v>376</v>
      </c>
      <c r="C398" s="159" t="str">
        <f t="shared" si="6"/>
        <v>São Carlos, SP</v>
      </c>
      <c r="D398" s="163">
        <v>-22.02</v>
      </c>
      <c r="E398" s="149">
        <v>863</v>
      </c>
      <c r="F398" s="164">
        <v>21.67580645</v>
      </c>
      <c r="G398" s="164">
        <v>22.474107140000001</v>
      </c>
      <c r="H398" s="164">
        <v>21.558198919999999</v>
      </c>
      <c r="I398" s="164">
        <v>20.532916669999999</v>
      </c>
      <c r="J398" s="164">
        <v>17.22620968</v>
      </c>
      <c r="K398" s="164">
        <v>17.403888890000001</v>
      </c>
      <c r="L398" s="164">
        <v>17.588709680000001</v>
      </c>
      <c r="M398" s="164">
        <v>19.821505380000001</v>
      </c>
      <c r="N398" s="164">
        <v>19.444861110000002</v>
      </c>
      <c r="O398" s="164">
        <v>22.325672040000001</v>
      </c>
      <c r="P398" s="164">
        <v>21.838611109999999</v>
      </c>
      <c r="Q398" s="164">
        <v>21.702956990000001</v>
      </c>
      <c r="R398" s="164">
        <v>20.299453671666665</v>
      </c>
      <c r="S398" s="159">
        <f>SUMIFS(Aux_Lista!AE:AE,Aux_Lista!AC:AC,Aux_TBS!B398,Aux_Lista!AD:AD,Aux_TBS!A398)</f>
        <v>4</v>
      </c>
      <c r="T398" s="159" t="s">
        <v>318</v>
      </c>
      <c r="U398" s="159">
        <v>40</v>
      </c>
    </row>
    <row r="399" spans="1:21" x14ac:dyDescent="0.25">
      <c r="A399" s="162" t="s">
        <v>738</v>
      </c>
      <c r="B399" s="149" t="s">
        <v>376</v>
      </c>
      <c r="C399" s="159" t="str">
        <f t="shared" si="6"/>
        <v>São Luís do Paraitinga, SP</v>
      </c>
      <c r="D399" s="163">
        <v>-23.23</v>
      </c>
      <c r="E399" s="149">
        <v>874</v>
      </c>
      <c r="F399" s="164">
        <v>22.531854840000001</v>
      </c>
      <c r="G399" s="164">
        <v>23.05877976</v>
      </c>
      <c r="H399" s="164">
        <v>21.487096770000001</v>
      </c>
      <c r="I399" s="164">
        <v>18.91375</v>
      </c>
      <c r="J399" s="164">
        <v>15.82486559</v>
      </c>
      <c r="K399" s="164">
        <v>15.74625</v>
      </c>
      <c r="L399" s="164">
        <v>15.056586019999999</v>
      </c>
      <c r="M399" s="164">
        <v>17.762768820000002</v>
      </c>
      <c r="N399" s="164">
        <v>18.756944440000002</v>
      </c>
      <c r="O399" s="164">
        <v>21.950403229999999</v>
      </c>
      <c r="P399" s="164">
        <v>22.27791667</v>
      </c>
      <c r="Q399" s="164">
        <v>23.386827960000002</v>
      </c>
      <c r="R399" s="164">
        <v>19.729503675</v>
      </c>
      <c r="S399" s="159">
        <f>SUMIFS(Aux_Lista!AE:AE,Aux_Lista!AC:AC,Aux_TBS!B399,Aux_Lista!AD:AD,Aux_TBS!A399)</f>
        <v>3</v>
      </c>
      <c r="T399" s="159" t="s">
        <v>318</v>
      </c>
      <c r="U399" s="159">
        <v>40</v>
      </c>
    </row>
    <row r="400" spans="1:21" x14ac:dyDescent="0.25">
      <c r="A400" s="162" t="s">
        <v>377</v>
      </c>
      <c r="B400" s="149" t="s">
        <v>376</v>
      </c>
      <c r="C400" s="159" t="str">
        <f t="shared" si="6"/>
        <v>São Paulo, SP</v>
      </c>
      <c r="D400" s="163">
        <v>-23.85</v>
      </c>
      <c r="E400" s="149">
        <v>792</v>
      </c>
      <c r="F400" s="164">
        <v>21.158736560000001</v>
      </c>
      <c r="G400" s="164">
        <v>22.34791667</v>
      </c>
      <c r="H400" s="164">
        <v>21.669623659999999</v>
      </c>
      <c r="I400" s="164">
        <v>20.758055559999999</v>
      </c>
      <c r="J400" s="164">
        <v>17.454569889999998</v>
      </c>
      <c r="K400" s="164">
        <v>16.769166670000001</v>
      </c>
      <c r="L400" s="164">
        <v>17.336424730000001</v>
      </c>
      <c r="M400" s="164">
        <v>18.281451610000001</v>
      </c>
      <c r="N400" s="164">
        <v>17.677083329999999</v>
      </c>
      <c r="O400" s="164">
        <v>20.50981183</v>
      </c>
      <c r="P400" s="164">
        <v>20.150555560000001</v>
      </c>
      <c r="Q400" s="164">
        <v>20.87311828</v>
      </c>
      <c r="R400" s="164">
        <v>19.582209529166665</v>
      </c>
      <c r="S400" s="159">
        <f>SUMIFS(Aux_Lista!AE:AE,Aux_Lista!AC:AC,Aux_TBS!B400,Aux_Lista!AD:AD,Aux_TBS!A400)</f>
        <v>3</v>
      </c>
      <c r="T400" s="159" t="s">
        <v>318</v>
      </c>
      <c r="U400" s="159">
        <v>40</v>
      </c>
    </row>
    <row r="401" spans="1:21" x14ac:dyDescent="0.25">
      <c r="A401" s="162" t="s">
        <v>3534</v>
      </c>
      <c r="B401" s="149" t="s">
        <v>376</v>
      </c>
      <c r="C401" s="159" t="str">
        <f t="shared" si="6"/>
        <v>Sorocaba, SP</v>
      </c>
      <c r="D401" s="163">
        <v>-23.5</v>
      </c>
      <c r="E401" s="149">
        <v>609</v>
      </c>
      <c r="F401" s="164">
        <v>22.762365590000002</v>
      </c>
      <c r="G401" s="164">
        <v>23.360416669999999</v>
      </c>
      <c r="H401" s="164">
        <v>23.79663978</v>
      </c>
      <c r="I401" s="164">
        <v>22.085277779999998</v>
      </c>
      <c r="J401" s="164">
        <v>16.770698920000001</v>
      </c>
      <c r="K401" s="164">
        <v>16.924027779999999</v>
      </c>
      <c r="L401" s="164">
        <v>17</v>
      </c>
      <c r="M401" s="164">
        <v>18.55967742</v>
      </c>
      <c r="N401" s="164">
        <v>18.657222220000001</v>
      </c>
      <c r="O401" s="164">
        <v>21.00887097</v>
      </c>
      <c r="P401" s="164">
        <v>21.446249999999999</v>
      </c>
      <c r="Q401" s="164">
        <v>23.080241940000001</v>
      </c>
      <c r="R401" s="164">
        <v>20.454307422499998</v>
      </c>
      <c r="S401" s="159">
        <f>SUMIFS(Aux_Lista!AE:AE,Aux_Lista!AC:AC,Aux_TBS!B401,Aux_Lista!AD:AD,Aux_TBS!A401)</f>
        <v>3</v>
      </c>
      <c r="T401" s="159" t="s">
        <v>318</v>
      </c>
      <c r="U401" s="159">
        <v>40</v>
      </c>
    </row>
    <row r="402" spans="1:21" x14ac:dyDescent="0.25">
      <c r="A402" s="162" t="s">
        <v>3527</v>
      </c>
      <c r="B402" s="149" t="s">
        <v>376</v>
      </c>
      <c r="C402" s="159" t="str">
        <f t="shared" si="6"/>
        <v>Taubaté, SP</v>
      </c>
      <c r="D402" s="163">
        <v>-23.03</v>
      </c>
      <c r="E402" s="149">
        <v>571</v>
      </c>
      <c r="F402" s="164">
        <v>23.3436828</v>
      </c>
      <c r="G402" s="164">
        <v>24.145089290000001</v>
      </c>
      <c r="H402" s="164">
        <v>24.148521509999998</v>
      </c>
      <c r="I402" s="164">
        <v>22.186527779999999</v>
      </c>
      <c r="J402" s="164">
        <v>17.512499999999999</v>
      </c>
      <c r="K402" s="164">
        <v>16.779166669999999</v>
      </c>
      <c r="L402" s="164">
        <v>16.051209679999999</v>
      </c>
      <c r="M402" s="164">
        <v>18.005241940000001</v>
      </c>
      <c r="N402" s="164">
        <v>20.82041667</v>
      </c>
      <c r="O402" s="164">
        <v>22.346236560000001</v>
      </c>
      <c r="P402" s="164">
        <v>21.43972222</v>
      </c>
      <c r="Q402" s="164">
        <v>21.954838710000001</v>
      </c>
      <c r="R402" s="164">
        <v>20.727762819166667</v>
      </c>
      <c r="S402" s="159">
        <f>SUMIFS(Aux_Lista!AE:AE,Aux_Lista!AC:AC,Aux_TBS!B402,Aux_Lista!AD:AD,Aux_TBS!A402)</f>
        <v>3</v>
      </c>
      <c r="T402" s="159" t="s">
        <v>318</v>
      </c>
      <c r="U402" s="159">
        <v>40</v>
      </c>
    </row>
    <row r="403" spans="1:21" x14ac:dyDescent="0.25">
      <c r="A403" s="162" t="s">
        <v>3819</v>
      </c>
      <c r="B403" s="149" t="s">
        <v>376</v>
      </c>
      <c r="C403" s="159" t="str">
        <f t="shared" si="6"/>
        <v>Valparaíso, SP</v>
      </c>
      <c r="D403" s="163">
        <v>-21.32</v>
      </c>
      <c r="E403" s="149">
        <v>374</v>
      </c>
      <c r="F403" s="164">
        <v>24.700537629999999</v>
      </c>
      <c r="G403" s="164">
        <v>24.878422619999998</v>
      </c>
      <c r="H403" s="164">
        <v>24.1561828</v>
      </c>
      <c r="I403" s="164">
        <v>23.354444440000002</v>
      </c>
      <c r="J403" s="164">
        <v>19.484543009999999</v>
      </c>
      <c r="K403" s="164">
        <v>19.96</v>
      </c>
      <c r="L403" s="164">
        <v>21.330241940000001</v>
      </c>
      <c r="M403" s="164">
        <v>22.784274190000001</v>
      </c>
      <c r="N403" s="164">
        <v>22.313472220000001</v>
      </c>
      <c r="O403" s="164">
        <v>25.513306450000002</v>
      </c>
      <c r="P403" s="164">
        <v>25.51013889</v>
      </c>
      <c r="Q403" s="164">
        <v>25.802419350000001</v>
      </c>
      <c r="R403" s="164">
        <v>23.315665294999999</v>
      </c>
      <c r="S403" s="159">
        <f>SUMIFS(Aux_Lista!AE:AE,Aux_Lista!AC:AC,Aux_TBS!B403,Aux_Lista!AD:AD,Aux_TBS!A403)</f>
        <v>6</v>
      </c>
      <c r="T403" s="159" t="s">
        <v>318</v>
      </c>
      <c r="U403" s="159">
        <v>40</v>
      </c>
    </row>
    <row r="404" spans="1:21" x14ac:dyDescent="0.25">
      <c r="A404" s="162" t="s">
        <v>2978</v>
      </c>
      <c r="B404" s="149" t="s">
        <v>376</v>
      </c>
      <c r="C404" s="159" t="str">
        <f t="shared" si="6"/>
        <v>Votuporanga, SP</v>
      </c>
      <c r="D404" s="163">
        <v>-20.420000000000002</v>
      </c>
      <c r="E404" s="149">
        <v>486</v>
      </c>
      <c r="F404" s="164">
        <v>24.606720429999999</v>
      </c>
      <c r="G404" s="164">
        <v>24.506994049999999</v>
      </c>
      <c r="H404" s="164">
        <v>24.40349462</v>
      </c>
      <c r="I404" s="164">
        <v>23.736388890000001</v>
      </c>
      <c r="J404" s="164">
        <v>20.453763439999999</v>
      </c>
      <c r="K404" s="164">
        <v>21.029583330000001</v>
      </c>
      <c r="L404" s="164">
        <v>21.93844086</v>
      </c>
      <c r="M404" s="164">
        <v>23.877150539999999</v>
      </c>
      <c r="N404" s="164">
        <v>23.536805560000001</v>
      </c>
      <c r="O404" s="164">
        <v>25.950403229999999</v>
      </c>
      <c r="P404" s="164">
        <v>25.625972220000001</v>
      </c>
      <c r="Q404" s="164">
        <v>25.177956989999998</v>
      </c>
      <c r="R404" s="164">
        <v>23.736972846666664</v>
      </c>
      <c r="S404" s="159">
        <f>SUMIFS(Aux_Lista!AE:AE,Aux_Lista!AC:AC,Aux_TBS!B404,Aux_Lista!AD:AD,Aux_TBS!A404)</f>
        <v>6</v>
      </c>
      <c r="T404" s="159" t="s">
        <v>318</v>
      </c>
      <c r="U404" s="159">
        <v>40</v>
      </c>
    </row>
    <row r="405" spans="1:21" x14ac:dyDescent="0.25">
      <c r="A405" s="162" t="s">
        <v>4980</v>
      </c>
      <c r="B405" s="149" t="s">
        <v>393</v>
      </c>
      <c r="C405" s="159" t="str">
        <f t="shared" si="6"/>
        <v>Araguaína, TO</v>
      </c>
      <c r="D405" s="163">
        <v>-7.18</v>
      </c>
      <c r="E405" s="149">
        <v>226</v>
      </c>
      <c r="F405" s="164">
        <v>25.165456989999999</v>
      </c>
      <c r="G405" s="164">
        <v>24.80327381</v>
      </c>
      <c r="H405" s="164">
        <v>25.052956989999998</v>
      </c>
      <c r="I405" s="164">
        <v>24.64722222</v>
      </c>
      <c r="J405" s="164">
        <v>24.688172040000001</v>
      </c>
      <c r="K405" s="164">
        <v>24.93972222</v>
      </c>
      <c r="L405" s="164">
        <v>24.815188169999999</v>
      </c>
      <c r="M405" s="164">
        <v>25.343413980000001</v>
      </c>
      <c r="N405" s="164">
        <v>26.006944440000002</v>
      </c>
      <c r="O405" s="164">
        <v>25.732526880000002</v>
      </c>
      <c r="P405" s="164">
        <v>25.834305560000001</v>
      </c>
      <c r="Q405" s="164">
        <v>24.51075269</v>
      </c>
      <c r="R405" s="164">
        <v>25.128327999166668</v>
      </c>
      <c r="S405" s="159">
        <f>SUMIFS(Aux_Lista!AE:AE,Aux_Lista!AC:AC,Aux_TBS!B405,Aux_Lista!AD:AD,Aux_TBS!A405)</f>
        <v>7</v>
      </c>
      <c r="T405" s="159" t="s">
        <v>235</v>
      </c>
      <c r="U405" s="159">
        <v>38</v>
      </c>
    </row>
    <row r="406" spans="1:21" x14ac:dyDescent="0.25">
      <c r="A406" s="162" t="s">
        <v>4794</v>
      </c>
      <c r="B406" s="149" t="s">
        <v>393</v>
      </c>
      <c r="C406" s="159" t="str">
        <f t="shared" si="6"/>
        <v>Araguatins, TO</v>
      </c>
      <c r="D406" s="163">
        <v>-5.64</v>
      </c>
      <c r="E406" s="149">
        <v>117</v>
      </c>
      <c r="F406" s="164">
        <v>26.680107530000001</v>
      </c>
      <c r="G406" s="164">
        <v>26.10431548</v>
      </c>
      <c r="H406" s="164">
        <v>26.369220429999999</v>
      </c>
      <c r="I406" s="164">
        <v>25.90777778</v>
      </c>
      <c r="J406" s="164">
        <v>25.86935484</v>
      </c>
      <c r="K406" s="164">
        <v>26.650138890000001</v>
      </c>
      <c r="L406" s="164">
        <v>27.364919350000001</v>
      </c>
      <c r="M406" s="164">
        <v>28.050268819999999</v>
      </c>
      <c r="N406" s="164">
        <v>28.603333330000002</v>
      </c>
      <c r="O406" s="164">
        <v>28.470026879999999</v>
      </c>
      <c r="P406" s="164">
        <v>28.29513889</v>
      </c>
      <c r="Q406" s="164">
        <v>26.632258060000002</v>
      </c>
      <c r="R406" s="164">
        <v>27.083071689999997</v>
      </c>
      <c r="S406" s="159">
        <f>SUMIFS(Aux_Lista!AE:AE,Aux_Lista!AC:AC,Aux_TBS!B406,Aux_Lista!AD:AD,Aux_TBS!A406)</f>
        <v>8</v>
      </c>
      <c r="T406" s="159" t="s">
        <v>235</v>
      </c>
      <c r="U406" s="159">
        <v>38</v>
      </c>
    </row>
    <row r="407" spans="1:21" x14ac:dyDescent="0.25">
      <c r="A407" s="162" t="s">
        <v>2152</v>
      </c>
      <c r="B407" s="149" t="s">
        <v>393</v>
      </c>
      <c r="C407" s="159" t="str">
        <f t="shared" si="6"/>
        <v>Dianópolis, TO</v>
      </c>
      <c r="D407" s="163">
        <v>-11.59</v>
      </c>
      <c r="E407" s="149">
        <v>732</v>
      </c>
      <c r="F407" s="164">
        <v>23.671908599999998</v>
      </c>
      <c r="G407" s="164">
        <v>23.35669643</v>
      </c>
      <c r="H407" s="164">
        <v>23.650940859999999</v>
      </c>
      <c r="I407" s="164">
        <v>23.28277778</v>
      </c>
      <c r="J407" s="164">
        <v>23.02137097</v>
      </c>
      <c r="K407" s="164">
        <v>23.625277780000001</v>
      </c>
      <c r="L407" s="164">
        <v>24.503091399999999</v>
      </c>
      <c r="M407" s="164">
        <v>25.697446240000001</v>
      </c>
      <c r="N407" s="164">
        <v>27.154444439999999</v>
      </c>
      <c r="O407" s="164">
        <v>24.229704300000002</v>
      </c>
      <c r="P407" s="164">
        <v>24.795694439999998</v>
      </c>
      <c r="Q407" s="164">
        <v>23.516397850000001</v>
      </c>
      <c r="R407" s="164">
        <v>24.208812590833329</v>
      </c>
      <c r="S407" s="159">
        <f>SUMIFS(Aux_Lista!AE:AE,Aux_Lista!AC:AC,Aux_TBS!B407,Aux_Lista!AD:AD,Aux_TBS!A407)</f>
        <v>7</v>
      </c>
      <c r="T407" s="159" t="s">
        <v>235</v>
      </c>
      <c r="U407" s="159">
        <v>38</v>
      </c>
    </row>
    <row r="408" spans="1:21" x14ac:dyDescent="0.25">
      <c r="A408" s="162" t="s">
        <v>5686</v>
      </c>
      <c r="B408" s="149" t="s">
        <v>393</v>
      </c>
      <c r="C408" s="159" t="str">
        <f t="shared" si="6"/>
        <v>Formoso do Araguaia, TO</v>
      </c>
      <c r="D408" s="163">
        <v>-11.78</v>
      </c>
      <c r="E408" s="149">
        <v>220</v>
      </c>
      <c r="F408" s="164">
        <v>26.42674731</v>
      </c>
      <c r="G408" s="164">
        <v>25.15848214</v>
      </c>
      <c r="H408" s="164">
        <v>26.301344090000001</v>
      </c>
      <c r="I408" s="164">
        <v>25.724444439999999</v>
      </c>
      <c r="J408" s="164">
        <v>25.956854839999998</v>
      </c>
      <c r="K408" s="164">
        <v>25.57638889</v>
      </c>
      <c r="L408" s="164">
        <v>25.663575269999999</v>
      </c>
      <c r="M408" s="164">
        <v>28.329166669999999</v>
      </c>
      <c r="N408" s="164">
        <v>29.364583329999999</v>
      </c>
      <c r="O408" s="164">
        <v>29.075403229999999</v>
      </c>
      <c r="P408" s="164">
        <v>26.30430556</v>
      </c>
      <c r="Q408" s="164">
        <v>25.5719086</v>
      </c>
      <c r="R408" s="164">
        <v>26.621100364166665</v>
      </c>
      <c r="S408" s="159">
        <f>SUMIFS(Aux_Lista!AE:AE,Aux_Lista!AC:AC,Aux_TBS!B408,Aux_Lista!AD:AD,Aux_TBS!A408)</f>
        <v>7</v>
      </c>
      <c r="T408" s="159" t="s">
        <v>235</v>
      </c>
      <c r="U408" s="159">
        <v>38</v>
      </c>
    </row>
    <row r="409" spans="1:21" x14ac:dyDescent="0.25">
      <c r="A409" s="162" t="s">
        <v>5695</v>
      </c>
      <c r="B409" s="149" t="s">
        <v>393</v>
      </c>
      <c r="C409" s="159" t="str">
        <f t="shared" si="6"/>
        <v>Gurupi, TO</v>
      </c>
      <c r="D409" s="163">
        <v>-11.72</v>
      </c>
      <c r="E409" s="149">
        <v>287</v>
      </c>
      <c r="F409" s="164">
        <v>25.93602151</v>
      </c>
      <c r="G409" s="164">
        <v>26.358333330000001</v>
      </c>
      <c r="H409" s="164">
        <v>26.293548390000002</v>
      </c>
      <c r="I409" s="164">
        <v>25.26694444</v>
      </c>
      <c r="J409" s="164">
        <v>26.653763439999999</v>
      </c>
      <c r="K409" s="164">
        <v>24.235972220000001</v>
      </c>
      <c r="L409" s="164">
        <v>24.18145161</v>
      </c>
      <c r="M409" s="164">
        <v>24.808870970000001</v>
      </c>
      <c r="N409" s="164">
        <v>27.138055560000002</v>
      </c>
      <c r="O409" s="164">
        <v>27.75282258</v>
      </c>
      <c r="P409" s="164">
        <v>25.90555556</v>
      </c>
      <c r="Q409" s="164">
        <v>25.685887099999999</v>
      </c>
      <c r="R409" s="164">
        <v>25.851435559166664</v>
      </c>
      <c r="S409" s="159">
        <f>SUMIFS(Aux_Lista!AE:AE,Aux_Lista!AC:AC,Aux_TBS!B409,Aux_Lista!AD:AD,Aux_TBS!A409)</f>
        <v>7</v>
      </c>
      <c r="T409" s="159" t="s">
        <v>235</v>
      </c>
      <c r="U409" s="159">
        <v>38</v>
      </c>
    </row>
    <row r="410" spans="1:21" x14ac:dyDescent="0.25">
      <c r="A410" s="162" t="s">
        <v>1637</v>
      </c>
      <c r="B410" s="149" t="s">
        <v>393</v>
      </c>
      <c r="C410" s="159" t="str">
        <f t="shared" si="6"/>
        <v>Palmas, TO</v>
      </c>
      <c r="D410" s="163">
        <v>-10.17</v>
      </c>
      <c r="E410" s="149">
        <v>280</v>
      </c>
      <c r="F410" s="164">
        <v>26.488844090000001</v>
      </c>
      <c r="G410" s="164">
        <v>25.41592262</v>
      </c>
      <c r="H410" s="164">
        <v>26.043682799999999</v>
      </c>
      <c r="I410" s="164">
        <v>25.716944439999999</v>
      </c>
      <c r="J410" s="164">
        <v>26.698790320000001</v>
      </c>
      <c r="K410" s="164">
        <v>27.173749999999998</v>
      </c>
      <c r="L410" s="164">
        <v>27.111827959999999</v>
      </c>
      <c r="M410" s="164">
        <v>28.99341398</v>
      </c>
      <c r="N410" s="164">
        <v>28.90958333</v>
      </c>
      <c r="O410" s="164">
        <v>26.4780914</v>
      </c>
      <c r="P410" s="164">
        <v>26.72180556</v>
      </c>
      <c r="Q410" s="164">
        <v>25.99865591</v>
      </c>
      <c r="R410" s="164">
        <v>26.812609367500002</v>
      </c>
      <c r="S410" s="159">
        <f>SUMIFS(Aux_Lista!AE:AE,Aux_Lista!AC:AC,Aux_TBS!B410,Aux_Lista!AD:AD,Aux_TBS!A410)</f>
        <v>7</v>
      </c>
      <c r="T410" s="159" t="s">
        <v>235</v>
      </c>
      <c r="U410" s="159">
        <v>38</v>
      </c>
    </row>
    <row r="411" spans="1:21" x14ac:dyDescent="0.25">
      <c r="A411" s="162" t="s">
        <v>5008</v>
      </c>
      <c r="B411" s="149" t="s">
        <v>393</v>
      </c>
      <c r="C411" s="159" t="str">
        <f t="shared" si="6"/>
        <v>Paranã, TO</v>
      </c>
      <c r="D411" s="163">
        <v>-12.6</v>
      </c>
      <c r="E411" s="149">
        <v>280</v>
      </c>
      <c r="F411" s="164">
        <v>26.39596774</v>
      </c>
      <c r="G411" s="164">
        <v>25.108779760000001</v>
      </c>
      <c r="H411" s="164">
        <v>26.43978495</v>
      </c>
      <c r="I411" s="164">
        <v>26.815972219999999</v>
      </c>
      <c r="J411" s="164">
        <v>25.955241940000001</v>
      </c>
      <c r="K411" s="164">
        <v>24.006527779999999</v>
      </c>
      <c r="L411" s="164">
        <v>24.550268819999999</v>
      </c>
      <c r="M411" s="164">
        <v>25.504569889999999</v>
      </c>
      <c r="N411" s="164">
        <v>27.693055560000001</v>
      </c>
      <c r="O411" s="164">
        <v>26.539919350000002</v>
      </c>
      <c r="P411" s="164">
        <v>26.552222220000001</v>
      </c>
      <c r="Q411" s="164">
        <v>25.59193548</v>
      </c>
      <c r="R411" s="164">
        <v>25.929520475833332</v>
      </c>
      <c r="S411" s="159">
        <f>SUMIFS(Aux_Lista!AE:AE,Aux_Lista!AC:AC,Aux_TBS!B411,Aux_Lista!AD:AD,Aux_TBS!A411)</f>
        <v>6</v>
      </c>
      <c r="T411" s="159" t="s">
        <v>235</v>
      </c>
      <c r="U411" s="159">
        <v>38</v>
      </c>
    </row>
    <row r="412" spans="1:21" x14ac:dyDescent="0.25">
      <c r="A412" s="162" t="s">
        <v>4967</v>
      </c>
      <c r="B412" s="149" t="s">
        <v>393</v>
      </c>
      <c r="C412" s="159" t="str">
        <f t="shared" si="6"/>
        <v>Pedro Afonso, TO</v>
      </c>
      <c r="D412" s="163">
        <v>-8.9700000000000006</v>
      </c>
      <c r="E412" s="149">
        <v>189</v>
      </c>
      <c r="F412" s="164">
        <v>26.293682799999999</v>
      </c>
      <c r="G412" s="164">
        <v>25.730357139999999</v>
      </c>
      <c r="H412" s="164">
        <v>26.202150540000002</v>
      </c>
      <c r="I412" s="164">
        <v>25.637499999999999</v>
      </c>
      <c r="J412" s="164">
        <v>25.56303763</v>
      </c>
      <c r="K412" s="164">
        <v>26.022916670000001</v>
      </c>
      <c r="L412" s="164">
        <v>26.224059140000001</v>
      </c>
      <c r="M412" s="164">
        <v>27.464650540000001</v>
      </c>
      <c r="N412" s="164">
        <v>28.47625</v>
      </c>
      <c r="O412" s="164">
        <v>26.776747310000001</v>
      </c>
      <c r="P412" s="164">
        <v>26.723749999999999</v>
      </c>
      <c r="Q412" s="164">
        <v>25.50147849</v>
      </c>
      <c r="R412" s="164">
        <v>26.384715021666668</v>
      </c>
      <c r="S412" s="159">
        <f>SUMIFS(Aux_Lista!AE:AE,Aux_Lista!AC:AC,Aux_TBS!B412,Aux_Lista!AD:AD,Aux_TBS!A412)</f>
        <v>7</v>
      </c>
      <c r="T412" s="159" t="s">
        <v>235</v>
      </c>
      <c r="U412" s="159">
        <v>38</v>
      </c>
    </row>
    <row r="413" spans="1:21" x14ac:dyDescent="0.25">
      <c r="A413" s="162" t="s">
        <v>4951</v>
      </c>
      <c r="B413" s="149" t="s">
        <v>393</v>
      </c>
      <c r="C413" s="159" t="str">
        <f t="shared" si="6"/>
        <v>Peixe, TO</v>
      </c>
      <c r="D413" s="163">
        <v>-12.02</v>
      </c>
      <c r="E413" s="149">
        <v>242</v>
      </c>
      <c r="F413" s="164">
        <v>26.292204300000002</v>
      </c>
      <c r="G413" s="164">
        <v>25.481249999999999</v>
      </c>
      <c r="H413" s="164">
        <v>26.067338710000001</v>
      </c>
      <c r="I413" s="164">
        <v>25.588194439999999</v>
      </c>
      <c r="J413" s="164">
        <v>24.93508065</v>
      </c>
      <c r="K413" s="164">
        <v>24.882222219999999</v>
      </c>
      <c r="L413" s="164">
        <v>24.722311829999999</v>
      </c>
      <c r="M413" s="164">
        <v>26.708333329999999</v>
      </c>
      <c r="N413" s="164">
        <v>28.087499999999999</v>
      </c>
      <c r="O413" s="164">
        <v>26.302284950000001</v>
      </c>
      <c r="P413" s="164">
        <v>26.55916667</v>
      </c>
      <c r="Q413" s="164">
        <v>25.40524194</v>
      </c>
      <c r="R413" s="164">
        <v>25.919260753333333</v>
      </c>
      <c r="S413" s="159">
        <f>SUMIFS(Aux_Lista!AE:AE,Aux_Lista!AC:AC,Aux_TBS!B413,Aux_Lista!AD:AD,Aux_TBS!A413)</f>
        <v>7</v>
      </c>
      <c r="T413" s="159" t="s">
        <v>235</v>
      </c>
      <c r="U413" s="159">
        <v>38</v>
      </c>
    </row>
  </sheetData>
  <mergeCells count="6">
    <mergeCell ref="F1:R1"/>
    <mergeCell ref="A1:A2"/>
    <mergeCell ref="B1:B2"/>
    <mergeCell ref="D1:D2"/>
    <mergeCell ref="E1:E2"/>
    <mergeCell ref="C1:C2"/>
  </mergeCells>
  <pageMargins left="0.511811024" right="0.511811024" top="0.78740157499999996" bottom="0.78740157499999996" header="0.31496062000000002" footer="0.3149606200000000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19"/>
  <dimension ref="A1:AA854"/>
  <sheetViews>
    <sheetView workbookViewId="0"/>
  </sheetViews>
  <sheetFormatPr defaultColWidth="9.140625" defaultRowHeight="15" x14ac:dyDescent="0.25"/>
  <cols>
    <col min="1" max="16384" width="9.140625" style="9"/>
  </cols>
  <sheetData>
    <row r="1" spans="1:27" x14ac:dyDescent="0.25">
      <c r="A1" s="148" t="s">
        <v>234</v>
      </c>
      <c r="B1" s="148" t="s">
        <v>247</v>
      </c>
      <c r="C1" s="148" t="s">
        <v>268</v>
      </c>
      <c r="D1" s="148" t="s">
        <v>279</v>
      </c>
      <c r="E1" s="148" t="s">
        <v>289</v>
      </c>
      <c r="F1" s="148" t="s">
        <v>300</v>
      </c>
      <c r="G1" s="148" t="s">
        <v>309</v>
      </c>
      <c r="H1" s="148" t="s">
        <v>317</v>
      </c>
      <c r="I1" s="148" t="s">
        <v>322</v>
      </c>
      <c r="J1" s="148" t="s">
        <v>328</v>
      </c>
      <c r="K1" s="148" t="s">
        <v>333</v>
      </c>
      <c r="L1" s="148" t="s">
        <v>336</v>
      </c>
      <c r="M1" s="148" t="s">
        <v>340</v>
      </c>
      <c r="N1" s="148" t="s">
        <v>344</v>
      </c>
      <c r="O1" s="148" t="s">
        <v>348</v>
      </c>
      <c r="P1" s="148" t="s">
        <v>323</v>
      </c>
      <c r="Q1" s="148" t="s">
        <v>357</v>
      </c>
      <c r="R1" s="148" t="s">
        <v>311</v>
      </c>
      <c r="S1" s="148" t="s">
        <v>358</v>
      </c>
      <c r="T1" s="148" t="s">
        <v>369</v>
      </c>
      <c r="U1" s="148" t="s">
        <v>372</v>
      </c>
      <c r="V1" s="148" t="s">
        <v>375</v>
      </c>
      <c r="W1" s="148" t="s">
        <v>236</v>
      </c>
      <c r="X1" s="148" t="s">
        <v>27</v>
      </c>
      <c r="Y1" s="148" t="s">
        <v>298</v>
      </c>
      <c r="Z1" s="148" t="s">
        <v>376</v>
      </c>
      <c r="AA1" s="148" t="s">
        <v>393</v>
      </c>
    </row>
    <row r="2" spans="1:27" x14ac:dyDescent="0.25">
      <c r="A2" s="9" t="s">
        <v>4872</v>
      </c>
      <c r="B2" s="9" t="s">
        <v>2199</v>
      </c>
      <c r="C2" s="9" t="s">
        <v>4152</v>
      </c>
      <c r="D2" s="9" t="s">
        <v>4386</v>
      </c>
      <c r="E2" s="9" t="s">
        <v>568</v>
      </c>
      <c r="F2" s="9" t="s">
        <v>5193</v>
      </c>
      <c r="G2" s="9" t="s">
        <v>2186</v>
      </c>
      <c r="H2" s="9" t="s">
        <v>3458</v>
      </c>
      <c r="I2" s="9" t="s">
        <v>2698</v>
      </c>
      <c r="J2" s="9" t="s">
        <v>4412</v>
      </c>
      <c r="K2" s="9" t="s">
        <v>3376</v>
      </c>
      <c r="L2" s="9" t="s">
        <v>3324</v>
      </c>
      <c r="M2" s="9" t="s">
        <v>5630</v>
      </c>
      <c r="N2" s="9" t="s">
        <v>4124</v>
      </c>
      <c r="O2" s="9" t="s">
        <v>2199</v>
      </c>
      <c r="P2" s="9" t="s">
        <v>4059</v>
      </c>
      <c r="Q2" s="9" t="s">
        <v>5096</v>
      </c>
      <c r="R2" s="9" t="s">
        <v>3201</v>
      </c>
      <c r="S2" s="9" t="s">
        <v>3097</v>
      </c>
      <c r="T2" s="9" t="s">
        <v>4370</v>
      </c>
      <c r="U2" s="9" t="s">
        <v>5715</v>
      </c>
      <c r="V2" s="9" t="s">
        <v>1557</v>
      </c>
      <c r="W2" s="9" t="s">
        <v>1749</v>
      </c>
      <c r="X2" s="9" t="s">
        <v>1453</v>
      </c>
      <c r="Y2" s="9" t="s">
        <v>5038</v>
      </c>
      <c r="Z2" s="9" t="s">
        <v>4033</v>
      </c>
      <c r="AA2" s="9" t="s">
        <v>5214</v>
      </c>
    </row>
    <row r="3" spans="1:27" x14ac:dyDescent="0.25">
      <c r="A3" s="9" t="s">
        <v>4804</v>
      </c>
      <c r="B3" s="9" t="s">
        <v>2712</v>
      </c>
      <c r="C3" s="9" t="s">
        <v>4486</v>
      </c>
      <c r="D3" s="9" t="s">
        <v>4235</v>
      </c>
      <c r="E3" s="9" t="s">
        <v>5374</v>
      </c>
      <c r="F3" s="9" t="s">
        <v>5716</v>
      </c>
      <c r="H3" s="9" t="s">
        <v>1867</v>
      </c>
      <c r="I3" s="9" t="s">
        <v>2847</v>
      </c>
      <c r="J3" s="9" t="s">
        <v>5313</v>
      </c>
      <c r="K3" s="9" t="s">
        <v>3366</v>
      </c>
      <c r="L3" s="9" t="s">
        <v>2387</v>
      </c>
      <c r="M3" s="9" t="s">
        <v>2075</v>
      </c>
      <c r="N3" s="9" t="s">
        <v>4419</v>
      </c>
      <c r="O3" s="9" t="s">
        <v>5167</v>
      </c>
      <c r="P3" s="9" t="s">
        <v>2515</v>
      </c>
      <c r="Q3" s="9" t="s">
        <v>4719</v>
      </c>
      <c r="R3" s="9" t="s">
        <v>3876</v>
      </c>
      <c r="S3" s="9" t="s">
        <v>3283</v>
      </c>
      <c r="T3" s="9" t="s">
        <v>4376</v>
      </c>
      <c r="U3" s="9" t="s">
        <v>5472</v>
      </c>
      <c r="V3" s="9" t="s">
        <v>1898</v>
      </c>
      <c r="W3" s="9" t="s">
        <v>1310</v>
      </c>
      <c r="X3" s="9" t="s">
        <v>1583</v>
      </c>
      <c r="Y3" s="9" t="s">
        <v>5343</v>
      </c>
      <c r="Z3" s="9" t="s">
        <v>3566</v>
      </c>
      <c r="AA3" s="9" t="s">
        <v>5001</v>
      </c>
    </row>
    <row r="4" spans="1:27" x14ac:dyDescent="0.25">
      <c r="A4" s="9" t="s">
        <v>4924</v>
      </c>
      <c r="B4" s="9" t="s">
        <v>5116</v>
      </c>
      <c r="C4" s="9" t="s">
        <v>4250</v>
      </c>
      <c r="D4" s="9" t="s">
        <v>4434</v>
      </c>
      <c r="E4" s="9" t="s">
        <v>2005</v>
      </c>
      <c r="F4" s="9" t="s">
        <v>4258</v>
      </c>
      <c r="H4" s="9" t="s">
        <v>2412</v>
      </c>
      <c r="I4" s="9" t="s">
        <v>2904</v>
      </c>
      <c r="J4" s="9" t="s">
        <v>4262</v>
      </c>
      <c r="K4" s="9" t="s">
        <v>562</v>
      </c>
      <c r="L4" s="9" t="s">
        <v>3683</v>
      </c>
      <c r="M4" s="9" t="s">
        <v>5513</v>
      </c>
      <c r="N4" s="9" t="s">
        <v>4313</v>
      </c>
      <c r="O4" s="9" t="s">
        <v>2296</v>
      </c>
      <c r="P4" s="9" t="s">
        <v>2464</v>
      </c>
      <c r="Q4" s="9" t="s">
        <v>2199</v>
      </c>
      <c r="R4" s="9" t="s">
        <v>551</v>
      </c>
      <c r="S4" s="9" t="s">
        <v>1826</v>
      </c>
      <c r="T4" s="9" t="s">
        <v>4166</v>
      </c>
      <c r="U4" s="9" t="s">
        <v>3190</v>
      </c>
      <c r="V4" s="9" t="s">
        <v>2233</v>
      </c>
      <c r="W4" s="9" t="s">
        <v>1673</v>
      </c>
      <c r="X4" s="9" t="s">
        <v>1311</v>
      </c>
      <c r="Y4" s="9" t="s">
        <v>5046</v>
      </c>
      <c r="Z4" s="9" t="s">
        <v>3731</v>
      </c>
      <c r="AA4" s="9" t="s">
        <v>4996</v>
      </c>
    </row>
    <row r="5" spans="1:27" x14ac:dyDescent="0.25">
      <c r="A5" s="9" t="s">
        <v>4439</v>
      </c>
      <c r="B5" s="9" t="s">
        <v>3304</v>
      </c>
      <c r="C5" s="9" t="s">
        <v>4264</v>
      </c>
      <c r="D5" s="9" t="s">
        <v>4455</v>
      </c>
      <c r="E5" s="9" t="s">
        <v>3474</v>
      </c>
      <c r="F5" s="9" t="s">
        <v>5237</v>
      </c>
      <c r="H5" s="9" t="s">
        <v>3539</v>
      </c>
      <c r="I5" s="9" t="s">
        <v>2900</v>
      </c>
      <c r="J5" s="9" t="s">
        <v>4094</v>
      </c>
      <c r="K5" s="9" t="s">
        <v>571</v>
      </c>
      <c r="L5" s="9" t="s">
        <v>2389</v>
      </c>
      <c r="M5" s="9" t="s">
        <v>2536</v>
      </c>
      <c r="N5" s="9" t="s">
        <v>4247</v>
      </c>
      <c r="O5" s="9" t="s">
        <v>2257</v>
      </c>
      <c r="P5" s="9" t="s">
        <v>2360</v>
      </c>
      <c r="Q5" s="9" t="s">
        <v>5469</v>
      </c>
      <c r="R5" s="9" t="s">
        <v>540</v>
      </c>
      <c r="S5" s="9" t="s">
        <v>716</v>
      </c>
      <c r="T5" s="9" t="s">
        <v>4562</v>
      </c>
      <c r="U5" s="9" t="s">
        <v>5717</v>
      </c>
      <c r="V5" s="9" t="s">
        <v>560</v>
      </c>
      <c r="W5" s="9" t="s">
        <v>462</v>
      </c>
      <c r="X5" s="9" t="s">
        <v>1304</v>
      </c>
      <c r="Y5" s="9" t="s">
        <v>2516</v>
      </c>
      <c r="Z5" s="9" t="s">
        <v>919</v>
      </c>
      <c r="AA5" s="9" t="s">
        <v>4367</v>
      </c>
    </row>
    <row r="6" spans="1:27" x14ac:dyDescent="0.25">
      <c r="A6" s="9" t="s">
        <v>4817</v>
      </c>
      <c r="B6" s="9" t="s">
        <v>5103</v>
      </c>
      <c r="C6" s="9" t="s">
        <v>4911</v>
      </c>
      <c r="D6" s="9" t="s">
        <v>4271</v>
      </c>
      <c r="E6" s="9" t="s">
        <v>2041</v>
      </c>
      <c r="F6" s="9" t="s">
        <v>4579</v>
      </c>
      <c r="H6" s="9" t="s">
        <v>2012</v>
      </c>
      <c r="I6" s="9" t="s">
        <v>2361</v>
      </c>
      <c r="J6" s="9" t="s">
        <v>4886</v>
      </c>
      <c r="K6" s="9" t="s">
        <v>2575</v>
      </c>
      <c r="L6" s="9" t="s">
        <v>3523</v>
      </c>
      <c r="M6" s="9" t="s">
        <v>4881</v>
      </c>
      <c r="N6" s="9" t="s">
        <v>5158</v>
      </c>
      <c r="O6" s="9" t="s">
        <v>2263</v>
      </c>
      <c r="P6" s="9" t="s">
        <v>5332</v>
      </c>
      <c r="Q6" s="9" t="s">
        <v>5457</v>
      </c>
      <c r="R6" s="9" t="s">
        <v>747</v>
      </c>
      <c r="S6" s="9" t="s">
        <v>5718</v>
      </c>
      <c r="T6" s="9" t="s">
        <v>4542</v>
      </c>
      <c r="U6" s="9" t="s">
        <v>4963</v>
      </c>
      <c r="V6" s="9" t="s">
        <v>4211</v>
      </c>
      <c r="W6" s="9" t="s">
        <v>3099</v>
      </c>
      <c r="X6" s="9" t="s">
        <v>1645</v>
      </c>
      <c r="Y6" s="9" t="s">
        <v>4259</v>
      </c>
      <c r="Z6" s="9" t="s">
        <v>976</v>
      </c>
      <c r="AA6" s="9" t="s">
        <v>1206</v>
      </c>
    </row>
    <row r="7" spans="1:27" x14ac:dyDescent="0.25">
      <c r="A7" s="9" t="s">
        <v>1425</v>
      </c>
      <c r="B7" s="9" t="s">
        <v>2247</v>
      </c>
      <c r="C7" s="9" t="s">
        <v>4989</v>
      </c>
      <c r="D7" s="9" t="s">
        <v>4186</v>
      </c>
      <c r="E7" s="9" t="s">
        <v>2318</v>
      </c>
      <c r="F7" s="9" t="s">
        <v>4693</v>
      </c>
      <c r="H7" s="9" t="s">
        <v>5054</v>
      </c>
      <c r="I7" s="9" t="s">
        <v>2807</v>
      </c>
      <c r="J7" s="9" t="s">
        <v>4721</v>
      </c>
      <c r="K7" s="9" t="s">
        <v>2075</v>
      </c>
      <c r="L7" s="9" t="s">
        <v>3430</v>
      </c>
      <c r="M7" s="9" t="s">
        <v>2843</v>
      </c>
      <c r="N7" s="9" t="s">
        <v>4228</v>
      </c>
      <c r="O7" s="9" t="s">
        <v>2118</v>
      </c>
      <c r="P7" s="9" t="s">
        <v>2472</v>
      </c>
      <c r="Q7" s="9" t="s">
        <v>5570</v>
      </c>
      <c r="R7" s="9" t="s">
        <v>3190</v>
      </c>
      <c r="S7" s="9" t="s">
        <v>1799</v>
      </c>
      <c r="T7" s="9" t="s">
        <v>4525</v>
      </c>
      <c r="U7" s="9" t="s">
        <v>2243</v>
      </c>
      <c r="V7" s="9" t="s">
        <v>4483</v>
      </c>
      <c r="W7" s="9" t="s">
        <v>1752</v>
      </c>
      <c r="X7" s="9" t="s">
        <v>1556</v>
      </c>
      <c r="Y7" s="9" t="s">
        <v>5047</v>
      </c>
      <c r="Z7" s="9" t="s">
        <v>1780</v>
      </c>
      <c r="AA7" s="9" t="s">
        <v>4971</v>
      </c>
    </row>
    <row r="8" spans="1:27" x14ac:dyDescent="0.25">
      <c r="A8" s="9" t="s">
        <v>4928</v>
      </c>
      <c r="B8" s="9" t="s">
        <v>4760</v>
      </c>
      <c r="C8" s="9" t="s">
        <v>4381</v>
      </c>
      <c r="D8" s="9" t="s">
        <v>4457</v>
      </c>
      <c r="E8" s="9" t="s">
        <v>4375</v>
      </c>
      <c r="F8" s="9" t="s">
        <v>5191</v>
      </c>
      <c r="H8" s="9" t="s">
        <v>1244</v>
      </c>
      <c r="I8" s="9" t="s">
        <v>2846</v>
      </c>
      <c r="J8" s="9" t="s">
        <v>4843</v>
      </c>
      <c r="K8" s="9" t="s">
        <v>2984</v>
      </c>
      <c r="L8" s="9" t="s">
        <v>3449</v>
      </c>
      <c r="M8" s="9" t="s">
        <v>5624</v>
      </c>
      <c r="N8" s="9" t="s">
        <v>4717</v>
      </c>
      <c r="O8" s="9" t="s">
        <v>2300</v>
      </c>
      <c r="P8" s="9" t="s">
        <v>2263</v>
      </c>
      <c r="Q8" s="9" t="s">
        <v>4680</v>
      </c>
      <c r="R8" s="9" t="s">
        <v>3163</v>
      </c>
      <c r="S8" s="9" t="s">
        <v>3386</v>
      </c>
      <c r="T8" s="9" t="s">
        <v>4168</v>
      </c>
      <c r="U8" s="9" t="s">
        <v>2401</v>
      </c>
      <c r="V8" s="9" t="s">
        <v>4208</v>
      </c>
      <c r="W8" s="9" t="s">
        <v>1642</v>
      </c>
      <c r="X8" s="9" t="s">
        <v>1165</v>
      </c>
      <c r="Y8" s="9" t="s">
        <v>5363</v>
      </c>
      <c r="Z8" s="9" t="s">
        <v>1077</v>
      </c>
      <c r="AA8" s="9" t="s">
        <v>4978</v>
      </c>
    </row>
    <row r="9" spans="1:27" x14ac:dyDescent="0.25">
      <c r="A9" s="9" t="s">
        <v>4324</v>
      </c>
      <c r="B9" s="9" t="s">
        <v>2167</v>
      </c>
      <c r="C9" s="9" t="s">
        <v>4377</v>
      </c>
      <c r="D9" s="9" t="s">
        <v>4438</v>
      </c>
      <c r="E9" s="9" t="s">
        <v>1817</v>
      </c>
      <c r="F9" s="9" t="s">
        <v>5312</v>
      </c>
      <c r="H9" s="9" t="s">
        <v>3310</v>
      </c>
      <c r="I9" s="9" t="s">
        <v>2882</v>
      </c>
      <c r="J9" s="9" t="s">
        <v>4642</v>
      </c>
      <c r="K9" s="9" t="s">
        <v>2329</v>
      </c>
      <c r="L9" s="9" t="s">
        <v>3935</v>
      </c>
      <c r="M9" s="9" t="s">
        <v>2376</v>
      </c>
      <c r="N9" s="9" t="s">
        <v>4563</v>
      </c>
      <c r="O9" s="9" t="s">
        <v>5034</v>
      </c>
      <c r="P9" s="9" t="s">
        <v>5017</v>
      </c>
      <c r="Q9" s="9" t="s">
        <v>5519</v>
      </c>
      <c r="R9" s="9" t="s">
        <v>3591</v>
      </c>
      <c r="S9" s="9" t="s">
        <v>3680</v>
      </c>
      <c r="T9" s="9" t="s">
        <v>4220</v>
      </c>
      <c r="U9" s="9" t="s">
        <v>4873</v>
      </c>
      <c r="V9" s="9" t="s">
        <v>4207</v>
      </c>
      <c r="W9" s="9" t="s">
        <v>1318</v>
      </c>
      <c r="X9" s="9" t="s">
        <v>1220</v>
      </c>
      <c r="Y9" s="9" t="s">
        <v>5057</v>
      </c>
      <c r="Z9" s="9" t="s">
        <v>3555</v>
      </c>
      <c r="AA9" s="9" t="s">
        <v>4427</v>
      </c>
    </row>
    <row r="10" spans="1:27" x14ac:dyDescent="0.25">
      <c r="A10" s="9" t="s">
        <v>5309</v>
      </c>
      <c r="B10" s="9" t="s">
        <v>5337</v>
      </c>
      <c r="C10" s="9" t="s">
        <v>5213</v>
      </c>
      <c r="D10" s="9" t="s">
        <v>4462</v>
      </c>
      <c r="E10" s="9" t="s">
        <v>2173</v>
      </c>
      <c r="F10" s="9" t="s">
        <v>4304</v>
      </c>
      <c r="H10" s="9" t="s">
        <v>1813</v>
      </c>
      <c r="I10" s="9" t="s">
        <v>2845</v>
      </c>
      <c r="J10" s="9" t="s">
        <v>4981</v>
      </c>
      <c r="K10" s="9" t="s">
        <v>1907</v>
      </c>
      <c r="L10" s="9" t="s">
        <v>2391</v>
      </c>
      <c r="M10" s="9" t="s">
        <v>5003</v>
      </c>
      <c r="N10" s="9" t="s">
        <v>4114</v>
      </c>
      <c r="O10" s="9" t="s">
        <v>1083</v>
      </c>
      <c r="P10" s="9" t="s">
        <v>2370</v>
      </c>
      <c r="Q10" s="9" t="s">
        <v>4710</v>
      </c>
      <c r="R10" s="9" t="s">
        <v>3586</v>
      </c>
      <c r="S10" s="9" t="s">
        <v>3417</v>
      </c>
      <c r="T10" s="9" t="s">
        <v>4538</v>
      </c>
      <c r="U10" s="9" t="s">
        <v>4985</v>
      </c>
      <c r="V10" s="9" t="s">
        <v>4201</v>
      </c>
      <c r="W10" s="9" t="s">
        <v>1584</v>
      </c>
      <c r="X10" s="9" t="s">
        <v>1128</v>
      </c>
      <c r="Y10" s="9" t="s">
        <v>2483</v>
      </c>
      <c r="Z10" s="9" t="s">
        <v>1761</v>
      </c>
      <c r="AA10" s="9" t="s">
        <v>4868</v>
      </c>
    </row>
    <row r="11" spans="1:27" x14ac:dyDescent="0.25">
      <c r="A11" s="9" t="s">
        <v>4561</v>
      </c>
      <c r="B11" s="9" t="s">
        <v>5412</v>
      </c>
      <c r="C11" s="9" t="s">
        <v>4475</v>
      </c>
      <c r="D11" s="9" t="s">
        <v>4671</v>
      </c>
      <c r="E11" s="9" t="s">
        <v>1946</v>
      </c>
      <c r="F11" s="9" t="s">
        <v>4578</v>
      </c>
      <c r="H11" s="9" t="s">
        <v>5719</v>
      </c>
      <c r="I11" s="9" t="s">
        <v>2631</v>
      </c>
      <c r="J11" s="9" t="s">
        <v>4188</v>
      </c>
      <c r="K11" s="9" t="s">
        <v>2850</v>
      </c>
      <c r="L11" s="9" t="s">
        <v>3499</v>
      </c>
      <c r="M11" s="9" t="s">
        <v>5672</v>
      </c>
      <c r="N11" s="9" t="s">
        <v>4123</v>
      </c>
      <c r="O11" s="9" t="s">
        <v>3664</v>
      </c>
      <c r="P11" s="9" t="s">
        <v>5328</v>
      </c>
      <c r="Q11" s="9" t="s">
        <v>4696</v>
      </c>
      <c r="R11" s="9" t="s">
        <v>3792</v>
      </c>
      <c r="S11" s="9" t="s">
        <v>530</v>
      </c>
      <c r="T11" s="9" t="s">
        <v>5316</v>
      </c>
      <c r="U11" s="9" t="s">
        <v>5507</v>
      </c>
      <c r="V11" s="9" t="s">
        <v>1869</v>
      </c>
      <c r="W11" s="9" t="s">
        <v>1557</v>
      </c>
      <c r="X11" s="9" t="s">
        <v>1629</v>
      </c>
      <c r="Y11" s="9" t="s">
        <v>5358</v>
      </c>
      <c r="Z11" s="9" t="s">
        <v>3547</v>
      </c>
      <c r="AA11" s="9" t="s">
        <v>5264</v>
      </c>
    </row>
    <row r="12" spans="1:27" x14ac:dyDescent="0.25">
      <c r="A12" s="9" t="s">
        <v>4405</v>
      </c>
      <c r="B12" s="9" t="s">
        <v>5424</v>
      </c>
      <c r="C12" s="9" t="s">
        <v>4257</v>
      </c>
      <c r="D12" s="9" t="s">
        <v>4458</v>
      </c>
      <c r="E12" s="9" t="s">
        <v>2227</v>
      </c>
      <c r="F12" s="9" t="s">
        <v>4366</v>
      </c>
      <c r="H12" s="9" t="s">
        <v>5071</v>
      </c>
      <c r="I12" s="9" t="s">
        <v>2369</v>
      </c>
      <c r="J12" s="9" t="s">
        <v>4447</v>
      </c>
      <c r="K12" s="9" t="s">
        <v>5082</v>
      </c>
      <c r="L12" s="9" t="s">
        <v>2341</v>
      </c>
      <c r="M12" s="9" t="s">
        <v>2939</v>
      </c>
      <c r="N12" s="9" t="s">
        <v>4374</v>
      </c>
      <c r="O12" s="9" t="s">
        <v>5146</v>
      </c>
      <c r="P12" s="9" t="s">
        <v>2371</v>
      </c>
      <c r="Q12" s="9" t="s">
        <v>5653</v>
      </c>
      <c r="R12" s="9" t="s">
        <v>3221</v>
      </c>
      <c r="S12" s="9" t="s">
        <v>3369</v>
      </c>
      <c r="T12" s="9" t="s">
        <v>4259</v>
      </c>
      <c r="U12" s="9" t="s">
        <v>4450</v>
      </c>
      <c r="V12" s="9" t="s">
        <v>1980</v>
      </c>
      <c r="W12" s="9" t="s">
        <v>1227</v>
      </c>
      <c r="X12" s="9" t="s">
        <v>1244</v>
      </c>
      <c r="Y12" s="9" t="s">
        <v>5397</v>
      </c>
      <c r="Z12" s="9" t="s">
        <v>2841</v>
      </c>
      <c r="AA12" s="9" t="s">
        <v>5145</v>
      </c>
    </row>
    <row r="13" spans="1:27" x14ac:dyDescent="0.25">
      <c r="A13" s="9" t="s">
        <v>5267</v>
      </c>
      <c r="B13" s="9" t="s">
        <v>2566</v>
      </c>
      <c r="C13" s="9" t="s">
        <v>5275</v>
      </c>
      <c r="D13" s="9" t="s">
        <v>4436</v>
      </c>
      <c r="E13" s="9" t="s">
        <v>2051</v>
      </c>
      <c r="F13" s="9" t="s">
        <v>4127</v>
      </c>
      <c r="H13" s="9" t="s">
        <v>1863</v>
      </c>
      <c r="I13" s="9" t="s">
        <v>2259</v>
      </c>
      <c r="J13" s="9" t="s">
        <v>4605</v>
      </c>
      <c r="K13" s="9" t="s">
        <v>572</v>
      </c>
      <c r="L13" s="9" t="s">
        <v>3554</v>
      </c>
      <c r="M13" s="9" t="s">
        <v>5594</v>
      </c>
      <c r="N13" s="9" t="s">
        <v>4170</v>
      </c>
      <c r="O13" s="9" t="s">
        <v>2286</v>
      </c>
      <c r="P13" s="9" t="s">
        <v>4130</v>
      </c>
      <c r="Q13" s="9" t="s">
        <v>5301</v>
      </c>
      <c r="R13" s="9" t="s">
        <v>1665</v>
      </c>
      <c r="S13" s="9" t="s">
        <v>1798</v>
      </c>
      <c r="T13" s="9" t="s">
        <v>4095</v>
      </c>
      <c r="U13" s="9" t="s">
        <v>4738</v>
      </c>
      <c r="V13" s="9" t="s">
        <v>4162</v>
      </c>
      <c r="W13" s="9" t="s">
        <v>1206</v>
      </c>
      <c r="X13" s="9" t="s">
        <v>1198</v>
      </c>
      <c r="Y13" s="9" t="s">
        <v>2503</v>
      </c>
      <c r="Z13" s="9" t="s">
        <v>3907</v>
      </c>
      <c r="AA13" s="9" t="s">
        <v>4980</v>
      </c>
    </row>
    <row r="14" spans="1:27" x14ac:dyDescent="0.25">
      <c r="A14" s="9" t="s">
        <v>4800</v>
      </c>
      <c r="B14" s="9" t="s">
        <v>2602</v>
      </c>
      <c r="C14" s="9" t="s">
        <v>4898</v>
      </c>
      <c r="D14" s="9" t="s">
        <v>4448</v>
      </c>
      <c r="E14" s="9" t="s">
        <v>2470</v>
      </c>
      <c r="F14" s="9" t="s">
        <v>4311</v>
      </c>
      <c r="H14" s="9" t="s">
        <v>588</v>
      </c>
      <c r="I14" s="9" t="s">
        <v>2579</v>
      </c>
      <c r="J14" s="9" t="s">
        <v>5282</v>
      </c>
      <c r="K14" s="9" t="s">
        <v>573</v>
      </c>
      <c r="L14" s="9" t="s">
        <v>5720</v>
      </c>
      <c r="M14" s="9" t="s">
        <v>5640</v>
      </c>
      <c r="N14" s="9" t="s">
        <v>4371</v>
      </c>
      <c r="O14" s="9" t="s">
        <v>1952</v>
      </c>
      <c r="P14" s="9" t="s">
        <v>2630</v>
      </c>
      <c r="Q14" s="9" t="s">
        <v>5564</v>
      </c>
      <c r="R14" s="9" t="s">
        <v>3146</v>
      </c>
      <c r="S14" s="9" t="s">
        <v>497</v>
      </c>
      <c r="T14" s="9" t="s">
        <v>4496</v>
      </c>
      <c r="U14" s="9" t="s">
        <v>4452</v>
      </c>
      <c r="V14" s="9" t="s">
        <v>4195</v>
      </c>
      <c r="W14" s="9" t="s">
        <v>1307</v>
      </c>
      <c r="X14" s="9" t="s">
        <v>1469</v>
      </c>
      <c r="Y14" s="9" t="s">
        <v>3519</v>
      </c>
      <c r="Z14" s="9" t="s">
        <v>1557</v>
      </c>
      <c r="AA14" s="9" t="s">
        <v>4594</v>
      </c>
    </row>
    <row r="15" spans="1:27" x14ac:dyDescent="0.25">
      <c r="A15" s="9" t="s">
        <v>4819</v>
      </c>
      <c r="B15" s="9" t="s">
        <v>1000</v>
      </c>
      <c r="C15" s="9" t="s">
        <v>5163</v>
      </c>
      <c r="D15" s="9" t="s">
        <v>5212</v>
      </c>
      <c r="E15" s="9" t="s">
        <v>2467</v>
      </c>
      <c r="F15" s="9" t="s">
        <v>4392</v>
      </c>
      <c r="H15" s="9" t="s">
        <v>3368</v>
      </c>
      <c r="I15" s="9" t="s">
        <v>2877</v>
      </c>
      <c r="J15" s="9" t="s">
        <v>4064</v>
      </c>
      <c r="K15" s="9" t="s">
        <v>1035</v>
      </c>
      <c r="L15" s="9" t="s">
        <v>3363</v>
      </c>
      <c r="M15" s="9" t="s">
        <v>5429</v>
      </c>
      <c r="N15" s="9" t="s">
        <v>4361</v>
      </c>
      <c r="O15" s="9" t="s">
        <v>2340</v>
      </c>
      <c r="P15" s="9" t="s">
        <v>2399</v>
      </c>
      <c r="Q15" s="9" t="s">
        <v>5531</v>
      </c>
      <c r="R15" s="9" t="s">
        <v>3626</v>
      </c>
      <c r="S15" s="9" t="s">
        <v>3525</v>
      </c>
      <c r="T15" s="9" t="s">
        <v>4093</v>
      </c>
      <c r="U15" s="9" t="s">
        <v>4444</v>
      </c>
      <c r="V15" s="9" t="s">
        <v>4173</v>
      </c>
      <c r="W15" s="9" t="s">
        <v>1601</v>
      </c>
      <c r="X15" s="9" t="s">
        <v>1101</v>
      </c>
      <c r="Y15" s="9" t="s">
        <v>5359</v>
      </c>
      <c r="Z15" s="9" t="s">
        <v>1030</v>
      </c>
      <c r="AA15" s="9" t="s">
        <v>4794</v>
      </c>
    </row>
    <row r="16" spans="1:27" x14ac:dyDescent="0.25">
      <c r="A16" s="9" t="s">
        <v>4198</v>
      </c>
      <c r="B16" s="9" t="s">
        <v>723</v>
      </c>
      <c r="C16" s="9" t="s">
        <v>4252</v>
      </c>
      <c r="D16" s="9" t="s">
        <v>4461</v>
      </c>
      <c r="E16" s="9" t="s">
        <v>5232</v>
      </c>
      <c r="F16" s="9" t="s">
        <v>4688</v>
      </c>
      <c r="H16" s="9" t="s">
        <v>3450</v>
      </c>
      <c r="I16" s="9" t="s">
        <v>2976</v>
      </c>
      <c r="J16" s="9" t="s">
        <v>4594</v>
      </c>
      <c r="K16" s="9" t="s">
        <v>3628</v>
      </c>
      <c r="L16" s="9" t="s">
        <v>3550</v>
      </c>
      <c r="M16" s="9" t="s">
        <v>5617</v>
      </c>
      <c r="N16" s="9" t="s">
        <v>4137</v>
      </c>
      <c r="O16" s="9" t="s">
        <v>2174</v>
      </c>
      <c r="P16" s="9" t="s">
        <v>2417</v>
      </c>
      <c r="Q16" s="9" t="s">
        <v>5612</v>
      </c>
      <c r="R16" s="9" t="s">
        <v>3346</v>
      </c>
      <c r="S16" s="9" t="s">
        <v>3119</v>
      </c>
      <c r="T16" s="9" t="s">
        <v>2291</v>
      </c>
      <c r="U16" s="9" t="s">
        <v>2396</v>
      </c>
      <c r="V16" s="9" t="s">
        <v>1886</v>
      </c>
      <c r="W16" s="9" t="s">
        <v>1180</v>
      </c>
      <c r="X16" s="9" t="s">
        <v>580</v>
      </c>
      <c r="Y16" s="9" t="s">
        <v>5083</v>
      </c>
      <c r="Z16" s="9" t="s">
        <v>2998</v>
      </c>
      <c r="AA16" s="9" t="s">
        <v>4410</v>
      </c>
    </row>
    <row r="17" spans="1:27" x14ac:dyDescent="0.25">
      <c r="A17" s="9" t="s">
        <v>4776</v>
      </c>
      <c r="B17" s="9" t="s">
        <v>2358</v>
      </c>
      <c r="C17" s="9" t="s">
        <v>4396</v>
      </c>
      <c r="D17" s="9" t="s">
        <v>4191</v>
      </c>
      <c r="E17" s="9" t="s">
        <v>5584</v>
      </c>
      <c r="F17" s="9" t="s">
        <v>2213</v>
      </c>
      <c r="H17" s="9" t="s">
        <v>3148</v>
      </c>
      <c r="I17" s="9" t="s">
        <v>2696</v>
      </c>
      <c r="J17" s="9" t="s">
        <v>4352</v>
      </c>
      <c r="K17" s="9" t="s">
        <v>574</v>
      </c>
      <c r="L17" s="9" t="s">
        <v>2018</v>
      </c>
      <c r="M17" s="9" t="s">
        <v>5681</v>
      </c>
      <c r="N17" s="9" t="s">
        <v>4217</v>
      </c>
      <c r="O17" s="9" t="s">
        <v>2267</v>
      </c>
      <c r="P17" s="9" t="s">
        <v>5338</v>
      </c>
      <c r="Q17" s="9" t="s">
        <v>5317</v>
      </c>
      <c r="R17" s="9" t="s">
        <v>3278</v>
      </c>
      <c r="S17" s="9" t="s">
        <v>797</v>
      </c>
      <c r="T17" s="9" t="s">
        <v>5106</v>
      </c>
      <c r="U17" s="9" t="s">
        <v>4449</v>
      </c>
      <c r="W17" s="9" t="s">
        <v>1449</v>
      </c>
      <c r="X17" s="9" t="s">
        <v>1371</v>
      </c>
      <c r="Y17" s="9" t="s">
        <v>2504</v>
      </c>
      <c r="Z17" s="9" t="s">
        <v>3507</v>
      </c>
      <c r="AA17" s="9" t="s">
        <v>4608</v>
      </c>
    </row>
    <row r="18" spans="1:27" x14ac:dyDescent="0.25">
      <c r="A18" s="9" t="s">
        <v>4530</v>
      </c>
      <c r="B18" s="9" t="s">
        <v>2568</v>
      </c>
      <c r="C18" s="9" t="s">
        <v>4476</v>
      </c>
      <c r="E18" s="9" t="s">
        <v>3501</v>
      </c>
      <c r="F18" s="9" t="s">
        <v>4387</v>
      </c>
      <c r="H18" s="9" t="s">
        <v>1866</v>
      </c>
      <c r="I18" s="9" t="s">
        <v>2321</v>
      </c>
      <c r="J18" s="9" t="s">
        <v>4390</v>
      </c>
      <c r="K18" s="9" t="s">
        <v>575</v>
      </c>
      <c r="L18" s="9" t="s">
        <v>3916</v>
      </c>
      <c r="M18" s="9" t="s">
        <v>5675</v>
      </c>
      <c r="N18" s="9" t="s">
        <v>5228</v>
      </c>
      <c r="O18" s="9" t="s">
        <v>2224</v>
      </c>
      <c r="P18" s="9" t="s">
        <v>5117</v>
      </c>
      <c r="Q18" s="9" t="s">
        <v>4054</v>
      </c>
      <c r="R18" s="9" t="s">
        <v>1623</v>
      </c>
      <c r="S18" s="9" t="s">
        <v>3102</v>
      </c>
      <c r="T18" s="9" t="s">
        <v>4133</v>
      </c>
      <c r="U18" s="9" t="s">
        <v>5669</v>
      </c>
      <c r="W18" s="9" t="s">
        <v>1174</v>
      </c>
      <c r="X18" s="9" t="s">
        <v>743</v>
      </c>
      <c r="Y18" s="9" t="s">
        <v>2563</v>
      </c>
      <c r="Z18" s="9" t="s">
        <v>2936</v>
      </c>
      <c r="AA18" s="9" t="s">
        <v>4827</v>
      </c>
    </row>
    <row r="19" spans="1:27" x14ac:dyDescent="0.25">
      <c r="A19" s="9" t="s">
        <v>4443</v>
      </c>
      <c r="B19" s="9" t="s">
        <v>2503</v>
      </c>
      <c r="C19" s="9" t="s">
        <v>4282</v>
      </c>
      <c r="E19" s="9" t="s">
        <v>3496</v>
      </c>
      <c r="F19" s="9" t="s">
        <v>4576</v>
      </c>
      <c r="H19" s="9" t="s">
        <v>3262</v>
      </c>
      <c r="I19" s="9" t="s">
        <v>2865</v>
      </c>
      <c r="J19" s="9" t="s">
        <v>4661</v>
      </c>
      <c r="K19" s="9" t="s">
        <v>5166</v>
      </c>
      <c r="L19" s="9" t="s">
        <v>3338</v>
      </c>
      <c r="M19" s="9" t="s">
        <v>4859</v>
      </c>
      <c r="N19" s="9" t="s">
        <v>4100</v>
      </c>
      <c r="O19" s="9" t="s">
        <v>2179</v>
      </c>
      <c r="P19" s="9" t="s">
        <v>2524</v>
      </c>
      <c r="Q19" s="9" t="s">
        <v>4246</v>
      </c>
      <c r="R19" s="9" t="s">
        <v>1948</v>
      </c>
      <c r="S19" s="9" t="s">
        <v>3185</v>
      </c>
      <c r="T19" s="9" t="s">
        <v>4309</v>
      </c>
      <c r="U19" s="9" t="s">
        <v>4766</v>
      </c>
      <c r="W19" s="9" t="s">
        <v>1181</v>
      </c>
      <c r="X19" s="9" t="s">
        <v>3061</v>
      </c>
      <c r="Y19" s="9" t="s">
        <v>5354</v>
      </c>
      <c r="Z19" s="9" t="s">
        <v>3692</v>
      </c>
      <c r="AA19" s="9" t="s">
        <v>4488</v>
      </c>
    </row>
    <row r="20" spans="1:27" x14ac:dyDescent="0.25">
      <c r="A20" s="9" t="s">
        <v>4729</v>
      </c>
      <c r="B20" s="9" t="s">
        <v>2624</v>
      </c>
      <c r="C20" s="9" t="s">
        <v>4265</v>
      </c>
      <c r="E20" s="9" t="s">
        <v>2297</v>
      </c>
      <c r="F20" s="9" t="s">
        <v>5179</v>
      </c>
      <c r="H20" s="9" t="s">
        <v>1812</v>
      </c>
      <c r="I20" s="9" t="s">
        <v>2716</v>
      </c>
      <c r="J20" s="9" t="s">
        <v>4132</v>
      </c>
      <c r="K20" s="9" t="s">
        <v>2583</v>
      </c>
      <c r="L20" s="9" t="s">
        <v>2299</v>
      </c>
      <c r="M20" s="9" t="s">
        <v>4896</v>
      </c>
      <c r="N20" s="9" t="s">
        <v>2167</v>
      </c>
      <c r="O20" s="9" t="s">
        <v>4099</v>
      </c>
      <c r="P20" s="9" t="s">
        <v>2475</v>
      </c>
      <c r="Q20" s="9" t="s">
        <v>5721</v>
      </c>
      <c r="R20" s="9" t="s">
        <v>827</v>
      </c>
      <c r="S20" s="9" t="s">
        <v>3622</v>
      </c>
      <c r="T20" s="9" t="s">
        <v>1517</v>
      </c>
      <c r="U20" s="9" t="s">
        <v>5722</v>
      </c>
      <c r="W20" s="9" t="s">
        <v>1205</v>
      </c>
      <c r="X20" s="9" t="s">
        <v>1424</v>
      </c>
      <c r="Y20" s="9" t="s">
        <v>5420</v>
      </c>
      <c r="Z20" s="9" t="s">
        <v>3901</v>
      </c>
      <c r="AA20" s="9" t="s">
        <v>4869</v>
      </c>
    </row>
    <row r="21" spans="1:27" x14ac:dyDescent="0.25">
      <c r="A21" s="9" t="s">
        <v>4801</v>
      </c>
      <c r="B21" s="9" t="s">
        <v>2603</v>
      </c>
      <c r="C21" s="9" t="s">
        <v>4305</v>
      </c>
      <c r="E21" s="9" t="s">
        <v>2359</v>
      </c>
      <c r="F21" s="9" t="s">
        <v>1326</v>
      </c>
      <c r="H21" s="9" t="s">
        <v>1809</v>
      </c>
      <c r="I21" s="9" t="s">
        <v>3011</v>
      </c>
      <c r="J21" s="9" t="s">
        <v>4851</v>
      </c>
      <c r="K21" s="9" t="s">
        <v>576</v>
      </c>
      <c r="L21" s="9" t="s">
        <v>2358</v>
      </c>
      <c r="M21" s="9" t="s">
        <v>5622</v>
      </c>
      <c r="N21" s="9" t="s">
        <v>4255</v>
      </c>
      <c r="O21" s="9" t="s">
        <v>2275</v>
      </c>
      <c r="P21" s="9" t="s">
        <v>5487</v>
      </c>
      <c r="Q21" s="9" t="s">
        <v>4781</v>
      </c>
      <c r="R21" s="9" t="s">
        <v>836</v>
      </c>
      <c r="S21" s="9" t="s">
        <v>3116</v>
      </c>
      <c r="T21" s="9" t="s">
        <v>2827</v>
      </c>
      <c r="U21" s="9" t="s">
        <v>4743</v>
      </c>
      <c r="W21" s="9" t="s">
        <v>742</v>
      </c>
      <c r="X21" s="9" t="s">
        <v>250</v>
      </c>
      <c r="Y21" s="9" t="s">
        <v>2546</v>
      </c>
      <c r="Z21" s="9" t="s">
        <v>3754</v>
      </c>
      <c r="AA21" s="9" t="s">
        <v>4968</v>
      </c>
    </row>
    <row r="22" spans="1:27" x14ac:dyDescent="0.25">
      <c r="A22" s="9" t="s">
        <v>4673</v>
      </c>
      <c r="B22" s="9" t="s">
        <v>2438</v>
      </c>
      <c r="C22" s="9" t="s">
        <v>4260</v>
      </c>
      <c r="E22" s="9" t="s">
        <v>2027</v>
      </c>
      <c r="F22" s="9" t="s">
        <v>5441</v>
      </c>
      <c r="H22" s="9" t="s">
        <v>570</v>
      </c>
      <c r="I22" s="9" t="s">
        <v>3018</v>
      </c>
      <c r="J22" s="9" t="s">
        <v>4223</v>
      </c>
      <c r="K22" s="9" t="s">
        <v>577</v>
      </c>
      <c r="L22" s="9" t="s">
        <v>3294</v>
      </c>
      <c r="M22" s="9" t="s">
        <v>4969</v>
      </c>
      <c r="N22" s="9" t="s">
        <v>4180</v>
      </c>
      <c r="O22" s="9" t="s">
        <v>2291</v>
      </c>
      <c r="P22" s="9" t="s">
        <v>1981</v>
      </c>
      <c r="Q22" s="9" t="s">
        <v>5201</v>
      </c>
      <c r="R22" s="9" t="s">
        <v>766</v>
      </c>
      <c r="S22" s="9" t="s">
        <v>717</v>
      </c>
      <c r="T22" s="9" t="s">
        <v>4102</v>
      </c>
      <c r="U22" s="9" t="s">
        <v>2702</v>
      </c>
      <c r="W22" s="9" t="s">
        <v>1431</v>
      </c>
      <c r="X22" s="9" t="s">
        <v>1483</v>
      </c>
      <c r="Y22" s="9" t="s">
        <v>2476</v>
      </c>
      <c r="Z22" s="9" t="s">
        <v>3567</v>
      </c>
      <c r="AA22" s="9" t="s">
        <v>4418</v>
      </c>
    </row>
    <row r="23" spans="1:27" x14ac:dyDescent="0.25">
      <c r="A23" s="9" t="s">
        <v>4958</v>
      </c>
      <c r="B23" s="9" t="s">
        <v>5376</v>
      </c>
      <c r="C23" s="9" t="s">
        <v>4503</v>
      </c>
      <c r="E23" s="9" t="s">
        <v>2187</v>
      </c>
      <c r="F23" s="9" t="s">
        <v>5252</v>
      </c>
      <c r="H23" s="9" t="s">
        <v>3487</v>
      </c>
      <c r="I23" s="9" t="s">
        <v>2793</v>
      </c>
      <c r="J23" s="9" t="s">
        <v>4146</v>
      </c>
      <c r="K23" s="9" t="s">
        <v>934</v>
      </c>
      <c r="L23" s="9" t="s">
        <v>3037</v>
      </c>
      <c r="M23" s="9" t="s">
        <v>2402</v>
      </c>
      <c r="N23" s="9" t="s">
        <v>4415</v>
      </c>
      <c r="O23" s="9" t="s">
        <v>2303</v>
      </c>
      <c r="P23" s="9" t="s">
        <v>5373</v>
      </c>
      <c r="Q23" s="9" t="s">
        <v>4733</v>
      </c>
      <c r="R23" s="9" t="s">
        <v>1952</v>
      </c>
      <c r="S23" s="9" t="s">
        <v>3078</v>
      </c>
      <c r="T23" s="9" t="s">
        <v>4184</v>
      </c>
      <c r="U23" s="9" t="s">
        <v>4451</v>
      </c>
      <c r="W23" s="9" t="s">
        <v>1184</v>
      </c>
      <c r="X23" s="9" t="s">
        <v>456</v>
      </c>
      <c r="Y23" s="9" t="s">
        <v>5375</v>
      </c>
      <c r="Z23" s="9" t="s">
        <v>1083</v>
      </c>
      <c r="AA23" s="9" t="s">
        <v>4764</v>
      </c>
    </row>
    <row r="24" spans="1:27" x14ac:dyDescent="0.25">
      <c r="B24" s="9" t="s">
        <v>5104</v>
      </c>
      <c r="C24" s="9" t="s">
        <v>4519</v>
      </c>
      <c r="E24" s="9" t="s">
        <v>5723</v>
      </c>
      <c r="F24" s="9" t="s">
        <v>5304</v>
      </c>
      <c r="H24" s="9" t="s">
        <v>2461</v>
      </c>
      <c r="I24" s="9" t="s">
        <v>5674</v>
      </c>
      <c r="J24" s="9" t="s">
        <v>4300</v>
      </c>
      <c r="K24" s="9" t="s">
        <v>927</v>
      </c>
      <c r="L24" s="9" t="s">
        <v>2388</v>
      </c>
      <c r="M24" s="9" t="s">
        <v>2393</v>
      </c>
      <c r="N24" s="9" t="s">
        <v>2018</v>
      </c>
      <c r="O24" s="9" t="s">
        <v>2032</v>
      </c>
      <c r="P24" s="9" t="s">
        <v>2435</v>
      </c>
      <c r="Q24" s="9" t="s">
        <v>4760</v>
      </c>
      <c r="R24" s="9" t="s">
        <v>509</v>
      </c>
      <c r="S24" s="9" t="s">
        <v>3233</v>
      </c>
      <c r="T24" s="9" t="s">
        <v>5535</v>
      </c>
      <c r="U24" s="9" t="s">
        <v>5280</v>
      </c>
      <c r="W24" s="9" t="s">
        <v>1292</v>
      </c>
      <c r="X24" s="9" t="s">
        <v>1394</v>
      </c>
      <c r="Y24" s="9" t="s">
        <v>5360</v>
      </c>
      <c r="Z24" s="9" t="s">
        <v>958</v>
      </c>
      <c r="AA24" s="9" t="s">
        <v>5221</v>
      </c>
    </row>
    <row r="25" spans="1:27" x14ac:dyDescent="0.25">
      <c r="B25" s="9" t="s">
        <v>5077</v>
      </c>
      <c r="C25" s="9" t="s">
        <v>4145</v>
      </c>
      <c r="E25" s="9" t="s">
        <v>2534</v>
      </c>
      <c r="F25" s="9" t="s">
        <v>4286</v>
      </c>
      <c r="H25" s="9" t="s">
        <v>3493</v>
      </c>
      <c r="I25" s="9" t="s">
        <v>2648</v>
      </c>
      <c r="J25" s="9" t="s">
        <v>4912</v>
      </c>
      <c r="K25" s="9" t="s">
        <v>578</v>
      </c>
      <c r="L25" s="9" t="s">
        <v>2926</v>
      </c>
      <c r="M25" s="9" t="s">
        <v>2390</v>
      </c>
      <c r="N25" s="9" t="s">
        <v>4204</v>
      </c>
      <c r="O25" s="9" t="s">
        <v>2247</v>
      </c>
      <c r="P25" s="9" t="s">
        <v>530</v>
      </c>
      <c r="Q25" s="9" t="s">
        <v>4597</v>
      </c>
      <c r="R25" s="9" t="s">
        <v>769</v>
      </c>
      <c r="S25" s="9" t="s">
        <v>3285</v>
      </c>
      <c r="T25" s="9" t="s">
        <v>5169</v>
      </c>
      <c r="U25" s="9" t="s">
        <v>2638</v>
      </c>
      <c r="W25" s="9" t="s">
        <v>1598</v>
      </c>
      <c r="X25" s="9" t="s">
        <v>1333</v>
      </c>
      <c r="Y25" s="9" t="s">
        <v>2554</v>
      </c>
      <c r="Z25" s="9" t="s">
        <v>4041</v>
      </c>
      <c r="AA25" s="9" t="s">
        <v>4413</v>
      </c>
    </row>
    <row r="26" spans="1:27" x14ac:dyDescent="0.25">
      <c r="B26" s="9" t="s">
        <v>5331</v>
      </c>
      <c r="C26" s="9" t="s">
        <v>4584</v>
      </c>
      <c r="E26" s="9" t="s">
        <v>2231</v>
      </c>
      <c r="F26" s="9" t="s">
        <v>2119</v>
      </c>
      <c r="H26" s="9" t="s">
        <v>1911</v>
      </c>
      <c r="I26" s="9" t="s">
        <v>2790</v>
      </c>
      <c r="J26" s="9" t="s">
        <v>5270</v>
      </c>
      <c r="K26" s="9" t="s">
        <v>1997</v>
      </c>
      <c r="L26" s="9" t="s">
        <v>3646</v>
      </c>
      <c r="M26" s="9" t="s">
        <v>4878</v>
      </c>
      <c r="N26" s="9" t="s">
        <v>4338</v>
      </c>
      <c r="O26" s="9" t="s">
        <v>5024</v>
      </c>
      <c r="P26" s="9" t="s">
        <v>2018</v>
      </c>
      <c r="Q26" s="9" t="s">
        <v>5452</v>
      </c>
      <c r="R26" s="9" t="s">
        <v>3436</v>
      </c>
      <c r="S26" s="9" t="s">
        <v>3301</v>
      </c>
      <c r="T26" s="9" t="s">
        <v>4120</v>
      </c>
      <c r="U26" s="9" t="s">
        <v>5724</v>
      </c>
      <c r="W26" s="9" t="s">
        <v>1110</v>
      </c>
      <c r="X26" s="9" t="s">
        <v>1326</v>
      </c>
      <c r="Y26" s="9" t="s">
        <v>5121</v>
      </c>
      <c r="Z26" s="9" t="s">
        <v>1021</v>
      </c>
      <c r="AA26" s="9" t="s">
        <v>4415</v>
      </c>
    </row>
    <row r="27" spans="1:27" x14ac:dyDescent="0.25">
      <c r="B27" s="9" t="s">
        <v>2625</v>
      </c>
      <c r="C27" s="9" t="s">
        <v>3170</v>
      </c>
      <c r="E27" s="9" t="s">
        <v>4277</v>
      </c>
      <c r="F27" s="9" t="s">
        <v>4674</v>
      </c>
      <c r="H27" s="9" t="s">
        <v>1857</v>
      </c>
      <c r="I27" s="9" t="s">
        <v>3012</v>
      </c>
      <c r="J27" s="9" t="s">
        <v>4803</v>
      </c>
      <c r="K27" s="9" t="s">
        <v>495</v>
      </c>
      <c r="L27" s="9" t="s">
        <v>3048</v>
      </c>
      <c r="M27" s="9" t="s">
        <v>2551</v>
      </c>
      <c r="N27" s="9" t="s">
        <v>4818</v>
      </c>
      <c r="O27" s="9" t="s">
        <v>2167</v>
      </c>
      <c r="P27" s="9" t="s">
        <v>2418</v>
      </c>
      <c r="Q27" s="9" t="s">
        <v>4815</v>
      </c>
      <c r="R27" s="9" t="s">
        <v>3259</v>
      </c>
      <c r="S27" s="9" t="s">
        <v>3156</v>
      </c>
      <c r="T27" s="9" t="s">
        <v>2185</v>
      </c>
      <c r="U27" s="9" t="s">
        <v>4917</v>
      </c>
      <c r="W27" s="9" t="s">
        <v>1383</v>
      </c>
      <c r="X27" s="9" t="s">
        <v>1423</v>
      </c>
      <c r="Y27" s="9" t="s">
        <v>5370</v>
      </c>
      <c r="Z27" s="9" t="s">
        <v>987</v>
      </c>
      <c r="AA27" s="9" t="s">
        <v>4433</v>
      </c>
    </row>
    <row r="28" spans="1:27" x14ac:dyDescent="0.25">
      <c r="B28" s="9" t="s">
        <v>2601</v>
      </c>
      <c r="C28" s="9" t="s">
        <v>5242</v>
      </c>
      <c r="E28" s="9" t="s">
        <v>1906</v>
      </c>
      <c r="F28" s="9" t="s">
        <v>2348</v>
      </c>
      <c r="H28" s="9" t="s">
        <v>3084</v>
      </c>
      <c r="I28" s="9" t="s">
        <v>5636</v>
      </c>
      <c r="J28" s="9" t="s">
        <v>4074</v>
      </c>
      <c r="K28" s="9" t="s">
        <v>903</v>
      </c>
      <c r="L28" s="9" t="s">
        <v>2351</v>
      </c>
      <c r="M28" s="9" t="s">
        <v>4463</v>
      </c>
      <c r="N28" s="9" t="s">
        <v>4225</v>
      </c>
      <c r="O28" s="9" t="s">
        <v>4499</v>
      </c>
      <c r="P28" s="9" t="s">
        <v>2827</v>
      </c>
      <c r="Q28" s="9" t="s">
        <v>5538</v>
      </c>
      <c r="R28" s="9" t="s">
        <v>3638</v>
      </c>
      <c r="S28" s="9" t="s">
        <v>516</v>
      </c>
      <c r="T28" s="9" t="s">
        <v>4533</v>
      </c>
      <c r="U28" s="9" t="s">
        <v>4633</v>
      </c>
      <c r="W28" s="9" t="s">
        <v>1475</v>
      </c>
      <c r="X28" s="9" t="s">
        <v>3073</v>
      </c>
      <c r="Y28" s="9" t="s">
        <v>5027</v>
      </c>
      <c r="Z28" s="9" t="s">
        <v>3655</v>
      </c>
      <c r="AA28" s="9" t="s">
        <v>4964</v>
      </c>
    </row>
    <row r="29" spans="1:27" x14ac:dyDescent="0.25">
      <c r="B29" s="9" t="s">
        <v>1922</v>
      </c>
      <c r="C29" s="9" t="s">
        <v>5378</v>
      </c>
      <c r="E29" s="9" t="s">
        <v>2049</v>
      </c>
      <c r="F29" s="9" t="s">
        <v>4103</v>
      </c>
      <c r="H29" s="9" t="s">
        <v>3520</v>
      </c>
      <c r="I29" s="9" t="s">
        <v>2944</v>
      </c>
      <c r="J29" s="9" t="s">
        <v>4740</v>
      </c>
      <c r="K29" s="9" t="s">
        <v>548</v>
      </c>
      <c r="L29" s="9" t="s">
        <v>5194</v>
      </c>
      <c r="M29" s="9" t="s">
        <v>4937</v>
      </c>
      <c r="N29" s="9" t="s">
        <v>4205</v>
      </c>
      <c r="O29" s="9" t="s">
        <v>4511</v>
      </c>
      <c r="P29" s="9" t="s">
        <v>2442</v>
      </c>
      <c r="Q29" s="9" t="s">
        <v>5404</v>
      </c>
      <c r="R29" s="9" t="s">
        <v>3304</v>
      </c>
      <c r="S29" s="9" t="s">
        <v>1836</v>
      </c>
      <c r="T29" s="9" t="s">
        <v>4203</v>
      </c>
      <c r="U29" s="9" t="s">
        <v>4861</v>
      </c>
      <c r="W29" s="9" t="s">
        <v>3070</v>
      </c>
      <c r="X29" s="9" t="s">
        <v>1386</v>
      </c>
      <c r="Y29" s="9" t="s">
        <v>5155</v>
      </c>
      <c r="Z29" s="9" t="s">
        <v>3664</v>
      </c>
      <c r="AA29" s="9" t="s">
        <v>4765</v>
      </c>
    </row>
    <row r="30" spans="1:27" x14ac:dyDescent="0.25">
      <c r="B30" s="9" t="s">
        <v>2562</v>
      </c>
      <c r="C30" s="9" t="s">
        <v>4292</v>
      </c>
      <c r="E30" s="9" t="s">
        <v>2132</v>
      </c>
      <c r="F30" s="9" t="s">
        <v>4328</v>
      </c>
      <c r="H30" s="9" t="s">
        <v>1920</v>
      </c>
      <c r="I30" s="9" t="s">
        <v>2828</v>
      </c>
      <c r="J30" s="9" t="s">
        <v>5385</v>
      </c>
      <c r="K30" s="9" t="s">
        <v>1015</v>
      </c>
      <c r="L30" s="9" t="s">
        <v>3364</v>
      </c>
      <c r="M30" s="9" t="s">
        <v>5227</v>
      </c>
      <c r="N30" s="9" t="s">
        <v>4284</v>
      </c>
      <c r="O30" s="9" t="s">
        <v>5401</v>
      </c>
      <c r="P30" s="9" t="s">
        <v>5018</v>
      </c>
      <c r="Q30" s="9" t="s">
        <v>4769</v>
      </c>
      <c r="R30" s="9" t="s">
        <v>451</v>
      </c>
      <c r="S30" s="9" t="s">
        <v>466</v>
      </c>
      <c r="T30" s="9" t="s">
        <v>4108</v>
      </c>
      <c r="U30" s="9" t="s">
        <v>5725</v>
      </c>
      <c r="W30" s="9" t="s">
        <v>1662</v>
      </c>
      <c r="X30" s="9" t="s">
        <v>1421</v>
      </c>
      <c r="Y30" s="9" t="s">
        <v>5368</v>
      </c>
      <c r="Z30" s="9" t="s">
        <v>5726</v>
      </c>
      <c r="AA30" s="9" t="s">
        <v>1264</v>
      </c>
    </row>
    <row r="31" spans="1:27" x14ac:dyDescent="0.25">
      <c r="B31" s="9" t="s">
        <v>5050</v>
      </c>
      <c r="C31" s="9" t="s">
        <v>4636</v>
      </c>
      <c r="E31" s="9" t="s">
        <v>4732</v>
      </c>
      <c r="F31" s="9" t="s">
        <v>5219</v>
      </c>
      <c r="H31" s="9" t="s">
        <v>3420</v>
      </c>
      <c r="I31" s="9" t="s">
        <v>5678</v>
      </c>
      <c r="J31" s="9" t="s">
        <v>5229</v>
      </c>
      <c r="K31" s="9" t="s">
        <v>579</v>
      </c>
      <c r="L31" s="9" t="s">
        <v>3484</v>
      </c>
      <c r="M31" s="9" t="s">
        <v>4938</v>
      </c>
      <c r="N31" s="9" t="s">
        <v>4051</v>
      </c>
      <c r="O31" s="9" t="s">
        <v>2233</v>
      </c>
      <c r="P31" s="9" t="s">
        <v>2852</v>
      </c>
      <c r="Q31" s="9" t="s">
        <v>3708</v>
      </c>
      <c r="R31" s="9" t="s">
        <v>2341</v>
      </c>
      <c r="S31" s="9" t="s">
        <v>3091</v>
      </c>
      <c r="T31" s="9" t="s">
        <v>4322</v>
      </c>
      <c r="U31" s="9" t="s">
        <v>4628</v>
      </c>
      <c r="W31" s="9" t="s">
        <v>1757</v>
      </c>
      <c r="X31" s="9" t="s">
        <v>3144</v>
      </c>
      <c r="Y31" s="9" t="s">
        <v>5727</v>
      </c>
      <c r="Z31" s="9" t="s">
        <v>1788</v>
      </c>
      <c r="AA31" s="9" t="s">
        <v>4539</v>
      </c>
    </row>
    <row r="32" spans="1:27" x14ac:dyDescent="0.25">
      <c r="B32" s="9" t="s">
        <v>5388</v>
      </c>
      <c r="C32" s="9" t="s">
        <v>3602</v>
      </c>
      <c r="E32" s="9" t="s">
        <v>2195</v>
      </c>
      <c r="F32" s="9" t="s">
        <v>5481</v>
      </c>
      <c r="H32" s="9" t="s">
        <v>1815</v>
      </c>
      <c r="I32" s="9" t="s">
        <v>2502</v>
      </c>
      <c r="J32" s="9" t="s">
        <v>4285</v>
      </c>
      <c r="K32" s="9" t="s">
        <v>2047</v>
      </c>
      <c r="L32" s="9" t="s">
        <v>3192</v>
      </c>
      <c r="M32" s="9" t="s">
        <v>4639</v>
      </c>
      <c r="N32" s="9" t="s">
        <v>4243</v>
      </c>
      <c r="O32" s="9" t="s">
        <v>1517</v>
      </c>
      <c r="P32" s="9" t="s">
        <v>5350</v>
      </c>
      <c r="Q32" s="9" t="s">
        <v>1517</v>
      </c>
      <c r="R32" s="9" t="s">
        <v>3155</v>
      </c>
      <c r="S32" s="9" t="s">
        <v>3229</v>
      </c>
      <c r="T32" s="9" t="s">
        <v>2228</v>
      </c>
      <c r="U32" s="9" t="s">
        <v>2700</v>
      </c>
      <c r="W32" s="9" t="s">
        <v>1258</v>
      </c>
      <c r="X32" s="9" t="s">
        <v>5728</v>
      </c>
      <c r="Y32" s="9" t="s">
        <v>5382</v>
      </c>
      <c r="Z32" s="9" t="s">
        <v>1057</v>
      </c>
      <c r="AA32" s="9" t="s">
        <v>5007</v>
      </c>
    </row>
    <row r="33" spans="2:27" x14ac:dyDescent="0.25">
      <c r="B33" s="9" t="s">
        <v>5416</v>
      </c>
      <c r="C33" s="9" t="s">
        <v>3611</v>
      </c>
      <c r="E33" s="9" t="s">
        <v>3531</v>
      </c>
      <c r="F33" s="9" t="s">
        <v>4347</v>
      </c>
      <c r="H33" s="9" t="s">
        <v>3483</v>
      </c>
      <c r="I33" s="9" t="s">
        <v>2709</v>
      </c>
      <c r="J33" s="9" t="s">
        <v>4860</v>
      </c>
      <c r="K33" s="9" t="s">
        <v>580</v>
      </c>
      <c r="L33" s="9" t="s">
        <v>3515</v>
      </c>
      <c r="M33" s="9" t="s">
        <v>4885</v>
      </c>
      <c r="N33" s="9" t="s">
        <v>4194</v>
      </c>
      <c r="O33" s="9" t="s">
        <v>592</v>
      </c>
      <c r="P33" s="9" t="s">
        <v>5244</v>
      </c>
      <c r="Q33" s="9" t="s">
        <v>4683</v>
      </c>
      <c r="R33" s="9" t="s">
        <v>3615</v>
      </c>
      <c r="S33" s="9" t="s">
        <v>3275</v>
      </c>
      <c r="T33" s="9" t="s">
        <v>4559</v>
      </c>
      <c r="U33" s="9" t="s">
        <v>4722</v>
      </c>
      <c r="W33" s="9" t="s">
        <v>1502</v>
      </c>
      <c r="X33" s="9" t="s">
        <v>1381</v>
      </c>
      <c r="Y33" s="9" t="s">
        <v>5051</v>
      </c>
      <c r="Z33" s="9" t="s">
        <v>3733</v>
      </c>
      <c r="AA33" s="9" t="s">
        <v>4945</v>
      </c>
    </row>
    <row r="34" spans="2:27" x14ac:dyDescent="0.25">
      <c r="B34" s="9" t="s">
        <v>2572</v>
      </c>
      <c r="C34" s="9" t="s">
        <v>4226</v>
      </c>
      <c r="E34" s="9" t="s">
        <v>5592</v>
      </c>
      <c r="F34" s="9" t="s">
        <v>5253</v>
      </c>
      <c r="H34" s="9" t="s">
        <v>1950</v>
      </c>
      <c r="I34" s="9" t="s">
        <v>5663</v>
      </c>
      <c r="J34" s="9" t="s">
        <v>4222</v>
      </c>
      <c r="K34" s="9" t="s">
        <v>1844</v>
      </c>
      <c r="L34" s="9" t="s">
        <v>3072</v>
      </c>
      <c r="M34" s="9" t="s">
        <v>4853</v>
      </c>
      <c r="N34" s="9" t="s">
        <v>4335</v>
      </c>
      <c r="O34" s="9" t="s">
        <v>2578</v>
      </c>
      <c r="P34" s="9" t="s">
        <v>1264</v>
      </c>
      <c r="Q34" s="9" t="s">
        <v>5659</v>
      </c>
      <c r="R34" s="9" t="s">
        <v>1367</v>
      </c>
      <c r="S34" s="9" t="s">
        <v>3318</v>
      </c>
      <c r="T34" s="9" t="s">
        <v>4546</v>
      </c>
      <c r="U34" s="9" t="s">
        <v>5490</v>
      </c>
      <c r="W34" s="9" t="s">
        <v>1719</v>
      </c>
      <c r="X34" s="9" t="s">
        <v>1366</v>
      </c>
      <c r="Y34" s="9" t="s">
        <v>5342</v>
      </c>
      <c r="Z34" s="9" t="s">
        <v>900</v>
      </c>
      <c r="AA34" s="9" t="s">
        <v>4784</v>
      </c>
    </row>
    <row r="35" spans="2:27" x14ac:dyDescent="0.25">
      <c r="B35" s="9" t="s">
        <v>2598</v>
      </c>
      <c r="C35" s="9" t="s">
        <v>4248</v>
      </c>
      <c r="E35" s="9" t="s">
        <v>822</v>
      </c>
      <c r="F35" s="9" t="s">
        <v>4401</v>
      </c>
      <c r="H35" s="9" t="s">
        <v>3466</v>
      </c>
      <c r="I35" s="9" t="s">
        <v>3358</v>
      </c>
      <c r="J35" s="9" t="s">
        <v>530</v>
      </c>
      <c r="K35" s="9" t="s">
        <v>3295</v>
      </c>
      <c r="L35" s="9" t="s">
        <v>3342</v>
      </c>
      <c r="M35" s="9" t="s">
        <v>3056</v>
      </c>
      <c r="N35" s="9" t="s">
        <v>3309</v>
      </c>
      <c r="O35" s="9" t="s">
        <v>3023</v>
      </c>
      <c r="P35" s="9" t="s">
        <v>324</v>
      </c>
      <c r="Q35" s="9" t="s">
        <v>4775</v>
      </c>
      <c r="R35" s="9" t="s">
        <v>5729</v>
      </c>
      <c r="S35" s="9" t="s">
        <v>826</v>
      </c>
      <c r="T35" s="9" t="s">
        <v>4569</v>
      </c>
      <c r="U35" s="9" t="s">
        <v>5246</v>
      </c>
      <c r="W35" s="9" t="s">
        <v>1136</v>
      </c>
      <c r="X35" s="9" t="s">
        <v>3092</v>
      </c>
      <c r="Y35" s="9" t="s">
        <v>5381</v>
      </c>
      <c r="Z35" s="9" t="s">
        <v>3871</v>
      </c>
      <c r="AA35" s="9" t="s">
        <v>4792</v>
      </c>
    </row>
    <row r="36" spans="2:27" x14ac:dyDescent="0.25">
      <c r="B36" s="9" t="s">
        <v>5384</v>
      </c>
      <c r="C36" s="9" t="s">
        <v>4705</v>
      </c>
      <c r="E36" s="9" t="s">
        <v>2307</v>
      </c>
      <c r="F36" s="9" t="s">
        <v>4394</v>
      </c>
      <c r="H36" s="9" t="s">
        <v>2542</v>
      </c>
      <c r="I36" s="9" t="s">
        <v>2758</v>
      </c>
      <c r="J36" s="9" t="s">
        <v>4384</v>
      </c>
      <c r="K36" s="9" t="s">
        <v>2836</v>
      </c>
      <c r="L36" s="9" t="s">
        <v>2355</v>
      </c>
      <c r="M36" s="9" t="s">
        <v>4897</v>
      </c>
      <c r="N36" s="9" t="s">
        <v>4294</v>
      </c>
      <c r="O36" s="9" t="s">
        <v>2276</v>
      </c>
      <c r="P36" s="9" t="s">
        <v>1998</v>
      </c>
      <c r="Q36" s="9" t="s">
        <v>4840</v>
      </c>
      <c r="R36" s="9" t="s">
        <v>1796</v>
      </c>
      <c r="S36" s="9" t="s">
        <v>3154</v>
      </c>
      <c r="T36" s="9" t="s">
        <v>4599</v>
      </c>
      <c r="U36" s="9" t="s">
        <v>4936</v>
      </c>
      <c r="W36" s="9" t="s">
        <v>3601</v>
      </c>
      <c r="X36" s="9" t="s">
        <v>1723</v>
      </c>
      <c r="Y36" s="9" t="s">
        <v>2498</v>
      </c>
      <c r="Z36" s="9" t="s">
        <v>959</v>
      </c>
      <c r="AA36" s="9" t="s">
        <v>1685</v>
      </c>
    </row>
    <row r="37" spans="2:27" x14ac:dyDescent="0.25">
      <c r="B37" s="9" t="s">
        <v>2606</v>
      </c>
      <c r="C37" s="9" t="s">
        <v>4274</v>
      </c>
      <c r="E37" s="9" t="s">
        <v>2528</v>
      </c>
      <c r="F37" s="9" t="s">
        <v>2319</v>
      </c>
      <c r="H37" s="9" t="s">
        <v>1873</v>
      </c>
      <c r="I37" s="9" t="s">
        <v>4470</v>
      </c>
      <c r="J37" s="9" t="s">
        <v>4808</v>
      </c>
      <c r="K37" s="9" t="s">
        <v>581</v>
      </c>
      <c r="L37" s="9" t="s">
        <v>3274</v>
      </c>
      <c r="M37" s="9" t="s">
        <v>5730</v>
      </c>
      <c r="N37" s="9" t="s">
        <v>4336</v>
      </c>
      <c r="O37" s="9" t="s">
        <v>4500</v>
      </c>
      <c r="P37" s="9" t="s">
        <v>3284</v>
      </c>
      <c r="Q37" s="9" t="s">
        <v>4604</v>
      </c>
      <c r="R37" s="9" t="s">
        <v>809</v>
      </c>
      <c r="S37" s="9" t="s">
        <v>3277</v>
      </c>
      <c r="T37" s="9" t="s">
        <v>4590</v>
      </c>
      <c r="U37" s="9" t="s">
        <v>5286</v>
      </c>
      <c r="W37" s="9" t="s">
        <v>1746</v>
      </c>
      <c r="X37" s="9" t="s">
        <v>1390</v>
      </c>
      <c r="Y37" s="9" t="s">
        <v>5028</v>
      </c>
      <c r="Z37" s="9" t="s">
        <v>3636</v>
      </c>
      <c r="AA37" s="9" t="s">
        <v>4791</v>
      </c>
    </row>
    <row r="38" spans="2:27" x14ac:dyDescent="0.25">
      <c r="B38" s="9" t="s">
        <v>5408</v>
      </c>
      <c r="C38" s="9" t="s">
        <v>4253</v>
      </c>
      <c r="E38" s="9" t="s">
        <v>5285</v>
      </c>
      <c r="F38" s="9" t="s">
        <v>4716</v>
      </c>
      <c r="H38" s="9" t="s">
        <v>3663</v>
      </c>
      <c r="I38" s="9" t="s">
        <v>2849</v>
      </c>
      <c r="J38" s="9" t="s">
        <v>5561</v>
      </c>
      <c r="K38" s="9" t="s">
        <v>5403</v>
      </c>
      <c r="L38" s="9" t="s">
        <v>3445</v>
      </c>
      <c r="M38" s="9" t="s">
        <v>5002</v>
      </c>
      <c r="N38" s="9" t="s">
        <v>4111</v>
      </c>
      <c r="O38" s="9" t="s">
        <v>4522</v>
      </c>
      <c r="P38" s="9" t="s">
        <v>5074</v>
      </c>
      <c r="Q38" s="9" t="s">
        <v>4663</v>
      </c>
      <c r="R38" s="9" t="s">
        <v>588</v>
      </c>
      <c r="S38" s="9" t="s">
        <v>3202</v>
      </c>
      <c r="T38" s="9" t="s">
        <v>2166</v>
      </c>
      <c r="U38" s="9" t="s">
        <v>4454</v>
      </c>
      <c r="W38" s="9" t="s">
        <v>1166</v>
      </c>
      <c r="X38" s="9" t="s">
        <v>1382</v>
      </c>
      <c r="Y38" s="9" t="s">
        <v>5352</v>
      </c>
      <c r="Z38" s="9" t="s">
        <v>3767</v>
      </c>
      <c r="AA38" s="9" t="s">
        <v>5224</v>
      </c>
    </row>
    <row r="39" spans="2:27" x14ac:dyDescent="0.25">
      <c r="B39" s="9" t="s">
        <v>5377</v>
      </c>
      <c r="C39" s="9" t="s">
        <v>4306</v>
      </c>
      <c r="E39" s="9" t="s">
        <v>5682</v>
      </c>
      <c r="F39" s="9" t="s">
        <v>5220</v>
      </c>
      <c r="H39" s="9" t="s">
        <v>3403</v>
      </c>
      <c r="I39" s="9" t="s">
        <v>5647</v>
      </c>
      <c r="J39" s="9" t="s">
        <v>4411</v>
      </c>
      <c r="K39" s="9" t="s">
        <v>2324</v>
      </c>
      <c r="L39" s="9" t="s">
        <v>3122</v>
      </c>
      <c r="M39" s="9" t="s">
        <v>5588</v>
      </c>
      <c r="N39" s="9" t="s">
        <v>4071</v>
      </c>
      <c r="O39" s="9" t="s">
        <v>5014</v>
      </c>
      <c r="P39" s="9" t="s">
        <v>2379</v>
      </c>
      <c r="Q39" s="9" t="s">
        <v>5318</v>
      </c>
      <c r="R39" s="9" t="s">
        <v>3137</v>
      </c>
      <c r="S39" s="9" t="s">
        <v>3191</v>
      </c>
      <c r="T39" s="9" t="s">
        <v>5097</v>
      </c>
      <c r="U39" s="9" t="s">
        <v>4329</v>
      </c>
      <c r="W39" s="9" t="s">
        <v>437</v>
      </c>
      <c r="X39" s="9" t="s">
        <v>480</v>
      </c>
      <c r="Y39" s="9" t="s">
        <v>5346</v>
      </c>
      <c r="Z39" s="9" t="s">
        <v>3716</v>
      </c>
      <c r="AA39" s="9" t="s">
        <v>4414</v>
      </c>
    </row>
    <row r="40" spans="2:27" x14ac:dyDescent="0.25">
      <c r="B40" s="9" t="s">
        <v>5091</v>
      </c>
      <c r="C40" s="9" t="s">
        <v>4550</v>
      </c>
      <c r="E40" s="9" t="s">
        <v>2502</v>
      </c>
      <c r="F40" s="9" t="s">
        <v>5492</v>
      </c>
      <c r="H40" s="9" t="s">
        <v>1868</v>
      </c>
      <c r="I40" s="9" t="s">
        <v>2899</v>
      </c>
      <c r="J40" s="9" t="s">
        <v>5308</v>
      </c>
      <c r="K40" s="9" t="s">
        <v>582</v>
      </c>
      <c r="L40" s="9" t="s">
        <v>2801</v>
      </c>
      <c r="M40" s="9" t="s">
        <v>5646</v>
      </c>
      <c r="N40" s="9" t="s">
        <v>5260</v>
      </c>
      <c r="O40" s="9" t="s">
        <v>5192</v>
      </c>
      <c r="P40" s="9" t="s">
        <v>5012</v>
      </c>
      <c r="Q40" s="9" t="s">
        <v>4640</v>
      </c>
      <c r="R40" s="9" t="s">
        <v>748</v>
      </c>
      <c r="S40" s="9" t="s">
        <v>543</v>
      </c>
      <c r="T40" s="9" t="s">
        <v>4197</v>
      </c>
      <c r="U40" s="9" t="s">
        <v>4887</v>
      </c>
      <c r="W40" s="9" t="s">
        <v>1346</v>
      </c>
      <c r="X40" s="9" t="s">
        <v>3066</v>
      </c>
      <c r="Y40" s="9" t="s">
        <v>2509</v>
      </c>
      <c r="Z40" s="9" t="s">
        <v>4024</v>
      </c>
      <c r="AA40" s="9" t="s">
        <v>4428</v>
      </c>
    </row>
    <row r="41" spans="2:27" x14ac:dyDescent="0.25">
      <c r="B41" s="9" t="s">
        <v>5392</v>
      </c>
      <c r="C41" s="9" t="s">
        <v>4230</v>
      </c>
      <c r="E41" s="9" t="s">
        <v>2036</v>
      </c>
      <c r="F41" s="9" t="s">
        <v>4355</v>
      </c>
      <c r="H41" s="9" t="s">
        <v>3415</v>
      </c>
      <c r="I41" s="9" t="s">
        <v>4728</v>
      </c>
      <c r="J41" s="9" t="s">
        <v>4919</v>
      </c>
      <c r="K41" s="9" t="s">
        <v>3314</v>
      </c>
      <c r="L41" s="9" t="s">
        <v>3528</v>
      </c>
      <c r="M41" s="9" t="s">
        <v>5643</v>
      </c>
      <c r="N41" s="9" t="s">
        <v>4362</v>
      </c>
      <c r="O41" s="9" t="s">
        <v>4069</v>
      </c>
      <c r="P41" s="9" t="s">
        <v>2451</v>
      </c>
      <c r="Q41" s="9" t="s">
        <v>5658</v>
      </c>
      <c r="R41" s="9" t="s">
        <v>3112</v>
      </c>
      <c r="S41" s="9" t="s">
        <v>1962</v>
      </c>
      <c r="T41" s="9" t="s">
        <v>5307</v>
      </c>
      <c r="U41" s="9" t="s">
        <v>4941</v>
      </c>
      <c r="W41" s="9" t="s">
        <v>1367</v>
      </c>
      <c r="X41" s="9" t="s">
        <v>1201</v>
      </c>
      <c r="Y41" s="9" t="s">
        <v>2527</v>
      </c>
      <c r="Z41" s="9" t="s">
        <v>3536</v>
      </c>
      <c r="AA41" s="9" t="s">
        <v>4506</v>
      </c>
    </row>
    <row r="42" spans="2:27" x14ac:dyDescent="0.25">
      <c r="B42" s="9" t="s">
        <v>5035</v>
      </c>
      <c r="C42" s="9" t="s">
        <v>4453</v>
      </c>
      <c r="E42" s="9" t="s">
        <v>3482</v>
      </c>
      <c r="F42" s="9" t="s">
        <v>435</v>
      </c>
      <c r="H42" s="9" t="s">
        <v>1803</v>
      </c>
      <c r="I42" s="9" t="s">
        <v>2691</v>
      </c>
      <c r="J42" s="9" t="s">
        <v>4407</v>
      </c>
      <c r="K42" s="9" t="s">
        <v>2970</v>
      </c>
      <c r="L42" s="9" t="s">
        <v>3630</v>
      </c>
      <c r="M42" s="9" t="s">
        <v>5626</v>
      </c>
      <c r="N42" s="9" t="s">
        <v>5257</v>
      </c>
      <c r="O42" s="9" t="s">
        <v>5434</v>
      </c>
      <c r="P42" s="9" t="s">
        <v>439</v>
      </c>
      <c r="Q42" s="9" t="s">
        <v>4691</v>
      </c>
      <c r="R42" s="9" t="s">
        <v>319</v>
      </c>
      <c r="S42" s="9" t="s">
        <v>1850</v>
      </c>
      <c r="T42" s="9" t="s">
        <v>4232</v>
      </c>
      <c r="U42" s="9" t="s">
        <v>4823</v>
      </c>
      <c r="W42" s="9" t="s">
        <v>1576</v>
      </c>
      <c r="X42" s="9" t="s">
        <v>354</v>
      </c>
      <c r="Y42" s="9" t="s">
        <v>5049</v>
      </c>
      <c r="Z42" s="9" t="s">
        <v>867</v>
      </c>
      <c r="AA42" s="9" t="s">
        <v>4626</v>
      </c>
    </row>
    <row r="43" spans="2:27" x14ac:dyDescent="0.25">
      <c r="B43" s="9" t="s">
        <v>2597</v>
      </c>
      <c r="C43" s="9" t="s">
        <v>5147</v>
      </c>
      <c r="E43" s="9" t="s">
        <v>1390</v>
      </c>
      <c r="F43" s="9" t="s">
        <v>5204</v>
      </c>
      <c r="H43" s="9" t="s">
        <v>3642</v>
      </c>
      <c r="I43" s="9" t="s">
        <v>2356</v>
      </c>
      <c r="J43" s="9" t="s">
        <v>4846</v>
      </c>
      <c r="K43" s="9" t="s">
        <v>2033</v>
      </c>
      <c r="L43" s="9" t="s">
        <v>3409</v>
      </c>
      <c r="M43" s="9" t="s">
        <v>2403</v>
      </c>
      <c r="N43" s="9" t="s">
        <v>4437</v>
      </c>
      <c r="O43" s="9" t="s">
        <v>5153</v>
      </c>
      <c r="P43" s="9" t="s">
        <v>5399</v>
      </c>
      <c r="Q43" s="9" t="s">
        <v>5460</v>
      </c>
      <c r="R43" s="9" t="s">
        <v>1235</v>
      </c>
      <c r="S43" s="9" t="s">
        <v>3234</v>
      </c>
      <c r="T43" s="9" t="s">
        <v>4548</v>
      </c>
      <c r="U43" s="9" t="s">
        <v>5731</v>
      </c>
      <c r="W43" s="9" t="s">
        <v>1649</v>
      </c>
      <c r="X43" s="9" t="s">
        <v>1517</v>
      </c>
      <c r="Y43" s="9" t="s">
        <v>5344</v>
      </c>
      <c r="Z43" s="9" t="s">
        <v>1019</v>
      </c>
      <c r="AA43" s="9" t="s">
        <v>5262</v>
      </c>
    </row>
    <row r="44" spans="2:27" x14ac:dyDescent="0.25">
      <c r="B44" s="9" t="s">
        <v>5079</v>
      </c>
      <c r="C44" s="9" t="s">
        <v>4379</v>
      </c>
      <c r="E44" s="9" t="s">
        <v>2564</v>
      </c>
      <c r="F44" s="9" t="s">
        <v>4657</v>
      </c>
      <c r="H44" s="9" t="s">
        <v>1877</v>
      </c>
      <c r="I44" s="9" t="s">
        <v>2928</v>
      </c>
      <c r="J44" s="9" t="s">
        <v>4175</v>
      </c>
      <c r="K44" s="9" t="s">
        <v>3919</v>
      </c>
      <c r="L44" s="9" t="s">
        <v>3074</v>
      </c>
      <c r="M44" s="9" t="s">
        <v>4974</v>
      </c>
      <c r="N44" s="9" t="s">
        <v>5130</v>
      </c>
      <c r="O44" s="9" t="s">
        <v>2269</v>
      </c>
      <c r="P44" s="9" t="s">
        <v>2513</v>
      </c>
      <c r="Q44" s="9" t="s">
        <v>4755</v>
      </c>
      <c r="R44" s="9" t="s">
        <v>592</v>
      </c>
      <c r="S44" s="9" t="s">
        <v>2537</v>
      </c>
      <c r="T44" s="9" t="s">
        <v>4564</v>
      </c>
      <c r="U44" s="9" t="s">
        <v>5732</v>
      </c>
      <c r="W44" s="9" t="s">
        <v>1319</v>
      </c>
      <c r="X44" s="9" t="s">
        <v>1141</v>
      </c>
      <c r="Y44" s="9" t="s">
        <v>2505</v>
      </c>
      <c r="Z44" s="9" t="s">
        <v>3952</v>
      </c>
      <c r="AA44" s="9" t="s">
        <v>4816</v>
      </c>
    </row>
    <row r="45" spans="2:27" x14ac:dyDescent="0.25">
      <c r="B45" s="9" t="s">
        <v>2689</v>
      </c>
      <c r="C45" s="9" t="s">
        <v>4278</v>
      </c>
      <c r="E45" s="9" t="s">
        <v>2170</v>
      </c>
      <c r="F45" s="9" t="s">
        <v>4147</v>
      </c>
      <c r="H45" s="9" t="s">
        <v>1909</v>
      </c>
      <c r="I45" s="9" t="s">
        <v>2963</v>
      </c>
      <c r="J45" s="9" t="s">
        <v>4301</v>
      </c>
      <c r="K45" s="9" t="s">
        <v>2202</v>
      </c>
      <c r="L45" s="9" t="s">
        <v>2320</v>
      </c>
      <c r="M45" s="9" t="s">
        <v>5733</v>
      </c>
      <c r="N45" s="9" t="s">
        <v>4218</v>
      </c>
      <c r="O45" s="9" t="s">
        <v>2128</v>
      </c>
      <c r="P45" s="9" t="s">
        <v>1842</v>
      </c>
      <c r="Q45" s="9" t="s">
        <v>4478</v>
      </c>
      <c r="R45" s="9" t="s">
        <v>802</v>
      </c>
      <c r="S45" s="9" t="s">
        <v>3108</v>
      </c>
      <c r="T45" s="9" t="s">
        <v>4531</v>
      </c>
      <c r="U45" s="9" t="s">
        <v>5294</v>
      </c>
      <c r="W45" s="9" t="s">
        <v>1347</v>
      </c>
      <c r="X45" s="9" t="s">
        <v>1153</v>
      </c>
      <c r="Y45" s="9" t="s">
        <v>2489</v>
      </c>
      <c r="Z45" s="9" t="s">
        <v>3721</v>
      </c>
      <c r="AA45" s="9" t="s">
        <v>4979</v>
      </c>
    </row>
    <row r="46" spans="2:27" x14ac:dyDescent="0.25">
      <c r="B46" s="9" t="s">
        <v>2611</v>
      </c>
      <c r="C46" s="9" t="s">
        <v>5152</v>
      </c>
      <c r="E46" s="9" t="s">
        <v>2608</v>
      </c>
      <c r="F46" s="9" t="s">
        <v>4592</v>
      </c>
      <c r="H46" s="9" t="s">
        <v>5734</v>
      </c>
      <c r="I46" s="9" t="s">
        <v>2770</v>
      </c>
      <c r="J46" s="9" t="s">
        <v>4659</v>
      </c>
      <c r="K46" s="9" t="s">
        <v>1064</v>
      </c>
      <c r="L46" s="9" t="s">
        <v>3443</v>
      </c>
      <c r="M46" s="9" t="s">
        <v>4935</v>
      </c>
      <c r="N46" s="9" t="s">
        <v>4063</v>
      </c>
      <c r="O46" s="9" t="s">
        <v>1675</v>
      </c>
      <c r="P46" s="9" t="s">
        <v>2386</v>
      </c>
      <c r="Q46" s="9" t="s">
        <v>5477</v>
      </c>
      <c r="R46" s="9" t="s">
        <v>3157</v>
      </c>
      <c r="S46" s="9" t="s">
        <v>3242</v>
      </c>
      <c r="T46" s="9" t="s">
        <v>4156</v>
      </c>
      <c r="U46" s="9" t="s">
        <v>5417</v>
      </c>
      <c r="W46" s="9" t="s">
        <v>3142</v>
      </c>
      <c r="X46" s="9" t="s">
        <v>1370</v>
      </c>
      <c r="Y46" s="9" t="s">
        <v>2547</v>
      </c>
      <c r="Z46" s="9" t="s">
        <v>868</v>
      </c>
      <c r="AA46" s="9" t="s">
        <v>4997</v>
      </c>
    </row>
    <row r="47" spans="2:27" x14ac:dyDescent="0.25">
      <c r="B47" s="9" t="s">
        <v>2425</v>
      </c>
      <c r="C47" s="9" t="s">
        <v>5171</v>
      </c>
      <c r="E47" s="9" t="s">
        <v>5367</v>
      </c>
      <c r="F47" s="9" t="s">
        <v>4723</v>
      </c>
      <c r="H47" s="9" t="s">
        <v>2462</v>
      </c>
      <c r="I47" s="9" t="s">
        <v>2980</v>
      </c>
      <c r="J47" s="9" t="s">
        <v>4942</v>
      </c>
      <c r="K47" s="9" t="s">
        <v>2857</v>
      </c>
      <c r="L47" s="9" t="s">
        <v>3261</v>
      </c>
      <c r="M47" s="9" t="s">
        <v>1751</v>
      </c>
      <c r="N47" s="9" t="s">
        <v>4593</v>
      </c>
      <c r="O47" s="9" t="s">
        <v>5439</v>
      </c>
      <c r="P47" s="9" t="s">
        <v>2766</v>
      </c>
      <c r="Q47" s="9" t="s">
        <v>5610</v>
      </c>
      <c r="R47" s="9" t="s">
        <v>750</v>
      </c>
      <c r="S47" s="9" t="s">
        <v>3632</v>
      </c>
      <c r="T47" s="9" t="s">
        <v>4140</v>
      </c>
      <c r="U47" s="9" t="s">
        <v>5190</v>
      </c>
      <c r="W47" s="9" t="s">
        <v>1633</v>
      </c>
      <c r="X47" s="9" t="s">
        <v>1223</v>
      </c>
      <c r="Y47" s="9" t="s">
        <v>2510</v>
      </c>
      <c r="Z47" s="9" t="s">
        <v>3873</v>
      </c>
      <c r="AA47" s="9" t="s">
        <v>2152</v>
      </c>
    </row>
    <row r="48" spans="2:27" x14ac:dyDescent="0.25">
      <c r="B48" s="9" t="s">
        <v>5135</v>
      </c>
      <c r="C48" s="9" t="s">
        <v>4670</v>
      </c>
      <c r="E48" s="9" t="s">
        <v>5552</v>
      </c>
      <c r="F48" s="9" t="s">
        <v>4588</v>
      </c>
      <c r="H48" s="9" t="s">
        <v>3115</v>
      </c>
      <c r="I48" s="9" t="s">
        <v>2406</v>
      </c>
      <c r="J48" s="9" t="s">
        <v>4116</v>
      </c>
      <c r="K48" s="9" t="s">
        <v>583</v>
      </c>
      <c r="L48" s="9" t="s">
        <v>3500</v>
      </c>
      <c r="M48" s="9" t="s">
        <v>5735</v>
      </c>
      <c r="N48" s="9" t="s">
        <v>4877</v>
      </c>
      <c r="O48" s="9" t="s">
        <v>5427</v>
      </c>
      <c r="P48" s="9" t="s">
        <v>5115</v>
      </c>
      <c r="Q48" s="9" t="s">
        <v>5527</v>
      </c>
      <c r="R48" s="9" t="s">
        <v>3127</v>
      </c>
      <c r="S48" s="9" t="s">
        <v>3530</v>
      </c>
      <c r="T48" s="9" t="s">
        <v>4645</v>
      </c>
      <c r="U48" s="9" t="s">
        <v>5476</v>
      </c>
      <c r="W48" s="9" t="s">
        <v>1636</v>
      </c>
      <c r="X48" s="9" t="s">
        <v>1533</v>
      </c>
      <c r="Y48" s="9" t="s">
        <v>5356</v>
      </c>
      <c r="Z48" s="9" t="s">
        <v>1794</v>
      </c>
      <c r="AA48" s="9" t="s">
        <v>5209</v>
      </c>
    </row>
    <row r="49" spans="2:27" x14ac:dyDescent="0.25">
      <c r="B49" s="9" t="s">
        <v>2561</v>
      </c>
      <c r="C49" s="9" t="s">
        <v>4460</v>
      </c>
      <c r="E49" s="9" t="s">
        <v>2494</v>
      </c>
      <c r="F49" s="9" t="s">
        <v>4206</v>
      </c>
      <c r="H49" s="9" t="s">
        <v>3305</v>
      </c>
      <c r="I49" s="9" t="s">
        <v>2626</v>
      </c>
      <c r="J49" s="9" t="s">
        <v>4665</v>
      </c>
      <c r="K49" s="9" t="s">
        <v>3653</v>
      </c>
      <c r="L49" s="9" t="s">
        <v>2531</v>
      </c>
      <c r="M49" s="9" t="s">
        <v>4988</v>
      </c>
      <c r="N49" s="9" t="s">
        <v>5148</v>
      </c>
      <c r="O49" s="9" t="s">
        <v>5092</v>
      </c>
      <c r="P49" s="9" t="s">
        <v>4592</v>
      </c>
      <c r="Q49" s="9" t="s">
        <v>5540</v>
      </c>
      <c r="R49" s="9" t="s">
        <v>3658</v>
      </c>
      <c r="S49" s="9" t="s">
        <v>2010</v>
      </c>
      <c r="T49" s="9" t="s">
        <v>4276</v>
      </c>
      <c r="U49" s="9" t="s">
        <v>5544</v>
      </c>
      <c r="W49" s="9" t="s">
        <v>1487</v>
      </c>
      <c r="X49" s="9" t="s">
        <v>1259</v>
      </c>
      <c r="Y49" s="9" t="s">
        <v>4169</v>
      </c>
      <c r="Z49" s="9" t="s">
        <v>1075</v>
      </c>
      <c r="AA49" s="9" t="s">
        <v>5249</v>
      </c>
    </row>
    <row r="50" spans="2:27" x14ac:dyDescent="0.25">
      <c r="B50" s="9" t="s">
        <v>2569</v>
      </c>
      <c r="C50" s="9" t="s">
        <v>5362</v>
      </c>
      <c r="E50" s="9" t="s">
        <v>2553</v>
      </c>
      <c r="F50" s="9" t="s">
        <v>4669</v>
      </c>
      <c r="H50" s="9" t="s">
        <v>2480</v>
      </c>
      <c r="I50" s="9" t="s">
        <v>2756</v>
      </c>
      <c r="J50" s="9" t="s">
        <v>4895</v>
      </c>
      <c r="K50" s="9" t="s">
        <v>2081</v>
      </c>
      <c r="L50" s="9" t="s">
        <v>3447</v>
      </c>
      <c r="M50" s="9" t="s">
        <v>5665</v>
      </c>
      <c r="N50" s="9" t="s">
        <v>5254</v>
      </c>
      <c r="O50" s="9" t="s">
        <v>2237</v>
      </c>
      <c r="P50" s="9" t="s">
        <v>4236</v>
      </c>
      <c r="Q50" s="9" t="s">
        <v>4655</v>
      </c>
      <c r="R50" s="9" t="s">
        <v>3175</v>
      </c>
      <c r="S50" s="9" t="s">
        <v>536</v>
      </c>
      <c r="T50" s="9" t="s">
        <v>4174</v>
      </c>
      <c r="U50" s="9" t="s">
        <v>5184</v>
      </c>
      <c r="W50" s="9" t="s">
        <v>1517</v>
      </c>
      <c r="X50" s="9" t="s">
        <v>1145</v>
      </c>
      <c r="Y50" s="9" t="s">
        <v>5366</v>
      </c>
      <c r="Z50" s="9" t="s">
        <v>4014</v>
      </c>
      <c r="AA50" s="9" t="s">
        <v>4987</v>
      </c>
    </row>
    <row r="51" spans="2:27" x14ac:dyDescent="0.25">
      <c r="B51" s="9" t="s">
        <v>5414</v>
      </c>
      <c r="C51" s="9" t="s">
        <v>4202</v>
      </c>
      <c r="E51" s="9" t="s">
        <v>2018</v>
      </c>
      <c r="F51" s="9" t="s">
        <v>5276</v>
      </c>
      <c r="H51" s="9" t="s">
        <v>2582</v>
      </c>
      <c r="I51" s="9" t="s">
        <v>2761</v>
      </c>
      <c r="J51" s="9" t="s">
        <v>4922</v>
      </c>
      <c r="K51" s="9" t="s">
        <v>5580</v>
      </c>
      <c r="L51" s="9" t="s">
        <v>3412</v>
      </c>
      <c r="M51" s="9" t="s">
        <v>5558</v>
      </c>
      <c r="N51" s="9" t="s">
        <v>4291</v>
      </c>
      <c r="O51" s="9" t="s">
        <v>2308</v>
      </c>
      <c r="P51" s="9" t="s">
        <v>2439</v>
      </c>
      <c r="Q51" s="9" t="s">
        <v>4850</v>
      </c>
      <c r="R51" s="9" t="s">
        <v>3595</v>
      </c>
      <c r="S51" s="9" t="s">
        <v>3312</v>
      </c>
      <c r="T51" s="9" t="s">
        <v>5042</v>
      </c>
      <c r="U51" s="9" t="s">
        <v>5534</v>
      </c>
      <c r="W51" s="9" t="s">
        <v>1172</v>
      </c>
      <c r="X51" s="9" t="s">
        <v>1215</v>
      </c>
      <c r="Y51" s="9" t="s">
        <v>2532</v>
      </c>
      <c r="Z51" s="9" t="s">
        <v>3864</v>
      </c>
      <c r="AA51" s="9" t="s">
        <v>4737</v>
      </c>
    </row>
    <row r="52" spans="2:27" x14ac:dyDescent="0.25">
      <c r="B52" s="9" t="s">
        <v>1232</v>
      </c>
      <c r="C52" s="9" t="s">
        <v>4266</v>
      </c>
      <c r="E52" s="9" t="s">
        <v>2732</v>
      </c>
      <c r="F52" s="9" t="s">
        <v>5259</v>
      </c>
      <c r="H52" s="9" t="s">
        <v>2080</v>
      </c>
      <c r="I52" s="9" t="s">
        <v>2824</v>
      </c>
      <c r="J52" s="9" t="s">
        <v>4079</v>
      </c>
      <c r="K52" s="9" t="s">
        <v>3689</v>
      </c>
      <c r="L52" s="9" t="s">
        <v>5667</v>
      </c>
      <c r="M52" s="9" t="s">
        <v>2398</v>
      </c>
      <c r="N52" s="9" t="s">
        <v>4241</v>
      </c>
      <c r="O52" s="9" t="s">
        <v>4182</v>
      </c>
      <c r="P52" s="9" t="s">
        <v>4507</v>
      </c>
      <c r="Q52" s="9" t="s">
        <v>4474</v>
      </c>
      <c r="R52" s="9" t="s">
        <v>3247</v>
      </c>
      <c r="S52" s="9" t="s">
        <v>3195</v>
      </c>
      <c r="T52" s="9" t="s">
        <v>4319</v>
      </c>
      <c r="U52" s="9" t="s">
        <v>5508</v>
      </c>
      <c r="W52" s="9" t="s">
        <v>1668</v>
      </c>
      <c r="X52" s="9" t="s">
        <v>1653</v>
      </c>
      <c r="Y52" s="9" t="s">
        <v>825</v>
      </c>
      <c r="Z52" s="9" t="s">
        <v>3939</v>
      </c>
      <c r="AA52" s="9" t="s">
        <v>3510</v>
      </c>
    </row>
    <row r="53" spans="2:27" x14ac:dyDescent="0.25">
      <c r="B53" s="9" t="s">
        <v>1955</v>
      </c>
      <c r="C53" s="9" t="s">
        <v>4134</v>
      </c>
      <c r="E53" s="9" t="s">
        <v>2673</v>
      </c>
      <c r="F53" s="9" t="s">
        <v>4631</v>
      </c>
      <c r="H53" s="9" t="s">
        <v>3302</v>
      </c>
      <c r="I53" s="9" t="s">
        <v>2659</v>
      </c>
      <c r="J53" s="9" t="s">
        <v>4910</v>
      </c>
      <c r="K53" s="9" t="s">
        <v>1985</v>
      </c>
      <c r="L53" s="9" t="s">
        <v>2183</v>
      </c>
      <c r="M53" s="9" t="s">
        <v>5736</v>
      </c>
      <c r="N53" s="9" t="s">
        <v>4263</v>
      </c>
      <c r="O53" s="9" t="s">
        <v>2185</v>
      </c>
      <c r="P53" s="9" t="s">
        <v>2450</v>
      </c>
      <c r="Q53" s="9" t="s">
        <v>3294</v>
      </c>
      <c r="R53" s="9" t="s">
        <v>2594</v>
      </c>
      <c r="S53" s="9" t="s">
        <v>718</v>
      </c>
      <c r="T53" s="9" t="s">
        <v>5478</v>
      </c>
      <c r="U53" s="9" t="s">
        <v>2374</v>
      </c>
      <c r="W53" s="9" t="s">
        <v>739</v>
      </c>
      <c r="X53" s="9" t="s">
        <v>1596</v>
      </c>
      <c r="Y53" s="9" t="s">
        <v>5010</v>
      </c>
      <c r="Z53" s="9" t="s">
        <v>726</v>
      </c>
      <c r="AA53" s="9" t="s">
        <v>4992</v>
      </c>
    </row>
    <row r="54" spans="2:27" x14ac:dyDescent="0.25">
      <c r="B54" s="9" t="s">
        <v>2408</v>
      </c>
      <c r="C54" s="9" t="s">
        <v>4254</v>
      </c>
      <c r="E54" s="9" t="s">
        <v>1823</v>
      </c>
      <c r="F54" s="9" t="s">
        <v>4293</v>
      </c>
      <c r="H54" s="9" t="s">
        <v>5110</v>
      </c>
      <c r="I54" s="9" t="s">
        <v>2661</v>
      </c>
      <c r="J54" s="9" t="s">
        <v>3762</v>
      </c>
      <c r="K54" s="9" t="s">
        <v>3373</v>
      </c>
      <c r="L54" s="9" t="s">
        <v>3123</v>
      </c>
      <c r="M54" s="9" t="s">
        <v>4892</v>
      </c>
      <c r="N54" s="9" t="s">
        <v>4213</v>
      </c>
      <c r="O54" s="9" t="s">
        <v>5419</v>
      </c>
      <c r="P54" s="9" t="s">
        <v>5126</v>
      </c>
      <c r="Q54" s="9" t="s">
        <v>4741</v>
      </c>
      <c r="R54" s="9" t="s">
        <v>3756</v>
      </c>
      <c r="S54" s="9" t="s">
        <v>3511</v>
      </c>
      <c r="T54" s="9" t="s">
        <v>3025</v>
      </c>
      <c r="W54" s="9" t="s">
        <v>1498</v>
      </c>
      <c r="X54" s="9" t="s">
        <v>455</v>
      </c>
      <c r="Y54" s="9" t="s">
        <v>2514</v>
      </c>
      <c r="Z54" s="9" t="s">
        <v>3812</v>
      </c>
      <c r="AA54" s="9" t="s">
        <v>2345</v>
      </c>
    </row>
    <row r="55" spans="2:27" x14ac:dyDescent="0.25">
      <c r="B55" s="9" t="s">
        <v>2859</v>
      </c>
      <c r="C55" s="9" t="s">
        <v>5248</v>
      </c>
      <c r="E55" s="9" t="s">
        <v>5432</v>
      </c>
      <c r="F55" s="9" t="s">
        <v>4388</v>
      </c>
      <c r="H55" s="9" t="s">
        <v>5323</v>
      </c>
      <c r="I55" s="9" t="s">
        <v>2764</v>
      </c>
      <c r="J55" s="9" t="s">
        <v>4249</v>
      </c>
      <c r="K55" s="9" t="s">
        <v>946</v>
      </c>
      <c r="L55" s="9" t="s">
        <v>3491</v>
      </c>
      <c r="M55" s="9" t="s">
        <v>2382</v>
      </c>
      <c r="N55" s="9" t="s">
        <v>4183</v>
      </c>
      <c r="O55" s="9" t="s">
        <v>2280</v>
      </c>
      <c r="P55" s="9" t="s">
        <v>1856</v>
      </c>
      <c r="Q55" s="9" t="s">
        <v>5423</v>
      </c>
      <c r="R55" s="9" t="s">
        <v>3174</v>
      </c>
      <c r="S55" s="9" t="s">
        <v>3109</v>
      </c>
      <c r="T55" s="9" t="s">
        <v>4529</v>
      </c>
      <c r="W55" s="9" t="s">
        <v>1674</v>
      </c>
      <c r="X55" s="9" t="s">
        <v>1355</v>
      </c>
      <c r="Y55" s="9" t="s">
        <v>3506</v>
      </c>
      <c r="Z55" s="9" t="s">
        <v>3558</v>
      </c>
      <c r="AA55" s="9" t="s">
        <v>5686</v>
      </c>
    </row>
    <row r="56" spans="2:27" x14ac:dyDescent="0.25">
      <c r="B56" s="9" t="s">
        <v>5390</v>
      </c>
      <c r="C56" s="9" t="s">
        <v>4360</v>
      </c>
      <c r="E56" s="9" t="s">
        <v>2750</v>
      </c>
      <c r="F56" s="9" t="s">
        <v>4601</v>
      </c>
      <c r="H56" s="9" t="s">
        <v>1858</v>
      </c>
      <c r="I56" s="9" t="s">
        <v>4575</v>
      </c>
      <c r="J56" s="9" t="s">
        <v>4321</v>
      </c>
      <c r="K56" s="9" t="s">
        <v>2781</v>
      </c>
      <c r="L56" s="9" t="s">
        <v>3710</v>
      </c>
      <c r="M56" s="9" t="s">
        <v>2404</v>
      </c>
      <c r="N56" s="9" t="s">
        <v>4318</v>
      </c>
      <c r="O56" s="9" t="s">
        <v>5411</v>
      </c>
      <c r="P56" s="9" t="s">
        <v>2200</v>
      </c>
      <c r="Q56" s="9" t="s">
        <v>5687</v>
      </c>
      <c r="R56" s="9" t="s">
        <v>744</v>
      </c>
      <c r="S56" s="9" t="s">
        <v>843</v>
      </c>
      <c r="T56" s="9" t="s">
        <v>2218</v>
      </c>
      <c r="W56" s="9" t="s">
        <v>3114</v>
      </c>
      <c r="X56" s="9" t="s">
        <v>723</v>
      </c>
      <c r="Y56" s="9" t="s">
        <v>5345</v>
      </c>
      <c r="Z56" s="9" t="s">
        <v>4007</v>
      </c>
      <c r="AA56" s="9" t="s">
        <v>4836</v>
      </c>
    </row>
    <row r="57" spans="2:27" x14ac:dyDescent="0.25">
      <c r="B57" s="9" t="s">
        <v>5379</v>
      </c>
      <c r="C57" s="9" t="s">
        <v>3833</v>
      </c>
      <c r="E57" s="9" t="s">
        <v>2392</v>
      </c>
      <c r="F57" s="9" t="s">
        <v>4113</v>
      </c>
      <c r="H57" s="9" t="s">
        <v>2410</v>
      </c>
      <c r="I57" s="9" t="s">
        <v>2593</v>
      </c>
      <c r="J57" s="9" t="s">
        <v>4279</v>
      </c>
      <c r="K57" s="9" t="s">
        <v>2654</v>
      </c>
      <c r="L57" s="9" t="s">
        <v>3416</v>
      </c>
      <c r="M57" s="9" t="s">
        <v>5651</v>
      </c>
      <c r="N57" s="9" t="s">
        <v>4408</v>
      </c>
      <c r="O57" s="9" t="s">
        <v>4510</v>
      </c>
      <c r="P57" s="9" t="s">
        <v>2577</v>
      </c>
      <c r="Q57" s="9" t="s">
        <v>4745</v>
      </c>
      <c r="R57" s="9" t="s">
        <v>751</v>
      </c>
      <c r="S57" s="9" t="s">
        <v>3679</v>
      </c>
      <c r="T57" s="9" t="s">
        <v>1825</v>
      </c>
      <c r="W57" s="9" t="s">
        <v>1714</v>
      </c>
      <c r="X57" s="9" t="s">
        <v>1467</v>
      </c>
      <c r="Y57" s="9" t="s">
        <v>5165</v>
      </c>
      <c r="Z57" s="9" t="s">
        <v>3702</v>
      </c>
      <c r="AA57" s="9" t="s">
        <v>5266</v>
      </c>
    </row>
    <row r="58" spans="2:27" x14ac:dyDescent="0.25">
      <c r="B58" s="9" t="s">
        <v>2431</v>
      </c>
      <c r="C58" s="9" t="s">
        <v>5142</v>
      </c>
      <c r="E58" s="9" t="s">
        <v>1929</v>
      </c>
      <c r="F58" s="9" t="s">
        <v>5208</v>
      </c>
      <c r="H58" s="9" t="s">
        <v>1956</v>
      </c>
      <c r="I58" s="9" t="s">
        <v>4773</v>
      </c>
      <c r="J58" s="9" t="s">
        <v>5303</v>
      </c>
      <c r="K58" s="9" t="s">
        <v>5113</v>
      </c>
      <c r="L58" s="9" t="s">
        <v>3206</v>
      </c>
      <c r="M58" s="9" t="s">
        <v>5279</v>
      </c>
      <c r="N58" s="9" t="s">
        <v>4337</v>
      </c>
      <c r="O58" s="9" t="s">
        <v>2456</v>
      </c>
      <c r="P58" s="9" t="s">
        <v>2487</v>
      </c>
      <c r="Q58" s="9" t="s">
        <v>4703</v>
      </c>
      <c r="R58" s="9" t="s">
        <v>425</v>
      </c>
      <c r="S58" s="9" t="s">
        <v>3388</v>
      </c>
      <c r="T58" s="9" t="s">
        <v>4509</v>
      </c>
      <c r="W58" s="9" t="s">
        <v>1456</v>
      </c>
      <c r="X58" s="9" t="s">
        <v>438</v>
      </c>
      <c r="Y58" s="9" t="s">
        <v>2541</v>
      </c>
      <c r="Z58" s="9" t="s">
        <v>1011</v>
      </c>
      <c r="AA58" s="9" t="s">
        <v>4706</v>
      </c>
    </row>
    <row r="59" spans="2:27" x14ac:dyDescent="0.25">
      <c r="B59" s="9" t="s">
        <v>5409</v>
      </c>
      <c r="C59" s="9" t="s">
        <v>4161</v>
      </c>
      <c r="E59" s="9" t="s">
        <v>5595</v>
      </c>
      <c r="F59" s="9" t="s">
        <v>4796</v>
      </c>
      <c r="H59" s="9" t="s">
        <v>2526</v>
      </c>
      <c r="I59" s="9" t="s">
        <v>2684</v>
      </c>
      <c r="J59" s="9" t="s">
        <v>4790</v>
      </c>
      <c r="K59" s="9" t="s">
        <v>584</v>
      </c>
      <c r="L59" s="9" t="s">
        <v>5737</v>
      </c>
      <c r="M59" s="9" t="s">
        <v>5004</v>
      </c>
      <c r="N59" s="9" t="s">
        <v>4398</v>
      </c>
      <c r="O59" s="9" t="s">
        <v>5150</v>
      </c>
      <c r="P59" s="9" t="s">
        <v>5029</v>
      </c>
      <c r="Q59" s="9" t="s">
        <v>5587</v>
      </c>
      <c r="R59" s="9" t="s">
        <v>752</v>
      </c>
      <c r="S59" s="9" t="s">
        <v>3349</v>
      </c>
      <c r="T59" s="9" t="s">
        <v>5048</v>
      </c>
      <c r="W59" s="9" t="s">
        <v>1137</v>
      </c>
      <c r="X59" s="9" t="s">
        <v>1530</v>
      </c>
      <c r="Y59" s="9" t="s">
        <v>4159</v>
      </c>
      <c r="Z59" s="9" t="s">
        <v>3878</v>
      </c>
      <c r="AA59" s="9" t="s">
        <v>4831</v>
      </c>
    </row>
    <row r="60" spans="2:27" x14ac:dyDescent="0.25">
      <c r="B60" s="9" t="s">
        <v>5405</v>
      </c>
      <c r="C60" s="9" t="s">
        <v>4268</v>
      </c>
      <c r="E60" s="9" t="s">
        <v>2277</v>
      </c>
      <c r="F60" s="9" t="s">
        <v>4109</v>
      </c>
      <c r="H60" s="9" t="s">
        <v>3164</v>
      </c>
      <c r="I60" s="9" t="s">
        <v>2315</v>
      </c>
      <c r="J60" s="9" t="s">
        <v>4866</v>
      </c>
      <c r="K60" s="9" t="s">
        <v>2271</v>
      </c>
      <c r="L60" s="9" t="s">
        <v>5551</v>
      </c>
      <c r="M60" s="9" t="s">
        <v>4464</v>
      </c>
      <c r="N60" s="9" t="s">
        <v>4397</v>
      </c>
      <c r="O60" s="9" t="s">
        <v>4507</v>
      </c>
      <c r="P60" s="9" t="s">
        <v>5474</v>
      </c>
      <c r="Q60" s="9" t="s">
        <v>4676</v>
      </c>
      <c r="R60" s="9" t="s">
        <v>1736</v>
      </c>
      <c r="S60" s="9" t="s">
        <v>3481</v>
      </c>
      <c r="T60" s="9" t="s">
        <v>2087</v>
      </c>
      <c r="W60" s="9" t="s">
        <v>1416</v>
      </c>
      <c r="X60" s="9" t="s">
        <v>1297</v>
      </c>
      <c r="Y60" s="9" t="s">
        <v>2507</v>
      </c>
      <c r="Z60" s="9" t="s">
        <v>3529</v>
      </c>
      <c r="AA60" s="9" t="s">
        <v>5695</v>
      </c>
    </row>
    <row r="61" spans="2:27" x14ac:dyDescent="0.25">
      <c r="B61" s="9" t="s">
        <v>5372</v>
      </c>
      <c r="C61" s="9" t="s">
        <v>4171</v>
      </c>
      <c r="E61" s="9" t="s">
        <v>2169</v>
      </c>
      <c r="F61" s="9" t="s">
        <v>4237</v>
      </c>
      <c r="H61" s="9" t="s">
        <v>2409</v>
      </c>
      <c r="I61" s="9" t="s">
        <v>2773</v>
      </c>
      <c r="J61" s="9" t="s">
        <v>5569</v>
      </c>
      <c r="K61" s="9" t="s">
        <v>3208</v>
      </c>
      <c r="L61" s="9" t="s">
        <v>3256</v>
      </c>
      <c r="M61" s="9" t="s">
        <v>4993</v>
      </c>
      <c r="N61" s="9" t="s">
        <v>5431</v>
      </c>
      <c r="O61" s="9" t="s">
        <v>5013</v>
      </c>
      <c r="P61" s="9" t="s">
        <v>2546</v>
      </c>
      <c r="Q61" s="9" t="s">
        <v>4742</v>
      </c>
      <c r="R61" s="9" t="s">
        <v>479</v>
      </c>
      <c r="S61" s="9" t="s">
        <v>3465</v>
      </c>
      <c r="T61" s="9" t="s">
        <v>4148</v>
      </c>
      <c r="W61" s="9" t="s">
        <v>1726</v>
      </c>
      <c r="X61" s="9" t="s">
        <v>1692</v>
      </c>
      <c r="Y61" s="9" t="s">
        <v>5347</v>
      </c>
      <c r="Z61" s="9" t="s">
        <v>1366</v>
      </c>
      <c r="AA61" s="9" t="s">
        <v>4629</v>
      </c>
    </row>
    <row r="62" spans="2:27" x14ac:dyDescent="0.25">
      <c r="B62" s="9" t="s">
        <v>5738</v>
      </c>
      <c r="C62" s="9" t="s">
        <v>5261</v>
      </c>
      <c r="E62" s="9" t="s">
        <v>5136</v>
      </c>
      <c r="F62" s="9" t="s">
        <v>4609</v>
      </c>
      <c r="H62" s="9" t="s">
        <v>1845</v>
      </c>
      <c r="I62" s="9" t="s">
        <v>2375</v>
      </c>
      <c r="J62" s="9" t="s">
        <v>1438</v>
      </c>
      <c r="K62" s="9" t="s">
        <v>585</v>
      </c>
      <c r="L62" s="9" t="s">
        <v>5689</v>
      </c>
      <c r="M62" s="9" t="s">
        <v>5319</v>
      </c>
      <c r="N62" s="9" t="s">
        <v>4333</v>
      </c>
      <c r="O62" s="9" t="s">
        <v>2222</v>
      </c>
      <c r="P62" s="9" t="s">
        <v>5739</v>
      </c>
      <c r="Q62" s="9" t="s">
        <v>4727</v>
      </c>
      <c r="R62" s="9" t="s">
        <v>531</v>
      </c>
      <c r="S62" s="9" t="s">
        <v>3133</v>
      </c>
      <c r="T62" s="9" t="s">
        <v>5160</v>
      </c>
      <c r="W62" s="9" t="s">
        <v>1732</v>
      </c>
      <c r="X62" s="9" t="s">
        <v>1474</v>
      </c>
      <c r="Y62" s="9" t="s">
        <v>2501</v>
      </c>
      <c r="Z62" s="9" t="s">
        <v>990</v>
      </c>
      <c r="AA62" s="9" t="s">
        <v>4400</v>
      </c>
    </row>
    <row r="63" spans="2:27" x14ac:dyDescent="0.25">
      <c r="B63" s="9" t="s">
        <v>5740</v>
      </c>
      <c r="C63" s="9" t="s">
        <v>4378</v>
      </c>
      <c r="E63" s="9" t="s">
        <v>1970</v>
      </c>
      <c r="F63" s="9" t="s">
        <v>4373</v>
      </c>
      <c r="H63" s="9" t="s">
        <v>329</v>
      </c>
      <c r="I63" s="9" t="s">
        <v>4771</v>
      </c>
      <c r="J63" s="9" t="s">
        <v>4757</v>
      </c>
      <c r="K63" s="9" t="s">
        <v>525</v>
      </c>
      <c r="L63" s="9" t="s">
        <v>3518</v>
      </c>
      <c r="M63" s="9" t="s">
        <v>5741</v>
      </c>
      <c r="N63" s="9" t="s">
        <v>4273</v>
      </c>
      <c r="O63" s="9" t="s">
        <v>5440</v>
      </c>
      <c r="P63" s="9" t="s">
        <v>4080</v>
      </c>
      <c r="Q63" s="9" t="s">
        <v>5660</v>
      </c>
      <c r="R63" s="9" t="s">
        <v>803</v>
      </c>
      <c r="S63" s="9" t="s">
        <v>1832</v>
      </c>
      <c r="T63" s="9" t="s">
        <v>4585</v>
      </c>
      <c r="W63" s="9" t="s">
        <v>1264</v>
      </c>
      <c r="X63" s="9" t="s">
        <v>394</v>
      </c>
      <c r="Y63" s="9" t="s">
        <v>5394</v>
      </c>
      <c r="Z63" s="9" t="s">
        <v>3700</v>
      </c>
      <c r="AA63" s="9" t="s">
        <v>4908</v>
      </c>
    </row>
    <row r="64" spans="2:27" x14ac:dyDescent="0.25">
      <c r="B64" s="9" t="s">
        <v>5742</v>
      </c>
      <c r="E64" s="9" t="s">
        <v>2323</v>
      </c>
      <c r="F64" s="9" t="s">
        <v>4372</v>
      </c>
      <c r="H64" s="9" t="s">
        <v>334</v>
      </c>
      <c r="I64" s="9" t="s">
        <v>2788</v>
      </c>
      <c r="J64" s="9" t="s">
        <v>4826</v>
      </c>
      <c r="K64" s="9" t="s">
        <v>586</v>
      </c>
      <c r="L64" s="9" t="s">
        <v>5536</v>
      </c>
      <c r="M64" s="9" t="s">
        <v>4949</v>
      </c>
      <c r="N64" s="9" t="s">
        <v>4122</v>
      </c>
      <c r="O64" s="9" t="s">
        <v>2285</v>
      </c>
      <c r="P64" s="9" t="s">
        <v>2523</v>
      </c>
      <c r="Q64" s="9" t="s">
        <v>4596</v>
      </c>
      <c r="R64" s="9" t="s">
        <v>3300</v>
      </c>
      <c r="S64" s="9" t="s">
        <v>2342</v>
      </c>
      <c r="T64" s="9" t="s">
        <v>4092</v>
      </c>
      <c r="W64" s="9" t="s">
        <v>1622</v>
      </c>
      <c r="X64" s="9" t="s">
        <v>1118</v>
      </c>
      <c r="Y64" s="9" t="s">
        <v>1099</v>
      </c>
      <c r="Z64" s="9" t="s">
        <v>2782</v>
      </c>
      <c r="AA64" s="9" t="s">
        <v>4421</v>
      </c>
    </row>
    <row r="65" spans="2:27" x14ac:dyDescent="0.25">
      <c r="B65" s="9" t="s">
        <v>2613</v>
      </c>
      <c r="E65" s="9" t="s">
        <v>2430</v>
      </c>
      <c r="F65" s="9" t="s">
        <v>4618</v>
      </c>
      <c r="H65" s="9" t="s">
        <v>341</v>
      </c>
      <c r="I65" s="9" t="s">
        <v>2731</v>
      </c>
      <c r="J65" s="9" t="s">
        <v>4141</v>
      </c>
      <c r="K65" s="9" t="s">
        <v>420</v>
      </c>
      <c r="L65" s="9" t="s">
        <v>2153</v>
      </c>
      <c r="M65" s="9" t="s">
        <v>5743</v>
      </c>
      <c r="N65" s="9" t="s">
        <v>4368</v>
      </c>
      <c r="O65" s="9" t="s">
        <v>5044</v>
      </c>
      <c r="P65" s="9" t="s">
        <v>3303</v>
      </c>
      <c r="Q65" s="9" t="s">
        <v>4753</v>
      </c>
      <c r="R65" s="9" t="s">
        <v>796</v>
      </c>
      <c r="S65" s="9" t="s">
        <v>1883</v>
      </c>
      <c r="T65" s="9" t="s">
        <v>4520</v>
      </c>
      <c r="W65" s="9" t="s">
        <v>3117</v>
      </c>
      <c r="X65" s="9" t="s">
        <v>434</v>
      </c>
      <c r="Y65" s="9" t="s">
        <v>5340</v>
      </c>
      <c r="Z65" s="9" t="s">
        <v>3745</v>
      </c>
      <c r="AA65" s="9" t="s">
        <v>4435</v>
      </c>
    </row>
    <row r="66" spans="2:27" x14ac:dyDescent="0.25">
      <c r="B66" s="9" t="s">
        <v>542</v>
      </c>
      <c r="E66" s="9" t="s">
        <v>2020</v>
      </c>
      <c r="F66" s="9" t="s">
        <v>5491</v>
      </c>
      <c r="H66" s="9" t="s">
        <v>2419</v>
      </c>
      <c r="I66" s="9" t="s">
        <v>2784</v>
      </c>
      <c r="J66" s="9" t="s">
        <v>2581</v>
      </c>
      <c r="K66" s="9" t="s">
        <v>547</v>
      </c>
      <c r="L66" s="9" t="s">
        <v>3854</v>
      </c>
      <c r="M66" s="9" t="s">
        <v>4867</v>
      </c>
      <c r="N66" s="9" t="s">
        <v>4067</v>
      </c>
      <c r="O66" s="9" t="s">
        <v>2125</v>
      </c>
      <c r="P66" s="9" t="s">
        <v>2490</v>
      </c>
      <c r="Q66" s="9" t="s">
        <v>5502</v>
      </c>
      <c r="R66" s="9" t="s">
        <v>797</v>
      </c>
      <c r="S66" s="9" t="s">
        <v>3648</v>
      </c>
      <c r="T66" s="9" t="s">
        <v>4555</v>
      </c>
      <c r="W66" s="9" t="s">
        <v>1675</v>
      </c>
      <c r="X66" s="9" t="s">
        <v>1575</v>
      </c>
      <c r="Y66" s="9" t="s">
        <v>5364</v>
      </c>
      <c r="Z66" s="9" t="s">
        <v>727</v>
      </c>
      <c r="AA66" s="9" t="s">
        <v>4956</v>
      </c>
    </row>
    <row r="67" spans="2:27" x14ac:dyDescent="0.25">
      <c r="B67" s="9" t="s">
        <v>3908</v>
      </c>
      <c r="E67" s="9" t="s">
        <v>2019</v>
      </c>
      <c r="F67" s="9" t="s">
        <v>4750</v>
      </c>
      <c r="H67" s="9" t="s">
        <v>2416</v>
      </c>
      <c r="I67" s="9" t="s">
        <v>2991</v>
      </c>
      <c r="J67" s="9" t="s">
        <v>4923</v>
      </c>
      <c r="K67" s="9" t="s">
        <v>2258</v>
      </c>
      <c r="L67" s="9" t="s">
        <v>1659</v>
      </c>
      <c r="M67" s="9" t="s">
        <v>4984</v>
      </c>
      <c r="N67" s="9" t="s">
        <v>4420</v>
      </c>
      <c r="O67" s="9" t="s">
        <v>2235</v>
      </c>
      <c r="P67" s="9" t="s">
        <v>5335</v>
      </c>
      <c r="Q67" s="9" t="s">
        <v>4662</v>
      </c>
      <c r="R67" s="9" t="s">
        <v>3309</v>
      </c>
      <c r="S67" s="9" t="s">
        <v>3490</v>
      </c>
      <c r="T67" s="9" t="s">
        <v>4497</v>
      </c>
      <c r="W67" s="9" t="s">
        <v>1379</v>
      </c>
      <c r="X67" s="9" t="s">
        <v>1540</v>
      </c>
      <c r="Y67" s="9" t="s">
        <v>5389</v>
      </c>
      <c r="Z67" s="9" t="s">
        <v>4036</v>
      </c>
      <c r="AA67" s="9" t="s">
        <v>5258</v>
      </c>
    </row>
    <row r="68" spans="2:27" x14ac:dyDescent="0.25">
      <c r="B68" s="9" t="s">
        <v>5311</v>
      </c>
      <c r="E68" s="9" t="s">
        <v>2098</v>
      </c>
      <c r="F68" s="9" t="s">
        <v>4178</v>
      </c>
      <c r="H68" s="9" t="s">
        <v>3437</v>
      </c>
      <c r="I68" s="9" t="s">
        <v>2373</v>
      </c>
      <c r="J68" s="9" t="s">
        <v>5565</v>
      </c>
      <c r="K68" s="9" t="s">
        <v>2482</v>
      </c>
      <c r="L68" s="9" t="s">
        <v>3026</v>
      </c>
      <c r="M68" s="9" t="s">
        <v>5744</v>
      </c>
      <c r="N68" s="9" t="s">
        <v>4072</v>
      </c>
      <c r="O68" s="9" t="s">
        <v>4234</v>
      </c>
      <c r="P68" s="9" t="s">
        <v>2400</v>
      </c>
      <c r="Q68" s="9" t="s">
        <v>5300</v>
      </c>
      <c r="R68" s="9" t="s">
        <v>3204</v>
      </c>
      <c r="S68" s="9" t="s">
        <v>3082</v>
      </c>
      <c r="T68" s="9" t="s">
        <v>5079</v>
      </c>
      <c r="W68" s="9" t="s">
        <v>1529</v>
      </c>
      <c r="X68" s="9" t="s">
        <v>1458</v>
      </c>
      <c r="Y68" s="9" t="s">
        <v>1486</v>
      </c>
      <c r="Z68" s="9" t="s">
        <v>3830</v>
      </c>
      <c r="AA68" s="9" t="s">
        <v>5292</v>
      </c>
    </row>
    <row r="69" spans="2:27" x14ac:dyDescent="0.25">
      <c r="B69" s="9" t="s">
        <v>5529</v>
      </c>
      <c r="E69" s="9" t="s">
        <v>2295</v>
      </c>
      <c r="F69" s="9" t="s">
        <v>4612</v>
      </c>
      <c r="H69" s="9" t="s">
        <v>3361</v>
      </c>
      <c r="I69" s="9" t="s">
        <v>5549</v>
      </c>
      <c r="J69" s="9" t="s">
        <v>4880</v>
      </c>
      <c r="K69" s="9" t="s">
        <v>565</v>
      </c>
      <c r="L69" s="9" t="s">
        <v>2898</v>
      </c>
      <c r="M69" s="9" t="s">
        <v>5604</v>
      </c>
      <c r="N69" s="9" t="s">
        <v>4060</v>
      </c>
      <c r="O69" s="9" t="s">
        <v>5177</v>
      </c>
      <c r="P69" s="9" t="s">
        <v>5056</v>
      </c>
      <c r="Q69" s="9" t="s">
        <v>4471</v>
      </c>
      <c r="R69" s="9" t="s">
        <v>847</v>
      </c>
      <c r="S69" s="9" t="s">
        <v>3068</v>
      </c>
      <c r="T69" s="9" t="s">
        <v>5745</v>
      </c>
      <c r="W69" s="9" t="s">
        <v>1203</v>
      </c>
      <c r="X69" s="9" t="s">
        <v>1285</v>
      </c>
      <c r="Y69" s="9" t="s">
        <v>2937</v>
      </c>
      <c r="Z69" s="9" t="s">
        <v>2774</v>
      </c>
      <c r="AA69" s="9" t="s">
        <v>4383</v>
      </c>
    </row>
    <row r="70" spans="2:27" x14ac:dyDescent="0.25">
      <c r="B70" s="9" t="s">
        <v>1968</v>
      </c>
      <c r="E70" s="9" t="s">
        <v>1888</v>
      </c>
      <c r="F70" s="9" t="s">
        <v>2334</v>
      </c>
      <c r="H70" s="9" t="s">
        <v>1820</v>
      </c>
      <c r="I70" s="9" t="s">
        <v>2947</v>
      </c>
      <c r="J70" s="9" t="s">
        <v>5000</v>
      </c>
      <c r="K70" s="9" t="s">
        <v>2697</v>
      </c>
      <c r="L70" s="9" t="s">
        <v>3524</v>
      </c>
      <c r="M70" s="9" t="s">
        <v>5635</v>
      </c>
      <c r="N70" s="9" t="s">
        <v>4125</v>
      </c>
      <c r="O70" s="9" t="s">
        <v>4240</v>
      </c>
      <c r="P70" s="9" t="s">
        <v>5069</v>
      </c>
      <c r="Q70" s="9" t="s">
        <v>5631</v>
      </c>
      <c r="R70" s="9" t="s">
        <v>999</v>
      </c>
      <c r="S70" s="9" t="s">
        <v>380</v>
      </c>
      <c r="T70" s="9" t="s">
        <v>5045</v>
      </c>
      <c r="W70" s="9" t="s">
        <v>1161</v>
      </c>
      <c r="X70" s="9" t="s">
        <v>1567</v>
      </c>
      <c r="Y70" s="9" t="s">
        <v>5361</v>
      </c>
      <c r="Z70" s="9" t="s">
        <v>3994</v>
      </c>
      <c r="AA70" s="9" t="s">
        <v>1427</v>
      </c>
    </row>
    <row r="71" spans="2:27" x14ac:dyDescent="0.25">
      <c r="B71" s="9" t="s">
        <v>5118</v>
      </c>
      <c r="E71" s="9" t="s">
        <v>4308</v>
      </c>
      <c r="F71" s="9" t="s">
        <v>1993</v>
      </c>
      <c r="H71" s="9" t="s">
        <v>1876</v>
      </c>
      <c r="I71" s="9" t="s">
        <v>2786</v>
      </c>
      <c r="J71" s="9" t="s">
        <v>4952</v>
      </c>
      <c r="K71" s="9" t="s">
        <v>2746</v>
      </c>
      <c r="L71" s="9" t="s">
        <v>2953</v>
      </c>
      <c r="M71" s="9" t="s">
        <v>5662</v>
      </c>
      <c r="N71" s="9" t="s">
        <v>4344</v>
      </c>
      <c r="O71" s="9" t="s">
        <v>5445</v>
      </c>
      <c r="P71" s="9" t="s">
        <v>2491</v>
      </c>
      <c r="Q71" s="9" t="s">
        <v>5400</v>
      </c>
      <c r="R71" s="9" t="s">
        <v>435</v>
      </c>
      <c r="S71" s="9" t="s">
        <v>3270</v>
      </c>
      <c r="T71" s="9" t="s">
        <v>5105</v>
      </c>
      <c r="W71" s="9" t="s">
        <v>3131</v>
      </c>
      <c r="X71" s="9" t="s">
        <v>1404</v>
      </c>
      <c r="Y71" s="9" t="s">
        <v>2571</v>
      </c>
      <c r="Z71" s="9" t="s">
        <v>3834</v>
      </c>
      <c r="AA71" s="9" t="s">
        <v>4495</v>
      </c>
    </row>
    <row r="72" spans="2:27" x14ac:dyDescent="0.25">
      <c r="B72" s="9" t="s">
        <v>2573</v>
      </c>
      <c r="E72" s="9" t="s">
        <v>5060</v>
      </c>
      <c r="F72" s="9" t="s">
        <v>4153</v>
      </c>
      <c r="H72" s="9" t="s">
        <v>1808</v>
      </c>
      <c r="I72" s="9" t="s">
        <v>2002</v>
      </c>
      <c r="J72" s="9" t="s">
        <v>4810</v>
      </c>
      <c r="K72" s="9" t="s">
        <v>1840</v>
      </c>
      <c r="L72" s="9" t="s">
        <v>3771</v>
      </c>
      <c r="M72" s="9" t="s">
        <v>5005</v>
      </c>
      <c r="N72" s="9" t="s">
        <v>4221</v>
      </c>
      <c r="O72" s="9" t="s">
        <v>2194</v>
      </c>
      <c r="P72" s="9" t="s">
        <v>2422</v>
      </c>
      <c r="Q72" s="9" t="s">
        <v>4822</v>
      </c>
      <c r="R72" s="9" t="s">
        <v>710</v>
      </c>
      <c r="S72" s="9" t="s">
        <v>3153</v>
      </c>
      <c r="T72" s="9" t="s">
        <v>4349</v>
      </c>
      <c r="W72" s="9" t="s">
        <v>1707</v>
      </c>
      <c r="X72" s="9" t="s">
        <v>789</v>
      </c>
      <c r="Y72" s="9" t="s">
        <v>5365</v>
      </c>
      <c r="Z72" s="9" t="s">
        <v>1783</v>
      </c>
      <c r="AA72" s="9" t="s">
        <v>4303</v>
      </c>
    </row>
    <row r="73" spans="2:27" x14ac:dyDescent="0.25">
      <c r="B73" s="9" t="s">
        <v>2587</v>
      </c>
      <c r="E73" s="9" t="s">
        <v>5571</v>
      </c>
      <c r="F73" s="9" t="s">
        <v>4598</v>
      </c>
      <c r="H73" s="9" t="s">
        <v>1936</v>
      </c>
      <c r="I73" s="9" t="s">
        <v>2833</v>
      </c>
      <c r="J73" s="9" t="s">
        <v>4884</v>
      </c>
      <c r="K73" s="9" t="s">
        <v>3387</v>
      </c>
      <c r="L73" s="9" t="s">
        <v>3315</v>
      </c>
      <c r="M73" s="9" t="s">
        <v>2995</v>
      </c>
      <c r="N73" s="9" t="s">
        <v>4214</v>
      </c>
      <c r="O73" s="9" t="s">
        <v>2113</v>
      </c>
      <c r="P73" s="9" t="s">
        <v>2424</v>
      </c>
      <c r="Q73" s="9" t="s">
        <v>4858</v>
      </c>
      <c r="R73" s="9" t="s">
        <v>434</v>
      </c>
      <c r="S73" s="9" t="s">
        <v>2070</v>
      </c>
      <c r="T73" s="9" t="s">
        <v>5036</v>
      </c>
      <c r="W73" s="9" t="s">
        <v>3130</v>
      </c>
      <c r="X73" s="9" t="s">
        <v>1221</v>
      </c>
      <c r="Y73" s="9" t="s">
        <v>5111</v>
      </c>
      <c r="Z73" s="9" t="s">
        <v>3240</v>
      </c>
      <c r="AA73" s="9" t="s">
        <v>4948</v>
      </c>
    </row>
    <row r="74" spans="2:27" x14ac:dyDescent="0.25">
      <c r="B74" s="9" t="s">
        <v>5339</v>
      </c>
      <c r="E74" s="9" t="s">
        <v>2354</v>
      </c>
      <c r="F74" s="9" t="s">
        <v>4340</v>
      </c>
      <c r="H74" s="9" t="s">
        <v>893</v>
      </c>
      <c r="I74" s="9" t="s">
        <v>2508</v>
      </c>
      <c r="J74" s="9" t="s">
        <v>4907</v>
      </c>
      <c r="K74" s="9" t="s">
        <v>587</v>
      </c>
      <c r="L74" s="9" t="s">
        <v>3395</v>
      </c>
      <c r="M74" s="9" t="s">
        <v>4845</v>
      </c>
      <c r="N74" s="9" t="s">
        <v>4185</v>
      </c>
      <c r="O74" s="9" t="s">
        <v>5395</v>
      </c>
      <c r="P74" s="9" t="s">
        <v>5602</v>
      </c>
      <c r="Q74" s="9" t="s">
        <v>4660</v>
      </c>
      <c r="R74" s="9" t="s">
        <v>3672</v>
      </c>
      <c r="S74" s="9" t="s">
        <v>1983</v>
      </c>
      <c r="T74" s="9" t="s">
        <v>4196</v>
      </c>
      <c r="W74" s="9" t="s">
        <v>1731</v>
      </c>
      <c r="X74" s="9" t="s">
        <v>1187</v>
      </c>
      <c r="Y74" s="9" t="s">
        <v>1859</v>
      </c>
      <c r="Z74" s="9" t="s">
        <v>3905</v>
      </c>
      <c r="AA74" s="9" t="s">
        <v>5239</v>
      </c>
    </row>
    <row r="75" spans="2:27" x14ac:dyDescent="0.25">
      <c r="B75" s="9" t="s">
        <v>5025</v>
      </c>
      <c r="E75" s="9" t="s">
        <v>2994</v>
      </c>
      <c r="F75" s="9" t="s">
        <v>4681</v>
      </c>
      <c r="H75" s="9" t="s">
        <v>3588</v>
      </c>
      <c r="I75" s="9" t="s">
        <v>2711</v>
      </c>
      <c r="J75" s="9" t="s">
        <v>4965</v>
      </c>
      <c r="K75" s="9" t="s">
        <v>3451</v>
      </c>
      <c r="L75" s="9" t="s">
        <v>2397</v>
      </c>
      <c r="M75" s="9" t="s">
        <v>4927</v>
      </c>
      <c r="N75" s="9" t="s">
        <v>5746</v>
      </c>
      <c r="O75" s="9" t="s">
        <v>2064</v>
      </c>
      <c r="P75" s="9" t="s">
        <v>2304</v>
      </c>
      <c r="Q75" s="9" t="s">
        <v>5557</v>
      </c>
      <c r="R75" s="9" t="s">
        <v>3288</v>
      </c>
      <c r="S75" s="9" t="s">
        <v>1942</v>
      </c>
      <c r="T75" s="9" t="s">
        <v>5172</v>
      </c>
      <c r="W75" s="9" t="s">
        <v>1559</v>
      </c>
      <c r="X75" s="9" t="s">
        <v>1100</v>
      </c>
      <c r="Y75" s="9" t="s">
        <v>2506</v>
      </c>
      <c r="Z75" s="9" t="s">
        <v>3870</v>
      </c>
      <c r="AA75" s="9" t="s">
        <v>4136</v>
      </c>
    </row>
    <row r="76" spans="2:27" x14ac:dyDescent="0.25">
      <c r="B76" s="9" t="s">
        <v>2226</v>
      </c>
      <c r="E76" s="9" t="s">
        <v>2551</v>
      </c>
      <c r="F76" s="9" t="s">
        <v>4316</v>
      </c>
      <c r="H76" s="9" t="s">
        <v>1854</v>
      </c>
      <c r="I76" s="9" t="s">
        <v>2317</v>
      </c>
      <c r="J76" s="9" t="s">
        <v>4104</v>
      </c>
      <c r="K76" s="9" t="s">
        <v>2609</v>
      </c>
      <c r="L76" s="9" t="s">
        <v>3311</v>
      </c>
      <c r="M76" s="9" t="s">
        <v>5657</v>
      </c>
      <c r="N76" s="9" t="s">
        <v>4193</v>
      </c>
      <c r="O76" s="9" t="s">
        <v>2141</v>
      </c>
      <c r="P76" s="9" t="s">
        <v>5357</v>
      </c>
      <c r="Q76" s="9" t="s">
        <v>4479</v>
      </c>
      <c r="R76" s="9" t="s">
        <v>818</v>
      </c>
      <c r="S76" s="9" t="s">
        <v>3418</v>
      </c>
      <c r="T76" s="9" t="s">
        <v>4541</v>
      </c>
      <c r="W76" s="9" t="s">
        <v>1644</v>
      </c>
      <c r="X76" s="9" t="s">
        <v>1123</v>
      </c>
      <c r="Y76" s="9" t="s">
        <v>2550</v>
      </c>
      <c r="Z76" s="9" t="s">
        <v>816</v>
      </c>
      <c r="AA76" s="9" t="s">
        <v>4916</v>
      </c>
    </row>
    <row r="77" spans="2:27" x14ac:dyDescent="0.25">
      <c r="B77" s="9" t="s">
        <v>2436</v>
      </c>
      <c r="E77" s="9" t="s">
        <v>1849</v>
      </c>
      <c r="F77" s="9" t="s">
        <v>5161</v>
      </c>
      <c r="H77" s="9" t="s">
        <v>2413</v>
      </c>
      <c r="I77" s="9" t="s">
        <v>2666</v>
      </c>
      <c r="J77" s="9" t="s">
        <v>4946</v>
      </c>
      <c r="K77" s="9" t="s">
        <v>588</v>
      </c>
      <c r="L77" s="9" t="s">
        <v>3326</v>
      </c>
      <c r="M77" s="9" t="s">
        <v>4905</v>
      </c>
      <c r="N77" s="9" t="s">
        <v>4075</v>
      </c>
      <c r="O77" s="9" t="s">
        <v>5407</v>
      </c>
      <c r="P77" s="9" t="s">
        <v>2519</v>
      </c>
      <c r="Q77" s="9" t="s">
        <v>4697</v>
      </c>
      <c r="R77" s="9" t="s">
        <v>774</v>
      </c>
      <c r="S77" s="9" t="s">
        <v>3355</v>
      </c>
      <c r="T77" s="9" t="s">
        <v>4543</v>
      </c>
      <c r="W77" s="9" t="s">
        <v>3088</v>
      </c>
      <c r="X77" s="9" t="s">
        <v>532</v>
      </c>
      <c r="Z77" s="9" t="s">
        <v>3747</v>
      </c>
      <c r="AA77" s="9" t="s">
        <v>4441</v>
      </c>
    </row>
    <row r="78" spans="2:27" x14ac:dyDescent="0.25">
      <c r="B78" s="9" t="s">
        <v>3020</v>
      </c>
      <c r="E78" s="9" t="s">
        <v>3464</v>
      </c>
      <c r="F78" s="9" t="s">
        <v>758</v>
      </c>
      <c r="H78" s="9" t="s">
        <v>2053</v>
      </c>
      <c r="I78" s="9" t="s">
        <v>2789</v>
      </c>
      <c r="J78" s="9" t="s">
        <v>4929</v>
      </c>
      <c r="K78" s="9" t="s">
        <v>589</v>
      </c>
      <c r="L78" s="9" t="s">
        <v>2336</v>
      </c>
      <c r="M78" s="9" t="s">
        <v>5666</v>
      </c>
      <c r="N78" s="9" t="s">
        <v>4331</v>
      </c>
      <c r="O78" s="9" t="s">
        <v>2290</v>
      </c>
      <c r="P78" s="9" t="s">
        <v>4058</v>
      </c>
      <c r="Q78" s="9" t="s">
        <v>5583</v>
      </c>
      <c r="R78" s="9" t="s">
        <v>804</v>
      </c>
      <c r="S78" s="9" t="s">
        <v>719</v>
      </c>
      <c r="T78" s="9" t="s">
        <v>4549</v>
      </c>
      <c r="W78" s="9" t="s">
        <v>1412</v>
      </c>
      <c r="X78" s="9" t="s">
        <v>1327</v>
      </c>
      <c r="Z78" s="9" t="s">
        <v>3708</v>
      </c>
      <c r="AA78" s="9" t="s">
        <v>4417</v>
      </c>
    </row>
    <row r="79" spans="2:27" x14ac:dyDescent="0.25">
      <c r="B79" s="9" t="s">
        <v>2591</v>
      </c>
      <c r="E79" s="9" t="s">
        <v>2353</v>
      </c>
      <c r="F79" s="9" t="s">
        <v>3121</v>
      </c>
      <c r="H79" s="9" t="s">
        <v>3353</v>
      </c>
      <c r="I79" s="9" t="s">
        <v>2581</v>
      </c>
      <c r="J79" s="9" t="s">
        <v>4903</v>
      </c>
      <c r="K79" s="9" t="s">
        <v>2157</v>
      </c>
      <c r="L79" s="9" t="s">
        <v>3551</v>
      </c>
      <c r="M79" s="9" t="s">
        <v>4999</v>
      </c>
      <c r="N79" s="9" t="s">
        <v>4395</v>
      </c>
      <c r="O79" s="9" t="s">
        <v>2232</v>
      </c>
      <c r="P79" s="9" t="s">
        <v>2440</v>
      </c>
      <c r="Q79" s="9" t="s">
        <v>4763</v>
      </c>
      <c r="R79" s="9" t="s">
        <v>3248</v>
      </c>
      <c r="S79" s="9" t="s">
        <v>3086</v>
      </c>
      <c r="T79" s="9" t="s">
        <v>4326</v>
      </c>
      <c r="W79" s="9" t="s">
        <v>1302</v>
      </c>
      <c r="X79" s="9" t="s">
        <v>1590</v>
      </c>
      <c r="Z79" s="9" t="s">
        <v>863</v>
      </c>
      <c r="AA79" s="9" t="s">
        <v>4888</v>
      </c>
    </row>
    <row r="80" spans="2:27" x14ac:dyDescent="0.25">
      <c r="B80" s="9" t="s">
        <v>5081</v>
      </c>
      <c r="E80" s="9" t="s">
        <v>5139</v>
      </c>
      <c r="F80" s="9" t="s">
        <v>4682</v>
      </c>
      <c r="I80" s="9" t="s">
        <v>5614</v>
      </c>
      <c r="J80" s="9" t="s">
        <v>4962</v>
      </c>
      <c r="K80" s="9" t="s">
        <v>3915</v>
      </c>
      <c r="L80" s="9" t="s">
        <v>3336</v>
      </c>
      <c r="M80" s="9" t="s">
        <v>4934</v>
      </c>
      <c r="N80" s="9" t="s">
        <v>4280</v>
      </c>
      <c r="O80" s="9" t="s">
        <v>4517</v>
      </c>
      <c r="P80" s="9" t="s">
        <v>2658</v>
      </c>
      <c r="Q80" s="9" t="s">
        <v>4737</v>
      </c>
      <c r="R80" s="9" t="s">
        <v>1551</v>
      </c>
      <c r="S80" s="9" t="s">
        <v>416</v>
      </c>
      <c r="T80" s="9" t="s">
        <v>4537</v>
      </c>
      <c r="W80" s="9" t="s">
        <v>1298</v>
      </c>
      <c r="X80" s="9" t="s">
        <v>1564</v>
      </c>
      <c r="Z80" s="9" t="s">
        <v>1764</v>
      </c>
      <c r="AA80" s="9" t="s">
        <v>5186</v>
      </c>
    </row>
    <row r="81" spans="2:27" x14ac:dyDescent="0.25">
      <c r="B81" s="9" t="s">
        <v>5085</v>
      </c>
      <c r="E81" s="9" t="s">
        <v>2706</v>
      </c>
      <c r="F81" s="9" t="s">
        <v>5436</v>
      </c>
      <c r="I81" s="9" t="s">
        <v>4233</v>
      </c>
      <c r="J81" s="9" t="s">
        <v>4953</v>
      </c>
      <c r="K81" s="9" t="s">
        <v>590</v>
      </c>
      <c r="M81" s="9" t="s">
        <v>4842</v>
      </c>
      <c r="N81" s="9" t="s">
        <v>4679</v>
      </c>
      <c r="O81" s="9" t="s">
        <v>2274</v>
      </c>
      <c r="P81" s="9" t="s">
        <v>4053</v>
      </c>
      <c r="Q81" s="9" t="s">
        <v>5548</v>
      </c>
      <c r="R81" s="9" t="s">
        <v>423</v>
      </c>
      <c r="S81" s="9" t="s">
        <v>720</v>
      </c>
      <c r="T81" s="9" t="s">
        <v>4554</v>
      </c>
      <c r="W81" s="9" t="s">
        <v>1627</v>
      </c>
      <c r="X81" s="9" t="s">
        <v>1372</v>
      </c>
      <c r="Z81" s="9" t="s">
        <v>1055</v>
      </c>
      <c r="AA81" s="9" t="s">
        <v>4838</v>
      </c>
    </row>
    <row r="82" spans="2:27" x14ac:dyDescent="0.25">
      <c r="B82" s="9" t="s">
        <v>5053</v>
      </c>
      <c r="E82" s="9" t="s">
        <v>5215</v>
      </c>
      <c r="F82" s="9" t="s">
        <v>4615</v>
      </c>
      <c r="I82" s="9" t="s">
        <v>3029</v>
      </c>
      <c r="J82" s="9" t="s">
        <v>4621</v>
      </c>
      <c r="K82" s="9" t="s">
        <v>591</v>
      </c>
      <c r="M82" s="9" t="s">
        <v>3179</v>
      </c>
      <c r="N82" s="9" t="s">
        <v>4357</v>
      </c>
      <c r="O82" s="9" t="s">
        <v>5197</v>
      </c>
      <c r="P82" s="9" t="s">
        <v>2533</v>
      </c>
      <c r="Q82" s="9" t="s">
        <v>4677</v>
      </c>
      <c r="R82" s="9" t="s">
        <v>1581</v>
      </c>
      <c r="S82" s="9" t="s">
        <v>1835</v>
      </c>
      <c r="T82" s="9" t="s">
        <v>4553</v>
      </c>
      <c r="W82" s="9" t="s">
        <v>1447</v>
      </c>
      <c r="X82" s="9" t="s">
        <v>1388</v>
      </c>
      <c r="Z82" s="9" t="s">
        <v>910</v>
      </c>
      <c r="AA82" s="9" t="s">
        <v>3632</v>
      </c>
    </row>
    <row r="83" spans="2:27" x14ac:dyDescent="0.25">
      <c r="B83" s="9" t="s">
        <v>2530</v>
      </c>
      <c r="E83" s="9" t="s">
        <v>2182</v>
      </c>
      <c r="F83" s="9" t="s">
        <v>4629</v>
      </c>
      <c r="I83" s="9" t="s">
        <v>2762</v>
      </c>
      <c r="J83" s="9" t="s">
        <v>4275</v>
      </c>
      <c r="K83" s="9" t="s">
        <v>2681</v>
      </c>
      <c r="M83" s="9" t="s">
        <v>4879</v>
      </c>
      <c r="N83" s="9" t="s">
        <v>4231</v>
      </c>
      <c r="O83" s="9" t="s">
        <v>5119</v>
      </c>
      <c r="P83" s="9" t="s">
        <v>2429</v>
      </c>
      <c r="Q83" s="9" t="s">
        <v>5559</v>
      </c>
      <c r="R83" s="9" t="s">
        <v>2147</v>
      </c>
      <c r="S83" s="9" t="s">
        <v>3141</v>
      </c>
      <c r="T83" s="9" t="s">
        <v>4135</v>
      </c>
      <c r="W83" s="9" t="s">
        <v>1208</v>
      </c>
      <c r="X83" s="9" t="s">
        <v>1335</v>
      </c>
      <c r="Z83" s="9" t="s">
        <v>4044</v>
      </c>
      <c r="AA83" s="9" t="s">
        <v>2050</v>
      </c>
    </row>
    <row r="84" spans="2:27" x14ac:dyDescent="0.25">
      <c r="B84" s="9" t="s">
        <v>5380</v>
      </c>
      <c r="E84" s="9" t="s">
        <v>2246</v>
      </c>
      <c r="F84" s="9" t="s">
        <v>4207</v>
      </c>
      <c r="I84" s="9" t="s">
        <v>2797</v>
      </c>
      <c r="J84" s="9" t="s">
        <v>4970</v>
      </c>
      <c r="K84" s="9" t="s">
        <v>2079</v>
      </c>
      <c r="M84" s="9" t="s">
        <v>5690</v>
      </c>
      <c r="N84" s="9" t="s">
        <v>5084</v>
      </c>
      <c r="O84" s="9" t="s">
        <v>2161</v>
      </c>
      <c r="P84" s="9" t="s">
        <v>5656</v>
      </c>
      <c r="Q84" s="9" t="s">
        <v>5271</v>
      </c>
      <c r="R84" s="9" t="s">
        <v>3306</v>
      </c>
      <c r="S84" s="9" t="s">
        <v>3104</v>
      </c>
      <c r="T84" s="9" t="s">
        <v>4508</v>
      </c>
      <c r="W84" s="9" t="s">
        <v>1168</v>
      </c>
      <c r="X84" s="9" t="s">
        <v>1204</v>
      </c>
      <c r="Z84" s="9" t="s">
        <v>3509</v>
      </c>
      <c r="AA84" s="9" t="s">
        <v>4446</v>
      </c>
    </row>
    <row r="85" spans="2:27" x14ac:dyDescent="0.25">
      <c r="B85" s="9" t="s">
        <v>5020</v>
      </c>
      <c r="E85" s="9" t="s">
        <v>5196</v>
      </c>
      <c r="F85" s="9" t="s">
        <v>4369</v>
      </c>
      <c r="I85" s="9" t="s">
        <v>2637</v>
      </c>
      <c r="J85" s="9" t="s">
        <v>4844</v>
      </c>
      <c r="K85" s="9" t="s">
        <v>890</v>
      </c>
      <c r="M85" s="9" t="s">
        <v>5694</v>
      </c>
      <c r="N85" s="9" t="s">
        <v>4269</v>
      </c>
      <c r="O85" s="9" t="s">
        <v>5393</v>
      </c>
      <c r="P85" s="9" t="s">
        <v>2289</v>
      </c>
      <c r="Q85" s="9" t="s">
        <v>5601</v>
      </c>
      <c r="R85" s="9" t="s">
        <v>461</v>
      </c>
      <c r="S85" s="9" t="s">
        <v>3328</v>
      </c>
      <c r="T85" s="9" t="s">
        <v>5107</v>
      </c>
      <c r="W85" s="9" t="s">
        <v>1468</v>
      </c>
      <c r="X85" s="9" t="s">
        <v>1373</v>
      </c>
      <c r="Z85" s="9" t="s">
        <v>2276</v>
      </c>
      <c r="AA85" s="9" t="s">
        <v>4848</v>
      </c>
    </row>
    <row r="86" spans="2:27" x14ac:dyDescent="0.25">
      <c r="B86" s="9" t="s">
        <v>1893</v>
      </c>
      <c r="E86" s="9" t="s">
        <v>2468</v>
      </c>
      <c r="F86" s="9" t="s">
        <v>4363</v>
      </c>
      <c r="I86" s="9" t="s">
        <v>2604</v>
      </c>
      <c r="J86" s="9" t="s">
        <v>4138</v>
      </c>
      <c r="K86" s="9" t="s">
        <v>592</v>
      </c>
      <c r="M86" s="9" t="s">
        <v>5645</v>
      </c>
      <c r="N86" s="9" t="s">
        <v>4315</v>
      </c>
      <c r="O86" s="9" t="s">
        <v>5144</v>
      </c>
      <c r="P86" s="9" t="s">
        <v>2552</v>
      </c>
      <c r="Q86" s="9" t="s">
        <v>5576</v>
      </c>
      <c r="R86" s="9" t="s">
        <v>463</v>
      </c>
      <c r="S86" s="9" t="s">
        <v>441</v>
      </c>
      <c r="T86" s="9" t="s">
        <v>4193</v>
      </c>
      <c r="W86" s="9" t="s">
        <v>1138</v>
      </c>
      <c r="X86" s="9" t="s">
        <v>1177</v>
      </c>
      <c r="Z86" s="9" t="s">
        <v>1014</v>
      </c>
      <c r="AA86" s="9" t="s">
        <v>4393</v>
      </c>
    </row>
    <row r="87" spans="2:27" x14ac:dyDescent="0.25">
      <c r="B87" s="9" t="s">
        <v>2615</v>
      </c>
      <c r="E87" s="9" t="s">
        <v>5032</v>
      </c>
      <c r="F87" s="9" t="s">
        <v>4131</v>
      </c>
      <c r="I87" s="9" t="s">
        <v>5555</v>
      </c>
      <c r="J87" s="9" t="s">
        <v>5324</v>
      </c>
      <c r="K87" s="9" t="s">
        <v>560</v>
      </c>
      <c r="M87" s="9" t="s">
        <v>4977</v>
      </c>
      <c r="N87" s="9" t="s">
        <v>5226</v>
      </c>
      <c r="O87" s="9" t="s">
        <v>2034</v>
      </c>
      <c r="P87" s="9" t="s">
        <v>5098</v>
      </c>
      <c r="Q87" s="9" t="s">
        <v>5450</v>
      </c>
      <c r="R87" s="9" t="s">
        <v>3272</v>
      </c>
      <c r="S87" s="9" t="s">
        <v>721</v>
      </c>
      <c r="T87" s="9" t="s">
        <v>1892</v>
      </c>
      <c r="W87" s="9" t="s">
        <v>1162</v>
      </c>
      <c r="X87" s="9" t="s">
        <v>1414</v>
      </c>
      <c r="Z87" s="9" t="s">
        <v>2733</v>
      </c>
      <c r="AA87" s="9" t="s">
        <v>4493</v>
      </c>
    </row>
    <row r="88" spans="2:27" x14ac:dyDescent="0.25">
      <c r="B88" s="9" t="s">
        <v>2592</v>
      </c>
      <c r="E88" s="9" t="s">
        <v>1885</v>
      </c>
      <c r="F88" s="9" t="s">
        <v>5747</v>
      </c>
      <c r="I88" s="9" t="s">
        <v>2929</v>
      </c>
      <c r="J88" s="9" t="s">
        <v>4115</v>
      </c>
      <c r="K88" s="9" t="s">
        <v>2670</v>
      </c>
      <c r="M88" s="9" t="s">
        <v>4749</v>
      </c>
      <c r="N88" s="9" t="s">
        <v>4423</v>
      </c>
      <c r="O88" s="9" t="s">
        <v>4516</v>
      </c>
      <c r="P88" s="9" t="s">
        <v>5016</v>
      </c>
      <c r="Q88" s="9" t="s">
        <v>5479</v>
      </c>
      <c r="R88" s="9" t="s">
        <v>749</v>
      </c>
      <c r="S88" s="9" t="s">
        <v>359</v>
      </c>
      <c r="T88" s="9" t="s">
        <v>5173</v>
      </c>
      <c r="W88" s="9" t="s">
        <v>1437</v>
      </c>
      <c r="X88" s="9" t="s">
        <v>370</v>
      </c>
      <c r="Z88" s="9" t="s">
        <v>1065</v>
      </c>
      <c r="AA88" s="9" t="s">
        <v>2175</v>
      </c>
    </row>
    <row r="89" spans="2:27" x14ac:dyDescent="0.25">
      <c r="B89" s="9" t="s">
        <v>5149</v>
      </c>
      <c r="E89" s="9" t="s">
        <v>5554</v>
      </c>
      <c r="F89" s="9" t="s">
        <v>5127</v>
      </c>
      <c r="I89" s="9" t="s">
        <v>2327</v>
      </c>
      <c r="J89" s="9" t="s">
        <v>4731</v>
      </c>
      <c r="K89" s="9" t="s">
        <v>2734</v>
      </c>
      <c r="M89" s="9" t="s">
        <v>5688</v>
      </c>
      <c r="N89" s="9" t="s">
        <v>4820</v>
      </c>
      <c r="O89" s="9" t="s">
        <v>5027</v>
      </c>
      <c r="P89" s="9" t="s">
        <v>5355</v>
      </c>
      <c r="Q89" s="9" t="s">
        <v>5485</v>
      </c>
      <c r="R89" s="9" t="s">
        <v>786</v>
      </c>
      <c r="S89" s="9" t="s">
        <v>722</v>
      </c>
      <c r="T89" s="9" t="s">
        <v>4327</v>
      </c>
      <c r="W89" s="9" t="s">
        <v>1121</v>
      </c>
      <c r="X89" s="9" t="s">
        <v>413</v>
      </c>
      <c r="Z89" s="9" t="s">
        <v>3965</v>
      </c>
      <c r="AA89" s="9" t="s">
        <v>4900</v>
      </c>
    </row>
    <row r="90" spans="2:27" x14ac:dyDescent="0.25">
      <c r="B90" s="9" t="s">
        <v>2558</v>
      </c>
      <c r="E90" s="9" t="s">
        <v>5322</v>
      </c>
      <c r="F90" s="9" t="s">
        <v>4385</v>
      </c>
      <c r="I90" s="9" t="s">
        <v>2364</v>
      </c>
      <c r="J90" s="9" t="s">
        <v>4847</v>
      </c>
      <c r="K90" s="9" t="s">
        <v>926</v>
      </c>
      <c r="M90" s="9" t="s">
        <v>4825</v>
      </c>
      <c r="N90" s="9" t="s">
        <v>4752</v>
      </c>
      <c r="O90" s="9" t="s">
        <v>1766</v>
      </c>
      <c r="P90" s="9" t="s">
        <v>5021</v>
      </c>
      <c r="Q90" s="9" t="s">
        <v>5511</v>
      </c>
      <c r="R90" s="9" t="s">
        <v>3171</v>
      </c>
      <c r="S90" s="9" t="s">
        <v>2282</v>
      </c>
      <c r="T90" s="9" t="s">
        <v>4085</v>
      </c>
      <c r="W90" s="9" t="s">
        <v>5748</v>
      </c>
      <c r="X90" s="9" t="s">
        <v>1331</v>
      </c>
      <c r="Z90" s="9" t="s">
        <v>3950</v>
      </c>
      <c r="AA90" s="9" t="s">
        <v>1637</v>
      </c>
    </row>
    <row r="91" spans="2:27" x14ac:dyDescent="0.25">
      <c r="B91" s="9" t="s">
        <v>5410</v>
      </c>
      <c r="E91" s="9" t="s">
        <v>2039</v>
      </c>
      <c r="F91" s="9" t="s">
        <v>4242</v>
      </c>
      <c r="I91" s="9" t="s">
        <v>2834</v>
      </c>
      <c r="J91" s="9" t="s">
        <v>4891</v>
      </c>
      <c r="K91" s="9" t="s">
        <v>593</v>
      </c>
      <c r="M91" s="9" t="s">
        <v>3057</v>
      </c>
      <c r="N91" s="9" t="s">
        <v>4298</v>
      </c>
      <c r="O91" s="9" t="s">
        <v>4209</v>
      </c>
      <c r="P91" s="9" t="s">
        <v>2830</v>
      </c>
      <c r="Q91" s="9" t="s">
        <v>5217</v>
      </c>
      <c r="R91" s="9" t="s">
        <v>469</v>
      </c>
      <c r="S91" s="9" t="s">
        <v>3405</v>
      </c>
      <c r="T91" s="9" t="s">
        <v>5510</v>
      </c>
      <c r="W91" s="9" t="s">
        <v>1295</v>
      </c>
      <c r="X91" s="9" t="s">
        <v>29</v>
      </c>
      <c r="Z91" s="9" t="s">
        <v>3827</v>
      </c>
      <c r="AA91" s="9" t="s">
        <v>4409</v>
      </c>
    </row>
    <row r="92" spans="2:27" x14ac:dyDescent="0.25">
      <c r="B92" s="9" t="s">
        <v>5134</v>
      </c>
      <c r="E92" s="9" t="s">
        <v>3017</v>
      </c>
      <c r="F92" s="9" t="s">
        <v>4658</v>
      </c>
      <c r="I92" s="9" t="s">
        <v>2915</v>
      </c>
      <c r="J92" s="9" t="s">
        <v>4404</v>
      </c>
      <c r="K92" s="9" t="s">
        <v>2690</v>
      </c>
      <c r="M92" s="9" t="s">
        <v>4129</v>
      </c>
      <c r="N92" s="9" t="s">
        <v>5749</v>
      </c>
      <c r="O92" s="9" t="s">
        <v>2115</v>
      </c>
      <c r="P92" s="9" t="s">
        <v>4957</v>
      </c>
      <c r="Q92" s="9" t="s">
        <v>4759</v>
      </c>
      <c r="R92" s="9" t="s">
        <v>1716</v>
      </c>
      <c r="S92" s="9" t="s">
        <v>3237</v>
      </c>
      <c r="T92" s="9" t="s">
        <v>5750</v>
      </c>
      <c r="W92" s="9" t="s">
        <v>1528</v>
      </c>
      <c r="X92" s="9" t="s">
        <v>1115</v>
      </c>
      <c r="Z92" s="9" t="s">
        <v>3821</v>
      </c>
      <c r="AA92" s="9" t="s">
        <v>5006</v>
      </c>
    </row>
    <row r="93" spans="2:27" x14ac:dyDescent="0.25">
      <c r="B93" s="9" t="s">
        <v>5391</v>
      </c>
      <c r="E93" s="9" t="s">
        <v>1914</v>
      </c>
      <c r="F93" s="9" t="s">
        <v>5283</v>
      </c>
      <c r="I93" s="9" t="s">
        <v>2707</v>
      </c>
      <c r="J93" s="9" t="s">
        <v>4600</v>
      </c>
      <c r="K93" s="9" t="s">
        <v>594</v>
      </c>
      <c r="M93" s="9" t="s">
        <v>4976</v>
      </c>
      <c r="N93" s="9" t="s">
        <v>4270</v>
      </c>
      <c r="O93" s="9" t="s">
        <v>4238</v>
      </c>
      <c r="P93" s="9" t="s">
        <v>1834</v>
      </c>
      <c r="Q93" s="9" t="s">
        <v>5528</v>
      </c>
      <c r="R93" s="9" t="s">
        <v>3196</v>
      </c>
      <c r="S93" s="9" t="s">
        <v>3497</v>
      </c>
      <c r="T93" s="9" t="s">
        <v>542</v>
      </c>
      <c r="W93" s="9" t="s">
        <v>1643</v>
      </c>
      <c r="X93" s="9" t="s">
        <v>3222</v>
      </c>
      <c r="Z93" s="9" t="s">
        <v>995</v>
      </c>
      <c r="AA93" s="9" t="s">
        <v>5661</v>
      </c>
    </row>
    <row r="94" spans="2:27" x14ac:dyDescent="0.25">
      <c r="B94" s="9" t="s">
        <v>5413</v>
      </c>
      <c r="E94" s="9" t="s">
        <v>2644</v>
      </c>
      <c r="F94" s="9" t="s">
        <v>5306</v>
      </c>
      <c r="I94" s="9" t="s">
        <v>2332</v>
      </c>
      <c r="J94" s="9" t="s">
        <v>4606</v>
      </c>
      <c r="K94" s="9" t="s">
        <v>1878</v>
      </c>
      <c r="M94" s="9" t="s">
        <v>3016</v>
      </c>
      <c r="N94" s="9" t="s">
        <v>4882</v>
      </c>
      <c r="O94" s="9" t="s">
        <v>4523</v>
      </c>
      <c r="P94" s="9" t="s">
        <v>2479</v>
      </c>
      <c r="Q94" s="9" t="s">
        <v>4712</v>
      </c>
      <c r="R94" s="9" t="s">
        <v>1425</v>
      </c>
      <c r="T94" s="9" t="s">
        <v>4535</v>
      </c>
      <c r="W94" s="9" t="s">
        <v>1534</v>
      </c>
      <c r="X94" s="9" t="s">
        <v>1624</v>
      </c>
      <c r="Z94" s="9" t="s">
        <v>4015</v>
      </c>
      <c r="AA94" s="9" t="s">
        <v>5238</v>
      </c>
    </row>
    <row r="95" spans="2:27" x14ac:dyDescent="0.25">
      <c r="B95" s="9" t="s">
        <v>2777</v>
      </c>
      <c r="E95" s="9" t="s">
        <v>2607</v>
      </c>
      <c r="F95" s="9" t="s">
        <v>5310</v>
      </c>
      <c r="I95" s="9" t="s">
        <v>5560</v>
      </c>
      <c r="J95" s="9" t="s">
        <v>4957</v>
      </c>
      <c r="K95" s="9" t="s">
        <v>3028</v>
      </c>
      <c r="M95" s="9" t="s">
        <v>5650</v>
      </c>
      <c r="N95" s="9" t="s">
        <v>4456</v>
      </c>
      <c r="O95" s="9" t="s">
        <v>5015</v>
      </c>
      <c r="P95" s="9" t="s">
        <v>453</v>
      </c>
      <c r="Q95" s="9" t="s">
        <v>4351</v>
      </c>
      <c r="R95" s="9" t="s">
        <v>3194</v>
      </c>
      <c r="T95" s="9" t="s">
        <v>4481</v>
      </c>
      <c r="W95" s="9" t="s">
        <v>1290</v>
      </c>
      <c r="X95" s="9" t="s">
        <v>1312</v>
      </c>
      <c r="Z95" s="9" t="s">
        <v>3930</v>
      </c>
      <c r="AA95" s="9" t="s">
        <v>5008</v>
      </c>
    </row>
    <row r="96" spans="2:27" x14ac:dyDescent="0.25">
      <c r="B96" s="9" t="s">
        <v>5009</v>
      </c>
      <c r="E96" s="9" t="s">
        <v>5330</v>
      </c>
      <c r="F96" s="9" t="s">
        <v>4432</v>
      </c>
      <c r="I96" s="9" t="s">
        <v>2787</v>
      </c>
      <c r="J96" s="9" t="s">
        <v>4424</v>
      </c>
      <c r="K96" s="9" t="s">
        <v>892</v>
      </c>
      <c r="M96" s="9" t="s">
        <v>5684</v>
      </c>
      <c r="N96" s="9" t="s">
        <v>4056</v>
      </c>
      <c r="O96" s="9" t="s">
        <v>5751</v>
      </c>
      <c r="P96" s="9" t="s">
        <v>1917</v>
      </c>
      <c r="Q96" s="9" t="s">
        <v>5556</v>
      </c>
      <c r="R96" s="9" t="s">
        <v>711</v>
      </c>
      <c r="T96" s="9" t="s">
        <v>4057</v>
      </c>
      <c r="W96" s="9" t="s">
        <v>3089</v>
      </c>
      <c r="X96" s="9" t="s">
        <v>1096</v>
      </c>
      <c r="Z96" s="9" t="s">
        <v>3943</v>
      </c>
      <c r="AA96" s="9" t="s">
        <v>5749</v>
      </c>
    </row>
    <row r="97" spans="2:27" x14ac:dyDescent="0.25">
      <c r="B97" s="9" t="s">
        <v>2600</v>
      </c>
      <c r="E97" s="9" t="s">
        <v>3517</v>
      </c>
      <c r="F97" s="9" t="s">
        <v>3443</v>
      </c>
      <c r="I97" s="9" t="s">
        <v>2821</v>
      </c>
      <c r="J97" s="9" t="s">
        <v>4865</v>
      </c>
      <c r="K97" s="9" t="s">
        <v>2612</v>
      </c>
      <c r="M97" s="9" t="s">
        <v>2997</v>
      </c>
      <c r="N97" s="9" t="s">
        <v>4212</v>
      </c>
      <c r="O97" s="9" t="s">
        <v>2143</v>
      </c>
      <c r="P97" s="9" t="s">
        <v>1913</v>
      </c>
      <c r="Q97" s="9" t="s">
        <v>5578</v>
      </c>
      <c r="R97" s="9" t="s">
        <v>527</v>
      </c>
      <c r="T97" s="9" t="s">
        <v>4571</v>
      </c>
      <c r="W97" s="9" t="s">
        <v>1274</v>
      </c>
      <c r="X97" s="9" t="s">
        <v>337</v>
      </c>
      <c r="Z97" s="9" t="s">
        <v>1052</v>
      </c>
      <c r="AA97" s="9" t="s">
        <v>4967</v>
      </c>
    </row>
    <row r="98" spans="2:27" x14ac:dyDescent="0.25">
      <c r="B98" s="9" t="s">
        <v>5752</v>
      </c>
      <c r="E98" s="9" t="s">
        <v>5468</v>
      </c>
      <c r="F98" s="9" t="s">
        <v>5471</v>
      </c>
      <c r="I98" s="9" t="s">
        <v>4702</v>
      </c>
      <c r="J98" s="9" t="s">
        <v>4889</v>
      </c>
      <c r="K98" s="9" t="s">
        <v>595</v>
      </c>
      <c r="M98" s="9" t="s">
        <v>5537</v>
      </c>
      <c r="N98" s="9" t="s">
        <v>4245</v>
      </c>
      <c r="O98" s="9" t="s">
        <v>2130</v>
      </c>
      <c r="P98" s="9" t="s">
        <v>5026</v>
      </c>
      <c r="Q98" s="9" t="s">
        <v>4664</v>
      </c>
      <c r="R98" s="9" t="s">
        <v>3407</v>
      </c>
      <c r="T98" s="9" t="s">
        <v>2500</v>
      </c>
      <c r="W98" s="9" t="s">
        <v>1685</v>
      </c>
      <c r="X98" s="9" t="s">
        <v>457</v>
      </c>
      <c r="Z98" s="9" t="s">
        <v>914</v>
      </c>
      <c r="AA98" s="9" t="s">
        <v>4951</v>
      </c>
    </row>
    <row r="99" spans="2:27" x14ac:dyDescent="0.25">
      <c r="B99" s="9" t="s">
        <v>2415</v>
      </c>
      <c r="E99" s="9" t="s">
        <v>2172</v>
      </c>
      <c r="F99" s="9" t="s">
        <v>4244</v>
      </c>
      <c r="I99" s="9" t="s">
        <v>2703</v>
      </c>
      <c r="J99" s="9" t="s">
        <v>4227</v>
      </c>
      <c r="K99" s="9" t="s">
        <v>894</v>
      </c>
      <c r="M99" s="9" t="s">
        <v>4893</v>
      </c>
      <c r="N99" s="9" t="s">
        <v>4261</v>
      </c>
      <c r="O99" s="9" t="s">
        <v>2165</v>
      </c>
      <c r="P99" s="9" t="s">
        <v>5039</v>
      </c>
      <c r="Q99" s="9" t="s">
        <v>5512</v>
      </c>
      <c r="R99" s="9" t="s">
        <v>772</v>
      </c>
      <c r="T99" s="9" t="s">
        <v>1853</v>
      </c>
      <c r="W99" s="9" t="s">
        <v>1267</v>
      </c>
      <c r="X99" s="9" t="s">
        <v>3065</v>
      </c>
      <c r="Z99" s="9" t="s">
        <v>3650</v>
      </c>
      <c r="AA99" s="9" t="s">
        <v>5269</v>
      </c>
    </row>
    <row r="100" spans="2:27" x14ac:dyDescent="0.25">
      <c r="B100" s="9" t="s">
        <v>2556</v>
      </c>
      <c r="E100" s="9" t="s">
        <v>2895</v>
      </c>
      <c r="F100" s="9" t="s">
        <v>5278</v>
      </c>
      <c r="I100" s="9" t="s">
        <v>2704</v>
      </c>
      <c r="J100" s="9" t="s">
        <v>4779</v>
      </c>
      <c r="K100" s="9" t="s">
        <v>2061</v>
      </c>
      <c r="M100" s="9" t="s">
        <v>2776</v>
      </c>
      <c r="N100" s="9" t="s">
        <v>4216</v>
      </c>
      <c r="O100" s="9" t="s">
        <v>5011</v>
      </c>
      <c r="P100" s="9" t="s">
        <v>2411</v>
      </c>
      <c r="Q100" s="9" t="s">
        <v>4700</v>
      </c>
      <c r="R100" s="9" t="s">
        <v>5753</v>
      </c>
      <c r="T100" s="9" t="s">
        <v>4498</v>
      </c>
      <c r="W100" s="9" t="s">
        <v>1646</v>
      </c>
      <c r="X100" s="9" t="s">
        <v>1306</v>
      </c>
      <c r="Z100" s="9" t="s">
        <v>936</v>
      </c>
      <c r="AA100" s="9" t="s">
        <v>4684</v>
      </c>
    </row>
    <row r="101" spans="2:27" x14ac:dyDescent="0.25">
      <c r="B101" s="9" t="s">
        <v>5418</v>
      </c>
      <c r="E101" s="9" t="s">
        <v>2124</v>
      </c>
      <c r="F101" s="9" t="s">
        <v>5182</v>
      </c>
      <c r="I101" s="9" t="s">
        <v>2680</v>
      </c>
      <c r="J101" s="9" t="s">
        <v>4806</v>
      </c>
      <c r="K101" s="9" t="s">
        <v>2497</v>
      </c>
      <c r="M101" s="9" t="s">
        <v>5582</v>
      </c>
      <c r="N101" s="9" t="s">
        <v>4219</v>
      </c>
      <c r="O101" s="9" t="s">
        <v>5484</v>
      </c>
      <c r="P101" s="9" t="s">
        <v>1941</v>
      </c>
      <c r="Q101" s="9" t="s">
        <v>5131</v>
      </c>
      <c r="R101" s="9" t="s">
        <v>1729</v>
      </c>
      <c r="T101" s="9" t="s">
        <v>4513</v>
      </c>
      <c r="W101" s="9" t="s">
        <v>1701</v>
      </c>
      <c r="X101" s="9" t="s">
        <v>1114</v>
      </c>
      <c r="Z101" s="9" t="s">
        <v>3175</v>
      </c>
      <c r="AA101" s="9" t="s">
        <v>4966</v>
      </c>
    </row>
    <row r="102" spans="2:27" x14ac:dyDescent="0.25">
      <c r="B102" s="9" t="s">
        <v>5422</v>
      </c>
      <c r="E102" s="9" t="s">
        <v>2084</v>
      </c>
      <c r="F102" s="9" t="s">
        <v>5465</v>
      </c>
      <c r="I102" s="9" t="s">
        <v>2792</v>
      </c>
      <c r="J102" s="9" t="s">
        <v>4814</v>
      </c>
      <c r="K102" s="9" t="s">
        <v>2243</v>
      </c>
      <c r="M102" s="9" t="s">
        <v>5693</v>
      </c>
      <c r="N102" s="9" t="s">
        <v>4289</v>
      </c>
      <c r="O102" s="9" t="s">
        <v>4527</v>
      </c>
      <c r="P102" s="9" t="s">
        <v>2121</v>
      </c>
      <c r="Q102" s="9" t="s">
        <v>5475</v>
      </c>
      <c r="R102" s="9" t="s">
        <v>3192</v>
      </c>
      <c r="T102" s="9" t="s">
        <v>4567</v>
      </c>
      <c r="W102" s="9" t="s">
        <v>1224</v>
      </c>
      <c r="X102" s="9" t="s">
        <v>1159</v>
      </c>
      <c r="Z102" s="9" t="s">
        <v>3820</v>
      </c>
      <c r="AA102" s="9" t="s">
        <v>5287</v>
      </c>
    </row>
    <row r="103" spans="2:27" x14ac:dyDescent="0.25">
      <c r="B103" s="9" t="s">
        <v>709</v>
      </c>
      <c r="E103" s="9" t="s">
        <v>2292</v>
      </c>
      <c r="F103" s="9" t="s">
        <v>4783</v>
      </c>
      <c r="I103" s="9" t="s">
        <v>2091</v>
      </c>
      <c r="J103" s="9" t="s">
        <v>4786</v>
      </c>
      <c r="K103" s="9" t="s">
        <v>2948</v>
      </c>
      <c r="M103" s="9" t="s">
        <v>5692</v>
      </c>
      <c r="N103" s="9" t="s">
        <v>5236</v>
      </c>
      <c r="O103" s="9" t="s">
        <v>4296</v>
      </c>
      <c r="P103" s="9" t="s">
        <v>1928</v>
      </c>
      <c r="Q103" s="9" t="s">
        <v>4708</v>
      </c>
      <c r="R103" s="9" t="s">
        <v>3298</v>
      </c>
      <c r="T103" s="9" t="s">
        <v>4068</v>
      </c>
      <c r="W103" s="9" t="s">
        <v>3139</v>
      </c>
      <c r="X103" s="9" t="s">
        <v>1167</v>
      </c>
      <c r="Z103" s="9" t="s">
        <v>728</v>
      </c>
      <c r="AA103" s="9" t="s">
        <v>4560</v>
      </c>
    </row>
    <row r="104" spans="2:27" x14ac:dyDescent="0.25">
      <c r="E104" s="9" t="s">
        <v>2279</v>
      </c>
      <c r="F104" s="9" t="s">
        <v>4647</v>
      </c>
      <c r="I104" s="9" t="s">
        <v>2992</v>
      </c>
      <c r="J104" s="9" t="s">
        <v>4841</v>
      </c>
      <c r="K104" s="9" t="s">
        <v>2858</v>
      </c>
      <c r="M104" s="9" t="s">
        <v>3053</v>
      </c>
      <c r="N104" s="9" t="s">
        <v>4754</v>
      </c>
      <c r="O104" s="9" t="s">
        <v>2266</v>
      </c>
      <c r="P104" s="9" t="s">
        <v>1821</v>
      </c>
      <c r="Q104" s="9" t="s">
        <v>5613</v>
      </c>
      <c r="R104" s="9" t="s">
        <v>857</v>
      </c>
      <c r="T104" s="9" t="s">
        <v>4129</v>
      </c>
      <c r="W104" s="9" t="s">
        <v>1342</v>
      </c>
      <c r="X104" s="9" t="s">
        <v>557</v>
      </c>
      <c r="Z104" s="9" t="s">
        <v>3911</v>
      </c>
      <c r="AA104" s="9" t="s">
        <v>4399</v>
      </c>
    </row>
    <row r="105" spans="2:27" x14ac:dyDescent="0.25">
      <c r="E105" s="9" t="s">
        <v>5013</v>
      </c>
      <c r="F105" s="9" t="s">
        <v>4150</v>
      </c>
      <c r="I105" s="9" t="s">
        <v>2861</v>
      </c>
      <c r="J105" s="9" t="s">
        <v>4430</v>
      </c>
      <c r="K105" s="9" t="s">
        <v>891</v>
      </c>
      <c r="M105" s="9" t="s">
        <v>4931</v>
      </c>
      <c r="N105" s="9" t="s">
        <v>5211</v>
      </c>
      <c r="O105" s="9" t="s">
        <v>4565</v>
      </c>
      <c r="P105" s="9" t="s">
        <v>5052</v>
      </c>
      <c r="Q105" s="9" t="s">
        <v>5288</v>
      </c>
      <c r="R105" s="9" t="s">
        <v>1672</v>
      </c>
      <c r="T105" s="9" t="s">
        <v>4158</v>
      </c>
      <c r="W105" s="9" t="s">
        <v>1477</v>
      </c>
      <c r="X105" s="9" t="s">
        <v>3125</v>
      </c>
      <c r="Z105" s="9" t="s">
        <v>1003</v>
      </c>
      <c r="AA105" s="9" t="s">
        <v>4341</v>
      </c>
    </row>
    <row r="106" spans="2:27" x14ac:dyDescent="0.25">
      <c r="E106" s="9" t="s">
        <v>1848</v>
      </c>
      <c r="F106" s="9" t="s">
        <v>4176</v>
      </c>
      <c r="I106" s="9" t="s">
        <v>1993</v>
      </c>
      <c r="J106" s="9" t="s">
        <v>4943</v>
      </c>
      <c r="K106" s="9" t="s">
        <v>2925</v>
      </c>
      <c r="M106" s="9" t="s">
        <v>5566</v>
      </c>
      <c r="N106" s="9" t="s">
        <v>4101</v>
      </c>
      <c r="O106" s="9" t="s">
        <v>2054</v>
      </c>
      <c r="P106" s="9" t="s">
        <v>5064</v>
      </c>
      <c r="Q106" s="9" t="s">
        <v>4490</v>
      </c>
      <c r="R106" s="9" t="s">
        <v>3214</v>
      </c>
      <c r="T106" s="9" t="s">
        <v>5086</v>
      </c>
      <c r="W106" s="9" t="s">
        <v>1677</v>
      </c>
      <c r="X106" s="9" t="s">
        <v>1314</v>
      </c>
      <c r="Z106" s="9" t="s">
        <v>3801</v>
      </c>
      <c r="AA106" s="9" t="s">
        <v>4944</v>
      </c>
    </row>
    <row r="107" spans="2:27" x14ac:dyDescent="0.25">
      <c r="E107" s="9" t="s">
        <v>2453</v>
      </c>
      <c r="F107" s="9" t="s">
        <v>4345</v>
      </c>
      <c r="I107" s="9" t="s">
        <v>3030</v>
      </c>
      <c r="J107" s="9" t="s">
        <v>4875</v>
      </c>
      <c r="K107" s="9" t="s">
        <v>938</v>
      </c>
      <c r="M107" s="9" t="s">
        <v>4857</v>
      </c>
      <c r="N107" s="9" t="s">
        <v>4128</v>
      </c>
      <c r="O107" s="9" t="s">
        <v>2154</v>
      </c>
      <c r="P107" s="9" t="s">
        <v>2728</v>
      </c>
      <c r="Q107" s="9" t="s">
        <v>5606</v>
      </c>
      <c r="R107" s="9" t="s">
        <v>3199</v>
      </c>
      <c r="T107" s="9" t="s">
        <v>4143</v>
      </c>
      <c r="W107" s="9" t="s">
        <v>1705</v>
      </c>
      <c r="X107" s="9" t="s">
        <v>5754</v>
      </c>
      <c r="Z107" s="9" t="s">
        <v>3831</v>
      </c>
      <c r="AA107" s="9" t="s">
        <v>4832</v>
      </c>
    </row>
    <row r="108" spans="2:27" x14ac:dyDescent="0.25">
      <c r="E108" s="9" t="s">
        <v>2201</v>
      </c>
      <c r="F108" s="9" t="s">
        <v>4632</v>
      </c>
      <c r="I108" s="9" t="s">
        <v>2159</v>
      </c>
      <c r="J108" s="9" t="s">
        <v>4314</v>
      </c>
      <c r="K108" s="9" t="s">
        <v>2657</v>
      </c>
      <c r="M108" s="9" t="s">
        <v>3035</v>
      </c>
      <c r="N108" s="9" t="s">
        <v>4117</v>
      </c>
      <c r="O108" s="9" t="s">
        <v>4065</v>
      </c>
      <c r="P108" s="9" t="s">
        <v>2447</v>
      </c>
      <c r="Q108" s="9" t="s">
        <v>5598</v>
      </c>
      <c r="R108" s="9" t="s">
        <v>3589</v>
      </c>
      <c r="T108" s="9" t="s">
        <v>2281</v>
      </c>
      <c r="W108" s="9" t="s">
        <v>1303</v>
      </c>
      <c r="X108" s="9" t="s">
        <v>5755</v>
      </c>
      <c r="Z108" s="9" t="s">
        <v>1087</v>
      </c>
      <c r="AA108" s="9" t="s">
        <v>3164</v>
      </c>
    </row>
    <row r="109" spans="2:27" x14ac:dyDescent="0.25">
      <c r="E109" s="9" t="s">
        <v>1851</v>
      </c>
      <c r="F109" s="9" t="s">
        <v>4690</v>
      </c>
      <c r="I109" s="9" t="s">
        <v>2663</v>
      </c>
      <c r="J109" s="9" t="s">
        <v>4089</v>
      </c>
      <c r="K109" s="9" t="s">
        <v>2770</v>
      </c>
      <c r="M109" s="9" t="s">
        <v>4776</v>
      </c>
      <c r="N109" s="9" t="s">
        <v>4050</v>
      </c>
      <c r="O109" s="9" t="s">
        <v>5756</v>
      </c>
      <c r="P109" s="9" t="s">
        <v>2574</v>
      </c>
      <c r="Q109" s="9" t="s">
        <v>5369</v>
      </c>
      <c r="R109" s="9" t="s">
        <v>3211</v>
      </c>
      <c r="T109" s="9" t="s">
        <v>4106</v>
      </c>
      <c r="W109" s="9" t="s">
        <v>1339</v>
      </c>
      <c r="X109" s="9" t="s">
        <v>1455</v>
      </c>
      <c r="Z109" s="9" t="s">
        <v>1033</v>
      </c>
      <c r="AA109" s="9" t="s">
        <v>4785</v>
      </c>
    </row>
    <row r="110" spans="2:27" x14ac:dyDescent="0.25">
      <c r="E110" s="9" t="s">
        <v>2906</v>
      </c>
      <c r="F110" s="9" t="s">
        <v>2138</v>
      </c>
      <c r="I110" s="9" t="s">
        <v>2842</v>
      </c>
      <c r="J110" s="9" t="s">
        <v>5589</v>
      </c>
      <c r="K110" s="9" t="s">
        <v>2879</v>
      </c>
      <c r="M110" s="9" t="s">
        <v>4774</v>
      </c>
      <c r="N110" s="9" t="s">
        <v>5757</v>
      </c>
      <c r="O110" s="9" t="s">
        <v>4795</v>
      </c>
      <c r="P110" s="9" t="s">
        <v>2499</v>
      </c>
      <c r="Q110" s="9" t="s">
        <v>5664</v>
      </c>
      <c r="R110" s="9" t="s">
        <v>3165</v>
      </c>
      <c r="T110" s="9" t="s">
        <v>4570</v>
      </c>
      <c r="W110" s="9" t="s">
        <v>1275</v>
      </c>
      <c r="X110" s="9" t="s">
        <v>1511</v>
      </c>
      <c r="Z110" s="9" t="s">
        <v>3684</v>
      </c>
      <c r="AA110" s="9" t="s">
        <v>4287</v>
      </c>
    </row>
    <row r="111" spans="2:27" x14ac:dyDescent="0.25">
      <c r="E111" s="9" t="s">
        <v>3410</v>
      </c>
      <c r="F111" s="9" t="s">
        <v>4715</v>
      </c>
      <c r="I111" s="9" t="s">
        <v>2727</v>
      </c>
      <c r="J111" s="9" t="s">
        <v>4272</v>
      </c>
      <c r="K111" s="9" t="s">
        <v>2144</v>
      </c>
      <c r="M111" s="9" t="s">
        <v>5683</v>
      </c>
      <c r="N111" s="9" t="s">
        <v>4307</v>
      </c>
      <c r="O111" s="9" t="s">
        <v>4163</v>
      </c>
      <c r="P111" s="9" t="s">
        <v>5055</v>
      </c>
      <c r="Q111" s="9" t="s">
        <v>4489</v>
      </c>
      <c r="R111" s="9" t="s">
        <v>3224</v>
      </c>
      <c r="T111" s="9" t="s">
        <v>4187</v>
      </c>
      <c r="W111" s="9" t="s">
        <v>1626</v>
      </c>
      <c r="X111" s="9" t="s">
        <v>1317</v>
      </c>
      <c r="Z111" s="9" t="s">
        <v>1058</v>
      </c>
      <c r="AA111" s="9" t="s">
        <v>4975</v>
      </c>
    </row>
    <row r="112" spans="2:27" x14ac:dyDescent="0.25">
      <c r="E112" s="9" t="s">
        <v>3054</v>
      </c>
      <c r="F112" s="9" t="s">
        <v>2432</v>
      </c>
      <c r="I112" s="9" t="s">
        <v>2966</v>
      </c>
      <c r="J112" s="9" t="s">
        <v>4406</v>
      </c>
      <c r="K112" s="9" t="s">
        <v>3461</v>
      </c>
      <c r="M112" s="9" t="s">
        <v>5629</v>
      </c>
      <c r="N112" s="9" t="s">
        <v>4431</v>
      </c>
      <c r="O112" s="9" t="s">
        <v>2306</v>
      </c>
      <c r="P112" s="9" t="s">
        <v>5088</v>
      </c>
      <c r="Q112" s="9" t="s">
        <v>1913</v>
      </c>
      <c r="R112" s="9" t="s">
        <v>507</v>
      </c>
      <c r="T112" s="9" t="s">
        <v>4052</v>
      </c>
      <c r="W112" s="9" t="s">
        <v>1438</v>
      </c>
      <c r="X112" s="9" t="s">
        <v>1397</v>
      </c>
      <c r="Z112" s="9" t="s">
        <v>729</v>
      </c>
      <c r="AA112" s="9" t="s">
        <v>4283</v>
      </c>
    </row>
    <row r="113" spans="5:27" x14ac:dyDescent="0.25">
      <c r="E113" s="9" t="s">
        <v>4480</v>
      </c>
      <c r="F113" s="9" t="s">
        <v>4382</v>
      </c>
      <c r="I113" s="9" t="s">
        <v>3031</v>
      </c>
      <c r="J113" s="9" t="s">
        <v>4302</v>
      </c>
      <c r="K113" s="9" t="s">
        <v>3362</v>
      </c>
      <c r="M113" s="9" t="s">
        <v>5625</v>
      </c>
      <c r="N113" s="9" t="s">
        <v>4297</v>
      </c>
      <c r="O113" s="9" t="s">
        <v>4118</v>
      </c>
      <c r="P113" s="9" t="s">
        <v>5019</v>
      </c>
      <c r="Q113" s="9" t="s">
        <v>5503</v>
      </c>
      <c r="R113" s="9" t="s">
        <v>3187</v>
      </c>
      <c r="T113" s="9" t="s">
        <v>4552</v>
      </c>
      <c r="W113" s="9" t="s">
        <v>1581</v>
      </c>
      <c r="X113" s="9" t="s">
        <v>3134</v>
      </c>
      <c r="Z113" s="9" t="s">
        <v>3807</v>
      </c>
      <c r="AA113" s="9" t="s">
        <v>4821</v>
      </c>
    </row>
    <row r="114" spans="5:27" x14ac:dyDescent="0.25">
      <c r="E114" s="9" t="s">
        <v>1852</v>
      </c>
      <c r="F114" s="9" t="s">
        <v>4380</v>
      </c>
      <c r="I114" s="9" t="s">
        <v>2969</v>
      </c>
      <c r="J114" s="9" t="s">
        <v>5265</v>
      </c>
      <c r="K114" s="9" t="s">
        <v>1081</v>
      </c>
      <c r="M114" s="9" t="s">
        <v>4986</v>
      </c>
      <c r="N114" s="9" t="s">
        <v>4805</v>
      </c>
      <c r="O114" s="9" t="s">
        <v>5099</v>
      </c>
      <c r="P114" s="9" t="s">
        <v>2667</v>
      </c>
      <c r="Q114" s="9" t="s">
        <v>5616</v>
      </c>
      <c r="R114" s="9" t="s">
        <v>808</v>
      </c>
      <c r="T114" s="9" t="s">
        <v>4532</v>
      </c>
      <c r="W114" s="9" t="s">
        <v>1700</v>
      </c>
      <c r="X114" s="9" t="s">
        <v>1093</v>
      </c>
      <c r="Z114" s="9" t="s">
        <v>3895</v>
      </c>
      <c r="AA114" s="9" t="s">
        <v>4782</v>
      </c>
    </row>
    <row r="115" spans="5:27" x14ac:dyDescent="0.25">
      <c r="E115" s="9" t="s">
        <v>2082</v>
      </c>
      <c r="F115" s="9" t="s">
        <v>5243</v>
      </c>
      <c r="I115" s="9" t="s">
        <v>5573</v>
      </c>
      <c r="J115" s="9" t="s">
        <v>4625</v>
      </c>
      <c r="K115" s="9" t="s">
        <v>2867</v>
      </c>
      <c r="M115" s="9" t="s">
        <v>5281</v>
      </c>
      <c r="N115" s="9" t="s">
        <v>4215</v>
      </c>
      <c r="O115" s="9" t="s">
        <v>5489</v>
      </c>
      <c r="P115" s="9" t="s">
        <v>5114</v>
      </c>
      <c r="Q115" s="9" t="s">
        <v>4472</v>
      </c>
      <c r="R115" s="9" t="s">
        <v>558</v>
      </c>
      <c r="T115" s="9" t="s">
        <v>4556</v>
      </c>
      <c r="W115" s="9" t="s">
        <v>1712</v>
      </c>
      <c r="X115" s="9" t="s">
        <v>269</v>
      </c>
      <c r="Z115" s="9" t="s">
        <v>3652</v>
      </c>
      <c r="AA115" s="9" t="s">
        <v>4813</v>
      </c>
    </row>
    <row r="116" spans="5:27" x14ac:dyDescent="0.25">
      <c r="E116" s="9" t="s">
        <v>4624</v>
      </c>
      <c r="F116" s="9" t="s">
        <v>4359</v>
      </c>
      <c r="I116" s="9" t="s">
        <v>2934</v>
      </c>
      <c r="J116" s="9" t="s">
        <v>4883</v>
      </c>
      <c r="K116" s="9" t="s">
        <v>845</v>
      </c>
      <c r="M116" s="9" t="s">
        <v>4798</v>
      </c>
      <c r="N116" s="9" t="s">
        <v>4142</v>
      </c>
      <c r="O116" s="9" t="s">
        <v>2261</v>
      </c>
      <c r="P116" s="9" t="s">
        <v>5143</v>
      </c>
      <c r="Q116" s="9" t="s">
        <v>4855</v>
      </c>
      <c r="R116" s="9" t="s">
        <v>1135</v>
      </c>
      <c r="T116" s="9" t="s">
        <v>4545</v>
      </c>
      <c r="W116" s="9" t="s">
        <v>1436</v>
      </c>
      <c r="X116" s="9" t="s">
        <v>1269</v>
      </c>
      <c r="Z116" s="9" t="s">
        <v>3647</v>
      </c>
      <c r="AA116" s="9" t="s">
        <v>5251</v>
      </c>
    </row>
    <row r="117" spans="5:27" x14ac:dyDescent="0.25">
      <c r="E117" s="9" t="s">
        <v>2214</v>
      </c>
      <c r="F117" s="9" t="s">
        <v>4656</v>
      </c>
      <c r="I117" s="9" t="s">
        <v>2883</v>
      </c>
      <c r="J117" s="9" t="s">
        <v>4686</v>
      </c>
      <c r="K117" s="9" t="s">
        <v>596</v>
      </c>
      <c r="M117" s="9" t="s">
        <v>1488</v>
      </c>
      <c r="N117" s="9" t="s">
        <v>4179</v>
      </c>
      <c r="O117" s="9" t="s">
        <v>4155</v>
      </c>
      <c r="P117" s="9" t="s">
        <v>5090</v>
      </c>
      <c r="Q117" s="9" t="s">
        <v>5533</v>
      </c>
      <c r="R117" s="9" t="s">
        <v>3291</v>
      </c>
      <c r="T117" s="9" t="s">
        <v>4159</v>
      </c>
      <c r="W117" s="9" t="s">
        <v>1324</v>
      </c>
      <c r="X117" s="9" t="s">
        <v>1375</v>
      </c>
      <c r="Z117" s="9" t="s">
        <v>3848</v>
      </c>
      <c r="AA117" s="9" t="s">
        <v>4445</v>
      </c>
    </row>
    <row r="118" spans="5:27" x14ac:dyDescent="0.25">
      <c r="E118" s="9" t="s">
        <v>2443</v>
      </c>
      <c r="F118" s="9" t="s">
        <v>5315</v>
      </c>
      <c r="I118" s="9" t="s">
        <v>2891</v>
      </c>
      <c r="J118" s="9" t="s">
        <v>5579</v>
      </c>
      <c r="K118" s="9" t="s">
        <v>875</v>
      </c>
      <c r="M118" s="9" t="s">
        <v>5633</v>
      </c>
      <c r="N118" s="9" t="s">
        <v>4070</v>
      </c>
      <c r="O118" s="9" t="s">
        <v>2268</v>
      </c>
      <c r="P118" s="9" t="s">
        <v>1986</v>
      </c>
      <c r="Q118" s="9" t="s">
        <v>4709</v>
      </c>
      <c r="R118" s="9" t="s">
        <v>3303</v>
      </c>
      <c r="T118" s="9" t="s">
        <v>4112</v>
      </c>
      <c r="W118" s="9" t="s">
        <v>3584</v>
      </c>
      <c r="X118" s="9" t="s">
        <v>1478</v>
      </c>
      <c r="Z118" s="9" t="s">
        <v>3769</v>
      </c>
      <c r="AA118" s="9" t="s">
        <v>4736</v>
      </c>
    </row>
    <row r="119" spans="5:27" x14ac:dyDescent="0.25">
      <c r="E119" s="9" t="s">
        <v>5210</v>
      </c>
      <c r="F119" s="9" t="s">
        <v>4653</v>
      </c>
      <c r="I119" s="9" t="s">
        <v>3025</v>
      </c>
      <c r="J119" s="9" t="s">
        <v>3189</v>
      </c>
      <c r="K119" s="9" t="s">
        <v>1937</v>
      </c>
      <c r="M119" s="9" t="s">
        <v>3040</v>
      </c>
      <c r="N119" s="9" t="s">
        <v>4788</v>
      </c>
      <c r="O119" s="9" t="s">
        <v>4501</v>
      </c>
      <c r="P119" s="9" t="s">
        <v>2083</v>
      </c>
      <c r="Q119" s="9" t="s">
        <v>5305</v>
      </c>
      <c r="R119" s="9" t="s">
        <v>3788</v>
      </c>
      <c r="T119" s="9" t="s">
        <v>4611</v>
      </c>
      <c r="W119" s="9" t="s">
        <v>1385</v>
      </c>
      <c r="X119" s="9" t="s">
        <v>487</v>
      </c>
      <c r="Z119" s="9" t="s">
        <v>1032</v>
      </c>
      <c r="AA119" s="9" t="s">
        <v>4932</v>
      </c>
    </row>
    <row r="120" spans="5:27" x14ac:dyDescent="0.25">
      <c r="E120" s="9" t="s">
        <v>5758</v>
      </c>
      <c r="F120" s="9" t="s">
        <v>3052</v>
      </c>
      <c r="I120" s="9" t="s">
        <v>3058</v>
      </c>
      <c r="J120" s="9" t="s">
        <v>4675</v>
      </c>
      <c r="K120" s="9" t="s">
        <v>970</v>
      </c>
      <c r="M120" s="9" t="s">
        <v>5676</v>
      </c>
      <c r="N120" s="9" t="s">
        <v>4342</v>
      </c>
      <c r="O120" s="9" t="s">
        <v>2664</v>
      </c>
      <c r="P120" s="9" t="s">
        <v>1855</v>
      </c>
      <c r="Q120" s="9" t="s">
        <v>4603</v>
      </c>
      <c r="R120" s="9" t="s">
        <v>3327</v>
      </c>
      <c r="T120" s="9" t="s">
        <v>2250</v>
      </c>
      <c r="W120" s="9" t="s">
        <v>1505</v>
      </c>
      <c r="X120" s="9" t="s">
        <v>1697</v>
      </c>
      <c r="Z120" s="9" t="s">
        <v>1756</v>
      </c>
      <c r="AA120" s="9" t="s">
        <v>4906</v>
      </c>
    </row>
    <row r="121" spans="5:27" x14ac:dyDescent="0.25">
      <c r="E121" s="9" t="s">
        <v>2643</v>
      </c>
      <c r="F121" s="9" t="s">
        <v>4623</v>
      </c>
      <c r="I121" s="9" t="s">
        <v>5518</v>
      </c>
      <c r="J121" s="9" t="s">
        <v>4181</v>
      </c>
      <c r="K121" s="9" t="s">
        <v>1000</v>
      </c>
      <c r="M121" s="9" t="s">
        <v>4797</v>
      </c>
      <c r="N121" s="9" t="s">
        <v>5320</v>
      </c>
      <c r="O121" s="9" t="s">
        <v>5101</v>
      </c>
      <c r="P121" s="9" t="s">
        <v>2500</v>
      </c>
      <c r="Q121" s="9" t="s">
        <v>5591</v>
      </c>
      <c r="R121" s="9" t="s">
        <v>3216</v>
      </c>
      <c r="T121" s="9" t="s">
        <v>2492</v>
      </c>
      <c r="W121" s="9" t="s">
        <v>1519</v>
      </c>
      <c r="X121" s="9" t="s">
        <v>1543</v>
      </c>
      <c r="Z121" s="9" t="s">
        <v>3928</v>
      </c>
      <c r="AA121" s="9" t="s">
        <v>4707</v>
      </c>
    </row>
    <row r="122" spans="5:27" x14ac:dyDescent="0.25">
      <c r="E122" s="9" t="s">
        <v>2060</v>
      </c>
      <c r="F122" s="9" t="s">
        <v>2335</v>
      </c>
      <c r="I122" s="9" t="s">
        <v>2816</v>
      </c>
      <c r="J122" s="9" t="s">
        <v>4694</v>
      </c>
      <c r="K122" s="9" t="s">
        <v>2993</v>
      </c>
      <c r="M122" s="9" t="s">
        <v>5671</v>
      </c>
      <c r="N122" s="9" t="s">
        <v>4256</v>
      </c>
      <c r="O122" s="9" t="s">
        <v>2212</v>
      </c>
      <c r="P122" s="9" t="s">
        <v>5334</v>
      </c>
      <c r="Q122" s="9" t="s">
        <v>5586</v>
      </c>
      <c r="R122" s="9" t="s">
        <v>3585</v>
      </c>
      <c r="T122" s="9" t="s">
        <v>1750</v>
      </c>
      <c r="W122" s="9" t="s">
        <v>1343</v>
      </c>
      <c r="X122" s="9" t="s">
        <v>431</v>
      </c>
      <c r="Z122" s="9" t="s">
        <v>3623</v>
      </c>
      <c r="AA122" s="9" t="s">
        <v>4990</v>
      </c>
    </row>
    <row r="123" spans="5:27" x14ac:dyDescent="0.25">
      <c r="E123" s="9" t="s">
        <v>1979</v>
      </c>
      <c r="F123" s="9" t="s">
        <v>4446</v>
      </c>
      <c r="I123" s="9" t="s">
        <v>3015</v>
      </c>
      <c r="J123" s="9" t="s">
        <v>4890</v>
      </c>
      <c r="K123" s="9" t="s">
        <v>3044</v>
      </c>
      <c r="M123" s="9" t="s">
        <v>5691</v>
      </c>
      <c r="N123" s="9" t="s">
        <v>4913</v>
      </c>
      <c r="O123" s="9" t="s">
        <v>2576</v>
      </c>
      <c r="P123" s="9" t="s">
        <v>5073</v>
      </c>
      <c r="Q123" s="9" t="s">
        <v>5526</v>
      </c>
      <c r="R123" s="9" t="s">
        <v>791</v>
      </c>
      <c r="T123" s="9" t="s">
        <v>4485</v>
      </c>
      <c r="W123" s="9" t="s">
        <v>3126</v>
      </c>
      <c r="X123" s="9" t="s">
        <v>1656</v>
      </c>
      <c r="Z123" s="9" t="s">
        <v>550</v>
      </c>
      <c r="AA123" s="9" t="s">
        <v>4874</v>
      </c>
    </row>
    <row r="124" spans="5:27" x14ac:dyDescent="0.25">
      <c r="E124" s="9" t="s">
        <v>2149</v>
      </c>
      <c r="F124" s="9" t="s">
        <v>4607</v>
      </c>
      <c r="I124" s="9" t="s">
        <v>2798</v>
      </c>
      <c r="J124" s="9" t="s">
        <v>4160</v>
      </c>
      <c r="K124" s="9" t="s">
        <v>2316</v>
      </c>
      <c r="M124" s="9" t="s">
        <v>5299</v>
      </c>
      <c r="N124" s="9" t="s">
        <v>4078</v>
      </c>
      <c r="O124" s="9" t="s">
        <v>2385</v>
      </c>
      <c r="P124" s="9" t="s">
        <v>4494</v>
      </c>
      <c r="Q124" s="9" t="s">
        <v>5444</v>
      </c>
      <c r="R124" s="9" t="s">
        <v>3594</v>
      </c>
      <c r="T124" s="9" t="s">
        <v>4544</v>
      </c>
      <c r="W124" s="9" t="s">
        <v>1300</v>
      </c>
      <c r="X124" s="9" t="s">
        <v>782</v>
      </c>
      <c r="Z124" s="9" t="s">
        <v>3574</v>
      </c>
      <c r="AA124" s="9" t="s">
        <v>4190</v>
      </c>
    </row>
    <row r="125" spans="5:27" x14ac:dyDescent="0.25">
      <c r="E125" s="9" t="s">
        <v>1177</v>
      </c>
      <c r="F125" s="9" t="s">
        <v>5298</v>
      </c>
      <c r="I125" s="9" t="s">
        <v>2943</v>
      </c>
      <c r="J125" s="9" t="s">
        <v>4586</v>
      </c>
      <c r="K125" s="9" t="s">
        <v>597</v>
      </c>
      <c r="M125" s="9" t="s">
        <v>5619</v>
      </c>
      <c r="N125" s="9" t="s">
        <v>4088</v>
      </c>
      <c r="O125" s="9" t="s">
        <v>2335</v>
      </c>
      <c r="P125" s="9" t="s">
        <v>2484</v>
      </c>
      <c r="Q125" s="9" t="s">
        <v>5302</v>
      </c>
      <c r="R125" s="9" t="s">
        <v>794</v>
      </c>
      <c r="T125" s="9" t="s">
        <v>5100</v>
      </c>
      <c r="W125" s="9" t="s">
        <v>1670</v>
      </c>
      <c r="X125" s="9" t="s">
        <v>1105</v>
      </c>
      <c r="Z125" s="9" t="s">
        <v>2330</v>
      </c>
      <c r="AA125" s="9" t="s">
        <v>4894</v>
      </c>
    </row>
    <row r="126" spans="5:27" x14ac:dyDescent="0.25">
      <c r="E126" s="9" t="s">
        <v>2627</v>
      </c>
      <c r="F126" s="9" t="s">
        <v>4323</v>
      </c>
      <c r="I126" s="9" t="s">
        <v>2952</v>
      </c>
      <c r="J126" s="9" t="s">
        <v>4933</v>
      </c>
      <c r="K126" s="9" t="s">
        <v>2753</v>
      </c>
      <c r="M126" s="9" t="s">
        <v>2405</v>
      </c>
      <c r="N126" s="9" t="s">
        <v>4426</v>
      </c>
      <c r="O126" s="9" t="s">
        <v>5093</v>
      </c>
      <c r="P126" s="9" t="s">
        <v>2208</v>
      </c>
      <c r="Q126" s="9" t="s">
        <v>5467</v>
      </c>
      <c r="R126" s="9" t="s">
        <v>1751</v>
      </c>
      <c r="T126" s="9" t="s">
        <v>4083</v>
      </c>
      <c r="W126" s="9" t="s">
        <v>1738</v>
      </c>
      <c r="X126" s="9" t="s">
        <v>1682</v>
      </c>
      <c r="Z126" s="9" t="s">
        <v>1082</v>
      </c>
      <c r="AA126" s="9" t="s">
        <v>4994</v>
      </c>
    </row>
    <row r="127" spans="5:27" x14ac:dyDescent="0.25">
      <c r="E127" s="9" t="s">
        <v>1945</v>
      </c>
      <c r="F127" s="9" t="s">
        <v>5170</v>
      </c>
      <c r="I127" s="9" t="s">
        <v>2909</v>
      </c>
      <c r="J127" s="9" t="s">
        <v>4807</v>
      </c>
      <c r="K127" s="9" t="s">
        <v>2131</v>
      </c>
      <c r="M127" s="9" t="s">
        <v>4440</v>
      </c>
      <c r="N127" s="9" t="s">
        <v>4339</v>
      </c>
      <c r="O127" s="9" t="s">
        <v>5425</v>
      </c>
      <c r="P127" s="9" t="s">
        <v>1329</v>
      </c>
      <c r="Q127" s="9" t="s">
        <v>5623</v>
      </c>
      <c r="R127" s="9" t="s">
        <v>3138</v>
      </c>
      <c r="T127" s="9" t="s">
        <v>2219</v>
      </c>
      <c r="W127" s="9" t="s">
        <v>1690</v>
      </c>
      <c r="X127" s="9" t="s">
        <v>3140</v>
      </c>
      <c r="Z127" s="9" t="s">
        <v>3937</v>
      </c>
      <c r="AA127" s="9" t="s">
        <v>4770</v>
      </c>
    </row>
    <row r="128" spans="5:27" x14ac:dyDescent="0.25">
      <c r="E128" s="9" t="s">
        <v>3546</v>
      </c>
      <c r="F128" s="9" t="s">
        <v>4151</v>
      </c>
      <c r="I128" s="9" t="s">
        <v>2917</v>
      </c>
      <c r="J128" s="9" t="s">
        <v>4587</v>
      </c>
      <c r="K128" s="9" t="s">
        <v>598</v>
      </c>
      <c r="M128" s="9" t="s">
        <v>4852</v>
      </c>
      <c r="N128" s="9" t="s">
        <v>5087</v>
      </c>
      <c r="O128" s="9" t="s">
        <v>2217</v>
      </c>
      <c r="P128" s="9" t="s">
        <v>5206</v>
      </c>
      <c r="Q128" s="9" t="s">
        <v>5563</v>
      </c>
      <c r="R128" s="9" t="s">
        <v>3266</v>
      </c>
      <c r="T128" s="9" t="s">
        <v>5509</v>
      </c>
      <c r="W128" s="9" t="s">
        <v>1425</v>
      </c>
      <c r="X128" s="9" t="s">
        <v>1588</v>
      </c>
      <c r="Z128" s="9" t="s">
        <v>3502</v>
      </c>
      <c r="AA128" s="9" t="s">
        <v>4918</v>
      </c>
    </row>
    <row r="129" spans="5:27" x14ac:dyDescent="0.25">
      <c r="E129" s="9" t="s">
        <v>3230</v>
      </c>
      <c r="F129" s="9" t="s">
        <v>4169</v>
      </c>
      <c r="I129" s="9" t="s">
        <v>3055</v>
      </c>
      <c r="J129" s="9" t="s">
        <v>5759</v>
      </c>
      <c r="K129" s="9" t="s">
        <v>2248</v>
      </c>
      <c r="M129" s="9" t="s">
        <v>4995</v>
      </c>
      <c r="N129" s="9" t="s">
        <v>720</v>
      </c>
      <c r="O129" s="9" t="s">
        <v>4446</v>
      </c>
      <c r="P129" s="9" t="s">
        <v>2120</v>
      </c>
      <c r="Q129" s="9" t="s">
        <v>4768</v>
      </c>
      <c r="R129" s="9" t="s">
        <v>771</v>
      </c>
      <c r="T129" s="9" t="s">
        <v>4574</v>
      </c>
      <c r="W129" s="9" t="s">
        <v>1256</v>
      </c>
      <c r="X129" s="9" t="s">
        <v>3219</v>
      </c>
      <c r="Z129" s="9" t="s">
        <v>3668</v>
      </c>
      <c r="AA129" s="9" t="s">
        <v>4915</v>
      </c>
    </row>
    <row r="130" spans="5:27" x14ac:dyDescent="0.25">
      <c r="E130" s="9" t="s">
        <v>3510</v>
      </c>
      <c r="F130" s="9" t="s">
        <v>2350</v>
      </c>
      <c r="I130" s="9" t="s">
        <v>5575</v>
      </c>
      <c r="J130" s="9" t="s">
        <v>4614</v>
      </c>
      <c r="K130" s="9" t="s">
        <v>3323</v>
      </c>
      <c r="M130" s="9" t="s">
        <v>4973</v>
      </c>
      <c r="N130" s="9" t="s">
        <v>4295</v>
      </c>
      <c r="O130" s="9" t="s">
        <v>2188</v>
      </c>
      <c r="P130" s="9" t="s">
        <v>2463</v>
      </c>
      <c r="Q130" s="9" t="s">
        <v>5618</v>
      </c>
      <c r="R130" s="9" t="s">
        <v>3606</v>
      </c>
      <c r="T130" s="9" t="s">
        <v>4224</v>
      </c>
      <c r="W130" s="9" t="s">
        <v>3597</v>
      </c>
      <c r="X130" s="9" t="s">
        <v>1368</v>
      </c>
      <c r="Z130" s="9" t="s">
        <v>3762</v>
      </c>
      <c r="AA130" s="9" t="s">
        <v>4899</v>
      </c>
    </row>
    <row r="131" spans="5:27" x14ac:dyDescent="0.25">
      <c r="E131" s="9" t="s">
        <v>2990</v>
      </c>
      <c r="F131" s="9" t="s">
        <v>4610</v>
      </c>
      <c r="I131" s="9" t="s">
        <v>2886</v>
      </c>
      <c r="J131" s="9" t="s">
        <v>4073</v>
      </c>
      <c r="K131" s="9" t="s">
        <v>2994</v>
      </c>
      <c r="M131" s="9" t="s">
        <v>4901</v>
      </c>
      <c r="N131" s="9" t="s">
        <v>4121</v>
      </c>
      <c r="O131" s="9" t="s">
        <v>5760</v>
      </c>
      <c r="P131" s="9" t="s">
        <v>4216</v>
      </c>
      <c r="Q131" s="9" t="s">
        <v>4799</v>
      </c>
      <c r="R131" s="9" t="s">
        <v>3103</v>
      </c>
      <c r="T131" s="9" t="s">
        <v>5159</v>
      </c>
      <c r="W131" s="9" t="s">
        <v>3396</v>
      </c>
      <c r="X131" s="9" t="s">
        <v>3602</v>
      </c>
      <c r="Z131" s="9" t="s">
        <v>1036</v>
      </c>
      <c r="AA131" s="9" t="s">
        <v>4998</v>
      </c>
    </row>
    <row r="132" spans="5:27" x14ac:dyDescent="0.25">
      <c r="E132" s="9" t="s">
        <v>5296</v>
      </c>
      <c r="F132" s="9" t="s">
        <v>4267</v>
      </c>
      <c r="I132" s="9" t="s">
        <v>2771</v>
      </c>
      <c r="J132" s="9" t="s">
        <v>4354</v>
      </c>
      <c r="K132" s="9" t="s">
        <v>2353</v>
      </c>
      <c r="M132" s="9" t="s">
        <v>5284</v>
      </c>
      <c r="N132" s="9" t="s">
        <v>4299</v>
      </c>
      <c r="O132" s="9" t="s">
        <v>2215</v>
      </c>
      <c r="P132" s="9" t="s">
        <v>2452</v>
      </c>
      <c r="Q132" s="9" t="s">
        <v>5473</v>
      </c>
      <c r="R132" s="9" t="s">
        <v>3215</v>
      </c>
      <c r="T132" s="9" t="s">
        <v>4097</v>
      </c>
      <c r="W132" s="9" t="s">
        <v>1720</v>
      </c>
      <c r="X132" s="9" t="s">
        <v>724</v>
      </c>
      <c r="Z132" s="9" t="s">
        <v>1771</v>
      </c>
      <c r="AA132" s="9" t="s">
        <v>4524</v>
      </c>
    </row>
    <row r="133" spans="5:27" x14ac:dyDescent="0.25">
      <c r="E133" s="9" t="s">
        <v>2345</v>
      </c>
      <c r="F133" s="9" t="s">
        <v>2328</v>
      </c>
      <c r="I133" s="9" t="s">
        <v>2585</v>
      </c>
      <c r="J133" s="9" t="s">
        <v>4854</v>
      </c>
      <c r="K133" s="9" t="s">
        <v>797</v>
      </c>
      <c r="M133" s="9" t="s">
        <v>2362</v>
      </c>
      <c r="N133" s="9" t="s">
        <v>4189</v>
      </c>
      <c r="O133" s="9" t="s">
        <v>2633</v>
      </c>
      <c r="P133" s="9" t="s">
        <v>5488</v>
      </c>
      <c r="Q133" s="9" t="s">
        <v>5235</v>
      </c>
      <c r="R133" s="9" t="s">
        <v>1706</v>
      </c>
      <c r="T133" s="9" t="s">
        <v>1895</v>
      </c>
      <c r="W133" s="9" t="s">
        <v>1247</v>
      </c>
      <c r="X133" s="9" t="s">
        <v>1341</v>
      </c>
      <c r="Z133" s="9" t="s">
        <v>1759</v>
      </c>
      <c r="AA133" s="9" t="s">
        <v>4583</v>
      </c>
    </row>
    <row r="134" spans="5:27" x14ac:dyDescent="0.25">
      <c r="E134" s="9" t="s">
        <v>5151</v>
      </c>
      <c r="F134" s="9" t="s">
        <v>4126</v>
      </c>
      <c r="I134" s="9" t="s">
        <v>2192</v>
      </c>
      <c r="J134" s="9" t="s">
        <v>4830</v>
      </c>
      <c r="K134" s="9" t="s">
        <v>943</v>
      </c>
      <c r="M134" s="9" t="s">
        <v>4921</v>
      </c>
      <c r="N134" s="9" t="s">
        <v>5138</v>
      </c>
      <c r="O134" s="9" t="s">
        <v>2204</v>
      </c>
      <c r="P134" s="9" t="s">
        <v>4110</v>
      </c>
      <c r="Q134" s="9" t="s">
        <v>5076</v>
      </c>
      <c r="R134" s="9" t="s">
        <v>3390</v>
      </c>
      <c r="T134" s="9" t="s">
        <v>4518</v>
      </c>
      <c r="W134" s="9" t="s">
        <v>1357</v>
      </c>
      <c r="X134" s="9" t="s">
        <v>373</v>
      </c>
      <c r="Z134" s="9" t="s">
        <v>1048</v>
      </c>
      <c r="AA134" s="9" t="s">
        <v>4828</v>
      </c>
    </row>
    <row r="135" spans="5:27" x14ac:dyDescent="0.25">
      <c r="E135" s="9" t="s">
        <v>2155</v>
      </c>
      <c r="F135" s="9" t="s">
        <v>4164</v>
      </c>
      <c r="I135" s="9" t="s">
        <v>2972</v>
      </c>
      <c r="J135" s="9" t="s">
        <v>4876</v>
      </c>
      <c r="K135" s="9" t="s">
        <v>599</v>
      </c>
      <c r="M135" s="9" t="s">
        <v>3049</v>
      </c>
      <c r="N135" s="9" t="s">
        <v>4666</v>
      </c>
      <c r="O135" s="9" t="s">
        <v>4498</v>
      </c>
      <c r="P135" s="9" t="s">
        <v>2457</v>
      </c>
      <c r="Q135" s="9" t="s">
        <v>5644</v>
      </c>
      <c r="R135" s="9" t="s">
        <v>3183</v>
      </c>
      <c r="T135" s="9" t="s">
        <v>4582</v>
      </c>
      <c r="W135" s="9" t="s">
        <v>1452</v>
      </c>
      <c r="X135" s="9" t="s">
        <v>1389</v>
      </c>
      <c r="Z135" s="9" t="s">
        <v>3867</v>
      </c>
      <c r="AA135" s="9" t="s">
        <v>4442</v>
      </c>
    </row>
    <row r="136" spans="5:27" x14ac:dyDescent="0.25">
      <c r="E136" s="9" t="s">
        <v>4762</v>
      </c>
      <c r="F136" s="9" t="s">
        <v>2272</v>
      </c>
      <c r="I136" s="9" t="s">
        <v>2089</v>
      </c>
      <c r="J136" s="9" t="s">
        <v>4824</v>
      </c>
      <c r="K136" s="9" t="s">
        <v>600</v>
      </c>
      <c r="M136" s="9" t="s">
        <v>5679</v>
      </c>
      <c r="N136" s="9" t="s">
        <v>4630</v>
      </c>
      <c r="O136" s="9" t="s">
        <v>5291</v>
      </c>
      <c r="P136" s="9" t="s">
        <v>5336</v>
      </c>
      <c r="Q136" s="9" t="s">
        <v>5550</v>
      </c>
      <c r="R136" s="9" t="s">
        <v>2876</v>
      </c>
      <c r="T136" s="9" t="s">
        <v>4119</v>
      </c>
      <c r="W136" s="9" t="s">
        <v>1332</v>
      </c>
      <c r="X136" s="9" t="s">
        <v>1288</v>
      </c>
      <c r="Z136" s="9" t="s">
        <v>4002</v>
      </c>
      <c r="AA136" s="9" t="s">
        <v>4961</v>
      </c>
    </row>
    <row r="137" spans="5:27" x14ac:dyDescent="0.25">
      <c r="E137" s="9" t="s">
        <v>2137</v>
      </c>
      <c r="F137" s="9" t="s">
        <v>4353</v>
      </c>
      <c r="I137" s="9" t="s">
        <v>2710</v>
      </c>
      <c r="J137" s="9" t="s">
        <v>4077</v>
      </c>
      <c r="K137" s="9" t="s">
        <v>2881</v>
      </c>
      <c r="M137" s="9" t="s">
        <v>4902</v>
      </c>
      <c r="N137" s="9" t="s">
        <v>4391</v>
      </c>
      <c r="O137" s="9" t="s">
        <v>4494</v>
      </c>
      <c r="P137" s="9" t="s">
        <v>5043</v>
      </c>
      <c r="Q137" s="9" t="s">
        <v>5607</v>
      </c>
      <c r="R137" s="9" t="s">
        <v>759</v>
      </c>
      <c r="T137" s="9" t="s">
        <v>5066</v>
      </c>
      <c r="W137" s="9" t="s">
        <v>1762</v>
      </c>
      <c r="X137" s="9" t="s">
        <v>3132</v>
      </c>
      <c r="Z137" s="9" t="s">
        <v>3759</v>
      </c>
      <c r="AA137" s="9" t="s">
        <v>4954</v>
      </c>
    </row>
    <row r="138" spans="5:27" x14ac:dyDescent="0.25">
      <c r="E138" s="9" t="s">
        <v>5195</v>
      </c>
      <c r="F138" s="9" t="s">
        <v>5199</v>
      </c>
      <c r="I138" s="9" t="s">
        <v>2103</v>
      </c>
      <c r="J138" s="9" t="s">
        <v>4748</v>
      </c>
      <c r="K138" s="9" t="s">
        <v>2767</v>
      </c>
      <c r="M138" s="9" t="s">
        <v>5273</v>
      </c>
      <c r="N138" s="9" t="s">
        <v>5240</v>
      </c>
      <c r="O138" s="9" t="s">
        <v>5199</v>
      </c>
      <c r="P138" s="9" t="s">
        <v>2101</v>
      </c>
      <c r="Q138" s="9" t="s">
        <v>4939</v>
      </c>
      <c r="R138" s="9" t="s">
        <v>367</v>
      </c>
      <c r="T138" s="9" t="s">
        <v>1086</v>
      </c>
      <c r="W138" s="9" t="s">
        <v>1362</v>
      </c>
      <c r="X138" s="9" t="s">
        <v>1119</v>
      </c>
      <c r="Z138" s="9" t="s">
        <v>2754</v>
      </c>
      <c r="AA138" s="9" t="s">
        <v>4422</v>
      </c>
    </row>
    <row r="139" spans="5:27" x14ac:dyDescent="0.25">
      <c r="E139" s="9" t="s">
        <v>2699</v>
      </c>
      <c r="F139" s="9" t="s">
        <v>2580</v>
      </c>
      <c r="I139" s="9" t="s">
        <v>2623</v>
      </c>
      <c r="J139" s="9" t="s">
        <v>4862</v>
      </c>
      <c r="K139" s="9" t="s">
        <v>2831</v>
      </c>
      <c r="M139" s="9" t="s">
        <v>5615</v>
      </c>
      <c r="N139" s="9" t="s">
        <v>4229</v>
      </c>
      <c r="O139" s="9" t="s">
        <v>2181</v>
      </c>
      <c r="P139" s="9" t="s">
        <v>1966</v>
      </c>
      <c r="Q139" s="9" t="s">
        <v>5523</v>
      </c>
      <c r="R139" s="9" t="s">
        <v>3063</v>
      </c>
      <c r="T139" s="9" t="s">
        <v>4167</v>
      </c>
      <c r="W139" s="9" t="s">
        <v>1676</v>
      </c>
      <c r="X139" s="9" t="s">
        <v>1699</v>
      </c>
      <c r="Z139" s="9" t="s">
        <v>3753</v>
      </c>
      <c r="AA139" s="9" t="s">
        <v>4991</v>
      </c>
    </row>
    <row r="140" spans="5:27" x14ac:dyDescent="0.25">
      <c r="E140" s="9" t="s">
        <v>5225</v>
      </c>
      <c r="F140" s="9" t="s">
        <v>4959</v>
      </c>
      <c r="I140" s="9" t="s">
        <v>2742</v>
      </c>
      <c r="J140" s="9" t="s">
        <v>4620</v>
      </c>
      <c r="K140" s="9" t="s">
        <v>1991</v>
      </c>
      <c r="M140" s="9" t="s">
        <v>5668</v>
      </c>
      <c r="N140" s="9" t="s">
        <v>5462</v>
      </c>
      <c r="O140" s="9" t="s">
        <v>5341</v>
      </c>
      <c r="P140" s="9" t="s">
        <v>2521</v>
      </c>
      <c r="Q140" s="9" t="s">
        <v>5599</v>
      </c>
      <c r="R140" s="9" t="s">
        <v>3120</v>
      </c>
      <c r="T140" s="9" t="s">
        <v>3609</v>
      </c>
      <c r="W140" s="9" t="s">
        <v>3096</v>
      </c>
      <c r="X140" s="9" t="s">
        <v>1953</v>
      </c>
      <c r="Z140" s="9" t="s">
        <v>930</v>
      </c>
      <c r="AA140" s="9" t="s">
        <v>4914</v>
      </c>
    </row>
    <row r="141" spans="5:27" x14ac:dyDescent="0.25">
      <c r="E141" s="9" t="s">
        <v>5181</v>
      </c>
      <c r="F141" s="9" t="s">
        <v>5216</v>
      </c>
      <c r="I141" s="9" t="s">
        <v>2832</v>
      </c>
      <c r="J141" s="9" t="s">
        <v>4649</v>
      </c>
      <c r="K141" s="9" t="s">
        <v>2805</v>
      </c>
      <c r="M141" s="9" t="s">
        <v>5677</v>
      </c>
      <c r="N141" s="9" t="s">
        <v>4416</v>
      </c>
      <c r="O141" s="9" t="s">
        <v>4239</v>
      </c>
      <c r="P141" s="9" t="s">
        <v>1824</v>
      </c>
      <c r="Q141" s="9" t="s">
        <v>1202</v>
      </c>
      <c r="R141" s="9" t="s">
        <v>745</v>
      </c>
      <c r="T141" s="9" t="s">
        <v>3094</v>
      </c>
      <c r="W141" s="9" t="s">
        <v>1434</v>
      </c>
      <c r="X141" s="9" t="s">
        <v>1294</v>
      </c>
      <c r="Z141" s="9" t="s">
        <v>3671</v>
      </c>
    </row>
    <row r="142" spans="5:27" x14ac:dyDescent="0.25">
      <c r="E142" s="9" t="s">
        <v>5129</v>
      </c>
      <c r="F142" s="9" t="s">
        <v>4091</v>
      </c>
      <c r="I142" s="9" t="s">
        <v>2751</v>
      </c>
      <c r="J142" s="9" t="s">
        <v>4332</v>
      </c>
      <c r="K142" s="9" t="s">
        <v>3448</v>
      </c>
      <c r="M142" s="9" t="s">
        <v>5256</v>
      </c>
      <c r="N142" s="9" t="s">
        <v>4066</v>
      </c>
      <c r="O142" s="9" t="s">
        <v>5141</v>
      </c>
      <c r="P142" s="9" t="s">
        <v>2486</v>
      </c>
      <c r="Q142" s="9" t="s">
        <v>5593</v>
      </c>
      <c r="R142" s="9" t="s">
        <v>712</v>
      </c>
      <c r="T142" s="9" t="s">
        <v>5033</v>
      </c>
      <c r="W142" s="9" t="s">
        <v>1126</v>
      </c>
      <c r="X142" s="9" t="s">
        <v>1094</v>
      </c>
      <c r="Z142" s="9" t="s">
        <v>3918</v>
      </c>
    </row>
    <row r="143" spans="5:27" x14ac:dyDescent="0.25">
      <c r="E143" s="9" t="s">
        <v>2006</v>
      </c>
      <c r="F143" s="9" t="s">
        <v>4346</v>
      </c>
      <c r="I143" s="9" t="s">
        <v>2890</v>
      </c>
      <c r="J143" s="9" t="s">
        <v>4864</v>
      </c>
      <c r="K143" s="9" t="s">
        <v>601</v>
      </c>
      <c r="N143" s="9" t="s">
        <v>4096</v>
      </c>
      <c r="O143" s="9" t="s">
        <v>2196</v>
      </c>
      <c r="P143" s="9" t="s">
        <v>2492</v>
      </c>
      <c r="Q143" s="9" t="s">
        <v>4749</v>
      </c>
      <c r="R143" s="9" t="s">
        <v>445</v>
      </c>
      <c r="T143" s="9" t="s">
        <v>4086</v>
      </c>
      <c r="W143" s="9" t="s">
        <v>1446</v>
      </c>
      <c r="X143" s="9" t="s">
        <v>418</v>
      </c>
      <c r="Z143" s="9" t="s">
        <v>1772</v>
      </c>
    </row>
    <row r="144" spans="5:27" x14ac:dyDescent="0.25">
      <c r="E144" s="9" t="s">
        <v>5157</v>
      </c>
      <c r="F144" s="9" t="s">
        <v>4619</v>
      </c>
      <c r="I144" s="9" t="s">
        <v>2960</v>
      </c>
      <c r="J144" s="9" t="s">
        <v>4725</v>
      </c>
      <c r="K144" s="9" t="s">
        <v>2596</v>
      </c>
      <c r="N144" s="9" t="s">
        <v>4312</v>
      </c>
      <c r="O144" s="9" t="s">
        <v>2226</v>
      </c>
      <c r="P144" s="9" t="s">
        <v>2757</v>
      </c>
      <c r="Q144" s="9" t="s">
        <v>5685</v>
      </c>
      <c r="R144" s="9" t="s">
        <v>4026</v>
      </c>
      <c r="T144" s="9" t="s">
        <v>5761</v>
      </c>
      <c r="W144" s="9" t="s">
        <v>1398</v>
      </c>
      <c r="X144" s="9" t="s">
        <v>1151</v>
      </c>
      <c r="Z144" s="9" t="s">
        <v>3751</v>
      </c>
    </row>
    <row r="145" spans="5:26" x14ac:dyDescent="0.25">
      <c r="E145" s="9" t="s">
        <v>1811</v>
      </c>
      <c r="F145" s="9" t="s">
        <v>4704</v>
      </c>
      <c r="I145" s="9" t="s">
        <v>3051</v>
      </c>
      <c r="J145" s="9" t="s">
        <v>4652</v>
      </c>
      <c r="K145" s="9" t="s">
        <v>602</v>
      </c>
      <c r="N145" s="9" t="s">
        <v>5223</v>
      </c>
      <c r="O145" s="9" t="s">
        <v>2281</v>
      </c>
      <c r="P145" s="9" t="s">
        <v>2423</v>
      </c>
      <c r="Q145" s="9" t="s">
        <v>5762</v>
      </c>
      <c r="R145" s="9" t="s">
        <v>3370</v>
      </c>
      <c r="T145" s="9" t="s">
        <v>1843</v>
      </c>
      <c r="W145" s="9" t="s">
        <v>1703</v>
      </c>
      <c r="X145" s="9" t="s">
        <v>1089</v>
      </c>
      <c r="Z145" s="9" t="s">
        <v>3743</v>
      </c>
    </row>
    <row r="146" spans="5:26" x14ac:dyDescent="0.25">
      <c r="E146" s="9" t="s">
        <v>3513</v>
      </c>
      <c r="F146" s="9" t="s">
        <v>5486</v>
      </c>
      <c r="I146" s="9" t="s">
        <v>2956</v>
      </c>
      <c r="J146" s="9" t="s">
        <v>4761</v>
      </c>
      <c r="K146" s="9" t="s">
        <v>603</v>
      </c>
      <c r="O146" s="9" t="s">
        <v>2225</v>
      </c>
      <c r="P146" s="9" t="s">
        <v>4982</v>
      </c>
      <c r="Q146" s="9" t="s">
        <v>5456</v>
      </c>
      <c r="R146" s="9" t="s">
        <v>3356</v>
      </c>
      <c r="T146" s="9" t="s">
        <v>4210</v>
      </c>
      <c r="W146" s="9" t="s">
        <v>1664</v>
      </c>
      <c r="X146" s="9" t="s">
        <v>1199</v>
      </c>
      <c r="Z146" s="9" t="s">
        <v>3565</v>
      </c>
    </row>
    <row r="147" spans="5:26" x14ac:dyDescent="0.25">
      <c r="E147" s="9" t="s">
        <v>1992</v>
      </c>
      <c r="F147" s="9" t="s">
        <v>2273</v>
      </c>
      <c r="I147" s="9" t="s">
        <v>4648</v>
      </c>
      <c r="J147" s="9" t="s">
        <v>4692</v>
      </c>
      <c r="K147" s="9" t="s">
        <v>3454</v>
      </c>
      <c r="O147" s="9" t="s">
        <v>5156</v>
      </c>
      <c r="P147" s="9" t="s">
        <v>2488</v>
      </c>
      <c r="Q147" s="9" t="s">
        <v>4651</v>
      </c>
      <c r="R147" s="9" t="s">
        <v>758</v>
      </c>
      <c r="T147" s="9" t="s">
        <v>4572</v>
      </c>
      <c r="W147" s="9" t="s">
        <v>1490</v>
      </c>
      <c r="X147" s="9" t="s">
        <v>1289</v>
      </c>
      <c r="Z147" s="9" t="s">
        <v>860</v>
      </c>
    </row>
    <row r="148" spans="5:26" x14ac:dyDescent="0.25">
      <c r="E148" s="9" t="s">
        <v>2003</v>
      </c>
      <c r="F148" s="9" t="s">
        <v>5290</v>
      </c>
      <c r="I148" s="9" t="s">
        <v>5632</v>
      </c>
      <c r="J148" s="9" t="s">
        <v>4829</v>
      </c>
      <c r="K148" s="9" t="s">
        <v>2112</v>
      </c>
      <c r="O148" s="9" t="s">
        <v>4081</v>
      </c>
      <c r="P148" s="9" t="s">
        <v>2441</v>
      </c>
      <c r="Q148" s="9" t="s">
        <v>4644</v>
      </c>
      <c r="R148" s="9" t="s">
        <v>839</v>
      </c>
      <c r="T148" s="9" t="s">
        <v>3504</v>
      </c>
      <c r="W148" s="9" t="s">
        <v>1725</v>
      </c>
      <c r="X148" s="9" t="s">
        <v>1602</v>
      </c>
      <c r="Z148" s="9" t="s">
        <v>3791</v>
      </c>
    </row>
    <row r="149" spans="5:26" x14ac:dyDescent="0.25">
      <c r="E149" s="9" t="s">
        <v>2093</v>
      </c>
      <c r="F149" s="9" t="s">
        <v>5268</v>
      </c>
      <c r="I149" s="9" t="s">
        <v>3021</v>
      </c>
      <c r="J149" s="9" t="s">
        <v>4960</v>
      </c>
      <c r="K149" s="9" t="s">
        <v>2840</v>
      </c>
      <c r="O149" s="9" t="s">
        <v>2242</v>
      </c>
      <c r="P149" s="9" t="s">
        <v>1488</v>
      </c>
      <c r="Q149" s="9" t="s">
        <v>5274</v>
      </c>
      <c r="R149" s="9" t="s">
        <v>810</v>
      </c>
      <c r="T149" s="9" t="s">
        <v>4557</v>
      </c>
      <c r="W149" s="9" t="s">
        <v>1734</v>
      </c>
      <c r="X149" s="9" t="s">
        <v>1740</v>
      </c>
      <c r="Z149" s="9" t="s">
        <v>1088</v>
      </c>
    </row>
    <row r="150" spans="5:26" x14ac:dyDescent="0.25">
      <c r="E150" s="9" t="s">
        <v>2522</v>
      </c>
      <c r="F150" s="9" t="s">
        <v>4512</v>
      </c>
      <c r="I150" s="9" t="s">
        <v>5621</v>
      </c>
      <c r="J150" s="9" t="s">
        <v>4090</v>
      </c>
      <c r="K150" s="9" t="s">
        <v>981</v>
      </c>
      <c r="O150" s="9" t="s">
        <v>4526</v>
      </c>
      <c r="P150" s="9" t="s">
        <v>2445</v>
      </c>
      <c r="Q150" s="9" t="s">
        <v>4735</v>
      </c>
      <c r="R150" s="9" t="s">
        <v>1400</v>
      </c>
      <c r="T150" s="9" t="s">
        <v>4638</v>
      </c>
      <c r="W150" s="9" t="s">
        <v>1242</v>
      </c>
      <c r="X150" s="9" t="s">
        <v>1207</v>
      </c>
      <c r="Z150" s="9" t="s">
        <v>4046</v>
      </c>
    </row>
    <row r="151" spans="5:26" x14ac:dyDescent="0.25">
      <c r="E151" s="9" t="s">
        <v>2236</v>
      </c>
      <c r="F151" s="9" t="s">
        <v>5289</v>
      </c>
      <c r="I151" s="9" t="s">
        <v>3052</v>
      </c>
      <c r="J151" s="9" t="s">
        <v>2595</v>
      </c>
      <c r="K151" s="9" t="s">
        <v>2459</v>
      </c>
      <c r="O151" s="9" t="s">
        <v>4491</v>
      </c>
      <c r="P151" s="9" t="s">
        <v>2426</v>
      </c>
      <c r="Q151" s="9" t="s">
        <v>5585</v>
      </c>
      <c r="R151" s="9" t="s">
        <v>2440</v>
      </c>
      <c r="T151" s="9" t="s">
        <v>4870</v>
      </c>
      <c r="W151" s="9" t="s">
        <v>1594</v>
      </c>
      <c r="X151" s="9" t="s">
        <v>767</v>
      </c>
      <c r="Z151" s="9" t="s">
        <v>3656</v>
      </c>
    </row>
    <row r="152" spans="5:26" x14ac:dyDescent="0.25">
      <c r="E152" s="9" t="s">
        <v>2555</v>
      </c>
      <c r="F152" s="9" t="s">
        <v>5272</v>
      </c>
      <c r="I152" s="9" t="s">
        <v>2775</v>
      </c>
      <c r="J152" s="9" t="s">
        <v>2701</v>
      </c>
      <c r="K152" s="9" t="s">
        <v>3669</v>
      </c>
      <c r="O152" s="9" t="s">
        <v>4505</v>
      </c>
      <c r="P152" s="9" t="s">
        <v>2860</v>
      </c>
      <c r="Q152" s="9" t="s">
        <v>5480</v>
      </c>
      <c r="R152" s="9" t="s">
        <v>2800</v>
      </c>
      <c r="T152" s="9" t="s">
        <v>4566</v>
      </c>
      <c r="W152" s="9" t="s">
        <v>1330</v>
      </c>
      <c r="X152" s="9" t="s">
        <v>1282</v>
      </c>
      <c r="Z152" s="9" t="s">
        <v>3090</v>
      </c>
    </row>
    <row r="153" spans="5:26" x14ac:dyDescent="0.25">
      <c r="E153" s="9" t="s">
        <v>2687</v>
      </c>
      <c r="F153" s="9" t="s">
        <v>4695</v>
      </c>
      <c r="I153" s="9" t="s">
        <v>4714</v>
      </c>
      <c r="J153" s="9" t="s">
        <v>4329</v>
      </c>
      <c r="K153" s="9" t="s">
        <v>604</v>
      </c>
      <c r="O153" s="9" t="s">
        <v>2164</v>
      </c>
      <c r="P153" s="9" t="s">
        <v>778</v>
      </c>
      <c r="Q153" s="9" t="s">
        <v>5207</v>
      </c>
      <c r="R153" s="9" t="s">
        <v>828</v>
      </c>
      <c r="T153" s="9" t="s">
        <v>4105</v>
      </c>
      <c r="W153" s="9" t="s">
        <v>1479</v>
      </c>
      <c r="X153" s="9" t="s">
        <v>3067</v>
      </c>
      <c r="Z153" s="9" t="s">
        <v>881</v>
      </c>
    </row>
    <row r="154" spans="5:26" x14ac:dyDescent="0.25">
      <c r="E154" s="9" t="s">
        <v>5353</v>
      </c>
      <c r="F154" s="9" t="s">
        <v>4289</v>
      </c>
      <c r="I154" s="9" t="s">
        <v>5482</v>
      </c>
      <c r="J154" s="9" t="s">
        <v>4617</v>
      </c>
      <c r="K154" s="9" t="s">
        <v>913</v>
      </c>
      <c r="O154" s="9" t="s">
        <v>2586</v>
      </c>
      <c r="P154" s="9" t="s">
        <v>1875</v>
      </c>
      <c r="Q154" s="9" t="s">
        <v>4746</v>
      </c>
      <c r="R154" s="9" t="s">
        <v>3608</v>
      </c>
      <c r="T154" s="9" t="s">
        <v>1460</v>
      </c>
      <c r="W154" s="9" t="s">
        <v>3128</v>
      </c>
      <c r="X154" s="9" t="s">
        <v>1607</v>
      </c>
      <c r="Z154" s="9" t="s">
        <v>1779</v>
      </c>
    </row>
    <row r="155" spans="5:26" x14ac:dyDescent="0.25">
      <c r="E155" s="9" t="s">
        <v>5176</v>
      </c>
      <c r="F155" s="9" t="s">
        <v>4654</v>
      </c>
      <c r="I155" s="9" t="s">
        <v>2183</v>
      </c>
      <c r="J155" s="9" t="s">
        <v>4573</v>
      </c>
      <c r="K155" s="9" t="s">
        <v>1008</v>
      </c>
      <c r="O155" s="9" t="s">
        <v>2203</v>
      </c>
      <c r="P155" s="9" t="s">
        <v>4082</v>
      </c>
      <c r="Q155" s="9" t="s">
        <v>5458</v>
      </c>
      <c r="R155" s="9" t="s">
        <v>3241</v>
      </c>
      <c r="T155" s="9" t="s">
        <v>4558</v>
      </c>
      <c r="W155" s="9" t="s">
        <v>1222</v>
      </c>
      <c r="X155" s="9" t="s">
        <v>1566</v>
      </c>
      <c r="Z155" s="9" t="s">
        <v>401</v>
      </c>
    </row>
    <row r="156" spans="5:26" x14ac:dyDescent="0.25">
      <c r="E156" s="9" t="s">
        <v>1957</v>
      </c>
      <c r="F156" s="9" t="s">
        <v>4613</v>
      </c>
      <c r="I156" s="9" t="s">
        <v>5383</v>
      </c>
      <c r="J156" s="9" t="s">
        <v>5325</v>
      </c>
      <c r="K156" s="9" t="s">
        <v>3392</v>
      </c>
      <c r="O156" s="9" t="s">
        <v>2123</v>
      </c>
      <c r="P156" s="9" t="s">
        <v>5466</v>
      </c>
      <c r="Q156" s="9" t="s">
        <v>5763</v>
      </c>
      <c r="R156" s="9" t="s">
        <v>1105</v>
      </c>
      <c r="T156" s="9" t="s">
        <v>4536</v>
      </c>
      <c r="W156" s="9" t="s">
        <v>1717</v>
      </c>
      <c r="X156" s="9" t="s">
        <v>1660</v>
      </c>
      <c r="Z156" s="9" t="s">
        <v>3843</v>
      </c>
    </row>
    <row r="157" spans="5:26" x14ac:dyDescent="0.25">
      <c r="E157" s="9" t="s">
        <v>2377</v>
      </c>
      <c r="F157" s="9" t="s">
        <v>4591</v>
      </c>
      <c r="I157" s="9" t="s">
        <v>2863</v>
      </c>
      <c r="J157" s="9" t="s">
        <v>4055</v>
      </c>
      <c r="K157" s="9" t="s">
        <v>2109</v>
      </c>
      <c r="O157" s="9" t="s">
        <v>5175</v>
      </c>
      <c r="P157" s="9" t="s">
        <v>2538</v>
      </c>
      <c r="Q157" s="9" t="s">
        <v>5122</v>
      </c>
      <c r="R157" s="9" t="s">
        <v>3150</v>
      </c>
      <c r="T157" s="9" t="s">
        <v>4317</v>
      </c>
      <c r="W157" s="9" t="s">
        <v>1231</v>
      </c>
      <c r="X157" s="9" t="s">
        <v>1216</v>
      </c>
      <c r="Z157" s="9" t="s">
        <v>951</v>
      </c>
    </row>
    <row r="158" spans="5:26" x14ac:dyDescent="0.25">
      <c r="E158" s="9" t="s">
        <v>2649</v>
      </c>
      <c r="F158" s="9" t="s">
        <v>2708</v>
      </c>
      <c r="I158" s="9" t="s">
        <v>2810</v>
      </c>
      <c r="J158" s="9" t="s">
        <v>1940</v>
      </c>
      <c r="K158" s="9" t="s">
        <v>605</v>
      </c>
      <c r="O158" s="9" t="s">
        <v>2283</v>
      </c>
      <c r="P158" s="9" t="s">
        <v>5075</v>
      </c>
      <c r="Q158" s="9" t="s">
        <v>4718</v>
      </c>
      <c r="R158" s="9" t="s">
        <v>3691</v>
      </c>
      <c r="T158" s="9" t="s">
        <v>4087</v>
      </c>
      <c r="W158" s="9" t="s">
        <v>1217</v>
      </c>
      <c r="X158" s="9" t="s">
        <v>1409</v>
      </c>
      <c r="Z158" s="9" t="s">
        <v>3913</v>
      </c>
    </row>
    <row r="159" spans="5:26" x14ac:dyDescent="0.25">
      <c r="E159" s="9" t="s">
        <v>2590</v>
      </c>
      <c r="F159" s="9" t="s">
        <v>4698</v>
      </c>
      <c r="I159" s="9" t="s">
        <v>2381</v>
      </c>
      <c r="J159" s="9" t="s">
        <v>4920</v>
      </c>
      <c r="K159" s="9" t="s">
        <v>606</v>
      </c>
      <c r="O159" s="9" t="s">
        <v>1940</v>
      </c>
      <c r="P159" s="9" t="s">
        <v>4595</v>
      </c>
      <c r="Q159" s="9" t="s">
        <v>4834</v>
      </c>
      <c r="R159" s="9" t="s">
        <v>3593</v>
      </c>
      <c r="T159" s="9" t="s">
        <v>5185</v>
      </c>
      <c r="W159" s="9" t="s">
        <v>1426</v>
      </c>
      <c r="X159" s="9" t="s">
        <v>1413</v>
      </c>
      <c r="Z159" s="9" t="s">
        <v>3741</v>
      </c>
    </row>
    <row r="160" spans="5:26" x14ac:dyDescent="0.25">
      <c r="E160" s="9" t="s">
        <v>5568</v>
      </c>
      <c r="F160" s="9" t="s">
        <v>4643</v>
      </c>
      <c r="I160" s="9" t="s">
        <v>2986</v>
      </c>
      <c r="J160" s="9" t="s">
        <v>4200</v>
      </c>
      <c r="K160" s="9" t="s">
        <v>2982</v>
      </c>
      <c r="O160" s="9" t="s">
        <v>2223</v>
      </c>
      <c r="P160" s="9" t="s">
        <v>5277</v>
      </c>
      <c r="Q160" s="9" t="s">
        <v>4487</v>
      </c>
      <c r="R160" s="9" t="s">
        <v>3696</v>
      </c>
      <c r="T160" s="9" t="s">
        <v>4149</v>
      </c>
      <c r="W160" s="9" t="s">
        <v>1560</v>
      </c>
      <c r="X160" s="9" t="s">
        <v>1232</v>
      </c>
      <c r="Z160" s="9" t="s">
        <v>3003</v>
      </c>
    </row>
    <row r="161" spans="5:26" x14ac:dyDescent="0.25">
      <c r="E161" s="9" t="s">
        <v>2265</v>
      </c>
      <c r="F161" s="9" t="s">
        <v>5183</v>
      </c>
      <c r="I161" s="9" t="s">
        <v>2783</v>
      </c>
      <c r="J161" s="9" t="s">
        <v>4364</v>
      </c>
      <c r="K161" s="9" t="s">
        <v>607</v>
      </c>
      <c r="O161" s="9" t="s">
        <v>5065</v>
      </c>
      <c r="P161" s="9" t="s">
        <v>2481</v>
      </c>
      <c r="Q161" s="9" t="s">
        <v>5524</v>
      </c>
      <c r="R161" s="9" t="s">
        <v>2289</v>
      </c>
      <c r="T161" s="9" t="s">
        <v>4482</v>
      </c>
      <c r="W161" s="9" t="s">
        <v>1472</v>
      </c>
      <c r="X161" s="9" t="s">
        <v>1186</v>
      </c>
      <c r="Z161" s="9" t="s">
        <v>3735</v>
      </c>
    </row>
    <row r="162" spans="5:26" x14ac:dyDescent="0.25">
      <c r="E162" s="9" t="s">
        <v>2651</v>
      </c>
      <c r="F162" s="9" t="s">
        <v>4330</v>
      </c>
      <c r="I162" s="9" t="s">
        <v>4468</v>
      </c>
      <c r="J162" s="9" t="s">
        <v>4955</v>
      </c>
      <c r="K162" s="9" t="s">
        <v>979</v>
      </c>
      <c r="O162" s="9" t="s">
        <v>2069</v>
      </c>
      <c r="P162" s="9" t="s">
        <v>2485</v>
      </c>
      <c r="Q162" s="9" t="s">
        <v>5532</v>
      </c>
      <c r="R162" s="9" t="s">
        <v>5764</v>
      </c>
      <c r="T162" s="9" t="s">
        <v>4568</v>
      </c>
      <c r="W162" s="9" t="s">
        <v>1508</v>
      </c>
      <c r="X162" s="9" t="s">
        <v>2261</v>
      </c>
      <c r="Z162" s="9" t="s">
        <v>4029</v>
      </c>
    </row>
    <row r="163" spans="5:26" x14ac:dyDescent="0.25">
      <c r="E163" s="9" t="s">
        <v>5089</v>
      </c>
      <c r="F163" s="9" t="s">
        <v>4224</v>
      </c>
      <c r="I163" s="9" t="s">
        <v>5670</v>
      </c>
      <c r="J163" s="9" t="s">
        <v>1704</v>
      </c>
      <c r="K163" s="9" t="s">
        <v>608</v>
      </c>
      <c r="O163" s="9" t="s">
        <v>4504</v>
      </c>
      <c r="P163" s="9" t="s">
        <v>5068</v>
      </c>
      <c r="Q163" s="9" t="s">
        <v>5188</v>
      </c>
      <c r="R163" s="9" t="s">
        <v>477</v>
      </c>
      <c r="T163" s="9" t="s">
        <v>4514</v>
      </c>
      <c r="W163" s="9" t="s">
        <v>1299</v>
      </c>
      <c r="X163" s="9" t="s">
        <v>508</v>
      </c>
      <c r="Z163" s="9" t="s">
        <v>3927</v>
      </c>
    </row>
    <row r="164" spans="5:26" x14ac:dyDescent="0.25">
      <c r="E164" s="9" t="s">
        <v>2245</v>
      </c>
      <c r="F164" s="9" t="s">
        <v>5314</v>
      </c>
      <c r="I164" s="9" t="s">
        <v>2655</v>
      </c>
      <c r="J164" s="9" t="s">
        <v>1814</v>
      </c>
      <c r="K164" s="9" t="s">
        <v>609</v>
      </c>
      <c r="O164" s="9" t="s">
        <v>4139</v>
      </c>
      <c r="P164" s="9" t="s">
        <v>5522</v>
      </c>
      <c r="Q164" s="9" t="s">
        <v>4747</v>
      </c>
      <c r="R164" s="9" t="s">
        <v>3383</v>
      </c>
      <c r="T164" s="9" t="s">
        <v>4534</v>
      </c>
      <c r="W164" s="9" t="s">
        <v>1688</v>
      </c>
      <c r="X164" s="9" t="s">
        <v>1401</v>
      </c>
      <c r="Z164" s="9" t="s">
        <v>3763</v>
      </c>
    </row>
    <row r="165" spans="5:26" x14ac:dyDescent="0.25">
      <c r="E165" s="9" t="s">
        <v>1949</v>
      </c>
      <c r="F165" s="9" t="s">
        <v>4358</v>
      </c>
      <c r="I165" s="9" t="s">
        <v>2338</v>
      </c>
      <c r="J165" s="9" t="s">
        <v>1864</v>
      </c>
      <c r="K165" s="9" t="s">
        <v>2671</v>
      </c>
      <c r="O165" s="9" t="s">
        <v>1966</v>
      </c>
      <c r="P165" s="9" t="s">
        <v>5222</v>
      </c>
      <c r="Q165" s="9" t="s">
        <v>5648</v>
      </c>
      <c r="R165" s="9" t="s">
        <v>1747</v>
      </c>
      <c r="T165" s="9" t="s">
        <v>4540</v>
      </c>
      <c r="W165" s="9" t="s">
        <v>1631</v>
      </c>
      <c r="X165" s="9" t="s">
        <v>1143</v>
      </c>
      <c r="Z165" s="9" t="s">
        <v>895</v>
      </c>
    </row>
    <row r="166" spans="5:26" x14ac:dyDescent="0.25">
      <c r="E166" s="9" t="s">
        <v>2026</v>
      </c>
      <c r="F166" s="9" t="s">
        <v>4310</v>
      </c>
      <c r="I166" s="9" t="s">
        <v>459</v>
      </c>
      <c r="J166" s="9" t="s">
        <v>4350</v>
      </c>
      <c r="K166" s="9" t="s">
        <v>2903</v>
      </c>
      <c r="O166" s="9" t="s">
        <v>5067</v>
      </c>
      <c r="P166" s="9" t="s">
        <v>2255</v>
      </c>
      <c r="Q166" s="9" t="s">
        <v>5596</v>
      </c>
      <c r="R166" s="9" t="s">
        <v>1640</v>
      </c>
      <c r="T166" s="9" t="s">
        <v>1612</v>
      </c>
      <c r="W166" s="9" t="s">
        <v>237</v>
      </c>
      <c r="X166" s="9" t="s">
        <v>1156</v>
      </c>
      <c r="Z166" s="9" t="s">
        <v>3072</v>
      </c>
    </row>
    <row r="167" spans="5:26" x14ac:dyDescent="0.25">
      <c r="E167" s="9" t="s">
        <v>2302</v>
      </c>
      <c r="F167" s="9" t="s">
        <v>4637</v>
      </c>
      <c r="I167" s="9" t="s">
        <v>5541</v>
      </c>
      <c r="J167" s="9" t="s">
        <v>5572</v>
      </c>
      <c r="K167" s="9" t="s">
        <v>3455</v>
      </c>
      <c r="O167" s="9" t="s">
        <v>1565</v>
      </c>
      <c r="P167" s="9" t="s">
        <v>2560</v>
      </c>
      <c r="Q167" s="9" t="s">
        <v>4767</v>
      </c>
      <c r="R167" s="9" t="s">
        <v>3252</v>
      </c>
      <c r="T167" s="9" t="s">
        <v>709</v>
      </c>
      <c r="W167" s="9" t="s">
        <v>1193</v>
      </c>
      <c r="X167" s="9" t="s">
        <v>1616</v>
      </c>
      <c r="Z167" s="9" t="s">
        <v>3886</v>
      </c>
    </row>
    <row r="168" spans="5:26" x14ac:dyDescent="0.25">
      <c r="E168" s="9" t="s">
        <v>5295</v>
      </c>
      <c r="F168" s="9" t="s">
        <v>4751</v>
      </c>
      <c r="I168" s="9" t="s">
        <v>2769</v>
      </c>
      <c r="J168" s="9" t="s">
        <v>4154</v>
      </c>
      <c r="K168" s="9" t="s">
        <v>610</v>
      </c>
      <c r="O168" s="9" t="s">
        <v>2492</v>
      </c>
      <c r="P168" s="9" t="s">
        <v>2473</v>
      </c>
      <c r="Q168" s="9" t="s">
        <v>5581</v>
      </c>
      <c r="R168" s="9" t="s">
        <v>3279</v>
      </c>
      <c r="T168" s="9" t="s">
        <v>4098</v>
      </c>
      <c r="W168" s="9" t="s">
        <v>1246</v>
      </c>
      <c r="X168" s="9" t="s">
        <v>1108</v>
      </c>
      <c r="Z168" s="9" t="s">
        <v>3750</v>
      </c>
    </row>
    <row r="169" spans="5:26" x14ac:dyDescent="0.25">
      <c r="E169" s="9" t="s">
        <v>5451</v>
      </c>
      <c r="F169" s="9" t="s">
        <v>5245</v>
      </c>
      <c r="I169" s="9" t="s">
        <v>4492</v>
      </c>
      <c r="J169" s="9" t="s">
        <v>4577</v>
      </c>
      <c r="K169" s="9" t="s">
        <v>561</v>
      </c>
      <c r="O169" s="9" t="s">
        <v>1704</v>
      </c>
      <c r="P169" s="9" t="s">
        <v>4061</v>
      </c>
      <c r="Q169" s="9" t="s">
        <v>4469</v>
      </c>
      <c r="R169" s="9" t="s">
        <v>554</v>
      </c>
      <c r="W169" s="9" t="s">
        <v>1702</v>
      </c>
      <c r="X169" s="9" t="s">
        <v>1374</v>
      </c>
      <c r="Z169" s="9" t="s">
        <v>3556</v>
      </c>
    </row>
    <row r="170" spans="5:26" x14ac:dyDescent="0.25">
      <c r="E170" s="9" t="s">
        <v>2737</v>
      </c>
      <c r="F170" s="9" t="s">
        <v>4811</v>
      </c>
      <c r="I170" s="9" t="s">
        <v>2910</v>
      </c>
      <c r="J170" s="9" t="s">
        <v>5022</v>
      </c>
      <c r="K170" s="9" t="s">
        <v>2008</v>
      </c>
      <c r="O170" s="9" t="s">
        <v>1814</v>
      </c>
      <c r="P170" s="9" t="s">
        <v>2808</v>
      </c>
      <c r="Q170" s="9" t="s">
        <v>5250</v>
      </c>
      <c r="R170" s="9" t="s">
        <v>3633</v>
      </c>
      <c r="W170" s="9" t="s">
        <v>1552</v>
      </c>
      <c r="X170" s="9" t="s">
        <v>1399</v>
      </c>
      <c r="Z170" s="9" t="s">
        <v>5765</v>
      </c>
    </row>
    <row r="171" spans="5:26" x14ac:dyDescent="0.25">
      <c r="E171" s="9" t="s">
        <v>2584</v>
      </c>
      <c r="F171" s="9" t="s">
        <v>4641</v>
      </c>
      <c r="I171" s="9" t="s">
        <v>2799</v>
      </c>
      <c r="J171" s="9" t="s">
        <v>4909</v>
      </c>
      <c r="K171" s="9" t="s">
        <v>5387</v>
      </c>
      <c r="O171" s="9" t="s">
        <v>1864</v>
      </c>
      <c r="P171" s="9" t="s">
        <v>2414</v>
      </c>
      <c r="Q171" s="9" t="s">
        <v>4726</v>
      </c>
      <c r="R171" s="9" t="s">
        <v>3693</v>
      </c>
      <c r="W171" s="9" t="s">
        <v>1391</v>
      </c>
      <c r="X171" s="9" t="s">
        <v>528</v>
      </c>
      <c r="Z171" s="9" t="s">
        <v>730</v>
      </c>
    </row>
    <row r="172" spans="5:26" x14ac:dyDescent="0.25">
      <c r="E172" s="9" t="s">
        <v>2458</v>
      </c>
      <c r="F172" s="9" t="s">
        <v>5180</v>
      </c>
      <c r="I172" s="9" t="s">
        <v>2146</v>
      </c>
      <c r="J172" s="9" t="s">
        <v>5437</v>
      </c>
      <c r="K172" s="9" t="s">
        <v>969</v>
      </c>
      <c r="O172" s="9" t="s">
        <v>4154</v>
      </c>
      <c r="P172" s="9" t="s">
        <v>2030</v>
      </c>
      <c r="Q172" s="9" t="s">
        <v>5493</v>
      </c>
      <c r="R172" s="9" t="s">
        <v>841</v>
      </c>
      <c r="W172" s="9" t="s">
        <v>1433</v>
      </c>
      <c r="X172" s="9" t="s">
        <v>3220</v>
      </c>
      <c r="Z172" s="9" t="s">
        <v>3829</v>
      </c>
    </row>
    <row r="173" spans="5:26" x14ac:dyDescent="0.25">
      <c r="E173" s="9" t="s">
        <v>2448</v>
      </c>
      <c r="F173" s="9" t="s">
        <v>5297</v>
      </c>
      <c r="I173" s="9" t="s">
        <v>2920</v>
      </c>
      <c r="J173" s="9" t="s">
        <v>4343</v>
      </c>
      <c r="K173" s="9" t="s">
        <v>2719</v>
      </c>
      <c r="O173" s="9" t="s">
        <v>2029</v>
      </c>
      <c r="P173" s="9" t="s">
        <v>2493</v>
      </c>
      <c r="Q173" s="9" t="s">
        <v>4687</v>
      </c>
      <c r="R173" s="9" t="s">
        <v>3197</v>
      </c>
      <c r="W173" s="9" t="s">
        <v>1600</v>
      </c>
      <c r="X173" s="9" t="s">
        <v>1173</v>
      </c>
      <c r="Z173" s="9" t="s">
        <v>3705</v>
      </c>
    </row>
    <row r="174" spans="5:26" x14ac:dyDescent="0.25">
      <c r="E174" s="9" t="s">
        <v>2052</v>
      </c>
      <c r="F174" s="9" t="s">
        <v>4365</v>
      </c>
      <c r="I174" s="9" t="s">
        <v>3009</v>
      </c>
      <c r="J174" s="9" t="s">
        <v>5539</v>
      </c>
      <c r="K174" s="9" t="s">
        <v>1890</v>
      </c>
      <c r="O174" s="9" t="s">
        <v>5438</v>
      </c>
      <c r="P174" s="9" t="s">
        <v>2206</v>
      </c>
      <c r="Q174" s="9" t="s">
        <v>4290</v>
      </c>
      <c r="R174" s="9" t="s">
        <v>3159</v>
      </c>
      <c r="W174" s="9" t="s">
        <v>1684</v>
      </c>
      <c r="X174" s="9" t="s">
        <v>1183</v>
      </c>
      <c r="Z174" s="9" t="s">
        <v>1063</v>
      </c>
    </row>
    <row r="175" spans="5:26" x14ac:dyDescent="0.25">
      <c r="E175" s="9" t="s">
        <v>2677</v>
      </c>
      <c r="F175" s="9" t="s">
        <v>4602</v>
      </c>
      <c r="I175" s="9" t="s">
        <v>2923</v>
      </c>
      <c r="J175" s="9" t="s">
        <v>4389</v>
      </c>
      <c r="K175" s="9" t="s">
        <v>2974</v>
      </c>
      <c r="O175" s="9" t="s">
        <v>5406</v>
      </c>
      <c r="P175" s="9" t="s">
        <v>5348</v>
      </c>
      <c r="Q175" s="9" t="s">
        <v>4701</v>
      </c>
      <c r="R175" s="9" t="s">
        <v>713</v>
      </c>
      <c r="W175" s="9" t="s">
        <v>1514</v>
      </c>
      <c r="X175" s="9" t="s">
        <v>1229</v>
      </c>
      <c r="Z175" s="9" t="s">
        <v>3897</v>
      </c>
    </row>
    <row r="176" spans="5:26" x14ac:dyDescent="0.25">
      <c r="E176" s="9" t="s">
        <v>1802</v>
      </c>
      <c r="F176" s="9" t="s">
        <v>4157</v>
      </c>
      <c r="I176" s="9" t="s">
        <v>2897</v>
      </c>
      <c r="J176" s="9" t="s">
        <v>4983</v>
      </c>
      <c r="K176" s="9" t="s">
        <v>3459</v>
      </c>
      <c r="O176" s="9" t="s">
        <v>384</v>
      </c>
      <c r="P176" s="9" t="s">
        <v>2717</v>
      </c>
      <c r="Q176" s="9" t="s">
        <v>5600</v>
      </c>
      <c r="R176" s="9" t="s">
        <v>3611</v>
      </c>
      <c r="W176" s="9" t="s">
        <v>3292</v>
      </c>
      <c r="X176" s="9" t="s">
        <v>459</v>
      </c>
      <c r="Z176" s="9" t="s">
        <v>3739</v>
      </c>
    </row>
    <row r="177" spans="5:26" x14ac:dyDescent="0.25">
      <c r="E177" s="9" t="s">
        <v>5178</v>
      </c>
      <c r="F177" s="9" t="s">
        <v>4251</v>
      </c>
      <c r="I177" s="9" t="s">
        <v>2933</v>
      </c>
      <c r="J177" s="9" t="s">
        <v>4325</v>
      </c>
      <c r="K177" s="9" t="s">
        <v>3438</v>
      </c>
      <c r="O177" s="9" t="s">
        <v>4502</v>
      </c>
      <c r="P177" s="9" t="s">
        <v>1444</v>
      </c>
      <c r="Q177" s="9" t="s">
        <v>5603</v>
      </c>
      <c r="R177" s="9" t="s">
        <v>800</v>
      </c>
      <c r="W177" s="9" t="s">
        <v>1651</v>
      </c>
      <c r="X177" s="9" t="s">
        <v>1111</v>
      </c>
      <c r="Z177" s="9" t="s">
        <v>2637</v>
      </c>
    </row>
    <row r="178" spans="5:26" x14ac:dyDescent="0.25">
      <c r="E178" s="9" t="s">
        <v>1961</v>
      </c>
      <c r="F178" s="9" t="s">
        <v>4356</v>
      </c>
      <c r="I178" s="9" t="s">
        <v>2745</v>
      </c>
      <c r="J178" s="9" t="s">
        <v>4425</v>
      </c>
      <c r="K178" s="9" t="s">
        <v>2768</v>
      </c>
      <c r="O178" s="9" t="s">
        <v>4343</v>
      </c>
      <c r="P178" s="9" t="s">
        <v>2932</v>
      </c>
      <c r="Q178" s="9" t="s">
        <v>4982</v>
      </c>
      <c r="R178" s="9" t="s">
        <v>3512</v>
      </c>
      <c r="W178" s="9" t="s">
        <v>249</v>
      </c>
      <c r="X178" s="9" t="s">
        <v>1609</v>
      </c>
      <c r="Z178" s="9" t="s">
        <v>5766</v>
      </c>
    </row>
    <row r="179" spans="5:26" x14ac:dyDescent="0.25">
      <c r="E179" s="9" t="s">
        <v>5041</v>
      </c>
      <c r="F179" s="9" t="s">
        <v>5446</v>
      </c>
      <c r="I179" s="9" t="s">
        <v>2878</v>
      </c>
      <c r="J179" s="9" t="s">
        <v>4711</v>
      </c>
      <c r="K179" s="9" t="s">
        <v>2205</v>
      </c>
      <c r="O179" s="9" t="s">
        <v>5448</v>
      </c>
      <c r="P179" s="9" t="s">
        <v>2872</v>
      </c>
      <c r="Q179" s="9" t="s">
        <v>5567</v>
      </c>
      <c r="R179" s="9" t="s">
        <v>3804</v>
      </c>
      <c r="W179" s="9" t="s">
        <v>1579</v>
      </c>
      <c r="X179" s="9" t="s">
        <v>1160</v>
      </c>
      <c r="Z179" s="9" t="s">
        <v>3442</v>
      </c>
    </row>
    <row r="180" spans="5:26" x14ac:dyDescent="0.25">
      <c r="E180" s="9" t="s">
        <v>2455</v>
      </c>
      <c r="F180" s="9" t="s">
        <v>4348</v>
      </c>
      <c r="I180" s="9" t="s">
        <v>2977</v>
      </c>
      <c r="J180" s="9" t="s">
        <v>1280</v>
      </c>
      <c r="K180" s="9" t="s">
        <v>611</v>
      </c>
      <c r="O180" s="9" t="s">
        <v>2287</v>
      </c>
      <c r="P180" s="9" t="s">
        <v>2460</v>
      </c>
      <c r="Q180" s="9" t="s">
        <v>5673</v>
      </c>
      <c r="R180" s="9" t="s">
        <v>3238</v>
      </c>
      <c r="W180" s="9" t="s">
        <v>1721</v>
      </c>
      <c r="X180" s="9" t="s">
        <v>398</v>
      </c>
      <c r="Z180" s="9" t="s">
        <v>1062</v>
      </c>
    </row>
    <row r="181" spans="5:26" x14ac:dyDescent="0.25">
      <c r="E181" s="9" t="s">
        <v>2636</v>
      </c>
      <c r="F181" s="9" t="s">
        <v>4281</v>
      </c>
      <c r="I181" s="9" t="s">
        <v>3050</v>
      </c>
      <c r="J181" s="9" t="s">
        <v>4622</v>
      </c>
      <c r="K181" s="9" t="s">
        <v>612</v>
      </c>
      <c r="O181" s="9" t="s">
        <v>2937</v>
      </c>
      <c r="P181" s="9" t="s">
        <v>3251</v>
      </c>
      <c r="Q181" s="9" t="s">
        <v>5525</v>
      </c>
      <c r="R181" s="9" t="s">
        <v>3545</v>
      </c>
      <c r="W181" s="9" t="s">
        <v>3062</v>
      </c>
      <c r="X181" s="9" t="s">
        <v>1536</v>
      </c>
      <c r="Z181" s="9" t="s">
        <v>3914</v>
      </c>
    </row>
    <row r="182" spans="5:26" x14ac:dyDescent="0.25">
      <c r="E182" s="9" t="s">
        <v>5263</v>
      </c>
      <c r="F182" s="9" t="s">
        <v>4635</v>
      </c>
      <c r="I182" s="9" t="s">
        <v>2829</v>
      </c>
      <c r="J182" s="9" t="s">
        <v>2001</v>
      </c>
      <c r="K182" s="9" t="s">
        <v>1056</v>
      </c>
      <c r="O182" s="9" t="s">
        <v>2252</v>
      </c>
      <c r="P182" s="9" t="s">
        <v>5442</v>
      </c>
      <c r="Q182" s="9" t="s">
        <v>5497</v>
      </c>
      <c r="R182" s="9" t="s">
        <v>3218</v>
      </c>
      <c r="W182" s="9" t="s">
        <v>1129</v>
      </c>
      <c r="X182" s="9" t="s">
        <v>433</v>
      </c>
      <c r="Z182" s="9" t="s">
        <v>4045</v>
      </c>
    </row>
    <row r="183" spans="5:26" x14ac:dyDescent="0.25">
      <c r="E183" s="9" t="s">
        <v>1828</v>
      </c>
      <c r="F183" s="9" t="s">
        <v>4672</v>
      </c>
      <c r="I183" s="9" t="s">
        <v>3047</v>
      </c>
      <c r="J183" s="9" t="s">
        <v>4926</v>
      </c>
      <c r="K183" s="9" t="s">
        <v>2795</v>
      </c>
      <c r="O183" s="9" t="s">
        <v>5443</v>
      </c>
      <c r="P183" s="9" t="s">
        <v>2465</v>
      </c>
      <c r="Q183" s="9" t="s">
        <v>4689</v>
      </c>
      <c r="R183" s="9" t="s">
        <v>755</v>
      </c>
      <c r="W183" s="9" t="s">
        <v>1293</v>
      </c>
      <c r="X183" s="9" t="s">
        <v>1146</v>
      </c>
      <c r="Z183" s="9" t="s">
        <v>3942</v>
      </c>
    </row>
    <row r="184" spans="5:26" x14ac:dyDescent="0.25">
      <c r="E184" s="9" t="s">
        <v>2622</v>
      </c>
      <c r="F184" s="9" t="s">
        <v>5189</v>
      </c>
      <c r="I184" s="9" t="s">
        <v>2802</v>
      </c>
      <c r="J184" s="9" t="s">
        <v>4812</v>
      </c>
      <c r="K184" s="9" t="s">
        <v>2730</v>
      </c>
      <c r="O184" s="9" t="s">
        <v>2270</v>
      </c>
      <c r="P184" s="9" t="s">
        <v>5023</v>
      </c>
      <c r="Q184" s="9" t="s">
        <v>5590</v>
      </c>
      <c r="R184" s="9" t="s">
        <v>2585</v>
      </c>
      <c r="W184" s="9" t="s">
        <v>1652</v>
      </c>
      <c r="X184" s="9" t="s">
        <v>465</v>
      </c>
      <c r="Z184" s="9" t="s">
        <v>813</v>
      </c>
    </row>
    <row r="185" spans="5:26" x14ac:dyDescent="0.25">
      <c r="E185" s="9" t="s">
        <v>2042</v>
      </c>
      <c r="F185" s="9" t="s">
        <v>4650</v>
      </c>
      <c r="I185" s="9" t="s">
        <v>3020</v>
      </c>
      <c r="J185" s="9" t="s">
        <v>4062</v>
      </c>
      <c r="K185" s="9" t="s">
        <v>3359</v>
      </c>
      <c r="O185" s="9" t="s">
        <v>5428</v>
      </c>
      <c r="P185" s="9" t="s">
        <v>5327</v>
      </c>
      <c r="Q185" s="9" t="s">
        <v>5655</v>
      </c>
      <c r="R185" s="9" t="s">
        <v>3172</v>
      </c>
      <c r="W185" s="9" t="s">
        <v>1541</v>
      </c>
      <c r="X185" s="9" t="s">
        <v>349</v>
      </c>
      <c r="Z185" s="9" t="s">
        <v>3851</v>
      </c>
    </row>
    <row r="186" spans="5:26" x14ac:dyDescent="0.25">
      <c r="E186" s="9" t="s">
        <v>2074</v>
      </c>
      <c r="I186" s="9" t="s">
        <v>3006</v>
      </c>
      <c r="J186" s="9" t="s">
        <v>4904</v>
      </c>
      <c r="K186" s="9" t="s">
        <v>3468</v>
      </c>
      <c r="O186" s="9" t="s">
        <v>2357</v>
      </c>
      <c r="P186" s="9" t="s">
        <v>5329</v>
      </c>
      <c r="Q186" s="9" t="s">
        <v>5574</v>
      </c>
      <c r="R186" s="9" t="s">
        <v>517</v>
      </c>
      <c r="W186" s="9" t="s">
        <v>1219</v>
      </c>
      <c r="X186" s="9" t="s">
        <v>793</v>
      </c>
      <c r="Z186" s="9" t="s">
        <v>3966</v>
      </c>
    </row>
    <row r="187" spans="5:26" x14ac:dyDescent="0.25">
      <c r="E187" s="9" t="s">
        <v>1805</v>
      </c>
      <c r="I187" s="9" t="s">
        <v>2935</v>
      </c>
      <c r="J187" s="9" t="s">
        <v>4084</v>
      </c>
      <c r="K187" s="9" t="s">
        <v>2722</v>
      </c>
      <c r="O187" s="9" t="s">
        <v>4515</v>
      </c>
      <c r="Q187" s="9" t="s">
        <v>4484</v>
      </c>
      <c r="R187" s="9" t="s">
        <v>785</v>
      </c>
      <c r="W187" s="9" t="s">
        <v>1190</v>
      </c>
      <c r="X187" s="9" t="s">
        <v>1582</v>
      </c>
      <c r="Z187" s="9" t="s">
        <v>3953</v>
      </c>
    </row>
    <row r="188" spans="5:26" x14ac:dyDescent="0.25">
      <c r="E188" s="9" t="s">
        <v>2168</v>
      </c>
      <c r="I188" s="9" t="s">
        <v>2822</v>
      </c>
      <c r="J188" s="9" t="s">
        <v>4856</v>
      </c>
      <c r="K188" s="9" t="s">
        <v>2675</v>
      </c>
      <c r="O188" s="9" t="s">
        <v>5415</v>
      </c>
      <c r="Q188" s="9" t="s">
        <v>5611</v>
      </c>
      <c r="R188" s="9" t="s">
        <v>781</v>
      </c>
      <c r="W188" s="9" t="s">
        <v>1287</v>
      </c>
      <c r="X188" s="9" t="s">
        <v>1718</v>
      </c>
      <c r="Z188" s="9" t="s">
        <v>3627</v>
      </c>
    </row>
    <row r="189" spans="5:26" x14ac:dyDescent="0.25">
      <c r="E189" s="9" t="s">
        <v>2289</v>
      </c>
      <c r="I189" s="9" t="s">
        <v>2855</v>
      </c>
      <c r="J189" s="9" t="s">
        <v>4809</v>
      </c>
      <c r="K189" s="9" t="s">
        <v>613</v>
      </c>
      <c r="O189" s="9" t="s">
        <v>2220</v>
      </c>
      <c r="Q189" s="9" t="s">
        <v>5187</v>
      </c>
      <c r="R189" s="9" t="s">
        <v>3618</v>
      </c>
      <c r="W189" s="9" t="s">
        <v>1462</v>
      </c>
      <c r="X189" s="9" t="s">
        <v>1353</v>
      </c>
      <c r="Z189" s="9" t="s">
        <v>2209</v>
      </c>
    </row>
    <row r="190" spans="5:26" x14ac:dyDescent="0.25">
      <c r="E190" s="9" t="s">
        <v>4076</v>
      </c>
      <c r="I190" s="9" t="s">
        <v>5402</v>
      </c>
      <c r="J190" s="9" t="s">
        <v>4429</v>
      </c>
      <c r="K190" s="9" t="s">
        <v>614</v>
      </c>
      <c r="O190" s="9" t="s">
        <v>2097</v>
      </c>
      <c r="Q190" s="9" t="s">
        <v>4685</v>
      </c>
      <c r="R190" s="9" t="s">
        <v>3168</v>
      </c>
      <c r="W190" s="9" t="s">
        <v>3069</v>
      </c>
      <c r="X190" s="9" t="s">
        <v>1407</v>
      </c>
      <c r="Z190" s="9" t="s">
        <v>1004</v>
      </c>
    </row>
    <row r="191" spans="5:26" x14ac:dyDescent="0.25">
      <c r="E191" s="9" t="s">
        <v>1847</v>
      </c>
      <c r="I191" s="9" t="s">
        <v>2739</v>
      </c>
      <c r="J191" s="9" t="s">
        <v>4947</v>
      </c>
      <c r="K191" s="9" t="s">
        <v>2930</v>
      </c>
      <c r="O191" s="9" t="s">
        <v>5449</v>
      </c>
      <c r="Q191" s="9" t="s">
        <v>5500</v>
      </c>
      <c r="R191" s="9" t="s">
        <v>757</v>
      </c>
      <c r="W191" s="9" t="s">
        <v>1493</v>
      </c>
      <c r="X191" s="9" t="s">
        <v>760</v>
      </c>
      <c r="Z191" s="9" t="s">
        <v>731</v>
      </c>
    </row>
    <row r="192" spans="5:26" x14ac:dyDescent="0.25">
      <c r="E192" s="9" t="s">
        <v>5094</v>
      </c>
      <c r="I192" s="9" t="s">
        <v>3038</v>
      </c>
      <c r="J192" s="9" t="s">
        <v>4402</v>
      </c>
      <c r="K192" s="9" t="s">
        <v>1010</v>
      </c>
      <c r="O192" s="9" t="s">
        <v>4551</v>
      </c>
      <c r="Q192" s="9" t="s">
        <v>4634</v>
      </c>
      <c r="R192" s="9" t="s">
        <v>3280</v>
      </c>
      <c r="W192" s="9" t="s">
        <v>1402</v>
      </c>
      <c r="X192" s="9" t="s">
        <v>345</v>
      </c>
      <c r="Z192" s="9" t="s">
        <v>4022</v>
      </c>
    </row>
    <row r="193" spans="5:26" x14ac:dyDescent="0.25">
      <c r="E193" s="9" t="s">
        <v>2025</v>
      </c>
      <c r="I193" s="9" t="s">
        <v>2068</v>
      </c>
      <c r="J193" s="9" t="s">
        <v>4833</v>
      </c>
      <c r="K193" s="9" t="s">
        <v>3404</v>
      </c>
      <c r="O193" s="9" t="s">
        <v>2136</v>
      </c>
      <c r="Q193" s="9" t="s">
        <v>5639</v>
      </c>
      <c r="R193" s="9" t="s">
        <v>3320</v>
      </c>
      <c r="W193" s="9" t="s">
        <v>1542</v>
      </c>
      <c r="X193" s="9" t="s">
        <v>1313</v>
      </c>
      <c r="Z193" s="9" t="s">
        <v>1787</v>
      </c>
    </row>
    <row r="194" spans="5:26" x14ac:dyDescent="0.25">
      <c r="E194" s="9" t="s">
        <v>1837</v>
      </c>
      <c r="I194" s="9" t="s">
        <v>2749</v>
      </c>
      <c r="J194" s="9" t="s">
        <v>4835</v>
      </c>
      <c r="K194" s="9" t="s">
        <v>3761</v>
      </c>
      <c r="O194" s="9" t="s">
        <v>5059</v>
      </c>
      <c r="Q194" s="9" t="s">
        <v>5654</v>
      </c>
      <c r="R194" s="9" t="s">
        <v>3780</v>
      </c>
      <c r="W194" s="9" t="s">
        <v>3093</v>
      </c>
      <c r="X194" s="9" t="s">
        <v>3145</v>
      </c>
      <c r="Z194" s="9" t="s">
        <v>1074</v>
      </c>
    </row>
    <row r="195" spans="5:26" x14ac:dyDescent="0.25">
      <c r="E195" s="9" t="s">
        <v>5164</v>
      </c>
      <c r="I195" s="9" t="s">
        <v>2647</v>
      </c>
      <c r="J195" s="9" t="s">
        <v>4595</v>
      </c>
      <c r="K195" s="9" t="s">
        <v>3732</v>
      </c>
      <c r="O195" s="9" t="s">
        <v>5168</v>
      </c>
      <c r="Q195" s="9" t="s">
        <v>5642</v>
      </c>
      <c r="R195" s="9" t="s">
        <v>773</v>
      </c>
      <c r="W195" s="9" t="s">
        <v>1422</v>
      </c>
      <c r="X195" s="9" t="s">
        <v>1521</v>
      </c>
      <c r="Z195" s="9" t="s">
        <v>3975</v>
      </c>
    </row>
    <row r="196" spans="5:26" x14ac:dyDescent="0.25">
      <c r="E196" s="9" t="s">
        <v>2016</v>
      </c>
      <c r="I196" s="9" t="s">
        <v>4772</v>
      </c>
      <c r="J196" s="9" t="s">
        <v>4758</v>
      </c>
      <c r="K196" s="9" t="s">
        <v>952</v>
      </c>
      <c r="O196" s="9" t="s">
        <v>5040</v>
      </c>
      <c r="Q196" s="9" t="s">
        <v>4473</v>
      </c>
      <c r="R196" s="9" t="s">
        <v>3152</v>
      </c>
      <c r="W196" s="9" t="s">
        <v>3170</v>
      </c>
      <c r="X196" s="9" t="s">
        <v>5767</v>
      </c>
      <c r="Z196" s="9" t="s">
        <v>3808</v>
      </c>
    </row>
    <row r="197" spans="5:26" x14ac:dyDescent="0.25">
      <c r="E197" s="9" t="s">
        <v>5203</v>
      </c>
      <c r="I197" s="9" t="s">
        <v>4780</v>
      </c>
      <c r="J197" s="9" t="s">
        <v>4950</v>
      </c>
      <c r="K197" s="9" t="s">
        <v>928</v>
      </c>
      <c r="O197" s="9" t="s">
        <v>2264</v>
      </c>
      <c r="Q197" s="9" t="s">
        <v>1884</v>
      </c>
      <c r="R197" s="9" t="s">
        <v>3665</v>
      </c>
      <c r="W197" s="9" t="s">
        <v>1599</v>
      </c>
      <c r="X197" s="9" t="s">
        <v>1329</v>
      </c>
      <c r="Z197" s="9" t="s">
        <v>3988</v>
      </c>
    </row>
    <row r="198" spans="5:26" x14ac:dyDescent="0.25">
      <c r="E198" s="9" t="s">
        <v>1927</v>
      </c>
      <c r="I198" s="9" t="s">
        <v>2692</v>
      </c>
      <c r="J198" s="9" t="s">
        <v>4459</v>
      </c>
      <c r="K198" s="9" t="s">
        <v>2918</v>
      </c>
      <c r="O198" s="9" t="s">
        <v>2343</v>
      </c>
      <c r="Q198" s="9" t="s">
        <v>4778</v>
      </c>
      <c r="R198" s="9" t="s">
        <v>1513</v>
      </c>
      <c r="W198" s="9" t="s">
        <v>1647</v>
      </c>
      <c r="X198" s="9" t="s">
        <v>1059</v>
      </c>
      <c r="Z198" s="9" t="s">
        <v>3853</v>
      </c>
    </row>
    <row r="199" spans="5:26" x14ac:dyDescent="0.25">
      <c r="E199" s="9" t="s">
        <v>5062</v>
      </c>
      <c r="I199" s="9" t="s">
        <v>2394</v>
      </c>
      <c r="J199" s="9" t="s">
        <v>4177</v>
      </c>
      <c r="K199" s="9" t="s">
        <v>2216</v>
      </c>
      <c r="O199" s="9" t="s">
        <v>5070</v>
      </c>
      <c r="Q199" s="9" t="s">
        <v>5517</v>
      </c>
      <c r="R199" s="9" t="s">
        <v>762</v>
      </c>
      <c r="W199" s="9" t="s">
        <v>1268</v>
      </c>
      <c r="X199" s="9" t="s">
        <v>1476</v>
      </c>
      <c r="Z199" s="9" t="s">
        <v>3941</v>
      </c>
    </row>
    <row r="200" spans="5:26" x14ac:dyDescent="0.25">
      <c r="E200" s="9" t="s">
        <v>1965</v>
      </c>
      <c r="I200" s="9" t="s">
        <v>3000</v>
      </c>
      <c r="J200" s="9" t="s">
        <v>4870</v>
      </c>
      <c r="K200" s="9" t="s">
        <v>964</v>
      </c>
      <c r="O200" s="9" t="s">
        <v>2694</v>
      </c>
      <c r="Q200" s="9" t="s">
        <v>5464</v>
      </c>
      <c r="R200" s="9" t="s">
        <v>3317</v>
      </c>
      <c r="W200" s="9" t="s">
        <v>1263</v>
      </c>
      <c r="X200" s="9" t="s">
        <v>503</v>
      </c>
      <c r="Z200" s="9" t="s">
        <v>3562</v>
      </c>
    </row>
    <row r="201" spans="5:26" x14ac:dyDescent="0.25">
      <c r="E201" s="9" t="s">
        <v>3444</v>
      </c>
      <c r="I201" s="9" t="s">
        <v>4734</v>
      </c>
      <c r="J201" s="9" t="s">
        <v>4839</v>
      </c>
      <c r="K201" s="9" t="s">
        <v>563</v>
      </c>
      <c r="O201" s="9" t="s">
        <v>2207</v>
      </c>
      <c r="Q201" s="9" t="s">
        <v>4871</v>
      </c>
      <c r="R201" s="9" t="s">
        <v>3231</v>
      </c>
      <c r="W201" s="9" t="s">
        <v>1613</v>
      </c>
      <c r="X201" s="9" t="s">
        <v>1570</v>
      </c>
      <c r="Z201" s="9" t="s">
        <v>3742</v>
      </c>
    </row>
    <row r="202" spans="5:26" x14ac:dyDescent="0.25">
      <c r="E202" s="9" t="s">
        <v>5218</v>
      </c>
      <c r="I202" s="9" t="s">
        <v>2785</v>
      </c>
      <c r="J202" s="9" t="s">
        <v>4802</v>
      </c>
      <c r="K202" s="9" t="s">
        <v>3526</v>
      </c>
      <c r="O202" s="9" t="s">
        <v>2142</v>
      </c>
      <c r="Q202" s="9" t="s">
        <v>5501</v>
      </c>
      <c r="R202" s="9" t="s">
        <v>499</v>
      </c>
      <c r="W202" s="9" t="s">
        <v>1148</v>
      </c>
      <c r="X202" s="9" t="s">
        <v>471</v>
      </c>
      <c r="Z202" s="9" t="s">
        <v>3103</v>
      </c>
    </row>
    <row r="203" spans="5:26" x14ac:dyDescent="0.25">
      <c r="E203" s="9" t="s">
        <v>5154</v>
      </c>
      <c r="I203" s="9" t="s">
        <v>2880</v>
      </c>
      <c r="J203" s="9" t="s">
        <v>4777</v>
      </c>
      <c r="K203" s="9" t="s">
        <v>2988</v>
      </c>
      <c r="O203" s="9" t="s">
        <v>2368</v>
      </c>
      <c r="Q203" s="9" t="s">
        <v>5577</v>
      </c>
      <c r="R203" s="9" t="s">
        <v>1525</v>
      </c>
      <c r="W203" s="9" t="s">
        <v>3081</v>
      </c>
      <c r="X203" s="9" t="s">
        <v>1157</v>
      </c>
      <c r="Z203" s="9" t="s">
        <v>3755</v>
      </c>
    </row>
    <row r="204" spans="5:26" x14ac:dyDescent="0.25">
      <c r="E204" s="9" t="s">
        <v>2420</v>
      </c>
      <c r="I204" s="9" t="s">
        <v>5608</v>
      </c>
      <c r="J204" s="9" t="s">
        <v>4849</v>
      </c>
      <c r="K204" s="9" t="s">
        <v>615</v>
      </c>
      <c r="O204" s="9" t="s">
        <v>2239</v>
      </c>
      <c r="Q204" s="9" t="s">
        <v>4739</v>
      </c>
      <c r="R204" s="9" t="s">
        <v>763</v>
      </c>
      <c r="W204" s="9" t="s">
        <v>1454</v>
      </c>
      <c r="X204" s="9" t="s">
        <v>1257</v>
      </c>
      <c r="Z204" s="9" t="s">
        <v>960</v>
      </c>
    </row>
    <row r="205" spans="5:26" x14ac:dyDescent="0.25">
      <c r="E205" s="9" t="s">
        <v>1984</v>
      </c>
      <c r="I205" s="9" t="s">
        <v>2871</v>
      </c>
      <c r="J205" s="9" t="s">
        <v>4930</v>
      </c>
      <c r="K205" s="9" t="s">
        <v>1938</v>
      </c>
      <c r="O205" s="9" t="s">
        <v>2190</v>
      </c>
      <c r="Q205" s="9" t="s">
        <v>5321</v>
      </c>
      <c r="R205" s="9" t="s">
        <v>768</v>
      </c>
      <c r="W205" s="9" t="s">
        <v>1322</v>
      </c>
      <c r="X205" s="9" t="s">
        <v>819</v>
      </c>
      <c r="Z205" s="9" t="s">
        <v>3875</v>
      </c>
    </row>
    <row r="206" spans="5:26" x14ac:dyDescent="0.25">
      <c r="E206" s="9" t="s">
        <v>5515</v>
      </c>
      <c r="I206" s="9" t="s">
        <v>870</v>
      </c>
      <c r="J206" s="9" t="s">
        <v>4863</v>
      </c>
      <c r="K206" s="9" t="s">
        <v>616</v>
      </c>
      <c r="O206" s="9" t="s">
        <v>3809</v>
      </c>
      <c r="Q206" s="9" t="s">
        <v>4678</v>
      </c>
      <c r="R206" s="9" t="s">
        <v>3440</v>
      </c>
      <c r="W206" s="9" t="s">
        <v>1451</v>
      </c>
      <c r="X206" s="9" t="s">
        <v>1348</v>
      </c>
      <c r="Z206" s="9" t="s">
        <v>3992</v>
      </c>
    </row>
    <row r="207" spans="5:26" x14ac:dyDescent="0.25">
      <c r="E207" s="9" t="s">
        <v>2955</v>
      </c>
      <c r="I207" s="9" t="s">
        <v>2535</v>
      </c>
      <c r="J207" s="9" t="s">
        <v>4699</v>
      </c>
      <c r="K207" s="9" t="s">
        <v>482</v>
      </c>
      <c r="O207" s="9" t="s">
        <v>5058</v>
      </c>
      <c r="Q207" s="9" t="s">
        <v>4972</v>
      </c>
      <c r="R207" s="9" t="s">
        <v>3180</v>
      </c>
      <c r="W207" s="9" t="s">
        <v>3121</v>
      </c>
      <c r="X207" s="9" t="s">
        <v>1489</v>
      </c>
      <c r="Z207" s="9" t="s">
        <v>2876</v>
      </c>
    </row>
    <row r="208" spans="5:26" x14ac:dyDescent="0.25">
      <c r="E208" s="9" t="s">
        <v>1943</v>
      </c>
      <c r="I208" s="9" t="s">
        <v>3004</v>
      </c>
      <c r="J208" s="9" t="s">
        <v>4925</v>
      </c>
      <c r="K208" s="9" t="s">
        <v>617</v>
      </c>
      <c r="O208" s="9" t="s">
        <v>2249</v>
      </c>
      <c r="Q208" s="9" t="s">
        <v>5609</v>
      </c>
      <c r="R208" s="9" t="s">
        <v>3293</v>
      </c>
      <c r="W208" s="9" t="s">
        <v>1687</v>
      </c>
      <c r="X208" s="9" t="s">
        <v>1212</v>
      </c>
      <c r="Z208" s="9" t="s">
        <v>5768</v>
      </c>
    </row>
    <row r="209" spans="5:26" x14ac:dyDescent="0.25">
      <c r="E209" s="9" t="s">
        <v>2349</v>
      </c>
      <c r="I209" s="9" t="s">
        <v>2835</v>
      </c>
      <c r="J209" s="9" t="s">
        <v>4165</v>
      </c>
      <c r="K209" s="9" t="s">
        <v>3022</v>
      </c>
      <c r="O209" s="9" t="s">
        <v>1337</v>
      </c>
      <c r="Q209" s="9" t="s">
        <v>5293</v>
      </c>
      <c r="R209" s="9" t="s">
        <v>3228</v>
      </c>
      <c r="W209" s="9" t="s">
        <v>1175</v>
      </c>
      <c r="X209" s="9" t="s">
        <v>1284</v>
      </c>
      <c r="Z209" s="9" t="s">
        <v>3752</v>
      </c>
    </row>
    <row r="210" spans="5:26" x14ac:dyDescent="0.25">
      <c r="E210" s="9" t="s">
        <v>2230</v>
      </c>
      <c r="I210" s="9" t="s">
        <v>5453</v>
      </c>
      <c r="J210" s="9" t="s">
        <v>4334</v>
      </c>
      <c r="K210" s="9" t="s">
        <v>2853</v>
      </c>
      <c r="O210" s="9" t="s">
        <v>5769</v>
      </c>
      <c r="Q210" s="9" t="s">
        <v>5641</v>
      </c>
      <c r="R210" s="9" t="s">
        <v>3334</v>
      </c>
      <c r="W210" s="9" t="s">
        <v>1359</v>
      </c>
      <c r="X210" s="9" t="s">
        <v>5770</v>
      </c>
      <c r="Z210" s="9" t="s">
        <v>3842</v>
      </c>
    </row>
    <row r="211" spans="5:26" x14ac:dyDescent="0.25">
      <c r="E211" s="9" t="s">
        <v>2367</v>
      </c>
      <c r="I211" s="9" t="s">
        <v>2672</v>
      </c>
      <c r="J211" s="9" t="s">
        <v>4172</v>
      </c>
      <c r="K211" s="9" t="s">
        <v>980</v>
      </c>
      <c r="O211" s="9" t="s">
        <v>4627</v>
      </c>
      <c r="Q211" s="9" t="s">
        <v>5421</v>
      </c>
      <c r="R211" s="9" t="s">
        <v>3226</v>
      </c>
      <c r="W211" s="9" t="s">
        <v>3590</v>
      </c>
      <c r="X211" s="9" t="s">
        <v>1270</v>
      </c>
      <c r="Z211" s="9" t="s">
        <v>829</v>
      </c>
    </row>
    <row r="212" spans="5:26" x14ac:dyDescent="0.25">
      <c r="E212" s="9" t="s">
        <v>5109</v>
      </c>
      <c r="I212" s="9" t="s">
        <v>2916</v>
      </c>
      <c r="J212" s="9" t="s">
        <v>5396</v>
      </c>
      <c r="K212" s="9" t="s">
        <v>3475</v>
      </c>
      <c r="O212" s="9" t="s">
        <v>2309</v>
      </c>
      <c r="Q212" s="9" t="s">
        <v>4730</v>
      </c>
      <c r="R212" s="9" t="s">
        <v>3414</v>
      </c>
      <c r="W212" s="9" t="s">
        <v>1735</v>
      </c>
      <c r="X212" s="9" t="s">
        <v>1278</v>
      </c>
      <c r="Z212" s="9" t="s">
        <v>3654</v>
      </c>
    </row>
    <row r="213" spans="5:26" x14ac:dyDescent="0.25">
      <c r="E213" s="9" t="s">
        <v>1825</v>
      </c>
      <c r="I213" s="9" t="s">
        <v>2921</v>
      </c>
      <c r="J213" s="9" t="s">
        <v>4616</v>
      </c>
      <c r="K213" s="9" t="s">
        <v>2588</v>
      </c>
      <c r="O213" s="9" t="s">
        <v>5771</v>
      </c>
      <c r="Q213" s="9" t="s">
        <v>4580</v>
      </c>
      <c r="R213" s="9" t="s">
        <v>312</v>
      </c>
      <c r="W213" s="9" t="s">
        <v>1722</v>
      </c>
      <c r="X213" s="9" t="s">
        <v>1321</v>
      </c>
      <c r="Z213" s="9" t="s">
        <v>953</v>
      </c>
    </row>
    <row r="214" spans="5:26" x14ac:dyDescent="0.25">
      <c r="E214" s="9" t="s">
        <v>3186</v>
      </c>
      <c r="I214" s="9" t="s">
        <v>2826</v>
      </c>
      <c r="J214" s="9" t="s">
        <v>3588</v>
      </c>
      <c r="K214" s="9" t="s">
        <v>1969</v>
      </c>
      <c r="O214" s="9" t="s">
        <v>2067</v>
      </c>
      <c r="Q214" s="9" t="s">
        <v>5520</v>
      </c>
      <c r="R214" s="9" t="s">
        <v>3085</v>
      </c>
      <c r="W214" s="9" t="s">
        <v>1496</v>
      </c>
      <c r="X214" s="9" t="s">
        <v>1133</v>
      </c>
      <c r="Z214" s="9" t="s">
        <v>3571</v>
      </c>
    </row>
    <row r="215" spans="5:26" x14ac:dyDescent="0.25">
      <c r="E215" s="9" t="s">
        <v>3422</v>
      </c>
      <c r="I215" s="9" t="s">
        <v>1486</v>
      </c>
      <c r="J215" s="9" t="s">
        <v>4756</v>
      </c>
      <c r="K215" s="9" t="s">
        <v>2129</v>
      </c>
      <c r="O215" s="9" t="s">
        <v>1273</v>
      </c>
      <c r="Q215" s="9" t="s">
        <v>4646</v>
      </c>
      <c r="R215" s="9" t="s">
        <v>770</v>
      </c>
      <c r="W215" s="9" t="s">
        <v>3271</v>
      </c>
      <c r="X215" s="9" t="s">
        <v>1170</v>
      </c>
      <c r="Z215" s="9" t="s">
        <v>3254</v>
      </c>
    </row>
    <row r="216" spans="5:26" x14ac:dyDescent="0.25">
      <c r="E216" s="9" t="s">
        <v>1933</v>
      </c>
      <c r="I216" s="9" t="s">
        <v>2905</v>
      </c>
      <c r="J216" s="9" t="s">
        <v>4668</v>
      </c>
      <c r="K216" s="9" t="s">
        <v>2718</v>
      </c>
      <c r="O216" s="9" t="s">
        <v>2000</v>
      </c>
      <c r="Q216" s="9" t="s">
        <v>5652</v>
      </c>
      <c r="R216" s="9" t="s">
        <v>501</v>
      </c>
      <c r="W216" s="9" t="s">
        <v>1158</v>
      </c>
      <c r="X216" s="9" t="s">
        <v>1518</v>
      </c>
      <c r="Z216" s="9" t="s">
        <v>538</v>
      </c>
    </row>
    <row r="217" spans="5:26" x14ac:dyDescent="0.25">
      <c r="E217" s="9" t="s">
        <v>2111</v>
      </c>
      <c r="I217" s="9" t="s">
        <v>2957</v>
      </c>
      <c r="J217" s="9" t="s">
        <v>4744</v>
      </c>
      <c r="K217" s="9" t="s">
        <v>3514</v>
      </c>
      <c r="O217" s="9" t="s">
        <v>2140</v>
      </c>
      <c r="Q217" s="9" t="s">
        <v>4940</v>
      </c>
      <c r="R217" s="9" t="s">
        <v>3184</v>
      </c>
      <c r="W217" s="9" t="s">
        <v>443</v>
      </c>
      <c r="X217" s="9" t="s">
        <v>1538</v>
      </c>
      <c r="Z217" s="9" t="s">
        <v>3707</v>
      </c>
    </row>
    <row r="218" spans="5:26" x14ac:dyDescent="0.25">
      <c r="E218" s="9" t="s">
        <v>2122</v>
      </c>
      <c r="I218" s="9" t="s">
        <v>5772</v>
      </c>
      <c r="J218" s="9" t="s">
        <v>4589</v>
      </c>
      <c r="K218" s="9" t="s">
        <v>618</v>
      </c>
      <c r="O218" s="9" t="s">
        <v>1444</v>
      </c>
      <c r="Q218" s="9" t="s">
        <v>4789</v>
      </c>
      <c r="R218" s="9" t="s">
        <v>3619</v>
      </c>
      <c r="W218" s="9" t="s">
        <v>1654</v>
      </c>
      <c r="X218" s="9" t="s">
        <v>1238</v>
      </c>
      <c r="Z218" s="9" t="s">
        <v>3949</v>
      </c>
    </row>
    <row r="219" spans="5:26" x14ac:dyDescent="0.25">
      <c r="E219" s="9" t="s">
        <v>5205</v>
      </c>
      <c r="I219" s="9" t="s">
        <v>2927</v>
      </c>
      <c r="K219" s="9" t="s">
        <v>2725</v>
      </c>
      <c r="O219" s="9" t="s">
        <v>4521</v>
      </c>
      <c r="Q219" s="9" t="s">
        <v>5230</v>
      </c>
      <c r="R219" s="9" t="s">
        <v>3087</v>
      </c>
      <c r="W219" s="9" t="s">
        <v>1228</v>
      </c>
      <c r="X219" s="9" t="s">
        <v>1281</v>
      </c>
      <c r="Z219" s="9" t="s">
        <v>4003</v>
      </c>
    </row>
    <row r="220" spans="5:26" x14ac:dyDescent="0.25">
      <c r="E220" s="9" t="s">
        <v>1816</v>
      </c>
      <c r="I220" s="9" t="s">
        <v>3045</v>
      </c>
      <c r="K220" s="9" t="s">
        <v>619</v>
      </c>
      <c r="O220" s="9" t="s">
        <v>2961</v>
      </c>
      <c r="Q220" s="9" t="s">
        <v>5542</v>
      </c>
      <c r="R220" s="9" t="s">
        <v>754</v>
      </c>
      <c r="W220" s="9" t="s">
        <v>1350</v>
      </c>
      <c r="X220" s="9" t="s">
        <v>539</v>
      </c>
      <c r="Z220" s="9" t="s">
        <v>3749</v>
      </c>
    </row>
    <row r="221" spans="5:26" x14ac:dyDescent="0.25">
      <c r="E221" s="9" t="s">
        <v>2585</v>
      </c>
      <c r="I221" s="9" t="s">
        <v>5108</v>
      </c>
      <c r="K221" s="9" t="s">
        <v>2378</v>
      </c>
      <c r="O221" s="9" t="s">
        <v>4534</v>
      </c>
      <c r="Q221" s="9" t="s">
        <v>5649</v>
      </c>
      <c r="R221" s="9" t="s">
        <v>3267</v>
      </c>
      <c r="W221" s="9" t="s">
        <v>1548</v>
      </c>
      <c r="X221" s="9" t="s">
        <v>1098</v>
      </c>
      <c r="Z221" s="9" t="s">
        <v>3815</v>
      </c>
    </row>
    <row r="222" spans="5:26" x14ac:dyDescent="0.25">
      <c r="E222" s="9" t="s">
        <v>1973</v>
      </c>
      <c r="I222" s="9" t="s">
        <v>2870</v>
      </c>
      <c r="K222" s="9" t="s">
        <v>2038</v>
      </c>
      <c r="O222" s="9" t="s">
        <v>4547</v>
      </c>
      <c r="Q222" s="9" t="s">
        <v>5615</v>
      </c>
      <c r="R222" s="9" t="s">
        <v>3603</v>
      </c>
      <c r="W222" s="9" t="s">
        <v>1009</v>
      </c>
      <c r="X222" s="9" t="s">
        <v>1418</v>
      </c>
      <c r="Z222" s="9" t="s">
        <v>3559</v>
      </c>
    </row>
    <row r="223" spans="5:26" x14ac:dyDescent="0.25">
      <c r="E223" s="9" t="s">
        <v>821</v>
      </c>
      <c r="I223" s="9" t="s">
        <v>2912</v>
      </c>
      <c r="K223" s="9" t="s">
        <v>549</v>
      </c>
      <c r="O223" s="9" t="s">
        <v>4528</v>
      </c>
      <c r="Q223" s="9" t="s">
        <v>5504</v>
      </c>
      <c r="R223" s="9" t="s">
        <v>3239</v>
      </c>
      <c r="W223" s="9" t="s">
        <v>1419</v>
      </c>
      <c r="X223" s="9" t="s">
        <v>1163</v>
      </c>
      <c r="Z223" s="9" t="s">
        <v>4040</v>
      </c>
    </row>
    <row r="224" spans="5:26" x14ac:dyDescent="0.25">
      <c r="E224" s="9" t="s">
        <v>1897</v>
      </c>
      <c r="I224" s="9" t="s">
        <v>2893</v>
      </c>
      <c r="K224" s="9" t="s">
        <v>1915</v>
      </c>
      <c r="O224" s="9" t="s">
        <v>2180</v>
      </c>
      <c r="Q224" s="9" t="s">
        <v>5470</v>
      </c>
      <c r="R224" s="9" t="s">
        <v>3189</v>
      </c>
      <c r="W224" s="9" t="s">
        <v>1535</v>
      </c>
      <c r="X224" s="9" t="s">
        <v>1617</v>
      </c>
      <c r="Z224" s="9" t="s">
        <v>1040</v>
      </c>
    </row>
    <row r="225" spans="5:26" x14ac:dyDescent="0.25">
      <c r="E225" s="9" t="s">
        <v>2078</v>
      </c>
      <c r="I225" s="9" t="s">
        <v>2744</v>
      </c>
      <c r="K225" s="9" t="s">
        <v>2322</v>
      </c>
      <c r="Q225" s="9" t="s">
        <v>5627</v>
      </c>
      <c r="R225" s="9" t="s">
        <v>3770</v>
      </c>
      <c r="W225" s="9" t="s">
        <v>1106</v>
      </c>
      <c r="X225" s="9" t="s">
        <v>1395</v>
      </c>
      <c r="Z225" s="9" t="s">
        <v>2740</v>
      </c>
    </row>
    <row r="226" spans="5:26" x14ac:dyDescent="0.25">
      <c r="E226" s="9" t="s">
        <v>1944</v>
      </c>
      <c r="I226" s="9" t="s">
        <v>3039</v>
      </c>
      <c r="K226" s="9" t="s">
        <v>2660</v>
      </c>
      <c r="R226" s="9" t="s">
        <v>3592</v>
      </c>
      <c r="W226" s="9" t="s">
        <v>1544</v>
      </c>
      <c r="X226" s="9" t="s">
        <v>1309</v>
      </c>
      <c r="Z226" s="9" t="s">
        <v>3719</v>
      </c>
    </row>
    <row r="227" spans="5:26" x14ac:dyDescent="0.25">
      <c r="E227" s="9" t="s">
        <v>1959</v>
      </c>
      <c r="I227" s="9" t="s">
        <v>3032</v>
      </c>
      <c r="K227" s="9" t="s">
        <v>620</v>
      </c>
      <c r="R227" s="9" t="s">
        <v>3243</v>
      </c>
      <c r="W227" s="9" t="s">
        <v>1484</v>
      </c>
      <c r="X227" s="9" t="s">
        <v>1473</v>
      </c>
      <c r="Z227" s="9" t="s">
        <v>1789</v>
      </c>
    </row>
    <row r="228" spans="5:26" x14ac:dyDescent="0.25">
      <c r="E228" s="9" t="s">
        <v>2066</v>
      </c>
      <c r="I228" s="9" t="s">
        <v>2260</v>
      </c>
      <c r="K228" s="9" t="s">
        <v>1005</v>
      </c>
      <c r="R228" s="9" t="s">
        <v>3325</v>
      </c>
      <c r="W228" s="9" t="s">
        <v>1648</v>
      </c>
      <c r="X228" s="9" t="s">
        <v>1102</v>
      </c>
      <c r="Z228" s="9" t="s">
        <v>3881</v>
      </c>
    </row>
    <row r="229" spans="5:26" x14ac:dyDescent="0.25">
      <c r="E229" s="9" t="s">
        <v>1976</v>
      </c>
      <c r="I229" s="9" t="s">
        <v>5773</v>
      </c>
      <c r="K229" s="9" t="s">
        <v>621</v>
      </c>
      <c r="R229" s="9" t="s">
        <v>3375</v>
      </c>
      <c r="W229" s="9" t="s">
        <v>1621</v>
      </c>
      <c r="X229" s="9" t="s">
        <v>1520</v>
      </c>
      <c r="Z229" s="9" t="s">
        <v>1782</v>
      </c>
    </row>
    <row r="230" spans="5:26" x14ac:dyDescent="0.25">
      <c r="E230" s="9" t="s">
        <v>3429</v>
      </c>
      <c r="I230" s="9" t="s">
        <v>2862</v>
      </c>
      <c r="K230" s="9" t="s">
        <v>2815</v>
      </c>
      <c r="R230" s="9" t="s">
        <v>3639</v>
      </c>
      <c r="W230" s="9" t="s">
        <v>1194</v>
      </c>
      <c r="X230" s="9" t="s">
        <v>1345</v>
      </c>
      <c r="Z230" s="9" t="s">
        <v>3795</v>
      </c>
    </row>
    <row r="231" spans="5:26" x14ac:dyDescent="0.25">
      <c r="E231" s="9" t="s">
        <v>2693</v>
      </c>
      <c r="I231" s="9" t="s">
        <v>2365</v>
      </c>
      <c r="K231" s="9" t="s">
        <v>898</v>
      </c>
      <c r="R231" s="9" t="s">
        <v>3213</v>
      </c>
      <c r="W231" s="9" t="s">
        <v>1334</v>
      </c>
      <c r="X231" s="9" t="s">
        <v>1565</v>
      </c>
      <c r="Z231" s="9" t="s">
        <v>3960</v>
      </c>
    </row>
    <row r="232" spans="5:26" x14ac:dyDescent="0.25">
      <c r="E232" s="9" t="s">
        <v>4107</v>
      </c>
      <c r="I232" s="9" t="s">
        <v>2721</v>
      </c>
      <c r="K232" s="9" t="s">
        <v>1887</v>
      </c>
      <c r="R232" s="9" t="s">
        <v>3344</v>
      </c>
      <c r="W232" s="9" t="s">
        <v>1562</v>
      </c>
      <c r="X232" s="9" t="s">
        <v>1704</v>
      </c>
      <c r="Z232" s="9" t="s">
        <v>3659</v>
      </c>
    </row>
    <row r="233" spans="5:26" x14ac:dyDescent="0.25">
      <c r="E233" s="9" t="s">
        <v>5174</v>
      </c>
      <c r="I233" s="9" t="s">
        <v>2605</v>
      </c>
      <c r="K233" s="9" t="s">
        <v>2741</v>
      </c>
      <c r="R233" s="9" t="s">
        <v>2783</v>
      </c>
      <c r="W233" s="9" t="s">
        <v>1427</v>
      </c>
      <c r="X233" s="9" t="s">
        <v>1099</v>
      </c>
      <c r="Z233" s="9" t="s">
        <v>3855</v>
      </c>
    </row>
    <row r="234" spans="5:26" x14ac:dyDescent="0.25">
      <c r="E234" s="9" t="s">
        <v>1971</v>
      </c>
      <c r="I234" s="9" t="s">
        <v>2717</v>
      </c>
      <c r="K234" s="9" t="s">
        <v>2854</v>
      </c>
      <c r="R234" s="9" t="s">
        <v>761</v>
      </c>
      <c r="W234" s="9" t="s">
        <v>1344</v>
      </c>
      <c r="X234" s="9" t="s">
        <v>1403</v>
      </c>
      <c r="Z234" s="9" t="s">
        <v>909</v>
      </c>
    </row>
    <row r="235" spans="5:26" x14ac:dyDescent="0.25">
      <c r="E235" s="9" t="s">
        <v>2618</v>
      </c>
      <c r="I235" s="9" t="s">
        <v>5516</v>
      </c>
      <c r="K235" s="9" t="s">
        <v>559</v>
      </c>
      <c r="R235" s="9" t="s">
        <v>3246</v>
      </c>
      <c r="W235" s="9" t="s">
        <v>1420</v>
      </c>
      <c r="X235" s="9" t="s">
        <v>1488</v>
      </c>
      <c r="Z235" s="9" t="s">
        <v>3472</v>
      </c>
    </row>
    <row r="236" spans="5:26" x14ac:dyDescent="0.25">
      <c r="E236" s="9" t="s">
        <v>5774</v>
      </c>
      <c r="I236" s="9" t="s">
        <v>2922</v>
      </c>
      <c r="K236" s="9" t="s">
        <v>904</v>
      </c>
      <c r="R236" s="9" t="s">
        <v>1713</v>
      </c>
      <c r="W236" s="9" t="s">
        <v>1691</v>
      </c>
      <c r="X236" s="9" t="s">
        <v>1196</v>
      </c>
      <c r="Z236" s="9" t="s">
        <v>3473</v>
      </c>
    </row>
    <row r="237" spans="5:26" x14ac:dyDescent="0.25">
      <c r="E237" s="9" t="s">
        <v>2305</v>
      </c>
      <c r="I237" s="9" t="s">
        <v>2772</v>
      </c>
      <c r="K237" s="9" t="s">
        <v>2875</v>
      </c>
      <c r="R237" s="9" t="s">
        <v>2229</v>
      </c>
      <c r="W237" s="9" t="s">
        <v>1225</v>
      </c>
      <c r="X237" s="9" t="s">
        <v>1116</v>
      </c>
      <c r="Z237" s="9" t="s">
        <v>3826</v>
      </c>
    </row>
    <row r="238" spans="5:26" x14ac:dyDescent="0.25">
      <c r="E238" s="9" t="s">
        <v>2072</v>
      </c>
      <c r="I238" s="9" t="s">
        <v>5775</v>
      </c>
      <c r="K238" s="9" t="s">
        <v>3777</v>
      </c>
      <c r="R238" s="9" t="s">
        <v>787</v>
      </c>
      <c r="W238" s="9" t="s">
        <v>1249</v>
      </c>
      <c r="X238" s="9" t="s">
        <v>1245</v>
      </c>
      <c r="Z238" s="9" t="s">
        <v>3014</v>
      </c>
    </row>
    <row r="239" spans="5:26" x14ac:dyDescent="0.25">
      <c r="E239" s="9" t="s">
        <v>2715</v>
      </c>
      <c r="I239" s="9" t="s">
        <v>2695</v>
      </c>
      <c r="K239" s="9" t="s">
        <v>3695</v>
      </c>
      <c r="R239" s="9" t="s">
        <v>3332</v>
      </c>
      <c r="W239" s="9" t="s">
        <v>5776</v>
      </c>
      <c r="X239" s="9" t="s">
        <v>725</v>
      </c>
      <c r="Z239" s="9" t="s">
        <v>1042</v>
      </c>
    </row>
    <row r="240" spans="5:26" x14ac:dyDescent="0.25">
      <c r="E240" s="9" t="s">
        <v>5326</v>
      </c>
      <c r="I240" s="9" t="s">
        <v>2889</v>
      </c>
      <c r="K240" s="9" t="s">
        <v>622</v>
      </c>
      <c r="R240" s="9" t="s">
        <v>3179</v>
      </c>
      <c r="W240" s="9" t="s">
        <v>492</v>
      </c>
      <c r="X240" s="9" t="s">
        <v>1092</v>
      </c>
      <c r="Z240" s="9" t="s">
        <v>3522</v>
      </c>
    </row>
    <row r="241" spans="5:26" x14ac:dyDescent="0.25">
      <c r="E241" s="9" t="s">
        <v>5078</v>
      </c>
      <c r="I241" s="9" t="s">
        <v>2924</v>
      </c>
      <c r="K241" s="9" t="s">
        <v>623</v>
      </c>
      <c r="R241" s="9" t="s">
        <v>3110</v>
      </c>
      <c r="W241" s="9" t="s">
        <v>1283</v>
      </c>
      <c r="X241" s="9" t="s">
        <v>1113</v>
      </c>
      <c r="Z241" s="9" t="s">
        <v>3577</v>
      </c>
    </row>
    <row r="242" spans="5:26" x14ac:dyDescent="0.25">
      <c r="E242" s="9" t="s">
        <v>2446</v>
      </c>
      <c r="I242" s="9" t="s">
        <v>2765</v>
      </c>
      <c r="K242" s="9" t="s">
        <v>521</v>
      </c>
      <c r="R242" s="9" t="s">
        <v>3389</v>
      </c>
      <c r="W242" s="9" t="s">
        <v>1742</v>
      </c>
      <c r="X242" s="9" t="s">
        <v>737</v>
      </c>
      <c r="Z242" s="9" t="s">
        <v>4027</v>
      </c>
    </row>
    <row r="243" spans="5:26" x14ac:dyDescent="0.25">
      <c r="E243" s="9" t="s">
        <v>5095</v>
      </c>
      <c r="I243" s="9" t="s">
        <v>3347</v>
      </c>
      <c r="K243" s="9" t="s">
        <v>624</v>
      </c>
      <c r="R243" s="9" t="s">
        <v>3188</v>
      </c>
      <c r="W243" s="9" t="s">
        <v>1152</v>
      </c>
      <c r="X243" s="9" t="s">
        <v>1272</v>
      </c>
      <c r="Z243" s="9" t="s">
        <v>5777</v>
      </c>
    </row>
    <row r="244" spans="5:26" x14ac:dyDescent="0.25">
      <c r="E244" s="9" t="s">
        <v>2238</v>
      </c>
      <c r="I244" s="9" t="s">
        <v>3002</v>
      </c>
      <c r="K244" s="9" t="s">
        <v>1862</v>
      </c>
      <c r="R244" s="9" t="s">
        <v>566</v>
      </c>
      <c r="W244" s="9" t="s">
        <v>1464</v>
      </c>
      <c r="X244" s="9" t="s">
        <v>1486</v>
      </c>
      <c r="Z244" s="9" t="s">
        <v>1758</v>
      </c>
    </row>
    <row r="245" spans="5:26" x14ac:dyDescent="0.25">
      <c r="E245" s="9" t="s">
        <v>5553</v>
      </c>
      <c r="I245" s="9" t="s">
        <v>2720</v>
      </c>
      <c r="K245" s="9" t="s">
        <v>3494</v>
      </c>
      <c r="R245" s="9" t="s">
        <v>3160</v>
      </c>
      <c r="W245" s="9" t="s">
        <v>1262</v>
      </c>
      <c r="X245" s="9" t="s">
        <v>1210</v>
      </c>
      <c r="Z245" s="9" t="s">
        <v>997</v>
      </c>
    </row>
    <row r="246" spans="5:26" x14ac:dyDescent="0.25">
      <c r="E246" s="9" t="s">
        <v>2211</v>
      </c>
      <c r="I246" s="9" t="s">
        <v>2333</v>
      </c>
      <c r="K246" s="9" t="s">
        <v>3433</v>
      </c>
      <c r="R246" s="9" t="s">
        <v>3341</v>
      </c>
      <c r="W246" s="9" t="s">
        <v>1628</v>
      </c>
      <c r="X246" s="9" t="s">
        <v>1280</v>
      </c>
      <c r="Z246" s="9" t="s">
        <v>3860</v>
      </c>
    </row>
    <row r="247" spans="5:26" x14ac:dyDescent="0.25">
      <c r="E247" s="9" t="s">
        <v>2471</v>
      </c>
      <c r="I247" s="9" t="s">
        <v>3019</v>
      </c>
      <c r="K247" s="9" t="s">
        <v>1903</v>
      </c>
      <c r="R247" s="9" t="s">
        <v>3321</v>
      </c>
      <c r="W247" s="9" t="s">
        <v>1122</v>
      </c>
      <c r="X247" s="9" t="s">
        <v>3077</v>
      </c>
      <c r="Z247" s="9" t="s">
        <v>3775</v>
      </c>
    </row>
    <row r="248" spans="5:26" x14ac:dyDescent="0.25">
      <c r="E248" s="9" t="s">
        <v>5546</v>
      </c>
      <c r="K248" s="9" t="s">
        <v>3431</v>
      </c>
      <c r="R248" s="9" t="s">
        <v>3176</v>
      </c>
      <c r="W248" s="9" t="s">
        <v>740</v>
      </c>
      <c r="X248" s="9" t="s">
        <v>3605</v>
      </c>
      <c r="Z248" s="9" t="s">
        <v>3859</v>
      </c>
    </row>
    <row r="249" spans="5:26" x14ac:dyDescent="0.25">
      <c r="E249" s="9" t="s">
        <v>2434</v>
      </c>
      <c r="K249" s="9" t="s">
        <v>3857</v>
      </c>
      <c r="R249" s="9" t="s">
        <v>3360</v>
      </c>
      <c r="W249" s="9" t="s">
        <v>1432</v>
      </c>
      <c r="X249" s="9" t="s">
        <v>1364</v>
      </c>
      <c r="Z249" s="9" t="s">
        <v>3699</v>
      </c>
    </row>
    <row r="250" spans="5:26" x14ac:dyDescent="0.25">
      <c r="E250" s="9" t="s">
        <v>5125</v>
      </c>
      <c r="K250" s="9" t="s">
        <v>2755</v>
      </c>
      <c r="R250" s="9" t="s">
        <v>1637</v>
      </c>
      <c r="W250" s="9" t="s">
        <v>1603</v>
      </c>
      <c r="X250" s="9" t="s">
        <v>511</v>
      </c>
      <c r="Z250" s="9" t="s">
        <v>3760</v>
      </c>
    </row>
    <row r="251" spans="5:26" x14ac:dyDescent="0.25">
      <c r="E251" s="9" t="s">
        <v>5030</v>
      </c>
      <c r="K251" s="9" t="s">
        <v>625</v>
      </c>
      <c r="R251" s="9" t="s">
        <v>793</v>
      </c>
      <c r="W251" s="9" t="s">
        <v>1315</v>
      </c>
      <c r="X251" s="9" t="s">
        <v>493</v>
      </c>
      <c r="Z251" s="9" t="s">
        <v>3799</v>
      </c>
    </row>
    <row r="252" spans="5:26" x14ac:dyDescent="0.25">
      <c r="E252" s="9" t="s">
        <v>5349</v>
      </c>
      <c r="K252" s="9" t="s">
        <v>2099</v>
      </c>
      <c r="R252" s="9" t="s">
        <v>513</v>
      </c>
      <c r="W252" s="9" t="s">
        <v>1429</v>
      </c>
      <c r="X252" s="9" t="s">
        <v>1296</v>
      </c>
      <c r="Z252" s="9" t="s">
        <v>1773</v>
      </c>
    </row>
    <row r="253" spans="5:26" x14ac:dyDescent="0.25">
      <c r="E253" s="9" t="s">
        <v>1830</v>
      </c>
      <c r="K253" s="9" t="s">
        <v>2650</v>
      </c>
      <c r="R253" s="9" t="s">
        <v>3322</v>
      </c>
      <c r="W253" s="9" t="s">
        <v>3118</v>
      </c>
      <c r="X253" s="9" t="s">
        <v>1127</v>
      </c>
      <c r="Z253" s="9" t="s">
        <v>1041</v>
      </c>
    </row>
    <row r="254" spans="5:26" x14ac:dyDescent="0.25">
      <c r="E254" s="9" t="s">
        <v>5037</v>
      </c>
      <c r="K254" s="9" t="s">
        <v>2539</v>
      </c>
      <c r="R254" s="9" t="s">
        <v>3614</v>
      </c>
      <c r="W254" s="9" t="s">
        <v>1641</v>
      </c>
      <c r="X254" s="9" t="s">
        <v>1117</v>
      </c>
      <c r="Z254" s="9" t="s">
        <v>3933</v>
      </c>
    </row>
    <row r="255" spans="5:26" x14ac:dyDescent="0.25">
      <c r="E255" s="9" t="s">
        <v>2652</v>
      </c>
      <c r="K255" s="9" t="s">
        <v>3709</v>
      </c>
      <c r="R255" s="9" t="s">
        <v>3263</v>
      </c>
      <c r="W255" s="9" t="s">
        <v>1237</v>
      </c>
      <c r="X255" s="9" t="s">
        <v>1555</v>
      </c>
      <c r="Z255" s="9" t="s">
        <v>3538</v>
      </c>
    </row>
    <row r="256" spans="5:26" x14ac:dyDescent="0.25">
      <c r="E256" s="9" t="s">
        <v>1901</v>
      </c>
      <c r="K256" s="9" t="s">
        <v>496</v>
      </c>
      <c r="R256" s="9" t="s">
        <v>3076</v>
      </c>
      <c r="W256" s="9" t="s">
        <v>1658</v>
      </c>
      <c r="X256" s="9" t="s">
        <v>1104</v>
      </c>
      <c r="Z256" s="9" t="s">
        <v>3503</v>
      </c>
    </row>
    <row r="257" spans="5:26" x14ac:dyDescent="0.25">
      <c r="E257" s="9" t="s">
        <v>2311</v>
      </c>
      <c r="K257" s="9" t="s">
        <v>971</v>
      </c>
      <c r="R257" s="9" t="s">
        <v>3470</v>
      </c>
      <c r="W257" s="9" t="s">
        <v>1501</v>
      </c>
      <c r="X257" s="9" t="s">
        <v>1251</v>
      </c>
      <c r="Z257" s="9" t="s">
        <v>3917</v>
      </c>
    </row>
    <row r="258" spans="5:26" x14ac:dyDescent="0.25">
      <c r="E258" s="9" t="s">
        <v>2432</v>
      </c>
      <c r="K258" s="9" t="s">
        <v>5778</v>
      </c>
      <c r="R258" s="9" t="s">
        <v>3124</v>
      </c>
      <c r="W258" s="9" t="s">
        <v>1527</v>
      </c>
      <c r="X258" s="9" t="s">
        <v>5779</v>
      </c>
      <c r="Z258" s="9" t="s">
        <v>732</v>
      </c>
    </row>
    <row r="259" spans="5:26" x14ac:dyDescent="0.25">
      <c r="E259" s="9" t="s">
        <v>2278</v>
      </c>
      <c r="K259" s="9" t="s">
        <v>626</v>
      </c>
      <c r="R259" s="9" t="s">
        <v>3236</v>
      </c>
      <c r="W259" s="9" t="s">
        <v>1276</v>
      </c>
      <c r="X259" s="9" t="s">
        <v>1252</v>
      </c>
      <c r="Z259" s="9" t="s">
        <v>1777</v>
      </c>
    </row>
    <row r="260" spans="5:26" x14ac:dyDescent="0.25">
      <c r="E260" s="9" t="s">
        <v>2427</v>
      </c>
      <c r="K260" s="9" t="s">
        <v>3380</v>
      </c>
      <c r="R260" s="9" t="s">
        <v>805</v>
      </c>
      <c r="W260" s="9" t="s">
        <v>1497</v>
      </c>
      <c r="X260" s="9" t="s">
        <v>1549</v>
      </c>
      <c r="Z260" s="9" t="s">
        <v>733</v>
      </c>
    </row>
    <row r="261" spans="5:26" x14ac:dyDescent="0.25">
      <c r="E261" s="9" t="s">
        <v>5498</v>
      </c>
      <c r="K261" s="9" t="s">
        <v>2384</v>
      </c>
      <c r="R261" s="9" t="s">
        <v>1495</v>
      </c>
      <c r="W261" s="9" t="s">
        <v>1248</v>
      </c>
      <c r="X261" s="9" t="s">
        <v>475</v>
      </c>
      <c r="Z261" s="9" t="s">
        <v>864</v>
      </c>
    </row>
    <row r="262" spans="5:26" x14ac:dyDescent="0.25">
      <c r="E262" s="9" t="s">
        <v>5562</v>
      </c>
      <c r="K262" s="9" t="s">
        <v>3488</v>
      </c>
      <c r="R262" s="9" t="s">
        <v>1485</v>
      </c>
      <c r="W262" s="9" t="s">
        <v>1286</v>
      </c>
      <c r="X262" s="9" t="s">
        <v>3100</v>
      </c>
      <c r="Z262" s="9" t="s">
        <v>3542</v>
      </c>
    </row>
    <row r="263" spans="5:26" x14ac:dyDescent="0.25">
      <c r="E263" s="9" t="s">
        <v>2065</v>
      </c>
      <c r="K263" s="9" t="s">
        <v>3401</v>
      </c>
      <c r="R263" s="9" t="s">
        <v>3207</v>
      </c>
      <c r="W263" s="9" t="s">
        <v>1189</v>
      </c>
      <c r="X263" s="9" t="s">
        <v>1154</v>
      </c>
      <c r="Z263" s="9" t="s">
        <v>940</v>
      </c>
    </row>
    <row r="264" spans="5:26" x14ac:dyDescent="0.25">
      <c r="E264" s="9" t="s">
        <v>1899</v>
      </c>
      <c r="K264" s="9" t="s">
        <v>2617</v>
      </c>
      <c r="R264" s="9" t="s">
        <v>3598</v>
      </c>
      <c r="W264" s="9" t="s">
        <v>1240</v>
      </c>
      <c r="X264" s="9" t="s">
        <v>515</v>
      </c>
      <c r="Z264" s="9" t="s">
        <v>3940</v>
      </c>
    </row>
    <row r="265" spans="5:26" x14ac:dyDescent="0.25">
      <c r="E265" s="9" t="s">
        <v>2477</v>
      </c>
      <c r="K265" s="9" t="s">
        <v>3485</v>
      </c>
      <c r="R265" s="9" t="s">
        <v>3604</v>
      </c>
      <c r="W265" s="9" t="s">
        <v>1308</v>
      </c>
      <c r="X265" s="9" t="s">
        <v>1417</v>
      </c>
      <c r="Z265" s="9" t="s">
        <v>1766</v>
      </c>
    </row>
    <row r="266" spans="5:26" x14ac:dyDescent="0.25">
      <c r="E266" s="9" t="s">
        <v>1800</v>
      </c>
      <c r="K266" s="9" t="s">
        <v>963</v>
      </c>
      <c r="R266" s="9" t="s">
        <v>5780</v>
      </c>
      <c r="W266" s="9" t="s">
        <v>1445</v>
      </c>
      <c r="X266" s="9" t="s">
        <v>1132</v>
      </c>
      <c r="Z266" s="9" t="s">
        <v>3492</v>
      </c>
    </row>
    <row r="267" spans="5:26" x14ac:dyDescent="0.25">
      <c r="E267" s="9" t="s">
        <v>2466</v>
      </c>
      <c r="K267" s="9" t="s">
        <v>2549</v>
      </c>
      <c r="R267" s="9" t="s">
        <v>714</v>
      </c>
      <c r="W267" s="9" t="s">
        <v>1139</v>
      </c>
      <c r="X267" s="9" t="s">
        <v>1144</v>
      </c>
      <c r="Z267" s="9" t="s">
        <v>3537</v>
      </c>
    </row>
    <row r="268" spans="5:26" x14ac:dyDescent="0.25">
      <c r="E268" s="9" t="s">
        <v>2183</v>
      </c>
      <c r="K268" s="9" t="s">
        <v>2145</v>
      </c>
      <c r="R268" s="9" t="s">
        <v>485</v>
      </c>
      <c r="W268" s="9" t="s">
        <v>1279</v>
      </c>
      <c r="X268" s="9" t="s">
        <v>1460</v>
      </c>
      <c r="Z268" s="9" t="s">
        <v>823</v>
      </c>
    </row>
    <row r="269" spans="5:26" x14ac:dyDescent="0.25">
      <c r="E269" s="9" t="s">
        <v>2045</v>
      </c>
      <c r="K269" s="9" t="s">
        <v>2021</v>
      </c>
      <c r="R269" s="9" t="s">
        <v>1561</v>
      </c>
      <c r="W269" s="9" t="s">
        <v>1230</v>
      </c>
      <c r="X269" s="9" t="s">
        <v>1178</v>
      </c>
      <c r="Z269" s="9" t="s">
        <v>859</v>
      </c>
    </row>
    <row r="270" spans="5:26" x14ac:dyDescent="0.25">
      <c r="E270" s="9" t="s">
        <v>5461</v>
      </c>
      <c r="K270" s="9" t="s">
        <v>627</v>
      </c>
      <c r="R270" s="9" t="s">
        <v>552</v>
      </c>
      <c r="W270" s="9" t="s">
        <v>1241</v>
      </c>
      <c r="X270" s="9" t="s">
        <v>1328</v>
      </c>
      <c r="Z270" s="9" t="s">
        <v>3845</v>
      </c>
    </row>
    <row r="271" spans="5:26" x14ac:dyDescent="0.25">
      <c r="E271" s="9" t="s">
        <v>5162</v>
      </c>
      <c r="K271" s="9" t="s">
        <v>3335</v>
      </c>
      <c r="R271" s="9" t="s">
        <v>825</v>
      </c>
      <c r="W271" s="9" t="s">
        <v>1614</v>
      </c>
      <c r="X271" s="9" t="s">
        <v>523</v>
      </c>
      <c r="Z271" s="9" t="s">
        <v>1073</v>
      </c>
    </row>
    <row r="272" spans="5:26" x14ac:dyDescent="0.25">
      <c r="E272" s="9" t="s">
        <v>1932</v>
      </c>
      <c r="K272" s="9" t="s">
        <v>3823</v>
      </c>
      <c r="R272" s="9" t="s">
        <v>715</v>
      </c>
      <c r="W272" s="9" t="s">
        <v>1515</v>
      </c>
      <c r="X272" s="9" t="s">
        <v>1384</v>
      </c>
      <c r="Z272" s="9" t="s">
        <v>1029</v>
      </c>
    </row>
    <row r="273" spans="5:26" x14ac:dyDescent="0.25">
      <c r="E273" s="9" t="s">
        <v>2050</v>
      </c>
      <c r="K273" s="9" t="s">
        <v>3476</v>
      </c>
      <c r="R273" s="9" t="s">
        <v>831</v>
      </c>
      <c r="W273" s="9" t="s">
        <v>1499</v>
      </c>
      <c r="X273" s="9" t="s">
        <v>1666</v>
      </c>
      <c r="Z273" s="9" t="s">
        <v>983</v>
      </c>
    </row>
    <row r="274" spans="5:26" x14ac:dyDescent="0.25">
      <c r="E274" s="9" t="s">
        <v>2017</v>
      </c>
      <c r="K274" s="9" t="s">
        <v>5430</v>
      </c>
      <c r="R274" s="9" t="s">
        <v>753</v>
      </c>
      <c r="W274" s="9" t="s">
        <v>1504</v>
      </c>
      <c r="X274" s="9" t="s">
        <v>1655</v>
      </c>
      <c r="Z274" s="9" t="s">
        <v>2812</v>
      </c>
    </row>
    <row r="275" spans="5:26" x14ac:dyDescent="0.25">
      <c r="E275" s="9" t="s">
        <v>5231</v>
      </c>
      <c r="K275" s="9" t="s">
        <v>985</v>
      </c>
      <c r="R275" s="9" t="s">
        <v>3643</v>
      </c>
      <c r="W275" s="9" t="s">
        <v>1360</v>
      </c>
      <c r="X275" s="9" t="s">
        <v>491</v>
      </c>
      <c r="Z275" s="9" t="s">
        <v>3776</v>
      </c>
    </row>
    <row r="276" spans="5:26" x14ac:dyDescent="0.25">
      <c r="E276" s="9" t="s">
        <v>2240</v>
      </c>
      <c r="K276" s="9" t="s">
        <v>915</v>
      </c>
      <c r="R276" s="9" t="s">
        <v>3258</v>
      </c>
      <c r="W276" s="9" t="s">
        <v>1441</v>
      </c>
      <c r="X276" s="9" t="s">
        <v>1377</v>
      </c>
      <c r="Z276" s="9" t="s">
        <v>1026</v>
      </c>
    </row>
    <row r="277" spans="5:26" x14ac:dyDescent="0.25">
      <c r="E277" s="9" t="s">
        <v>2229</v>
      </c>
      <c r="K277" s="9" t="s">
        <v>3620</v>
      </c>
      <c r="R277" s="9" t="s">
        <v>1620</v>
      </c>
      <c r="W277" s="9" t="s">
        <v>3151</v>
      </c>
      <c r="X277" s="9" t="s">
        <v>1500</v>
      </c>
      <c r="Z277" s="9" t="s">
        <v>1034</v>
      </c>
    </row>
    <row r="278" spans="5:26" x14ac:dyDescent="0.25">
      <c r="E278" s="9" t="s">
        <v>2241</v>
      </c>
      <c r="K278" s="9" t="s">
        <v>2823</v>
      </c>
      <c r="R278" s="9" t="s">
        <v>756</v>
      </c>
      <c r="W278" s="9" t="s">
        <v>1553</v>
      </c>
      <c r="X278" s="9" t="s">
        <v>1291</v>
      </c>
      <c r="Z278" s="9" t="s">
        <v>3964</v>
      </c>
    </row>
    <row r="279" spans="5:26" x14ac:dyDescent="0.25">
      <c r="E279" s="9" t="s">
        <v>2407</v>
      </c>
      <c r="K279" s="9" t="s">
        <v>2674</v>
      </c>
      <c r="R279" s="9" t="s">
        <v>3079</v>
      </c>
      <c r="W279" s="9" t="s">
        <v>1182</v>
      </c>
      <c r="X279" s="9" t="s">
        <v>1179</v>
      </c>
      <c r="Z279" s="9" t="s">
        <v>2955</v>
      </c>
    </row>
    <row r="280" spans="5:26" x14ac:dyDescent="0.25">
      <c r="E280" s="9" t="s">
        <v>2474</v>
      </c>
      <c r="K280" s="9" t="s">
        <v>3227</v>
      </c>
      <c r="R280" s="9" t="s">
        <v>3740</v>
      </c>
      <c r="W280" s="9" t="s">
        <v>1255</v>
      </c>
      <c r="X280" s="9" t="s">
        <v>3253</v>
      </c>
      <c r="Z280" s="9" t="s">
        <v>3738</v>
      </c>
    </row>
    <row r="281" spans="5:26" x14ac:dyDescent="0.25">
      <c r="E281" s="9" t="s">
        <v>5459</v>
      </c>
      <c r="K281" s="9" t="s">
        <v>628</v>
      </c>
      <c r="R281" s="9" t="s">
        <v>776</v>
      </c>
      <c r="W281" s="9" t="s">
        <v>1639</v>
      </c>
      <c r="X281" s="9" t="s">
        <v>741</v>
      </c>
      <c r="Z281" s="9" t="s">
        <v>832</v>
      </c>
    </row>
    <row r="282" spans="5:26" x14ac:dyDescent="0.25">
      <c r="E282" s="9" t="s">
        <v>1801</v>
      </c>
      <c r="K282" s="9" t="s">
        <v>1045</v>
      </c>
      <c r="R282" s="9" t="s">
        <v>783</v>
      </c>
      <c r="W282" s="9" t="s">
        <v>1266</v>
      </c>
      <c r="X282" s="9" t="s">
        <v>1124</v>
      </c>
      <c r="Z282" s="9" t="s">
        <v>3956</v>
      </c>
    </row>
    <row r="283" spans="5:26" x14ac:dyDescent="0.25">
      <c r="E283" s="9" t="s">
        <v>1111</v>
      </c>
      <c r="K283" s="9" t="s">
        <v>629</v>
      </c>
      <c r="R283" s="9" t="s">
        <v>3289</v>
      </c>
      <c r="W283" s="9" t="s">
        <v>1197</v>
      </c>
      <c r="X283" s="9" t="s">
        <v>364</v>
      </c>
      <c r="Z283" s="9" t="s">
        <v>3681</v>
      </c>
    </row>
    <row r="284" spans="5:26" x14ac:dyDescent="0.25">
      <c r="E284" s="9" t="s">
        <v>3505</v>
      </c>
      <c r="K284" s="9" t="s">
        <v>3391</v>
      </c>
      <c r="R284" s="9" t="s">
        <v>801</v>
      </c>
      <c r="W284" s="9" t="s">
        <v>1724</v>
      </c>
      <c r="X284" s="9" t="s">
        <v>1176</v>
      </c>
      <c r="Z284" s="9" t="s">
        <v>1769</v>
      </c>
    </row>
    <row r="285" spans="5:26" x14ac:dyDescent="0.25">
      <c r="E285" s="9" t="s">
        <v>2148</v>
      </c>
      <c r="K285" s="9" t="s">
        <v>630</v>
      </c>
      <c r="R285" s="9" t="s">
        <v>3773</v>
      </c>
      <c r="W285" s="9" t="s">
        <v>1253</v>
      </c>
      <c r="X285" s="9" t="s">
        <v>1744</v>
      </c>
      <c r="Z285" s="9" t="s">
        <v>2372</v>
      </c>
    </row>
    <row r="286" spans="5:26" x14ac:dyDescent="0.25">
      <c r="E286" s="9" t="s">
        <v>2825</v>
      </c>
      <c r="K286" s="9" t="s">
        <v>1833</v>
      </c>
      <c r="R286" s="9" t="s">
        <v>1638</v>
      </c>
      <c r="W286" s="9" t="s">
        <v>1202</v>
      </c>
      <c r="X286" s="9" t="s">
        <v>389</v>
      </c>
      <c r="Z286" s="9" t="s">
        <v>896</v>
      </c>
    </row>
    <row r="287" spans="5:26" x14ac:dyDescent="0.25">
      <c r="E287" s="9" t="s">
        <v>1923</v>
      </c>
      <c r="K287" s="9" t="s">
        <v>2806</v>
      </c>
      <c r="R287" s="9" t="s">
        <v>301</v>
      </c>
      <c r="W287" s="9" t="s">
        <v>1363</v>
      </c>
      <c r="X287" s="9" t="s">
        <v>1084</v>
      </c>
      <c r="Z287" s="9" t="s">
        <v>481</v>
      </c>
    </row>
    <row r="288" spans="5:26" x14ac:dyDescent="0.25">
      <c r="E288" s="9" t="s">
        <v>2160</v>
      </c>
      <c r="K288" s="9" t="s">
        <v>2548</v>
      </c>
      <c r="R288" s="9" t="s">
        <v>3822</v>
      </c>
      <c r="W288" s="9" t="s">
        <v>1669</v>
      </c>
      <c r="X288" s="9" t="s">
        <v>765</v>
      </c>
      <c r="Z288" s="9" t="s">
        <v>1119</v>
      </c>
    </row>
    <row r="289" spans="5:26" x14ac:dyDescent="0.25">
      <c r="E289" s="9" t="s">
        <v>5455</v>
      </c>
      <c r="K289" s="9" t="s">
        <v>3345</v>
      </c>
      <c r="R289" s="9" t="s">
        <v>1604</v>
      </c>
      <c r="W289" s="9" t="s">
        <v>1234</v>
      </c>
      <c r="X289" s="9" t="s">
        <v>1250</v>
      </c>
      <c r="Z289" s="9" t="s">
        <v>1046</v>
      </c>
    </row>
    <row r="290" spans="5:26" x14ac:dyDescent="0.25">
      <c r="E290" s="9" t="s">
        <v>2543</v>
      </c>
      <c r="K290" s="9" t="s">
        <v>3354</v>
      </c>
      <c r="R290" s="9" t="s">
        <v>3217</v>
      </c>
      <c r="W290" s="9" t="s">
        <v>3095</v>
      </c>
      <c r="X290" s="9" t="s">
        <v>1537</v>
      </c>
      <c r="Z290" s="9" t="s">
        <v>3670</v>
      </c>
    </row>
    <row r="291" spans="5:26" x14ac:dyDescent="0.25">
      <c r="E291" s="9" t="s">
        <v>2645</v>
      </c>
      <c r="K291" s="9" t="s">
        <v>3990</v>
      </c>
      <c r="R291" s="9" t="s">
        <v>941</v>
      </c>
      <c r="W291" s="9" t="s">
        <v>1696</v>
      </c>
      <c r="X291" s="9" t="s">
        <v>1125</v>
      </c>
      <c r="Z291" s="9" t="s">
        <v>4012</v>
      </c>
    </row>
    <row r="292" spans="5:26" x14ac:dyDescent="0.25">
      <c r="E292" s="9" t="s">
        <v>4667</v>
      </c>
      <c r="K292" s="9" t="s">
        <v>2395</v>
      </c>
      <c r="R292" s="9" t="s">
        <v>506</v>
      </c>
      <c r="W292" s="9" t="s">
        <v>1708</v>
      </c>
      <c r="X292" s="9" t="s">
        <v>1155</v>
      </c>
      <c r="Z292" s="9" t="s">
        <v>1020</v>
      </c>
    </row>
    <row r="293" spans="5:26" x14ac:dyDescent="0.25">
      <c r="E293" s="9" t="s">
        <v>1827</v>
      </c>
      <c r="K293" s="9" t="s">
        <v>2834</v>
      </c>
      <c r="R293" s="9" t="s">
        <v>3357</v>
      </c>
      <c r="W293" s="9" t="s">
        <v>1147</v>
      </c>
      <c r="X293" s="9" t="s">
        <v>1316</v>
      </c>
      <c r="Z293" s="9" t="s">
        <v>4021</v>
      </c>
    </row>
    <row r="294" spans="5:26" x14ac:dyDescent="0.25">
      <c r="E294" s="9" t="s">
        <v>1934</v>
      </c>
      <c r="K294" s="9" t="s">
        <v>2888</v>
      </c>
      <c r="R294" s="9" t="s">
        <v>3260</v>
      </c>
      <c r="W294" s="9" t="s">
        <v>1634</v>
      </c>
      <c r="X294" s="9" t="s">
        <v>429</v>
      </c>
      <c r="Z294" s="9" t="s">
        <v>3884</v>
      </c>
    </row>
    <row r="295" spans="5:26" x14ac:dyDescent="0.25">
      <c r="E295" s="9" t="s">
        <v>5241</v>
      </c>
      <c r="K295" s="9" t="s">
        <v>3789</v>
      </c>
      <c r="R295" s="9" t="s">
        <v>3225</v>
      </c>
      <c r="W295" s="9" t="s">
        <v>1120</v>
      </c>
      <c r="X295" s="9" t="s">
        <v>1254</v>
      </c>
      <c r="Z295" s="9" t="s">
        <v>2817</v>
      </c>
    </row>
    <row r="296" spans="5:26" x14ac:dyDescent="0.25">
      <c r="E296" s="9" t="s">
        <v>2184</v>
      </c>
      <c r="K296" s="9" t="s">
        <v>2682</v>
      </c>
      <c r="R296" s="9" t="s">
        <v>3209</v>
      </c>
      <c r="W296" s="9" t="s">
        <v>1380</v>
      </c>
      <c r="X296" s="9" t="s">
        <v>415</v>
      </c>
      <c r="Z296" s="9" t="s">
        <v>1770</v>
      </c>
    </row>
    <row r="297" spans="5:26" x14ac:dyDescent="0.25">
      <c r="E297" s="9" t="s">
        <v>5112</v>
      </c>
      <c r="K297" s="9" t="s">
        <v>2686</v>
      </c>
      <c r="R297" s="9" t="s">
        <v>514</v>
      </c>
      <c r="W297" s="9" t="s">
        <v>1671</v>
      </c>
      <c r="Z297" s="9" t="s">
        <v>1068</v>
      </c>
    </row>
    <row r="298" spans="5:26" x14ac:dyDescent="0.25">
      <c r="E298" s="9" t="s">
        <v>1831</v>
      </c>
      <c r="K298" s="9" t="s">
        <v>2729</v>
      </c>
      <c r="R298" s="9" t="s">
        <v>3613</v>
      </c>
      <c r="W298" s="9" t="s">
        <v>1689</v>
      </c>
      <c r="Z298" s="9" t="s">
        <v>3703</v>
      </c>
    </row>
    <row r="299" spans="5:26" x14ac:dyDescent="0.25">
      <c r="E299" s="9" t="s">
        <v>569</v>
      </c>
      <c r="K299" s="9" t="s">
        <v>1982</v>
      </c>
      <c r="R299" s="9" t="s">
        <v>3640</v>
      </c>
      <c r="W299" s="9" t="s">
        <v>5781</v>
      </c>
      <c r="Z299" s="9" t="s">
        <v>3844</v>
      </c>
    </row>
    <row r="300" spans="5:26" x14ac:dyDescent="0.25">
      <c r="E300" s="9" t="s">
        <v>4477</v>
      </c>
      <c r="K300" s="9" t="s">
        <v>1958</v>
      </c>
      <c r="R300" s="9" t="s">
        <v>5782</v>
      </c>
      <c r="W300" s="9" t="s">
        <v>1524</v>
      </c>
      <c r="Z300" s="9" t="s">
        <v>1754</v>
      </c>
    </row>
    <row r="301" spans="5:26" x14ac:dyDescent="0.25">
      <c r="E301" s="9" t="s">
        <v>5124</v>
      </c>
      <c r="K301" s="9" t="s">
        <v>1977</v>
      </c>
      <c r="R301" s="9" t="s">
        <v>3245</v>
      </c>
      <c r="W301" s="9" t="s">
        <v>1681</v>
      </c>
      <c r="Z301" s="9" t="s">
        <v>876</v>
      </c>
    </row>
    <row r="302" spans="5:26" x14ac:dyDescent="0.25">
      <c r="E302" s="9" t="s">
        <v>2724</v>
      </c>
      <c r="K302" s="9" t="s">
        <v>3441</v>
      </c>
      <c r="R302" s="9" t="s">
        <v>1585</v>
      </c>
      <c r="W302" s="9" t="s">
        <v>1509</v>
      </c>
      <c r="Z302" s="9" t="s">
        <v>991</v>
      </c>
    </row>
    <row r="303" spans="5:26" x14ac:dyDescent="0.25">
      <c r="E303" s="9" t="s">
        <v>2189</v>
      </c>
      <c r="K303" s="9" t="s">
        <v>3793</v>
      </c>
      <c r="R303" s="9" t="s">
        <v>780</v>
      </c>
      <c r="W303" s="9" t="s">
        <v>1164</v>
      </c>
      <c r="Z303" s="9" t="s">
        <v>3925</v>
      </c>
    </row>
    <row r="304" spans="5:26" x14ac:dyDescent="0.25">
      <c r="E304" s="9" t="s">
        <v>2094</v>
      </c>
      <c r="K304" s="9" t="s">
        <v>1882</v>
      </c>
      <c r="R304" s="9" t="s">
        <v>848</v>
      </c>
      <c r="W304" s="9" t="s">
        <v>1586</v>
      </c>
      <c r="Z304" s="9" t="s">
        <v>3641</v>
      </c>
    </row>
    <row r="305" spans="5:26" x14ac:dyDescent="0.25">
      <c r="E305" s="9" t="s">
        <v>1860</v>
      </c>
      <c r="K305" s="9" t="s">
        <v>2759</v>
      </c>
      <c r="R305" s="9" t="s">
        <v>798</v>
      </c>
      <c r="W305" s="9" t="s">
        <v>1507</v>
      </c>
      <c r="Z305" s="9" t="s">
        <v>3781</v>
      </c>
    </row>
    <row r="306" spans="5:26" x14ac:dyDescent="0.25">
      <c r="E306" s="9" t="s">
        <v>2210</v>
      </c>
      <c r="K306" s="9" t="s">
        <v>1905</v>
      </c>
      <c r="R306" s="9" t="s">
        <v>3800</v>
      </c>
      <c r="W306" s="9" t="s">
        <v>1356</v>
      </c>
      <c r="Z306" s="9" t="s">
        <v>3553</v>
      </c>
    </row>
    <row r="307" spans="5:26" x14ac:dyDescent="0.25">
      <c r="E307" s="9" t="s">
        <v>2444</v>
      </c>
      <c r="K307" s="9" t="s">
        <v>2779</v>
      </c>
      <c r="R307" s="9" t="s">
        <v>3232</v>
      </c>
      <c r="W307" s="9" t="s">
        <v>1715</v>
      </c>
      <c r="Z307" s="9" t="s">
        <v>3661</v>
      </c>
    </row>
    <row r="308" spans="5:26" x14ac:dyDescent="0.25">
      <c r="E308" s="9" t="s">
        <v>1620</v>
      </c>
      <c r="K308" s="9" t="s">
        <v>1926</v>
      </c>
      <c r="R308" s="9" t="s">
        <v>1574</v>
      </c>
      <c r="W308" s="9" t="s">
        <v>280</v>
      </c>
      <c r="Z308" s="9" t="s">
        <v>982</v>
      </c>
    </row>
    <row r="309" spans="5:26" x14ac:dyDescent="0.25">
      <c r="E309" s="9" t="s">
        <v>2621</v>
      </c>
      <c r="K309" s="9" t="s">
        <v>5435</v>
      </c>
      <c r="R309" s="9" t="s">
        <v>3205</v>
      </c>
      <c r="W309" s="9" t="s">
        <v>1408</v>
      </c>
      <c r="Z309" s="9" t="s">
        <v>2892</v>
      </c>
    </row>
    <row r="310" spans="5:26" x14ac:dyDescent="0.25">
      <c r="E310" s="9" t="s">
        <v>1822</v>
      </c>
      <c r="K310" s="9" t="s">
        <v>2837</v>
      </c>
      <c r="R310" s="9" t="s">
        <v>775</v>
      </c>
      <c r="W310" s="9" t="s">
        <v>1277</v>
      </c>
      <c r="Z310" s="9" t="s">
        <v>3651</v>
      </c>
    </row>
    <row r="311" spans="5:26" x14ac:dyDescent="0.25">
      <c r="E311" s="9" t="s">
        <v>2326</v>
      </c>
      <c r="K311" s="9" t="s">
        <v>1891</v>
      </c>
      <c r="R311" s="9" t="s">
        <v>811</v>
      </c>
      <c r="W311" s="9" t="s">
        <v>1680</v>
      </c>
      <c r="Z311" s="9" t="s">
        <v>3995</v>
      </c>
    </row>
    <row r="312" spans="5:26" x14ac:dyDescent="0.25">
      <c r="E312" s="9" t="s">
        <v>2046</v>
      </c>
      <c r="K312" s="9" t="s">
        <v>3535</v>
      </c>
      <c r="R312" s="9" t="s">
        <v>467</v>
      </c>
      <c r="W312" s="9" t="s">
        <v>1112</v>
      </c>
      <c r="Z312" s="9" t="s">
        <v>1050</v>
      </c>
    </row>
    <row r="313" spans="5:26" x14ac:dyDescent="0.25">
      <c r="E313" s="9" t="s">
        <v>5063</v>
      </c>
      <c r="K313" s="9" t="s">
        <v>631</v>
      </c>
      <c r="R313" s="9" t="s">
        <v>1659</v>
      </c>
      <c r="W313" s="9" t="s">
        <v>1260</v>
      </c>
      <c r="Z313" s="9" t="s">
        <v>4028</v>
      </c>
    </row>
    <row r="314" spans="5:26" x14ac:dyDescent="0.25">
      <c r="E314" s="9" t="s">
        <v>1810</v>
      </c>
      <c r="K314" s="9" t="s">
        <v>3374</v>
      </c>
      <c r="R314" s="9" t="s">
        <v>888</v>
      </c>
      <c r="W314" s="9" t="s">
        <v>1695</v>
      </c>
      <c r="Z314" s="9" t="s">
        <v>3909</v>
      </c>
    </row>
    <row r="315" spans="5:26" x14ac:dyDescent="0.25">
      <c r="E315" s="9" t="s">
        <v>2595</v>
      </c>
      <c r="K315" s="9" t="s">
        <v>5783</v>
      </c>
      <c r="R315" s="9" t="s">
        <v>777</v>
      </c>
      <c r="W315" s="9" t="s">
        <v>1471</v>
      </c>
      <c r="Z315" s="9" t="s">
        <v>3711</v>
      </c>
    </row>
    <row r="316" spans="5:26" x14ac:dyDescent="0.25">
      <c r="E316" s="9" t="s">
        <v>1912</v>
      </c>
      <c r="K316" s="9" t="s">
        <v>1996</v>
      </c>
      <c r="R316" s="9" t="s">
        <v>3193</v>
      </c>
      <c r="W316" s="9" t="s">
        <v>1608</v>
      </c>
      <c r="Z316" s="9" t="s">
        <v>4001</v>
      </c>
    </row>
    <row r="317" spans="5:26" x14ac:dyDescent="0.25">
      <c r="E317" s="9" t="s">
        <v>2011</v>
      </c>
      <c r="K317" s="9" t="s">
        <v>830</v>
      </c>
      <c r="R317" s="9" t="s">
        <v>3273</v>
      </c>
      <c r="W317" s="9" t="s">
        <v>3158</v>
      </c>
      <c r="Z317" s="9" t="s">
        <v>3637</v>
      </c>
    </row>
    <row r="318" spans="5:26" x14ac:dyDescent="0.25">
      <c r="E318" s="9" t="s">
        <v>2123</v>
      </c>
      <c r="K318" s="9" t="s">
        <v>2634</v>
      </c>
      <c r="R318" s="9" t="s">
        <v>856</v>
      </c>
      <c r="W318" s="9" t="s">
        <v>1396</v>
      </c>
      <c r="Z318" s="9" t="s">
        <v>3985</v>
      </c>
    </row>
    <row r="319" spans="5:26" x14ac:dyDescent="0.25">
      <c r="E319" s="9" t="s">
        <v>5247</v>
      </c>
      <c r="K319" s="9" t="s">
        <v>838</v>
      </c>
      <c r="R319" s="9" t="s">
        <v>1526</v>
      </c>
      <c r="W319" s="9" t="s">
        <v>5784</v>
      </c>
      <c r="Z319" s="9" t="s">
        <v>3729</v>
      </c>
    </row>
    <row r="320" spans="5:26" x14ac:dyDescent="0.25">
      <c r="E320" s="9" t="s">
        <v>5198</v>
      </c>
      <c r="K320" s="9" t="s">
        <v>3434</v>
      </c>
      <c r="R320" s="9" t="s">
        <v>994</v>
      </c>
      <c r="W320" s="9" t="s">
        <v>3287</v>
      </c>
      <c r="Z320" s="9" t="s">
        <v>3968</v>
      </c>
    </row>
    <row r="321" spans="5:26" x14ac:dyDescent="0.25">
      <c r="E321" s="9" t="s">
        <v>2176</v>
      </c>
      <c r="K321" s="9" t="s">
        <v>557</v>
      </c>
      <c r="R321" s="9" t="s">
        <v>3617</v>
      </c>
      <c r="W321" s="9" t="s">
        <v>1352</v>
      </c>
      <c r="Z321" s="9" t="s">
        <v>4016</v>
      </c>
    </row>
    <row r="322" spans="5:26" x14ac:dyDescent="0.25">
      <c r="E322" s="9" t="s">
        <v>4199</v>
      </c>
      <c r="K322" s="9" t="s">
        <v>2747</v>
      </c>
      <c r="R322" s="9" t="s">
        <v>3269</v>
      </c>
      <c r="W322" s="9" t="s">
        <v>1620</v>
      </c>
      <c r="Z322" s="9" t="s">
        <v>3971</v>
      </c>
    </row>
    <row r="323" spans="5:26" x14ac:dyDescent="0.25">
      <c r="E323" s="9" t="s">
        <v>2284</v>
      </c>
      <c r="K323" s="9" t="s">
        <v>880</v>
      </c>
      <c r="R323" s="9" t="s">
        <v>3424</v>
      </c>
      <c r="W323" s="9" t="s">
        <v>1461</v>
      </c>
      <c r="Z323" s="9" t="s">
        <v>1069</v>
      </c>
    </row>
    <row r="324" spans="5:26" x14ac:dyDescent="0.25">
      <c r="E324" s="9" t="s">
        <v>5634</v>
      </c>
      <c r="K324" s="9" t="s">
        <v>3715</v>
      </c>
      <c r="R324" s="9" t="s">
        <v>3257</v>
      </c>
      <c r="W324" s="9" t="s">
        <v>1325</v>
      </c>
      <c r="Z324" s="9" t="s">
        <v>916</v>
      </c>
    </row>
    <row r="325" spans="5:26" x14ac:dyDescent="0.25">
      <c r="E325" s="9" t="s">
        <v>2234</v>
      </c>
      <c r="K325" s="9" t="s">
        <v>3452</v>
      </c>
      <c r="R325" s="9" t="s">
        <v>3634</v>
      </c>
      <c r="W325" s="9" t="s">
        <v>1709</v>
      </c>
      <c r="Z325" s="9" t="s">
        <v>1790</v>
      </c>
    </row>
    <row r="326" spans="5:26" x14ac:dyDescent="0.25">
      <c r="E326" s="9" t="s">
        <v>4545</v>
      </c>
      <c r="K326" s="9" t="s">
        <v>2253</v>
      </c>
      <c r="R326" s="9" t="s">
        <v>1704</v>
      </c>
      <c r="W326" s="9" t="s">
        <v>1192</v>
      </c>
      <c r="Z326" s="9" t="s">
        <v>3924</v>
      </c>
    </row>
    <row r="327" spans="5:26" x14ac:dyDescent="0.25">
      <c r="E327" s="9" t="s">
        <v>5454</v>
      </c>
      <c r="K327" s="9" t="s">
        <v>851</v>
      </c>
      <c r="R327" s="9" t="s">
        <v>1814</v>
      </c>
      <c r="W327" s="9" t="s">
        <v>1320</v>
      </c>
      <c r="Z327" s="9" t="s">
        <v>4048</v>
      </c>
    </row>
    <row r="328" spans="5:26" x14ac:dyDescent="0.25">
      <c r="E328" s="9" t="s">
        <v>2313</v>
      </c>
      <c r="K328" s="9" t="s">
        <v>3457</v>
      </c>
      <c r="R328" s="9" t="s">
        <v>3250</v>
      </c>
      <c r="W328" s="9" t="s">
        <v>3136</v>
      </c>
      <c r="Z328" s="9" t="s">
        <v>3872</v>
      </c>
    </row>
    <row r="329" spans="5:26" x14ac:dyDescent="0.25">
      <c r="E329" s="9" t="s">
        <v>2158</v>
      </c>
      <c r="K329" s="9" t="s">
        <v>2873</v>
      </c>
      <c r="R329" s="9" t="s">
        <v>3610</v>
      </c>
      <c r="W329" s="9" t="s">
        <v>3098</v>
      </c>
      <c r="Z329" s="9" t="s">
        <v>3962</v>
      </c>
    </row>
    <row r="330" spans="5:26" x14ac:dyDescent="0.25">
      <c r="E330" s="9" t="s">
        <v>2599</v>
      </c>
      <c r="K330" s="9" t="s">
        <v>3397</v>
      </c>
      <c r="R330" s="9" t="s">
        <v>470</v>
      </c>
      <c r="W330" s="9" t="s">
        <v>3111</v>
      </c>
      <c r="Z330" s="9" t="s">
        <v>2437</v>
      </c>
    </row>
    <row r="331" spans="5:26" x14ac:dyDescent="0.25">
      <c r="E331" s="9" t="s">
        <v>2086</v>
      </c>
      <c r="K331" s="9" t="s">
        <v>2940</v>
      </c>
      <c r="R331" s="9" t="s">
        <v>447</v>
      </c>
      <c r="W331" s="9" t="s">
        <v>3166</v>
      </c>
      <c r="Z331" s="9" t="s">
        <v>2884</v>
      </c>
    </row>
    <row r="332" spans="5:26" x14ac:dyDescent="0.25">
      <c r="E332" s="9" t="s">
        <v>2628</v>
      </c>
      <c r="K332" s="9" t="s">
        <v>1013</v>
      </c>
      <c r="R332" s="9" t="s">
        <v>3616</v>
      </c>
      <c r="W332" s="9" t="s">
        <v>1459</v>
      </c>
      <c r="Z332" s="9" t="s">
        <v>3782</v>
      </c>
    </row>
    <row r="333" spans="5:26" x14ac:dyDescent="0.25">
      <c r="E333" s="9" t="s">
        <v>2057</v>
      </c>
      <c r="K333" s="9" t="s">
        <v>2512</v>
      </c>
      <c r="R333" s="9" t="s">
        <v>3244</v>
      </c>
      <c r="W333" s="9" t="s">
        <v>1243</v>
      </c>
      <c r="Z333" s="9" t="s">
        <v>3983</v>
      </c>
    </row>
    <row r="334" spans="5:26" x14ac:dyDescent="0.25">
      <c r="E334" s="9" t="s">
        <v>2433</v>
      </c>
      <c r="K334" s="9" t="s">
        <v>633</v>
      </c>
      <c r="R334" s="9" t="s">
        <v>746</v>
      </c>
      <c r="W334" s="9" t="s">
        <v>1494</v>
      </c>
      <c r="Z334" s="9" t="s">
        <v>427</v>
      </c>
    </row>
    <row r="335" spans="5:26" x14ac:dyDescent="0.25">
      <c r="E335" s="9" t="s">
        <v>2250</v>
      </c>
      <c r="K335" s="9" t="s">
        <v>2116</v>
      </c>
      <c r="R335" s="9" t="s">
        <v>3105</v>
      </c>
      <c r="W335" s="9" t="s">
        <v>1191</v>
      </c>
      <c r="Z335" s="9" t="s">
        <v>3839</v>
      </c>
    </row>
    <row r="336" spans="5:26" x14ac:dyDescent="0.25">
      <c r="E336" s="9" t="s">
        <v>5102</v>
      </c>
      <c r="K336" s="9" t="s">
        <v>3008</v>
      </c>
      <c r="R336" s="9" t="s">
        <v>954</v>
      </c>
      <c r="W336" s="9" t="s">
        <v>1466</v>
      </c>
      <c r="Z336" s="9" t="s">
        <v>4020</v>
      </c>
    </row>
    <row r="337" spans="5:26" x14ac:dyDescent="0.25">
      <c r="E337" s="9" t="s">
        <v>5140</v>
      </c>
      <c r="K337" s="9" t="s">
        <v>3001</v>
      </c>
      <c r="R337" s="9" t="s">
        <v>3268</v>
      </c>
      <c r="W337" s="9" t="s">
        <v>1765</v>
      </c>
      <c r="Z337" s="9" t="s">
        <v>3560</v>
      </c>
    </row>
    <row r="338" spans="5:26" x14ac:dyDescent="0.25">
      <c r="E338" s="9" t="s">
        <v>678</v>
      </c>
      <c r="K338" s="9" t="s">
        <v>2951</v>
      </c>
      <c r="R338" s="9" t="s">
        <v>3330</v>
      </c>
      <c r="W338" s="9" t="s">
        <v>1361</v>
      </c>
      <c r="Z338" s="9" t="s">
        <v>2911</v>
      </c>
    </row>
    <row r="339" spans="5:26" x14ac:dyDescent="0.25">
      <c r="E339" s="9" t="s">
        <v>5031</v>
      </c>
      <c r="K339" s="9" t="s">
        <v>473</v>
      </c>
      <c r="R339" s="9" t="s">
        <v>3406</v>
      </c>
      <c r="W339" s="9" t="s">
        <v>1587</v>
      </c>
      <c r="Z339" s="9" t="s">
        <v>3704</v>
      </c>
    </row>
    <row r="340" spans="5:26" x14ac:dyDescent="0.25">
      <c r="E340" s="9" t="s">
        <v>1995</v>
      </c>
      <c r="K340" s="9" t="s">
        <v>1031</v>
      </c>
      <c r="R340" s="9" t="s">
        <v>1571</v>
      </c>
      <c r="W340" s="9" t="s">
        <v>1580</v>
      </c>
      <c r="Z340" s="9" t="s">
        <v>3579</v>
      </c>
    </row>
    <row r="341" spans="5:26" x14ac:dyDescent="0.25">
      <c r="E341" s="9" t="s">
        <v>2177</v>
      </c>
      <c r="K341" s="9" t="s">
        <v>844</v>
      </c>
      <c r="R341" s="9" t="s">
        <v>3660</v>
      </c>
      <c r="W341" s="9" t="s">
        <v>1358</v>
      </c>
      <c r="Z341" s="9" t="s">
        <v>3847</v>
      </c>
    </row>
    <row r="342" spans="5:26" x14ac:dyDescent="0.25">
      <c r="E342" s="9" t="s">
        <v>1814</v>
      </c>
      <c r="K342" s="9" t="s">
        <v>3043</v>
      </c>
      <c r="R342" s="9" t="s">
        <v>3612</v>
      </c>
      <c r="W342" s="9" t="s">
        <v>1439</v>
      </c>
      <c r="Z342" s="9" t="s">
        <v>3970</v>
      </c>
    </row>
    <row r="343" spans="5:26" x14ac:dyDescent="0.25">
      <c r="E343" s="9" t="s">
        <v>1864</v>
      </c>
      <c r="K343" s="9" t="s">
        <v>3479</v>
      </c>
      <c r="R343" s="9" t="s">
        <v>3381</v>
      </c>
      <c r="W343" s="9" t="s">
        <v>1733</v>
      </c>
      <c r="Z343" s="9" t="s">
        <v>3967</v>
      </c>
    </row>
    <row r="344" spans="5:26" x14ac:dyDescent="0.25">
      <c r="E344" s="9" t="s">
        <v>5505</v>
      </c>
      <c r="K344" s="9" t="s">
        <v>3798</v>
      </c>
      <c r="R344" s="9" t="s">
        <v>778</v>
      </c>
      <c r="W344" s="9" t="s">
        <v>1592</v>
      </c>
      <c r="Z344" s="9" t="s">
        <v>3999</v>
      </c>
    </row>
    <row r="345" spans="5:26" x14ac:dyDescent="0.25">
      <c r="E345" s="9" t="s">
        <v>5680</v>
      </c>
      <c r="K345" s="9" t="s">
        <v>3384</v>
      </c>
      <c r="R345" s="9" t="s">
        <v>3265</v>
      </c>
      <c r="W345" s="9" t="s">
        <v>1091</v>
      </c>
      <c r="Z345" s="9" t="s">
        <v>3906</v>
      </c>
    </row>
    <row r="346" spans="5:26" x14ac:dyDescent="0.25">
      <c r="E346" s="9" t="s">
        <v>2029</v>
      </c>
      <c r="K346" s="9" t="s">
        <v>634</v>
      </c>
      <c r="R346" s="9" t="s">
        <v>3143</v>
      </c>
      <c r="W346" s="9" t="s">
        <v>1387</v>
      </c>
      <c r="Z346" s="9" t="s">
        <v>4035</v>
      </c>
    </row>
    <row r="347" spans="5:26" x14ac:dyDescent="0.25">
      <c r="E347" s="9" t="s">
        <v>5202</v>
      </c>
      <c r="K347" s="9" t="s">
        <v>635</v>
      </c>
      <c r="R347" s="9" t="s">
        <v>764</v>
      </c>
      <c r="W347" s="9" t="s">
        <v>1103</v>
      </c>
      <c r="Z347" s="9" t="s">
        <v>5785</v>
      </c>
    </row>
    <row r="348" spans="5:26" x14ac:dyDescent="0.25">
      <c r="E348" s="9" t="s">
        <v>4448</v>
      </c>
      <c r="K348" s="9" t="s">
        <v>2059</v>
      </c>
      <c r="R348" s="9" t="s">
        <v>3339</v>
      </c>
      <c r="W348" s="9" t="s">
        <v>1448</v>
      </c>
      <c r="Z348" s="9" t="s">
        <v>3676</v>
      </c>
    </row>
    <row r="349" spans="5:26" x14ac:dyDescent="0.25">
      <c r="E349" s="9" t="s">
        <v>2156</v>
      </c>
      <c r="K349" s="9" t="s">
        <v>869</v>
      </c>
      <c r="R349" s="9" t="s">
        <v>3587</v>
      </c>
      <c r="W349" s="9" t="s">
        <v>1661</v>
      </c>
      <c r="Z349" s="9" t="s">
        <v>5786</v>
      </c>
    </row>
    <row r="350" spans="5:26" x14ac:dyDescent="0.25">
      <c r="E350" s="9" t="s">
        <v>5133</v>
      </c>
      <c r="K350" s="9" t="s">
        <v>2163</v>
      </c>
      <c r="R350" s="9" t="s">
        <v>5787</v>
      </c>
      <c r="W350" s="9" t="s">
        <v>1737</v>
      </c>
      <c r="Z350" s="9" t="s">
        <v>3896</v>
      </c>
    </row>
    <row r="351" spans="5:26" x14ac:dyDescent="0.25">
      <c r="E351" s="9" t="s">
        <v>2007</v>
      </c>
      <c r="K351" s="9" t="s">
        <v>2800</v>
      </c>
      <c r="R351" s="9" t="s">
        <v>908</v>
      </c>
      <c r="W351" s="9" t="s">
        <v>1134</v>
      </c>
      <c r="Z351" s="9" t="s">
        <v>3976</v>
      </c>
    </row>
    <row r="352" spans="5:26" x14ac:dyDescent="0.25">
      <c r="E352" s="9" t="s">
        <v>2262</v>
      </c>
      <c r="K352" s="9" t="s">
        <v>858</v>
      </c>
      <c r="R352" s="9" t="s">
        <v>3198</v>
      </c>
      <c r="W352" s="9" t="s">
        <v>1711</v>
      </c>
      <c r="Z352" s="9" t="s">
        <v>3316</v>
      </c>
    </row>
    <row r="353" spans="5:26" x14ac:dyDescent="0.25">
      <c r="E353" s="9" t="s">
        <v>3027</v>
      </c>
      <c r="K353" s="9" t="s">
        <v>2022</v>
      </c>
      <c r="R353" s="9" t="s">
        <v>502</v>
      </c>
      <c r="W353" s="9" t="s">
        <v>1340</v>
      </c>
      <c r="Z353" s="9" t="s">
        <v>1044</v>
      </c>
    </row>
    <row r="354" spans="5:26" x14ac:dyDescent="0.25">
      <c r="E354" s="9" t="s">
        <v>1486</v>
      </c>
      <c r="K354" s="9" t="s">
        <v>2919</v>
      </c>
      <c r="R354" s="9" t="s">
        <v>3607</v>
      </c>
      <c r="W354" s="9" t="s">
        <v>3299</v>
      </c>
      <c r="Z354" s="9" t="s">
        <v>3786</v>
      </c>
    </row>
    <row r="355" spans="5:26" x14ac:dyDescent="0.25">
      <c r="E355" s="9" t="s">
        <v>2071</v>
      </c>
      <c r="K355" s="9" t="s">
        <v>2804</v>
      </c>
      <c r="R355" s="9" t="s">
        <v>1573</v>
      </c>
      <c r="W355" s="9" t="s">
        <v>1745</v>
      </c>
      <c r="Z355" s="9" t="s">
        <v>4039</v>
      </c>
    </row>
    <row r="356" spans="5:26" x14ac:dyDescent="0.25">
      <c r="E356" s="9" t="s">
        <v>5137</v>
      </c>
      <c r="K356" s="9" t="s">
        <v>3162</v>
      </c>
      <c r="R356" s="9" t="s">
        <v>3173</v>
      </c>
      <c r="W356" s="9" t="s">
        <v>1354</v>
      </c>
      <c r="Z356" s="9" t="s">
        <v>3582</v>
      </c>
    </row>
    <row r="357" spans="5:26" x14ac:dyDescent="0.25">
      <c r="E357" s="9" t="s">
        <v>5506</v>
      </c>
      <c r="K357" s="9" t="s">
        <v>3337</v>
      </c>
      <c r="R357" s="9" t="s">
        <v>795</v>
      </c>
      <c r="W357" s="9" t="s">
        <v>1630</v>
      </c>
      <c r="Z357" s="9" t="s">
        <v>1374</v>
      </c>
    </row>
    <row r="358" spans="5:26" x14ac:dyDescent="0.25">
      <c r="E358" s="9" t="s">
        <v>5128</v>
      </c>
      <c r="K358" s="9" t="s">
        <v>2117</v>
      </c>
      <c r="R358" s="9" t="s">
        <v>3169</v>
      </c>
      <c r="W358" s="9" t="s">
        <v>1591</v>
      </c>
      <c r="Z358" s="9" t="s">
        <v>3904</v>
      </c>
    </row>
    <row r="359" spans="5:26" x14ac:dyDescent="0.25">
      <c r="E359" s="9" t="s">
        <v>1755</v>
      </c>
      <c r="K359" s="9" t="s">
        <v>2713</v>
      </c>
      <c r="R359" s="9" t="s">
        <v>3276</v>
      </c>
      <c r="W359" s="9" t="s">
        <v>3203</v>
      </c>
      <c r="Z359" s="9" t="s">
        <v>918</v>
      </c>
    </row>
    <row r="360" spans="5:26" x14ac:dyDescent="0.25">
      <c r="E360" s="9" t="s">
        <v>2325</v>
      </c>
      <c r="K360" s="9" t="s">
        <v>998</v>
      </c>
      <c r="R360" s="9" t="s">
        <v>3413</v>
      </c>
      <c r="W360" s="9" t="s">
        <v>1491</v>
      </c>
      <c r="Z360" s="9" t="s">
        <v>3828</v>
      </c>
    </row>
    <row r="361" spans="5:26" x14ac:dyDescent="0.25">
      <c r="E361" s="9" t="s">
        <v>1924</v>
      </c>
      <c r="K361" s="9" t="s">
        <v>911</v>
      </c>
      <c r="R361" s="9" t="s">
        <v>3609</v>
      </c>
      <c r="W361" s="9" t="s">
        <v>1635</v>
      </c>
      <c r="Z361" s="9" t="s">
        <v>1061</v>
      </c>
    </row>
    <row r="362" spans="5:26" x14ac:dyDescent="0.25">
      <c r="E362" s="9" t="s">
        <v>5200</v>
      </c>
      <c r="K362" s="9" t="s">
        <v>920</v>
      </c>
      <c r="R362" s="9" t="s">
        <v>555</v>
      </c>
      <c r="W362" s="9" t="s">
        <v>1679</v>
      </c>
      <c r="Z362" s="9" t="s">
        <v>3813</v>
      </c>
    </row>
    <row r="363" spans="5:26" x14ac:dyDescent="0.25">
      <c r="E363" s="9" t="s">
        <v>1963</v>
      </c>
      <c r="K363" s="9" t="s">
        <v>5788</v>
      </c>
      <c r="R363" s="9" t="s">
        <v>1338</v>
      </c>
      <c r="W363" s="9" t="s">
        <v>1305</v>
      </c>
      <c r="Z363" s="9" t="s">
        <v>4010</v>
      </c>
    </row>
    <row r="364" spans="5:26" x14ac:dyDescent="0.25">
      <c r="E364" s="9" t="s">
        <v>1904</v>
      </c>
      <c r="K364" s="9" t="s">
        <v>837</v>
      </c>
      <c r="R364" s="9" t="s">
        <v>779</v>
      </c>
      <c r="W364" s="9" t="s">
        <v>1428</v>
      </c>
      <c r="Z364" s="9" t="s">
        <v>3794</v>
      </c>
    </row>
    <row r="365" spans="5:26" x14ac:dyDescent="0.25">
      <c r="E365" s="9" t="s">
        <v>2139</v>
      </c>
      <c r="K365" s="9" t="s">
        <v>2736</v>
      </c>
      <c r="R365" s="9" t="s">
        <v>865</v>
      </c>
      <c r="W365" s="9" t="s">
        <v>1589</v>
      </c>
      <c r="Z365" s="9" t="s">
        <v>3687</v>
      </c>
    </row>
    <row r="366" spans="5:26" x14ac:dyDescent="0.25">
      <c r="E366" s="9" t="s">
        <v>2110</v>
      </c>
      <c r="K366" s="9" t="s">
        <v>5605</v>
      </c>
      <c r="R366" s="9" t="s">
        <v>3178</v>
      </c>
      <c r="W366" s="9" t="s">
        <v>1415</v>
      </c>
      <c r="Z366" s="9" t="s">
        <v>873</v>
      </c>
    </row>
    <row r="367" spans="5:26" x14ac:dyDescent="0.25">
      <c r="E367" s="9" t="s">
        <v>5120</v>
      </c>
      <c r="K367" s="9" t="s">
        <v>636</v>
      </c>
      <c r="R367" s="9" t="s">
        <v>3629</v>
      </c>
      <c r="W367" s="9" t="s">
        <v>1750</v>
      </c>
      <c r="Z367" s="9" t="s">
        <v>1774</v>
      </c>
    </row>
    <row r="368" spans="5:26" x14ac:dyDescent="0.25">
      <c r="E368" s="9" t="s">
        <v>2254</v>
      </c>
      <c r="K368" s="9" t="s">
        <v>2009</v>
      </c>
      <c r="R368" s="9" t="s">
        <v>3856</v>
      </c>
      <c r="W368" s="9" t="s">
        <v>1239</v>
      </c>
      <c r="Z368" s="9" t="s">
        <v>4005</v>
      </c>
    </row>
    <row r="369" spans="5:26" x14ac:dyDescent="0.25">
      <c r="E369" s="9" t="s">
        <v>2525</v>
      </c>
      <c r="K369" s="9" t="s">
        <v>885</v>
      </c>
      <c r="R369" s="9" t="s">
        <v>925</v>
      </c>
      <c r="W369" s="9" t="s">
        <v>3101</v>
      </c>
      <c r="Z369" s="9" t="s">
        <v>3948</v>
      </c>
    </row>
    <row r="370" spans="5:26" x14ac:dyDescent="0.25">
      <c r="E370" s="9" t="s">
        <v>5132</v>
      </c>
      <c r="K370" s="9" t="s">
        <v>3385</v>
      </c>
      <c r="R370" s="9" t="s">
        <v>784</v>
      </c>
      <c r="W370" s="9" t="s">
        <v>1523</v>
      </c>
      <c r="Z370" s="9" t="s">
        <v>3972</v>
      </c>
    </row>
    <row r="371" spans="5:26" x14ac:dyDescent="0.25">
      <c r="E371" s="9" t="s">
        <v>2380</v>
      </c>
      <c r="K371" s="9" t="s">
        <v>3674</v>
      </c>
      <c r="R371" s="9" t="s">
        <v>3367</v>
      </c>
      <c r="W371" s="9" t="s">
        <v>1200</v>
      </c>
      <c r="Z371" s="9" t="s">
        <v>3825</v>
      </c>
    </row>
    <row r="372" spans="5:26" x14ac:dyDescent="0.25">
      <c r="E372" s="9" t="s">
        <v>4467</v>
      </c>
      <c r="K372" s="9" t="s">
        <v>1964</v>
      </c>
      <c r="R372" s="9" t="s">
        <v>3200</v>
      </c>
      <c r="W372" s="9" t="s">
        <v>1392</v>
      </c>
      <c r="Z372" s="9" t="s">
        <v>734</v>
      </c>
    </row>
    <row r="373" spans="5:26" x14ac:dyDescent="0.25">
      <c r="E373" s="9" t="s">
        <v>5514</v>
      </c>
      <c r="K373" s="9" t="s">
        <v>3516</v>
      </c>
      <c r="R373" s="9" t="s">
        <v>1667</v>
      </c>
      <c r="W373" s="9" t="s">
        <v>1763</v>
      </c>
      <c r="Z373" s="9" t="s">
        <v>3899</v>
      </c>
    </row>
    <row r="374" spans="5:26" x14ac:dyDescent="0.25">
      <c r="E374" s="9" t="s">
        <v>5494</v>
      </c>
      <c r="K374" s="9" t="s">
        <v>933</v>
      </c>
      <c r="R374" s="9" t="s">
        <v>2331</v>
      </c>
      <c r="W374" s="9" t="s">
        <v>1376</v>
      </c>
      <c r="Z374" s="9" t="s">
        <v>3989</v>
      </c>
    </row>
    <row r="375" spans="5:26" x14ac:dyDescent="0.25">
      <c r="E375" s="9" t="s">
        <v>2312</v>
      </c>
      <c r="K375" s="9" t="s">
        <v>637</v>
      </c>
      <c r="R375" s="9" t="s">
        <v>817</v>
      </c>
      <c r="W375" s="9" t="s">
        <v>1516</v>
      </c>
      <c r="Z375" s="9" t="s">
        <v>3816</v>
      </c>
    </row>
    <row r="376" spans="5:26" x14ac:dyDescent="0.25">
      <c r="E376" s="9" t="s">
        <v>3504</v>
      </c>
      <c r="K376" s="9" t="s">
        <v>939</v>
      </c>
      <c r="R376" s="9" t="s">
        <v>854</v>
      </c>
      <c r="W376" s="9" t="s">
        <v>1095</v>
      </c>
      <c r="Z376" s="9" t="s">
        <v>3832</v>
      </c>
    </row>
    <row r="377" spans="5:26" x14ac:dyDescent="0.25">
      <c r="E377" s="9" t="s">
        <v>2346</v>
      </c>
      <c r="K377" s="9" t="s">
        <v>2004</v>
      </c>
      <c r="R377" s="9" t="s">
        <v>3212</v>
      </c>
      <c r="W377" s="9" t="s">
        <v>1743</v>
      </c>
      <c r="Z377" s="9" t="s">
        <v>4011</v>
      </c>
    </row>
    <row r="378" spans="5:26" x14ac:dyDescent="0.25">
      <c r="E378" s="9" t="s">
        <v>4144</v>
      </c>
      <c r="K378" s="9" t="s">
        <v>2640</v>
      </c>
      <c r="R378" s="9" t="s">
        <v>3340</v>
      </c>
      <c r="W378" s="9" t="s">
        <v>1558</v>
      </c>
      <c r="Z378" s="9" t="s">
        <v>3984</v>
      </c>
    </row>
    <row r="379" spans="5:26" x14ac:dyDescent="0.25">
      <c r="E379" s="9" t="s">
        <v>5521</v>
      </c>
      <c r="K379" s="9" t="s">
        <v>3564</v>
      </c>
      <c r="R379" s="9" t="s">
        <v>3129</v>
      </c>
      <c r="W379" s="9" t="s">
        <v>1271</v>
      </c>
      <c r="Z379" s="9" t="s">
        <v>3986</v>
      </c>
    </row>
    <row r="380" spans="5:26" x14ac:dyDescent="0.25">
      <c r="E380" s="9" t="s">
        <v>3486</v>
      </c>
      <c r="K380" s="9" t="s">
        <v>2908</v>
      </c>
      <c r="R380" s="9" t="s">
        <v>820</v>
      </c>
      <c r="W380" s="9" t="s">
        <v>1411</v>
      </c>
      <c r="Z380" s="9" t="s">
        <v>3957</v>
      </c>
    </row>
    <row r="381" spans="5:26" x14ac:dyDescent="0.25">
      <c r="E381" s="9" t="s">
        <v>1610</v>
      </c>
      <c r="K381" s="9" t="s">
        <v>733</v>
      </c>
      <c r="R381" s="9" t="s">
        <v>512</v>
      </c>
      <c r="W381" s="9" t="s">
        <v>3071</v>
      </c>
      <c r="Z381" s="9" t="s">
        <v>2814</v>
      </c>
    </row>
    <row r="382" spans="5:26" x14ac:dyDescent="0.25">
      <c r="E382" s="9" t="s">
        <v>2449</v>
      </c>
      <c r="K382" s="9" t="s">
        <v>883</v>
      </c>
      <c r="R382" s="9" t="s">
        <v>1018</v>
      </c>
      <c r="W382" s="9" t="s">
        <v>1577</v>
      </c>
      <c r="Z382" s="9" t="s">
        <v>1111</v>
      </c>
    </row>
    <row r="383" spans="5:26" x14ac:dyDescent="0.25">
      <c r="E383" s="9" t="s">
        <v>5495</v>
      </c>
      <c r="K383" s="9" t="s">
        <v>2914</v>
      </c>
      <c r="R383" s="9" t="s">
        <v>862</v>
      </c>
      <c r="W383" s="9" t="s">
        <v>1741</v>
      </c>
      <c r="Z383" s="9" t="s">
        <v>3766</v>
      </c>
    </row>
    <row r="384" spans="5:26" x14ac:dyDescent="0.25">
      <c r="E384" s="9" t="s">
        <v>2454</v>
      </c>
      <c r="K384" s="9" t="s">
        <v>3779</v>
      </c>
      <c r="R384" s="9" t="s">
        <v>422</v>
      </c>
      <c r="W384" s="9" t="s">
        <v>1522</v>
      </c>
      <c r="Z384" s="9" t="s">
        <v>3631</v>
      </c>
    </row>
    <row r="385" spans="5:26" x14ac:dyDescent="0.25">
      <c r="E385" s="9" t="s">
        <v>2653</v>
      </c>
      <c r="K385" s="9" t="s">
        <v>638</v>
      </c>
      <c r="R385" s="9" t="s">
        <v>472</v>
      </c>
      <c r="W385" s="9" t="s">
        <v>1632</v>
      </c>
      <c r="Z385" s="9" t="s">
        <v>1785</v>
      </c>
    </row>
    <row r="386" spans="5:26" x14ac:dyDescent="0.25">
      <c r="E386" s="9" t="s">
        <v>3489</v>
      </c>
      <c r="K386" s="9" t="s">
        <v>2748</v>
      </c>
      <c r="R386" s="9" t="s">
        <v>3182</v>
      </c>
      <c r="W386" s="9" t="s">
        <v>690</v>
      </c>
      <c r="Z386" s="9" t="s">
        <v>3757</v>
      </c>
    </row>
    <row r="387" spans="5:26" x14ac:dyDescent="0.25">
      <c r="E387" s="9" t="s">
        <v>2067</v>
      </c>
      <c r="K387" s="9" t="s">
        <v>5080</v>
      </c>
      <c r="R387" s="9" t="s">
        <v>3149</v>
      </c>
      <c r="W387" s="9" t="s">
        <v>1755</v>
      </c>
      <c r="Z387" s="9" t="s">
        <v>3797</v>
      </c>
    </row>
    <row r="388" spans="5:26" x14ac:dyDescent="0.25">
      <c r="E388" s="9" t="s">
        <v>2108</v>
      </c>
      <c r="K388" s="9" t="s">
        <v>3046</v>
      </c>
      <c r="R388" s="9" t="s">
        <v>741</v>
      </c>
      <c r="W388" s="9" t="s">
        <v>1443</v>
      </c>
      <c r="Z388" s="9" t="s">
        <v>3688</v>
      </c>
    </row>
    <row r="389" spans="5:26" x14ac:dyDescent="0.25">
      <c r="E389" s="9" t="s">
        <v>1804</v>
      </c>
      <c r="K389" s="9" t="s">
        <v>834</v>
      </c>
      <c r="R389" s="9" t="s">
        <v>3135</v>
      </c>
      <c r="W389" s="9" t="s">
        <v>1625</v>
      </c>
      <c r="Z389" s="9" t="s">
        <v>3568</v>
      </c>
    </row>
    <row r="390" spans="5:26" x14ac:dyDescent="0.25">
      <c r="E390" s="9" t="s">
        <v>2095</v>
      </c>
      <c r="K390" s="9" t="s">
        <v>3007</v>
      </c>
      <c r="R390" s="9" t="s">
        <v>3255</v>
      </c>
      <c r="W390" s="9" t="s">
        <v>1693</v>
      </c>
      <c r="Z390" s="9" t="s">
        <v>3778</v>
      </c>
    </row>
    <row r="391" spans="5:26" x14ac:dyDescent="0.25">
      <c r="E391" s="9" t="s">
        <v>2251</v>
      </c>
      <c r="K391" s="9" t="s">
        <v>639</v>
      </c>
      <c r="R391" s="9" t="s">
        <v>824</v>
      </c>
      <c r="W391" s="9" t="s">
        <v>1211</v>
      </c>
      <c r="Z391" s="9" t="s">
        <v>464</v>
      </c>
    </row>
    <row r="392" spans="5:26" x14ac:dyDescent="0.25">
      <c r="E392" s="9" t="s">
        <v>2076</v>
      </c>
      <c r="K392" s="9" t="s">
        <v>2723</v>
      </c>
      <c r="R392" s="9" t="s">
        <v>3249</v>
      </c>
      <c r="W392" s="9" t="s">
        <v>1365</v>
      </c>
      <c r="Z392" s="9" t="s">
        <v>3841</v>
      </c>
    </row>
    <row r="393" spans="5:26" x14ac:dyDescent="0.25">
      <c r="E393" s="9" t="s">
        <v>2030</v>
      </c>
      <c r="K393" s="9" t="s">
        <v>2517</v>
      </c>
      <c r="R393" s="9" t="s">
        <v>3281</v>
      </c>
      <c r="W393" s="9" t="s">
        <v>1512</v>
      </c>
      <c r="Z393" s="9" t="s">
        <v>4032</v>
      </c>
    </row>
    <row r="394" spans="5:26" x14ac:dyDescent="0.25">
      <c r="E394" s="9" t="s">
        <v>2496</v>
      </c>
      <c r="K394" s="9" t="s">
        <v>878</v>
      </c>
      <c r="R394" s="9" t="s">
        <v>814</v>
      </c>
      <c r="W394" s="9" t="s">
        <v>1213</v>
      </c>
      <c r="Z394" s="9" t="s">
        <v>3541</v>
      </c>
    </row>
    <row r="395" spans="5:26" x14ac:dyDescent="0.25">
      <c r="E395" s="9" t="s">
        <v>2344</v>
      </c>
      <c r="K395" s="9" t="s">
        <v>1009</v>
      </c>
      <c r="R395" s="9" t="s">
        <v>812</v>
      </c>
      <c r="W395" s="9" t="s">
        <v>3147</v>
      </c>
      <c r="Z395" s="9" t="s">
        <v>1536</v>
      </c>
    </row>
    <row r="396" spans="5:26" x14ac:dyDescent="0.25">
      <c r="E396" s="9" t="s">
        <v>5234</v>
      </c>
      <c r="K396" s="9" t="s">
        <v>1806</v>
      </c>
      <c r="R396" s="9" t="s">
        <v>799</v>
      </c>
      <c r="W396" s="9" t="s">
        <v>1090</v>
      </c>
      <c r="Z396" s="9" t="s">
        <v>3570</v>
      </c>
    </row>
    <row r="397" spans="5:26" x14ac:dyDescent="0.25">
      <c r="E397" s="9" t="s">
        <v>1900</v>
      </c>
      <c r="K397" s="9" t="s">
        <v>5543</v>
      </c>
      <c r="R397" s="9" t="s">
        <v>788</v>
      </c>
      <c r="W397" s="9" t="s">
        <v>1597</v>
      </c>
      <c r="Z397" s="9" t="s">
        <v>3858</v>
      </c>
    </row>
    <row r="398" spans="5:26" x14ac:dyDescent="0.25">
      <c r="E398" s="9" t="s">
        <v>2133</v>
      </c>
      <c r="K398" s="9" t="s">
        <v>1954</v>
      </c>
      <c r="R398" s="9" t="s">
        <v>1605</v>
      </c>
      <c r="W398" s="9" t="s">
        <v>1482</v>
      </c>
      <c r="Z398" s="9" t="s">
        <v>3908</v>
      </c>
    </row>
    <row r="399" spans="5:26" x14ac:dyDescent="0.25">
      <c r="E399" s="9" t="s">
        <v>5233</v>
      </c>
      <c r="K399" s="9" t="s">
        <v>5463</v>
      </c>
      <c r="R399" s="9" t="s">
        <v>874</v>
      </c>
      <c r="W399" s="9" t="s">
        <v>498</v>
      </c>
      <c r="Z399" s="9" t="s">
        <v>3920</v>
      </c>
    </row>
    <row r="400" spans="5:26" x14ac:dyDescent="0.25">
      <c r="E400" s="9" t="s">
        <v>2567</v>
      </c>
      <c r="K400" s="9" t="s">
        <v>2968</v>
      </c>
      <c r="R400" s="9" t="s">
        <v>3596</v>
      </c>
      <c r="W400" s="9" t="s">
        <v>1214</v>
      </c>
      <c r="Z400" s="9" t="s">
        <v>5789</v>
      </c>
    </row>
    <row r="401" spans="5:26" x14ac:dyDescent="0.25">
      <c r="E401" s="9" t="s">
        <v>2665</v>
      </c>
      <c r="K401" s="9" t="s">
        <v>3548</v>
      </c>
      <c r="W401" s="9" t="s">
        <v>1140</v>
      </c>
      <c r="Z401" s="9" t="s">
        <v>513</v>
      </c>
    </row>
    <row r="402" spans="5:26" x14ac:dyDescent="0.25">
      <c r="E402" s="9" t="s">
        <v>1829</v>
      </c>
      <c r="K402" s="9" t="s">
        <v>3013</v>
      </c>
      <c r="W402" s="9" t="s">
        <v>1748</v>
      </c>
      <c r="Z402" s="9" t="s">
        <v>3973</v>
      </c>
    </row>
    <row r="403" spans="5:26" x14ac:dyDescent="0.25">
      <c r="E403" s="9" t="s">
        <v>5123</v>
      </c>
      <c r="K403" s="9" t="s">
        <v>640</v>
      </c>
      <c r="W403" s="9" t="s">
        <v>1185</v>
      </c>
      <c r="Z403" s="9" t="s">
        <v>4047</v>
      </c>
    </row>
    <row r="404" spans="5:26" x14ac:dyDescent="0.25">
      <c r="E404" s="9" t="s">
        <v>1990</v>
      </c>
      <c r="K404" s="9" t="s">
        <v>2683</v>
      </c>
      <c r="W404" s="9" t="s">
        <v>1104</v>
      </c>
      <c r="Z404" s="9" t="s">
        <v>897</v>
      </c>
    </row>
    <row r="405" spans="5:26" x14ac:dyDescent="0.25">
      <c r="E405" s="9" t="s">
        <v>2043</v>
      </c>
      <c r="K405" s="9" t="s">
        <v>541</v>
      </c>
      <c r="W405" s="9" t="s">
        <v>1727</v>
      </c>
      <c r="Z405" s="9" t="s">
        <v>1353</v>
      </c>
    </row>
    <row r="406" spans="5:26" x14ac:dyDescent="0.25">
      <c r="E406" s="9" t="s">
        <v>2282</v>
      </c>
      <c r="K406" s="9" t="s">
        <v>2811</v>
      </c>
      <c r="W406" s="9" t="s">
        <v>1572</v>
      </c>
      <c r="Z406" s="9" t="s">
        <v>1795</v>
      </c>
    </row>
    <row r="407" spans="5:26" x14ac:dyDescent="0.25">
      <c r="E407" s="9" t="s">
        <v>2314</v>
      </c>
      <c r="K407" s="9" t="s">
        <v>2819</v>
      </c>
      <c r="W407" s="9" t="s">
        <v>3331</v>
      </c>
      <c r="Z407" s="9" t="s">
        <v>2981</v>
      </c>
    </row>
    <row r="408" spans="5:26" x14ac:dyDescent="0.25">
      <c r="E408" s="9" t="s">
        <v>2256</v>
      </c>
      <c r="K408" s="9" t="s">
        <v>2544</v>
      </c>
      <c r="W408" s="9" t="s">
        <v>3181</v>
      </c>
      <c r="Z408" s="9" t="s">
        <v>4037</v>
      </c>
    </row>
    <row r="409" spans="5:26" x14ac:dyDescent="0.25">
      <c r="E409" s="9" t="s">
        <v>2310</v>
      </c>
      <c r="K409" s="9" t="s">
        <v>1023</v>
      </c>
      <c r="W409" s="9" t="s">
        <v>1492</v>
      </c>
      <c r="Z409" s="9" t="s">
        <v>1079</v>
      </c>
    </row>
    <row r="410" spans="5:26" x14ac:dyDescent="0.25">
      <c r="E410" s="9" t="s">
        <v>2162</v>
      </c>
      <c r="K410" s="9" t="s">
        <v>2478</v>
      </c>
      <c r="W410" s="9" t="s">
        <v>1595</v>
      </c>
      <c r="Z410" s="9" t="s">
        <v>3890</v>
      </c>
    </row>
    <row r="411" spans="5:26" x14ac:dyDescent="0.25">
      <c r="E411" s="9" t="s">
        <v>1988</v>
      </c>
      <c r="K411" s="9" t="s">
        <v>2610</v>
      </c>
      <c r="W411" s="9" t="s">
        <v>3235</v>
      </c>
      <c r="Z411" s="9" t="s">
        <v>3573</v>
      </c>
    </row>
    <row r="412" spans="5:26" x14ac:dyDescent="0.25">
      <c r="E412" s="9" t="s">
        <v>1612</v>
      </c>
      <c r="K412" s="9" t="s">
        <v>494</v>
      </c>
      <c r="W412" s="9" t="s">
        <v>1694</v>
      </c>
      <c r="Z412" s="9" t="s">
        <v>2791</v>
      </c>
    </row>
    <row r="413" spans="5:26" x14ac:dyDescent="0.25">
      <c r="E413" s="9" t="s">
        <v>1838</v>
      </c>
      <c r="K413" s="9" t="s">
        <v>2105</v>
      </c>
      <c r="W413" s="9" t="s">
        <v>1510</v>
      </c>
      <c r="Z413" s="9" t="s">
        <v>3974</v>
      </c>
    </row>
    <row r="414" spans="5:26" x14ac:dyDescent="0.25">
      <c r="E414" s="9" t="s">
        <v>2366</v>
      </c>
      <c r="K414" s="9" t="s">
        <v>2073</v>
      </c>
      <c r="W414" s="9" t="s">
        <v>1405</v>
      </c>
      <c r="Z414" s="9" t="s">
        <v>3645</v>
      </c>
    </row>
    <row r="415" spans="5:26" x14ac:dyDescent="0.25">
      <c r="E415" s="9" t="s">
        <v>2055</v>
      </c>
      <c r="K415" s="9" t="s">
        <v>5061</v>
      </c>
      <c r="W415" s="9" t="s">
        <v>1663</v>
      </c>
      <c r="Z415" s="9" t="s">
        <v>3932</v>
      </c>
    </row>
    <row r="416" spans="5:26" x14ac:dyDescent="0.25">
      <c r="E416" s="9" t="s">
        <v>4466</v>
      </c>
      <c r="K416" s="9" t="s">
        <v>2688</v>
      </c>
      <c r="W416" s="9" t="s">
        <v>1481</v>
      </c>
      <c r="Z416" s="9" t="s">
        <v>3581</v>
      </c>
    </row>
    <row r="417" spans="5:26" x14ac:dyDescent="0.25">
      <c r="E417" s="9" t="s">
        <v>2106</v>
      </c>
      <c r="K417" s="9" t="s">
        <v>3378</v>
      </c>
      <c r="W417" s="9" t="s">
        <v>1728</v>
      </c>
      <c r="Z417" s="9" t="s">
        <v>3498</v>
      </c>
    </row>
    <row r="418" spans="5:26" x14ac:dyDescent="0.25">
      <c r="E418" s="9" t="s">
        <v>5545</v>
      </c>
      <c r="K418" s="9" t="s">
        <v>2656</v>
      </c>
      <c r="W418" s="9" t="s">
        <v>1188</v>
      </c>
      <c r="Z418" s="9" t="s">
        <v>1053</v>
      </c>
    </row>
    <row r="419" spans="5:26" x14ac:dyDescent="0.25">
      <c r="K419" s="9" t="s">
        <v>3783</v>
      </c>
      <c r="W419" s="9" t="s">
        <v>1618</v>
      </c>
      <c r="Z419" s="9" t="s">
        <v>4009</v>
      </c>
    </row>
    <row r="420" spans="5:26" x14ac:dyDescent="0.25">
      <c r="K420" s="9" t="s">
        <v>510</v>
      </c>
      <c r="W420" s="9" t="s">
        <v>1236</v>
      </c>
      <c r="Z420" s="9" t="s">
        <v>4034</v>
      </c>
    </row>
    <row r="421" spans="5:26" x14ac:dyDescent="0.25">
      <c r="K421" s="9" t="s">
        <v>2866</v>
      </c>
      <c r="W421" s="9" t="s">
        <v>1218</v>
      </c>
      <c r="Z421" s="9" t="s">
        <v>1051</v>
      </c>
    </row>
    <row r="422" spans="5:26" x14ac:dyDescent="0.25">
      <c r="K422" s="9" t="s">
        <v>884</v>
      </c>
      <c r="W422" s="9" t="s">
        <v>1338</v>
      </c>
      <c r="Z422" s="9" t="s">
        <v>3768</v>
      </c>
    </row>
    <row r="423" spans="5:26" x14ac:dyDescent="0.25">
      <c r="K423" s="9" t="s">
        <v>2996</v>
      </c>
      <c r="W423" s="9" t="s">
        <v>1351</v>
      </c>
      <c r="Z423" s="9" t="s">
        <v>3835</v>
      </c>
    </row>
    <row r="424" spans="5:26" x14ac:dyDescent="0.25">
      <c r="K424" s="9" t="s">
        <v>1994</v>
      </c>
      <c r="W424" s="9" t="s">
        <v>1683</v>
      </c>
      <c r="Z424" s="9" t="s">
        <v>4006</v>
      </c>
    </row>
    <row r="425" spans="5:26" x14ac:dyDescent="0.25">
      <c r="K425" s="9" t="s">
        <v>2100</v>
      </c>
      <c r="W425" s="9" t="s">
        <v>1569</v>
      </c>
      <c r="Z425" s="9" t="s">
        <v>3898</v>
      </c>
    </row>
    <row r="426" spans="5:26" x14ac:dyDescent="0.25">
      <c r="K426" s="9" t="s">
        <v>3765</v>
      </c>
      <c r="W426" s="9" t="s">
        <v>1547</v>
      </c>
      <c r="Z426" s="9" t="s">
        <v>924</v>
      </c>
    </row>
    <row r="427" spans="5:26" x14ac:dyDescent="0.25">
      <c r="K427" s="9" t="s">
        <v>2946</v>
      </c>
      <c r="W427" s="9" t="s">
        <v>3064</v>
      </c>
      <c r="Z427" s="9" t="s">
        <v>3846</v>
      </c>
    </row>
    <row r="428" spans="5:26" x14ac:dyDescent="0.25">
      <c r="K428" s="9" t="s">
        <v>641</v>
      </c>
      <c r="W428" s="9" t="s">
        <v>1109</v>
      </c>
      <c r="Z428" s="9" t="s">
        <v>4042</v>
      </c>
    </row>
    <row r="429" spans="5:26" x14ac:dyDescent="0.25">
      <c r="K429" s="9" t="s">
        <v>2726</v>
      </c>
      <c r="W429" s="9" t="s">
        <v>1470</v>
      </c>
      <c r="Z429" s="9" t="s">
        <v>972</v>
      </c>
    </row>
    <row r="430" spans="5:26" x14ac:dyDescent="0.25">
      <c r="K430" s="9" t="s">
        <v>2121</v>
      </c>
      <c r="W430" s="9" t="s">
        <v>1450</v>
      </c>
      <c r="Z430" s="9" t="s">
        <v>929</v>
      </c>
    </row>
    <row r="431" spans="5:26" x14ac:dyDescent="0.25">
      <c r="K431" s="9" t="s">
        <v>2192</v>
      </c>
      <c r="W431" s="9" t="s">
        <v>1349</v>
      </c>
      <c r="Z431" s="9" t="s">
        <v>3944</v>
      </c>
    </row>
    <row r="432" spans="5:26" x14ac:dyDescent="0.25">
      <c r="K432" s="9" t="s">
        <v>3427</v>
      </c>
      <c r="W432" s="9" t="s">
        <v>1130</v>
      </c>
      <c r="Z432" s="9" t="s">
        <v>4008</v>
      </c>
    </row>
    <row r="433" spans="11:26" x14ac:dyDescent="0.25">
      <c r="K433" s="9" t="s">
        <v>1037</v>
      </c>
      <c r="W433" s="9" t="s">
        <v>3060</v>
      </c>
      <c r="Z433" s="9" t="s">
        <v>1059</v>
      </c>
    </row>
    <row r="434" spans="11:26" x14ac:dyDescent="0.25">
      <c r="K434" s="9" t="s">
        <v>642</v>
      </c>
      <c r="W434" s="9" t="s">
        <v>1503</v>
      </c>
      <c r="Z434" s="9" t="s">
        <v>3874</v>
      </c>
    </row>
    <row r="435" spans="11:26" x14ac:dyDescent="0.25">
      <c r="K435" s="9" t="s">
        <v>785</v>
      </c>
      <c r="W435" s="9" t="s">
        <v>1730</v>
      </c>
      <c r="Z435" s="9" t="s">
        <v>3667</v>
      </c>
    </row>
    <row r="436" spans="11:26" x14ac:dyDescent="0.25">
      <c r="K436" s="9" t="s">
        <v>3379</v>
      </c>
      <c r="W436" s="9" t="s">
        <v>1545</v>
      </c>
      <c r="Z436" s="9" t="s">
        <v>1060</v>
      </c>
    </row>
    <row r="437" spans="11:26" x14ac:dyDescent="0.25">
      <c r="K437" s="9" t="s">
        <v>889</v>
      </c>
      <c r="W437" s="9" t="s">
        <v>1610</v>
      </c>
      <c r="Z437" s="9" t="s">
        <v>3552</v>
      </c>
    </row>
    <row r="438" spans="11:26" x14ac:dyDescent="0.25">
      <c r="K438" s="9" t="s">
        <v>3736</v>
      </c>
      <c r="W438" s="9" t="s">
        <v>1337</v>
      </c>
      <c r="Z438" s="9" t="s">
        <v>1085</v>
      </c>
    </row>
    <row r="439" spans="11:26" x14ac:dyDescent="0.25">
      <c r="K439" s="9" t="s">
        <v>2705</v>
      </c>
      <c r="W439" s="9" t="s">
        <v>290</v>
      </c>
      <c r="Z439" s="9" t="s">
        <v>3814</v>
      </c>
    </row>
    <row r="440" spans="11:26" x14ac:dyDescent="0.25">
      <c r="K440" s="9" t="s">
        <v>3644</v>
      </c>
      <c r="W440" s="9" t="s">
        <v>1667</v>
      </c>
      <c r="Z440" s="9" t="s">
        <v>3938</v>
      </c>
    </row>
    <row r="441" spans="11:26" x14ac:dyDescent="0.25">
      <c r="K441" s="9" t="s">
        <v>643</v>
      </c>
      <c r="W441" s="9" t="s">
        <v>1531</v>
      </c>
      <c r="Z441" s="9" t="s">
        <v>1028</v>
      </c>
    </row>
    <row r="442" spans="11:26" x14ac:dyDescent="0.25">
      <c r="K442" s="9" t="s">
        <v>644</v>
      </c>
      <c r="W442" s="9" t="s">
        <v>1107</v>
      </c>
      <c r="Z442" s="9" t="s">
        <v>3673</v>
      </c>
    </row>
    <row r="443" spans="11:26" x14ac:dyDescent="0.25">
      <c r="K443" s="9" t="s">
        <v>2950</v>
      </c>
      <c r="W443" s="9" t="s">
        <v>1150</v>
      </c>
      <c r="Z443" s="9" t="s">
        <v>3840</v>
      </c>
    </row>
    <row r="444" spans="11:26" x14ac:dyDescent="0.25">
      <c r="K444" s="9" t="s">
        <v>3005</v>
      </c>
      <c r="W444" s="9" t="s">
        <v>3059</v>
      </c>
      <c r="Z444" s="9" t="s">
        <v>1797</v>
      </c>
    </row>
    <row r="445" spans="11:26" x14ac:dyDescent="0.25">
      <c r="K445" s="9" t="s">
        <v>887</v>
      </c>
      <c r="W445" s="9" t="s">
        <v>1369</v>
      </c>
      <c r="Z445" s="9" t="s">
        <v>3643</v>
      </c>
    </row>
    <row r="446" spans="11:26" x14ac:dyDescent="0.25">
      <c r="K446" s="9" t="s">
        <v>3033</v>
      </c>
      <c r="W446" s="9" t="s">
        <v>1273</v>
      </c>
      <c r="Z446" s="9" t="s">
        <v>1620</v>
      </c>
    </row>
    <row r="447" spans="11:26" x14ac:dyDescent="0.25">
      <c r="K447" s="9" t="s">
        <v>861</v>
      </c>
      <c r="W447" s="9" t="s">
        <v>1619</v>
      </c>
      <c r="Z447" s="9" t="s">
        <v>3882</v>
      </c>
    </row>
    <row r="448" spans="11:26" x14ac:dyDescent="0.25">
      <c r="K448" s="9" t="s">
        <v>2902</v>
      </c>
      <c r="W448" s="9" t="s">
        <v>1142</v>
      </c>
      <c r="Z448" s="9" t="s">
        <v>806</v>
      </c>
    </row>
    <row r="449" spans="11:26" x14ac:dyDescent="0.25">
      <c r="K449" s="9" t="s">
        <v>1870</v>
      </c>
      <c r="W449" s="9" t="s">
        <v>1440</v>
      </c>
      <c r="Z449" s="9" t="s">
        <v>4004</v>
      </c>
    </row>
    <row r="450" spans="11:26" x14ac:dyDescent="0.25">
      <c r="K450" s="9" t="s">
        <v>3796</v>
      </c>
      <c r="W450" s="9" t="s">
        <v>1226</v>
      </c>
      <c r="Z450" s="9" t="s">
        <v>3784</v>
      </c>
    </row>
    <row r="451" spans="11:26" x14ac:dyDescent="0.25">
      <c r="K451" s="9" t="s">
        <v>846</v>
      </c>
      <c r="W451" s="9" t="s">
        <v>3113</v>
      </c>
      <c r="Z451" s="9" t="s">
        <v>3557</v>
      </c>
    </row>
    <row r="452" spans="11:26" x14ac:dyDescent="0.25">
      <c r="K452" s="9" t="s">
        <v>1987</v>
      </c>
      <c r="W452" s="9" t="s">
        <v>1611</v>
      </c>
      <c r="Z452" s="9" t="s">
        <v>3817</v>
      </c>
    </row>
    <row r="453" spans="11:26" x14ac:dyDescent="0.25">
      <c r="K453" s="9" t="s">
        <v>5386</v>
      </c>
      <c r="W453" s="9" t="s">
        <v>1406</v>
      </c>
      <c r="Z453" s="9" t="s">
        <v>3910</v>
      </c>
    </row>
    <row r="454" spans="11:26" x14ac:dyDescent="0.25">
      <c r="K454" s="9" t="s">
        <v>2945</v>
      </c>
      <c r="W454" s="9" t="s">
        <v>1323</v>
      </c>
      <c r="Z454" s="9" t="s">
        <v>3572</v>
      </c>
    </row>
    <row r="455" spans="11:26" x14ac:dyDescent="0.25">
      <c r="K455" s="9" t="s">
        <v>912</v>
      </c>
      <c r="W455" s="9" t="s">
        <v>1430</v>
      </c>
      <c r="Z455" s="9" t="s">
        <v>3010</v>
      </c>
    </row>
    <row r="456" spans="11:26" x14ac:dyDescent="0.25">
      <c r="K456" s="9" t="s">
        <v>917</v>
      </c>
      <c r="W456" s="9" t="s">
        <v>1568</v>
      </c>
      <c r="Z456" s="9" t="s">
        <v>872</v>
      </c>
    </row>
    <row r="457" spans="11:26" x14ac:dyDescent="0.25">
      <c r="K457" s="9" t="s">
        <v>1896</v>
      </c>
      <c r="W457" s="9" t="s">
        <v>1265</v>
      </c>
      <c r="Z457" s="9" t="s">
        <v>975</v>
      </c>
    </row>
    <row r="458" spans="11:26" x14ac:dyDescent="0.25">
      <c r="K458" s="9" t="s">
        <v>645</v>
      </c>
      <c r="W458" s="9" t="s">
        <v>1171</v>
      </c>
      <c r="Z458" s="9" t="s">
        <v>3810</v>
      </c>
    </row>
    <row r="459" spans="11:26" x14ac:dyDescent="0.25">
      <c r="K459" s="9" t="s">
        <v>3744</v>
      </c>
      <c r="W459" s="9" t="s">
        <v>3106</v>
      </c>
      <c r="Z459" s="9" t="s">
        <v>3677</v>
      </c>
    </row>
    <row r="460" spans="11:26" x14ac:dyDescent="0.25">
      <c r="K460" s="9" t="s">
        <v>646</v>
      </c>
      <c r="W460" s="9" t="s">
        <v>1149</v>
      </c>
      <c r="Z460" s="9" t="s">
        <v>3764</v>
      </c>
    </row>
    <row r="461" spans="11:26" x14ac:dyDescent="0.25">
      <c r="K461" s="9" t="s">
        <v>647</v>
      </c>
      <c r="W461" s="9" t="s">
        <v>1678</v>
      </c>
      <c r="Z461" s="9" t="s">
        <v>3981</v>
      </c>
    </row>
    <row r="462" spans="11:26" x14ac:dyDescent="0.25">
      <c r="K462" s="9" t="s">
        <v>1999</v>
      </c>
      <c r="W462" s="9" t="s">
        <v>3161</v>
      </c>
      <c r="Z462" s="9" t="s">
        <v>3712</v>
      </c>
    </row>
    <row r="463" spans="11:26" x14ac:dyDescent="0.25">
      <c r="K463" s="9" t="s">
        <v>533</v>
      </c>
      <c r="W463" s="9" t="s">
        <v>1650</v>
      </c>
      <c r="Z463" s="9" t="s">
        <v>1284</v>
      </c>
    </row>
    <row r="464" spans="11:26" x14ac:dyDescent="0.25">
      <c r="K464" s="9" t="s">
        <v>3460</v>
      </c>
      <c r="W464" s="9" t="s">
        <v>1444</v>
      </c>
      <c r="Z464" s="9" t="s">
        <v>1001</v>
      </c>
    </row>
    <row r="465" spans="11:26" x14ac:dyDescent="0.25">
      <c r="K465" s="9" t="s">
        <v>1839</v>
      </c>
      <c r="W465" s="9" t="s">
        <v>3080</v>
      </c>
      <c r="Z465" s="9" t="s">
        <v>3850</v>
      </c>
    </row>
    <row r="466" spans="11:26" x14ac:dyDescent="0.25">
      <c r="K466" s="9" t="s">
        <v>931</v>
      </c>
      <c r="W466" s="9" t="s">
        <v>1554</v>
      </c>
      <c r="Z466" s="9" t="s">
        <v>667</v>
      </c>
    </row>
    <row r="467" spans="11:26" x14ac:dyDescent="0.25">
      <c r="K467" s="9" t="s">
        <v>3402</v>
      </c>
      <c r="W467" s="9" t="s">
        <v>1539</v>
      </c>
      <c r="Z467" s="9" t="s">
        <v>3903</v>
      </c>
    </row>
    <row r="468" spans="11:26" x14ac:dyDescent="0.25">
      <c r="K468" s="9" t="s">
        <v>906</v>
      </c>
      <c r="W468" s="9" t="s">
        <v>1578</v>
      </c>
      <c r="Z468" s="9" t="s">
        <v>3453</v>
      </c>
    </row>
    <row r="469" spans="11:26" x14ac:dyDescent="0.25">
      <c r="K469" s="9" t="s">
        <v>2096</v>
      </c>
      <c r="W469" s="9" t="s">
        <v>1506</v>
      </c>
      <c r="Z469" s="9" t="s">
        <v>3902</v>
      </c>
    </row>
    <row r="470" spans="11:26" x14ac:dyDescent="0.25">
      <c r="K470" s="9" t="s">
        <v>886</v>
      </c>
      <c r="W470" s="9" t="s">
        <v>3083</v>
      </c>
      <c r="Z470" s="9" t="s">
        <v>4013</v>
      </c>
    </row>
    <row r="471" spans="11:26" x14ac:dyDescent="0.25">
      <c r="K471" s="9" t="s">
        <v>3863</v>
      </c>
      <c r="W471" s="9" t="s">
        <v>1131</v>
      </c>
      <c r="Z471" s="9" t="s">
        <v>937</v>
      </c>
    </row>
    <row r="472" spans="11:26" x14ac:dyDescent="0.25">
      <c r="K472" s="9" t="s">
        <v>1978</v>
      </c>
      <c r="W472" s="9" t="s">
        <v>3075</v>
      </c>
      <c r="Z472" s="9" t="s">
        <v>4030</v>
      </c>
    </row>
    <row r="473" spans="11:26" x14ac:dyDescent="0.25">
      <c r="K473" s="9" t="s">
        <v>526</v>
      </c>
      <c r="W473" s="9" t="s">
        <v>1463</v>
      </c>
      <c r="Z473" s="9" t="s">
        <v>3961</v>
      </c>
    </row>
    <row r="474" spans="11:26" x14ac:dyDescent="0.25">
      <c r="K474" s="9" t="s">
        <v>2938</v>
      </c>
      <c r="W474" s="9" t="s">
        <v>1686</v>
      </c>
      <c r="Z474" s="9" t="s">
        <v>3657</v>
      </c>
    </row>
    <row r="475" spans="11:26" x14ac:dyDescent="0.25">
      <c r="K475" s="9" t="s">
        <v>648</v>
      </c>
      <c r="W475" s="9" t="s">
        <v>1753</v>
      </c>
      <c r="Z475" s="9" t="s">
        <v>3969</v>
      </c>
    </row>
    <row r="476" spans="11:26" x14ac:dyDescent="0.25">
      <c r="K476" s="9" t="s">
        <v>2570</v>
      </c>
      <c r="W476" s="9" t="s">
        <v>1657</v>
      </c>
      <c r="Z476" s="9" t="s">
        <v>3929</v>
      </c>
    </row>
    <row r="477" spans="11:26" x14ac:dyDescent="0.25">
      <c r="K477" s="9" t="s">
        <v>2735</v>
      </c>
      <c r="W477" s="9" t="s">
        <v>1606</v>
      </c>
      <c r="Z477" s="9" t="s">
        <v>3977</v>
      </c>
    </row>
    <row r="478" spans="11:26" x14ac:dyDescent="0.25">
      <c r="K478" s="9" t="s">
        <v>2150</v>
      </c>
      <c r="W478" s="9" t="s">
        <v>1233</v>
      </c>
      <c r="Z478" s="9" t="s">
        <v>907</v>
      </c>
    </row>
    <row r="479" spans="11:26" x14ac:dyDescent="0.25">
      <c r="K479" s="9" t="s">
        <v>649</v>
      </c>
      <c r="W479" s="9" t="s">
        <v>1465</v>
      </c>
      <c r="Z479" s="9" t="s">
        <v>3698</v>
      </c>
    </row>
    <row r="480" spans="11:26" x14ac:dyDescent="0.25">
      <c r="K480" s="9" t="s">
        <v>2559</v>
      </c>
      <c r="W480" s="9" t="s">
        <v>1546</v>
      </c>
      <c r="Z480" s="9" t="s">
        <v>3561</v>
      </c>
    </row>
    <row r="481" spans="11:26" x14ac:dyDescent="0.25">
      <c r="K481" s="9" t="s">
        <v>1894</v>
      </c>
      <c r="W481" s="9" t="s">
        <v>1435</v>
      </c>
      <c r="Z481" s="9" t="s">
        <v>3945</v>
      </c>
    </row>
    <row r="482" spans="11:26" x14ac:dyDescent="0.25">
      <c r="K482" s="9" t="s">
        <v>650</v>
      </c>
      <c r="W482" s="9" t="s">
        <v>1612</v>
      </c>
      <c r="Z482" s="9" t="s">
        <v>2844</v>
      </c>
    </row>
    <row r="483" spans="11:26" x14ac:dyDescent="0.25">
      <c r="K483" s="9" t="s">
        <v>2537</v>
      </c>
      <c r="W483" s="9" t="s">
        <v>1301</v>
      </c>
      <c r="Z483" s="9" t="s">
        <v>3877</v>
      </c>
    </row>
    <row r="484" spans="11:26" x14ac:dyDescent="0.25">
      <c r="K484" s="9" t="s">
        <v>2743</v>
      </c>
      <c r="W484" s="9" t="s">
        <v>1457</v>
      </c>
      <c r="Z484" s="9" t="s">
        <v>3724</v>
      </c>
    </row>
    <row r="485" spans="11:26" x14ac:dyDescent="0.25">
      <c r="K485" s="9" t="s">
        <v>651</v>
      </c>
      <c r="W485" s="9" t="s">
        <v>1593</v>
      </c>
      <c r="Z485" s="9" t="s">
        <v>950</v>
      </c>
    </row>
    <row r="486" spans="11:26" x14ac:dyDescent="0.25">
      <c r="K486" s="9" t="s">
        <v>2987</v>
      </c>
      <c r="W486" s="9" t="s">
        <v>1195</v>
      </c>
      <c r="Z486" s="9" t="s">
        <v>3954</v>
      </c>
    </row>
    <row r="487" spans="11:26" x14ac:dyDescent="0.25">
      <c r="K487" s="9" t="s">
        <v>3290</v>
      </c>
      <c r="W487" s="9" t="s">
        <v>1615</v>
      </c>
      <c r="Z487" s="9" t="s">
        <v>3865</v>
      </c>
    </row>
    <row r="488" spans="11:26" x14ac:dyDescent="0.25">
      <c r="K488" s="9" t="s">
        <v>3313</v>
      </c>
      <c r="W488" s="9" t="s">
        <v>1209</v>
      </c>
      <c r="Z488" s="9" t="s">
        <v>3869</v>
      </c>
    </row>
    <row r="489" spans="11:26" x14ac:dyDescent="0.25">
      <c r="K489" s="9" t="s">
        <v>2983</v>
      </c>
      <c r="W489" s="9" t="s">
        <v>1261</v>
      </c>
      <c r="Z489" s="9" t="s">
        <v>993</v>
      </c>
    </row>
    <row r="490" spans="11:26" x14ac:dyDescent="0.25">
      <c r="K490" s="9" t="s">
        <v>545</v>
      </c>
      <c r="W490" s="9" t="s">
        <v>1336</v>
      </c>
      <c r="Z490" s="9" t="s">
        <v>408</v>
      </c>
    </row>
    <row r="491" spans="11:26" x14ac:dyDescent="0.25">
      <c r="K491" s="9" t="s">
        <v>3900</v>
      </c>
      <c r="W491" s="9" t="s">
        <v>1550</v>
      </c>
      <c r="Z491" s="9" t="s">
        <v>3811</v>
      </c>
    </row>
    <row r="492" spans="11:26" x14ac:dyDescent="0.25">
      <c r="K492" s="9" t="s">
        <v>2642</v>
      </c>
      <c r="W492" s="9" t="s">
        <v>1410</v>
      </c>
      <c r="Z492" s="9" t="s">
        <v>3936</v>
      </c>
    </row>
    <row r="493" spans="11:26" x14ac:dyDescent="0.25">
      <c r="K493" s="9" t="s">
        <v>977</v>
      </c>
      <c r="W493" s="9" t="s">
        <v>1710</v>
      </c>
      <c r="Z493" s="9" t="s">
        <v>3734</v>
      </c>
    </row>
    <row r="494" spans="11:26" x14ac:dyDescent="0.25">
      <c r="K494" s="9" t="s">
        <v>3041</v>
      </c>
      <c r="W494" s="9" t="s">
        <v>1480</v>
      </c>
      <c r="Z494" s="9" t="s">
        <v>4038</v>
      </c>
    </row>
    <row r="495" spans="11:26" x14ac:dyDescent="0.25">
      <c r="K495" s="9" t="s">
        <v>2975</v>
      </c>
      <c r="W495" s="9" t="s">
        <v>3599</v>
      </c>
      <c r="Z495" s="9" t="s">
        <v>3648</v>
      </c>
    </row>
    <row r="496" spans="11:26" x14ac:dyDescent="0.25">
      <c r="K496" s="9" t="s">
        <v>5371</v>
      </c>
      <c r="W496" s="9" t="s">
        <v>1532</v>
      </c>
      <c r="Z496" s="9" t="s">
        <v>3836</v>
      </c>
    </row>
    <row r="497" spans="11:26" x14ac:dyDescent="0.25">
      <c r="K497" s="9" t="s">
        <v>992</v>
      </c>
      <c r="W497" s="9" t="s">
        <v>1442</v>
      </c>
      <c r="Z497" s="9" t="s">
        <v>410</v>
      </c>
    </row>
    <row r="498" spans="11:26" x14ac:dyDescent="0.25">
      <c r="K498" s="9" t="s">
        <v>835</v>
      </c>
      <c r="W498" s="9" t="s">
        <v>1169</v>
      </c>
      <c r="Z498" s="9" t="s">
        <v>3575</v>
      </c>
    </row>
    <row r="499" spans="11:26" x14ac:dyDescent="0.25">
      <c r="K499" s="9" t="s">
        <v>2545</v>
      </c>
      <c r="Z499" s="9" t="s">
        <v>1760</v>
      </c>
    </row>
    <row r="500" spans="11:26" x14ac:dyDescent="0.25">
      <c r="K500" s="9" t="s">
        <v>833</v>
      </c>
      <c r="Z500" s="9" t="s">
        <v>3393</v>
      </c>
    </row>
    <row r="501" spans="11:26" x14ac:dyDescent="0.25">
      <c r="K501" s="9" t="s">
        <v>957</v>
      </c>
      <c r="Z501" s="9" t="s">
        <v>3713</v>
      </c>
    </row>
    <row r="502" spans="11:26" x14ac:dyDescent="0.25">
      <c r="K502" s="9" t="s">
        <v>2796</v>
      </c>
      <c r="Z502" s="9" t="s">
        <v>3838</v>
      </c>
    </row>
    <row r="503" spans="11:26" x14ac:dyDescent="0.25">
      <c r="K503" s="9" t="s">
        <v>1931</v>
      </c>
      <c r="Z503" s="9" t="s">
        <v>4000</v>
      </c>
    </row>
    <row r="504" spans="11:26" x14ac:dyDescent="0.25">
      <c r="K504" s="9" t="s">
        <v>2090</v>
      </c>
      <c r="Z504" s="9" t="s">
        <v>3540</v>
      </c>
    </row>
    <row r="505" spans="11:26" x14ac:dyDescent="0.25">
      <c r="K505" s="9" t="s">
        <v>2778</v>
      </c>
      <c r="Z505" s="9" t="s">
        <v>4018</v>
      </c>
    </row>
    <row r="506" spans="11:26" x14ac:dyDescent="0.25">
      <c r="K506" s="9" t="s">
        <v>3727</v>
      </c>
      <c r="Z506" s="9" t="s">
        <v>3544</v>
      </c>
    </row>
    <row r="507" spans="11:26" x14ac:dyDescent="0.25">
      <c r="K507" s="9" t="s">
        <v>945</v>
      </c>
      <c r="Z507" s="9" t="s">
        <v>3774</v>
      </c>
    </row>
    <row r="508" spans="11:26" x14ac:dyDescent="0.25">
      <c r="K508" s="9" t="s">
        <v>3286</v>
      </c>
      <c r="Z508" s="9" t="s">
        <v>853</v>
      </c>
    </row>
    <row r="509" spans="11:26" x14ac:dyDescent="0.25">
      <c r="K509" s="9" t="s">
        <v>2616</v>
      </c>
      <c r="Z509" s="9" t="s">
        <v>4017</v>
      </c>
    </row>
    <row r="510" spans="11:26" x14ac:dyDescent="0.25">
      <c r="K510" s="9" t="s">
        <v>935</v>
      </c>
      <c r="Z510" s="9" t="s">
        <v>1102</v>
      </c>
    </row>
    <row r="511" spans="11:26" x14ac:dyDescent="0.25">
      <c r="K511" s="9" t="s">
        <v>2058</v>
      </c>
      <c r="Z511" s="9" t="s">
        <v>1027</v>
      </c>
    </row>
    <row r="512" spans="11:26" x14ac:dyDescent="0.25">
      <c r="K512" s="9" t="s">
        <v>2469</v>
      </c>
      <c r="Z512" s="9" t="s">
        <v>922</v>
      </c>
    </row>
    <row r="513" spans="11:26" x14ac:dyDescent="0.25">
      <c r="K513" s="9" t="s">
        <v>2495</v>
      </c>
      <c r="Z513" s="9" t="s">
        <v>3891</v>
      </c>
    </row>
    <row r="514" spans="11:26" x14ac:dyDescent="0.25">
      <c r="K514" s="9" t="s">
        <v>2794</v>
      </c>
      <c r="Z514" s="9" t="s">
        <v>3790</v>
      </c>
    </row>
    <row r="515" spans="11:26" x14ac:dyDescent="0.25">
      <c r="K515" s="9" t="s">
        <v>1006</v>
      </c>
      <c r="Z515" s="9" t="s">
        <v>3959</v>
      </c>
    </row>
    <row r="516" spans="11:26" x14ac:dyDescent="0.25">
      <c r="K516" s="9" t="s">
        <v>652</v>
      </c>
      <c r="Z516" s="9" t="s">
        <v>3887</v>
      </c>
    </row>
    <row r="517" spans="11:26" x14ac:dyDescent="0.25">
      <c r="K517" s="9" t="s">
        <v>2293</v>
      </c>
      <c r="Z517" s="9" t="s">
        <v>5790</v>
      </c>
    </row>
    <row r="518" spans="11:26" x14ac:dyDescent="0.25">
      <c r="K518" s="9" t="s">
        <v>2048</v>
      </c>
      <c r="Z518" s="9" t="s">
        <v>842</v>
      </c>
    </row>
    <row r="519" spans="11:26" x14ac:dyDescent="0.25">
      <c r="K519" s="9" t="s">
        <v>1871</v>
      </c>
      <c r="Z519" s="9" t="s">
        <v>5791</v>
      </c>
    </row>
    <row r="520" spans="11:26" x14ac:dyDescent="0.25">
      <c r="K520" s="9" t="s">
        <v>1921</v>
      </c>
      <c r="Z520" s="9" t="s">
        <v>3772</v>
      </c>
    </row>
    <row r="521" spans="11:26" x14ac:dyDescent="0.25">
      <c r="K521" s="9" t="s">
        <v>537</v>
      </c>
      <c r="Z521" s="9" t="s">
        <v>3982</v>
      </c>
    </row>
    <row r="522" spans="11:26" x14ac:dyDescent="0.25">
      <c r="K522" s="9" t="s">
        <v>1902</v>
      </c>
      <c r="Z522" s="9" t="s">
        <v>1038</v>
      </c>
    </row>
    <row r="523" spans="11:26" x14ac:dyDescent="0.25">
      <c r="K523" s="9" t="s">
        <v>2868</v>
      </c>
      <c r="Z523" s="9" t="s">
        <v>3635</v>
      </c>
    </row>
    <row r="524" spans="11:26" x14ac:dyDescent="0.25">
      <c r="K524" s="9" t="s">
        <v>5447</v>
      </c>
      <c r="Z524" s="9" t="s">
        <v>3837</v>
      </c>
    </row>
    <row r="525" spans="11:26" x14ac:dyDescent="0.25">
      <c r="K525" s="9" t="s">
        <v>520</v>
      </c>
      <c r="Z525" s="9" t="s">
        <v>4025</v>
      </c>
    </row>
    <row r="526" spans="11:26" x14ac:dyDescent="0.25">
      <c r="K526" s="9" t="s">
        <v>3861</v>
      </c>
      <c r="Z526" s="9" t="s">
        <v>3686</v>
      </c>
    </row>
    <row r="527" spans="11:26" x14ac:dyDescent="0.25">
      <c r="K527" s="9" t="s">
        <v>2700</v>
      </c>
      <c r="Z527" s="9" t="s">
        <v>870</v>
      </c>
    </row>
    <row r="528" spans="11:26" x14ac:dyDescent="0.25">
      <c r="K528" s="9" t="s">
        <v>2024</v>
      </c>
      <c r="Z528" s="9" t="s">
        <v>470</v>
      </c>
    </row>
    <row r="529" spans="11:26" x14ac:dyDescent="0.25">
      <c r="K529" s="9" t="s">
        <v>1972</v>
      </c>
      <c r="Z529" s="9" t="s">
        <v>1067</v>
      </c>
    </row>
    <row r="530" spans="11:26" x14ac:dyDescent="0.25">
      <c r="K530" s="9" t="s">
        <v>2869</v>
      </c>
      <c r="Z530" s="9" t="s">
        <v>3991</v>
      </c>
    </row>
    <row r="531" spans="11:26" x14ac:dyDescent="0.25">
      <c r="K531" s="9" t="s">
        <v>553</v>
      </c>
      <c r="Z531" s="9" t="s">
        <v>3725</v>
      </c>
    </row>
    <row r="532" spans="11:26" x14ac:dyDescent="0.25">
      <c r="K532" s="9" t="s">
        <v>5792</v>
      </c>
      <c r="Z532" s="9" t="s">
        <v>5793</v>
      </c>
    </row>
    <row r="533" spans="11:26" x14ac:dyDescent="0.25">
      <c r="K533" s="9" t="s">
        <v>1024</v>
      </c>
      <c r="Z533" s="9" t="s">
        <v>3926</v>
      </c>
    </row>
    <row r="534" spans="11:26" x14ac:dyDescent="0.25">
      <c r="K534" s="9" t="s">
        <v>654</v>
      </c>
      <c r="Z534" s="9" t="s">
        <v>2941</v>
      </c>
    </row>
    <row r="535" spans="11:26" x14ac:dyDescent="0.25">
      <c r="K535" s="9" t="s">
        <v>653</v>
      </c>
      <c r="Z535" s="9" t="s">
        <v>3868</v>
      </c>
    </row>
    <row r="536" spans="11:26" x14ac:dyDescent="0.25">
      <c r="K536" s="9" t="s">
        <v>3682</v>
      </c>
      <c r="Z536" s="9" t="s">
        <v>955</v>
      </c>
    </row>
    <row r="537" spans="11:26" x14ac:dyDescent="0.25">
      <c r="K537" s="9" t="s">
        <v>535</v>
      </c>
      <c r="Z537" s="9" t="s">
        <v>3805</v>
      </c>
    </row>
    <row r="538" spans="11:26" x14ac:dyDescent="0.25">
      <c r="K538" s="9" t="s">
        <v>3435</v>
      </c>
      <c r="Z538" s="9" t="s">
        <v>384</v>
      </c>
    </row>
    <row r="539" spans="11:26" x14ac:dyDescent="0.25">
      <c r="K539" s="9" t="s">
        <v>542</v>
      </c>
      <c r="Z539" s="9" t="s">
        <v>1039</v>
      </c>
    </row>
    <row r="540" spans="11:26" x14ac:dyDescent="0.25">
      <c r="K540" s="9" t="s">
        <v>855</v>
      </c>
      <c r="Z540" s="9" t="s">
        <v>3818</v>
      </c>
    </row>
    <row r="541" spans="11:26" x14ac:dyDescent="0.25">
      <c r="K541" s="9" t="s">
        <v>655</v>
      </c>
      <c r="Z541" s="9" t="s">
        <v>3934</v>
      </c>
    </row>
    <row r="542" spans="11:26" x14ac:dyDescent="0.25">
      <c r="K542" s="9" t="s">
        <v>1967</v>
      </c>
      <c r="Z542" s="9" t="s">
        <v>1080</v>
      </c>
    </row>
    <row r="543" spans="11:26" x14ac:dyDescent="0.25">
      <c r="K543" s="9" t="s">
        <v>2662</v>
      </c>
      <c r="Z543" s="9" t="s">
        <v>735</v>
      </c>
    </row>
    <row r="544" spans="11:26" x14ac:dyDescent="0.25">
      <c r="K544" s="9" t="s">
        <v>2589</v>
      </c>
      <c r="Z544" s="9" t="s">
        <v>3824</v>
      </c>
    </row>
    <row r="545" spans="11:26" x14ac:dyDescent="0.25">
      <c r="K545" s="9" t="s">
        <v>5433</v>
      </c>
      <c r="Z545" s="9" t="s">
        <v>4023</v>
      </c>
    </row>
    <row r="546" spans="11:26" x14ac:dyDescent="0.25">
      <c r="K546" s="9" t="s">
        <v>2635</v>
      </c>
      <c r="Z546" s="9" t="s">
        <v>3107</v>
      </c>
    </row>
    <row r="547" spans="11:26" x14ac:dyDescent="0.25">
      <c r="K547" s="9" t="s">
        <v>2337</v>
      </c>
      <c r="Z547" s="9" t="s">
        <v>736</v>
      </c>
    </row>
    <row r="548" spans="11:26" x14ac:dyDescent="0.25">
      <c r="K548" s="9" t="s">
        <v>656</v>
      </c>
      <c r="Z548" s="9" t="s">
        <v>386</v>
      </c>
    </row>
    <row r="549" spans="11:26" x14ac:dyDescent="0.25">
      <c r="K549" s="9" t="s">
        <v>3223</v>
      </c>
      <c r="Z549" s="9" t="s">
        <v>405</v>
      </c>
    </row>
    <row r="550" spans="11:26" x14ac:dyDescent="0.25">
      <c r="K550" s="9" t="s">
        <v>1818</v>
      </c>
      <c r="Z550" s="9" t="s">
        <v>737</v>
      </c>
    </row>
    <row r="551" spans="11:26" x14ac:dyDescent="0.25">
      <c r="K551" s="9" t="s">
        <v>2851</v>
      </c>
      <c r="Z551" s="9" t="s">
        <v>2937</v>
      </c>
    </row>
    <row r="552" spans="11:26" x14ac:dyDescent="0.25">
      <c r="K552" s="9" t="s">
        <v>3885</v>
      </c>
      <c r="Z552" s="9" t="s">
        <v>1793</v>
      </c>
    </row>
    <row r="553" spans="11:26" x14ac:dyDescent="0.25">
      <c r="K553" s="9" t="s">
        <v>2809</v>
      </c>
      <c r="Z553" s="9" t="s">
        <v>3955</v>
      </c>
    </row>
    <row r="554" spans="11:26" x14ac:dyDescent="0.25">
      <c r="K554" s="9" t="s">
        <v>962</v>
      </c>
      <c r="Z554" s="9" t="s">
        <v>3978</v>
      </c>
    </row>
    <row r="555" spans="11:26" x14ac:dyDescent="0.25">
      <c r="K555" s="9" t="s">
        <v>657</v>
      </c>
      <c r="Z555" s="9" t="s">
        <v>5794</v>
      </c>
    </row>
    <row r="556" spans="11:26" x14ac:dyDescent="0.25">
      <c r="K556" s="9" t="s">
        <v>2864</v>
      </c>
      <c r="Z556" s="9" t="s">
        <v>2901</v>
      </c>
    </row>
    <row r="557" spans="11:26" x14ac:dyDescent="0.25">
      <c r="K557" s="9" t="s">
        <v>658</v>
      </c>
      <c r="Z557" s="9" t="s">
        <v>3787</v>
      </c>
    </row>
    <row r="558" spans="11:26" x14ac:dyDescent="0.25">
      <c r="K558" s="9" t="s">
        <v>2244</v>
      </c>
      <c r="Z558" s="9" t="s">
        <v>3649</v>
      </c>
    </row>
    <row r="559" spans="11:26" x14ac:dyDescent="0.25">
      <c r="K559" s="9" t="s">
        <v>3428</v>
      </c>
      <c r="Z559" s="9" t="s">
        <v>3714</v>
      </c>
    </row>
    <row r="560" spans="11:26" x14ac:dyDescent="0.25">
      <c r="K560" s="9" t="s">
        <v>5795</v>
      </c>
      <c r="Z560" s="9" t="s">
        <v>3849</v>
      </c>
    </row>
    <row r="561" spans="11:26" x14ac:dyDescent="0.25">
      <c r="K561" s="9" t="s">
        <v>2959</v>
      </c>
      <c r="Z561" s="9" t="s">
        <v>852</v>
      </c>
    </row>
    <row r="562" spans="11:26" x14ac:dyDescent="0.25">
      <c r="K562" s="9" t="s">
        <v>2979</v>
      </c>
      <c r="Z562" s="9" t="s">
        <v>1768</v>
      </c>
    </row>
    <row r="563" spans="11:26" x14ac:dyDescent="0.25">
      <c r="K563" s="9" t="s">
        <v>2803</v>
      </c>
      <c r="Z563" s="9" t="s">
        <v>738</v>
      </c>
    </row>
    <row r="564" spans="11:26" x14ac:dyDescent="0.25">
      <c r="K564" s="9" t="s">
        <v>1025</v>
      </c>
      <c r="Z564" s="9" t="s">
        <v>1066</v>
      </c>
    </row>
    <row r="565" spans="11:26" x14ac:dyDescent="0.25">
      <c r="K565" s="9" t="s">
        <v>3210</v>
      </c>
      <c r="Z565" s="9" t="s">
        <v>840</v>
      </c>
    </row>
    <row r="566" spans="11:26" x14ac:dyDescent="0.25">
      <c r="K566" s="9" t="s">
        <v>3439</v>
      </c>
      <c r="Z566" s="9" t="s">
        <v>377</v>
      </c>
    </row>
    <row r="567" spans="11:26" x14ac:dyDescent="0.25">
      <c r="K567" s="9" t="s">
        <v>3690</v>
      </c>
      <c r="Z567" s="9" t="s">
        <v>1086</v>
      </c>
    </row>
    <row r="568" spans="11:26" x14ac:dyDescent="0.25">
      <c r="K568" s="9" t="s">
        <v>1951</v>
      </c>
      <c r="Z568" s="9" t="s">
        <v>1786</v>
      </c>
    </row>
    <row r="569" spans="11:26" x14ac:dyDescent="0.25">
      <c r="K569" s="9" t="s">
        <v>3478</v>
      </c>
      <c r="Z569" s="9" t="s">
        <v>1071</v>
      </c>
    </row>
    <row r="570" spans="11:26" x14ac:dyDescent="0.25">
      <c r="K570" s="9" t="s">
        <v>2428</v>
      </c>
      <c r="Z570" s="9" t="s">
        <v>2777</v>
      </c>
    </row>
    <row r="571" spans="11:26" x14ac:dyDescent="0.25">
      <c r="K571" s="9" t="s">
        <v>3394</v>
      </c>
      <c r="Z571" s="9" t="s">
        <v>973</v>
      </c>
    </row>
    <row r="572" spans="11:26" x14ac:dyDescent="0.25">
      <c r="K572" s="9" t="s">
        <v>564</v>
      </c>
      <c r="Z572" s="9" t="s">
        <v>2893</v>
      </c>
    </row>
    <row r="573" spans="11:26" x14ac:dyDescent="0.25">
      <c r="K573" s="9" t="s">
        <v>3879</v>
      </c>
      <c r="Z573" s="9" t="s">
        <v>3094</v>
      </c>
    </row>
    <row r="574" spans="11:26" x14ac:dyDescent="0.25">
      <c r="K574" s="9" t="s">
        <v>3348</v>
      </c>
      <c r="Z574" s="9" t="s">
        <v>942</v>
      </c>
    </row>
    <row r="575" spans="11:26" x14ac:dyDescent="0.25">
      <c r="K575" s="9" t="s">
        <v>988</v>
      </c>
      <c r="Z575" s="9" t="s">
        <v>1078</v>
      </c>
    </row>
    <row r="576" spans="11:26" x14ac:dyDescent="0.25">
      <c r="K576" s="9" t="s">
        <v>2985</v>
      </c>
      <c r="Z576" s="9" t="s">
        <v>3947</v>
      </c>
    </row>
    <row r="577" spans="11:26" x14ac:dyDescent="0.25">
      <c r="K577" s="9" t="s">
        <v>2763</v>
      </c>
      <c r="Z577" s="9" t="s">
        <v>3889</v>
      </c>
    </row>
    <row r="578" spans="11:26" x14ac:dyDescent="0.25">
      <c r="K578" s="9" t="s">
        <v>2714</v>
      </c>
      <c r="Z578" s="9" t="s">
        <v>1043</v>
      </c>
    </row>
    <row r="579" spans="11:26" x14ac:dyDescent="0.25">
      <c r="K579" s="9" t="s">
        <v>556</v>
      </c>
      <c r="Z579" s="9" t="s">
        <v>3892</v>
      </c>
    </row>
    <row r="580" spans="11:26" x14ac:dyDescent="0.25">
      <c r="K580" s="9" t="s">
        <v>659</v>
      </c>
      <c r="Z580" s="9" t="s">
        <v>3809</v>
      </c>
    </row>
    <row r="581" spans="11:26" x14ac:dyDescent="0.25">
      <c r="K581" s="9" t="s">
        <v>3746</v>
      </c>
      <c r="Z581" s="9" t="s">
        <v>4043</v>
      </c>
    </row>
    <row r="582" spans="11:26" x14ac:dyDescent="0.25">
      <c r="K582" s="9" t="s">
        <v>3921</v>
      </c>
      <c r="Z582" s="9" t="s">
        <v>3880</v>
      </c>
    </row>
    <row r="583" spans="11:26" x14ac:dyDescent="0.25">
      <c r="K583" s="9" t="s">
        <v>850</v>
      </c>
      <c r="Z583" s="9" t="s">
        <v>3662</v>
      </c>
    </row>
    <row r="584" spans="11:26" x14ac:dyDescent="0.25">
      <c r="K584" s="9" t="s">
        <v>2198</v>
      </c>
      <c r="Z584" s="9" t="s">
        <v>1017</v>
      </c>
    </row>
    <row r="585" spans="11:26" x14ac:dyDescent="0.25">
      <c r="K585" s="9" t="s">
        <v>2520</v>
      </c>
      <c r="Z585" s="9" t="s">
        <v>3534</v>
      </c>
    </row>
    <row r="586" spans="11:26" x14ac:dyDescent="0.25">
      <c r="K586" s="9" t="s">
        <v>1925</v>
      </c>
      <c r="Z586" s="9" t="s">
        <v>3893</v>
      </c>
    </row>
    <row r="587" spans="11:26" x14ac:dyDescent="0.25">
      <c r="K587" s="9" t="s">
        <v>3532</v>
      </c>
      <c r="Z587" s="9" t="s">
        <v>3993</v>
      </c>
    </row>
    <row r="588" spans="11:26" x14ac:dyDescent="0.25">
      <c r="K588" s="9" t="s">
        <v>2114</v>
      </c>
      <c r="Z588" s="9" t="s">
        <v>3866</v>
      </c>
    </row>
    <row r="589" spans="11:26" x14ac:dyDescent="0.25">
      <c r="K589" s="9" t="s">
        <v>518</v>
      </c>
      <c r="Z589" s="9" t="s">
        <v>807</v>
      </c>
    </row>
    <row r="590" spans="11:26" x14ac:dyDescent="0.25">
      <c r="K590" s="9" t="s">
        <v>660</v>
      </c>
      <c r="Z590" s="9" t="s">
        <v>3685</v>
      </c>
    </row>
    <row r="591" spans="11:26" x14ac:dyDescent="0.25">
      <c r="K591" s="9" t="s">
        <v>661</v>
      </c>
      <c r="Z591" s="9" t="s">
        <v>3833</v>
      </c>
    </row>
    <row r="592" spans="11:26" x14ac:dyDescent="0.25">
      <c r="K592" s="9" t="s">
        <v>2288</v>
      </c>
      <c r="Z592" s="9" t="s">
        <v>449</v>
      </c>
    </row>
    <row r="593" spans="11:26" x14ac:dyDescent="0.25">
      <c r="K593" s="9" t="s">
        <v>5796</v>
      </c>
      <c r="Z593" s="9" t="s">
        <v>3723</v>
      </c>
    </row>
    <row r="594" spans="11:26" x14ac:dyDescent="0.25">
      <c r="K594" s="9" t="s">
        <v>2989</v>
      </c>
      <c r="Z594" s="9" t="s">
        <v>1781</v>
      </c>
    </row>
    <row r="595" spans="11:26" x14ac:dyDescent="0.25">
      <c r="K595" s="9" t="s">
        <v>662</v>
      </c>
      <c r="Z595" s="9" t="s">
        <v>3883</v>
      </c>
    </row>
    <row r="596" spans="11:26" x14ac:dyDescent="0.25">
      <c r="K596" s="9" t="s">
        <v>2646</v>
      </c>
      <c r="Z596" s="9" t="s">
        <v>3912</v>
      </c>
    </row>
    <row r="597" spans="11:26" x14ac:dyDescent="0.25">
      <c r="K597" s="9" t="s">
        <v>663</v>
      </c>
      <c r="Z597" s="9" t="s">
        <v>3583</v>
      </c>
    </row>
    <row r="598" spans="11:26" x14ac:dyDescent="0.25">
      <c r="K598" s="9" t="s">
        <v>866</v>
      </c>
      <c r="Z598" s="9" t="s">
        <v>3980</v>
      </c>
    </row>
    <row r="599" spans="11:26" x14ac:dyDescent="0.25">
      <c r="K599" s="9" t="s">
        <v>921</v>
      </c>
      <c r="Z599" s="9" t="s">
        <v>1767</v>
      </c>
    </row>
    <row r="600" spans="11:26" x14ac:dyDescent="0.25">
      <c r="K600" s="9" t="s">
        <v>3264</v>
      </c>
      <c r="Z600" s="9" t="s">
        <v>932</v>
      </c>
    </row>
    <row r="601" spans="11:26" x14ac:dyDescent="0.25">
      <c r="K601" s="9" t="s">
        <v>2949</v>
      </c>
      <c r="Z601" s="9" t="s">
        <v>3931</v>
      </c>
    </row>
    <row r="602" spans="11:26" x14ac:dyDescent="0.25">
      <c r="K602" s="9" t="s">
        <v>3718</v>
      </c>
      <c r="Z602" s="9" t="s">
        <v>3717</v>
      </c>
    </row>
    <row r="603" spans="11:26" x14ac:dyDescent="0.25">
      <c r="K603" s="9" t="s">
        <v>3371</v>
      </c>
      <c r="Z603" s="9" t="s">
        <v>1775</v>
      </c>
    </row>
    <row r="604" spans="11:26" x14ac:dyDescent="0.25">
      <c r="K604" s="9" t="s">
        <v>3432</v>
      </c>
      <c r="Z604" s="9" t="s">
        <v>944</v>
      </c>
    </row>
    <row r="605" spans="11:26" x14ac:dyDescent="0.25">
      <c r="K605" s="9" t="s">
        <v>2669</v>
      </c>
      <c r="Z605" s="9" t="s">
        <v>5797</v>
      </c>
    </row>
    <row r="606" spans="11:26" x14ac:dyDescent="0.25">
      <c r="K606" s="9" t="s">
        <v>989</v>
      </c>
      <c r="Z606" s="9" t="s">
        <v>4049</v>
      </c>
    </row>
    <row r="607" spans="11:26" x14ac:dyDescent="0.25">
      <c r="K607" s="9" t="s">
        <v>974</v>
      </c>
      <c r="Z607" s="9" t="s">
        <v>1778</v>
      </c>
    </row>
    <row r="608" spans="11:26" x14ac:dyDescent="0.25">
      <c r="K608" s="9" t="s">
        <v>2044</v>
      </c>
      <c r="Z608" s="9" t="s">
        <v>3527</v>
      </c>
    </row>
    <row r="609" spans="11:26" x14ac:dyDescent="0.25">
      <c r="K609" s="9" t="s">
        <v>2931</v>
      </c>
      <c r="Z609" s="9" t="s">
        <v>1076</v>
      </c>
    </row>
    <row r="610" spans="11:26" x14ac:dyDescent="0.25">
      <c r="K610" s="9" t="s">
        <v>529</v>
      </c>
      <c r="Z610" s="9" t="s">
        <v>2095</v>
      </c>
    </row>
    <row r="611" spans="11:26" x14ac:dyDescent="0.25">
      <c r="K611" s="9" t="s">
        <v>3024</v>
      </c>
      <c r="Z611" s="9" t="s">
        <v>3129</v>
      </c>
    </row>
    <row r="612" spans="11:26" x14ac:dyDescent="0.25">
      <c r="K612" s="9" t="s">
        <v>2629</v>
      </c>
      <c r="Z612" s="9" t="s">
        <v>1776</v>
      </c>
    </row>
    <row r="613" spans="11:26" x14ac:dyDescent="0.25">
      <c r="K613" s="9" t="s">
        <v>2619</v>
      </c>
      <c r="Z613" s="9" t="s">
        <v>1070</v>
      </c>
    </row>
    <row r="614" spans="11:26" x14ac:dyDescent="0.25">
      <c r="K614" s="9" t="s">
        <v>664</v>
      </c>
      <c r="Z614" s="9" t="s">
        <v>871</v>
      </c>
    </row>
    <row r="615" spans="11:26" x14ac:dyDescent="0.25">
      <c r="K615" s="9" t="s">
        <v>1975</v>
      </c>
      <c r="Z615" s="9" t="s">
        <v>1049</v>
      </c>
    </row>
    <row r="616" spans="11:26" x14ac:dyDescent="0.25">
      <c r="K616" s="9" t="s">
        <v>956</v>
      </c>
      <c r="Z616" s="9" t="s">
        <v>3737</v>
      </c>
    </row>
    <row r="617" spans="11:26" x14ac:dyDescent="0.25">
      <c r="K617" s="9" t="s">
        <v>984</v>
      </c>
      <c r="Z617" s="9" t="s">
        <v>3666</v>
      </c>
    </row>
    <row r="618" spans="11:26" x14ac:dyDescent="0.25">
      <c r="K618" s="9" t="s">
        <v>665</v>
      </c>
      <c r="Z618" s="9" t="s">
        <v>3996</v>
      </c>
    </row>
    <row r="619" spans="11:26" x14ac:dyDescent="0.25">
      <c r="K619" s="9" t="s">
        <v>2164</v>
      </c>
      <c r="Z619" s="9" t="s">
        <v>1072</v>
      </c>
    </row>
    <row r="620" spans="11:26" x14ac:dyDescent="0.25">
      <c r="K620" s="9" t="s">
        <v>2894</v>
      </c>
      <c r="Z620" s="9" t="s">
        <v>4031</v>
      </c>
    </row>
    <row r="621" spans="11:26" x14ac:dyDescent="0.25">
      <c r="K621" s="9" t="s">
        <v>666</v>
      </c>
      <c r="Z621" s="9" t="s">
        <v>4019</v>
      </c>
    </row>
    <row r="622" spans="11:26" x14ac:dyDescent="0.25">
      <c r="K622" s="9" t="s">
        <v>667</v>
      </c>
      <c r="Z622" s="9" t="s">
        <v>3987</v>
      </c>
    </row>
    <row r="623" spans="11:26" x14ac:dyDescent="0.25">
      <c r="K623" s="9" t="s">
        <v>2701</v>
      </c>
      <c r="Z623" s="9" t="s">
        <v>2092</v>
      </c>
    </row>
    <row r="624" spans="11:26" x14ac:dyDescent="0.25">
      <c r="K624" s="9" t="s">
        <v>668</v>
      </c>
      <c r="Z624" s="9" t="s">
        <v>3580</v>
      </c>
    </row>
    <row r="625" spans="11:26" x14ac:dyDescent="0.25">
      <c r="K625" s="9" t="s">
        <v>669</v>
      </c>
      <c r="Z625" s="9" t="s">
        <v>3377</v>
      </c>
    </row>
    <row r="626" spans="11:26" x14ac:dyDescent="0.25">
      <c r="K626" s="9" t="s">
        <v>2813</v>
      </c>
      <c r="Z626" s="9" t="s">
        <v>3802</v>
      </c>
    </row>
    <row r="627" spans="11:26" x14ac:dyDescent="0.25">
      <c r="K627" s="9" t="s">
        <v>2896</v>
      </c>
      <c r="Z627" s="9" t="s">
        <v>3706</v>
      </c>
    </row>
    <row r="628" spans="11:26" x14ac:dyDescent="0.25">
      <c r="K628" s="9" t="s">
        <v>5798</v>
      </c>
      <c r="Z628" s="9" t="s">
        <v>3963</v>
      </c>
    </row>
    <row r="629" spans="11:26" x14ac:dyDescent="0.25">
      <c r="K629" s="9" t="s">
        <v>2088</v>
      </c>
      <c r="Z629" s="9" t="s">
        <v>2942</v>
      </c>
    </row>
    <row r="630" spans="11:26" x14ac:dyDescent="0.25">
      <c r="K630" s="9" t="s">
        <v>2077</v>
      </c>
      <c r="Z630" s="9" t="s">
        <v>3563</v>
      </c>
    </row>
    <row r="631" spans="11:26" x14ac:dyDescent="0.25">
      <c r="K631" s="9" t="s">
        <v>3296</v>
      </c>
      <c r="Z631" s="9" t="s">
        <v>3758</v>
      </c>
    </row>
    <row r="632" spans="11:26" x14ac:dyDescent="0.25">
      <c r="K632" s="9" t="s">
        <v>901</v>
      </c>
      <c r="Z632" s="9" t="s">
        <v>3946</v>
      </c>
    </row>
    <row r="633" spans="11:26" x14ac:dyDescent="0.25">
      <c r="K633" s="9" t="s">
        <v>671</v>
      </c>
      <c r="Z633" s="9" t="s">
        <v>3888</v>
      </c>
    </row>
    <row r="634" spans="11:26" x14ac:dyDescent="0.25">
      <c r="K634" s="9" t="s">
        <v>1930</v>
      </c>
      <c r="Z634" s="9" t="s">
        <v>3819</v>
      </c>
    </row>
    <row r="635" spans="11:26" x14ac:dyDescent="0.25">
      <c r="K635" s="9" t="s">
        <v>672</v>
      </c>
      <c r="Z635" s="9" t="s">
        <v>1084</v>
      </c>
    </row>
    <row r="636" spans="11:26" x14ac:dyDescent="0.25">
      <c r="K636" s="9" t="s">
        <v>4975</v>
      </c>
      <c r="Z636" s="9" t="s">
        <v>1784</v>
      </c>
    </row>
    <row r="637" spans="11:26" x14ac:dyDescent="0.25">
      <c r="K637" s="9" t="s">
        <v>2632</v>
      </c>
      <c r="Z637" s="9" t="s">
        <v>948</v>
      </c>
    </row>
    <row r="638" spans="11:26" x14ac:dyDescent="0.25">
      <c r="K638" s="9" t="s">
        <v>2197</v>
      </c>
      <c r="Z638" s="9" t="s">
        <v>1054</v>
      </c>
    </row>
    <row r="639" spans="11:26" x14ac:dyDescent="0.25">
      <c r="K639" s="9" t="s">
        <v>2193</v>
      </c>
      <c r="Z639" s="9" t="s">
        <v>1612</v>
      </c>
    </row>
    <row r="640" spans="11:26" x14ac:dyDescent="0.25">
      <c r="K640" s="9" t="s">
        <v>567</v>
      </c>
      <c r="Z640" s="9" t="s">
        <v>1022</v>
      </c>
    </row>
    <row r="641" spans="11:26" x14ac:dyDescent="0.25">
      <c r="K641" s="9" t="s">
        <v>522</v>
      </c>
      <c r="Z641" s="9" t="s">
        <v>3922</v>
      </c>
    </row>
    <row r="642" spans="11:26" x14ac:dyDescent="0.25">
      <c r="K642" s="9" t="s">
        <v>1819</v>
      </c>
      <c r="Z642" s="9" t="s">
        <v>3923</v>
      </c>
    </row>
    <row r="643" spans="11:26" x14ac:dyDescent="0.25">
      <c r="K643" s="9" t="s">
        <v>505</v>
      </c>
      <c r="Z643" s="9" t="s">
        <v>2971</v>
      </c>
    </row>
    <row r="644" spans="11:26" x14ac:dyDescent="0.25">
      <c r="K644" s="9" t="s">
        <v>673</v>
      </c>
      <c r="Z644" s="9" t="s">
        <v>923</v>
      </c>
    </row>
    <row r="645" spans="11:26" x14ac:dyDescent="0.25">
      <c r="K645" s="9" t="s">
        <v>674</v>
      </c>
      <c r="Z645" s="9" t="s">
        <v>2978</v>
      </c>
    </row>
    <row r="646" spans="11:26" x14ac:dyDescent="0.25">
      <c r="K646" s="9" t="s">
        <v>3730</v>
      </c>
      <c r="Z646" s="9" t="s">
        <v>3958</v>
      </c>
    </row>
    <row r="647" spans="11:26" x14ac:dyDescent="0.25">
      <c r="K647" s="9" t="s">
        <v>500</v>
      </c>
    </row>
    <row r="648" spans="11:26" x14ac:dyDescent="0.25">
      <c r="K648" s="9" t="s">
        <v>2679</v>
      </c>
    </row>
    <row r="649" spans="11:26" x14ac:dyDescent="0.25">
      <c r="K649" s="9" t="s">
        <v>489</v>
      </c>
    </row>
    <row r="650" spans="11:26" x14ac:dyDescent="0.25">
      <c r="K650" s="9" t="s">
        <v>3722</v>
      </c>
    </row>
    <row r="651" spans="11:26" x14ac:dyDescent="0.25">
      <c r="K651" s="9" t="s">
        <v>3411</v>
      </c>
    </row>
    <row r="652" spans="11:26" x14ac:dyDescent="0.25">
      <c r="K652" s="9" t="s">
        <v>3462</v>
      </c>
    </row>
    <row r="653" spans="11:26" x14ac:dyDescent="0.25">
      <c r="K653" s="9" t="s">
        <v>675</v>
      </c>
    </row>
    <row r="654" spans="11:26" x14ac:dyDescent="0.25">
      <c r="K654" s="9" t="s">
        <v>3495</v>
      </c>
    </row>
    <row r="655" spans="11:26" x14ac:dyDescent="0.25">
      <c r="K655" s="9" t="s">
        <v>3697</v>
      </c>
    </row>
    <row r="656" spans="11:26" x14ac:dyDescent="0.25">
      <c r="K656" s="9" t="s">
        <v>2738</v>
      </c>
    </row>
    <row r="657" spans="11:11" x14ac:dyDescent="0.25">
      <c r="K657" s="9" t="s">
        <v>3282</v>
      </c>
    </row>
    <row r="658" spans="11:11" x14ac:dyDescent="0.25">
      <c r="K658" s="9" t="s">
        <v>2676</v>
      </c>
    </row>
    <row r="659" spans="11:11" x14ac:dyDescent="0.25">
      <c r="K659" s="9" t="s">
        <v>1872</v>
      </c>
    </row>
    <row r="660" spans="11:11" x14ac:dyDescent="0.25">
      <c r="K660" s="9" t="s">
        <v>2104</v>
      </c>
    </row>
    <row r="661" spans="11:11" x14ac:dyDescent="0.25">
      <c r="K661" s="9" t="s">
        <v>877</v>
      </c>
    </row>
    <row r="662" spans="11:11" x14ac:dyDescent="0.25">
      <c r="K662" s="9" t="s">
        <v>2967</v>
      </c>
    </row>
    <row r="663" spans="11:11" x14ac:dyDescent="0.25">
      <c r="K663" s="9" t="s">
        <v>2954</v>
      </c>
    </row>
    <row r="664" spans="11:11" x14ac:dyDescent="0.25">
      <c r="K664" s="9" t="s">
        <v>1841</v>
      </c>
    </row>
    <row r="665" spans="11:11" x14ac:dyDescent="0.25">
      <c r="K665" s="9" t="s">
        <v>678</v>
      </c>
    </row>
    <row r="666" spans="11:11" x14ac:dyDescent="0.25">
      <c r="K666" s="9" t="s">
        <v>2151</v>
      </c>
    </row>
    <row r="667" spans="11:11" x14ac:dyDescent="0.25">
      <c r="K667" s="9" t="s">
        <v>676</v>
      </c>
    </row>
    <row r="668" spans="11:11" x14ac:dyDescent="0.25">
      <c r="K668" s="9" t="s">
        <v>677</v>
      </c>
    </row>
    <row r="669" spans="11:11" x14ac:dyDescent="0.25">
      <c r="K669" s="9" t="s">
        <v>679</v>
      </c>
    </row>
    <row r="670" spans="11:11" x14ac:dyDescent="0.25">
      <c r="K670" s="9" t="s">
        <v>2668</v>
      </c>
    </row>
    <row r="671" spans="11:11" x14ac:dyDescent="0.25">
      <c r="K671" s="9" t="s">
        <v>504</v>
      </c>
    </row>
    <row r="672" spans="11:11" x14ac:dyDescent="0.25">
      <c r="K672" s="9" t="s">
        <v>3333</v>
      </c>
    </row>
    <row r="673" spans="11:11" x14ac:dyDescent="0.25">
      <c r="K673" s="9" t="s">
        <v>2838</v>
      </c>
    </row>
    <row r="674" spans="11:11" x14ac:dyDescent="0.25">
      <c r="K674" s="9" t="s">
        <v>1846</v>
      </c>
    </row>
    <row r="675" spans="11:11" x14ac:dyDescent="0.25">
      <c r="K675" s="9" t="s">
        <v>2760</v>
      </c>
    </row>
    <row r="676" spans="11:11" x14ac:dyDescent="0.25">
      <c r="K676" s="9" t="s">
        <v>1864</v>
      </c>
    </row>
    <row r="677" spans="11:11" x14ac:dyDescent="0.25">
      <c r="K677" s="9" t="s">
        <v>680</v>
      </c>
    </row>
    <row r="678" spans="11:11" x14ac:dyDescent="0.25">
      <c r="K678" s="9" t="s">
        <v>3421</v>
      </c>
    </row>
    <row r="679" spans="11:11" x14ac:dyDescent="0.25">
      <c r="K679" s="9" t="s">
        <v>1960</v>
      </c>
    </row>
    <row r="680" spans="11:11" x14ac:dyDescent="0.25">
      <c r="K680" s="9" t="s">
        <v>2085</v>
      </c>
    </row>
    <row r="681" spans="11:11" x14ac:dyDescent="0.25">
      <c r="K681" s="9" t="s">
        <v>1047</v>
      </c>
    </row>
    <row r="682" spans="11:11" x14ac:dyDescent="0.25">
      <c r="K682" s="9" t="s">
        <v>5799</v>
      </c>
    </row>
    <row r="683" spans="11:11" x14ac:dyDescent="0.25">
      <c r="K683" s="9" t="s">
        <v>682</v>
      </c>
    </row>
    <row r="684" spans="11:11" x14ac:dyDescent="0.25">
      <c r="K684" s="9" t="s">
        <v>3398</v>
      </c>
    </row>
    <row r="685" spans="11:11" x14ac:dyDescent="0.25">
      <c r="K685" s="9" t="s">
        <v>1947</v>
      </c>
    </row>
    <row r="686" spans="11:11" x14ac:dyDescent="0.25">
      <c r="K686" s="9" t="s">
        <v>949</v>
      </c>
    </row>
    <row r="687" spans="11:11" x14ac:dyDescent="0.25">
      <c r="K687" s="9" t="s">
        <v>2294</v>
      </c>
    </row>
    <row r="688" spans="11:11" x14ac:dyDescent="0.25">
      <c r="K688" s="9" t="s">
        <v>2752</v>
      </c>
    </row>
    <row r="689" spans="11:11" x14ac:dyDescent="0.25">
      <c r="K689" s="9" t="s">
        <v>683</v>
      </c>
    </row>
    <row r="690" spans="11:11" x14ac:dyDescent="0.25">
      <c r="K690" s="9" t="s">
        <v>3307</v>
      </c>
    </row>
    <row r="691" spans="11:11" x14ac:dyDescent="0.25">
      <c r="K691" s="9" t="s">
        <v>2818</v>
      </c>
    </row>
    <row r="692" spans="11:11" x14ac:dyDescent="0.25">
      <c r="K692" s="9" t="s">
        <v>684</v>
      </c>
    </row>
    <row r="693" spans="11:11" x14ac:dyDescent="0.25">
      <c r="K693" s="9" t="s">
        <v>685</v>
      </c>
    </row>
    <row r="694" spans="11:11" x14ac:dyDescent="0.25">
      <c r="K694" s="9" t="s">
        <v>2298</v>
      </c>
    </row>
    <row r="695" spans="11:11" x14ac:dyDescent="0.25">
      <c r="K695" s="9" t="s">
        <v>3471</v>
      </c>
    </row>
    <row r="696" spans="11:11" x14ac:dyDescent="0.25">
      <c r="K696" s="9" t="s">
        <v>2511</v>
      </c>
    </row>
    <row r="697" spans="11:11" x14ac:dyDescent="0.25">
      <c r="K697" s="9" t="s">
        <v>3533</v>
      </c>
    </row>
    <row r="698" spans="11:11" x14ac:dyDescent="0.25">
      <c r="K698" s="9" t="s">
        <v>686</v>
      </c>
    </row>
    <row r="699" spans="11:11" x14ac:dyDescent="0.25">
      <c r="K699" s="9" t="s">
        <v>2191</v>
      </c>
    </row>
    <row r="700" spans="11:11" x14ac:dyDescent="0.25">
      <c r="K700" s="9" t="s">
        <v>3425</v>
      </c>
    </row>
    <row r="701" spans="11:11" x14ac:dyDescent="0.25">
      <c r="K701" s="9" t="s">
        <v>546</v>
      </c>
    </row>
    <row r="702" spans="11:11" x14ac:dyDescent="0.25">
      <c r="K702" s="9" t="s">
        <v>687</v>
      </c>
    </row>
    <row r="703" spans="11:11" x14ac:dyDescent="0.25">
      <c r="K703" s="9" t="s">
        <v>1861</v>
      </c>
    </row>
    <row r="704" spans="11:11" x14ac:dyDescent="0.25">
      <c r="K704" s="9" t="s">
        <v>3894</v>
      </c>
    </row>
    <row r="705" spans="11:11" x14ac:dyDescent="0.25">
      <c r="K705" s="9" t="s">
        <v>1974</v>
      </c>
    </row>
    <row r="706" spans="11:11" x14ac:dyDescent="0.25">
      <c r="K706" s="9" t="s">
        <v>3694</v>
      </c>
    </row>
    <row r="707" spans="11:11" x14ac:dyDescent="0.25">
      <c r="K707" s="9" t="s">
        <v>3399</v>
      </c>
    </row>
    <row r="708" spans="11:11" x14ac:dyDescent="0.25">
      <c r="K708" s="9" t="s">
        <v>688</v>
      </c>
    </row>
    <row r="709" spans="11:11" x14ac:dyDescent="0.25">
      <c r="K709" s="9" t="s">
        <v>899</v>
      </c>
    </row>
    <row r="710" spans="11:11" x14ac:dyDescent="0.25">
      <c r="K710" s="9" t="s">
        <v>689</v>
      </c>
    </row>
    <row r="711" spans="11:11" x14ac:dyDescent="0.25">
      <c r="K711" s="9" t="s">
        <v>2014</v>
      </c>
    </row>
    <row r="712" spans="11:11" x14ac:dyDescent="0.25">
      <c r="K712" s="9" t="s">
        <v>1865</v>
      </c>
    </row>
    <row r="713" spans="11:11" x14ac:dyDescent="0.25">
      <c r="K713" s="9" t="s">
        <v>1908</v>
      </c>
    </row>
    <row r="714" spans="11:11" x14ac:dyDescent="0.25">
      <c r="K714" s="9" t="s">
        <v>2937</v>
      </c>
    </row>
    <row r="715" spans="11:11" x14ac:dyDescent="0.25">
      <c r="K715" s="9" t="s">
        <v>690</v>
      </c>
    </row>
    <row r="716" spans="11:11" x14ac:dyDescent="0.25">
      <c r="K716" s="9" t="s">
        <v>3569</v>
      </c>
    </row>
    <row r="717" spans="11:11" x14ac:dyDescent="0.25">
      <c r="K717" s="9" t="s">
        <v>3343</v>
      </c>
    </row>
    <row r="718" spans="11:11" x14ac:dyDescent="0.25">
      <c r="K718" s="9" t="s">
        <v>3419</v>
      </c>
    </row>
    <row r="719" spans="11:11" x14ac:dyDescent="0.25">
      <c r="K719" s="9" t="s">
        <v>2557</v>
      </c>
    </row>
    <row r="720" spans="11:11" x14ac:dyDescent="0.25">
      <c r="K720" s="9" t="s">
        <v>1910</v>
      </c>
    </row>
    <row r="721" spans="11:11" x14ac:dyDescent="0.25">
      <c r="K721" s="9" t="s">
        <v>2063</v>
      </c>
    </row>
    <row r="722" spans="11:11" x14ac:dyDescent="0.25">
      <c r="K722" s="9" t="s">
        <v>3806</v>
      </c>
    </row>
    <row r="723" spans="11:11" x14ac:dyDescent="0.25">
      <c r="K723" s="9" t="s">
        <v>3372</v>
      </c>
    </row>
    <row r="724" spans="11:11" x14ac:dyDescent="0.25">
      <c r="K724" s="9" t="s">
        <v>691</v>
      </c>
    </row>
    <row r="725" spans="11:11" x14ac:dyDescent="0.25">
      <c r="K725" s="9" t="s">
        <v>1002</v>
      </c>
    </row>
    <row r="726" spans="11:11" x14ac:dyDescent="0.25">
      <c r="K726" s="9" t="s">
        <v>2102</v>
      </c>
    </row>
    <row r="727" spans="11:11" x14ac:dyDescent="0.25">
      <c r="K727" s="9" t="s">
        <v>3543</v>
      </c>
    </row>
    <row r="728" spans="11:11" x14ac:dyDescent="0.25">
      <c r="K728" s="9" t="s">
        <v>2958</v>
      </c>
    </row>
    <row r="729" spans="11:11" x14ac:dyDescent="0.25">
      <c r="K729" s="9" t="s">
        <v>1007</v>
      </c>
    </row>
    <row r="730" spans="11:11" x14ac:dyDescent="0.25">
      <c r="K730" s="9" t="s">
        <v>2973</v>
      </c>
    </row>
    <row r="731" spans="11:11" x14ac:dyDescent="0.25">
      <c r="K731" s="9" t="s">
        <v>2965</v>
      </c>
    </row>
    <row r="732" spans="11:11" x14ac:dyDescent="0.25">
      <c r="K732" s="9" t="s">
        <v>692</v>
      </c>
    </row>
    <row r="733" spans="11:11" x14ac:dyDescent="0.25">
      <c r="K733" s="9" t="s">
        <v>879</v>
      </c>
    </row>
    <row r="734" spans="11:11" x14ac:dyDescent="0.25">
      <c r="K734" s="9" t="s">
        <v>1881</v>
      </c>
    </row>
    <row r="735" spans="11:11" x14ac:dyDescent="0.25">
      <c r="K735" s="9" t="s">
        <v>2518</v>
      </c>
    </row>
    <row r="736" spans="11:11" x14ac:dyDescent="0.25">
      <c r="K736" s="9" t="s">
        <v>3036</v>
      </c>
    </row>
    <row r="737" spans="11:11" x14ac:dyDescent="0.25">
      <c r="K737" s="9" t="s">
        <v>2001</v>
      </c>
    </row>
    <row r="738" spans="11:11" x14ac:dyDescent="0.25">
      <c r="K738" s="9" t="s">
        <v>3748</v>
      </c>
    </row>
    <row r="739" spans="11:11" x14ac:dyDescent="0.25">
      <c r="K739" s="9" t="s">
        <v>3508</v>
      </c>
    </row>
    <row r="740" spans="11:11" x14ac:dyDescent="0.25">
      <c r="K740" s="9" t="s">
        <v>3480</v>
      </c>
    </row>
    <row r="741" spans="11:11" x14ac:dyDescent="0.25">
      <c r="K741" s="9" t="s">
        <v>3549</v>
      </c>
    </row>
    <row r="742" spans="11:11" x14ac:dyDescent="0.25">
      <c r="K742" s="9" t="s">
        <v>2178</v>
      </c>
    </row>
    <row r="743" spans="11:11" x14ac:dyDescent="0.25">
      <c r="K743" s="9" t="s">
        <v>2031</v>
      </c>
    </row>
    <row r="744" spans="11:11" x14ac:dyDescent="0.25">
      <c r="K744" s="9" t="s">
        <v>3862</v>
      </c>
    </row>
    <row r="745" spans="11:11" x14ac:dyDescent="0.25">
      <c r="K745" s="9" t="s">
        <v>947</v>
      </c>
    </row>
    <row r="746" spans="11:11" x14ac:dyDescent="0.25">
      <c r="K746" s="9" t="s">
        <v>1884</v>
      </c>
    </row>
    <row r="747" spans="11:11" x14ac:dyDescent="0.25">
      <c r="K747" s="9" t="s">
        <v>1919</v>
      </c>
    </row>
    <row r="748" spans="11:11" x14ac:dyDescent="0.25">
      <c r="K748" s="9" t="s">
        <v>3463</v>
      </c>
    </row>
    <row r="749" spans="11:11" x14ac:dyDescent="0.25">
      <c r="K749" s="9" t="s">
        <v>3423</v>
      </c>
    </row>
    <row r="750" spans="11:11" x14ac:dyDescent="0.25">
      <c r="K750" s="9" t="s">
        <v>1016</v>
      </c>
    </row>
    <row r="751" spans="11:11" x14ac:dyDescent="0.25">
      <c r="K751" s="9" t="s">
        <v>3329</v>
      </c>
    </row>
    <row r="752" spans="11:11" x14ac:dyDescent="0.25">
      <c r="K752" s="9" t="s">
        <v>693</v>
      </c>
    </row>
    <row r="753" spans="11:11" x14ac:dyDescent="0.25">
      <c r="K753" s="9" t="s">
        <v>3477</v>
      </c>
    </row>
    <row r="754" spans="11:11" x14ac:dyDescent="0.25">
      <c r="K754" s="9" t="s">
        <v>2040</v>
      </c>
    </row>
    <row r="755" spans="11:11" x14ac:dyDescent="0.25">
      <c r="K755" s="9" t="s">
        <v>3997</v>
      </c>
    </row>
    <row r="756" spans="11:11" x14ac:dyDescent="0.25">
      <c r="K756" s="9" t="s">
        <v>694</v>
      </c>
    </row>
    <row r="757" spans="11:11" x14ac:dyDescent="0.25">
      <c r="K757" s="9" t="s">
        <v>968</v>
      </c>
    </row>
    <row r="758" spans="11:11" x14ac:dyDescent="0.25">
      <c r="K758" s="9" t="s">
        <v>3308</v>
      </c>
    </row>
    <row r="759" spans="11:11" x14ac:dyDescent="0.25">
      <c r="K759" s="9" t="s">
        <v>2015</v>
      </c>
    </row>
    <row r="760" spans="11:11" x14ac:dyDescent="0.25">
      <c r="K760" s="9" t="s">
        <v>2620</v>
      </c>
    </row>
    <row r="761" spans="11:11" x14ac:dyDescent="0.25">
      <c r="K761" s="9" t="s">
        <v>3852</v>
      </c>
    </row>
    <row r="762" spans="11:11" x14ac:dyDescent="0.25">
      <c r="K762" s="9" t="s">
        <v>2820</v>
      </c>
    </row>
    <row r="763" spans="11:11" x14ac:dyDescent="0.25">
      <c r="K763" s="9" t="s">
        <v>3467</v>
      </c>
    </row>
    <row r="764" spans="11:11" x14ac:dyDescent="0.25">
      <c r="K764" s="9" t="s">
        <v>965</v>
      </c>
    </row>
    <row r="765" spans="11:11" x14ac:dyDescent="0.25">
      <c r="K765" s="9" t="s">
        <v>5800</v>
      </c>
    </row>
    <row r="766" spans="11:11" x14ac:dyDescent="0.25">
      <c r="K766" s="9" t="s">
        <v>695</v>
      </c>
    </row>
    <row r="767" spans="11:11" x14ac:dyDescent="0.25">
      <c r="K767" s="9" t="s">
        <v>2874</v>
      </c>
    </row>
    <row r="768" spans="11:11" x14ac:dyDescent="0.25">
      <c r="K768" s="9" t="s">
        <v>696</v>
      </c>
    </row>
    <row r="769" spans="11:11" x14ac:dyDescent="0.25">
      <c r="K769" s="9" t="s">
        <v>697</v>
      </c>
    </row>
    <row r="770" spans="11:11" x14ac:dyDescent="0.25">
      <c r="K770" s="9" t="s">
        <v>3319</v>
      </c>
    </row>
    <row r="771" spans="11:11" x14ac:dyDescent="0.25">
      <c r="K771" s="9" t="s">
        <v>534</v>
      </c>
    </row>
    <row r="772" spans="11:11" x14ac:dyDescent="0.25">
      <c r="K772" s="9" t="s">
        <v>483</v>
      </c>
    </row>
    <row r="773" spans="11:11" x14ac:dyDescent="0.25">
      <c r="K773" s="9" t="s">
        <v>882</v>
      </c>
    </row>
    <row r="774" spans="11:11" x14ac:dyDescent="0.25">
      <c r="K774" s="9" t="s">
        <v>3426</v>
      </c>
    </row>
    <row r="775" spans="11:11" x14ac:dyDescent="0.25">
      <c r="K775" s="9" t="s">
        <v>698</v>
      </c>
    </row>
    <row r="776" spans="11:11" x14ac:dyDescent="0.25">
      <c r="K776" s="9" t="s">
        <v>966</v>
      </c>
    </row>
    <row r="777" spans="11:11" x14ac:dyDescent="0.25">
      <c r="K777" s="9" t="s">
        <v>699</v>
      </c>
    </row>
    <row r="778" spans="11:11" x14ac:dyDescent="0.25">
      <c r="K778" s="9" t="s">
        <v>700</v>
      </c>
    </row>
    <row r="779" spans="11:11" x14ac:dyDescent="0.25">
      <c r="K779" s="9" t="s">
        <v>3456</v>
      </c>
    </row>
    <row r="780" spans="11:11" x14ac:dyDescent="0.25">
      <c r="K780" s="9" t="s">
        <v>701</v>
      </c>
    </row>
    <row r="781" spans="11:11" x14ac:dyDescent="0.25">
      <c r="K781" s="9" t="s">
        <v>3350</v>
      </c>
    </row>
    <row r="782" spans="11:11" x14ac:dyDescent="0.25">
      <c r="K782" s="9" t="s">
        <v>702</v>
      </c>
    </row>
    <row r="783" spans="11:11" x14ac:dyDescent="0.25">
      <c r="K783" s="9" t="s">
        <v>703</v>
      </c>
    </row>
    <row r="784" spans="11:11" x14ac:dyDescent="0.25">
      <c r="K784" s="9" t="s">
        <v>2363</v>
      </c>
    </row>
    <row r="785" spans="11:11" x14ac:dyDescent="0.25">
      <c r="K785" s="9" t="s">
        <v>2347</v>
      </c>
    </row>
    <row r="786" spans="11:11" x14ac:dyDescent="0.25">
      <c r="K786" s="9" t="s">
        <v>2013</v>
      </c>
    </row>
    <row r="787" spans="11:11" x14ac:dyDescent="0.25">
      <c r="K787" s="9" t="s">
        <v>967</v>
      </c>
    </row>
    <row r="788" spans="11:11" x14ac:dyDescent="0.25">
      <c r="K788" s="9" t="s">
        <v>2641</v>
      </c>
    </row>
    <row r="789" spans="11:11" x14ac:dyDescent="0.25">
      <c r="K789" s="9" t="s">
        <v>704</v>
      </c>
    </row>
    <row r="790" spans="11:11" x14ac:dyDescent="0.25">
      <c r="K790" s="9" t="s">
        <v>705</v>
      </c>
    </row>
    <row r="791" spans="11:11" x14ac:dyDescent="0.25">
      <c r="K791" s="9" t="s">
        <v>2839</v>
      </c>
    </row>
    <row r="792" spans="11:11" x14ac:dyDescent="0.25">
      <c r="K792" s="9" t="s">
        <v>2028</v>
      </c>
    </row>
    <row r="793" spans="11:11" x14ac:dyDescent="0.25">
      <c r="K793" s="9" t="s">
        <v>3521</v>
      </c>
    </row>
    <row r="794" spans="11:11" x14ac:dyDescent="0.25">
      <c r="K794" s="9" t="s">
        <v>978</v>
      </c>
    </row>
    <row r="795" spans="11:11" x14ac:dyDescent="0.25">
      <c r="K795" s="9" t="s">
        <v>544</v>
      </c>
    </row>
    <row r="796" spans="11:11" x14ac:dyDescent="0.25">
      <c r="K796" s="9" t="s">
        <v>3469</v>
      </c>
    </row>
    <row r="797" spans="11:11" x14ac:dyDescent="0.25">
      <c r="K797" s="9" t="s">
        <v>2529</v>
      </c>
    </row>
    <row r="798" spans="11:11" x14ac:dyDescent="0.25">
      <c r="K798" s="9" t="s">
        <v>1012</v>
      </c>
    </row>
    <row r="799" spans="11:11" x14ac:dyDescent="0.25">
      <c r="K799" s="9" t="s">
        <v>3720</v>
      </c>
    </row>
    <row r="800" spans="11:11" x14ac:dyDescent="0.25">
      <c r="K800" s="9" t="s">
        <v>2848</v>
      </c>
    </row>
    <row r="801" spans="11:11" x14ac:dyDescent="0.25">
      <c r="K801" s="9" t="s">
        <v>2614</v>
      </c>
    </row>
    <row r="802" spans="11:11" x14ac:dyDescent="0.25">
      <c r="K802" s="9" t="s">
        <v>2331</v>
      </c>
    </row>
    <row r="803" spans="11:11" x14ac:dyDescent="0.25">
      <c r="K803" s="9" t="s">
        <v>1767</v>
      </c>
    </row>
    <row r="804" spans="11:11" x14ac:dyDescent="0.25">
      <c r="K804" s="9" t="s">
        <v>2221</v>
      </c>
    </row>
    <row r="805" spans="11:11" x14ac:dyDescent="0.25">
      <c r="K805" s="9" t="s">
        <v>2540</v>
      </c>
    </row>
    <row r="806" spans="11:11" x14ac:dyDescent="0.25">
      <c r="K806" s="9" t="s">
        <v>706</v>
      </c>
    </row>
    <row r="807" spans="11:11" x14ac:dyDescent="0.25">
      <c r="K807" s="9" t="s">
        <v>2035</v>
      </c>
    </row>
    <row r="808" spans="11:11" x14ac:dyDescent="0.25">
      <c r="K808" s="9" t="s">
        <v>1807</v>
      </c>
    </row>
    <row r="809" spans="11:11" x14ac:dyDescent="0.25">
      <c r="K809" s="9" t="s">
        <v>849</v>
      </c>
    </row>
    <row r="810" spans="11:11" x14ac:dyDescent="0.25">
      <c r="K810" s="9" t="s">
        <v>3382</v>
      </c>
    </row>
    <row r="811" spans="11:11" x14ac:dyDescent="0.25">
      <c r="K811" s="9" t="s">
        <v>3728</v>
      </c>
    </row>
    <row r="812" spans="11:11" x14ac:dyDescent="0.25">
      <c r="K812" s="9" t="s">
        <v>905</v>
      </c>
    </row>
    <row r="813" spans="11:11" x14ac:dyDescent="0.25">
      <c r="K813" s="9" t="s">
        <v>1018</v>
      </c>
    </row>
    <row r="814" spans="11:11" x14ac:dyDescent="0.25">
      <c r="K814" s="9" t="s">
        <v>3365</v>
      </c>
    </row>
    <row r="815" spans="11:11" x14ac:dyDescent="0.25">
      <c r="K815" s="9" t="s">
        <v>986</v>
      </c>
    </row>
    <row r="816" spans="11:11" x14ac:dyDescent="0.25">
      <c r="K816" s="9" t="s">
        <v>1989</v>
      </c>
    </row>
    <row r="817" spans="11:11" x14ac:dyDescent="0.25">
      <c r="K817" s="9" t="s">
        <v>707</v>
      </c>
    </row>
    <row r="818" spans="11:11" x14ac:dyDescent="0.25">
      <c r="K818" s="9" t="s">
        <v>1935</v>
      </c>
    </row>
    <row r="819" spans="11:11" x14ac:dyDescent="0.25">
      <c r="K819" s="9" t="s">
        <v>2907</v>
      </c>
    </row>
    <row r="820" spans="11:11" x14ac:dyDescent="0.25">
      <c r="K820" s="9" t="s">
        <v>2092</v>
      </c>
    </row>
    <row r="821" spans="11:11" x14ac:dyDescent="0.25">
      <c r="K821" s="9" t="s">
        <v>996</v>
      </c>
    </row>
    <row r="822" spans="11:11" x14ac:dyDescent="0.25">
      <c r="K822" s="9" t="s">
        <v>3726</v>
      </c>
    </row>
    <row r="823" spans="11:11" x14ac:dyDescent="0.25">
      <c r="K823" s="9" t="s">
        <v>3042</v>
      </c>
    </row>
    <row r="824" spans="11:11" x14ac:dyDescent="0.25">
      <c r="K824" s="9" t="s">
        <v>2056</v>
      </c>
    </row>
    <row r="825" spans="11:11" x14ac:dyDescent="0.25">
      <c r="K825" s="9" t="s">
        <v>2913</v>
      </c>
    </row>
    <row r="826" spans="11:11" x14ac:dyDescent="0.25">
      <c r="K826" s="9" t="s">
        <v>2339</v>
      </c>
    </row>
    <row r="827" spans="11:11" x14ac:dyDescent="0.25">
      <c r="K827" s="9" t="s">
        <v>1879</v>
      </c>
    </row>
    <row r="828" spans="11:11" x14ac:dyDescent="0.25">
      <c r="K828" s="9" t="s">
        <v>2964</v>
      </c>
    </row>
    <row r="829" spans="11:11" x14ac:dyDescent="0.25">
      <c r="K829" s="9" t="s">
        <v>2962</v>
      </c>
    </row>
    <row r="830" spans="11:11" x14ac:dyDescent="0.25">
      <c r="K830" s="9" t="s">
        <v>2885</v>
      </c>
    </row>
    <row r="831" spans="11:11" x14ac:dyDescent="0.25">
      <c r="K831" s="9" t="s">
        <v>524</v>
      </c>
    </row>
    <row r="832" spans="11:11" x14ac:dyDescent="0.25">
      <c r="K832" s="9" t="s">
        <v>2887</v>
      </c>
    </row>
    <row r="833" spans="11:11" x14ac:dyDescent="0.25">
      <c r="K833" s="9" t="s">
        <v>2023</v>
      </c>
    </row>
    <row r="834" spans="11:11" x14ac:dyDescent="0.25">
      <c r="K834" s="9" t="s">
        <v>765</v>
      </c>
    </row>
    <row r="835" spans="11:11" x14ac:dyDescent="0.25">
      <c r="K835" s="9" t="s">
        <v>2062</v>
      </c>
    </row>
    <row r="836" spans="11:11" x14ac:dyDescent="0.25">
      <c r="K836" s="9" t="s">
        <v>708</v>
      </c>
    </row>
    <row r="837" spans="11:11" x14ac:dyDescent="0.25">
      <c r="K837" s="9" t="s">
        <v>2107</v>
      </c>
    </row>
    <row r="838" spans="11:11" x14ac:dyDescent="0.25">
      <c r="K838" s="9" t="s">
        <v>3351</v>
      </c>
    </row>
    <row r="839" spans="11:11" x14ac:dyDescent="0.25">
      <c r="K839" s="9" t="s">
        <v>2999</v>
      </c>
    </row>
    <row r="840" spans="11:11" x14ac:dyDescent="0.25">
      <c r="K840" s="9" t="s">
        <v>2126</v>
      </c>
    </row>
    <row r="841" spans="11:11" x14ac:dyDescent="0.25">
      <c r="K841" s="9" t="s">
        <v>5530</v>
      </c>
    </row>
    <row r="842" spans="11:11" x14ac:dyDescent="0.25">
      <c r="K842" s="9" t="s">
        <v>2639</v>
      </c>
    </row>
    <row r="843" spans="11:11" x14ac:dyDescent="0.25">
      <c r="K843" s="9" t="s">
        <v>2856</v>
      </c>
    </row>
    <row r="844" spans="11:11" x14ac:dyDescent="0.25">
      <c r="K844" s="9" t="s">
        <v>2127</v>
      </c>
    </row>
    <row r="845" spans="11:11" x14ac:dyDescent="0.25">
      <c r="K845" s="9" t="s">
        <v>2171</v>
      </c>
    </row>
    <row r="846" spans="11:11" x14ac:dyDescent="0.25">
      <c r="K846" s="9" t="s">
        <v>709</v>
      </c>
    </row>
    <row r="847" spans="11:11" x14ac:dyDescent="0.25">
      <c r="K847" s="9" t="s">
        <v>3297</v>
      </c>
    </row>
    <row r="848" spans="11:11" x14ac:dyDescent="0.25">
      <c r="K848" s="9" t="s">
        <v>2678</v>
      </c>
    </row>
    <row r="849" spans="11:11" x14ac:dyDescent="0.25">
      <c r="K849" s="9" t="s">
        <v>961</v>
      </c>
    </row>
    <row r="850" spans="11:11" x14ac:dyDescent="0.25">
      <c r="K850" s="9" t="s">
        <v>3408</v>
      </c>
    </row>
    <row r="851" spans="11:11" x14ac:dyDescent="0.25">
      <c r="K851" s="9" t="s">
        <v>3352</v>
      </c>
    </row>
    <row r="852" spans="11:11" x14ac:dyDescent="0.25">
      <c r="K852" s="9" t="s">
        <v>3446</v>
      </c>
    </row>
    <row r="853" spans="11:11" x14ac:dyDescent="0.25">
      <c r="K853" s="9" t="s">
        <v>3625</v>
      </c>
    </row>
    <row r="854" spans="11:11" x14ac:dyDescent="0.25">
      <c r="K854" s="9" t="s">
        <v>874</v>
      </c>
    </row>
  </sheetData>
  <sheetProtection algorithmName="SHA-512" hashValue="itqfPpwEAoRgNwu86+S3N7dW6yDfw+ybEPdh7oWzretHkTPac47lag08/sLj7D3f1Zz+9vDFUYyHK+K+e8TbEg==" saltValue="zqgBWhL+EBoOUlROucI3TA==" spinCount="100000" sheet="1" objects="1" scenarios="1"/>
  <pageMargins left="0.511811024" right="0.511811024" top="0.78740157499999996" bottom="0.78740157499999996" header="0.31496062000000002" footer="0.31496062000000002"/>
  <pageSetup orientation="portrait" horizontalDpi="0" verticalDpi="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2">
    <tabColor rgb="FF00B050"/>
  </sheetPr>
  <dimension ref="A1:I42"/>
  <sheetViews>
    <sheetView showGridLines="0" zoomScaleNormal="100" workbookViewId="0">
      <pane ySplit="5" topLeftCell="A21" activePane="bottomLeft" state="frozen"/>
      <selection pane="bottomLeft" activeCell="C35" sqref="C35"/>
    </sheetView>
  </sheetViews>
  <sheetFormatPr defaultColWidth="9.140625" defaultRowHeight="15" x14ac:dyDescent="0.25"/>
  <cols>
    <col min="1" max="1" width="5.7109375" style="11" customWidth="1"/>
    <col min="2" max="2" width="39.7109375" style="11" bestFit="1" customWidth="1"/>
    <col min="3" max="3" width="59.7109375" style="11" customWidth="1"/>
    <col min="4" max="6" width="15.7109375" style="11" customWidth="1"/>
    <col min="7" max="8" width="20.5703125" style="11" customWidth="1"/>
    <col min="9" max="9" width="5.140625" style="11" customWidth="1"/>
    <col min="10" max="10" width="24" style="11" bestFit="1" customWidth="1"/>
    <col min="11" max="12" width="15.7109375" style="11" customWidth="1"/>
    <col min="13" max="13" width="13" style="11" customWidth="1"/>
    <col min="14" max="14" width="5.7109375" style="11" customWidth="1"/>
    <col min="15" max="16384" width="9.140625" style="11"/>
  </cols>
  <sheetData>
    <row r="1" spans="1:9" ht="20.100000000000001" customHeight="1" x14ac:dyDescent="0.25">
      <c r="A1"/>
      <c r="B1"/>
      <c r="C1"/>
      <c r="D1"/>
      <c r="E1" s="29"/>
      <c r="F1" s="30"/>
      <c r="G1" s="30"/>
      <c r="H1" s="30"/>
      <c r="I1"/>
    </row>
    <row r="2" spans="1:9" ht="20.100000000000001" customHeight="1" x14ac:dyDescent="0.25">
      <c r="A2"/>
      <c r="B2"/>
      <c r="C2"/>
      <c r="D2" s="29" t="s">
        <v>20</v>
      </c>
      <c r="E2" s="76" t="s">
        <v>8</v>
      </c>
      <c r="F2" s="77" t="s">
        <v>10</v>
      </c>
      <c r="G2" s="78" t="s">
        <v>12</v>
      </c>
      <c r="H2" s="79" t="s">
        <v>5985</v>
      </c>
      <c r="I2"/>
    </row>
    <row r="3" spans="1:9" s="12" customFormat="1" ht="20.100000000000001" customHeight="1" x14ac:dyDescent="0.25">
      <c r="A3" s="10"/>
      <c r="B3" s="10"/>
      <c r="C3" s="10"/>
      <c r="D3" s="10"/>
      <c r="E3" s="10"/>
      <c r="F3" s="10"/>
      <c r="G3" s="10"/>
      <c r="H3" s="10"/>
      <c r="I3" s="10"/>
    </row>
    <row r="4" spans="1:9" x14ac:dyDescent="0.25">
      <c r="A4"/>
      <c r="B4"/>
      <c r="C4"/>
      <c r="D4"/>
      <c r="E4"/>
      <c r="F4"/>
      <c r="G4"/>
      <c r="H4"/>
      <c r="I4"/>
    </row>
    <row r="5" spans="1:9" ht="18.75" x14ac:dyDescent="0.3">
      <c r="A5" s="22"/>
      <c r="B5" s="23" t="s">
        <v>10583</v>
      </c>
      <c r="C5" s="22"/>
      <c r="D5" s="22"/>
      <c r="E5" s="22"/>
      <c r="F5" s="22"/>
      <c r="G5" s="22"/>
      <c r="H5" s="22"/>
      <c r="I5" s="22"/>
    </row>
    <row r="6" spans="1:9" x14ac:dyDescent="0.25">
      <c r="A6"/>
      <c r="B6"/>
      <c r="C6"/>
      <c r="D6"/>
      <c r="E6"/>
      <c r="F6"/>
      <c r="G6"/>
      <c r="H6"/>
      <c r="I6"/>
    </row>
    <row r="7" spans="1:9" ht="107.65" customHeight="1" x14ac:dyDescent="0.25">
      <c r="A7"/>
      <c r="B7" s="537" t="s">
        <v>10683</v>
      </c>
      <c r="C7" s="536"/>
      <c r="D7"/>
      <c r="E7"/>
      <c r="F7"/>
      <c r="G7"/>
      <c r="H7"/>
      <c r="I7"/>
    </row>
    <row r="8" spans="1:9" x14ac:dyDescent="0.25">
      <c r="A8"/>
      <c r="B8"/>
      <c r="C8"/>
      <c r="D8"/>
      <c r="E8"/>
      <c r="F8"/>
      <c r="G8"/>
      <c r="H8"/>
      <c r="I8"/>
    </row>
    <row r="9" spans="1:9" ht="18.75" x14ac:dyDescent="0.3">
      <c r="A9" s="22"/>
      <c r="B9" s="23" t="s">
        <v>21</v>
      </c>
      <c r="C9" s="22"/>
      <c r="D9" s="22"/>
      <c r="E9" s="22"/>
      <c r="F9" s="22"/>
      <c r="G9" s="22"/>
      <c r="H9" s="22"/>
      <c r="I9" s="22"/>
    </row>
    <row r="10" spans="1:9" ht="15" customHeight="1" x14ac:dyDescent="0.25">
      <c r="A10"/>
      <c r="B10"/>
      <c r="C10"/>
      <c r="D10"/>
      <c r="E10"/>
      <c r="F10"/>
      <c r="G10"/>
      <c r="H10"/>
      <c r="I10"/>
    </row>
    <row r="11" spans="1:9" ht="30" customHeight="1" x14ac:dyDescent="0.25">
      <c r="A11"/>
      <c r="B11" s="519" t="s">
        <v>22</v>
      </c>
      <c r="C11" s="443" t="s">
        <v>10704</v>
      </c>
      <c r="D11"/>
      <c r="E11"/>
      <c r="F11"/>
      <c r="G11"/>
      <c r="H11"/>
      <c r="I11"/>
    </row>
    <row r="12" spans="1:9" ht="30" customHeight="1" x14ac:dyDescent="0.25">
      <c r="A12"/>
      <c r="B12" s="519" t="s">
        <v>23</v>
      </c>
      <c r="C12" s="443" t="s">
        <v>10705</v>
      </c>
      <c r="D12"/>
      <c r="E12"/>
      <c r="F12"/>
      <c r="G12"/>
      <c r="H12"/>
      <c r="I12"/>
    </row>
    <row r="13" spans="1:9" s="31" customFormat="1" ht="30" customHeight="1" x14ac:dyDescent="0.25">
      <c r="A13" s="5"/>
      <c r="B13" s="519" t="s">
        <v>10685</v>
      </c>
      <c r="C13" s="139" t="s">
        <v>10706</v>
      </c>
      <c r="D13" s="5"/>
      <c r="E13" s="5"/>
      <c r="F13" s="5"/>
      <c r="G13" s="5"/>
      <c r="H13" s="5"/>
      <c r="I13" s="5"/>
    </row>
    <row r="14" spans="1:9" s="31" customFormat="1" ht="30" customHeight="1" x14ac:dyDescent="0.25">
      <c r="A14" s="5"/>
      <c r="B14" s="519" t="s">
        <v>24</v>
      </c>
      <c r="C14" s="132" t="s">
        <v>25</v>
      </c>
      <c r="D14" s="5"/>
      <c r="E14" s="5"/>
      <c r="F14" s="5"/>
      <c r="G14" s="5"/>
      <c r="H14" s="5"/>
      <c r="I14" s="5"/>
    </row>
    <row r="15" spans="1:9" ht="30" customHeight="1" x14ac:dyDescent="0.25">
      <c r="A15"/>
      <c r="B15" s="519" t="s">
        <v>26</v>
      </c>
      <c r="C15" s="132" t="s">
        <v>348</v>
      </c>
      <c r="D15"/>
      <c r="E15"/>
      <c r="F15"/>
      <c r="G15"/>
      <c r="H15"/>
      <c r="I15"/>
    </row>
    <row r="16" spans="1:9" ht="30" customHeight="1" x14ac:dyDescent="0.25">
      <c r="A16"/>
      <c r="B16" s="519" t="s">
        <v>28</v>
      </c>
      <c r="C16" s="132" t="s">
        <v>5291</v>
      </c>
      <c r="D16"/>
      <c r="E16"/>
      <c r="F16"/>
      <c r="G16"/>
      <c r="H16"/>
      <c r="I16"/>
    </row>
    <row r="17" spans="1:9" ht="30" customHeight="1" x14ac:dyDescent="0.25">
      <c r="A17"/>
      <c r="B17" s="519" t="s">
        <v>30</v>
      </c>
      <c r="C17" s="132" t="s">
        <v>31</v>
      </c>
      <c r="D17"/>
      <c r="E17"/>
      <c r="F17"/>
      <c r="G17"/>
      <c r="H17"/>
      <c r="I17"/>
    </row>
    <row r="18" spans="1:9" ht="30" customHeight="1" x14ac:dyDescent="0.25">
      <c r="A18"/>
      <c r="B18" s="519" t="s">
        <v>32</v>
      </c>
      <c r="C18" s="48">
        <f>SUMIFS(Aux_Lista!AE:AE,Aux_Lista!AC:AC,Início!C15,Aux_Lista!AD:AD,Início!C16)</f>
        <v>7</v>
      </c>
      <c r="D18"/>
      <c r="E18"/>
      <c r="F18"/>
      <c r="G18"/>
      <c r="H18"/>
      <c r="I18"/>
    </row>
    <row r="19" spans="1:9" ht="30" customHeight="1" x14ac:dyDescent="0.25">
      <c r="A19"/>
      <c r="B19" s="519" t="s">
        <v>33</v>
      </c>
      <c r="C19" s="521">
        <v>1528.8</v>
      </c>
      <c r="D19"/>
      <c r="E19"/>
      <c r="F19"/>
      <c r="G19"/>
      <c r="H19"/>
      <c r="I19"/>
    </row>
    <row r="20" spans="1:9" ht="30" customHeight="1" x14ac:dyDescent="0.25">
      <c r="A20"/>
      <c r="B20" s="519" t="s">
        <v>34</v>
      </c>
      <c r="C20" s="49" t="s">
        <v>35</v>
      </c>
      <c r="D20"/>
      <c r="E20"/>
      <c r="F20"/>
      <c r="G20"/>
      <c r="H20"/>
      <c r="I20"/>
    </row>
    <row r="21" spans="1:9" ht="30" customHeight="1" x14ac:dyDescent="0.25">
      <c r="A21"/>
      <c r="B21" s="519" t="s">
        <v>36</v>
      </c>
      <c r="C21" s="444">
        <v>0.37</v>
      </c>
      <c r="D21"/>
      <c r="E21"/>
      <c r="F21"/>
      <c r="G21"/>
      <c r="H21"/>
      <c r="I21"/>
    </row>
    <row r="22" spans="1:9" ht="24.95" customHeight="1" x14ac:dyDescent="0.25">
      <c r="A22"/>
      <c r="B22" s="519" t="s">
        <v>10593</v>
      </c>
      <c r="C22" s="49" t="s">
        <v>10577</v>
      </c>
      <c r="D22"/>
      <c r="E22"/>
      <c r="F22"/>
      <c r="G22"/>
      <c r="H22"/>
      <c r="I22"/>
    </row>
    <row r="23" spans="1:9" ht="30" customHeight="1" x14ac:dyDescent="0.25">
      <c r="A23"/>
      <c r="B23" s="520" t="s">
        <v>10594</v>
      </c>
      <c r="C23" s="443"/>
      <c r="D23"/>
      <c r="E23"/>
      <c r="F23"/>
      <c r="G23"/>
      <c r="H23"/>
      <c r="I23"/>
    </row>
    <row r="24" spans="1:9" ht="24.95" customHeight="1" x14ac:dyDescent="0.25">
      <c r="A24"/>
      <c r="B24"/>
      <c r="C24"/>
      <c r="D24"/>
      <c r="E24"/>
      <c r="F24"/>
      <c r="G24"/>
      <c r="H24"/>
      <c r="I24"/>
    </row>
    <row r="25" spans="1:9" ht="18.75" x14ac:dyDescent="0.3">
      <c r="A25" s="22"/>
      <c r="B25" s="23" t="s">
        <v>10584</v>
      </c>
      <c r="C25" s="22"/>
      <c r="D25" s="22"/>
      <c r="E25" s="22"/>
      <c r="F25" s="22"/>
      <c r="G25" s="22"/>
      <c r="H25" s="22"/>
      <c r="I25" s="22"/>
    </row>
    <row r="26" spans="1:9" ht="15" customHeight="1" x14ac:dyDescent="0.25">
      <c r="A26"/>
      <c r="B26"/>
      <c r="C26"/>
      <c r="D26"/>
      <c r="E26"/>
      <c r="F26"/>
      <c r="G26"/>
      <c r="H26"/>
      <c r="I26"/>
    </row>
    <row r="27" spans="1:9" ht="15" customHeight="1" x14ac:dyDescent="0.25">
      <c r="A27"/>
      <c r="B27" t="s">
        <v>10585</v>
      </c>
      <c r="C27"/>
      <c r="D27"/>
      <c r="E27"/>
      <c r="F27"/>
      <c r="G27"/>
      <c r="H27"/>
      <c r="I27"/>
    </row>
    <row r="28" spans="1:9" ht="15" customHeight="1" x14ac:dyDescent="0.25">
      <c r="A28"/>
      <c r="B28"/>
      <c r="C28"/>
      <c r="D28"/>
      <c r="E28"/>
      <c r="F28"/>
      <c r="G28"/>
      <c r="H28"/>
      <c r="I28"/>
    </row>
    <row r="29" spans="1:9" ht="30" customHeight="1" x14ac:dyDescent="0.25">
      <c r="A29"/>
      <c r="B29" s="82" t="s">
        <v>38</v>
      </c>
      <c r="C29" s="441" t="s">
        <v>42</v>
      </c>
      <c r="D29" s="538" t="s">
        <v>10690</v>
      </c>
      <c r="E29" s="538"/>
      <c r="F29"/>
      <c r="G29"/>
      <c r="H29"/>
      <c r="I29"/>
    </row>
    <row r="30" spans="1:9" ht="15" customHeight="1" x14ac:dyDescent="0.25">
      <c r="A30"/>
      <c r="B30"/>
      <c r="C30" s="442"/>
      <c r="D30" s="538"/>
      <c r="E30" s="538"/>
      <c r="F30" s="522"/>
      <c r="G30"/>
      <c r="H30"/>
      <c r="I30"/>
    </row>
    <row r="31" spans="1:9" ht="30" customHeight="1" x14ac:dyDescent="0.25">
      <c r="A31"/>
      <c r="B31" s="82" t="s">
        <v>91</v>
      </c>
      <c r="C31" s="441" t="s">
        <v>5987</v>
      </c>
      <c r="D31" s="538"/>
      <c r="E31" s="538"/>
      <c r="F31" s="523">
        <v>0</v>
      </c>
      <c r="G31"/>
      <c r="H31"/>
      <c r="I31"/>
    </row>
    <row r="32" spans="1:9" ht="15" customHeight="1" x14ac:dyDescent="0.25">
      <c r="A32"/>
      <c r="B32"/>
      <c r="C32" s="442"/>
      <c r="D32"/>
      <c r="E32"/>
      <c r="F32"/>
      <c r="G32"/>
      <c r="H32"/>
      <c r="I32"/>
    </row>
    <row r="33" spans="1:9" ht="30" customHeight="1" x14ac:dyDescent="0.25">
      <c r="A33"/>
      <c r="B33" s="82" t="s">
        <v>76</v>
      </c>
      <c r="C33" s="441" t="s">
        <v>42</v>
      </c>
      <c r="D33"/>
      <c r="E33"/>
      <c r="F33"/>
      <c r="G33"/>
      <c r="H33"/>
      <c r="I33"/>
    </row>
    <row r="34" spans="1:9" ht="15" customHeight="1" x14ac:dyDescent="0.25">
      <c r="A34"/>
      <c r="B34"/>
      <c r="C34" s="442"/>
      <c r="D34"/>
      <c r="E34"/>
      <c r="F34"/>
      <c r="G34"/>
      <c r="H34"/>
      <c r="I34"/>
    </row>
    <row r="35" spans="1:9" ht="30" customHeight="1" x14ac:dyDescent="0.25">
      <c r="A35"/>
      <c r="B35" s="82" t="s">
        <v>117</v>
      </c>
      <c r="C35" s="441" t="s">
        <v>10847</v>
      </c>
      <c r="D35"/>
      <c r="E35"/>
      <c r="F35"/>
      <c r="G35"/>
      <c r="H35"/>
      <c r="I35"/>
    </row>
    <row r="36" spans="1:9" ht="15" customHeight="1" x14ac:dyDescent="0.25">
      <c r="A36"/>
      <c r="B36"/>
      <c r="C36"/>
      <c r="D36"/>
      <c r="E36"/>
      <c r="F36"/>
      <c r="G36"/>
      <c r="H36"/>
      <c r="I36"/>
    </row>
    <row r="37" spans="1:9" ht="15" customHeight="1" x14ac:dyDescent="0.25">
      <c r="A37"/>
      <c r="B37" t="s">
        <v>10679</v>
      </c>
      <c r="C37"/>
      <c r="D37"/>
      <c r="E37"/>
      <c r="F37"/>
      <c r="G37"/>
      <c r="H37"/>
      <c r="I37"/>
    </row>
    <row r="38" spans="1:9" ht="30" x14ac:dyDescent="0.25">
      <c r="A38"/>
      <c r="B38" s="47" t="s">
        <v>10686</v>
      </c>
      <c r="C38" s="238"/>
      <c r="D38" s="533"/>
      <c r="E38" s="534"/>
      <c r="F38" s="534"/>
      <c r="G38" s="534"/>
      <c r="H38" s="534"/>
      <c r="I38"/>
    </row>
    <row r="39" spans="1:9" ht="15" customHeight="1" x14ac:dyDescent="0.25">
      <c r="A39"/>
      <c r="B39"/>
      <c r="C39"/>
      <c r="D39"/>
      <c r="E39"/>
      <c r="F39"/>
      <c r="G39"/>
      <c r="H39"/>
      <c r="I39"/>
    </row>
    <row r="40" spans="1:9" ht="15" customHeight="1" x14ac:dyDescent="0.25">
      <c r="A40"/>
      <c r="B40"/>
      <c r="C40"/>
      <c r="D40"/>
      <c r="E40"/>
      <c r="F40"/>
      <c r="G40"/>
      <c r="H40"/>
      <c r="I40"/>
    </row>
    <row r="41" spans="1:9" ht="168.4" customHeight="1" x14ac:dyDescent="0.25">
      <c r="A41"/>
      <c r="B41" s="535" t="s">
        <v>10592</v>
      </c>
      <c r="C41" s="536"/>
      <c r="D41"/>
      <c r="E41"/>
      <c r="F41"/>
      <c r="G41"/>
      <c r="H41"/>
      <c r="I41"/>
    </row>
    <row r="42" spans="1:9" ht="15" customHeight="1" x14ac:dyDescent="0.25">
      <c r="A42"/>
      <c r="B42"/>
      <c r="C42"/>
      <c r="D42"/>
      <c r="E42"/>
      <c r="F42"/>
      <c r="G42"/>
      <c r="H42"/>
      <c r="I42"/>
    </row>
  </sheetData>
  <sheetProtection algorithmName="SHA-512" hashValue="nFHVOc/jDuwbK0sja5wlUeZik2Fg5jc4xjhFZR7wRp3PmOjZPAXE4YBb0e5L43ywzzxB7y2lXPZEqd15g3uaCg==" saltValue="CzAsusIu6oqcKkHFHeHtNQ==" spinCount="100000" sheet="1" formatColumns="0" formatRows="0"/>
  <protectedRanges>
    <protectedRange sqref="F31" name="dpi2"/>
    <protectedRange sqref="C11:C17 C29 C33" name="Resumo"/>
    <protectedRange sqref="C38 C19:C23" name="Range2"/>
    <protectedRange sqref="C31" name="metodoIluminacao"/>
    <protectedRange sqref="C35" name="metodoAQ"/>
    <protectedRange sqref="C29" name="metodoEnv"/>
    <protectedRange sqref="C33" name="metodoAC"/>
    <protectedRange sqref="C38" name="dpe"/>
  </protectedRanges>
  <mergeCells count="4">
    <mergeCell ref="D38:H38"/>
    <mergeCell ref="B41:C41"/>
    <mergeCell ref="B7:C7"/>
    <mergeCell ref="D29:E31"/>
  </mergeCells>
  <phoneticPr fontId="21" type="noConversion"/>
  <conditionalFormatting sqref="C23">
    <cfRule type="expression" dxfId="83" priority="3">
      <formula>$C$22="Edificação completa"</formula>
    </cfRule>
  </conditionalFormatting>
  <conditionalFormatting sqref="C29">
    <cfRule type="cellIs" dxfId="82" priority="32" operator="equal">
      <formula>"Não avalia"</formula>
    </cfRule>
  </conditionalFormatting>
  <conditionalFormatting sqref="C31">
    <cfRule type="cellIs" dxfId="81" priority="5" operator="equal">
      <formula>"Não avalia"</formula>
    </cfRule>
  </conditionalFormatting>
  <conditionalFormatting sqref="C33">
    <cfRule type="cellIs" dxfId="80" priority="8" operator="equal">
      <formula>"Não avalia"</formula>
    </cfRule>
  </conditionalFormatting>
  <conditionalFormatting sqref="C35">
    <cfRule type="cellIs" dxfId="79" priority="2" operator="equal">
      <formula>"Não aplicável a esta tipologia"</formula>
    </cfRule>
    <cfRule type="cellIs" dxfId="78" priority="4" operator="equal">
      <formula>"Não avalia"</formula>
    </cfRule>
  </conditionalFormatting>
  <conditionalFormatting sqref="D29:F31">
    <cfRule type="expression" dxfId="76" priority="1">
      <formula>OR($C$31="Método do edifício completo",$C$31="Método das atividades do edifício",$C$31="Método de Simulação")</formula>
    </cfRule>
  </conditionalFormatting>
  <dataValidations count="9">
    <dataValidation type="list" allowBlank="1" showInputMessage="1" showErrorMessage="1" sqref="C14" xr:uid="{00000000-0002-0000-0100-000000000000}">
      <formula1>"Projeto, Ed. Construída"</formula1>
    </dataValidation>
    <dataValidation type="list" allowBlank="1" showInputMessage="1" showErrorMessage="1" sqref="C18" xr:uid="{00000000-0002-0000-0100-000001000000}">
      <formula1>"1,2,3,4,5,6,7,8"</formula1>
    </dataValidation>
    <dataValidation type="list" allowBlank="1" showInputMessage="1" showErrorMessage="1" sqref="C15" xr:uid="{00000000-0002-0000-0100-000003000000}">
      <formula1>lista_estados</formula1>
    </dataValidation>
    <dataValidation type="list" allowBlank="1" showInputMessage="1" showErrorMessage="1" sqref="C16" xr:uid="{00000000-0002-0000-0100-000004000000}">
      <formula1>INDIRECT($C$15)</formula1>
    </dataValidation>
    <dataValidation type="list" allowBlank="1" showInputMessage="1" showErrorMessage="1" sqref="C33" xr:uid="{223495E7-290C-4C25-8051-6FF7BB6A6BE3}">
      <formula1>"Método Simplificado,Método de Simulação,Não avalia"</formula1>
    </dataValidation>
    <dataValidation type="list" allowBlank="1" showInputMessage="1" showErrorMessage="1" sqref="C29" xr:uid="{EB23B929-4363-4480-A7D6-D1F8B1BE64D5}">
      <formula1>"Método Simplificado,Método de Simulação"</formula1>
    </dataValidation>
    <dataValidation type="list" allowBlank="1" showInputMessage="1" showErrorMessage="1" sqref="C31" xr:uid="{831D1604-8EC5-46C7-A793-05FCF5DE0E90}">
      <formula1>"Método do edifício completo,Método das atividades do edifício,Método de Simulação,Não avalia"</formula1>
    </dataValidation>
    <dataValidation type="list" allowBlank="1" showInputMessage="1" showErrorMessage="1" sqref="C35" xr:uid="{DE72EBF2-B7FD-4A92-B51C-B9A758A8ED49}">
      <formula1>"Avalia,Não aplicável a esta tipologia,Não avalia"</formula1>
    </dataValidation>
    <dataValidation type="list" allowBlank="1" showInputMessage="1" showErrorMessage="1" sqref="C22" xr:uid="{D3A68469-1958-4886-B33A-5DFBBCEADFF3}">
      <formula1>"Edificação completa,Parcela da edificação"</formula1>
    </dataValidation>
  </dataValidations>
  <pageMargins left="0.511811024" right="0.511811024" top="0.78740157499999996" bottom="0.78740157499999996" header="0.31496062000000002" footer="0.31496062000000002"/>
  <pageSetup paperSize="9" orientation="portrait" horizontalDpi="300" verticalDpi="300"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9" id="{00000000-000E-0000-0100-000008000000}">
            <xm:f>$C$20&lt;&gt;Aux_Lista!$A$27</xm:f>
            <x14:dxf>
              <fill>
                <patternFill>
                  <bgColor theme="0" tint="-0.34998626667073579"/>
                </patternFill>
              </fill>
            </x14:dxf>
          </x14:cfRule>
          <xm:sqref>C38</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05000000}">
          <x14:formula1>
            <xm:f>Aux_Lista!$CH$2:$CH$3</xm:f>
          </x14:formula1>
          <xm:sqref>C17</xm:sqref>
        </x14:dataValidation>
        <x14:dataValidation type="list" allowBlank="1" showInputMessage="1" showErrorMessage="1" xr:uid="{00000000-0002-0000-0100-000006000000}">
          <x14:formula1>
            <xm:f>Aux_Lista!$A$20:$A$27</xm:f>
          </x14:formula1>
          <xm:sqref>C20</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6">
    <tabColor rgb="FF00B050"/>
  </sheetPr>
  <dimension ref="A1:BO540"/>
  <sheetViews>
    <sheetView showGridLines="0" zoomScale="70" zoomScaleNormal="70" workbookViewId="0">
      <pane ySplit="13" topLeftCell="A27" activePane="bottomLeft" state="frozen"/>
      <selection pane="bottomLeft" activeCell="D111" sqref="D111:O111"/>
    </sheetView>
  </sheetViews>
  <sheetFormatPr defaultColWidth="9.140625" defaultRowHeight="15" x14ac:dyDescent="0.25"/>
  <cols>
    <col min="1" max="1" width="5.7109375" style="2" customWidth="1"/>
    <col min="2" max="2" width="42.28515625" style="41" customWidth="1"/>
    <col min="3" max="3" width="25.7109375" style="41" customWidth="1"/>
    <col min="4" max="12" width="18.7109375" style="41" customWidth="1"/>
    <col min="13" max="13" width="12.7109375" style="41" customWidth="1"/>
    <col min="14" max="14" width="15.28515625" style="41" customWidth="1"/>
    <col min="15" max="15" width="12.7109375" style="41" customWidth="1"/>
    <col min="16" max="16" width="5.7109375" style="41" customWidth="1"/>
    <col min="17" max="17" width="5.7109375" style="11" customWidth="1"/>
    <col min="18" max="18" width="5.7109375" style="94" customWidth="1"/>
    <col min="19" max="19" width="25.7109375" style="5" customWidth="1"/>
    <col min="20" max="23" width="25.7109375" style="41" customWidth="1"/>
    <col min="24" max="24" width="19.5703125" style="41" customWidth="1"/>
    <col min="25" max="26" width="12.7109375" style="41" customWidth="1"/>
    <col min="27" max="31" width="19.5703125" style="41" customWidth="1"/>
    <col min="32" max="33" width="17.42578125" style="41" customWidth="1"/>
    <col min="34" max="34" width="20.7109375" style="41" customWidth="1"/>
    <col min="35" max="37" width="15.7109375" style="41" customWidth="1"/>
    <col min="38" max="39" width="20.7109375" style="2" customWidth="1"/>
    <col min="40" max="41" width="12.7109375" style="41" customWidth="1"/>
    <col min="42" max="42" width="9.140625" style="41"/>
    <col min="43" max="43" width="5.7109375" style="41" customWidth="1"/>
    <col min="44" max="44" width="5.7109375" style="11" customWidth="1"/>
    <col min="45" max="45" width="5.7109375" style="94" customWidth="1"/>
    <col min="46" max="46" width="40.5703125" style="32" bestFit="1" customWidth="1"/>
    <col min="47" max="47" width="21" style="32" customWidth="1"/>
    <col min="48" max="50" width="9.140625" style="32"/>
    <col min="51" max="16384" width="9.140625" style="11"/>
  </cols>
  <sheetData>
    <row r="1" spans="1:50" ht="20.100000000000001" customHeight="1" x14ac:dyDescent="0.25">
      <c r="B1"/>
      <c r="C1"/>
      <c r="D1"/>
      <c r="E1"/>
      <c r="F1"/>
      <c r="G1"/>
      <c r="H1" s="29"/>
      <c r="I1" s="29"/>
      <c r="J1" s="29"/>
      <c r="K1" s="29"/>
      <c r="L1" s="29"/>
      <c r="M1" s="30"/>
      <c r="N1" s="30"/>
      <c r="O1"/>
      <c r="P1"/>
      <c r="S1" s="32"/>
      <c r="T1" s="32"/>
      <c r="U1" s="32"/>
      <c r="V1" s="32"/>
      <c r="W1" s="32"/>
      <c r="X1" s="32"/>
      <c r="Y1" s="32"/>
      <c r="Z1" s="32"/>
      <c r="AA1" s="32"/>
      <c r="AB1" s="32"/>
      <c r="AC1" s="32"/>
      <c r="AD1" s="32"/>
      <c r="AE1" s="32"/>
      <c r="AF1" s="32"/>
      <c r="AG1" s="32"/>
      <c r="AH1" s="32"/>
      <c r="AI1" s="32"/>
      <c r="AJ1" s="32"/>
      <c r="AK1" s="32"/>
      <c r="AL1"/>
      <c r="AM1"/>
      <c r="AN1"/>
      <c r="AO1"/>
      <c r="AP1"/>
      <c r="AQ1"/>
    </row>
    <row r="2" spans="1:50" ht="20.100000000000001" customHeight="1" x14ac:dyDescent="0.25">
      <c r="B2"/>
      <c r="C2"/>
      <c r="D2"/>
      <c r="E2"/>
      <c r="F2"/>
      <c r="G2"/>
      <c r="H2" s="29" t="s">
        <v>20</v>
      </c>
      <c r="I2" s="76" t="s">
        <v>8</v>
      </c>
      <c r="J2" s="77" t="s">
        <v>10</v>
      </c>
      <c r="K2" s="78" t="s">
        <v>12</v>
      </c>
      <c r="L2" s="79" t="s">
        <v>5985</v>
      </c>
      <c r="M2" s="110" t="s">
        <v>16</v>
      </c>
      <c r="N2" s="30"/>
      <c r="O2"/>
      <c r="P2"/>
      <c r="S2" s="32"/>
      <c r="T2" s="32"/>
      <c r="U2" s="32"/>
      <c r="V2" s="32"/>
      <c r="W2" s="32"/>
      <c r="X2" s="32"/>
      <c r="Y2" s="32"/>
      <c r="Z2" s="32"/>
      <c r="AA2" s="32"/>
      <c r="AB2" s="32"/>
      <c r="AC2" s="32"/>
      <c r="AD2" s="32"/>
      <c r="AE2" s="32"/>
      <c r="AF2" s="32"/>
      <c r="AG2" s="32"/>
      <c r="AH2" s="32"/>
      <c r="AI2" s="32"/>
      <c r="AJ2" s="32"/>
      <c r="AK2" s="32"/>
      <c r="AL2"/>
      <c r="AM2"/>
      <c r="AN2"/>
      <c r="AO2"/>
      <c r="AP2"/>
      <c r="AQ2"/>
    </row>
    <row r="3" spans="1:50" s="12" customFormat="1" ht="20.100000000000001" customHeight="1" x14ac:dyDescent="0.25">
      <c r="A3" s="37"/>
      <c r="B3" s="10"/>
      <c r="C3" s="10"/>
      <c r="D3" s="10"/>
      <c r="E3" s="10"/>
      <c r="F3" s="10"/>
      <c r="G3" s="10"/>
      <c r="H3" s="10"/>
      <c r="I3" s="10"/>
      <c r="J3" s="10"/>
      <c r="K3" s="10"/>
      <c r="L3" s="260"/>
      <c r="M3" s="260"/>
      <c r="N3" s="260"/>
      <c r="O3" s="260"/>
      <c r="P3" s="10"/>
      <c r="R3" s="33"/>
      <c r="S3" s="33"/>
      <c r="T3" s="33"/>
      <c r="U3" s="33"/>
      <c r="V3" s="33"/>
      <c r="W3" s="33"/>
      <c r="X3" s="33"/>
      <c r="Y3" s="33"/>
      <c r="Z3" s="33"/>
      <c r="AA3" s="33"/>
      <c r="AB3" s="33"/>
      <c r="AC3" s="33"/>
      <c r="AD3" s="33"/>
      <c r="AE3" s="33"/>
      <c r="AF3" s="33"/>
      <c r="AG3" s="33"/>
      <c r="AH3" s="33"/>
      <c r="AI3" s="33"/>
      <c r="AJ3" s="33"/>
      <c r="AK3" s="33"/>
      <c r="AL3" s="10"/>
      <c r="AM3" s="10"/>
      <c r="AN3" s="10"/>
      <c r="AO3" s="10"/>
      <c r="AP3" s="10"/>
      <c r="AQ3" s="10"/>
      <c r="AS3" s="95"/>
      <c r="AT3" s="95"/>
      <c r="AU3" s="95"/>
      <c r="AV3" s="95"/>
      <c r="AW3" s="95"/>
      <c r="AX3" s="95"/>
    </row>
    <row r="4" spans="1:50" x14ac:dyDescent="0.25">
      <c r="B4"/>
      <c r="C4"/>
      <c r="D4"/>
      <c r="E4"/>
      <c r="F4"/>
      <c r="G4"/>
      <c r="H4"/>
      <c r="I4"/>
      <c r="J4"/>
      <c r="K4"/>
      <c r="L4" s="168"/>
      <c r="M4" s="168"/>
      <c r="N4" s="168"/>
      <c r="O4" s="168"/>
      <c r="P4"/>
      <c r="S4" s="32"/>
      <c r="T4" s="32"/>
      <c r="U4" s="32"/>
      <c r="V4" s="32"/>
      <c r="W4" s="32"/>
      <c r="X4" s="32"/>
      <c r="Y4" s="32"/>
      <c r="Z4" s="32"/>
      <c r="AA4" s="32"/>
      <c r="AB4" s="32"/>
      <c r="AC4" s="32"/>
      <c r="AD4" s="32"/>
      <c r="AE4" s="32"/>
      <c r="AF4" s="32"/>
      <c r="AG4" s="32"/>
      <c r="AH4" s="32"/>
      <c r="AI4" s="32"/>
      <c r="AJ4" s="32"/>
      <c r="AK4" s="32"/>
      <c r="AL4"/>
      <c r="AM4"/>
      <c r="AN4"/>
      <c r="AO4"/>
      <c r="AP4"/>
      <c r="AQ4"/>
      <c r="AT4" s="94"/>
      <c r="AU4" s="94"/>
      <c r="AV4" s="94"/>
      <c r="AW4" s="94"/>
      <c r="AX4" s="94"/>
    </row>
    <row r="5" spans="1:50" ht="18.75" x14ac:dyDescent="0.3">
      <c r="A5" s="38"/>
      <c r="B5" s="23" t="s">
        <v>91</v>
      </c>
      <c r="C5" s="22"/>
      <c r="D5" s="22"/>
      <c r="E5" s="22"/>
      <c r="F5" s="22"/>
      <c r="G5" s="22"/>
      <c r="H5" s="22"/>
      <c r="I5" s="22"/>
      <c r="J5" s="22"/>
      <c r="K5" s="22"/>
      <c r="L5" s="22"/>
      <c r="M5" s="22"/>
      <c r="N5" s="22"/>
      <c r="O5" s="22"/>
      <c r="P5" s="22"/>
      <c r="R5" s="96"/>
      <c r="S5" s="46"/>
      <c r="T5" s="36"/>
      <c r="U5" s="36"/>
      <c r="V5" s="36"/>
      <c r="W5" s="36"/>
      <c r="X5" s="42"/>
      <c r="Y5" s="42"/>
      <c r="Z5" s="42"/>
      <c r="AA5" s="42"/>
      <c r="AB5" s="42"/>
      <c r="AC5" s="42"/>
      <c r="AD5" s="42"/>
      <c r="AE5" s="42"/>
      <c r="AF5" s="42"/>
      <c r="AG5" s="42"/>
      <c r="AH5" s="42"/>
      <c r="AI5" s="42"/>
      <c r="AJ5" s="42"/>
      <c r="AK5" s="42"/>
      <c r="AL5" s="42"/>
      <c r="AM5" s="42"/>
      <c r="AN5" s="42"/>
      <c r="AO5" s="42"/>
      <c r="AP5" s="42"/>
      <c r="AQ5" s="22"/>
      <c r="AS5" s="96"/>
      <c r="AT5" s="96"/>
      <c r="AU5" s="96"/>
      <c r="AV5" s="96"/>
      <c r="AW5" s="96"/>
      <c r="AX5" s="96"/>
    </row>
    <row r="6" spans="1:50" hidden="1" x14ac:dyDescent="0.25">
      <c r="B6"/>
      <c r="C6"/>
      <c r="D6" s="168"/>
      <c r="E6" s="168"/>
      <c r="F6" s="168"/>
      <c r="G6" s="258"/>
      <c r="H6" s="168"/>
      <c r="I6" s="168"/>
      <c r="J6" s="168"/>
      <c r="K6" s="168"/>
      <c r="L6" s="168"/>
      <c r="M6" s="168"/>
      <c r="N6" s="258"/>
      <c r="O6" s="168"/>
      <c r="P6" s="168"/>
      <c r="S6" s="32"/>
      <c r="T6" s="32"/>
      <c r="U6" s="32"/>
      <c r="V6" s="32"/>
      <c r="W6" s="32"/>
      <c r="X6" s="32"/>
      <c r="Y6" s="32"/>
      <c r="Z6" s="32"/>
      <c r="AA6" s="32"/>
      <c r="AB6" s="32"/>
      <c r="AC6" s="32"/>
      <c r="AD6" s="32"/>
      <c r="AE6" s="32"/>
      <c r="AF6" s="32"/>
      <c r="AG6" s="32"/>
      <c r="AH6" s="32"/>
      <c r="AI6" s="32"/>
      <c r="AJ6" s="32"/>
      <c r="AK6" s="32"/>
      <c r="AL6"/>
      <c r="AM6"/>
      <c r="AN6"/>
      <c r="AO6"/>
      <c r="AP6"/>
      <c r="AQ6" s="168"/>
      <c r="AT6" s="94"/>
      <c r="AU6" s="94"/>
      <c r="AV6" s="94"/>
      <c r="AW6" s="94"/>
      <c r="AX6" s="94"/>
    </row>
    <row r="7" spans="1:50" ht="30" hidden="1" customHeight="1" x14ac:dyDescent="0.25">
      <c r="B7" s="47" t="s">
        <v>22</v>
      </c>
      <c r="C7" s="48" t="str">
        <f>Início!C11</f>
        <v>Sede da Subseção da Justiça Federal em Patos</v>
      </c>
      <c r="D7" s="560" t="str">
        <f>IF(C9="Método de Simulação","PREENCHER A ABA 'Opc_Simulação' PRIMEIRO!","")</f>
        <v/>
      </c>
      <c r="E7" s="561"/>
      <c r="F7" s="258"/>
      <c r="G7" s="86"/>
      <c r="H7" s="32"/>
      <c r="I7" s="71" t="s">
        <v>43</v>
      </c>
      <c r="J7" s="72" t="s">
        <v>44</v>
      </c>
      <c r="K7" s="73" t="s">
        <v>45</v>
      </c>
      <c r="L7" s="74" t="s">
        <v>46</v>
      </c>
      <c r="M7" s="75" t="s">
        <v>47</v>
      </c>
      <c r="N7" s="551" t="s">
        <v>5964</v>
      </c>
      <c r="O7" s="552"/>
      <c r="P7" s="168"/>
      <c r="S7" s="32"/>
      <c r="T7" s="32"/>
      <c r="U7" s="32"/>
      <c r="V7" s="32"/>
      <c r="W7" s="32"/>
      <c r="X7" s="32"/>
      <c r="Y7" s="32"/>
      <c r="Z7" s="32"/>
      <c r="AA7" s="32"/>
      <c r="AB7" s="32"/>
      <c r="AC7" s="32"/>
      <c r="AD7" s="32"/>
      <c r="AE7" s="32"/>
      <c r="AF7" s="32"/>
      <c r="AG7" s="32"/>
      <c r="AH7" s="32"/>
      <c r="AI7" s="32"/>
      <c r="AJ7" s="32"/>
      <c r="AK7" s="32"/>
      <c r="AL7"/>
      <c r="AM7"/>
      <c r="AN7"/>
      <c r="AO7"/>
      <c r="AP7"/>
      <c r="AQ7" s="168"/>
      <c r="AT7" s="94"/>
      <c r="AU7" s="94"/>
      <c r="AV7" s="94"/>
      <c r="AW7" s="94"/>
      <c r="AX7" s="94"/>
    </row>
    <row r="8" spans="1:50" ht="30" hidden="1" customHeight="1" x14ac:dyDescent="0.25">
      <c r="B8" s="47" t="s">
        <v>24</v>
      </c>
      <c r="C8" s="48" t="str">
        <f>Início!C14</f>
        <v>Projeto</v>
      </c>
      <c r="D8" s="560"/>
      <c r="E8" s="561"/>
      <c r="F8" s="258"/>
      <c r="G8" s="86"/>
      <c r="H8" s="47" t="s">
        <v>49</v>
      </c>
      <c r="I8" s="53" t="s">
        <v>50</v>
      </c>
      <c r="J8" s="53">
        <f>3*C20</f>
        <v>0.40853658536585369</v>
      </c>
      <c r="K8" s="53">
        <f>2*C20</f>
        <v>0.27235772357723581</v>
      </c>
      <c r="L8" s="53">
        <f>C20</f>
        <v>0.13617886178861791</v>
      </c>
      <c r="M8" s="53">
        <v>0</v>
      </c>
      <c r="N8" s="553" t="str">
        <f>IF(C12&gt;=I9,I7,IF(AND(C12&gt;=J9,C12&lt;J8),J7,IF(AND(C12&gt;=K9,C12&lt;K8),K7,IF(AND(C12&gt;=L9,C12&lt;L8),L7,M7))))</f>
        <v>D</v>
      </c>
      <c r="O8" s="554"/>
      <c r="P8" s="168"/>
      <c r="S8" s="32"/>
      <c r="T8" s="32"/>
      <c r="U8" s="32"/>
      <c r="V8" s="32"/>
      <c r="W8" s="32"/>
      <c r="X8" s="32"/>
      <c r="Y8" s="32"/>
      <c r="Z8" s="32"/>
      <c r="AA8" s="32"/>
      <c r="AB8" s="32"/>
      <c r="AC8" s="32"/>
      <c r="AD8" s="32"/>
      <c r="AE8" s="32"/>
      <c r="AF8" s="32"/>
      <c r="AG8" s="32"/>
      <c r="AH8" s="32"/>
      <c r="AI8" s="32"/>
      <c r="AJ8" s="32"/>
      <c r="AK8" s="32"/>
      <c r="AL8"/>
      <c r="AM8"/>
      <c r="AN8"/>
      <c r="AO8"/>
      <c r="AP8"/>
      <c r="AQ8" s="168"/>
      <c r="AT8" s="94"/>
      <c r="AU8" s="94"/>
      <c r="AV8" s="94"/>
      <c r="AW8" s="94"/>
      <c r="AX8" s="94"/>
    </row>
    <row r="9" spans="1:50" ht="30" hidden="1" customHeight="1" x14ac:dyDescent="0.25">
      <c r="B9" s="47" t="s">
        <v>41</v>
      </c>
      <c r="C9" s="49" t="str">
        <f>Início!C31</f>
        <v>Método do edifício completo</v>
      </c>
      <c r="D9" s="560"/>
      <c r="E9" s="561"/>
      <c r="F9" s="19"/>
      <c r="G9" s="86"/>
      <c r="H9" s="47" t="s">
        <v>52</v>
      </c>
      <c r="I9" s="53">
        <f>J8</f>
        <v>0.40853658536585369</v>
      </c>
      <c r="J9" s="53">
        <f>K8</f>
        <v>0.27235772357723581</v>
      </c>
      <c r="K9" s="53">
        <f>L8</f>
        <v>0.13617886178861791</v>
      </c>
      <c r="L9" s="53">
        <v>0</v>
      </c>
      <c r="M9" s="53" t="s">
        <v>50</v>
      </c>
      <c r="N9" s="553"/>
      <c r="O9" s="554"/>
      <c r="P9" s="168"/>
      <c r="S9" s="32"/>
      <c r="T9" s="32"/>
      <c r="U9" s="32"/>
      <c r="V9" s="32"/>
      <c r="W9" s="32"/>
      <c r="X9" s="32"/>
      <c r="Y9" s="32"/>
      <c r="Z9" s="32"/>
      <c r="AA9" s="32"/>
      <c r="AB9" s="32"/>
      <c r="AC9" s="32"/>
      <c r="AD9" s="32"/>
      <c r="AE9" s="32"/>
      <c r="AF9" s="32"/>
      <c r="AG9" s="32"/>
      <c r="AH9" s="32"/>
      <c r="AI9" s="32"/>
      <c r="AJ9" s="32"/>
      <c r="AK9" s="32"/>
      <c r="AL9" s="32"/>
      <c r="AM9" s="32"/>
      <c r="AN9" s="32"/>
      <c r="AO9" s="32"/>
      <c r="AP9"/>
      <c r="AQ9" s="168"/>
      <c r="AT9" s="94"/>
      <c r="AU9" s="94"/>
      <c r="AV9" s="94"/>
      <c r="AW9" s="94"/>
      <c r="AX9" s="94"/>
    </row>
    <row r="10" spans="1:50" ht="30" hidden="1" customHeight="1" x14ac:dyDescent="0.25">
      <c r="B10" s="47" t="s">
        <v>78</v>
      </c>
      <c r="C10" s="356">
        <f>IF(C9=B22,SUM(K32:K34),IF(C9=S22,SUM(AL32:AL531),IF(C9="Método de Simulação",AU30,0)))</f>
        <v>68746.766399999993</v>
      </c>
      <c r="D10" s="560"/>
      <c r="E10" s="561"/>
      <c r="F10" s="19"/>
      <c r="G10" s="86"/>
      <c r="H10" s="86"/>
      <c r="I10" s="86"/>
      <c r="J10" s="86"/>
      <c r="K10" s="86"/>
      <c r="L10" s="86"/>
      <c r="M10" s="258"/>
      <c r="N10" s="258"/>
      <c r="O10" s="168"/>
      <c r="P10" s="168"/>
      <c r="S10" s="32"/>
      <c r="T10" s="32"/>
      <c r="U10" s="32"/>
      <c r="V10" s="32"/>
      <c r="W10" s="32"/>
      <c r="X10" s="32"/>
      <c r="Y10" s="32"/>
      <c r="Z10" s="32"/>
      <c r="AA10" s="32"/>
      <c r="AB10" s="32"/>
      <c r="AC10" s="32"/>
      <c r="AD10" s="32"/>
      <c r="AE10" s="32"/>
      <c r="AF10" s="32"/>
      <c r="AG10" s="32"/>
      <c r="AH10" s="32"/>
      <c r="AI10" s="32"/>
      <c r="AJ10" s="32"/>
      <c r="AK10" s="32"/>
      <c r="AL10" s="32"/>
      <c r="AM10" s="32"/>
      <c r="AN10" s="32"/>
      <c r="AO10" s="32"/>
      <c r="AP10"/>
      <c r="AQ10" s="168"/>
      <c r="AT10" s="94"/>
      <c r="AU10" s="94"/>
      <c r="AV10" s="94"/>
      <c r="AW10" s="94"/>
      <c r="AX10" s="94"/>
    </row>
    <row r="11" spans="1:50" ht="30" hidden="1" customHeight="1" x14ac:dyDescent="0.25">
      <c r="B11" s="47" t="s">
        <v>79</v>
      </c>
      <c r="C11" s="356">
        <f>IF(C9=B22,SUM(L32:L34),IF(C9=S22,SUM(AM32:AM531),IF(C9="Método de Simulação",AU29,0)))</f>
        <v>64761.007999999994</v>
      </c>
      <c r="D11" s="560"/>
      <c r="E11" s="561"/>
      <c r="F11" s="168"/>
      <c r="G11" s="86"/>
      <c r="H11" s="86"/>
      <c r="I11" s="86"/>
      <c r="J11" s="86"/>
      <c r="K11" s="86"/>
      <c r="L11" s="86"/>
      <c r="M11" s="168"/>
      <c r="N11" s="168"/>
      <c r="O11" s="168"/>
      <c r="P11" s="168"/>
      <c r="S11" s="32"/>
      <c r="T11" s="32"/>
      <c r="U11" s="32"/>
      <c r="V11" s="32"/>
      <c r="W11" s="32"/>
      <c r="X11" s="32"/>
      <c r="Y11" s="32"/>
      <c r="Z11" s="32"/>
      <c r="AA11" s="32"/>
      <c r="AB11" s="32"/>
      <c r="AC11" s="32"/>
      <c r="AD11" s="32"/>
      <c r="AE11" s="32"/>
      <c r="AF11" s="32"/>
      <c r="AG11" s="32"/>
      <c r="AH11" s="32"/>
      <c r="AI11" s="32"/>
      <c r="AJ11" s="32"/>
      <c r="AK11" s="32"/>
      <c r="AL11" s="32"/>
      <c r="AM11" s="32"/>
      <c r="AN11" s="32"/>
      <c r="AO11" s="32"/>
      <c r="AP11"/>
      <c r="AQ11" s="168"/>
      <c r="AT11" s="94"/>
      <c r="AU11" s="94"/>
      <c r="AV11" s="94"/>
      <c r="AW11" s="94"/>
      <c r="AX11" s="94"/>
    </row>
    <row r="12" spans="1:50" ht="30" hidden="1" customHeight="1" x14ac:dyDescent="0.25">
      <c r="B12" s="47" t="s">
        <v>93</v>
      </c>
      <c r="C12" s="53">
        <f>IF(ISERROR((C10-C11)/C10),0,(C10-C11)/C10)</f>
        <v>5.7977394555680503E-2</v>
      </c>
      <c r="D12" s="560"/>
      <c r="E12" s="561"/>
      <c r="F12" s="168"/>
      <c r="G12" s="86"/>
      <c r="H12" s="86"/>
      <c r="I12" s="86"/>
      <c r="J12" s="86"/>
      <c r="K12" s="86"/>
      <c r="L12" s="86"/>
      <c r="M12" s="168"/>
      <c r="N12" s="168"/>
      <c r="O12" s="168"/>
      <c r="P12" s="168"/>
      <c r="S12" s="32"/>
      <c r="T12" s="32"/>
      <c r="U12" s="32"/>
      <c r="V12" s="32"/>
      <c r="W12" s="32"/>
      <c r="X12" s="32"/>
      <c r="Y12" s="32"/>
      <c r="Z12" s="32"/>
      <c r="AA12" s="32"/>
      <c r="AB12" s="32"/>
      <c r="AC12" s="32"/>
      <c r="AD12" s="32"/>
      <c r="AE12" s="32"/>
      <c r="AF12" s="32"/>
      <c r="AG12" s="32"/>
      <c r="AH12" s="32"/>
      <c r="AI12" s="32"/>
      <c r="AJ12" s="32"/>
      <c r="AK12" s="32"/>
      <c r="AL12" s="32"/>
      <c r="AM12" s="32"/>
      <c r="AN12" s="32"/>
      <c r="AO12" s="32"/>
      <c r="AP12"/>
      <c r="AQ12" s="168"/>
      <c r="AT12" s="94"/>
      <c r="AU12" s="94"/>
      <c r="AV12" s="94"/>
      <c r="AW12" s="94"/>
      <c r="AX12" s="94"/>
    </row>
    <row r="13" spans="1:50" ht="30" hidden="1" customHeight="1" x14ac:dyDescent="0.25">
      <c r="B13" s="47" t="s">
        <v>54</v>
      </c>
      <c r="C13" s="108" t="str">
        <f>IFERROR(N8,"")</f>
        <v>D</v>
      </c>
      <c r="D13" s="560"/>
      <c r="E13" s="561"/>
      <c r="F13" s="168"/>
      <c r="G13" s="86"/>
      <c r="H13" s="86"/>
      <c r="I13" s="86"/>
      <c r="J13" s="86"/>
      <c r="K13" s="86"/>
      <c r="L13" s="86"/>
      <c r="M13" s="168"/>
      <c r="N13" s="168"/>
      <c r="O13" s="168"/>
      <c r="P13" s="168"/>
      <c r="S13" s="32"/>
      <c r="T13" s="32"/>
      <c r="U13" s="32"/>
      <c r="V13" s="32"/>
      <c r="W13" s="32"/>
      <c r="X13" s="32"/>
      <c r="Y13" s="32"/>
      <c r="Z13" s="32"/>
      <c r="AA13" s="32"/>
      <c r="AB13" s="32"/>
      <c r="AC13" s="32"/>
      <c r="AD13" s="32"/>
      <c r="AE13" s="32"/>
      <c r="AF13" s="32"/>
      <c r="AG13" s="32"/>
      <c r="AH13" s="32"/>
      <c r="AI13" s="32"/>
      <c r="AJ13" s="32"/>
      <c r="AK13" s="32"/>
      <c r="AL13"/>
      <c r="AM13"/>
      <c r="AN13"/>
      <c r="AO13"/>
      <c r="AP13"/>
      <c r="AQ13" s="168"/>
      <c r="AT13" s="94"/>
      <c r="AU13" s="94"/>
      <c r="AV13" s="94"/>
      <c r="AW13" s="94"/>
      <c r="AX13" s="94"/>
    </row>
    <row r="14" spans="1:50" x14ac:dyDescent="0.25">
      <c r="B14" s="34"/>
      <c r="C14" s="35"/>
      <c r="D14" s="168"/>
      <c r="E14" s="259"/>
      <c r="F14" s="168"/>
      <c r="G14" s="168"/>
      <c r="H14" s="168"/>
      <c r="I14" s="168"/>
      <c r="J14" s="168"/>
      <c r="K14" s="168"/>
      <c r="L14" s="168"/>
      <c r="M14" s="168"/>
      <c r="N14" s="168"/>
      <c r="O14" s="168"/>
      <c r="P14" s="168"/>
      <c r="S14" s="32"/>
      <c r="T14" s="32"/>
      <c r="U14" s="32"/>
      <c r="V14" s="32"/>
      <c r="W14" s="32"/>
      <c r="X14" s="32"/>
      <c r="Y14" s="32"/>
      <c r="Z14" s="32"/>
      <c r="AA14" s="32"/>
      <c r="AB14" s="32"/>
      <c r="AC14" s="32"/>
      <c r="AD14" s="32"/>
      <c r="AE14" s="32"/>
      <c r="AF14" s="32"/>
      <c r="AG14" s="32"/>
      <c r="AH14" s="32"/>
      <c r="AI14" s="32"/>
      <c r="AJ14" s="32"/>
      <c r="AK14" s="32"/>
      <c r="AL14"/>
      <c r="AM14"/>
      <c r="AN14"/>
      <c r="AO14"/>
      <c r="AP14"/>
      <c r="AQ14" s="168"/>
      <c r="AT14" s="94"/>
      <c r="AU14" s="94"/>
      <c r="AV14" s="94"/>
      <c r="AW14" s="94"/>
      <c r="AX14" s="94"/>
    </row>
    <row r="15" spans="1:50" ht="175.35" customHeight="1" x14ac:dyDescent="0.25">
      <c r="B15" s="535" t="s">
        <v>10684</v>
      </c>
      <c r="C15" s="539"/>
      <c r="D15" s="539"/>
      <c r="E15" s="536"/>
      <c r="F15" s="168"/>
      <c r="G15" s="168"/>
      <c r="H15" s="168"/>
      <c r="I15" s="168"/>
      <c r="J15" s="168"/>
      <c r="K15" s="168"/>
      <c r="L15" s="168"/>
      <c r="M15" s="168"/>
      <c r="N15" s="168"/>
      <c r="O15" s="168"/>
      <c r="P15" s="168"/>
      <c r="S15" s="32"/>
      <c r="T15" s="32"/>
      <c r="U15" s="32"/>
      <c r="V15" s="32"/>
      <c r="W15" s="32"/>
      <c r="X15" s="32"/>
      <c r="Y15" s="32"/>
      <c r="Z15" s="32"/>
      <c r="AA15" s="32"/>
      <c r="AB15" s="32"/>
      <c r="AC15" s="32"/>
      <c r="AD15" s="32"/>
      <c r="AE15" s="32"/>
      <c r="AF15" s="32"/>
      <c r="AG15" s="32"/>
      <c r="AH15" s="32"/>
      <c r="AI15" s="32"/>
      <c r="AJ15" s="32"/>
      <c r="AK15" s="32"/>
      <c r="AL15"/>
      <c r="AM15"/>
      <c r="AN15"/>
      <c r="AO15"/>
      <c r="AP15"/>
      <c r="AQ15" s="168"/>
      <c r="AT15" s="94"/>
      <c r="AU15" s="94"/>
      <c r="AV15" s="94"/>
      <c r="AW15" s="94"/>
      <c r="AX15" s="94"/>
    </row>
    <row r="16" spans="1:50" x14ac:dyDescent="0.25">
      <c r="D16" s="168"/>
      <c r="E16" s="259"/>
      <c r="F16" s="168"/>
      <c r="G16" s="168"/>
      <c r="H16" s="168"/>
      <c r="I16" s="168"/>
      <c r="J16" s="168"/>
      <c r="K16" s="168"/>
      <c r="L16" s="168"/>
      <c r="M16" s="168"/>
      <c r="N16" s="168"/>
      <c r="O16" s="168"/>
      <c r="P16" s="168"/>
      <c r="S16" s="32"/>
      <c r="T16" s="32"/>
      <c r="U16" s="32"/>
      <c r="V16" s="32"/>
      <c r="W16" s="32"/>
      <c r="X16" s="32"/>
      <c r="Y16" s="32"/>
      <c r="Z16" s="32"/>
      <c r="AA16" s="32"/>
      <c r="AB16" s="32"/>
      <c r="AC16" s="32"/>
      <c r="AD16" s="32"/>
      <c r="AE16" s="32"/>
      <c r="AF16" s="32"/>
      <c r="AG16" s="32"/>
      <c r="AH16" s="32"/>
      <c r="AI16" s="32"/>
      <c r="AJ16" s="32"/>
      <c r="AK16" s="32"/>
      <c r="AL16"/>
      <c r="AM16"/>
      <c r="AN16"/>
      <c r="AO16"/>
      <c r="AP16"/>
      <c r="AQ16" s="168"/>
      <c r="AT16" s="94"/>
      <c r="AU16" s="94"/>
      <c r="AV16" s="94"/>
      <c r="AW16" s="94"/>
      <c r="AX16" s="94"/>
    </row>
    <row r="17" spans="1:67" ht="34.5" customHeight="1" x14ac:dyDescent="0.25">
      <c r="B17" s="47" t="s">
        <v>5803</v>
      </c>
      <c r="C17" s="213"/>
      <c r="D17" s="168"/>
      <c r="E17" s="259"/>
      <c r="F17" s="168"/>
      <c r="G17" s="168"/>
      <c r="H17" s="168"/>
      <c r="I17" s="168"/>
      <c r="J17" s="168"/>
      <c r="K17" s="168"/>
      <c r="L17" s="168"/>
      <c r="M17" s="168"/>
      <c r="N17" s="168"/>
      <c r="O17" s="168"/>
      <c r="P17" s="168"/>
      <c r="S17" s="32"/>
      <c r="T17" s="32"/>
      <c r="U17" s="32"/>
      <c r="V17" s="32"/>
      <c r="W17" s="32"/>
      <c r="X17" s="32"/>
      <c r="Y17" s="32"/>
      <c r="Z17" s="32"/>
      <c r="AA17" s="32"/>
      <c r="AB17" s="32"/>
      <c r="AC17" s="32"/>
      <c r="AD17" s="32"/>
      <c r="AE17" s="32"/>
      <c r="AF17" s="32"/>
      <c r="AG17" s="32"/>
      <c r="AH17" s="32"/>
      <c r="AI17" s="32"/>
      <c r="AJ17" s="32"/>
      <c r="AK17" s="32"/>
      <c r="AL17"/>
      <c r="AM17"/>
      <c r="AN17"/>
      <c r="AO17"/>
      <c r="AP17"/>
      <c r="AQ17" s="168"/>
      <c r="AT17" s="94"/>
      <c r="AU17" s="94"/>
      <c r="AV17" s="94"/>
      <c r="AW17" s="94"/>
      <c r="AX17" s="94"/>
    </row>
    <row r="18" spans="1:67" ht="34.5" customHeight="1" x14ac:dyDescent="0.25">
      <c r="B18" s="47" t="s">
        <v>10623</v>
      </c>
      <c r="C18" s="218">
        <f>IF(C9="Método do edifício completo",SUM(C32:C34),IF(C9="Método das atividades do edifício",SUMPRODUCT(T32:T1048576,U32:U1048576),IF(C9="Método de Simulação",AU26,"")))</f>
        <v>1612.2599999999998</v>
      </c>
      <c r="D18" s="168"/>
      <c r="E18" s="259"/>
      <c r="F18" s="168"/>
      <c r="G18" s="168"/>
      <c r="H18" s="168"/>
      <c r="I18" s="168"/>
      <c r="J18" s="168"/>
      <c r="K18" s="168"/>
      <c r="L18" s="168"/>
      <c r="M18" s="168"/>
      <c r="N18" s="168"/>
      <c r="O18" s="168"/>
      <c r="P18" s="168"/>
      <c r="S18" s="32"/>
      <c r="T18" s="32"/>
      <c r="U18" s="32"/>
      <c r="V18" s="32"/>
      <c r="W18" s="32"/>
      <c r="X18" s="32"/>
      <c r="Y18" s="32"/>
      <c r="Z18" s="32"/>
      <c r="AA18" s="32"/>
      <c r="AB18" s="32"/>
      <c r="AC18" s="32"/>
      <c r="AD18" s="32"/>
      <c r="AE18" s="32"/>
      <c r="AF18" s="32"/>
      <c r="AG18" s="32"/>
      <c r="AH18" s="32"/>
      <c r="AI18" s="32"/>
      <c r="AJ18" s="32"/>
      <c r="AK18" s="32"/>
      <c r="AL18"/>
      <c r="AM18"/>
      <c r="AN18"/>
      <c r="AO18"/>
      <c r="AP18"/>
      <c r="AQ18" s="168"/>
      <c r="AT18" s="94"/>
      <c r="AU18" s="94"/>
      <c r="AV18" s="94"/>
      <c r="AW18" s="94"/>
      <c r="AX18" s="94"/>
    </row>
    <row r="19" spans="1:67" ht="34.5" customHeight="1" x14ac:dyDescent="0.25">
      <c r="B19" s="47" t="s">
        <v>5853</v>
      </c>
      <c r="C19" s="218">
        <f>IFERROR(IF(ISBLANK(C9),"",IF(AND(Início!C31="Não avalia",Início!F31=0),VLOOKUP(Início!C20,Aux_Lista!A1:H12,8,FALSE),
IF(AND(Início!C31="Não avalia",Início!F31&lt;&gt;0),Início!F31,
IF(C9="Método do Edifício completo",SUM(J32:J34)/SUM(C32:C34),
IF(C9="Método das atividades do edifício",SUM(AH32:AH404)/SUMPRODUCT(T32:T481,U32:U481),
IF(C9="Método de Simulação",AU29/AU26,"")))))),0)</f>
        <v>15.449170729286841</v>
      </c>
      <c r="D19" s="168"/>
      <c r="E19" s="259"/>
      <c r="F19" s="168"/>
      <c r="G19" s="168"/>
      <c r="H19" s="168"/>
      <c r="I19" s="168"/>
      <c r="J19" s="168"/>
      <c r="K19" s="168"/>
      <c r="L19" s="168"/>
      <c r="M19" s="168"/>
      <c r="N19" s="168"/>
      <c r="O19" s="168"/>
      <c r="P19" s="168"/>
      <c r="S19" s="32"/>
      <c r="T19" s="32"/>
      <c r="U19" s="32"/>
      <c r="V19" s="32"/>
      <c r="W19" s="32"/>
      <c r="X19" s="32"/>
      <c r="Y19" s="32"/>
      <c r="Z19" s="32"/>
      <c r="AA19" s="32"/>
      <c r="AB19" s="32"/>
      <c r="AC19" s="32"/>
      <c r="AD19" s="32"/>
      <c r="AE19" s="32"/>
      <c r="AF19" s="32"/>
      <c r="AG19" s="32"/>
      <c r="AH19" s="32"/>
      <c r="AI19" s="32"/>
      <c r="AJ19" s="32"/>
      <c r="AK19" s="32"/>
      <c r="AL19"/>
      <c r="AM19"/>
      <c r="AN19"/>
      <c r="AO19"/>
      <c r="AP19"/>
      <c r="AQ19" s="168"/>
      <c r="AT19" s="94"/>
      <c r="AU19" s="94"/>
      <c r="AV19" s="94"/>
      <c r="AW19" s="94"/>
      <c r="AX19" s="94"/>
    </row>
    <row r="20" spans="1:67" ht="34.5" customHeight="1" x14ac:dyDescent="0.25">
      <c r="B20" s="47" t="s">
        <v>94</v>
      </c>
      <c r="C20" s="218">
        <f>IFERROR(IF(ISBLANK(C9),"",IF(C9="Método do edifício completo",((C27-C28)/C27)/3,IF(C9="Método das atividades do edifício",((T27-T28)/T27)/3,IF(C9="Método de Simulação",((T11-T12)/T11)/3,"")))),"")</f>
        <v>0.13617886178861791</v>
      </c>
      <c r="D20" s="168"/>
      <c r="E20" s="259"/>
      <c r="F20" s="168"/>
      <c r="G20" s="168"/>
      <c r="H20" s="168"/>
      <c r="I20" s="168"/>
      <c r="J20" s="168"/>
      <c r="K20" s="168"/>
      <c r="L20" s="168"/>
      <c r="M20" s="168"/>
      <c r="N20" s="168"/>
      <c r="O20" s="168"/>
      <c r="P20" s="168"/>
      <c r="S20" s="32"/>
      <c r="T20" s="32"/>
      <c r="U20" s="32"/>
      <c r="V20" s="32"/>
      <c r="W20" s="32"/>
      <c r="X20" s="32"/>
      <c r="Y20" s="32"/>
      <c r="Z20" s="32"/>
      <c r="AA20" s="32"/>
      <c r="AB20" s="32"/>
      <c r="AC20" s="32"/>
      <c r="AD20" s="32"/>
      <c r="AE20" s="32"/>
      <c r="AF20" s="32"/>
      <c r="AG20" s="32"/>
      <c r="AH20" s="32"/>
      <c r="AI20" s="32"/>
      <c r="AJ20" s="32"/>
      <c r="AK20" s="32"/>
      <c r="AL20"/>
      <c r="AM20"/>
      <c r="AN20"/>
      <c r="AO20"/>
      <c r="AP20"/>
      <c r="AQ20" s="168"/>
      <c r="AT20" s="94"/>
      <c r="AU20" s="94"/>
      <c r="AV20" s="94"/>
      <c r="AW20" s="94"/>
      <c r="AX20" s="94"/>
    </row>
    <row r="21" spans="1:67" x14ac:dyDescent="0.25">
      <c r="B21" s="34"/>
      <c r="C21" s="35"/>
      <c r="D21" s="259"/>
      <c r="E21" s="259"/>
      <c r="F21" s="168"/>
      <c r="G21" s="168"/>
      <c r="H21" s="168"/>
      <c r="I21" s="168"/>
      <c r="J21" s="168"/>
      <c r="K21" s="168"/>
      <c r="L21" s="168"/>
      <c r="M21" s="168"/>
      <c r="N21" s="168"/>
      <c r="O21" s="168"/>
      <c r="P21" s="168"/>
      <c r="S21" s="32"/>
      <c r="T21" s="32"/>
      <c r="U21" s="32"/>
      <c r="V21" s="32"/>
      <c r="W21" s="32"/>
      <c r="X21" s="32"/>
      <c r="Y21" s="32"/>
      <c r="Z21" s="32"/>
      <c r="AA21" s="32"/>
      <c r="AB21" s="32"/>
      <c r="AC21" s="32"/>
      <c r="AD21" s="32"/>
      <c r="AE21" s="32"/>
      <c r="AF21" s="32"/>
      <c r="AG21" s="32"/>
      <c r="AH21" s="32"/>
      <c r="AI21" s="32"/>
      <c r="AJ21" s="32"/>
      <c r="AK21" s="32"/>
      <c r="AL21"/>
      <c r="AM21"/>
      <c r="AN21"/>
      <c r="AO21"/>
      <c r="AP21"/>
      <c r="AQ21" s="168"/>
      <c r="AT21" s="94"/>
      <c r="AU21" s="94"/>
      <c r="AV21" s="94"/>
      <c r="AW21" s="94"/>
      <c r="AX21" s="94"/>
    </row>
    <row r="22" spans="1:67" s="43" customFormat="1" ht="24.95" customHeight="1" x14ac:dyDescent="0.25">
      <c r="A22" s="39"/>
      <c r="B22" s="246" t="s">
        <v>5987</v>
      </c>
      <c r="C22" s="36"/>
      <c r="D22" s="36"/>
      <c r="E22" s="36"/>
      <c r="F22" s="42"/>
      <c r="G22" s="42"/>
      <c r="H22" s="42"/>
      <c r="I22" s="42"/>
      <c r="J22" s="42"/>
      <c r="K22" s="42"/>
      <c r="L22" s="42"/>
      <c r="M22" s="42"/>
      <c r="N22" s="42"/>
      <c r="O22" s="42"/>
      <c r="P22" s="42"/>
      <c r="R22" s="96"/>
      <c r="S22" s="246" t="s">
        <v>95</v>
      </c>
      <c r="T22" s="36"/>
      <c r="U22" s="36"/>
      <c r="V22" s="36"/>
      <c r="W22" s="36"/>
      <c r="X22" s="42"/>
      <c r="Y22" s="42"/>
      <c r="Z22" s="42"/>
      <c r="AA22" s="42"/>
      <c r="AB22" s="42"/>
      <c r="AC22" s="42"/>
      <c r="AD22" s="42"/>
      <c r="AE22" s="42"/>
      <c r="AF22" s="42"/>
      <c r="AG22" s="42"/>
      <c r="AH22" s="42"/>
      <c r="AI22" s="42"/>
      <c r="AJ22" s="42"/>
      <c r="AK22" s="42"/>
      <c r="AL22" s="42"/>
      <c r="AM22" s="42"/>
      <c r="AN22" s="42"/>
      <c r="AO22" s="42"/>
      <c r="AP22" s="42"/>
      <c r="AQ22" s="42"/>
      <c r="AS22" s="96"/>
      <c r="AT22" s="246" t="s">
        <v>92</v>
      </c>
      <c r="AU22" s="36"/>
      <c r="AV22" s="36"/>
      <c r="AW22" s="36"/>
      <c r="AX22" s="36"/>
    </row>
    <row r="23" spans="1:67" s="322" customFormat="1" ht="125.25" customHeight="1" x14ac:dyDescent="0.25">
      <c r="A23" s="320"/>
      <c r="B23" s="559" t="s">
        <v>5979</v>
      </c>
      <c r="C23" s="559"/>
      <c r="D23" s="559"/>
      <c r="E23" s="559"/>
      <c r="F23" s="559"/>
      <c r="G23" s="559"/>
      <c r="H23" s="321"/>
      <c r="I23" s="321"/>
      <c r="J23" s="321"/>
      <c r="K23" s="321"/>
      <c r="L23" s="321"/>
      <c r="M23" s="321"/>
      <c r="N23" s="321"/>
      <c r="O23" s="321"/>
      <c r="P23" s="321"/>
      <c r="R23" s="339"/>
      <c r="S23" s="541" t="s">
        <v>5980</v>
      </c>
      <c r="T23" s="541"/>
      <c r="U23" s="541"/>
      <c r="V23" s="541"/>
      <c r="W23" s="541"/>
      <c r="X23" s="541"/>
      <c r="Y23" s="541"/>
      <c r="Z23" s="340"/>
      <c r="AA23" s="340"/>
      <c r="AB23" s="340"/>
      <c r="AC23" s="340"/>
      <c r="AD23" s="340"/>
      <c r="AE23" s="340"/>
      <c r="AF23" s="340"/>
      <c r="AG23" s="340"/>
      <c r="AH23" s="340"/>
      <c r="AI23" s="32"/>
      <c r="AJ23" s="32"/>
      <c r="AK23" s="32"/>
      <c r="AL23" s="32"/>
      <c r="AM23" s="32"/>
      <c r="AN23" s="32"/>
      <c r="AO23" s="32"/>
      <c r="AP23" s="340"/>
      <c r="AQ23" s="340"/>
      <c r="AS23" s="323"/>
      <c r="AT23" s="541" t="s">
        <v>10655</v>
      </c>
      <c r="AU23" s="541"/>
      <c r="AV23" s="541"/>
      <c r="AW23" s="541"/>
      <c r="AX23" s="541"/>
      <c r="AY23" s="43"/>
      <c r="AZ23" s="43"/>
      <c r="BA23" s="43"/>
      <c r="BB23" s="43"/>
      <c r="BC23" s="43"/>
      <c r="BD23" s="43"/>
      <c r="BE23" s="43"/>
      <c r="BF23" s="43"/>
      <c r="BG23" s="43"/>
      <c r="BH23" s="43"/>
      <c r="BI23" s="43"/>
      <c r="BJ23" s="43"/>
      <c r="BK23" s="43"/>
      <c r="BL23" s="43"/>
      <c r="BM23" s="43"/>
      <c r="BN23" s="43"/>
      <c r="BO23" s="43"/>
    </row>
    <row r="24" spans="1:67" ht="15.75" x14ac:dyDescent="0.25">
      <c r="B24" s="45"/>
      <c r="C24" s="5"/>
      <c r="D24" s="5"/>
      <c r="E24" s="5"/>
      <c r="F24"/>
      <c r="G24"/>
      <c r="H24"/>
      <c r="I24"/>
      <c r="J24"/>
      <c r="K24"/>
      <c r="L24"/>
      <c r="M24"/>
      <c r="N24"/>
      <c r="O24"/>
      <c r="P24"/>
      <c r="Q24" s="322"/>
      <c r="R24" s="338"/>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c r="AR24" s="322"/>
      <c r="AY24" s="43"/>
      <c r="AZ24" s="43"/>
      <c r="BA24" s="43"/>
      <c r="BB24" s="43"/>
      <c r="BC24" s="43"/>
      <c r="BD24" s="43"/>
      <c r="BE24" s="43"/>
      <c r="BF24" s="43"/>
      <c r="BG24" s="43"/>
      <c r="BH24" s="43"/>
      <c r="BI24" s="43"/>
      <c r="BJ24" s="43"/>
      <c r="BK24" s="43"/>
      <c r="BL24" s="43"/>
      <c r="BM24" s="43"/>
      <c r="BN24" s="43"/>
      <c r="BO24" s="43"/>
    </row>
    <row r="25" spans="1:67" ht="30" hidden="1" customHeight="1" x14ac:dyDescent="0.25">
      <c r="A25" s="40"/>
      <c r="B25" s="47" t="s">
        <v>96</v>
      </c>
      <c r="C25" s="50" t="str">
        <f>Início!C20</f>
        <v>Escritórios</v>
      </c>
      <c r="D25" s="32"/>
      <c r="E25"/>
      <c r="F25"/>
      <c r="G25"/>
      <c r="H25"/>
      <c r="I25"/>
      <c r="J25"/>
      <c r="K25"/>
      <c r="L25"/>
      <c r="M25"/>
      <c r="N25"/>
      <c r="O25"/>
      <c r="P25"/>
      <c r="Q25" s="322"/>
      <c r="R25" s="338"/>
      <c r="S25" s="47" t="s">
        <v>96</v>
      </c>
      <c r="T25" s="50" t="str">
        <f>C25</f>
        <v>Escritórios</v>
      </c>
      <c r="U25" s="32"/>
      <c r="V25" s="32"/>
      <c r="W25" s="32"/>
      <c r="X25" s="32"/>
      <c r="Y25" s="32"/>
      <c r="Z25" s="32"/>
      <c r="AA25" s="32"/>
      <c r="AB25" s="32"/>
      <c r="AC25" s="32"/>
      <c r="AD25" s="32"/>
      <c r="AE25" s="32"/>
      <c r="AF25" s="32"/>
      <c r="AG25" s="32"/>
      <c r="AH25" s="32"/>
      <c r="AI25"/>
      <c r="AJ25"/>
      <c r="AK25"/>
      <c r="AL25" s="32"/>
      <c r="AM25" s="32"/>
      <c r="AN25" s="32"/>
      <c r="AO25" s="32"/>
      <c r="AP25"/>
      <c r="AQ25"/>
      <c r="AR25" s="322"/>
      <c r="AT25" s="47" t="s">
        <v>96</v>
      </c>
      <c r="AU25" s="50" t="str">
        <f>C25</f>
        <v>Escritórios</v>
      </c>
    </row>
    <row r="26" spans="1:67" ht="30" hidden="1" customHeight="1" x14ac:dyDescent="0.25">
      <c r="A26" s="40"/>
      <c r="D26" s="32"/>
      <c r="E26"/>
      <c r="F26"/>
      <c r="G26"/>
      <c r="H26"/>
      <c r="I26"/>
      <c r="J26"/>
      <c r="K26"/>
      <c r="L26"/>
      <c r="M26"/>
      <c r="N26"/>
      <c r="O26"/>
      <c r="P26"/>
      <c r="Q26" s="322"/>
      <c r="R26" s="338"/>
      <c r="S26" s="41"/>
      <c r="U26" s="32"/>
      <c r="V26" s="32"/>
      <c r="W26" s="32"/>
      <c r="X26" s="32"/>
      <c r="Y26" s="32"/>
      <c r="Z26" s="32"/>
      <c r="AA26" s="32"/>
      <c r="AB26" s="32"/>
      <c r="AC26" s="32"/>
      <c r="AD26" s="32"/>
      <c r="AE26" s="32"/>
      <c r="AF26" s="32"/>
      <c r="AG26" s="32"/>
      <c r="AH26" s="32"/>
      <c r="AI26"/>
      <c r="AJ26"/>
      <c r="AK26"/>
      <c r="AL26" s="32"/>
      <c r="AM26" s="32"/>
      <c r="AN26" s="32"/>
      <c r="AO26" s="32"/>
      <c r="AP26"/>
      <c r="AQ26"/>
      <c r="AR26" s="322"/>
      <c r="AT26" s="47" t="s">
        <v>10632</v>
      </c>
      <c r="AU26" s="514"/>
    </row>
    <row r="27" spans="1:67" ht="30" customHeight="1" x14ac:dyDescent="0.25">
      <c r="A27" s="40"/>
      <c r="B27" s="47" t="s">
        <v>10626</v>
      </c>
      <c r="C27" s="335">
        <f>IF(C9=B22,SUM(M32:M34),0)</f>
        <v>68746.766399999993</v>
      </c>
      <c r="D27" s="32"/>
      <c r="E27"/>
      <c r="F27"/>
      <c r="G27"/>
      <c r="H27"/>
      <c r="I27"/>
      <c r="J27"/>
      <c r="K27"/>
      <c r="L27"/>
      <c r="M27"/>
      <c r="N27"/>
      <c r="O27"/>
      <c r="P27"/>
      <c r="Q27" s="322"/>
      <c r="R27" s="338"/>
      <c r="S27" s="47" t="s">
        <v>97</v>
      </c>
      <c r="T27" s="335">
        <f>IF(C9=S22,SUM(AN32:AN531),0)</f>
        <v>0</v>
      </c>
      <c r="U27" s="32"/>
      <c r="V27" s="32"/>
      <c r="W27" s="35"/>
      <c r="X27" s="32"/>
      <c r="Y27" s="32"/>
      <c r="Z27" s="32"/>
      <c r="AA27" s="32"/>
      <c r="AB27" s="32"/>
      <c r="AC27" s="32"/>
      <c r="AD27" s="32"/>
      <c r="AE27" s="32"/>
      <c r="AF27" s="32"/>
      <c r="AG27" s="32"/>
      <c r="AH27" s="32"/>
      <c r="AI27"/>
      <c r="AJ27"/>
      <c r="AK27"/>
      <c r="AL27"/>
      <c r="AM27" s="32"/>
      <c r="AN27" s="32"/>
      <c r="AO27" s="32"/>
      <c r="AP27"/>
      <c r="AQ27"/>
      <c r="AR27" s="322"/>
      <c r="AT27" s="47" t="s">
        <v>10626</v>
      </c>
      <c r="AU27" s="515"/>
      <c r="AX27" s="35"/>
    </row>
    <row r="28" spans="1:67" ht="30" customHeight="1" x14ac:dyDescent="0.25">
      <c r="A28" s="40"/>
      <c r="B28" s="47" t="s">
        <v>10627</v>
      </c>
      <c r="C28" s="335">
        <f>IF(C9=B22,SUM(N32:N34),0)</f>
        <v>40661.197199999995</v>
      </c>
      <c r="D28" s="32"/>
      <c r="E28"/>
      <c r="F28"/>
      <c r="G28"/>
      <c r="H28"/>
      <c r="I28"/>
      <c r="J28"/>
      <c r="K28"/>
      <c r="L28"/>
      <c r="M28"/>
      <c r="N28"/>
      <c r="O28"/>
      <c r="P28"/>
      <c r="Q28" s="322"/>
      <c r="R28" s="338"/>
      <c r="S28" s="47" t="s">
        <v>98</v>
      </c>
      <c r="T28" s="335">
        <f>IF(C9=S22,SUM(AO32:AO531),0)</f>
        <v>0</v>
      </c>
      <c r="U28" s="32"/>
      <c r="V28" s="32"/>
      <c r="W28" s="32"/>
      <c r="X28" s="32"/>
      <c r="Y28" s="32"/>
      <c r="Z28" s="32"/>
      <c r="AA28" s="32"/>
      <c r="AB28" s="32"/>
      <c r="AC28" s="32"/>
      <c r="AD28" s="32"/>
      <c r="AE28" s="32"/>
      <c r="AF28" s="32"/>
      <c r="AG28" s="32"/>
      <c r="AH28" s="32"/>
      <c r="AI28"/>
      <c r="AJ28"/>
      <c r="AK28"/>
      <c r="AL28"/>
      <c r="AM28"/>
      <c r="AN28"/>
      <c r="AO28" s="32"/>
      <c r="AP28"/>
      <c r="AQ28"/>
      <c r="AR28" s="322"/>
      <c r="AT28" s="47" t="s">
        <v>10627</v>
      </c>
      <c r="AU28" s="515"/>
    </row>
    <row r="29" spans="1:67" ht="30" customHeight="1" x14ac:dyDescent="0.25">
      <c r="A29" s="40"/>
      <c r="B29" s="40"/>
      <c r="C29" s="40"/>
      <c r="D29"/>
      <c r="E29"/>
      <c r="F29"/>
      <c r="G29"/>
      <c r="H29"/>
      <c r="I29"/>
      <c r="J29"/>
      <c r="K29" s="555" t="s">
        <v>99</v>
      </c>
      <c r="L29" s="556"/>
      <c r="M29" s="558" t="s">
        <v>10628</v>
      </c>
      <c r="N29" s="556"/>
      <c r="O29"/>
      <c r="P29"/>
      <c r="Q29" s="322"/>
      <c r="R29" s="338"/>
      <c r="S29" s="94"/>
      <c r="T29" s="94"/>
      <c r="U29" s="32"/>
      <c r="V29" s="94"/>
      <c r="W29" s="32"/>
      <c r="X29" s="32"/>
      <c r="Y29" s="32"/>
      <c r="Z29" s="32"/>
      <c r="AA29" s="32"/>
      <c r="AB29" s="32"/>
      <c r="AC29" s="32"/>
      <c r="AD29" s="32"/>
      <c r="AE29" s="32"/>
      <c r="AF29" s="32"/>
      <c r="AG29" s="32"/>
      <c r="AH29" s="32"/>
      <c r="AI29" s="557" t="s">
        <v>5916</v>
      </c>
      <c r="AJ29" s="557"/>
      <c r="AK29" s="557"/>
      <c r="AL29" s="546" t="s">
        <v>99</v>
      </c>
      <c r="AM29" s="544"/>
      <c r="AN29" s="558" t="s">
        <v>10628</v>
      </c>
      <c r="AO29" s="556"/>
      <c r="AP29"/>
      <c r="AQ29"/>
      <c r="AR29" s="322"/>
      <c r="AT29" s="47" t="s">
        <v>10631</v>
      </c>
      <c r="AU29" s="515"/>
    </row>
    <row r="30" spans="1:67" ht="47.25" customHeight="1" x14ac:dyDescent="0.25">
      <c r="B30" s="548" t="s">
        <v>5889</v>
      </c>
      <c r="C30" s="543" t="s">
        <v>100</v>
      </c>
      <c r="D30" s="543" t="s">
        <v>5976</v>
      </c>
      <c r="E30" s="543" t="s">
        <v>5975</v>
      </c>
      <c r="F30" s="543" t="s">
        <v>101</v>
      </c>
      <c r="G30" s="543" t="s">
        <v>102</v>
      </c>
      <c r="H30" s="543" t="s">
        <v>103</v>
      </c>
      <c r="I30" s="543" t="s">
        <v>104</v>
      </c>
      <c r="J30" s="542" t="s">
        <v>107</v>
      </c>
      <c r="K30" s="548" t="s">
        <v>111</v>
      </c>
      <c r="L30" s="542" t="s">
        <v>112</v>
      </c>
      <c r="M30" s="543" t="s">
        <v>10629</v>
      </c>
      <c r="N30" s="542" t="s">
        <v>10630</v>
      </c>
      <c r="O30"/>
      <c r="P30"/>
      <c r="S30" s="546" t="s">
        <v>5890</v>
      </c>
      <c r="T30" s="549" t="s">
        <v>100</v>
      </c>
      <c r="U30" s="549" t="s">
        <v>5973</v>
      </c>
      <c r="V30" s="543" t="s">
        <v>5976</v>
      </c>
      <c r="W30" s="543" t="s">
        <v>5986</v>
      </c>
      <c r="X30" s="543" t="s">
        <v>5984</v>
      </c>
      <c r="Y30" s="549" t="s">
        <v>101</v>
      </c>
      <c r="Z30" s="549" t="s">
        <v>102</v>
      </c>
      <c r="AA30" s="549" t="s">
        <v>103</v>
      </c>
      <c r="AB30" s="549" t="s">
        <v>104</v>
      </c>
      <c r="AC30" s="543" t="s">
        <v>5915</v>
      </c>
      <c r="AD30" s="543" t="s">
        <v>105</v>
      </c>
      <c r="AE30" s="543" t="s">
        <v>5978</v>
      </c>
      <c r="AF30" s="543" t="s">
        <v>106</v>
      </c>
      <c r="AG30" s="543"/>
      <c r="AH30" s="542" t="s">
        <v>5982</v>
      </c>
      <c r="AI30" s="65" t="s">
        <v>108</v>
      </c>
      <c r="AJ30" s="66" t="s">
        <v>109</v>
      </c>
      <c r="AK30" s="67" t="s">
        <v>110</v>
      </c>
      <c r="AL30" s="546" t="s">
        <v>111</v>
      </c>
      <c r="AM30" s="544" t="s">
        <v>112</v>
      </c>
      <c r="AN30" s="543" t="s">
        <v>10629</v>
      </c>
      <c r="AO30" s="542" t="s">
        <v>10630</v>
      </c>
      <c r="AP30" s="21"/>
      <c r="AQ30"/>
      <c r="AT30" s="47" t="s">
        <v>10635</v>
      </c>
      <c r="AU30" s="515"/>
    </row>
    <row r="31" spans="1:67" s="16" customFormat="1" ht="15.75" x14ac:dyDescent="0.25">
      <c r="A31" s="7"/>
      <c r="B31" s="548"/>
      <c r="C31" s="543"/>
      <c r="D31" s="543"/>
      <c r="E31" s="543"/>
      <c r="F31" s="543"/>
      <c r="G31" s="543"/>
      <c r="H31" s="543"/>
      <c r="I31" s="543"/>
      <c r="J31" s="542"/>
      <c r="K31" s="548"/>
      <c r="L31" s="542"/>
      <c r="M31" s="543"/>
      <c r="N31" s="542"/>
      <c r="O31"/>
      <c r="P31"/>
      <c r="Q31" s="11"/>
      <c r="R31" s="94"/>
      <c r="S31" s="547"/>
      <c r="T31" s="550"/>
      <c r="U31" s="550"/>
      <c r="V31" s="543"/>
      <c r="W31" s="543"/>
      <c r="X31" s="543"/>
      <c r="Y31" s="550"/>
      <c r="Z31" s="550"/>
      <c r="AA31" s="550"/>
      <c r="AB31" s="550"/>
      <c r="AC31" s="543"/>
      <c r="AD31" s="543"/>
      <c r="AE31" s="543"/>
      <c r="AF31" s="543"/>
      <c r="AG31" s="543"/>
      <c r="AH31" s="542"/>
      <c r="AI31" s="342">
        <f>(SUMIFS($AE$32:$AE$531,$AI$32:$AI$531,"Atende")+SUMIFS($AE$32:$AE$531,$AI$32:$AI$531,"Não se aplica"))/SUM($AE$32:$AE$531)</f>
        <v>0.94765840220385678</v>
      </c>
      <c r="AJ31" s="342">
        <f>(SUMIFS($AE$32:$AE$531,$AJ$32:$AJ$531,"Atende")+SUMIFS($AE$32:$AE$531,$AJ$32:$AJ$531,"Não se aplica"))/SUM($AE$32:$AE$531)</f>
        <v>0.94765840220385678</v>
      </c>
      <c r="AK31" s="342">
        <f>(SUMIFS($AE$32:$AE$531,$AK$32:$AK$531,"Atende")+SUMIFS($AE$32:$AE$531,$AK$32:$AK$531,"Não se aplica"))/SUM($AE$32:$AE$531)</f>
        <v>0.94765840220385678</v>
      </c>
      <c r="AL31" s="547"/>
      <c r="AM31" s="545"/>
      <c r="AN31" s="543"/>
      <c r="AO31" s="542"/>
      <c r="AP31" s="21"/>
      <c r="AQ31"/>
      <c r="AR31" s="11"/>
      <c r="AS31" s="94"/>
      <c r="AT31" s="341"/>
      <c r="AU31" s="341"/>
      <c r="AV31" s="341"/>
      <c r="AW31" s="341"/>
      <c r="AX31" s="341"/>
    </row>
    <row r="32" spans="1:67" s="15" customFormat="1" ht="30" customHeight="1" x14ac:dyDescent="0.25">
      <c r="A32" s="2"/>
      <c r="B32" s="328" t="s">
        <v>10707</v>
      </c>
      <c r="C32" s="325">
        <f>SUMIFS(P41:P540,C41:C540,B32)</f>
        <v>910.24999999999989</v>
      </c>
      <c r="D32" s="217" t="s">
        <v>35</v>
      </c>
      <c r="E32" s="217" t="s">
        <v>406</v>
      </c>
      <c r="F32" s="325">
        <f>IFERROR(VLOOKUP(D32,Aux_Lista!A:K,11,FALSE),"")</f>
        <v>10</v>
      </c>
      <c r="G32" s="325">
        <f>IFERROR(VLOOKUP(D32,Aux_Lista!A:L,12,FALSE),"")</f>
        <v>260</v>
      </c>
      <c r="H32" s="325">
        <f>IFERROR(VLOOKUP(E32,Aux_Lista!AJ:AL,3,FALSE),"")</f>
        <v>16.399999999999999</v>
      </c>
      <c r="I32" s="325">
        <f>IFERROR(VLOOKUP(E32,Aux_Lista!$AJ:$AL,2,FALSE),"")</f>
        <v>9.6999999999999993</v>
      </c>
      <c r="J32" s="326">
        <f>SUMIFS($L$41:$L$403,$C$41:$C$403,$B32)</f>
        <v>13062.55</v>
      </c>
      <c r="K32" s="330">
        <f>IF(ISERROR((C32*F32*G32*H32)/1000),"",(C32*F32*G32*H32)/1000)</f>
        <v>38813.05999999999</v>
      </c>
      <c r="L32" s="331">
        <f>IF(ISERROR((F32*G32*J32)/1000),"",(F32*G32*J32)/1000)</f>
        <v>33962.629999999997</v>
      </c>
      <c r="M32" s="332">
        <f>IFERROR(H32*C32*F32*G32/1000,"")</f>
        <v>38813.05999999999</v>
      </c>
      <c r="N32" s="331">
        <f>IFERROR(I32*C32*F32*G32/1000,"")</f>
        <v>22956.504999999994</v>
      </c>
      <c r="O32"/>
      <c r="P32"/>
      <c r="R32" s="94">
        <v>1</v>
      </c>
      <c r="S32" s="383" t="s">
        <v>6007</v>
      </c>
      <c r="T32" s="214">
        <v>61.15</v>
      </c>
      <c r="U32" s="214">
        <v>1</v>
      </c>
      <c r="V32" s="217" t="s">
        <v>287</v>
      </c>
      <c r="W32" s="215" t="s">
        <v>5814</v>
      </c>
      <c r="X32" s="336" t="s">
        <v>5983</v>
      </c>
      <c r="Y32" s="68">
        <f>IF(V32="","",VLOOKUP(V32,Aux_Lista!A:K,11,FALSE))</f>
        <v>12</v>
      </c>
      <c r="Z32" s="68">
        <f>IF(V32="","",VLOOKUP(V32,Aux_Lista!A:L,12,FALSE))</f>
        <v>365</v>
      </c>
      <c r="AA32" s="68">
        <f>IF(W32="","",VLOOKUP(W32,Aux_Lista!AN:AP,3,FALSE))</f>
        <v>16</v>
      </c>
      <c r="AB32" s="68">
        <f>IF(W32="","",VLOOKUP(W32,Aux_Lista!AN:AP,2,FALSE))</f>
        <v>8.85</v>
      </c>
      <c r="AC32" s="69"/>
      <c r="AD32" s="70">
        <v>368</v>
      </c>
      <c r="AE32" s="325">
        <f t="shared" ref="AE32:AE96" si="0">(AC32+AD32)*U32</f>
        <v>368</v>
      </c>
      <c r="AF32" s="540" t="s">
        <v>281</v>
      </c>
      <c r="AG32" s="540"/>
      <c r="AH32" s="337">
        <f>IFERROR(IF(X32="Sem projeto",1.5*AA32,AC32*VLOOKUP(AF32,Aux_Lista!AG:AH,2,FALSE)+AD32)*U32,0)</f>
        <v>368</v>
      </c>
      <c r="AI32" s="343" t="s">
        <v>5895</v>
      </c>
      <c r="AJ32" s="344" t="s">
        <v>5895</v>
      </c>
      <c r="AK32" s="345" t="s">
        <v>5895</v>
      </c>
      <c r="AL32" s="333">
        <f>IF(ISERROR((T32*U32*Y32*Z32*AA32)/1000),"",(T32*U32*Y32*Z32*AA32)/1000)</f>
        <v>4285.3919999999998</v>
      </c>
      <c r="AM32" s="334">
        <f>IF(ISERROR((Y32*Z32*AH32)/1000),"",(Y32*Z32*AH32)/1000)</f>
        <v>1611.84</v>
      </c>
      <c r="AN32" s="333">
        <f>IFERROR(AA32*T32*U32*Y32*Z32/1000,"")</f>
        <v>4285.3919999999998</v>
      </c>
      <c r="AO32" s="334">
        <f>IFERROR(AB32*T32*U32*Y32*Z32/1000,"")</f>
        <v>2370.35745</v>
      </c>
      <c r="AP32" s="44"/>
      <c r="AQ32"/>
      <c r="AS32" s="94"/>
      <c r="AT32" s="329"/>
      <c r="AU32" s="329"/>
      <c r="AV32" s="329"/>
      <c r="AW32" s="329"/>
      <c r="AX32" s="329"/>
    </row>
    <row r="33" spans="1:43" ht="30" customHeight="1" x14ac:dyDescent="0.25">
      <c r="B33" s="328" t="s">
        <v>10708</v>
      </c>
      <c r="C33" s="325">
        <f>SUMIFS(P41:P540,C41:C540,B33)</f>
        <v>702.01</v>
      </c>
      <c r="D33" s="217" t="s">
        <v>35</v>
      </c>
      <c r="E33" s="217" t="s">
        <v>406</v>
      </c>
      <c r="F33" s="325">
        <f>IFERROR(VLOOKUP(D33,Aux_Lista!A:K,11,FALSE),"")</f>
        <v>10</v>
      </c>
      <c r="G33" s="325">
        <f>IFERROR(VLOOKUP(D33,Aux_Lista!A:L,12,FALSE),"")</f>
        <v>260</v>
      </c>
      <c r="H33" s="325">
        <f>IFERROR(VLOOKUP(E33,Aux_Lista!AJ:AL,3,FALSE),"")</f>
        <v>16.399999999999999</v>
      </c>
      <c r="I33" s="325">
        <f>IFERROR(VLOOKUP(E33,Aux_Lista!$AJ:$AL,2,FALSE),"")</f>
        <v>9.6999999999999993</v>
      </c>
      <c r="J33" s="326">
        <f t="shared" ref="J33:J34" si="1">SUMIFS($L$41:$L$403,$C$41:$C$403,$B33)</f>
        <v>11845.529999999999</v>
      </c>
      <c r="K33" s="330">
        <f>IF(ISERROR((C33*F33*G33*H33)/1000),"",(C33*F33*G33*H33)/1000)</f>
        <v>29933.706399999999</v>
      </c>
      <c r="L33" s="331">
        <f>IF(ISERROR((F33*G33*J33)/1000),"",(F33*G33*J33)/1000)</f>
        <v>30798.377999999997</v>
      </c>
      <c r="M33" s="332">
        <f>IFERROR(H33*C33*F33*G33/1000,"")</f>
        <v>29933.706399999995</v>
      </c>
      <c r="N33" s="331">
        <f>IFERROR(I33*C33*F33*G33/1000,"")</f>
        <v>17704.692199999998</v>
      </c>
      <c r="O33"/>
      <c r="P33"/>
      <c r="R33" s="94">
        <v>2</v>
      </c>
      <c r="S33" s="384" t="s">
        <v>6008</v>
      </c>
      <c r="T33" s="216">
        <v>44.28</v>
      </c>
      <c r="U33" s="214">
        <v>1</v>
      </c>
      <c r="V33" s="217" t="s">
        <v>287</v>
      </c>
      <c r="W33" s="215" t="s">
        <v>396</v>
      </c>
      <c r="X33" s="336" t="s">
        <v>5983</v>
      </c>
      <c r="Y33" s="68">
        <f>IF(V33="","",VLOOKUP(V33,Aux_Lista!A:K,11,FALSE))</f>
        <v>12</v>
      </c>
      <c r="Z33" s="68">
        <f>IF(V33="","",VLOOKUP(V33,Aux_Lista!A:L,12,FALSE))</f>
        <v>365</v>
      </c>
      <c r="AA33" s="68">
        <f>IF(W33="","",VLOOKUP(W33,Aux_Lista!AN:AP,3,FALSE))</f>
        <v>8</v>
      </c>
      <c r="AB33" s="68">
        <f>IF(W33="","",VLOOKUP(W33,Aux_Lista!AN:AP,2,FALSE))</f>
        <v>4.95</v>
      </c>
      <c r="AC33" s="69"/>
      <c r="AD33" s="70">
        <v>276</v>
      </c>
      <c r="AE33" s="325">
        <f t="shared" si="0"/>
        <v>276</v>
      </c>
      <c r="AF33" s="540" t="s">
        <v>281</v>
      </c>
      <c r="AG33" s="540"/>
      <c r="AH33" s="337">
        <f>IFERROR(IF(X33="Sem projeto",1.5*AA33,AC33*VLOOKUP(AF33,Aux_Lista!AG:AH,2,FALSE)+AD33)*U33,0)</f>
        <v>276</v>
      </c>
      <c r="AI33" s="343" t="s">
        <v>5895</v>
      </c>
      <c r="AJ33" s="344" t="s">
        <v>5895</v>
      </c>
      <c r="AK33" s="345" t="s">
        <v>5895</v>
      </c>
      <c r="AL33" s="333">
        <f t="shared" ref="AL33:AL96" si="2">IF(ISERROR((T33*U33*Y33*Z33*AA33)/1000),"",(T33*U33*Y33*Z33*AA33)/1000)</f>
        <v>1551.5711999999999</v>
      </c>
      <c r="AM33" s="334">
        <f t="shared" ref="AM33:AM96" si="3">IF(ISERROR((Y33*Z33*AH33)/1000),"",(Y33*Z33*AH33)/1000)</f>
        <v>1208.8800000000001</v>
      </c>
      <c r="AN33" s="333">
        <f t="shared" ref="AN33:AN96" si="4">IFERROR(AA33*T33*U33*Y33*Z33/1000,"")</f>
        <v>1551.5711999999999</v>
      </c>
      <c r="AO33" s="334">
        <f t="shared" ref="AO33:AO96" si="5">IFERROR(AB33*T33*U33*Y33*Z33/1000,"")</f>
        <v>960.03467999999998</v>
      </c>
      <c r="AP33" s="44"/>
      <c r="AQ33"/>
    </row>
    <row r="34" spans="1:43" ht="30" customHeight="1" x14ac:dyDescent="0.25">
      <c r="B34" s="328"/>
      <c r="C34" s="325"/>
      <c r="D34" s="217"/>
      <c r="E34" s="217"/>
      <c r="F34" s="325" t="str">
        <f>IFERROR(VLOOKUP(D34,Aux_Lista!A:K,11,FALSE),"")</f>
        <v/>
      </c>
      <c r="G34" s="325" t="str">
        <f>IFERROR(VLOOKUP(D34,Aux_Lista!A:L,12,FALSE),"")</f>
        <v/>
      </c>
      <c r="H34" s="325" t="str">
        <f>IFERROR(VLOOKUP(E34,Aux_Lista!AJ:AL,3,FALSE),"")</f>
        <v/>
      </c>
      <c r="I34" s="325" t="str">
        <f>IFERROR(VLOOKUP(E34,Aux_Lista!$AJ:$AL,2,FALSE),"")</f>
        <v/>
      </c>
      <c r="J34" s="326">
        <f t="shared" si="1"/>
        <v>0</v>
      </c>
      <c r="K34" s="330" t="str">
        <f>IF(ISERROR((C34*F34*G34*H34)/1000),"",(C34*F34*G34*H34)/1000)</f>
        <v/>
      </c>
      <c r="L34" s="331" t="str">
        <f>IF(ISERROR((F34*G34*J34)/1000),"",(F34*G34*J34)/1000)</f>
        <v/>
      </c>
      <c r="M34" s="332" t="str">
        <f>IFERROR(H34*C34*F34*G34/1000,"")</f>
        <v/>
      </c>
      <c r="N34" s="331" t="str">
        <f>IFERROR(I34*C34*F34*G34/1000,"")</f>
        <v/>
      </c>
      <c r="O34"/>
      <c r="P34"/>
      <c r="R34" s="94">
        <v>3</v>
      </c>
      <c r="S34" s="384" t="s">
        <v>6009</v>
      </c>
      <c r="T34" s="216">
        <v>97.3</v>
      </c>
      <c r="U34" s="214">
        <v>1</v>
      </c>
      <c r="V34" s="217" t="s">
        <v>287</v>
      </c>
      <c r="W34" s="215" t="s">
        <v>5875</v>
      </c>
      <c r="X34" s="336" t="s">
        <v>5983</v>
      </c>
      <c r="Y34" s="68">
        <f>IF(V34="","",VLOOKUP(V34,Aux_Lista!A:K,11,FALSE))</f>
        <v>12</v>
      </c>
      <c r="Z34" s="68">
        <f>IF(V34="","",VLOOKUP(V34,Aux_Lista!A:L,12,FALSE))</f>
        <v>365</v>
      </c>
      <c r="AA34" s="68">
        <f>IF(W34="","",VLOOKUP(W34,Aux_Lista!AN:AP,3,FALSE))</f>
        <v>15.36</v>
      </c>
      <c r="AB34" s="68">
        <f>IF(W34="","",VLOOKUP(W34,Aux_Lista!AN:AP,2,FALSE))</f>
        <v>7.65</v>
      </c>
      <c r="AC34" s="69"/>
      <c r="AD34" s="70">
        <v>1863</v>
      </c>
      <c r="AE34" s="325">
        <f t="shared" si="0"/>
        <v>1863</v>
      </c>
      <c r="AF34" s="540" t="s">
        <v>281</v>
      </c>
      <c r="AG34" s="540"/>
      <c r="AH34" s="337">
        <f>IFERROR(IF(X34="Sem projeto",1.5*AA34,AC34*VLOOKUP(AF34,Aux_Lista!AG:AH,2,FALSE)+AD34)*U34,0)</f>
        <v>1863</v>
      </c>
      <c r="AI34" s="343" t="s">
        <v>5895</v>
      </c>
      <c r="AJ34" s="344" t="s">
        <v>5895</v>
      </c>
      <c r="AK34" s="345" t="s">
        <v>5895</v>
      </c>
      <c r="AL34" s="333">
        <f t="shared" si="2"/>
        <v>6546.0326399999985</v>
      </c>
      <c r="AM34" s="334">
        <f t="shared" si="3"/>
        <v>8159.94</v>
      </c>
      <c r="AN34" s="333">
        <f t="shared" si="4"/>
        <v>6546.0326399999985</v>
      </c>
      <c r="AO34" s="334">
        <f t="shared" si="5"/>
        <v>3260.2310999999995</v>
      </c>
      <c r="AP34" s="44"/>
      <c r="AQ34"/>
    </row>
    <row r="35" spans="1:43" ht="30" customHeight="1" x14ac:dyDescent="0.25">
      <c r="O35" s="2"/>
      <c r="P35" s="2"/>
      <c r="R35" s="94">
        <v>4</v>
      </c>
      <c r="S35" s="384" t="s">
        <v>6010</v>
      </c>
      <c r="T35" s="216">
        <v>70.45</v>
      </c>
      <c r="U35" s="214">
        <v>1</v>
      </c>
      <c r="V35" s="217" t="s">
        <v>287</v>
      </c>
      <c r="W35" s="215" t="s">
        <v>5821</v>
      </c>
      <c r="X35" s="336" t="s">
        <v>5983</v>
      </c>
      <c r="Y35" s="68">
        <f>IF(V35="","",VLOOKUP(V35,Aux_Lista!A:K,11,FALSE))</f>
        <v>12</v>
      </c>
      <c r="Z35" s="68">
        <f>IF(V35="","",VLOOKUP(V35,Aux_Lista!A:L,12,FALSE))</f>
        <v>365</v>
      </c>
      <c r="AA35" s="68">
        <f>IF(W35="","",VLOOKUP(W35,Aux_Lista!AN:AP,3,FALSE))</f>
        <v>12.8</v>
      </c>
      <c r="AB35" s="68">
        <f>IF(W35="","",VLOOKUP(W35,Aux_Lista!AN:AP,2,FALSE))</f>
        <v>11.4</v>
      </c>
      <c r="AC35" s="69"/>
      <c r="AD35" s="70">
        <v>529</v>
      </c>
      <c r="AE35" s="325">
        <f t="shared" si="0"/>
        <v>529</v>
      </c>
      <c r="AF35" s="540" t="s">
        <v>281</v>
      </c>
      <c r="AG35" s="540"/>
      <c r="AH35" s="337">
        <f>IFERROR(IF(X35="Sem projeto",1.5*AA35,AC35*VLOOKUP(AF35,Aux_Lista!AG:AH,2,FALSE)+AD35)*U35,0)</f>
        <v>529</v>
      </c>
      <c r="AI35" s="343" t="s">
        <v>5974</v>
      </c>
      <c r="AJ35" s="344" t="s">
        <v>5974</v>
      </c>
      <c r="AK35" s="345" t="s">
        <v>5974</v>
      </c>
      <c r="AL35" s="333">
        <f t="shared" si="2"/>
        <v>3949.7088000000008</v>
      </c>
      <c r="AM35" s="334">
        <f t="shared" si="3"/>
        <v>2317.02</v>
      </c>
      <c r="AN35" s="333">
        <f t="shared" si="4"/>
        <v>3949.7088000000003</v>
      </c>
      <c r="AO35" s="334">
        <f t="shared" si="5"/>
        <v>3517.7094000000002</v>
      </c>
      <c r="AP35" s="44"/>
    </row>
    <row r="36" spans="1:43" ht="30" customHeight="1" x14ac:dyDescent="0.25">
      <c r="B36" s="46" t="s">
        <v>5988</v>
      </c>
      <c r="C36" s="42"/>
      <c r="D36" s="42"/>
      <c r="E36" s="42"/>
      <c r="F36" s="42"/>
      <c r="G36" s="42"/>
      <c r="H36" s="42"/>
      <c r="I36" s="42"/>
      <c r="J36" s="42"/>
      <c r="K36" s="42"/>
      <c r="L36" s="42"/>
      <c r="M36" s="42"/>
      <c r="N36" s="42"/>
      <c r="O36" s="39"/>
      <c r="P36" s="2"/>
      <c r="R36" s="94">
        <v>5</v>
      </c>
      <c r="S36" s="384" t="s">
        <v>6011</v>
      </c>
      <c r="T36" s="216">
        <v>25.33</v>
      </c>
      <c r="U36" s="214">
        <v>1</v>
      </c>
      <c r="V36" s="217" t="s">
        <v>287</v>
      </c>
      <c r="W36" s="215" t="s">
        <v>403</v>
      </c>
      <c r="X36" s="336" t="s">
        <v>5983</v>
      </c>
      <c r="Y36" s="68">
        <f>IF(V36="","",VLOOKUP(V36,Aux_Lista!A:K,11,FALSE))</f>
        <v>12</v>
      </c>
      <c r="Z36" s="68">
        <f>IF(V36="","",VLOOKUP(V36,Aux_Lista!A:L,12,FALSE))</f>
        <v>365</v>
      </c>
      <c r="AA36" s="68">
        <f>IF(W36="","",VLOOKUP(W36,Aux_Lista!AN:AP,3,FALSE))</f>
        <v>11.84</v>
      </c>
      <c r="AB36" s="68">
        <f>IF(W36="","",VLOOKUP(W36,Aux_Lista!AN:AP,2,FALSE))</f>
        <v>6.25</v>
      </c>
      <c r="AC36" s="69">
        <v>92</v>
      </c>
      <c r="AD36" s="70"/>
      <c r="AE36" s="325">
        <f t="shared" si="0"/>
        <v>92</v>
      </c>
      <c r="AF36" s="540" t="s">
        <v>5981</v>
      </c>
      <c r="AG36" s="540"/>
      <c r="AH36" s="337">
        <f>IFERROR(IF(X36="Sem projeto",1.5*AA36,AC36*VLOOKUP(AF36,Aux_Lista!AG:AH,2,FALSE)+AD36)*U36,0)</f>
        <v>73.600000000000009</v>
      </c>
      <c r="AI36" s="343" t="s">
        <v>5895</v>
      </c>
      <c r="AJ36" s="344" t="s">
        <v>5895</v>
      </c>
      <c r="AK36" s="345" t="s">
        <v>5895</v>
      </c>
      <c r="AL36" s="333">
        <f t="shared" si="2"/>
        <v>1313.5935359999999</v>
      </c>
      <c r="AM36" s="334">
        <f t="shared" si="3"/>
        <v>322.36800000000005</v>
      </c>
      <c r="AN36" s="333">
        <f t="shared" si="4"/>
        <v>1313.5935359999999</v>
      </c>
      <c r="AO36" s="334">
        <f t="shared" si="5"/>
        <v>693.40875000000005</v>
      </c>
      <c r="AP36" s="44"/>
    </row>
    <row r="37" spans="1:43" ht="30" customHeight="1" x14ac:dyDescent="0.25">
      <c r="B37" s="2"/>
      <c r="C37" s="2"/>
      <c r="D37" s="2"/>
      <c r="E37" s="2"/>
      <c r="F37" s="2"/>
      <c r="G37" s="2"/>
      <c r="H37" s="2"/>
      <c r="I37" s="2"/>
      <c r="J37" s="2"/>
      <c r="K37" s="2"/>
      <c r="L37" s="2"/>
      <c r="M37" s="2"/>
      <c r="N37" s="2"/>
      <c r="O37" s="2"/>
      <c r="P37" s="2"/>
      <c r="R37" s="94">
        <v>6</v>
      </c>
      <c r="S37" s="384" t="s">
        <v>6012</v>
      </c>
      <c r="T37" s="216">
        <v>1.99</v>
      </c>
      <c r="U37" s="214">
        <v>1</v>
      </c>
      <c r="V37" s="217" t="s">
        <v>287</v>
      </c>
      <c r="W37" s="215" t="s">
        <v>382</v>
      </c>
      <c r="X37" s="336" t="s">
        <v>5983</v>
      </c>
      <c r="Y37" s="68">
        <f>IF(V37="","",VLOOKUP(V37,Aux_Lista!A:K,11,FALSE))</f>
        <v>12</v>
      </c>
      <c r="Z37" s="68">
        <f>IF(V37="","",VLOOKUP(V37,Aux_Lista!A:L,12,FALSE))</f>
        <v>365</v>
      </c>
      <c r="AA37" s="68">
        <f>IF(W37="","",VLOOKUP(W37,Aux_Lista!AN:AP,3,FALSE))</f>
        <v>11.36</v>
      </c>
      <c r="AB37" s="68">
        <f>IF(W37="","",VLOOKUP(W37,Aux_Lista!AN:AP,2,FALSE))</f>
        <v>7.1</v>
      </c>
      <c r="AC37" s="69">
        <v>23</v>
      </c>
      <c r="AD37" s="70"/>
      <c r="AE37" s="325">
        <f t="shared" si="0"/>
        <v>23</v>
      </c>
      <c r="AF37" s="540" t="s">
        <v>5981</v>
      </c>
      <c r="AG37" s="540"/>
      <c r="AH37" s="337">
        <f>IFERROR(IF(X37="Sem projeto",1.5*AA37,AC37*VLOOKUP(AF37,Aux_Lista!AG:AH,2,FALSE)+AD37)*U37,0)</f>
        <v>18.400000000000002</v>
      </c>
      <c r="AI37" s="343" t="s">
        <v>5895</v>
      </c>
      <c r="AJ37" s="344" t="s">
        <v>5895</v>
      </c>
      <c r="AK37" s="345" t="s">
        <v>5895</v>
      </c>
      <c r="AL37" s="333">
        <f t="shared" si="2"/>
        <v>99.016031999999981</v>
      </c>
      <c r="AM37" s="334">
        <f t="shared" si="3"/>
        <v>80.592000000000013</v>
      </c>
      <c r="AN37" s="333">
        <f t="shared" si="4"/>
        <v>99.016031999999996</v>
      </c>
      <c r="AO37" s="334">
        <f t="shared" si="5"/>
        <v>61.885020000000004</v>
      </c>
      <c r="AP37" s="44"/>
    </row>
    <row r="38" spans="1:43" ht="30" customHeight="1" x14ac:dyDescent="0.25">
      <c r="B38" s="2"/>
      <c r="C38" s="2"/>
      <c r="D38" s="2"/>
      <c r="E38" s="2"/>
      <c r="F38" s="2"/>
      <c r="G38" s="2"/>
      <c r="H38" s="2"/>
      <c r="I38" s="2"/>
      <c r="J38" s="2"/>
      <c r="K38" s="2"/>
      <c r="L38" s="2"/>
      <c r="M38" s="557" t="s">
        <v>5916</v>
      </c>
      <c r="N38" s="557"/>
      <c r="O38" s="557"/>
      <c r="P38" s="2"/>
      <c r="R38" s="94">
        <v>7</v>
      </c>
      <c r="S38" s="383" t="s">
        <v>6013</v>
      </c>
      <c r="T38" s="214">
        <v>18.75</v>
      </c>
      <c r="U38" s="214">
        <v>1</v>
      </c>
      <c r="V38" s="217" t="s">
        <v>287</v>
      </c>
      <c r="W38" s="215" t="s">
        <v>5819</v>
      </c>
      <c r="X38" s="336" t="s">
        <v>5983</v>
      </c>
      <c r="Y38" s="68">
        <f>IF(V38="","",VLOOKUP(V38,Aux_Lista!A:K,11,FALSE))</f>
        <v>12</v>
      </c>
      <c r="Z38" s="68">
        <f>IF(V38="","",VLOOKUP(V38,Aux_Lista!A:L,12,FALSE))</f>
        <v>365</v>
      </c>
      <c r="AA38" s="68">
        <f>IF(W38="","",VLOOKUP(W38,Aux_Lista!AN:AP,3,FALSE))</f>
        <v>8.32</v>
      </c>
      <c r="AB38" s="68">
        <f>IF(W38="","",VLOOKUP(W38,Aux_Lista!AN:AP,2,FALSE))</f>
        <v>7.45</v>
      </c>
      <c r="AC38" s="69">
        <v>92</v>
      </c>
      <c r="AD38" s="69"/>
      <c r="AE38" s="325">
        <f t="shared" si="0"/>
        <v>92</v>
      </c>
      <c r="AF38" s="540" t="s">
        <v>5981</v>
      </c>
      <c r="AG38" s="540"/>
      <c r="AH38" s="337">
        <f>IFERROR(IF(X38="Sem projeto",1.5*AA38,AC38*VLOOKUP(AF38,Aux_Lista!AG:AH,2,FALSE)+AD38)*U38,0)</f>
        <v>73.600000000000009</v>
      </c>
      <c r="AI38" s="343" t="s">
        <v>5895</v>
      </c>
      <c r="AJ38" s="344" t="s">
        <v>5895</v>
      </c>
      <c r="AK38" s="345" t="s">
        <v>5895</v>
      </c>
      <c r="AL38" s="333">
        <f t="shared" si="2"/>
        <v>683.28</v>
      </c>
      <c r="AM38" s="334">
        <f t="shared" si="3"/>
        <v>322.36800000000005</v>
      </c>
      <c r="AN38" s="333">
        <f t="shared" si="4"/>
        <v>683.28</v>
      </c>
      <c r="AO38" s="334">
        <f t="shared" si="5"/>
        <v>611.83124999999995</v>
      </c>
      <c r="AP38" s="44"/>
    </row>
    <row r="39" spans="1:43" ht="30" customHeight="1" x14ac:dyDescent="0.25">
      <c r="B39" s="548" t="s">
        <v>5890</v>
      </c>
      <c r="C39" s="543" t="s">
        <v>5914</v>
      </c>
      <c r="D39" s="543" t="s">
        <v>100</v>
      </c>
      <c r="E39" s="543" t="s">
        <v>5973</v>
      </c>
      <c r="F39" s="543" t="s">
        <v>5984</v>
      </c>
      <c r="G39" s="543" t="s">
        <v>5915</v>
      </c>
      <c r="H39" s="543" t="s">
        <v>105</v>
      </c>
      <c r="I39" s="543" t="s">
        <v>5978</v>
      </c>
      <c r="J39" s="543" t="s">
        <v>106</v>
      </c>
      <c r="K39" s="543"/>
      <c r="L39" s="542" t="s">
        <v>5982</v>
      </c>
      <c r="M39" s="65" t="s">
        <v>108</v>
      </c>
      <c r="N39" s="66" t="s">
        <v>109</v>
      </c>
      <c r="O39" s="67" t="s">
        <v>110</v>
      </c>
      <c r="R39" s="94">
        <v>8</v>
      </c>
      <c r="S39" s="383" t="s">
        <v>6014</v>
      </c>
      <c r="T39" s="214">
        <v>248.43</v>
      </c>
      <c r="U39" s="214">
        <v>1</v>
      </c>
      <c r="V39" s="217" t="s">
        <v>287</v>
      </c>
      <c r="W39" s="215" t="s">
        <v>488</v>
      </c>
      <c r="X39" s="336" t="s">
        <v>5983</v>
      </c>
      <c r="Y39" s="68">
        <f>IF(V39="","",VLOOKUP(V39,Aux_Lista!A:K,11,FALSE))</f>
        <v>12</v>
      </c>
      <c r="Z39" s="68">
        <f>IF(V39="","",VLOOKUP(V39,Aux_Lista!A:L,12,FALSE))</f>
        <v>365</v>
      </c>
      <c r="AA39" s="68">
        <f>IF(W39="","",VLOOKUP(W39,Aux_Lista!AN:AP,3,FALSE))</f>
        <v>19.04</v>
      </c>
      <c r="AB39" s="68">
        <f>IF(W39="","",VLOOKUP(W39,Aux_Lista!AN:AP,2,FALSE))</f>
        <v>11.5</v>
      </c>
      <c r="AC39" s="69"/>
      <c r="AD39" s="69">
        <v>3726</v>
      </c>
      <c r="AE39" s="325">
        <f t="shared" si="0"/>
        <v>3726</v>
      </c>
      <c r="AF39" s="540" t="s">
        <v>281</v>
      </c>
      <c r="AG39" s="540"/>
      <c r="AH39" s="337">
        <f>IFERROR(IF(X39="Sem projeto",1.5*AA39,AC39*VLOOKUP(AF39,Aux_Lista!AG:AH,2,FALSE)+AD39)*U39,0)</f>
        <v>3726</v>
      </c>
      <c r="AI39" s="343" t="s">
        <v>5895</v>
      </c>
      <c r="AJ39" s="344" t="s">
        <v>5895</v>
      </c>
      <c r="AK39" s="345" t="s">
        <v>5895</v>
      </c>
      <c r="AL39" s="333">
        <f t="shared" si="2"/>
        <v>20717.869535999998</v>
      </c>
      <c r="AM39" s="334">
        <f t="shared" si="3"/>
        <v>16319.88</v>
      </c>
      <c r="AN39" s="333">
        <f t="shared" si="4"/>
        <v>20717.869535999998</v>
      </c>
      <c r="AO39" s="334">
        <f t="shared" si="5"/>
        <v>12513.419100000001</v>
      </c>
      <c r="AP39" s="44"/>
    </row>
    <row r="40" spans="1:43" ht="30" customHeight="1" x14ac:dyDescent="0.25">
      <c r="B40" s="548"/>
      <c r="C40" s="543"/>
      <c r="D40" s="543"/>
      <c r="E40" s="543"/>
      <c r="F40" s="543"/>
      <c r="G40" s="543"/>
      <c r="H40" s="543"/>
      <c r="I40" s="543"/>
      <c r="J40" s="543"/>
      <c r="K40" s="543"/>
      <c r="L40" s="542"/>
      <c r="M40" s="342">
        <f>(SUMIFS($I$41:$I$403,$M$41:$M$403,"Atende")+SUMIFS($I$41:$I$403,$M$41:$M$403,"Não se aplica"))/SUM($I$41:$I$403)</f>
        <v>0.42067875163400792</v>
      </c>
      <c r="N40" s="342">
        <f>(SUMIFS($I$41:$I$403,$N$41:$N$403,"Atende")+SUMIFS($I$41:$I$403,$N$41:$N$403,"Não se aplica"))/SUM($I$41:$I$403)</f>
        <v>1</v>
      </c>
      <c r="O40" s="359">
        <f>(SUMIFS($I$41:$I$403,$O$41:$O$403,"Atende")+SUMIFS($I$41:$I$403,$O$41:$O$403,"Não se aplica"))/SUM($I$41:$I$403)</f>
        <v>1</v>
      </c>
      <c r="R40" s="94">
        <v>9</v>
      </c>
      <c r="S40" s="383" t="s">
        <v>6015</v>
      </c>
      <c r="T40" s="214">
        <v>28.25</v>
      </c>
      <c r="U40" s="214">
        <v>1</v>
      </c>
      <c r="V40" s="217" t="s">
        <v>287</v>
      </c>
      <c r="W40" s="215" t="s">
        <v>5816</v>
      </c>
      <c r="X40" s="336" t="s">
        <v>5983</v>
      </c>
      <c r="Y40" s="68">
        <f>IF(V40="","",VLOOKUP(V40,Aux_Lista!A:K,11,FALSE))</f>
        <v>12</v>
      </c>
      <c r="Z40" s="68">
        <f>IF(V40="","",VLOOKUP(V40,Aux_Lista!A:L,12,FALSE))</f>
        <v>365</v>
      </c>
      <c r="AA40" s="68">
        <f>IF(W40="","",VLOOKUP(W40,Aux_Lista!AN:AP,3,FALSE))</f>
        <v>12.48</v>
      </c>
      <c r="AB40" s="68">
        <f>IF(W40="","",VLOOKUP(W40,Aux_Lista!AN:AP,2,FALSE))</f>
        <v>8.85</v>
      </c>
      <c r="AC40" s="69"/>
      <c r="AD40" s="69">
        <v>322</v>
      </c>
      <c r="AE40" s="325">
        <f t="shared" si="0"/>
        <v>322</v>
      </c>
      <c r="AF40" s="540" t="s">
        <v>281</v>
      </c>
      <c r="AG40" s="540"/>
      <c r="AH40" s="337">
        <f>IFERROR(IF(X40="Sem projeto",1.5*AA40,AC40*VLOOKUP(AF40,Aux_Lista!AG:AH,2,FALSE)+AD40)*U40,0)</f>
        <v>322</v>
      </c>
      <c r="AI40" s="343" t="s">
        <v>5974</v>
      </c>
      <c r="AJ40" s="344" t="s">
        <v>5974</v>
      </c>
      <c r="AK40" s="345" t="s">
        <v>5974</v>
      </c>
      <c r="AL40" s="333">
        <f t="shared" si="2"/>
        <v>1544.2128</v>
      </c>
      <c r="AM40" s="334">
        <f t="shared" si="3"/>
        <v>1410.36</v>
      </c>
      <c r="AN40" s="333">
        <f t="shared" si="4"/>
        <v>1544.2128</v>
      </c>
      <c r="AO40" s="334">
        <f t="shared" si="5"/>
        <v>1095.0547499999998</v>
      </c>
      <c r="AP40" s="44"/>
    </row>
    <row r="41" spans="1:43" ht="24.95" customHeight="1" x14ac:dyDescent="0.25">
      <c r="A41" s="2">
        <v>1</v>
      </c>
      <c r="B41" s="349" t="s">
        <v>10709</v>
      </c>
      <c r="C41" s="350" t="s">
        <v>10707</v>
      </c>
      <c r="D41" s="351">
        <v>21.33</v>
      </c>
      <c r="E41" s="351">
        <v>1</v>
      </c>
      <c r="F41" s="336" t="s">
        <v>5983</v>
      </c>
      <c r="G41" s="327">
        <v>0</v>
      </c>
      <c r="H41" s="327">
        <v>225</v>
      </c>
      <c r="I41" s="325">
        <f t="shared" ref="I41:I104" si="6">IFERROR((G41+H41+IF(F41="Sem projeto",VLOOKUP(C41,$B$32:$H$34,7,FALSE),0)*1.5)*E41,"")</f>
        <v>225</v>
      </c>
      <c r="J41" s="540" t="s">
        <v>281</v>
      </c>
      <c r="K41" s="540"/>
      <c r="L41" s="337">
        <f>IFERROR(IF(F41="Sem projeto",VLOOKUP(C41,$B$32:$H$34,7,FALSE)*1.5,G41*VLOOKUP(J41,Aux_Lista!$AG:$AH,2,FALSE)+H41)*E41,0)</f>
        <v>225</v>
      </c>
      <c r="M41" s="348" t="s">
        <v>5974</v>
      </c>
      <c r="N41" s="348" t="s">
        <v>5895</v>
      </c>
      <c r="O41" s="348" t="s">
        <v>90</v>
      </c>
      <c r="P41" s="386">
        <f>D41*E41</f>
        <v>21.33</v>
      </c>
      <c r="R41" s="94">
        <v>10</v>
      </c>
      <c r="S41" s="383" t="s">
        <v>6016</v>
      </c>
      <c r="T41" s="214">
        <v>25.33</v>
      </c>
      <c r="U41" s="214">
        <v>1</v>
      </c>
      <c r="V41" s="217" t="s">
        <v>287</v>
      </c>
      <c r="W41" s="215" t="s">
        <v>403</v>
      </c>
      <c r="X41" s="336" t="s">
        <v>5983</v>
      </c>
      <c r="Y41" s="68">
        <f>IF(V41="","",VLOOKUP(V41,Aux_Lista!A:K,11,FALSE))</f>
        <v>12</v>
      </c>
      <c r="Z41" s="68">
        <f>IF(V41="","",VLOOKUP(V41,Aux_Lista!A:L,12,FALSE))</f>
        <v>365</v>
      </c>
      <c r="AA41" s="68">
        <f>IF(W41="","",VLOOKUP(W41,Aux_Lista!AN:AP,3,FALSE))</f>
        <v>11.84</v>
      </c>
      <c r="AB41" s="68">
        <f>IF(W41="","",VLOOKUP(W41,Aux_Lista!AN:AP,2,FALSE))</f>
        <v>6.25</v>
      </c>
      <c r="AC41" s="69">
        <v>92</v>
      </c>
      <c r="AD41" s="69"/>
      <c r="AE41" s="325">
        <f t="shared" si="0"/>
        <v>92</v>
      </c>
      <c r="AF41" s="540" t="s">
        <v>5981</v>
      </c>
      <c r="AG41" s="540"/>
      <c r="AH41" s="337">
        <f>IFERROR(IF(X41="Sem projeto",1.5*AA41,AC41*VLOOKUP(AF41,Aux_Lista!AG:AH,2,FALSE)+AD41)*U41,0)</f>
        <v>73.600000000000009</v>
      </c>
      <c r="AI41" s="343" t="s">
        <v>5895</v>
      </c>
      <c r="AJ41" s="344" t="s">
        <v>5895</v>
      </c>
      <c r="AK41" s="345" t="s">
        <v>5895</v>
      </c>
      <c r="AL41" s="333">
        <f t="shared" si="2"/>
        <v>1313.5935359999999</v>
      </c>
      <c r="AM41" s="334">
        <f t="shared" si="3"/>
        <v>322.36800000000005</v>
      </c>
      <c r="AN41" s="333">
        <f t="shared" si="4"/>
        <v>1313.5935359999999</v>
      </c>
      <c r="AO41" s="334">
        <f t="shared" si="5"/>
        <v>693.40875000000005</v>
      </c>
      <c r="AP41" s="44"/>
    </row>
    <row r="42" spans="1:43" ht="24.95" customHeight="1" x14ac:dyDescent="0.25">
      <c r="A42" s="2">
        <v>2</v>
      </c>
      <c r="B42" s="349" t="s">
        <v>10710</v>
      </c>
      <c r="C42" s="350" t="s">
        <v>10707</v>
      </c>
      <c r="D42" s="351">
        <v>35</v>
      </c>
      <c r="E42" s="351">
        <v>1</v>
      </c>
      <c r="F42" s="336" t="s">
        <v>5983</v>
      </c>
      <c r="G42" s="327">
        <v>0</v>
      </c>
      <c r="H42" s="327">
        <v>360</v>
      </c>
      <c r="I42" s="325">
        <f t="shared" si="6"/>
        <v>360</v>
      </c>
      <c r="J42" s="540" t="s">
        <v>281</v>
      </c>
      <c r="K42" s="540"/>
      <c r="L42" s="337">
        <f>IFERROR(IF(F42="Sem projeto",VLOOKUP(C42,$B$32:$H$34,7,FALSE)*1.5,G42*VLOOKUP(J42,Aux_Lista!$AG:$AH,2,FALSE)+H42)*E42,0)</f>
        <v>360</v>
      </c>
      <c r="M42" s="348" t="s">
        <v>90</v>
      </c>
      <c r="N42" s="348" t="s">
        <v>5895</v>
      </c>
      <c r="O42" s="348" t="s">
        <v>90</v>
      </c>
      <c r="P42" s="386">
        <f t="shared" ref="P42:P105" si="7">D42*E42</f>
        <v>35</v>
      </c>
      <c r="R42" s="94">
        <v>11</v>
      </c>
      <c r="S42" s="383" t="s">
        <v>6017</v>
      </c>
      <c r="T42" s="214">
        <v>1.99</v>
      </c>
      <c r="U42" s="214">
        <v>1</v>
      </c>
      <c r="V42" s="217" t="s">
        <v>287</v>
      </c>
      <c r="W42" s="215" t="s">
        <v>382</v>
      </c>
      <c r="X42" s="336" t="s">
        <v>5983</v>
      </c>
      <c r="Y42" s="68">
        <f>IF(V42="","",VLOOKUP(V42,Aux_Lista!A:K,11,FALSE))</f>
        <v>12</v>
      </c>
      <c r="Z42" s="68">
        <f>IF(V42="","",VLOOKUP(V42,Aux_Lista!A:L,12,FALSE))</f>
        <v>365</v>
      </c>
      <c r="AA42" s="68">
        <f>IF(W42="","",VLOOKUP(W42,Aux_Lista!AN:AP,3,FALSE))</f>
        <v>11.36</v>
      </c>
      <c r="AB42" s="68">
        <f>IF(W42="","",VLOOKUP(W42,Aux_Lista!AN:AP,2,FALSE))</f>
        <v>7.1</v>
      </c>
      <c r="AC42" s="69">
        <v>23</v>
      </c>
      <c r="AD42" s="69"/>
      <c r="AE42" s="325">
        <f t="shared" si="0"/>
        <v>23</v>
      </c>
      <c r="AF42" s="540" t="s">
        <v>5981</v>
      </c>
      <c r="AG42" s="540"/>
      <c r="AH42" s="337">
        <f>IFERROR(IF(X42="Sem projeto",1.5*AA42,AC42*VLOOKUP(AF42,Aux_Lista!AG:AH,2,FALSE)+AD42)*U42,0)</f>
        <v>18.400000000000002</v>
      </c>
      <c r="AI42" s="343" t="s">
        <v>5974</v>
      </c>
      <c r="AJ42" s="344" t="s">
        <v>5974</v>
      </c>
      <c r="AK42" s="345" t="s">
        <v>5974</v>
      </c>
      <c r="AL42" s="333">
        <f t="shared" si="2"/>
        <v>99.016031999999981</v>
      </c>
      <c r="AM42" s="334">
        <f t="shared" si="3"/>
        <v>80.592000000000013</v>
      </c>
      <c r="AN42" s="333">
        <f t="shared" si="4"/>
        <v>99.016031999999996</v>
      </c>
      <c r="AO42" s="334">
        <f t="shared" si="5"/>
        <v>61.885020000000004</v>
      </c>
      <c r="AP42" s="44"/>
    </row>
    <row r="43" spans="1:43" ht="24.95" customHeight="1" x14ac:dyDescent="0.25">
      <c r="A43" s="2">
        <v>3</v>
      </c>
      <c r="B43" s="349" t="s">
        <v>10711</v>
      </c>
      <c r="C43" s="350" t="s">
        <v>10707</v>
      </c>
      <c r="D43" s="351">
        <v>35</v>
      </c>
      <c r="E43" s="351">
        <v>1</v>
      </c>
      <c r="F43" s="336" t="s">
        <v>5983</v>
      </c>
      <c r="G43" s="327">
        <v>0</v>
      </c>
      <c r="H43" s="327">
        <v>360</v>
      </c>
      <c r="I43" s="325">
        <f t="shared" si="6"/>
        <v>360</v>
      </c>
      <c r="J43" s="540" t="s">
        <v>281</v>
      </c>
      <c r="K43" s="540"/>
      <c r="L43" s="337">
        <f>IFERROR(IF(F43="Sem projeto",VLOOKUP(C43,$B$32:$H$34,7,FALSE)*1.5,G43*VLOOKUP(J43,Aux_Lista!$AG:$AH,2,FALSE)+H43)*E43,0)</f>
        <v>360</v>
      </c>
      <c r="M43" s="348" t="s">
        <v>90</v>
      </c>
      <c r="N43" s="348" t="s">
        <v>5895</v>
      </c>
      <c r="O43" s="348" t="s">
        <v>90</v>
      </c>
      <c r="P43" s="386">
        <f t="shared" si="7"/>
        <v>35</v>
      </c>
      <c r="R43" s="94">
        <v>12</v>
      </c>
      <c r="S43" s="383" t="s">
        <v>6018</v>
      </c>
      <c r="T43" s="214">
        <v>18.75</v>
      </c>
      <c r="U43" s="214">
        <v>1</v>
      </c>
      <c r="V43" s="217" t="s">
        <v>287</v>
      </c>
      <c r="W43" s="215" t="s">
        <v>5819</v>
      </c>
      <c r="X43" s="336" t="s">
        <v>5983</v>
      </c>
      <c r="Y43" s="68">
        <f>IF(V43="","",VLOOKUP(V43,Aux_Lista!A:K,11,FALSE))</f>
        <v>12</v>
      </c>
      <c r="Z43" s="68">
        <f>IF(V43="","",VLOOKUP(V43,Aux_Lista!A:L,12,FALSE))</f>
        <v>365</v>
      </c>
      <c r="AA43" s="68">
        <f>IF(W43="","",VLOOKUP(W43,Aux_Lista!AN:AP,3,FALSE))</f>
        <v>8.32</v>
      </c>
      <c r="AB43" s="68">
        <f>IF(W43="","",VLOOKUP(W43,Aux_Lista!AN:AP,2,FALSE))</f>
        <v>7.45</v>
      </c>
      <c r="AC43" s="69">
        <v>92</v>
      </c>
      <c r="AD43" s="69"/>
      <c r="AE43" s="325">
        <f t="shared" si="0"/>
        <v>92</v>
      </c>
      <c r="AF43" s="540" t="s">
        <v>5981</v>
      </c>
      <c r="AG43" s="540"/>
      <c r="AH43" s="337">
        <f>IFERROR(IF(X43="Sem projeto",1.5*AA43,AC43*VLOOKUP(AF43,Aux_Lista!AG:AH,2,FALSE)+AD43)*U43,0)</f>
        <v>73.600000000000009</v>
      </c>
      <c r="AI43" s="343" t="s">
        <v>5895</v>
      </c>
      <c r="AJ43" s="344" t="s">
        <v>5895</v>
      </c>
      <c r="AK43" s="345" t="s">
        <v>5895</v>
      </c>
      <c r="AL43" s="333">
        <f t="shared" si="2"/>
        <v>683.28</v>
      </c>
      <c r="AM43" s="334">
        <f t="shared" si="3"/>
        <v>322.36800000000005</v>
      </c>
      <c r="AN43" s="333">
        <f t="shared" si="4"/>
        <v>683.28</v>
      </c>
      <c r="AO43" s="334">
        <f t="shared" si="5"/>
        <v>611.83124999999995</v>
      </c>
      <c r="AP43" s="44"/>
    </row>
    <row r="44" spans="1:43" ht="24.95" customHeight="1" x14ac:dyDescent="0.25">
      <c r="A44" s="2">
        <v>4</v>
      </c>
      <c r="B44" s="349" t="s">
        <v>10712</v>
      </c>
      <c r="C44" s="350" t="s">
        <v>10707</v>
      </c>
      <c r="D44" s="351">
        <v>16.579999999999998</v>
      </c>
      <c r="E44" s="351">
        <v>1</v>
      </c>
      <c r="F44" s="336" t="s">
        <v>5983</v>
      </c>
      <c r="G44" s="327">
        <v>0</v>
      </c>
      <c r="H44" s="327">
        <v>297</v>
      </c>
      <c r="I44" s="325">
        <f t="shared" si="6"/>
        <v>297</v>
      </c>
      <c r="J44" s="540" t="s">
        <v>281</v>
      </c>
      <c r="K44" s="540"/>
      <c r="L44" s="337">
        <f>IFERROR(IF(F44="Sem projeto",VLOOKUP(C44,$B$32:$H$34,7,FALSE)*1.5,G44*VLOOKUP(J44,Aux_Lista!$AG:$AH,2,FALSE)+H44)*E44,0)</f>
        <v>297</v>
      </c>
      <c r="M44" s="348" t="s">
        <v>5974</v>
      </c>
      <c r="N44" s="348" t="s">
        <v>5895</v>
      </c>
      <c r="O44" s="348" t="s">
        <v>90</v>
      </c>
      <c r="P44" s="386">
        <f t="shared" si="7"/>
        <v>16.579999999999998</v>
      </c>
      <c r="R44" s="94">
        <v>13</v>
      </c>
      <c r="S44" s="383" t="s">
        <v>6019</v>
      </c>
      <c r="T44" s="214">
        <v>28.25</v>
      </c>
      <c r="U44" s="214">
        <v>4</v>
      </c>
      <c r="V44" s="217" t="s">
        <v>287</v>
      </c>
      <c r="W44" s="215" t="s">
        <v>382</v>
      </c>
      <c r="X44" s="336" t="s">
        <v>5983</v>
      </c>
      <c r="Y44" s="68">
        <f>IF(V44="","",VLOOKUP(V44,Aux_Lista!A:K,11,FALSE))</f>
        <v>12</v>
      </c>
      <c r="Z44" s="68">
        <f>IF(V44="","",VLOOKUP(V44,Aux_Lista!A:L,12,FALSE))</f>
        <v>365</v>
      </c>
      <c r="AA44" s="68">
        <f>IF(W44="","",VLOOKUP(W44,Aux_Lista!AN:AP,3,FALSE))</f>
        <v>11.36</v>
      </c>
      <c r="AB44" s="68">
        <f>IF(W44="","",VLOOKUP(W44,Aux_Lista!AN:AP,2,FALSE))</f>
        <v>7.1</v>
      </c>
      <c r="AC44" s="69">
        <v>161</v>
      </c>
      <c r="AD44" s="69"/>
      <c r="AE44" s="325">
        <f t="shared" si="0"/>
        <v>644</v>
      </c>
      <c r="AF44" s="540" t="s">
        <v>5981</v>
      </c>
      <c r="AG44" s="540"/>
      <c r="AH44" s="337">
        <f>IFERROR(IF(X44="Sem projeto",1.5*AA44,AC44*VLOOKUP(AF44,Aux_Lista!AG:AH,2,FALSE)+AD44)*U44,0)</f>
        <v>515.20000000000005</v>
      </c>
      <c r="AI44" s="343" t="s">
        <v>5895</v>
      </c>
      <c r="AJ44" s="344" t="s">
        <v>5895</v>
      </c>
      <c r="AK44" s="345" t="s">
        <v>5895</v>
      </c>
      <c r="AL44" s="333">
        <f t="shared" si="2"/>
        <v>5622.518399999999</v>
      </c>
      <c r="AM44" s="334">
        <f t="shared" si="3"/>
        <v>2256.576</v>
      </c>
      <c r="AN44" s="333">
        <f t="shared" si="4"/>
        <v>5622.518399999999</v>
      </c>
      <c r="AO44" s="334">
        <f t="shared" si="5"/>
        <v>3514.0739999999996</v>
      </c>
      <c r="AP44" s="44"/>
    </row>
    <row r="45" spans="1:43" ht="24.95" customHeight="1" x14ac:dyDescent="0.25">
      <c r="A45" s="2">
        <v>5</v>
      </c>
      <c r="B45" s="349" t="s">
        <v>10713</v>
      </c>
      <c r="C45" s="350" t="s">
        <v>10707</v>
      </c>
      <c r="D45" s="351">
        <v>64.28</v>
      </c>
      <c r="E45" s="351">
        <v>1</v>
      </c>
      <c r="F45" s="336" t="s">
        <v>5983</v>
      </c>
      <c r="G45" s="327">
        <v>0</v>
      </c>
      <c r="H45" s="327">
        <v>677.75</v>
      </c>
      <c r="I45" s="325">
        <f t="shared" si="6"/>
        <v>677.75</v>
      </c>
      <c r="J45" s="540" t="s">
        <v>281</v>
      </c>
      <c r="K45" s="540"/>
      <c r="L45" s="337">
        <f>IFERROR(IF(F45="Sem projeto",VLOOKUP(C45,$B$32:$H$34,7,FALSE)*1.5,G45*VLOOKUP(J45,Aux_Lista!$AG:$AH,2,FALSE)+H45)*E45,0)</f>
        <v>677.75</v>
      </c>
      <c r="M45" s="348" t="s">
        <v>5974</v>
      </c>
      <c r="N45" s="348" t="s">
        <v>5895</v>
      </c>
      <c r="O45" s="348" t="s">
        <v>90</v>
      </c>
      <c r="P45" s="386">
        <f t="shared" si="7"/>
        <v>64.28</v>
      </c>
      <c r="R45" s="94">
        <v>14</v>
      </c>
      <c r="S45" s="383" t="s">
        <v>6020</v>
      </c>
      <c r="T45" s="214">
        <v>14.04</v>
      </c>
      <c r="U45" s="214">
        <v>4</v>
      </c>
      <c r="V45" s="217" t="s">
        <v>287</v>
      </c>
      <c r="W45" s="215" t="s">
        <v>476</v>
      </c>
      <c r="X45" s="336" t="s">
        <v>5983</v>
      </c>
      <c r="Y45" s="68">
        <f>IF(V45="","",VLOOKUP(V45,Aux_Lista!A:K,11,FALSE))</f>
        <v>12</v>
      </c>
      <c r="Z45" s="68">
        <f>IF(V45="","",VLOOKUP(V45,Aux_Lista!A:L,12,FALSE))</f>
        <v>365</v>
      </c>
      <c r="AA45" s="68">
        <f>IF(W45="","",VLOOKUP(W45,Aux_Lista!AN:AP,3,FALSE))</f>
        <v>13</v>
      </c>
      <c r="AB45" s="68">
        <f>IF(W45="","",VLOOKUP(W45,Aux_Lista!AN:AP,2,FALSE))</f>
        <v>8.3000000000000007</v>
      </c>
      <c r="AC45" s="69"/>
      <c r="AD45" s="69">
        <v>92</v>
      </c>
      <c r="AE45" s="325">
        <f t="shared" si="0"/>
        <v>368</v>
      </c>
      <c r="AF45" s="540" t="s">
        <v>281</v>
      </c>
      <c r="AG45" s="540"/>
      <c r="AH45" s="337">
        <f>IFERROR(IF(X45="Sem projeto",1.5*AA45,AC45*VLOOKUP(AF45,Aux_Lista!AG:AH,2,FALSE)+AD45)*U45,0)</f>
        <v>368</v>
      </c>
      <c r="AI45" s="343" t="s">
        <v>5895</v>
      </c>
      <c r="AJ45" s="344" t="s">
        <v>5895</v>
      </c>
      <c r="AK45" s="345" t="s">
        <v>5895</v>
      </c>
      <c r="AL45" s="333">
        <f t="shared" si="2"/>
        <v>3197.7503999999999</v>
      </c>
      <c r="AM45" s="334">
        <f t="shared" si="3"/>
        <v>1611.84</v>
      </c>
      <c r="AN45" s="333">
        <f t="shared" si="4"/>
        <v>3197.7503999999999</v>
      </c>
      <c r="AO45" s="334">
        <f t="shared" si="5"/>
        <v>2041.6406400000001</v>
      </c>
      <c r="AP45" s="44"/>
    </row>
    <row r="46" spans="1:43" ht="24.95" customHeight="1" x14ac:dyDescent="0.25">
      <c r="A46" s="2">
        <v>6</v>
      </c>
      <c r="B46" s="349" t="s">
        <v>10714</v>
      </c>
      <c r="C46" s="350" t="s">
        <v>10707</v>
      </c>
      <c r="D46" s="351">
        <v>5.85</v>
      </c>
      <c r="E46" s="351">
        <v>1</v>
      </c>
      <c r="F46" s="336" t="s">
        <v>5983</v>
      </c>
      <c r="G46" s="327">
        <v>0</v>
      </c>
      <c r="H46" s="327">
        <v>135</v>
      </c>
      <c r="I46" s="325">
        <f t="shared" si="6"/>
        <v>135</v>
      </c>
      <c r="J46" s="540" t="s">
        <v>281</v>
      </c>
      <c r="K46" s="540"/>
      <c r="L46" s="337">
        <f>IFERROR(IF(F46="Sem projeto",VLOOKUP(C46,$B$32:$H$34,7,FALSE)*1.5,G46*VLOOKUP(J46,Aux_Lista!$AG:$AH,2,FALSE)+H46)*E46,0)</f>
        <v>135</v>
      </c>
      <c r="M46" s="348" t="s">
        <v>90</v>
      </c>
      <c r="N46" s="348" t="s">
        <v>5895</v>
      </c>
      <c r="O46" s="348" t="s">
        <v>90</v>
      </c>
      <c r="P46" s="386">
        <f t="shared" si="7"/>
        <v>5.85</v>
      </c>
      <c r="R46" s="94">
        <v>15</v>
      </c>
      <c r="S46" s="383" t="s">
        <v>6021</v>
      </c>
      <c r="T46" s="214">
        <v>2.5</v>
      </c>
      <c r="U46" s="214">
        <v>4</v>
      </c>
      <c r="V46" s="217" t="s">
        <v>287</v>
      </c>
      <c r="W46" s="215" t="s">
        <v>351</v>
      </c>
      <c r="X46" s="336" t="s">
        <v>5983</v>
      </c>
      <c r="Y46" s="68">
        <f>IF(V46="","",VLOOKUP(V46,Aux_Lista!A:K,11,FALSE))</f>
        <v>12</v>
      </c>
      <c r="Z46" s="68">
        <f>IF(V46="","",VLOOKUP(V46,Aux_Lista!A:L,12,FALSE))</f>
        <v>365</v>
      </c>
      <c r="AA46" s="68">
        <f>IF(W46="","",VLOOKUP(W46,Aux_Lista!AN:AP,3,FALSE))</f>
        <v>13.73</v>
      </c>
      <c r="AB46" s="68">
        <f>IF(W46="","",VLOOKUP(W46,Aux_Lista!AN:AP,2,FALSE))</f>
        <v>9.15</v>
      </c>
      <c r="AC46" s="69"/>
      <c r="AD46" s="69">
        <v>46</v>
      </c>
      <c r="AE46" s="325">
        <f t="shared" si="0"/>
        <v>184</v>
      </c>
      <c r="AF46" s="540" t="s">
        <v>281</v>
      </c>
      <c r="AG46" s="540"/>
      <c r="AH46" s="337">
        <f>IFERROR(IF(X46="Sem projeto",1.5*AA46,AC46*VLOOKUP(AF46,Aux_Lista!AG:AH,2,FALSE)+AD46)*U46,0)</f>
        <v>184</v>
      </c>
      <c r="AI46" s="343" t="s">
        <v>5895</v>
      </c>
      <c r="AJ46" s="344" t="s">
        <v>5895</v>
      </c>
      <c r="AK46" s="345" t="s">
        <v>5895</v>
      </c>
      <c r="AL46" s="333">
        <f t="shared" si="2"/>
        <v>601.37400000000002</v>
      </c>
      <c r="AM46" s="334">
        <f t="shared" si="3"/>
        <v>805.92</v>
      </c>
      <c r="AN46" s="333">
        <f t="shared" si="4"/>
        <v>601.37400000000002</v>
      </c>
      <c r="AO46" s="334">
        <f t="shared" si="5"/>
        <v>400.77</v>
      </c>
      <c r="AP46" s="44"/>
    </row>
    <row r="47" spans="1:43" ht="24.95" customHeight="1" x14ac:dyDescent="0.25">
      <c r="A47" s="2">
        <v>7</v>
      </c>
      <c r="B47" s="349" t="s">
        <v>10715</v>
      </c>
      <c r="C47" s="350" t="s">
        <v>10707</v>
      </c>
      <c r="D47" s="351">
        <v>85.55</v>
      </c>
      <c r="E47" s="351">
        <v>1</v>
      </c>
      <c r="F47" s="336" t="s">
        <v>5983</v>
      </c>
      <c r="G47" s="327">
        <v>0</v>
      </c>
      <c r="H47" s="327">
        <v>877.8</v>
      </c>
      <c r="I47" s="325">
        <f t="shared" si="6"/>
        <v>877.8</v>
      </c>
      <c r="J47" s="540" t="s">
        <v>281</v>
      </c>
      <c r="K47" s="540"/>
      <c r="L47" s="337">
        <f>IFERROR(IF(F47="Sem projeto",VLOOKUP(C47,$B$32:$H$34,7,FALSE)*1.5,G47*VLOOKUP(J47,Aux_Lista!$AG:$AH,2,FALSE)+H47)*E47,0)</f>
        <v>877.8</v>
      </c>
      <c r="M47" s="348" t="s">
        <v>90</v>
      </c>
      <c r="N47" s="348" t="s">
        <v>5895</v>
      </c>
      <c r="O47" s="348" t="s">
        <v>90</v>
      </c>
      <c r="P47" s="386">
        <f t="shared" si="7"/>
        <v>85.55</v>
      </c>
      <c r="R47" s="94">
        <v>16</v>
      </c>
      <c r="S47" s="383" t="s">
        <v>6022</v>
      </c>
      <c r="T47" s="214">
        <v>14.04</v>
      </c>
      <c r="U47" s="214">
        <v>4</v>
      </c>
      <c r="V47" s="217" t="s">
        <v>287</v>
      </c>
      <c r="W47" s="215" t="s">
        <v>476</v>
      </c>
      <c r="X47" s="336" t="s">
        <v>5983</v>
      </c>
      <c r="Y47" s="68">
        <f>IF(V47="","",VLOOKUP(V47,Aux_Lista!A:K,11,FALSE))</f>
        <v>12</v>
      </c>
      <c r="Z47" s="68">
        <f>IF(V47="","",VLOOKUP(V47,Aux_Lista!A:L,12,FALSE))</f>
        <v>365</v>
      </c>
      <c r="AA47" s="68">
        <f>IF(W47="","",VLOOKUP(W47,Aux_Lista!AN:AP,3,FALSE))</f>
        <v>13</v>
      </c>
      <c r="AB47" s="68">
        <f>IF(W47="","",VLOOKUP(W47,Aux_Lista!AN:AP,2,FALSE))</f>
        <v>8.3000000000000007</v>
      </c>
      <c r="AC47" s="69"/>
      <c r="AD47" s="69">
        <v>92</v>
      </c>
      <c r="AE47" s="325">
        <f t="shared" si="0"/>
        <v>368</v>
      </c>
      <c r="AF47" s="540" t="s">
        <v>281</v>
      </c>
      <c r="AG47" s="540"/>
      <c r="AH47" s="337">
        <f>IFERROR(IF(X47="Sem projeto",1.5*AA47,AC47*VLOOKUP(AF47,Aux_Lista!AG:AH,2,FALSE)+AD47)*U47,0)</f>
        <v>368</v>
      </c>
      <c r="AI47" s="343" t="s">
        <v>5895</v>
      </c>
      <c r="AJ47" s="344" t="s">
        <v>5895</v>
      </c>
      <c r="AK47" s="345" t="s">
        <v>5895</v>
      </c>
      <c r="AL47" s="333">
        <f t="shared" si="2"/>
        <v>3197.7503999999999</v>
      </c>
      <c r="AM47" s="334">
        <f t="shared" si="3"/>
        <v>1611.84</v>
      </c>
      <c r="AN47" s="333">
        <f t="shared" si="4"/>
        <v>3197.7503999999999</v>
      </c>
      <c r="AO47" s="334">
        <f t="shared" si="5"/>
        <v>2041.6406400000001</v>
      </c>
      <c r="AP47" s="44"/>
    </row>
    <row r="48" spans="1:43" ht="24.95" customHeight="1" x14ac:dyDescent="0.25">
      <c r="A48" s="2">
        <v>8</v>
      </c>
      <c r="B48" s="349" t="s">
        <v>10716</v>
      </c>
      <c r="C48" s="350" t="s">
        <v>10707</v>
      </c>
      <c r="D48" s="351">
        <v>2.7</v>
      </c>
      <c r="E48" s="351">
        <v>1</v>
      </c>
      <c r="F48" s="336" t="s">
        <v>5983</v>
      </c>
      <c r="G48" s="327">
        <v>0</v>
      </c>
      <c r="H48" s="327">
        <v>195</v>
      </c>
      <c r="I48" s="325">
        <f t="shared" si="6"/>
        <v>195</v>
      </c>
      <c r="J48" s="540" t="s">
        <v>281</v>
      </c>
      <c r="K48" s="540"/>
      <c r="L48" s="337">
        <f>IFERROR(IF(F48="Sem projeto",VLOOKUP(C48,$B$32:$H$34,7,FALSE)*1.5,G48*VLOOKUP(J48,Aux_Lista!$AG:$AH,2,FALSE)+H48)*E48,0)</f>
        <v>195</v>
      </c>
      <c r="M48" s="348" t="s">
        <v>5974</v>
      </c>
      <c r="N48" s="348" t="s">
        <v>5895</v>
      </c>
      <c r="O48" s="348" t="s">
        <v>90</v>
      </c>
      <c r="P48" s="386">
        <f t="shared" si="7"/>
        <v>2.7</v>
      </c>
      <c r="R48" s="94">
        <v>17</v>
      </c>
      <c r="S48" s="383" t="s">
        <v>6023</v>
      </c>
      <c r="T48" s="214">
        <v>2.5</v>
      </c>
      <c r="U48" s="214">
        <v>4</v>
      </c>
      <c r="V48" s="217" t="s">
        <v>287</v>
      </c>
      <c r="W48" s="215" t="s">
        <v>351</v>
      </c>
      <c r="X48" s="336" t="s">
        <v>5983</v>
      </c>
      <c r="Y48" s="68">
        <f>IF(V48="","",VLOOKUP(V48,Aux_Lista!A:K,11,FALSE))</f>
        <v>12</v>
      </c>
      <c r="Z48" s="68">
        <f>IF(V48="","",VLOOKUP(V48,Aux_Lista!A:L,12,FALSE))</f>
        <v>365</v>
      </c>
      <c r="AA48" s="68">
        <f>IF(W48="","",VLOOKUP(W48,Aux_Lista!AN:AP,3,FALSE))</f>
        <v>13.73</v>
      </c>
      <c r="AB48" s="68">
        <f>IF(W48="","",VLOOKUP(W48,Aux_Lista!AN:AP,2,FALSE))</f>
        <v>9.15</v>
      </c>
      <c r="AC48" s="69"/>
      <c r="AD48" s="69">
        <v>46</v>
      </c>
      <c r="AE48" s="325">
        <f t="shared" si="0"/>
        <v>184</v>
      </c>
      <c r="AF48" s="540" t="s">
        <v>281</v>
      </c>
      <c r="AG48" s="540"/>
      <c r="AH48" s="337">
        <f>IFERROR(IF(X48="Sem projeto",1.5*AA48,AC48*VLOOKUP(AF48,Aux_Lista!AG:AH,2,FALSE)+AD48)*U48,0)</f>
        <v>184</v>
      </c>
      <c r="AI48" s="343" t="s">
        <v>5895</v>
      </c>
      <c r="AJ48" s="344" t="s">
        <v>5895</v>
      </c>
      <c r="AK48" s="345" t="s">
        <v>5895</v>
      </c>
      <c r="AL48" s="333">
        <f t="shared" si="2"/>
        <v>601.37400000000002</v>
      </c>
      <c r="AM48" s="334">
        <f t="shared" si="3"/>
        <v>805.92</v>
      </c>
      <c r="AN48" s="333">
        <f t="shared" si="4"/>
        <v>601.37400000000002</v>
      </c>
      <c r="AO48" s="334">
        <f t="shared" si="5"/>
        <v>400.77</v>
      </c>
      <c r="AP48" s="44"/>
    </row>
    <row r="49" spans="1:43" ht="24.95" customHeight="1" x14ac:dyDescent="0.25">
      <c r="A49" s="2">
        <v>9</v>
      </c>
      <c r="B49" s="349" t="s">
        <v>10717</v>
      </c>
      <c r="C49" s="350" t="s">
        <v>10707</v>
      </c>
      <c r="D49" s="351">
        <v>12.9</v>
      </c>
      <c r="E49" s="351">
        <v>1</v>
      </c>
      <c r="F49" s="336" t="s">
        <v>5983</v>
      </c>
      <c r="G49" s="327">
        <v>0</v>
      </c>
      <c r="H49" s="327">
        <v>335</v>
      </c>
      <c r="I49" s="325">
        <f t="shared" si="6"/>
        <v>335</v>
      </c>
      <c r="J49" s="540" t="s">
        <v>281</v>
      </c>
      <c r="K49" s="540"/>
      <c r="L49" s="337">
        <f>IFERROR(IF(F49="Sem projeto",VLOOKUP(C49,$B$32:$H$34,7,FALSE)*1.5,G49*VLOOKUP(J49,Aux_Lista!$AG:$AH,2,FALSE)+H49)*E49,0)</f>
        <v>335</v>
      </c>
      <c r="M49" s="348" t="s">
        <v>5974</v>
      </c>
      <c r="N49" s="348" t="s">
        <v>5895</v>
      </c>
      <c r="O49" s="348" t="s">
        <v>90</v>
      </c>
      <c r="P49" s="386">
        <f t="shared" si="7"/>
        <v>12.9</v>
      </c>
      <c r="R49" s="94">
        <v>18</v>
      </c>
      <c r="S49" s="383" t="s">
        <v>6024</v>
      </c>
      <c r="T49" s="214">
        <v>14.04</v>
      </c>
      <c r="U49" s="214">
        <v>4</v>
      </c>
      <c r="V49" s="217" t="s">
        <v>287</v>
      </c>
      <c r="W49" s="215" t="s">
        <v>476</v>
      </c>
      <c r="X49" s="336" t="s">
        <v>5983</v>
      </c>
      <c r="Y49" s="68">
        <f>IF(V49="","",VLOOKUP(V49,Aux_Lista!A:K,11,FALSE))</f>
        <v>12</v>
      </c>
      <c r="Z49" s="68">
        <f>IF(V49="","",VLOOKUP(V49,Aux_Lista!A:L,12,FALSE))</f>
        <v>365</v>
      </c>
      <c r="AA49" s="68">
        <f>IF(W49="","",VLOOKUP(W49,Aux_Lista!AN:AP,3,FALSE))</f>
        <v>13</v>
      </c>
      <c r="AB49" s="68">
        <f>IF(W49="","",VLOOKUP(W49,Aux_Lista!AN:AP,2,FALSE))</f>
        <v>8.3000000000000007</v>
      </c>
      <c r="AC49" s="69"/>
      <c r="AD49" s="69">
        <v>92</v>
      </c>
      <c r="AE49" s="325">
        <f t="shared" si="0"/>
        <v>368</v>
      </c>
      <c r="AF49" s="540" t="s">
        <v>281</v>
      </c>
      <c r="AG49" s="540"/>
      <c r="AH49" s="337">
        <f>IFERROR(IF(X49="Sem projeto",1.5*AA49,AC49*VLOOKUP(AF49,Aux_Lista!AG:AH,2,FALSE)+AD49)*U49,0)</f>
        <v>368</v>
      </c>
      <c r="AI49" s="343" t="s">
        <v>5895</v>
      </c>
      <c r="AJ49" s="344" t="s">
        <v>5895</v>
      </c>
      <c r="AK49" s="345" t="s">
        <v>5895</v>
      </c>
      <c r="AL49" s="333">
        <f t="shared" si="2"/>
        <v>3197.7503999999999</v>
      </c>
      <c r="AM49" s="334">
        <f t="shared" si="3"/>
        <v>1611.84</v>
      </c>
      <c r="AN49" s="333">
        <f t="shared" si="4"/>
        <v>3197.7503999999999</v>
      </c>
      <c r="AO49" s="334">
        <f t="shared" si="5"/>
        <v>2041.6406400000001</v>
      </c>
      <c r="AP49" s="44"/>
    </row>
    <row r="50" spans="1:43" ht="24.95" customHeight="1" x14ac:dyDescent="0.25">
      <c r="A50" s="2">
        <v>10</v>
      </c>
      <c r="B50" s="349" t="s">
        <v>10718</v>
      </c>
      <c r="C50" s="350" t="s">
        <v>10707</v>
      </c>
      <c r="D50" s="351">
        <v>7.47</v>
      </c>
      <c r="E50" s="351">
        <v>1</v>
      </c>
      <c r="F50" s="336" t="s">
        <v>5983</v>
      </c>
      <c r="G50" s="327">
        <v>0</v>
      </c>
      <c r="H50" s="327">
        <v>180</v>
      </c>
      <c r="I50" s="325">
        <f t="shared" si="6"/>
        <v>180</v>
      </c>
      <c r="J50" s="540" t="s">
        <v>281</v>
      </c>
      <c r="K50" s="540"/>
      <c r="L50" s="337">
        <f>IFERROR(IF(F50="Sem projeto",VLOOKUP(C50,$B$32:$H$34,7,FALSE)*1.5,G50*VLOOKUP(J50,Aux_Lista!$AG:$AH,2,FALSE)+H50)*E50,0)</f>
        <v>180</v>
      </c>
      <c r="M50" s="348" t="s">
        <v>90</v>
      </c>
      <c r="N50" s="348" t="s">
        <v>5895</v>
      </c>
      <c r="O50" s="348" t="s">
        <v>90</v>
      </c>
      <c r="P50" s="386">
        <f t="shared" si="7"/>
        <v>7.47</v>
      </c>
      <c r="R50" s="94">
        <v>19</v>
      </c>
      <c r="S50" s="383" t="s">
        <v>6025</v>
      </c>
      <c r="T50" s="214">
        <v>2.5</v>
      </c>
      <c r="U50" s="214">
        <v>4</v>
      </c>
      <c r="V50" s="217" t="s">
        <v>287</v>
      </c>
      <c r="W50" s="215" t="s">
        <v>351</v>
      </c>
      <c r="X50" s="336" t="s">
        <v>5983</v>
      </c>
      <c r="Y50" s="68">
        <f>IF(V50="","",VLOOKUP(V50,Aux_Lista!A:K,11,FALSE))</f>
        <v>12</v>
      </c>
      <c r="Z50" s="68">
        <f>IF(V50="","",VLOOKUP(V50,Aux_Lista!A:L,12,FALSE))</f>
        <v>365</v>
      </c>
      <c r="AA50" s="68">
        <f>IF(W50="","",VLOOKUP(W50,Aux_Lista!AN:AP,3,FALSE))</f>
        <v>13.73</v>
      </c>
      <c r="AB50" s="68">
        <f>IF(W50="","",VLOOKUP(W50,Aux_Lista!AN:AP,2,FALSE))</f>
        <v>9.15</v>
      </c>
      <c r="AC50" s="69"/>
      <c r="AD50" s="69">
        <v>46</v>
      </c>
      <c r="AE50" s="325">
        <f t="shared" si="0"/>
        <v>184</v>
      </c>
      <c r="AF50" s="540" t="s">
        <v>281</v>
      </c>
      <c r="AG50" s="540"/>
      <c r="AH50" s="337">
        <f>IFERROR(IF(X50="Sem projeto",1.5*AA50,AC50*VLOOKUP(AF50,Aux_Lista!AG:AH,2,FALSE)+AD50)*U50,0)</f>
        <v>184</v>
      </c>
      <c r="AI50" s="343" t="s">
        <v>5895</v>
      </c>
      <c r="AJ50" s="344" t="s">
        <v>5895</v>
      </c>
      <c r="AK50" s="345" t="s">
        <v>5895</v>
      </c>
      <c r="AL50" s="333">
        <f t="shared" si="2"/>
        <v>601.37400000000002</v>
      </c>
      <c r="AM50" s="334">
        <f t="shared" si="3"/>
        <v>805.92</v>
      </c>
      <c r="AN50" s="333">
        <f t="shared" si="4"/>
        <v>601.37400000000002</v>
      </c>
      <c r="AO50" s="334">
        <f t="shared" si="5"/>
        <v>400.77</v>
      </c>
      <c r="AP50" s="44"/>
      <c r="AQ50" s="2"/>
    </row>
    <row r="51" spans="1:43" ht="24.95" customHeight="1" x14ac:dyDescent="0.25">
      <c r="A51" s="2">
        <v>11</v>
      </c>
      <c r="B51" s="349" t="s">
        <v>10719</v>
      </c>
      <c r="C51" s="350" t="s">
        <v>10707</v>
      </c>
      <c r="D51" s="351">
        <v>108.25</v>
      </c>
      <c r="E51" s="351">
        <v>1</v>
      </c>
      <c r="F51" s="336" t="s">
        <v>5983</v>
      </c>
      <c r="G51" s="327">
        <v>0</v>
      </c>
      <c r="H51" s="327">
        <v>1294.5</v>
      </c>
      <c r="I51" s="325">
        <f t="shared" si="6"/>
        <v>1294.5</v>
      </c>
      <c r="J51" s="540" t="s">
        <v>281</v>
      </c>
      <c r="K51" s="540"/>
      <c r="L51" s="337">
        <f>IFERROR(IF(F51="Sem projeto",VLOOKUP(C51,$B$32:$H$34,7,FALSE)*1.5,G51*VLOOKUP(J51,Aux_Lista!$AG:$AH,2,FALSE)+H51)*E51,0)</f>
        <v>1294.5</v>
      </c>
      <c r="M51" s="348" t="s">
        <v>5974</v>
      </c>
      <c r="N51" s="348" t="s">
        <v>5895</v>
      </c>
      <c r="O51" s="348" t="s">
        <v>90</v>
      </c>
      <c r="P51" s="386">
        <f t="shared" si="7"/>
        <v>108.25</v>
      </c>
      <c r="R51" s="94">
        <v>20</v>
      </c>
      <c r="S51" s="383" t="s">
        <v>6026</v>
      </c>
      <c r="T51" s="214">
        <v>14.04</v>
      </c>
      <c r="U51" s="214">
        <v>4</v>
      </c>
      <c r="V51" s="217" t="s">
        <v>287</v>
      </c>
      <c r="W51" s="215" t="s">
        <v>476</v>
      </c>
      <c r="X51" s="336" t="s">
        <v>5983</v>
      </c>
      <c r="Y51" s="68">
        <f>IF(V51="","",VLOOKUP(V51,Aux_Lista!A:K,11,FALSE))</f>
        <v>12</v>
      </c>
      <c r="Z51" s="68">
        <f>IF(V51="","",VLOOKUP(V51,Aux_Lista!A:L,12,FALSE))</f>
        <v>365</v>
      </c>
      <c r="AA51" s="68">
        <f>IF(W51="","",VLOOKUP(W51,Aux_Lista!AN:AP,3,FALSE))</f>
        <v>13</v>
      </c>
      <c r="AB51" s="68">
        <f>IF(W51="","",VLOOKUP(W51,Aux_Lista!AN:AP,2,FALSE))</f>
        <v>8.3000000000000007</v>
      </c>
      <c r="AC51" s="69"/>
      <c r="AD51" s="69">
        <v>92</v>
      </c>
      <c r="AE51" s="325">
        <f t="shared" si="0"/>
        <v>368</v>
      </c>
      <c r="AF51" s="540" t="s">
        <v>281</v>
      </c>
      <c r="AG51" s="540"/>
      <c r="AH51" s="337">
        <f>IFERROR(IF(X51="Sem projeto",1.5*AA51,AC51*VLOOKUP(AF51,Aux_Lista!AG:AH,2,FALSE)+AD51)*U51,0)</f>
        <v>368</v>
      </c>
      <c r="AI51" s="343" t="s">
        <v>5895</v>
      </c>
      <c r="AJ51" s="344" t="s">
        <v>5895</v>
      </c>
      <c r="AK51" s="345" t="s">
        <v>5895</v>
      </c>
      <c r="AL51" s="333">
        <f t="shared" si="2"/>
        <v>3197.7503999999999</v>
      </c>
      <c r="AM51" s="334">
        <f t="shared" si="3"/>
        <v>1611.84</v>
      </c>
      <c r="AN51" s="333">
        <f t="shared" si="4"/>
        <v>3197.7503999999999</v>
      </c>
      <c r="AO51" s="334">
        <f t="shared" si="5"/>
        <v>2041.6406400000001</v>
      </c>
      <c r="AP51" s="44"/>
      <c r="AQ51" s="2"/>
    </row>
    <row r="52" spans="1:43" ht="24.95" customHeight="1" x14ac:dyDescent="0.25">
      <c r="A52" s="2">
        <v>12</v>
      </c>
      <c r="B52" s="349" t="s">
        <v>10720</v>
      </c>
      <c r="C52" s="350" t="s">
        <v>10707</v>
      </c>
      <c r="D52" s="351">
        <v>9.69</v>
      </c>
      <c r="E52" s="351">
        <v>1</v>
      </c>
      <c r="F52" s="336" t="s">
        <v>5983</v>
      </c>
      <c r="G52" s="327">
        <v>0</v>
      </c>
      <c r="H52" s="327">
        <v>90</v>
      </c>
      <c r="I52" s="325">
        <f t="shared" si="6"/>
        <v>90</v>
      </c>
      <c r="J52" s="540" t="s">
        <v>281</v>
      </c>
      <c r="K52" s="540"/>
      <c r="L52" s="337">
        <f>IFERROR(IF(F52="Sem projeto",VLOOKUP(C52,$B$32:$H$34,7,FALSE)*1.5,G52*VLOOKUP(J52,Aux_Lista!$AG:$AH,2,FALSE)+H52)*E52,0)</f>
        <v>90</v>
      </c>
      <c r="M52" s="348" t="s">
        <v>5895</v>
      </c>
      <c r="N52" s="348" t="s">
        <v>5895</v>
      </c>
      <c r="O52" s="348" t="s">
        <v>90</v>
      </c>
      <c r="P52" s="386">
        <f t="shared" si="7"/>
        <v>9.69</v>
      </c>
      <c r="R52" s="94">
        <v>21</v>
      </c>
      <c r="S52" s="383" t="s">
        <v>6027</v>
      </c>
      <c r="T52" s="214">
        <v>2.5</v>
      </c>
      <c r="U52" s="214">
        <v>4</v>
      </c>
      <c r="V52" s="217" t="s">
        <v>287</v>
      </c>
      <c r="W52" s="215" t="s">
        <v>351</v>
      </c>
      <c r="X52" s="336" t="s">
        <v>5983</v>
      </c>
      <c r="Y52" s="68">
        <f>IF(V52="","",VLOOKUP(V52,Aux_Lista!A:K,11,FALSE))</f>
        <v>12</v>
      </c>
      <c r="Z52" s="68">
        <f>IF(V52="","",VLOOKUP(V52,Aux_Lista!A:L,12,FALSE))</f>
        <v>365</v>
      </c>
      <c r="AA52" s="68">
        <f>IF(W52="","",VLOOKUP(W52,Aux_Lista!AN:AP,3,FALSE))</f>
        <v>13.73</v>
      </c>
      <c r="AB52" s="68">
        <f>IF(W52="","",VLOOKUP(W52,Aux_Lista!AN:AP,2,FALSE))</f>
        <v>9.15</v>
      </c>
      <c r="AC52" s="69"/>
      <c r="AD52" s="69">
        <v>46</v>
      </c>
      <c r="AE52" s="325">
        <f t="shared" si="0"/>
        <v>184</v>
      </c>
      <c r="AF52" s="540" t="s">
        <v>281</v>
      </c>
      <c r="AG52" s="540"/>
      <c r="AH52" s="337">
        <f>IFERROR(IF(X52="Sem projeto",1.5*AA52,AC52*VLOOKUP(AF52,Aux_Lista!AG:AH,2,FALSE)+AD52)*U52,0)</f>
        <v>184</v>
      </c>
      <c r="AI52" s="343" t="s">
        <v>5895</v>
      </c>
      <c r="AJ52" s="344" t="s">
        <v>5895</v>
      </c>
      <c r="AK52" s="345" t="s">
        <v>5895</v>
      </c>
      <c r="AL52" s="333">
        <f t="shared" si="2"/>
        <v>601.37400000000002</v>
      </c>
      <c r="AM52" s="334">
        <f t="shared" si="3"/>
        <v>805.92</v>
      </c>
      <c r="AN52" s="333">
        <f t="shared" si="4"/>
        <v>601.37400000000002</v>
      </c>
      <c r="AO52" s="334">
        <f t="shared" si="5"/>
        <v>400.77</v>
      </c>
      <c r="AP52" s="44"/>
      <c r="AQ52" s="2"/>
    </row>
    <row r="53" spans="1:43" ht="24.95" customHeight="1" x14ac:dyDescent="0.25">
      <c r="A53" s="2">
        <v>13</v>
      </c>
      <c r="B53" s="349" t="s">
        <v>10721</v>
      </c>
      <c r="C53" s="350" t="s">
        <v>10707</v>
      </c>
      <c r="D53" s="351">
        <v>9.73</v>
      </c>
      <c r="E53" s="351">
        <v>1</v>
      </c>
      <c r="F53" s="336" t="s">
        <v>5983</v>
      </c>
      <c r="G53" s="327">
        <v>0</v>
      </c>
      <c r="H53" s="327">
        <v>90</v>
      </c>
      <c r="I53" s="325">
        <f t="shared" si="6"/>
        <v>90</v>
      </c>
      <c r="J53" s="540" t="s">
        <v>281</v>
      </c>
      <c r="K53" s="540"/>
      <c r="L53" s="337">
        <f>IFERROR(IF(F53="Sem projeto",VLOOKUP(C53,$B$32:$H$34,7,FALSE)*1.5,G53*VLOOKUP(J53,Aux_Lista!$AG:$AH,2,FALSE)+H53)*E53,0)</f>
        <v>90</v>
      </c>
      <c r="M53" s="348" t="s">
        <v>90</v>
      </c>
      <c r="N53" s="348" t="s">
        <v>5895</v>
      </c>
      <c r="O53" s="348" t="s">
        <v>90</v>
      </c>
      <c r="P53" s="386">
        <f t="shared" si="7"/>
        <v>9.73</v>
      </c>
      <c r="R53" s="94">
        <v>22</v>
      </c>
      <c r="S53" s="383" t="s">
        <v>6028</v>
      </c>
      <c r="T53" s="214">
        <v>14.04</v>
      </c>
      <c r="U53" s="214">
        <v>4</v>
      </c>
      <c r="V53" s="217" t="s">
        <v>287</v>
      </c>
      <c r="W53" s="215" t="s">
        <v>476</v>
      </c>
      <c r="X53" s="336" t="s">
        <v>5983</v>
      </c>
      <c r="Y53" s="68">
        <f>IF(V53="","",VLOOKUP(V53,Aux_Lista!A:K,11,FALSE))</f>
        <v>12</v>
      </c>
      <c r="Z53" s="68">
        <f>IF(V53="","",VLOOKUP(V53,Aux_Lista!A:L,12,FALSE))</f>
        <v>365</v>
      </c>
      <c r="AA53" s="68">
        <f>IF(W53="","",VLOOKUP(W53,Aux_Lista!AN:AP,3,FALSE))</f>
        <v>13</v>
      </c>
      <c r="AB53" s="68">
        <f>IF(W53="","",VLOOKUP(W53,Aux_Lista!AN:AP,2,FALSE))</f>
        <v>8.3000000000000007</v>
      </c>
      <c r="AC53" s="69"/>
      <c r="AD53" s="69">
        <v>92</v>
      </c>
      <c r="AE53" s="325">
        <f t="shared" si="0"/>
        <v>368</v>
      </c>
      <c r="AF53" s="540" t="s">
        <v>281</v>
      </c>
      <c r="AG53" s="540"/>
      <c r="AH53" s="337">
        <f>IFERROR(IF(X53="Sem projeto",1.5*AA53,AC53*VLOOKUP(AF53,Aux_Lista!AG:AH,2,FALSE)+AD53)*U53,0)</f>
        <v>368</v>
      </c>
      <c r="AI53" s="343" t="s">
        <v>5895</v>
      </c>
      <c r="AJ53" s="344" t="s">
        <v>5895</v>
      </c>
      <c r="AK53" s="345" t="s">
        <v>5895</v>
      </c>
      <c r="AL53" s="333">
        <f t="shared" si="2"/>
        <v>3197.7503999999999</v>
      </c>
      <c r="AM53" s="334">
        <f t="shared" si="3"/>
        <v>1611.84</v>
      </c>
      <c r="AN53" s="333">
        <f t="shared" si="4"/>
        <v>3197.7503999999999</v>
      </c>
      <c r="AO53" s="334">
        <f t="shared" si="5"/>
        <v>2041.6406400000001</v>
      </c>
      <c r="AP53" s="44"/>
      <c r="AQ53" s="2"/>
    </row>
    <row r="54" spans="1:43" ht="24.95" customHeight="1" x14ac:dyDescent="0.25">
      <c r="A54" s="2">
        <v>14</v>
      </c>
      <c r="B54" s="349" t="s">
        <v>10722</v>
      </c>
      <c r="C54" s="350" t="s">
        <v>10707</v>
      </c>
      <c r="D54" s="351">
        <v>16.649999999999999</v>
      </c>
      <c r="E54" s="351">
        <v>1</v>
      </c>
      <c r="F54" s="336" t="s">
        <v>5983</v>
      </c>
      <c r="G54" s="327">
        <v>0</v>
      </c>
      <c r="H54" s="327">
        <v>180</v>
      </c>
      <c r="I54" s="325">
        <f t="shared" si="6"/>
        <v>180</v>
      </c>
      <c r="J54" s="540" t="s">
        <v>281</v>
      </c>
      <c r="K54" s="540"/>
      <c r="L54" s="337">
        <f>IFERROR(IF(F54="Sem projeto",VLOOKUP(C54,$B$32:$H$34,7,FALSE)*1.5,G54*VLOOKUP(J54,Aux_Lista!$AG:$AH,2,FALSE)+H54)*E54,0)</f>
        <v>180</v>
      </c>
      <c r="M54" s="348" t="s">
        <v>5974</v>
      </c>
      <c r="N54" s="348" t="s">
        <v>5895</v>
      </c>
      <c r="O54" s="348" t="s">
        <v>90</v>
      </c>
      <c r="P54" s="386">
        <f t="shared" si="7"/>
        <v>16.649999999999999</v>
      </c>
      <c r="R54" s="94">
        <v>23</v>
      </c>
      <c r="S54" s="383" t="s">
        <v>6029</v>
      </c>
      <c r="T54" s="214">
        <v>2.5</v>
      </c>
      <c r="U54" s="214">
        <v>4</v>
      </c>
      <c r="V54" s="217" t="s">
        <v>287</v>
      </c>
      <c r="W54" s="215" t="s">
        <v>351</v>
      </c>
      <c r="X54" s="336" t="s">
        <v>5983</v>
      </c>
      <c r="Y54" s="68">
        <f>IF(V54="","",VLOOKUP(V54,Aux_Lista!A:K,11,FALSE))</f>
        <v>12</v>
      </c>
      <c r="Z54" s="68">
        <f>IF(V54="","",VLOOKUP(V54,Aux_Lista!A:L,12,FALSE))</f>
        <v>365</v>
      </c>
      <c r="AA54" s="68">
        <f>IF(W54="","",VLOOKUP(W54,Aux_Lista!AN:AP,3,FALSE))</f>
        <v>13.73</v>
      </c>
      <c r="AB54" s="68">
        <f>IF(W54="","",VLOOKUP(W54,Aux_Lista!AN:AP,2,FALSE))</f>
        <v>9.15</v>
      </c>
      <c r="AC54" s="69"/>
      <c r="AD54" s="69">
        <v>46</v>
      </c>
      <c r="AE54" s="325">
        <f t="shared" si="0"/>
        <v>184</v>
      </c>
      <c r="AF54" s="540" t="s">
        <v>281</v>
      </c>
      <c r="AG54" s="540"/>
      <c r="AH54" s="337">
        <f>IFERROR(IF(X54="Sem projeto",1.5*AA54,AC54*VLOOKUP(AF54,Aux_Lista!AG:AH,2,FALSE)+AD54)*U54,0)</f>
        <v>184</v>
      </c>
      <c r="AI54" s="343" t="s">
        <v>5895</v>
      </c>
      <c r="AJ54" s="344" t="s">
        <v>5895</v>
      </c>
      <c r="AK54" s="345" t="s">
        <v>5895</v>
      </c>
      <c r="AL54" s="333">
        <f t="shared" si="2"/>
        <v>601.37400000000002</v>
      </c>
      <c r="AM54" s="334">
        <f t="shared" si="3"/>
        <v>805.92</v>
      </c>
      <c r="AN54" s="333">
        <f t="shared" si="4"/>
        <v>601.37400000000002</v>
      </c>
      <c r="AO54" s="334">
        <f t="shared" si="5"/>
        <v>400.77</v>
      </c>
      <c r="AP54" s="44"/>
      <c r="AQ54" s="2"/>
    </row>
    <row r="55" spans="1:43" ht="24.95" customHeight="1" x14ac:dyDescent="0.25">
      <c r="A55" s="2">
        <v>15</v>
      </c>
      <c r="B55" s="349" t="s">
        <v>10723</v>
      </c>
      <c r="C55" s="350" t="s">
        <v>10707</v>
      </c>
      <c r="D55" s="351">
        <v>27.51</v>
      </c>
      <c r="E55" s="351">
        <v>1</v>
      </c>
      <c r="F55" s="336" t="s">
        <v>5983</v>
      </c>
      <c r="G55" s="327">
        <v>0</v>
      </c>
      <c r="H55" s="327">
        <v>270</v>
      </c>
      <c r="I55" s="325">
        <f t="shared" si="6"/>
        <v>270</v>
      </c>
      <c r="J55" s="540" t="s">
        <v>281</v>
      </c>
      <c r="K55" s="540"/>
      <c r="L55" s="337">
        <f>IFERROR(IF(F55="Sem projeto",VLOOKUP(C55,$B$32:$H$34,7,FALSE)*1.5,G55*VLOOKUP(J55,Aux_Lista!$AG:$AH,2,FALSE)+H55)*E55,0)</f>
        <v>270</v>
      </c>
      <c r="M55" s="348" t="s">
        <v>5974</v>
      </c>
      <c r="N55" s="348" t="s">
        <v>5895</v>
      </c>
      <c r="O55" s="348" t="s">
        <v>90</v>
      </c>
      <c r="P55" s="386">
        <f t="shared" si="7"/>
        <v>27.51</v>
      </c>
      <c r="R55" s="94">
        <v>24</v>
      </c>
      <c r="S55" s="383" t="s">
        <v>6030</v>
      </c>
      <c r="T55" s="214">
        <v>14.04</v>
      </c>
      <c r="U55" s="214">
        <v>4</v>
      </c>
      <c r="V55" s="217" t="s">
        <v>287</v>
      </c>
      <c r="W55" s="215" t="s">
        <v>476</v>
      </c>
      <c r="X55" s="336" t="s">
        <v>5983</v>
      </c>
      <c r="Y55" s="68">
        <f>IF(V55="","",VLOOKUP(V55,Aux_Lista!A:K,11,FALSE))</f>
        <v>12</v>
      </c>
      <c r="Z55" s="68">
        <f>IF(V55="","",VLOOKUP(V55,Aux_Lista!A:L,12,FALSE))</f>
        <v>365</v>
      </c>
      <c r="AA55" s="68">
        <f>IF(W55="","",VLOOKUP(W55,Aux_Lista!AN:AP,3,FALSE))</f>
        <v>13</v>
      </c>
      <c r="AB55" s="68">
        <f>IF(W55="","",VLOOKUP(W55,Aux_Lista!AN:AP,2,FALSE))</f>
        <v>8.3000000000000007</v>
      </c>
      <c r="AC55" s="69"/>
      <c r="AD55" s="69">
        <v>92</v>
      </c>
      <c r="AE55" s="325">
        <f t="shared" si="0"/>
        <v>368</v>
      </c>
      <c r="AF55" s="540" t="s">
        <v>281</v>
      </c>
      <c r="AG55" s="540"/>
      <c r="AH55" s="337">
        <f>IFERROR(IF(X55="Sem projeto",1.5*AA55,AC55*VLOOKUP(AF55,Aux_Lista!AG:AH,2,FALSE)+AD55)*U55,0)</f>
        <v>368</v>
      </c>
      <c r="AI55" s="343" t="s">
        <v>5895</v>
      </c>
      <c r="AJ55" s="344" t="s">
        <v>5895</v>
      </c>
      <c r="AK55" s="345" t="s">
        <v>5895</v>
      </c>
      <c r="AL55" s="333">
        <f t="shared" si="2"/>
        <v>3197.7503999999999</v>
      </c>
      <c r="AM55" s="334">
        <f t="shared" si="3"/>
        <v>1611.84</v>
      </c>
      <c r="AN55" s="333">
        <f t="shared" si="4"/>
        <v>3197.7503999999999</v>
      </c>
      <c r="AO55" s="334">
        <f t="shared" si="5"/>
        <v>2041.6406400000001</v>
      </c>
      <c r="AP55" s="44"/>
      <c r="AQ55" s="2"/>
    </row>
    <row r="56" spans="1:43" ht="24.95" customHeight="1" x14ac:dyDescent="0.25">
      <c r="A56" s="2">
        <v>16</v>
      </c>
      <c r="B56" s="349" t="s">
        <v>10724</v>
      </c>
      <c r="C56" s="350" t="s">
        <v>10707</v>
      </c>
      <c r="D56" s="351">
        <v>2.78</v>
      </c>
      <c r="E56" s="351">
        <v>1</v>
      </c>
      <c r="F56" s="336" t="s">
        <v>5983</v>
      </c>
      <c r="G56" s="327">
        <v>0</v>
      </c>
      <c r="H56" s="327">
        <v>195</v>
      </c>
      <c r="I56" s="325">
        <f t="shared" si="6"/>
        <v>195</v>
      </c>
      <c r="J56" s="540" t="s">
        <v>281</v>
      </c>
      <c r="K56" s="540"/>
      <c r="L56" s="337">
        <f>IFERROR(IF(F56="Sem projeto",VLOOKUP(C56,$B$32:$H$34,7,FALSE)*1.5,G56*VLOOKUP(J56,Aux_Lista!$AG:$AH,2,FALSE)+H56)*E56,0)</f>
        <v>195</v>
      </c>
      <c r="M56" s="348" t="s">
        <v>90</v>
      </c>
      <c r="N56" s="348" t="s">
        <v>5895</v>
      </c>
      <c r="O56" s="348" t="s">
        <v>90</v>
      </c>
      <c r="P56" s="386">
        <f t="shared" si="7"/>
        <v>2.78</v>
      </c>
      <c r="R56" s="94">
        <v>25</v>
      </c>
      <c r="S56" s="383" t="s">
        <v>6031</v>
      </c>
      <c r="T56" s="214">
        <v>2.5</v>
      </c>
      <c r="U56" s="214">
        <v>4</v>
      </c>
      <c r="V56" s="217" t="s">
        <v>287</v>
      </c>
      <c r="W56" s="215" t="s">
        <v>351</v>
      </c>
      <c r="X56" s="336" t="s">
        <v>5983</v>
      </c>
      <c r="Y56" s="68">
        <f>IF(V56="","",VLOOKUP(V56,Aux_Lista!A:K,11,FALSE))</f>
        <v>12</v>
      </c>
      <c r="Z56" s="68">
        <f>IF(V56="","",VLOOKUP(V56,Aux_Lista!A:L,12,FALSE))</f>
        <v>365</v>
      </c>
      <c r="AA56" s="68">
        <f>IF(W56="","",VLOOKUP(W56,Aux_Lista!AN:AP,3,FALSE))</f>
        <v>13.73</v>
      </c>
      <c r="AB56" s="68">
        <f>IF(W56="","",VLOOKUP(W56,Aux_Lista!AN:AP,2,FALSE))</f>
        <v>9.15</v>
      </c>
      <c r="AC56" s="69"/>
      <c r="AD56" s="69">
        <v>46</v>
      </c>
      <c r="AE56" s="325">
        <f t="shared" si="0"/>
        <v>184</v>
      </c>
      <c r="AF56" s="540" t="s">
        <v>281</v>
      </c>
      <c r="AG56" s="540"/>
      <c r="AH56" s="337">
        <f>IFERROR(IF(X56="Sem projeto",1.5*AA56,AC56*VLOOKUP(AF56,Aux_Lista!AG:AH,2,FALSE)+AD56)*U56,0)</f>
        <v>184</v>
      </c>
      <c r="AI56" s="343" t="s">
        <v>5895</v>
      </c>
      <c r="AJ56" s="344" t="s">
        <v>5895</v>
      </c>
      <c r="AK56" s="345" t="s">
        <v>5895</v>
      </c>
      <c r="AL56" s="333">
        <f t="shared" si="2"/>
        <v>601.37400000000002</v>
      </c>
      <c r="AM56" s="334">
        <f t="shared" si="3"/>
        <v>805.92</v>
      </c>
      <c r="AN56" s="333">
        <f t="shared" si="4"/>
        <v>601.37400000000002</v>
      </c>
      <c r="AO56" s="334">
        <f t="shared" si="5"/>
        <v>400.77</v>
      </c>
      <c r="AP56" s="44"/>
      <c r="AQ56" s="2"/>
    </row>
    <row r="57" spans="1:43" ht="24.95" customHeight="1" x14ac:dyDescent="0.25">
      <c r="A57" s="2">
        <v>17</v>
      </c>
      <c r="B57" s="349" t="s">
        <v>10725</v>
      </c>
      <c r="C57" s="350" t="s">
        <v>10707</v>
      </c>
      <c r="D57" s="351">
        <v>2.78</v>
      </c>
      <c r="E57" s="351">
        <v>1</v>
      </c>
      <c r="F57" s="336" t="s">
        <v>5983</v>
      </c>
      <c r="G57" s="327">
        <v>0</v>
      </c>
      <c r="H57" s="327">
        <v>195</v>
      </c>
      <c r="I57" s="325">
        <f t="shared" si="6"/>
        <v>195</v>
      </c>
      <c r="J57" s="540" t="s">
        <v>281</v>
      </c>
      <c r="K57" s="540"/>
      <c r="L57" s="337">
        <f>IFERROR(IF(F57="Sem projeto",VLOOKUP(C57,$B$32:$H$34,7,FALSE)*1.5,G57*VLOOKUP(J57,Aux_Lista!$AG:$AH,2,FALSE)+H57)*E57,0)</f>
        <v>195</v>
      </c>
      <c r="M57" s="348" t="s">
        <v>5974</v>
      </c>
      <c r="N57" s="348" t="s">
        <v>5895</v>
      </c>
      <c r="O57" s="348" t="s">
        <v>90</v>
      </c>
      <c r="P57" s="386">
        <f t="shared" si="7"/>
        <v>2.78</v>
      </c>
      <c r="R57" s="94">
        <v>26</v>
      </c>
      <c r="S57" s="383" t="s">
        <v>6032</v>
      </c>
      <c r="T57" s="214">
        <v>14.04</v>
      </c>
      <c r="U57" s="214">
        <v>4</v>
      </c>
      <c r="V57" s="217" t="s">
        <v>287</v>
      </c>
      <c r="W57" s="215" t="s">
        <v>476</v>
      </c>
      <c r="X57" s="336" t="s">
        <v>5983</v>
      </c>
      <c r="Y57" s="68">
        <f>IF(V57="","",VLOOKUP(V57,Aux_Lista!A:K,11,FALSE))</f>
        <v>12</v>
      </c>
      <c r="Z57" s="68">
        <f>IF(V57="","",VLOOKUP(V57,Aux_Lista!A:L,12,FALSE))</f>
        <v>365</v>
      </c>
      <c r="AA57" s="68">
        <f>IF(W57="","",VLOOKUP(W57,Aux_Lista!AN:AP,3,FALSE))</f>
        <v>13</v>
      </c>
      <c r="AB57" s="68">
        <f>IF(W57="","",VLOOKUP(W57,Aux_Lista!AN:AP,2,FALSE))</f>
        <v>8.3000000000000007</v>
      </c>
      <c r="AC57" s="69"/>
      <c r="AD57" s="69">
        <v>92</v>
      </c>
      <c r="AE57" s="325">
        <f t="shared" si="0"/>
        <v>368</v>
      </c>
      <c r="AF57" s="540" t="s">
        <v>281</v>
      </c>
      <c r="AG57" s="540"/>
      <c r="AH57" s="337">
        <f>IFERROR(IF(X57="Sem projeto",1.5*AA57,AC57*VLOOKUP(AF57,Aux_Lista!AG:AH,2,FALSE)+AD57)*U57,0)</f>
        <v>368</v>
      </c>
      <c r="AI57" s="343" t="s">
        <v>5895</v>
      </c>
      <c r="AJ57" s="344" t="s">
        <v>5895</v>
      </c>
      <c r="AK57" s="345" t="s">
        <v>5895</v>
      </c>
      <c r="AL57" s="333">
        <f t="shared" si="2"/>
        <v>3197.7503999999999</v>
      </c>
      <c r="AM57" s="334">
        <f t="shared" si="3"/>
        <v>1611.84</v>
      </c>
      <c r="AN57" s="333">
        <f t="shared" si="4"/>
        <v>3197.7503999999999</v>
      </c>
      <c r="AO57" s="334">
        <f t="shared" si="5"/>
        <v>2041.6406400000001</v>
      </c>
      <c r="AP57" s="44"/>
      <c r="AQ57" s="2"/>
    </row>
    <row r="58" spans="1:43" ht="24.95" customHeight="1" x14ac:dyDescent="0.25">
      <c r="A58" s="2">
        <v>18</v>
      </c>
      <c r="B58" s="349" t="s">
        <v>10726</v>
      </c>
      <c r="C58" s="350" t="s">
        <v>10707</v>
      </c>
      <c r="D58" s="351">
        <v>20.66</v>
      </c>
      <c r="E58" s="351">
        <v>1</v>
      </c>
      <c r="F58" s="336" t="s">
        <v>5983</v>
      </c>
      <c r="G58" s="327">
        <v>0</v>
      </c>
      <c r="H58" s="327">
        <v>270</v>
      </c>
      <c r="I58" s="325">
        <f t="shared" si="6"/>
        <v>270</v>
      </c>
      <c r="J58" s="540" t="s">
        <v>281</v>
      </c>
      <c r="K58" s="540"/>
      <c r="L58" s="337">
        <f>IFERROR(IF(F58="Sem projeto",VLOOKUP(C58,$B$32:$H$34,7,FALSE)*1.5,G58*VLOOKUP(J58,Aux_Lista!$AG:$AH,2,FALSE)+H58)*E58,0)</f>
        <v>270</v>
      </c>
      <c r="M58" s="348" t="s">
        <v>90</v>
      </c>
      <c r="N58" s="348" t="s">
        <v>5895</v>
      </c>
      <c r="O58" s="348" t="s">
        <v>90</v>
      </c>
      <c r="P58" s="386">
        <f t="shared" si="7"/>
        <v>20.66</v>
      </c>
      <c r="R58" s="94">
        <v>27</v>
      </c>
      <c r="S58" s="383" t="s">
        <v>6033</v>
      </c>
      <c r="T58" s="214">
        <v>2.5</v>
      </c>
      <c r="U58" s="214">
        <v>4</v>
      </c>
      <c r="V58" s="217" t="s">
        <v>287</v>
      </c>
      <c r="W58" s="215" t="s">
        <v>351</v>
      </c>
      <c r="X58" s="336" t="s">
        <v>5983</v>
      </c>
      <c r="Y58" s="68">
        <f>IF(V58="","",VLOOKUP(V58,Aux_Lista!A:K,11,FALSE))</f>
        <v>12</v>
      </c>
      <c r="Z58" s="68">
        <f>IF(V58="","",VLOOKUP(V58,Aux_Lista!A:L,12,FALSE))</f>
        <v>365</v>
      </c>
      <c r="AA58" s="68">
        <f>IF(W58="","",VLOOKUP(W58,Aux_Lista!AN:AP,3,FALSE))</f>
        <v>13.73</v>
      </c>
      <c r="AB58" s="68">
        <f>IF(W58="","",VLOOKUP(W58,Aux_Lista!AN:AP,2,FALSE))</f>
        <v>9.15</v>
      </c>
      <c r="AC58" s="69"/>
      <c r="AD58" s="69">
        <v>46</v>
      </c>
      <c r="AE58" s="325">
        <f t="shared" si="0"/>
        <v>184</v>
      </c>
      <c r="AF58" s="540" t="s">
        <v>281</v>
      </c>
      <c r="AG58" s="540"/>
      <c r="AH58" s="337">
        <f>IFERROR(IF(X58="Sem projeto",1.5*AA58,AC58*VLOOKUP(AF58,Aux_Lista!AG:AH,2,FALSE)+AD58)*U58,0)</f>
        <v>184</v>
      </c>
      <c r="AI58" s="343" t="s">
        <v>5895</v>
      </c>
      <c r="AJ58" s="344" t="s">
        <v>5895</v>
      </c>
      <c r="AK58" s="345" t="s">
        <v>5895</v>
      </c>
      <c r="AL58" s="333">
        <f t="shared" si="2"/>
        <v>601.37400000000002</v>
      </c>
      <c r="AM58" s="334">
        <f t="shared" si="3"/>
        <v>805.92</v>
      </c>
      <c r="AN58" s="333">
        <f t="shared" si="4"/>
        <v>601.37400000000002</v>
      </c>
      <c r="AO58" s="334">
        <f t="shared" si="5"/>
        <v>400.77</v>
      </c>
      <c r="AP58" s="44"/>
      <c r="AQ58" s="2"/>
    </row>
    <row r="59" spans="1:43" ht="24.95" customHeight="1" x14ac:dyDescent="0.25">
      <c r="A59" s="2">
        <v>19</v>
      </c>
      <c r="B59" s="349" t="s">
        <v>10727</v>
      </c>
      <c r="C59" s="350" t="s">
        <v>10707</v>
      </c>
      <c r="D59" s="351">
        <v>3.62</v>
      </c>
      <c r="E59" s="351">
        <v>1</v>
      </c>
      <c r="F59" s="336" t="s">
        <v>5983</v>
      </c>
      <c r="G59" s="327">
        <v>0</v>
      </c>
      <c r="H59" s="327">
        <v>45</v>
      </c>
      <c r="I59" s="325">
        <f t="shared" si="6"/>
        <v>45</v>
      </c>
      <c r="J59" s="540" t="s">
        <v>281</v>
      </c>
      <c r="K59" s="540"/>
      <c r="L59" s="337">
        <f>IFERROR(IF(F59="Sem projeto",VLOOKUP(C59,$B$32:$H$34,7,FALSE)*1.5,G59*VLOOKUP(J59,Aux_Lista!$AG:$AH,2,FALSE)+H59)*E59,0)</f>
        <v>45</v>
      </c>
      <c r="M59" s="348" t="s">
        <v>90</v>
      </c>
      <c r="N59" s="348" t="s">
        <v>5895</v>
      </c>
      <c r="O59" s="348" t="s">
        <v>90</v>
      </c>
      <c r="P59" s="386">
        <f t="shared" si="7"/>
        <v>3.62</v>
      </c>
      <c r="R59" s="94">
        <v>28</v>
      </c>
      <c r="S59" s="383" t="s">
        <v>6034</v>
      </c>
      <c r="T59" s="214">
        <v>14.04</v>
      </c>
      <c r="U59" s="214">
        <v>4</v>
      </c>
      <c r="V59" s="217" t="s">
        <v>287</v>
      </c>
      <c r="W59" s="215" t="s">
        <v>476</v>
      </c>
      <c r="X59" s="336" t="s">
        <v>5983</v>
      </c>
      <c r="Y59" s="68">
        <f>IF(V59="","",VLOOKUP(V59,Aux_Lista!A:K,11,FALSE))</f>
        <v>12</v>
      </c>
      <c r="Z59" s="68">
        <f>IF(V59="","",VLOOKUP(V59,Aux_Lista!A:L,12,FALSE))</f>
        <v>365</v>
      </c>
      <c r="AA59" s="68">
        <f>IF(W59="","",VLOOKUP(W59,Aux_Lista!AN:AP,3,FALSE))</f>
        <v>13</v>
      </c>
      <c r="AB59" s="68">
        <f>IF(W59="","",VLOOKUP(W59,Aux_Lista!AN:AP,2,FALSE))</f>
        <v>8.3000000000000007</v>
      </c>
      <c r="AC59" s="69"/>
      <c r="AD59" s="69">
        <v>92</v>
      </c>
      <c r="AE59" s="325">
        <f t="shared" si="0"/>
        <v>368</v>
      </c>
      <c r="AF59" s="540" t="s">
        <v>281</v>
      </c>
      <c r="AG59" s="540"/>
      <c r="AH59" s="337">
        <f>IFERROR(IF(X59="Sem projeto",1.5*AA59,AC59*VLOOKUP(AF59,Aux_Lista!AG:AH,2,FALSE)+AD59)*U59,0)</f>
        <v>368</v>
      </c>
      <c r="AI59" s="343" t="s">
        <v>5895</v>
      </c>
      <c r="AJ59" s="344" t="s">
        <v>5895</v>
      </c>
      <c r="AK59" s="345" t="s">
        <v>5895</v>
      </c>
      <c r="AL59" s="333">
        <f t="shared" si="2"/>
        <v>3197.7503999999999</v>
      </c>
      <c r="AM59" s="334">
        <f t="shared" si="3"/>
        <v>1611.84</v>
      </c>
      <c r="AN59" s="333">
        <f t="shared" si="4"/>
        <v>3197.7503999999999</v>
      </c>
      <c r="AO59" s="334">
        <f t="shared" si="5"/>
        <v>2041.6406400000001</v>
      </c>
      <c r="AP59" s="44"/>
      <c r="AQ59" s="2"/>
    </row>
    <row r="60" spans="1:43" ht="24.95" customHeight="1" x14ac:dyDescent="0.25">
      <c r="A60" s="2">
        <v>20</v>
      </c>
      <c r="B60" s="349" t="s">
        <v>10728</v>
      </c>
      <c r="C60" s="350" t="s">
        <v>10707</v>
      </c>
      <c r="D60" s="351">
        <v>71.73</v>
      </c>
      <c r="E60" s="351">
        <v>1</v>
      </c>
      <c r="F60" s="336" t="s">
        <v>5983</v>
      </c>
      <c r="G60" s="327">
        <v>0</v>
      </c>
      <c r="H60" s="327">
        <v>720</v>
      </c>
      <c r="I60" s="325">
        <f t="shared" si="6"/>
        <v>720</v>
      </c>
      <c r="J60" s="540" t="s">
        <v>281</v>
      </c>
      <c r="K60" s="540"/>
      <c r="L60" s="337">
        <f>IFERROR(IF(F60="Sem projeto",VLOOKUP(C60,$B$32:$H$34,7,FALSE)*1.5,G60*VLOOKUP(J60,Aux_Lista!$AG:$AH,2,FALSE)+H60)*E60,0)</f>
        <v>720</v>
      </c>
      <c r="M60" s="348" t="s">
        <v>5974</v>
      </c>
      <c r="N60" s="348" t="s">
        <v>5895</v>
      </c>
      <c r="O60" s="348" t="s">
        <v>90</v>
      </c>
      <c r="P60" s="386">
        <f t="shared" si="7"/>
        <v>71.73</v>
      </c>
      <c r="R60" s="94">
        <v>29</v>
      </c>
      <c r="S60" s="383" t="s">
        <v>6035</v>
      </c>
      <c r="T60" s="214">
        <v>2.5</v>
      </c>
      <c r="U60" s="214">
        <v>4</v>
      </c>
      <c r="V60" s="217" t="s">
        <v>287</v>
      </c>
      <c r="W60" s="215" t="s">
        <v>351</v>
      </c>
      <c r="X60" s="336" t="s">
        <v>5983</v>
      </c>
      <c r="Y60" s="68">
        <f>IF(V60="","",VLOOKUP(V60,Aux_Lista!A:K,11,FALSE))</f>
        <v>12</v>
      </c>
      <c r="Z60" s="68">
        <f>IF(V60="","",VLOOKUP(V60,Aux_Lista!A:L,12,FALSE))</f>
        <v>365</v>
      </c>
      <c r="AA60" s="68">
        <f>IF(W60="","",VLOOKUP(W60,Aux_Lista!AN:AP,3,FALSE))</f>
        <v>13.73</v>
      </c>
      <c r="AB60" s="68">
        <f>IF(W60="","",VLOOKUP(W60,Aux_Lista!AN:AP,2,FALSE))</f>
        <v>9.15</v>
      </c>
      <c r="AC60" s="69"/>
      <c r="AD60" s="69">
        <v>46</v>
      </c>
      <c r="AE60" s="325">
        <f t="shared" si="0"/>
        <v>184</v>
      </c>
      <c r="AF60" s="540" t="s">
        <v>281</v>
      </c>
      <c r="AG60" s="540"/>
      <c r="AH60" s="337">
        <f>IFERROR(IF(X60="Sem projeto",1.5*AA60,AC60*VLOOKUP(AF60,Aux_Lista!AG:AH,2,FALSE)+AD60)*U60,0)</f>
        <v>184</v>
      </c>
      <c r="AI60" s="343" t="s">
        <v>5895</v>
      </c>
      <c r="AJ60" s="344" t="s">
        <v>5895</v>
      </c>
      <c r="AK60" s="345" t="s">
        <v>5895</v>
      </c>
      <c r="AL60" s="333">
        <f t="shared" si="2"/>
        <v>601.37400000000002</v>
      </c>
      <c r="AM60" s="334">
        <f t="shared" si="3"/>
        <v>805.92</v>
      </c>
      <c r="AN60" s="333">
        <f t="shared" si="4"/>
        <v>601.37400000000002</v>
      </c>
      <c r="AO60" s="334">
        <f t="shared" si="5"/>
        <v>400.77</v>
      </c>
      <c r="AP60" s="44"/>
      <c r="AQ60" s="2"/>
    </row>
    <row r="61" spans="1:43" ht="24.95" customHeight="1" x14ac:dyDescent="0.25">
      <c r="A61" s="2">
        <v>21</v>
      </c>
      <c r="B61" s="349" t="s">
        <v>10729</v>
      </c>
      <c r="C61" s="350" t="s">
        <v>10707</v>
      </c>
      <c r="D61" s="351">
        <v>14.22</v>
      </c>
      <c r="E61" s="351">
        <v>1</v>
      </c>
      <c r="F61" s="336" t="s">
        <v>5983</v>
      </c>
      <c r="G61" s="327">
        <v>0</v>
      </c>
      <c r="H61" s="327">
        <v>180</v>
      </c>
      <c r="I61" s="325">
        <f t="shared" si="6"/>
        <v>180</v>
      </c>
      <c r="J61" s="540" t="s">
        <v>281</v>
      </c>
      <c r="K61" s="540"/>
      <c r="L61" s="337">
        <f>IFERROR(IF(F61="Sem projeto",VLOOKUP(C61,$B$32:$H$34,7,FALSE)*1.5,G61*VLOOKUP(J61,Aux_Lista!$AG:$AH,2,FALSE)+H61)*E61,0)</f>
        <v>180</v>
      </c>
      <c r="M61" s="348" t="s">
        <v>5974</v>
      </c>
      <c r="N61" s="348" t="s">
        <v>5895</v>
      </c>
      <c r="O61" s="348" t="s">
        <v>90</v>
      </c>
      <c r="P61" s="386">
        <f t="shared" si="7"/>
        <v>14.22</v>
      </c>
      <c r="R61" s="94">
        <v>30</v>
      </c>
      <c r="S61" s="383" t="s">
        <v>6036</v>
      </c>
      <c r="T61" s="214">
        <v>14.04</v>
      </c>
      <c r="U61" s="214">
        <v>4</v>
      </c>
      <c r="V61" s="217" t="s">
        <v>287</v>
      </c>
      <c r="W61" s="215" t="s">
        <v>476</v>
      </c>
      <c r="X61" s="336" t="s">
        <v>5983</v>
      </c>
      <c r="Y61" s="68">
        <f>IF(V61="","",VLOOKUP(V61,Aux_Lista!A:K,11,FALSE))</f>
        <v>12</v>
      </c>
      <c r="Z61" s="68">
        <f>IF(V61="","",VLOOKUP(V61,Aux_Lista!A:L,12,FALSE))</f>
        <v>365</v>
      </c>
      <c r="AA61" s="68">
        <f>IF(W61="","",VLOOKUP(W61,Aux_Lista!AN:AP,3,FALSE))</f>
        <v>13</v>
      </c>
      <c r="AB61" s="68">
        <f>IF(W61="","",VLOOKUP(W61,Aux_Lista!AN:AP,2,FALSE))</f>
        <v>8.3000000000000007</v>
      </c>
      <c r="AC61" s="69"/>
      <c r="AD61" s="69">
        <v>92</v>
      </c>
      <c r="AE61" s="325">
        <f t="shared" si="0"/>
        <v>368</v>
      </c>
      <c r="AF61" s="540" t="s">
        <v>281</v>
      </c>
      <c r="AG61" s="540"/>
      <c r="AH61" s="337">
        <f>IFERROR(IF(X61="Sem projeto",1.5*AA61,AC61*VLOOKUP(AF61,Aux_Lista!AG:AH,2,FALSE)+AD61)*U61,0)</f>
        <v>368</v>
      </c>
      <c r="AI61" s="343" t="s">
        <v>5895</v>
      </c>
      <c r="AJ61" s="344" t="s">
        <v>5895</v>
      </c>
      <c r="AK61" s="345" t="s">
        <v>5895</v>
      </c>
      <c r="AL61" s="333">
        <f t="shared" si="2"/>
        <v>3197.7503999999999</v>
      </c>
      <c r="AM61" s="334">
        <f t="shared" si="3"/>
        <v>1611.84</v>
      </c>
      <c r="AN61" s="333">
        <f t="shared" si="4"/>
        <v>3197.7503999999999</v>
      </c>
      <c r="AO61" s="334">
        <f t="shared" si="5"/>
        <v>2041.6406400000001</v>
      </c>
      <c r="AP61" s="44"/>
      <c r="AQ61" s="2"/>
    </row>
    <row r="62" spans="1:43" ht="24.95" customHeight="1" x14ac:dyDescent="0.25">
      <c r="A62" s="2">
        <v>22</v>
      </c>
      <c r="B62" s="349" t="s">
        <v>10730</v>
      </c>
      <c r="C62" s="350" t="s">
        <v>10707</v>
      </c>
      <c r="D62" s="351">
        <v>14.23</v>
      </c>
      <c r="E62" s="351">
        <v>1</v>
      </c>
      <c r="F62" s="336" t="s">
        <v>5983</v>
      </c>
      <c r="G62" s="327">
        <v>0</v>
      </c>
      <c r="H62" s="327">
        <v>180</v>
      </c>
      <c r="I62" s="325">
        <f t="shared" si="6"/>
        <v>180</v>
      </c>
      <c r="J62" s="540" t="s">
        <v>281</v>
      </c>
      <c r="K62" s="540"/>
      <c r="L62" s="337">
        <f>IFERROR(IF(F62="Sem projeto",VLOOKUP(C62,$B$32:$H$34,7,FALSE)*1.5,G62*VLOOKUP(J62,Aux_Lista!$AG:$AH,2,FALSE)+H62)*E62,0)</f>
        <v>180</v>
      </c>
      <c r="M62" s="348" t="s">
        <v>5974</v>
      </c>
      <c r="N62" s="348" t="s">
        <v>5895</v>
      </c>
      <c r="O62" s="348" t="s">
        <v>90</v>
      </c>
      <c r="P62" s="386">
        <f t="shared" si="7"/>
        <v>14.23</v>
      </c>
      <c r="R62" s="94">
        <v>31</v>
      </c>
      <c r="S62" s="383" t="s">
        <v>6037</v>
      </c>
      <c r="T62" s="214">
        <v>2.5</v>
      </c>
      <c r="U62" s="214">
        <v>4</v>
      </c>
      <c r="V62" s="217" t="s">
        <v>287</v>
      </c>
      <c r="W62" s="215" t="s">
        <v>351</v>
      </c>
      <c r="X62" s="336" t="s">
        <v>5983</v>
      </c>
      <c r="Y62" s="68">
        <f>IF(V62="","",VLOOKUP(V62,Aux_Lista!A:K,11,FALSE))</f>
        <v>12</v>
      </c>
      <c r="Z62" s="68">
        <f>IF(V62="","",VLOOKUP(V62,Aux_Lista!A:L,12,FALSE))</f>
        <v>365</v>
      </c>
      <c r="AA62" s="68">
        <f>IF(W62="","",VLOOKUP(W62,Aux_Lista!AN:AP,3,FALSE))</f>
        <v>13.73</v>
      </c>
      <c r="AB62" s="68">
        <f>IF(W62="","",VLOOKUP(W62,Aux_Lista!AN:AP,2,FALSE))</f>
        <v>9.15</v>
      </c>
      <c r="AC62" s="69"/>
      <c r="AD62" s="69">
        <v>46</v>
      </c>
      <c r="AE62" s="325">
        <f t="shared" si="0"/>
        <v>184</v>
      </c>
      <c r="AF62" s="540" t="s">
        <v>281</v>
      </c>
      <c r="AG62" s="540"/>
      <c r="AH62" s="337">
        <f>IFERROR(IF(X62="Sem projeto",1.5*AA62,AC62*VLOOKUP(AF62,Aux_Lista!AG:AH,2,FALSE)+AD62)*U62,0)</f>
        <v>184</v>
      </c>
      <c r="AI62" s="343" t="s">
        <v>5895</v>
      </c>
      <c r="AJ62" s="344" t="s">
        <v>5895</v>
      </c>
      <c r="AK62" s="345" t="s">
        <v>5895</v>
      </c>
      <c r="AL62" s="333">
        <f t="shared" si="2"/>
        <v>601.37400000000002</v>
      </c>
      <c r="AM62" s="334">
        <f t="shared" si="3"/>
        <v>805.92</v>
      </c>
      <c r="AN62" s="333">
        <f t="shared" si="4"/>
        <v>601.37400000000002</v>
      </c>
      <c r="AO62" s="334">
        <f t="shared" si="5"/>
        <v>400.77</v>
      </c>
      <c r="AP62" s="44"/>
      <c r="AQ62" s="2"/>
    </row>
    <row r="63" spans="1:43" ht="24.95" customHeight="1" x14ac:dyDescent="0.25">
      <c r="A63" s="2">
        <v>23</v>
      </c>
      <c r="B63" s="349" t="s">
        <v>10731</v>
      </c>
      <c r="C63" s="350" t="s">
        <v>10707</v>
      </c>
      <c r="D63" s="351">
        <v>18.690000000000001</v>
      </c>
      <c r="E63" s="351">
        <v>1</v>
      </c>
      <c r="F63" s="336" t="s">
        <v>5983</v>
      </c>
      <c r="G63" s="327">
        <v>0</v>
      </c>
      <c r="H63" s="327">
        <v>180</v>
      </c>
      <c r="I63" s="325">
        <f t="shared" si="6"/>
        <v>180</v>
      </c>
      <c r="J63" s="540" t="s">
        <v>281</v>
      </c>
      <c r="K63" s="540"/>
      <c r="L63" s="337">
        <f>IFERROR(IF(F63="Sem projeto",VLOOKUP(C63,$B$32:$H$34,7,FALSE)*1.5,G63*VLOOKUP(J63,Aux_Lista!$AG:$AH,2,FALSE)+H63)*E63,0)</f>
        <v>180</v>
      </c>
      <c r="M63" s="348" t="s">
        <v>5974</v>
      </c>
      <c r="N63" s="348" t="s">
        <v>5895</v>
      </c>
      <c r="O63" s="348" t="s">
        <v>90</v>
      </c>
      <c r="P63" s="386">
        <f t="shared" si="7"/>
        <v>18.690000000000001</v>
      </c>
      <c r="R63" s="94">
        <v>32</v>
      </c>
      <c r="S63" s="383" t="s">
        <v>6038</v>
      </c>
      <c r="T63" s="214">
        <v>14.04</v>
      </c>
      <c r="U63" s="214">
        <v>4</v>
      </c>
      <c r="V63" s="217" t="s">
        <v>287</v>
      </c>
      <c r="W63" s="215" t="s">
        <v>476</v>
      </c>
      <c r="X63" s="336" t="s">
        <v>5983</v>
      </c>
      <c r="Y63" s="68">
        <f>IF(V63="","",VLOOKUP(V63,Aux_Lista!A:K,11,FALSE))</f>
        <v>12</v>
      </c>
      <c r="Z63" s="68">
        <f>IF(V63="","",VLOOKUP(V63,Aux_Lista!A:L,12,FALSE))</f>
        <v>365</v>
      </c>
      <c r="AA63" s="68">
        <f>IF(W63="","",VLOOKUP(W63,Aux_Lista!AN:AP,3,FALSE))</f>
        <v>13</v>
      </c>
      <c r="AB63" s="68">
        <f>IF(W63="","",VLOOKUP(W63,Aux_Lista!AN:AP,2,FALSE))</f>
        <v>8.3000000000000007</v>
      </c>
      <c r="AC63" s="69"/>
      <c r="AD63" s="69">
        <v>92</v>
      </c>
      <c r="AE63" s="325">
        <f t="shared" si="0"/>
        <v>368</v>
      </c>
      <c r="AF63" s="540" t="s">
        <v>281</v>
      </c>
      <c r="AG63" s="540"/>
      <c r="AH63" s="337">
        <f>IFERROR(IF(X63="Sem projeto",1.5*AA63,AC63*VLOOKUP(AF63,Aux_Lista!AG:AH,2,FALSE)+AD63)*U63,0)</f>
        <v>368</v>
      </c>
      <c r="AI63" s="343" t="s">
        <v>5895</v>
      </c>
      <c r="AJ63" s="344" t="s">
        <v>5895</v>
      </c>
      <c r="AK63" s="345" t="s">
        <v>5895</v>
      </c>
      <c r="AL63" s="333">
        <f t="shared" si="2"/>
        <v>3197.7503999999999</v>
      </c>
      <c r="AM63" s="334">
        <f t="shared" si="3"/>
        <v>1611.84</v>
      </c>
      <c r="AN63" s="333">
        <f t="shared" si="4"/>
        <v>3197.7503999999999</v>
      </c>
      <c r="AO63" s="334">
        <f t="shared" si="5"/>
        <v>2041.6406400000001</v>
      </c>
      <c r="AP63" s="44"/>
      <c r="AQ63" s="2"/>
    </row>
    <row r="64" spans="1:43" ht="24.95" customHeight="1" x14ac:dyDescent="0.25">
      <c r="A64" s="2">
        <v>24</v>
      </c>
      <c r="B64" s="349" t="s">
        <v>10732</v>
      </c>
      <c r="C64" s="350" t="s">
        <v>10707</v>
      </c>
      <c r="D64" s="351">
        <v>112.65</v>
      </c>
      <c r="E64" s="351">
        <v>1</v>
      </c>
      <c r="F64" s="336" t="s">
        <v>5983</v>
      </c>
      <c r="G64" s="327">
        <v>0</v>
      </c>
      <c r="H64" s="327">
        <v>1406</v>
      </c>
      <c r="I64" s="325">
        <f t="shared" si="6"/>
        <v>1406</v>
      </c>
      <c r="J64" s="540" t="s">
        <v>281</v>
      </c>
      <c r="K64" s="540"/>
      <c r="L64" s="337">
        <f>IFERROR(IF(F64="Sem projeto",VLOOKUP(C64,$B$32:$H$34,7,FALSE)*1.5,G64*VLOOKUP(J64,Aux_Lista!$AG:$AH,2,FALSE)+H64)*E64,0)</f>
        <v>1406</v>
      </c>
      <c r="M64" s="348" t="s">
        <v>90</v>
      </c>
      <c r="N64" s="348" t="s">
        <v>5895</v>
      </c>
      <c r="O64" s="348" t="s">
        <v>90</v>
      </c>
      <c r="P64" s="386">
        <f t="shared" si="7"/>
        <v>112.65</v>
      </c>
      <c r="R64" s="94">
        <v>33</v>
      </c>
      <c r="S64" s="383" t="s">
        <v>6039</v>
      </c>
      <c r="T64" s="214">
        <v>2.5</v>
      </c>
      <c r="U64" s="214">
        <v>4</v>
      </c>
      <c r="V64" s="217" t="s">
        <v>287</v>
      </c>
      <c r="W64" s="215" t="s">
        <v>351</v>
      </c>
      <c r="X64" s="336" t="s">
        <v>5983</v>
      </c>
      <c r="Y64" s="68">
        <f>IF(V64="","",VLOOKUP(V64,Aux_Lista!A:K,11,FALSE))</f>
        <v>12</v>
      </c>
      <c r="Z64" s="68">
        <f>IF(V64="","",VLOOKUP(V64,Aux_Lista!A:L,12,FALSE))</f>
        <v>365</v>
      </c>
      <c r="AA64" s="68">
        <f>IF(W64="","",VLOOKUP(W64,Aux_Lista!AN:AP,3,FALSE))</f>
        <v>13.73</v>
      </c>
      <c r="AB64" s="68">
        <f>IF(W64="","",VLOOKUP(W64,Aux_Lista!AN:AP,2,FALSE))</f>
        <v>9.15</v>
      </c>
      <c r="AC64" s="69"/>
      <c r="AD64" s="69">
        <v>46</v>
      </c>
      <c r="AE64" s="325">
        <f t="shared" si="0"/>
        <v>184</v>
      </c>
      <c r="AF64" s="540" t="s">
        <v>281</v>
      </c>
      <c r="AG64" s="540"/>
      <c r="AH64" s="337">
        <f>IFERROR(IF(X64="Sem projeto",1.5*AA64,AC64*VLOOKUP(AF64,Aux_Lista!AG:AH,2,FALSE)+AD64)*U64,0)</f>
        <v>184</v>
      </c>
      <c r="AI64" s="343" t="s">
        <v>5895</v>
      </c>
      <c r="AJ64" s="344" t="s">
        <v>5895</v>
      </c>
      <c r="AK64" s="345" t="s">
        <v>5895</v>
      </c>
      <c r="AL64" s="333">
        <f t="shared" si="2"/>
        <v>601.37400000000002</v>
      </c>
      <c r="AM64" s="334">
        <f t="shared" si="3"/>
        <v>805.92</v>
      </c>
      <c r="AN64" s="333">
        <f t="shared" si="4"/>
        <v>601.37400000000002</v>
      </c>
      <c r="AO64" s="334">
        <f t="shared" si="5"/>
        <v>400.77</v>
      </c>
      <c r="AP64" s="44"/>
      <c r="AQ64" s="2"/>
    </row>
    <row r="65" spans="1:43" ht="24.95" customHeight="1" x14ac:dyDescent="0.25">
      <c r="A65" s="2">
        <v>25</v>
      </c>
      <c r="B65" s="349" t="s">
        <v>10733</v>
      </c>
      <c r="C65" s="350" t="s">
        <v>10707</v>
      </c>
      <c r="D65" s="351">
        <v>7.06</v>
      </c>
      <c r="E65" s="351">
        <v>1</v>
      </c>
      <c r="F65" s="336" t="s">
        <v>5983</v>
      </c>
      <c r="G65" s="327">
        <v>0</v>
      </c>
      <c r="H65" s="327">
        <v>48</v>
      </c>
      <c r="I65" s="325">
        <f t="shared" si="6"/>
        <v>48</v>
      </c>
      <c r="J65" s="540" t="s">
        <v>281</v>
      </c>
      <c r="K65" s="540"/>
      <c r="L65" s="337">
        <f>IFERROR(IF(F65="Sem projeto",VLOOKUP(C65,$B$32:$H$34,7,FALSE)*1.5,G65*VLOOKUP(J65,Aux_Lista!$AG:$AH,2,FALSE)+H65)*E65,0)</f>
        <v>48</v>
      </c>
      <c r="M65" s="348" t="s">
        <v>5895</v>
      </c>
      <c r="N65" s="348" t="s">
        <v>5895</v>
      </c>
      <c r="O65" s="348" t="s">
        <v>90</v>
      </c>
      <c r="P65" s="386">
        <f t="shared" si="7"/>
        <v>7.06</v>
      </c>
      <c r="R65" s="94">
        <v>34</v>
      </c>
      <c r="S65" s="383" t="s">
        <v>6040</v>
      </c>
      <c r="T65" s="214">
        <v>14.04</v>
      </c>
      <c r="U65" s="214">
        <v>4</v>
      </c>
      <c r="V65" s="217" t="s">
        <v>287</v>
      </c>
      <c r="W65" s="215" t="s">
        <v>476</v>
      </c>
      <c r="X65" s="336" t="s">
        <v>5983</v>
      </c>
      <c r="Y65" s="68">
        <f>IF(V65="","",VLOOKUP(V65,Aux_Lista!A:K,11,FALSE))</f>
        <v>12</v>
      </c>
      <c r="Z65" s="68">
        <f>IF(V65="","",VLOOKUP(V65,Aux_Lista!A:L,12,FALSE))</f>
        <v>365</v>
      </c>
      <c r="AA65" s="68">
        <f>IF(W65="","",VLOOKUP(W65,Aux_Lista!AN:AP,3,FALSE))</f>
        <v>13</v>
      </c>
      <c r="AB65" s="68">
        <f>IF(W65="","",VLOOKUP(W65,Aux_Lista!AN:AP,2,FALSE))</f>
        <v>8.3000000000000007</v>
      </c>
      <c r="AC65" s="69"/>
      <c r="AD65" s="69">
        <v>92</v>
      </c>
      <c r="AE65" s="325">
        <f t="shared" si="0"/>
        <v>368</v>
      </c>
      <c r="AF65" s="540" t="s">
        <v>281</v>
      </c>
      <c r="AG65" s="540"/>
      <c r="AH65" s="337">
        <f>IFERROR(IF(X65="Sem projeto",1.5*AA65,AC65*VLOOKUP(AF65,Aux_Lista!AG:AH,2,FALSE)+AD65)*U65,0)</f>
        <v>368</v>
      </c>
      <c r="AI65" s="343" t="s">
        <v>5895</v>
      </c>
      <c r="AJ65" s="344" t="s">
        <v>5895</v>
      </c>
      <c r="AK65" s="345" t="s">
        <v>5895</v>
      </c>
      <c r="AL65" s="333">
        <f t="shared" si="2"/>
        <v>3197.7503999999999</v>
      </c>
      <c r="AM65" s="334">
        <f t="shared" si="3"/>
        <v>1611.84</v>
      </c>
      <c r="AN65" s="333">
        <f t="shared" si="4"/>
        <v>3197.7503999999999</v>
      </c>
      <c r="AO65" s="334">
        <f t="shared" si="5"/>
        <v>2041.6406400000001</v>
      </c>
      <c r="AP65" s="44"/>
      <c r="AQ65" s="2"/>
    </row>
    <row r="66" spans="1:43" ht="24.95" customHeight="1" x14ac:dyDescent="0.25">
      <c r="A66" s="2">
        <v>26</v>
      </c>
      <c r="B66" s="349" t="s">
        <v>10734</v>
      </c>
      <c r="C66" s="350" t="s">
        <v>10707</v>
      </c>
      <c r="D66" s="351">
        <v>27.02</v>
      </c>
      <c r="E66" s="351">
        <v>1</v>
      </c>
      <c r="F66" s="336" t="s">
        <v>5983</v>
      </c>
      <c r="G66" s="327">
        <v>0</v>
      </c>
      <c r="H66" s="327">
        <v>270</v>
      </c>
      <c r="I66" s="325">
        <f t="shared" si="6"/>
        <v>270</v>
      </c>
      <c r="J66" s="540" t="s">
        <v>281</v>
      </c>
      <c r="K66" s="540"/>
      <c r="L66" s="337">
        <f>IFERROR(IF(F66="Sem projeto",VLOOKUP(C66,$B$32:$H$34,7,FALSE)*1.5,G66*VLOOKUP(J66,Aux_Lista!$AG:$AH,2,FALSE)+H66)*E66,0)</f>
        <v>270</v>
      </c>
      <c r="M66" s="348" t="s">
        <v>90</v>
      </c>
      <c r="N66" s="348" t="s">
        <v>5895</v>
      </c>
      <c r="O66" s="348" t="s">
        <v>90</v>
      </c>
      <c r="P66" s="386">
        <f t="shared" si="7"/>
        <v>27.02</v>
      </c>
      <c r="R66" s="94">
        <v>35</v>
      </c>
      <c r="S66" s="383" t="s">
        <v>6041</v>
      </c>
      <c r="T66" s="214">
        <v>2.5</v>
      </c>
      <c r="U66" s="214">
        <v>4</v>
      </c>
      <c r="V66" s="217" t="s">
        <v>287</v>
      </c>
      <c r="W66" s="215" t="s">
        <v>351</v>
      </c>
      <c r="X66" s="336" t="s">
        <v>5983</v>
      </c>
      <c r="Y66" s="68">
        <f>IF(V66="","",VLOOKUP(V66,Aux_Lista!A:K,11,FALSE))</f>
        <v>12</v>
      </c>
      <c r="Z66" s="68">
        <f>IF(V66="","",VLOOKUP(V66,Aux_Lista!A:L,12,FALSE))</f>
        <v>365</v>
      </c>
      <c r="AA66" s="68">
        <f>IF(W66="","",VLOOKUP(W66,Aux_Lista!AN:AP,3,FALSE))</f>
        <v>13.73</v>
      </c>
      <c r="AB66" s="68">
        <f>IF(W66="","",VLOOKUP(W66,Aux_Lista!AN:AP,2,FALSE))</f>
        <v>9.15</v>
      </c>
      <c r="AC66" s="69"/>
      <c r="AD66" s="69">
        <v>46</v>
      </c>
      <c r="AE66" s="325">
        <f t="shared" si="0"/>
        <v>184</v>
      </c>
      <c r="AF66" s="540" t="s">
        <v>281</v>
      </c>
      <c r="AG66" s="540"/>
      <c r="AH66" s="337">
        <f>IFERROR(IF(X66="Sem projeto",1.5*AA66,AC66*VLOOKUP(AF66,Aux_Lista!AG:AH,2,FALSE)+AD66)*U66,0)</f>
        <v>184</v>
      </c>
      <c r="AI66" s="343" t="s">
        <v>5895</v>
      </c>
      <c r="AJ66" s="344" t="s">
        <v>5895</v>
      </c>
      <c r="AK66" s="345" t="s">
        <v>5895</v>
      </c>
      <c r="AL66" s="333">
        <f t="shared" si="2"/>
        <v>601.37400000000002</v>
      </c>
      <c r="AM66" s="334">
        <f t="shared" si="3"/>
        <v>805.92</v>
      </c>
      <c r="AN66" s="333">
        <f t="shared" si="4"/>
        <v>601.37400000000002</v>
      </c>
      <c r="AO66" s="334">
        <f t="shared" si="5"/>
        <v>400.77</v>
      </c>
      <c r="AP66" s="44"/>
      <c r="AQ66" s="2"/>
    </row>
    <row r="67" spans="1:43" ht="24.95" customHeight="1" x14ac:dyDescent="0.25">
      <c r="A67" s="2">
        <v>27</v>
      </c>
      <c r="B67" s="349" t="s">
        <v>10735</v>
      </c>
      <c r="C67" s="350" t="s">
        <v>10707</v>
      </c>
      <c r="D67" s="351">
        <v>2.91</v>
      </c>
      <c r="E67" s="351">
        <v>1</v>
      </c>
      <c r="F67" s="336" t="s">
        <v>5983</v>
      </c>
      <c r="G67" s="327">
        <v>0</v>
      </c>
      <c r="H67" s="327">
        <v>45</v>
      </c>
      <c r="I67" s="325">
        <f t="shared" si="6"/>
        <v>45</v>
      </c>
      <c r="J67" s="540" t="s">
        <v>281</v>
      </c>
      <c r="K67" s="540"/>
      <c r="L67" s="337">
        <f>IFERROR(IF(F67="Sem projeto",VLOOKUP(C67,$B$32:$H$34,7,FALSE)*1.5,G67*VLOOKUP(J67,Aux_Lista!$AG:$AH,2,FALSE)+H67)*E67,0)</f>
        <v>45</v>
      </c>
      <c r="M67" s="348" t="s">
        <v>5895</v>
      </c>
      <c r="N67" s="348" t="s">
        <v>5895</v>
      </c>
      <c r="O67" s="348" t="s">
        <v>90</v>
      </c>
      <c r="P67" s="386">
        <f t="shared" si="7"/>
        <v>2.91</v>
      </c>
      <c r="R67" s="94">
        <v>36</v>
      </c>
      <c r="S67" s="383" t="s">
        <v>6042</v>
      </c>
      <c r="T67" s="214">
        <v>14.04</v>
      </c>
      <c r="U67" s="214">
        <v>4</v>
      </c>
      <c r="V67" s="217" t="s">
        <v>287</v>
      </c>
      <c r="W67" s="215" t="s">
        <v>476</v>
      </c>
      <c r="X67" s="336" t="s">
        <v>5983</v>
      </c>
      <c r="Y67" s="68">
        <f>IF(V67="","",VLOOKUP(V67,Aux_Lista!A:K,11,FALSE))</f>
        <v>12</v>
      </c>
      <c r="Z67" s="68">
        <f>IF(V67="","",VLOOKUP(V67,Aux_Lista!A:L,12,FALSE))</f>
        <v>365</v>
      </c>
      <c r="AA67" s="68">
        <f>IF(W67="","",VLOOKUP(W67,Aux_Lista!AN:AP,3,FALSE))</f>
        <v>13</v>
      </c>
      <c r="AB67" s="68">
        <f>IF(W67="","",VLOOKUP(W67,Aux_Lista!AN:AP,2,FALSE))</f>
        <v>8.3000000000000007</v>
      </c>
      <c r="AC67" s="69"/>
      <c r="AD67" s="69">
        <v>92</v>
      </c>
      <c r="AE67" s="325">
        <f t="shared" si="0"/>
        <v>368</v>
      </c>
      <c r="AF67" s="540" t="s">
        <v>281</v>
      </c>
      <c r="AG67" s="540"/>
      <c r="AH67" s="337">
        <f>IFERROR(IF(X67="Sem projeto",1.5*AA67,AC67*VLOOKUP(AF67,Aux_Lista!AG:AH,2,FALSE)+AD67)*U67,0)</f>
        <v>368</v>
      </c>
      <c r="AI67" s="343" t="s">
        <v>5895</v>
      </c>
      <c r="AJ67" s="344" t="s">
        <v>5895</v>
      </c>
      <c r="AK67" s="345" t="s">
        <v>5895</v>
      </c>
      <c r="AL67" s="333">
        <f t="shared" si="2"/>
        <v>3197.7503999999999</v>
      </c>
      <c r="AM67" s="334">
        <f t="shared" si="3"/>
        <v>1611.84</v>
      </c>
      <c r="AN67" s="333">
        <f t="shared" si="4"/>
        <v>3197.7503999999999</v>
      </c>
      <c r="AO67" s="334">
        <f t="shared" si="5"/>
        <v>2041.6406400000001</v>
      </c>
      <c r="AP67" s="44"/>
      <c r="AQ67" s="2"/>
    </row>
    <row r="68" spans="1:43" ht="24.95" customHeight="1" x14ac:dyDescent="0.25">
      <c r="A68" s="2">
        <v>28</v>
      </c>
      <c r="B68" s="349" t="s">
        <v>490</v>
      </c>
      <c r="C68" s="350" t="s">
        <v>10707</v>
      </c>
      <c r="D68" s="351">
        <v>2.74</v>
      </c>
      <c r="E68" s="351">
        <v>1</v>
      </c>
      <c r="F68" s="336" t="s">
        <v>5983</v>
      </c>
      <c r="G68" s="327">
        <v>0</v>
      </c>
      <c r="H68" s="327">
        <v>145</v>
      </c>
      <c r="I68" s="325">
        <f t="shared" si="6"/>
        <v>145</v>
      </c>
      <c r="J68" s="540" t="s">
        <v>281</v>
      </c>
      <c r="K68" s="540"/>
      <c r="L68" s="337">
        <f>IFERROR(IF(F68="Sem projeto",VLOOKUP(C68,$B$32:$H$34,7,FALSE)*1.5,G68*VLOOKUP(J68,Aux_Lista!$AG:$AH,2,FALSE)+H68)*E68,0)</f>
        <v>145</v>
      </c>
      <c r="M68" s="348" t="s">
        <v>5974</v>
      </c>
      <c r="N68" s="348" t="s">
        <v>5895</v>
      </c>
      <c r="O68" s="348" t="s">
        <v>90</v>
      </c>
      <c r="P68" s="386">
        <f t="shared" si="7"/>
        <v>2.74</v>
      </c>
      <c r="R68" s="94">
        <v>37</v>
      </c>
      <c r="S68" s="383" t="s">
        <v>6043</v>
      </c>
      <c r="T68" s="214">
        <v>2.5</v>
      </c>
      <c r="U68" s="214">
        <v>4</v>
      </c>
      <c r="V68" s="217" t="s">
        <v>287</v>
      </c>
      <c r="W68" s="215" t="s">
        <v>351</v>
      </c>
      <c r="X68" s="336" t="s">
        <v>5983</v>
      </c>
      <c r="Y68" s="68">
        <f>IF(V68="","",VLOOKUP(V68,Aux_Lista!A:K,11,FALSE))</f>
        <v>12</v>
      </c>
      <c r="Z68" s="68">
        <f>IF(V68="","",VLOOKUP(V68,Aux_Lista!A:L,12,FALSE))</f>
        <v>365</v>
      </c>
      <c r="AA68" s="68">
        <f>IF(W68="","",VLOOKUP(W68,Aux_Lista!AN:AP,3,FALSE))</f>
        <v>13.73</v>
      </c>
      <c r="AB68" s="68">
        <f>IF(W68="","",VLOOKUP(W68,Aux_Lista!AN:AP,2,FALSE))</f>
        <v>9.15</v>
      </c>
      <c r="AC68" s="69"/>
      <c r="AD68" s="69">
        <v>46</v>
      </c>
      <c r="AE68" s="325">
        <f t="shared" si="0"/>
        <v>184</v>
      </c>
      <c r="AF68" s="540" t="s">
        <v>281</v>
      </c>
      <c r="AG68" s="540"/>
      <c r="AH68" s="337">
        <f>IFERROR(IF(X68="Sem projeto",1.5*AA68,AC68*VLOOKUP(AF68,Aux_Lista!AG:AH,2,FALSE)+AD68)*U68,0)</f>
        <v>184</v>
      </c>
      <c r="AI68" s="343" t="s">
        <v>5895</v>
      </c>
      <c r="AJ68" s="344" t="s">
        <v>5895</v>
      </c>
      <c r="AK68" s="345" t="s">
        <v>5895</v>
      </c>
      <c r="AL68" s="333">
        <f t="shared" si="2"/>
        <v>601.37400000000002</v>
      </c>
      <c r="AM68" s="334">
        <f t="shared" si="3"/>
        <v>805.92</v>
      </c>
      <c r="AN68" s="333">
        <f t="shared" si="4"/>
        <v>601.37400000000002</v>
      </c>
      <c r="AO68" s="334">
        <f t="shared" si="5"/>
        <v>400.77</v>
      </c>
      <c r="AP68" s="44"/>
      <c r="AQ68" s="2"/>
    </row>
    <row r="69" spans="1:43" ht="24.95" customHeight="1" x14ac:dyDescent="0.25">
      <c r="A69" s="2">
        <v>29</v>
      </c>
      <c r="B69" s="349" t="s">
        <v>10736</v>
      </c>
      <c r="C69" s="350" t="s">
        <v>10707</v>
      </c>
      <c r="D69" s="351">
        <v>10.16</v>
      </c>
      <c r="E69" s="351">
        <v>1</v>
      </c>
      <c r="F69" s="336" t="s">
        <v>5983</v>
      </c>
      <c r="G69" s="327">
        <v>0</v>
      </c>
      <c r="H69" s="327">
        <v>375</v>
      </c>
      <c r="I69" s="325">
        <f t="shared" si="6"/>
        <v>375</v>
      </c>
      <c r="J69" s="540" t="s">
        <v>281</v>
      </c>
      <c r="K69" s="540"/>
      <c r="L69" s="337">
        <f>IFERROR(IF(F69="Sem projeto",VLOOKUP(C69,$B$32:$H$34,7,FALSE)*1.5,G69*VLOOKUP(J69,Aux_Lista!$AG:$AH,2,FALSE)+H69)*E69,0)</f>
        <v>375</v>
      </c>
      <c r="M69" s="348" t="s">
        <v>5974</v>
      </c>
      <c r="N69" s="348" t="s">
        <v>5895</v>
      </c>
      <c r="O69" s="348" t="s">
        <v>90</v>
      </c>
      <c r="P69" s="386">
        <f t="shared" si="7"/>
        <v>10.16</v>
      </c>
      <c r="R69" s="94">
        <v>38</v>
      </c>
      <c r="S69" s="383" t="s">
        <v>6044</v>
      </c>
      <c r="T69" s="214">
        <v>14.04</v>
      </c>
      <c r="U69" s="214">
        <v>4</v>
      </c>
      <c r="V69" s="217" t="s">
        <v>287</v>
      </c>
      <c r="W69" s="215" t="s">
        <v>476</v>
      </c>
      <c r="X69" s="336" t="s">
        <v>5983</v>
      </c>
      <c r="Y69" s="68">
        <f>IF(V69="","",VLOOKUP(V69,Aux_Lista!A:K,11,FALSE))</f>
        <v>12</v>
      </c>
      <c r="Z69" s="68">
        <f>IF(V69="","",VLOOKUP(V69,Aux_Lista!A:L,12,FALSE))</f>
        <v>365</v>
      </c>
      <c r="AA69" s="68">
        <f>IF(W69="","",VLOOKUP(W69,Aux_Lista!AN:AP,3,FALSE))</f>
        <v>13</v>
      </c>
      <c r="AB69" s="68">
        <f>IF(W69="","",VLOOKUP(W69,Aux_Lista!AN:AP,2,FALSE))</f>
        <v>8.3000000000000007</v>
      </c>
      <c r="AC69" s="69"/>
      <c r="AD69" s="69">
        <v>92</v>
      </c>
      <c r="AE69" s="325">
        <f t="shared" si="0"/>
        <v>368</v>
      </c>
      <c r="AF69" s="540" t="s">
        <v>281</v>
      </c>
      <c r="AG69" s="540"/>
      <c r="AH69" s="337">
        <f>IFERROR(IF(X69="Sem projeto",1.5*AA69,AC69*VLOOKUP(AF69,Aux_Lista!AG:AH,2,FALSE)+AD69)*U69,0)</f>
        <v>368</v>
      </c>
      <c r="AI69" s="343" t="s">
        <v>5895</v>
      </c>
      <c r="AJ69" s="344" t="s">
        <v>5895</v>
      </c>
      <c r="AK69" s="345" t="s">
        <v>5895</v>
      </c>
      <c r="AL69" s="333">
        <f t="shared" si="2"/>
        <v>3197.7503999999999</v>
      </c>
      <c r="AM69" s="334">
        <f t="shared" si="3"/>
        <v>1611.84</v>
      </c>
      <c r="AN69" s="333">
        <f t="shared" si="4"/>
        <v>3197.7503999999999</v>
      </c>
      <c r="AO69" s="334">
        <f t="shared" si="5"/>
        <v>2041.6406400000001</v>
      </c>
      <c r="AP69" s="44"/>
      <c r="AQ69" s="2"/>
    </row>
    <row r="70" spans="1:43" ht="24.95" customHeight="1" x14ac:dyDescent="0.25">
      <c r="A70" s="2">
        <v>30</v>
      </c>
      <c r="B70" s="349" t="s">
        <v>10737</v>
      </c>
      <c r="C70" s="350" t="s">
        <v>10707</v>
      </c>
      <c r="D70" s="351">
        <v>10.88</v>
      </c>
      <c r="E70" s="351">
        <v>1</v>
      </c>
      <c r="F70" s="336" t="s">
        <v>5983</v>
      </c>
      <c r="G70" s="327">
        <v>0</v>
      </c>
      <c r="H70" s="327">
        <v>470</v>
      </c>
      <c r="I70" s="325">
        <f t="shared" si="6"/>
        <v>470</v>
      </c>
      <c r="J70" s="540" t="s">
        <v>281</v>
      </c>
      <c r="K70" s="540"/>
      <c r="L70" s="337">
        <f>IFERROR(IF(F70="Sem projeto",VLOOKUP(C70,$B$32:$H$34,7,FALSE)*1.5,G70*VLOOKUP(J70,Aux_Lista!$AG:$AH,2,FALSE)+H70)*E70,0)</f>
        <v>470</v>
      </c>
      <c r="M70" s="348" t="s">
        <v>90</v>
      </c>
      <c r="N70" s="348" t="s">
        <v>5895</v>
      </c>
      <c r="O70" s="348" t="s">
        <v>90</v>
      </c>
      <c r="P70" s="386">
        <f t="shared" si="7"/>
        <v>10.88</v>
      </c>
      <c r="R70" s="94">
        <v>39</v>
      </c>
      <c r="S70" s="383" t="s">
        <v>6045</v>
      </c>
      <c r="T70" s="214">
        <v>2.5</v>
      </c>
      <c r="U70" s="214">
        <v>4</v>
      </c>
      <c r="V70" s="217" t="s">
        <v>287</v>
      </c>
      <c r="W70" s="215" t="s">
        <v>351</v>
      </c>
      <c r="X70" s="336" t="s">
        <v>5983</v>
      </c>
      <c r="Y70" s="68">
        <f>IF(V70="","",VLOOKUP(V70,Aux_Lista!A:K,11,FALSE))</f>
        <v>12</v>
      </c>
      <c r="Z70" s="68">
        <f>IF(V70="","",VLOOKUP(V70,Aux_Lista!A:L,12,FALSE))</f>
        <v>365</v>
      </c>
      <c r="AA70" s="68">
        <f>IF(W70="","",VLOOKUP(W70,Aux_Lista!AN:AP,3,FALSE))</f>
        <v>13.73</v>
      </c>
      <c r="AB70" s="68">
        <f>IF(W70="","",VLOOKUP(W70,Aux_Lista!AN:AP,2,FALSE))</f>
        <v>9.15</v>
      </c>
      <c r="AC70" s="69"/>
      <c r="AD70" s="69">
        <v>46</v>
      </c>
      <c r="AE70" s="325">
        <f t="shared" si="0"/>
        <v>184</v>
      </c>
      <c r="AF70" s="540" t="s">
        <v>281</v>
      </c>
      <c r="AG70" s="540"/>
      <c r="AH70" s="337">
        <f>IFERROR(IF(X70="Sem projeto",1.5*AA70,AC70*VLOOKUP(AF70,Aux_Lista!AG:AH,2,FALSE)+AD70)*U70,0)</f>
        <v>184</v>
      </c>
      <c r="AI70" s="343" t="s">
        <v>5895</v>
      </c>
      <c r="AJ70" s="344" t="s">
        <v>5895</v>
      </c>
      <c r="AK70" s="345" t="s">
        <v>5895</v>
      </c>
      <c r="AL70" s="333">
        <f t="shared" si="2"/>
        <v>601.37400000000002</v>
      </c>
      <c r="AM70" s="334">
        <f t="shared" si="3"/>
        <v>805.92</v>
      </c>
      <c r="AN70" s="333">
        <f t="shared" si="4"/>
        <v>601.37400000000002</v>
      </c>
      <c r="AO70" s="334">
        <f t="shared" si="5"/>
        <v>400.77</v>
      </c>
      <c r="AP70" s="44"/>
      <c r="AQ70" s="2"/>
    </row>
    <row r="71" spans="1:43" ht="24.95" customHeight="1" x14ac:dyDescent="0.25">
      <c r="A71" s="2">
        <v>31</v>
      </c>
      <c r="B71" s="349" t="s">
        <v>10738</v>
      </c>
      <c r="C71" s="350" t="s">
        <v>10707</v>
      </c>
      <c r="D71" s="351">
        <v>20.5</v>
      </c>
      <c r="E71" s="351">
        <v>1</v>
      </c>
      <c r="F71" s="336" t="s">
        <v>5983</v>
      </c>
      <c r="G71" s="327">
        <v>0</v>
      </c>
      <c r="H71" s="327">
        <v>600</v>
      </c>
      <c r="I71" s="325">
        <f t="shared" si="6"/>
        <v>600</v>
      </c>
      <c r="J71" s="540" t="s">
        <v>281</v>
      </c>
      <c r="K71" s="540"/>
      <c r="L71" s="337">
        <f>IFERROR(IF(F71="Sem projeto",VLOOKUP(C71,$B$32:$H$34,7,FALSE)*1.5,G71*VLOOKUP(J71,Aux_Lista!$AG:$AH,2,FALSE)+H71)*E71,0)</f>
        <v>600</v>
      </c>
      <c r="M71" s="348" t="s">
        <v>90</v>
      </c>
      <c r="N71" s="348" t="s">
        <v>5895</v>
      </c>
      <c r="O71" s="348" t="s">
        <v>90</v>
      </c>
      <c r="P71" s="386">
        <f t="shared" si="7"/>
        <v>20.5</v>
      </c>
      <c r="R71" s="94">
        <v>40</v>
      </c>
      <c r="S71" s="383" t="s">
        <v>6046</v>
      </c>
      <c r="T71" s="214">
        <v>14.04</v>
      </c>
      <c r="U71" s="214">
        <v>4</v>
      </c>
      <c r="V71" s="217" t="s">
        <v>287</v>
      </c>
      <c r="W71" s="215" t="s">
        <v>476</v>
      </c>
      <c r="X71" s="336" t="s">
        <v>5983</v>
      </c>
      <c r="Y71" s="68">
        <f>IF(V71="","",VLOOKUP(V71,Aux_Lista!A:K,11,FALSE))</f>
        <v>12</v>
      </c>
      <c r="Z71" s="68">
        <f>IF(V71="","",VLOOKUP(V71,Aux_Lista!A:L,12,FALSE))</f>
        <v>365</v>
      </c>
      <c r="AA71" s="68">
        <f>IF(W71="","",VLOOKUP(W71,Aux_Lista!AN:AP,3,FALSE))</f>
        <v>13</v>
      </c>
      <c r="AB71" s="68">
        <f>IF(W71="","",VLOOKUP(W71,Aux_Lista!AN:AP,2,FALSE))</f>
        <v>8.3000000000000007</v>
      </c>
      <c r="AC71" s="69"/>
      <c r="AD71" s="69">
        <v>92</v>
      </c>
      <c r="AE71" s="325">
        <f t="shared" si="0"/>
        <v>368</v>
      </c>
      <c r="AF71" s="540" t="s">
        <v>281</v>
      </c>
      <c r="AG71" s="540"/>
      <c r="AH71" s="337">
        <f>IFERROR(IF(X71="Sem projeto",1.5*AA71,AC71*VLOOKUP(AF71,Aux_Lista!AG:AH,2,FALSE)+AD71)*U71,0)</f>
        <v>368</v>
      </c>
      <c r="AI71" s="343" t="s">
        <v>5895</v>
      </c>
      <c r="AJ71" s="344" t="s">
        <v>5895</v>
      </c>
      <c r="AK71" s="345" t="s">
        <v>5895</v>
      </c>
      <c r="AL71" s="333">
        <f t="shared" si="2"/>
        <v>3197.7503999999999</v>
      </c>
      <c r="AM71" s="334">
        <f t="shared" si="3"/>
        <v>1611.84</v>
      </c>
      <c r="AN71" s="333">
        <f t="shared" si="4"/>
        <v>3197.7503999999999</v>
      </c>
      <c r="AO71" s="334">
        <f t="shared" si="5"/>
        <v>2041.6406400000001</v>
      </c>
      <c r="AP71" s="44"/>
      <c r="AQ71" s="2"/>
    </row>
    <row r="72" spans="1:43" ht="24.95" customHeight="1" x14ac:dyDescent="0.25">
      <c r="A72" s="2">
        <v>32</v>
      </c>
      <c r="B72" s="349" t="s">
        <v>10739</v>
      </c>
      <c r="C72" s="350" t="s">
        <v>10707</v>
      </c>
      <c r="D72" s="351">
        <v>51.41</v>
      </c>
      <c r="E72" s="351">
        <v>1</v>
      </c>
      <c r="F72" s="336" t="s">
        <v>5983</v>
      </c>
      <c r="G72" s="327">
        <v>0</v>
      </c>
      <c r="H72" s="327">
        <v>1021.5</v>
      </c>
      <c r="I72" s="325">
        <f t="shared" si="6"/>
        <v>1021.5</v>
      </c>
      <c r="J72" s="540" t="s">
        <v>281</v>
      </c>
      <c r="K72" s="540"/>
      <c r="L72" s="337">
        <f>IFERROR(IF(F72="Sem projeto",VLOOKUP(C72,$B$32:$H$34,7,FALSE)*1.5,G72*VLOOKUP(J72,Aux_Lista!$AG:$AH,2,FALSE)+H72)*E72,0)</f>
        <v>1021.5</v>
      </c>
      <c r="M72" s="348" t="s">
        <v>5974</v>
      </c>
      <c r="N72" s="348" t="s">
        <v>5895</v>
      </c>
      <c r="O72" s="348" t="s">
        <v>90</v>
      </c>
      <c r="P72" s="386">
        <f t="shared" si="7"/>
        <v>51.41</v>
      </c>
      <c r="R72" s="94">
        <v>41</v>
      </c>
      <c r="S72" s="383" t="s">
        <v>6047</v>
      </c>
      <c r="T72" s="214">
        <v>2.5</v>
      </c>
      <c r="U72" s="214">
        <v>4</v>
      </c>
      <c r="V72" s="217" t="s">
        <v>287</v>
      </c>
      <c r="W72" s="215" t="s">
        <v>351</v>
      </c>
      <c r="X72" s="336" t="s">
        <v>5983</v>
      </c>
      <c r="Y72" s="68">
        <f>IF(V72="","",VLOOKUP(V72,Aux_Lista!A:K,11,FALSE))</f>
        <v>12</v>
      </c>
      <c r="Z72" s="68">
        <f>IF(V72="","",VLOOKUP(V72,Aux_Lista!A:L,12,FALSE))</f>
        <v>365</v>
      </c>
      <c r="AA72" s="68">
        <f>IF(W72="","",VLOOKUP(W72,Aux_Lista!AN:AP,3,FALSE))</f>
        <v>13.73</v>
      </c>
      <c r="AB72" s="68">
        <f>IF(W72="","",VLOOKUP(W72,Aux_Lista!AN:AP,2,FALSE))</f>
        <v>9.15</v>
      </c>
      <c r="AC72" s="69"/>
      <c r="AD72" s="69">
        <v>46</v>
      </c>
      <c r="AE72" s="325">
        <f t="shared" si="0"/>
        <v>184</v>
      </c>
      <c r="AF72" s="540" t="s">
        <v>281</v>
      </c>
      <c r="AG72" s="540"/>
      <c r="AH72" s="337">
        <f>IFERROR(IF(X72="Sem projeto",1.5*AA72,AC72*VLOOKUP(AF72,Aux_Lista!AG:AH,2,FALSE)+AD72)*U72,0)</f>
        <v>184</v>
      </c>
      <c r="AI72" s="343" t="s">
        <v>5895</v>
      </c>
      <c r="AJ72" s="344" t="s">
        <v>5895</v>
      </c>
      <c r="AK72" s="345" t="s">
        <v>5895</v>
      </c>
      <c r="AL72" s="333">
        <f t="shared" si="2"/>
        <v>601.37400000000002</v>
      </c>
      <c r="AM72" s="334">
        <f t="shared" si="3"/>
        <v>805.92</v>
      </c>
      <c r="AN72" s="333">
        <f t="shared" si="4"/>
        <v>601.37400000000002</v>
      </c>
      <c r="AO72" s="334">
        <f t="shared" si="5"/>
        <v>400.77</v>
      </c>
      <c r="AP72" s="44"/>
      <c r="AQ72" s="2"/>
    </row>
    <row r="73" spans="1:43" ht="24.95" customHeight="1" x14ac:dyDescent="0.25">
      <c r="A73" s="2">
        <v>33</v>
      </c>
      <c r="B73" s="349" t="s">
        <v>10740</v>
      </c>
      <c r="C73" s="350" t="s">
        <v>10707</v>
      </c>
      <c r="D73" s="351">
        <v>57.72</v>
      </c>
      <c r="E73" s="351">
        <v>1</v>
      </c>
      <c r="F73" s="336" t="s">
        <v>5983</v>
      </c>
      <c r="G73" s="327">
        <v>0</v>
      </c>
      <c r="H73" s="327">
        <v>1150</v>
      </c>
      <c r="I73" s="325">
        <f t="shared" si="6"/>
        <v>1150</v>
      </c>
      <c r="J73" s="540" t="s">
        <v>281</v>
      </c>
      <c r="K73" s="540"/>
      <c r="L73" s="337">
        <f>IFERROR(IF(F73="Sem projeto",VLOOKUP(C73,$B$32:$H$34,7,FALSE)*1.5,G73*VLOOKUP(J73,Aux_Lista!$AG:$AH,2,FALSE)+H73)*E73,0)</f>
        <v>1150</v>
      </c>
      <c r="M73" s="348" t="s">
        <v>90</v>
      </c>
      <c r="N73" s="348" t="s">
        <v>5895</v>
      </c>
      <c r="O73" s="348" t="s">
        <v>90</v>
      </c>
      <c r="P73" s="386">
        <f t="shared" si="7"/>
        <v>57.72</v>
      </c>
      <c r="R73" s="94">
        <v>42</v>
      </c>
      <c r="S73" s="383" t="s">
        <v>6048</v>
      </c>
      <c r="T73" s="214">
        <v>25.33</v>
      </c>
      <c r="U73" s="214">
        <v>4</v>
      </c>
      <c r="V73" s="217" t="s">
        <v>287</v>
      </c>
      <c r="W73" s="215" t="s">
        <v>403</v>
      </c>
      <c r="X73" s="336" t="s">
        <v>5983</v>
      </c>
      <c r="Y73" s="68">
        <f>IF(V73="","",VLOOKUP(V73,Aux_Lista!A:K,11,FALSE))</f>
        <v>12</v>
      </c>
      <c r="Z73" s="68">
        <f>IF(V73="","",VLOOKUP(V73,Aux_Lista!A:L,12,FALSE))</f>
        <v>365</v>
      </c>
      <c r="AA73" s="68">
        <f>IF(W73="","",VLOOKUP(W73,Aux_Lista!AN:AP,3,FALSE))</f>
        <v>11.84</v>
      </c>
      <c r="AB73" s="68">
        <f>IF(W73="","",VLOOKUP(W73,Aux_Lista!AN:AP,2,FALSE))</f>
        <v>6.25</v>
      </c>
      <c r="AC73" s="69">
        <v>92</v>
      </c>
      <c r="AD73" s="69"/>
      <c r="AE73" s="325">
        <f t="shared" si="0"/>
        <v>368</v>
      </c>
      <c r="AF73" s="540" t="s">
        <v>5981</v>
      </c>
      <c r="AG73" s="540"/>
      <c r="AH73" s="337">
        <f>IFERROR(IF(X73="Sem projeto",1.5*AA73,AC73*VLOOKUP(AF73,Aux_Lista!AG:AH,2,FALSE)+AD73)*U73,0)</f>
        <v>294.40000000000003</v>
      </c>
      <c r="AI73" s="343" t="s">
        <v>5895</v>
      </c>
      <c r="AJ73" s="344" t="s">
        <v>5895</v>
      </c>
      <c r="AK73" s="345" t="s">
        <v>5895</v>
      </c>
      <c r="AL73" s="333">
        <f t="shared" si="2"/>
        <v>5254.3741439999994</v>
      </c>
      <c r="AM73" s="334">
        <f t="shared" si="3"/>
        <v>1289.4720000000002</v>
      </c>
      <c r="AN73" s="333">
        <f t="shared" si="4"/>
        <v>5254.3741439999994</v>
      </c>
      <c r="AO73" s="334">
        <f t="shared" si="5"/>
        <v>2773.6350000000002</v>
      </c>
      <c r="AP73" s="44"/>
      <c r="AQ73" s="2"/>
    </row>
    <row r="74" spans="1:43" ht="24.95" customHeight="1" x14ac:dyDescent="0.25">
      <c r="A74" s="2">
        <v>34</v>
      </c>
      <c r="B74" s="349" t="s">
        <v>10741</v>
      </c>
      <c r="C74" s="350" t="s">
        <v>10708</v>
      </c>
      <c r="D74" s="351">
        <v>44.63</v>
      </c>
      <c r="E74" s="351">
        <v>1</v>
      </c>
      <c r="F74" s="336" t="s">
        <v>5983</v>
      </c>
      <c r="G74" s="327">
        <v>0</v>
      </c>
      <c r="H74" s="327">
        <v>540</v>
      </c>
      <c r="I74" s="325">
        <f t="shared" si="6"/>
        <v>540</v>
      </c>
      <c r="J74" s="540" t="s">
        <v>281</v>
      </c>
      <c r="K74" s="540"/>
      <c r="L74" s="337">
        <f>IFERROR(IF(F74="Sem projeto",VLOOKUP(C74,$B$32:$H$34,7,FALSE)*1.5,G74*VLOOKUP(J74,Aux_Lista!$AG:$AH,2,FALSE)+H74)*E74,0)</f>
        <v>540</v>
      </c>
      <c r="M74" s="348" t="s">
        <v>5974</v>
      </c>
      <c r="N74" s="348" t="s">
        <v>5895</v>
      </c>
      <c r="O74" s="348" t="s">
        <v>90</v>
      </c>
      <c r="P74" s="386">
        <f t="shared" si="7"/>
        <v>44.63</v>
      </c>
      <c r="R74" s="94">
        <v>43</v>
      </c>
      <c r="S74" s="383" t="s">
        <v>6049</v>
      </c>
      <c r="T74" s="214">
        <v>1.99</v>
      </c>
      <c r="U74" s="214">
        <v>4</v>
      </c>
      <c r="V74" s="217" t="s">
        <v>287</v>
      </c>
      <c r="W74" s="215" t="s">
        <v>382</v>
      </c>
      <c r="X74" s="336" t="s">
        <v>5983</v>
      </c>
      <c r="Y74" s="68">
        <f>IF(V74="","",VLOOKUP(V74,Aux_Lista!A:K,11,FALSE))</f>
        <v>12</v>
      </c>
      <c r="Z74" s="68">
        <f>IF(V74="","",VLOOKUP(V74,Aux_Lista!A:L,12,FALSE))</f>
        <v>365</v>
      </c>
      <c r="AA74" s="68">
        <f>IF(W74="","",VLOOKUP(W74,Aux_Lista!AN:AP,3,FALSE))</f>
        <v>11.36</v>
      </c>
      <c r="AB74" s="68">
        <f>IF(W74="","",VLOOKUP(W74,Aux_Lista!AN:AP,2,FALSE))</f>
        <v>7.1</v>
      </c>
      <c r="AC74" s="69">
        <v>23</v>
      </c>
      <c r="AD74" s="69"/>
      <c r="AE74" s="325">
        <f t="shared" si="0"/>
        <v>92</v>
      </c>
      <c r="AF74" s="540" t="s">
        <v>5981</v>
      </c>
      <c r="AG74" s="540"/>
      <c r="AH74" s="337">
        <f>IFERROR(IF(X74="Sem projeto",1.5*AA74,AC74*VLOOKUP(AF74,Aux_Lista!AG:AH,2,FALSE)+AD74)*U74,0)</f>
        <v>73.600000000000009</v>
      </c>
      <c r="AI74" s="343" t="s">
        <v>5895</v>
      </c>
      <c r="AJ74" s="344" t="s">
        <v>5895</v>
      </c>
      <c r="AK74" s="345" t="s">
        <v>5895</v>
      </c>
      <c r="AL74" s="333">
        <f t="shared" si="2"/>
        <v>396.06412799999993</v>
      </c>
      <c r="AM74" s="334">
        <f t="shared" si="3"/>
        <v>322.36800000000005</v>
      </c>
      <c r="AN74" s="333">
        <f t="shared" si="4"/>
        <v>396.06412799999998</v>
      </c>
      <c r="AO74" s="334">
        <f t="shared" si="5"/>
        <v>247.54008000000002</v>
      </c>
      <c r="AP74" s="44"/>
      <c r="AQ74" s="2"/>
    </row>
    <row r="75" spans="1:43" ht="24.95" customHeight="1" x14ac:dyDescent="0.25">
      <c r="A75" s="2">
        <v>35</v>
      </c>
      <c r="B75" s="349" t="s">
        <v>10742</v>
      </c>
      <c r="C75" s="350" t="s">
        <v>10708</v>
      </c>
      <c r="D75" s="351">
        <v>29.91</v>
      </c>
      <c r="E75" s="351">
        <v>1</v>
      </c>
      <c r="F75" s="336" t="s">
        <v>5983</v>
      </c>
      <c r="G75" s="327">
        <v>0</v>
      </c>
      <c r="H75" s="327">
        <v>520</v>
      </c>
      <c r="I75" s="325">
        <f t="shared" si="6"/>
        <v>520</v>
      </c>
      <c r="J75" s="540" t="s">
        <v>281</v>
      </c>
      <c r="K75" s="540"/>
      <c r="L75" s="337">
        <f>IFERROR(IF(F75="Sem projeto",VLOOKUP(C75,$B$32:$H$34,7,FALSE)*1.5,G75*VLOOKUP(J75,Aux_Lista!$AG:$AH,2,FALSE)+H75)*E75,0)</f>
        <v>520</v>
      </c>
      <c r="M75" s="348" t="s">
        <v>5974</v>
      </c>
      <c r="N75" s="348" t="s">
        <v>5895</v>
      </c>
      <c r="O75" s="348" t="s">
        <v>90</v>
      </c>
      <c r="P75" s="386">
        <f t="shared" si="7"/>
        <v>29.91</v>
      </c>
      <c r="R75" s="94">
        <v>44</v>
      </c>
      <c r="S75" s="383" t="s">
        <v>6050</v>
      </c>
      <c r="T75" s="214">
        <v>18.75</v>
      </c>
      <c r="U75" s="214">
        <v>4</v>
      </c>
      <c r="V75" s="217" t="s">
        <v>287</v>
      </c>
      <c r="W75" s="215" t="s">
        <v>5819</v>
      </c>
      <c r="X75" s="336" t="s">
        <v>5983</v>
      </c>
      <c r="Y75" s="68">
        <f>IF(V75="","",VLOOKUP(V75,Aux_Lista!A:K,11,FALSE))</f>
        <v>12</v>
      </c>
      <c r="Z75" s="68">
        <f>IF(V75="","",VLOOKUP(V75,Aux_Lista!A:L,12,FALSE))</f>
        <v>365</v>
      </c>
      <c r="AA75" s="68">
        <f>IF(W75="","",VLOOKUP(W75,Aux_Lista!AN:AP,3,FALSE))</f>
        <v>8.32</v>
      </c>
      <c r="AB75" s="68">
        <f>IF(W75="","",VLOOKUP(W75,Aux_Lista!AN:AP,2,FALSE))</f>
        <v>7.45</v>
      </c>
      <c r="AC75" s="69">
        <v>92</v>
      </c>
      <c r="AD75" s="69"/>
      <c r="AE75" s="325">
        <f t="shared" si="0"/>
        <v>368</v>
      </c>
      <c r="AF75" s="540" t="s">
        <v>5981</v>
      </c>
      <c r="AG75" s="540"/>
      <c r="AH75" s="337">
        <f>IFERROR(IF(X75="Sem projeto",1.5*AA75,AC75*VLOOKUP(AF75,Aux_Lista!AG:AH,2,FALSE)+AD75)*U75,0)</f>
        <v>294.40000000000003</v>
      </c>
      <c r="AI75" s="343" t="s">
        <v>5895</v>
      </c>
      <c r="AJ75" s="344" t="s">
        <v>5895</v>
      </c>
      <c r="AK75" s="345" t="s">
        <v>5895</v>
      </c>
      <c r="AL75" s="333">
        <f t="shared" si="2"/>
        <v>2733.12</v>
      </c>
      <c r="AM75" s="334">
        <f t="shared" si="3"/>
        <v>1289.4720000000002</v>
      </c>
      <c r="AN75" s="333">
        <f t="shared" si="4"/>
        <v>2733.12</v>
      </c>
      <c r="AO75" s="334">
        <f t="shared" si="5"/>
        <v>2447.3249999999998</v>
      </c>
      <c r="AP75" s="44"/>
      <c r="AQ75" s="2"/>
    </row>
    <row r="76" spans="1:43" ht="24.95" customHeight="1" x14ac:dyDescent="0.25">
      <c r="A76" s="2">
        <v>36</v>
      </c>
      <c r="B76" s="349" t="s">
        <v>10743</v>
      </c>
      <c r="C76" s="350" t="s">
        <v>10708</v>
      </c>
      <c r="D76" s="351">
        <v>4.18</v>
      </c>
      <c r="E76" s="351">
        <v>1</v>
      </c>
      <c r="F76" s="336" t="s">
        <v>5983</v>
      </c>
      <c r="G76" s="327">
        <v>0</v>
      </c>
      <c r="H76" s="327">
        <v>145</v>
      </c>
      <c r="I76" s="325">
        <f t="shared" si="6"/>
        <v>145</v>
      </c>
      <c r="J76" s="540" t="s">
        <v>281</v>
      </c>
      <c r="K76" s="540"/>
      <c r="L76" s="337">
        <f>IFERROR(IF(F76="Sem projeto",VLOOKUP(C76,$B$32:$H$34,7,FALSE)*1.5,G76*VLOOKUP(J76,Aux_Lista!$AG:$AH,2,FALSE)+H76)*E76,0)</f>
        <v>145</v>
      </c>
      <c r="M76" s="348" t="s">
        <v>5974</v>
      </c>
      <c r="N76" s="348" t="s">
        <v>5895</v>
      </c>
      <c r="O76" s="348" t="s">
        <v>90</v>
      </c>
      <c r="P76" s="386">
        <f t="shared" si="7"/>
        <v>4.18</v>
      </c>
      <c r="R76" s="94">
        <v>45</v>
      </c>
      <c r="S76" s="383"/>
      <c r="T76" s="214"/>
      <c r="U76" s="214"/>
      <c r="V76" s="217"/>
      <c r="W76" s="215"/>
      <c r="X76" s="336"/>
      <c r="Y76" s="68" t="str">
        <f>IF(V76="","",VLOOKUP(V76,Aux_Lista!A:K,11,FALSE))</f>
        <v/>
      </c>
      <c r="Z76" s="68" t="str">
        <f>IF(V76="","",VLOOKUP(V76,Aux_Lista!A:L,12,FALSE))</f>
        <v/>
      </c>
      <c r="AA76" s="68" t="str">
        <f>IF(W76="","",VLOOKUP(W76,Aux_Lista!AN:AP,3,FALSE))</f>
        <v/>
      </c>
      <c r="AB76" s="68" t="str">
        <f>IF(W76="","",VLOOKUP(W76,Aux_Lista!AN:AP,2,FALSE))</f>
        <v/>
      </c>
      <c r="AC76" s="69"/>
      <c r="AD76" s="69"/>
      <c r="AE76" s="325">
        <f t="shared" si="0"/>
        <v>0</v>
      </c>
      <c r="AF76" s="540" t="s">
        <v>281</v>
      </c>
      <c r="AG76" s="540"/>
      <c r="AH76" s="337">
        <f>IFERROR(IF(X76="Sem projeto",1.5*AA76,AC76*VLOOKUP(AF76,Aux_Lista!AG:AH,2,FALSE)+AD76)*U76,0)</f>
        <v>0</v>
      </c>
      <c r="AI76" s="343" t="s">
        <v>90</v>
      </c>
      <c r="AJ76" s="343" t="s">
        <v>90</v>
      </c>
      <c r="AK76" s="343" t="s">
        <v>90</v>
      </c>
      <c r="AL76" s="333" t="str">
        <f t="shared" si="2"/>
        <v/>
      </c>
      <c r="AM76" s="334" t="str">
        <f t="shared" si="3"/>
        <v/>
      </c>
      <c r="AN76" s="333" t="str">
        <f t="shared" si="4"/>
        <v/>
      </c>
      <c r="AO76" s="334" t="str">
        <f t="shared" si="5"/>
        <v/>
      </c>
      <c r="AP76" s="44"/>
      <c r="AQ76" s="2"/>
    </row>
    <row r="77" spans="1:43" ht="24.95" customHeight="1" x14ac:dyDescent="0.25">
      <c r="A77" s="2">
        <v>37</v>
      </c>
      <c r="B77" s="349" t="s">
        <v>10744</v>
      </c>
      <c r="C77" s="350" t="s">
        <v>10708</v>
      </c>
      <c r="D77" s="351">
        <v>22.47</v>
      </c>
      <c r="E77" s="351">
        <v>1</v>
      </c>
      <c r="F77" s="336" t="s">
        <v>5983</v>
      </c>
      <c r="G77" s="327">
        <v>0</v>
      </c>
      <c r="H77" s="327">
        <v>580</v>
      </c>
      <c r="I77" s="325">
        <f t="shared" si="6"/>
        <v>580</v>
      </c>
      <c r="J77" s="540" t="s">
        <v>281</v>
      </c>
      <c r="K77" s="540"/>
      <c r="L77" s="337">
        <f>IFERROR(IF(F77="Sem projeto",VLOOKUP(C77,$B$32:$H$34,7,FALSE)*1.5,G77*VLOOKUP(J77,Aux_Lista!$AG:$AH,2,FALSE)+H77)*E77,0)</f>
        <v>580</v>
      </c>
      <c r="M77" s="348" t="s">
        <v>5974</v>
      </c>
      <c r="N77" s="348" t="s">
        <v>5895</v>
      </c>
      <c r="O77" s="348" t="s">
        <v>90</v>
      </c>
      <c r="P77" s="386">
        <f t="shared" si="7"/>
        <v>22.47</v>
      </c>
      <c r="R77" s="94">
        <v>46</v>
      </c>
      <c r="S77" s="383"/>
      <c r="T77" s="214"/>
      <c r="U77" s="214"/>
      <c r="V77" s="217"/>
      <c r="W77" s="215"/>
      <c r="X77" s="336"/>
      <c r="Y77" s="68" t="str">
        <f>IF(V77="","",VLOOKUP(V77,Aux_Lista!A:K,11,FALSE))</f>
        <v/>
      </c>
      <c r="Z77" s="68" t="str">
        <f>IF(V77="","",VLOOKUP(V77,Aux_Lista!A:L,12,FALSE))</f>
        <v/>
      </c>
      <c r="AA77" s="68" t="str">
        <f>IF(W77="","",VLOOKUP(W77,Aux_Lista!AN:AP,3,FALSE))</f>
        <v/>
      </c>
      <c r="AB77" s="68" t="str">
        <f>IF(W77="","",VLOOKUP(W77,Aux_Lista!AN:AP,2,FALSE))</f>
        <v/>
      </c>
      <c r="AC77" s="69"/>
      <c r="AD77" s="69"/>
      <c r="AE77" s="325">
        <f t="shared" si="0"/>
        <v>0</v>
      </c>
      <c r="AF77" s="540" t="s">
        <v>281</v>
      </c>
      <c r="AG77" s="540"/>
      <c r="AH77" s="337">
        <f>IFERROR(IF(X77="Sem projeto",1.5*AA77,AC77*VLOOKUP(AF77,Aux_Lista!AG:AH,2,FALSE)+AD77)*U77,0)</f>
        <v>0</v>
      </c>
      <c r="AI77" s="343" t="s">
        <v>90</v>
      </c>
      <c r="AJ77" s="343" t="s">
        <v>90</v>
      </c>
      <c r="AK77" s="343" t="s">
        <v>90</v>
      </c>
      <c r="AL77" s="333" t="str">
        <f t="shared" si="2"/>
        <v/>
      </c>
      <c r="AM77" s="334" t="str">
        <f t="shared" si="3"/>
        <v/>
      </c>
      <c r="AN77" s="333" t="str">
        <f t="shared" si="4"/>
        <v/>
      </c>
      <c r="AO77" s="334" t="str">
        <f t="shared" si="5"/>
        <v/>
      </c>
      <c r="AP77" s="44"/>
      <c r="AQ77" s="2"/>
    </row>
    <row r="78" spans="1:43" ht="24.95" customHeight="1" x14ac:dyDescent="0.25">
      <c r="A78" s="2">
        <v>38</v>
      </c>
      <c r="B78" s="349" t="s">
        <v>10745</v>
      </c>
      <c r="C78" s="350" t="s">
        <v>10708</v>
      </c>
      <c r="D78" s="351">
        <v>2.5</v>
      </c>
      <c r="E78" s="351">
        <v>1</v>
      </c>
      <c r="F78" s="336" t="s">
        <v>5983</v>
      </c>
      <c r="G78" s="327">
        <v>0</v>
      </c>
      <c r="H78" s="327">
        <v>195</v>
      </c>
      <c r="I78" s="325">
        <f t="shared" si="6"/>
        <v>195</v>
      </c>
      <c r="J78" s="540" t="s">
        <v>281</v>
      </c>
      <c r="K78" s="540"/>
      <c r="L78" s="337">
        <f>IFERROR(IF(F78="Sem projeto",VLOOKUP(C78,$B$32:$H$34,7,FALSE)*1.5,G78*VLOOKUP(J78,Aux_Lista!$AG:$AH,2,FALSE)+H78)*E78,0)</f>
        <v>195</v>
      </c>
      <c r="M78" s="348" t="s">
        <v>5974</v>
      </c>
      <c r="N78" s="348" t="s">
        <v>5895</v>
      </c>
      <c r="O78" s="348" t="s">
        <v>90</v>
      </c>
      <c r="P78" s="386">
        <f t="shared" si="7"/>
        <v>2.5</v>
      </c>
      <c r="R78" s="94">
        <v>47</v>
      </c>
      <c r="S78" s="383"/>
      <c r="T78" s="214"/>
      <c r="U78" s="214"/>
      <c r="V78" s="217"/>
      <c r="W78" s="215"/>
      <c r="X78" s="336"/>
      <c r="Y78" s="68" t="str">
        <f>IF(V78="","",VLOOKUP(V78,Aux_Lista!A:K,11,FALSE))</f>
        <v/>
      </c>
      <c r="Z78" s="68" t="str">
        <f>IF(V78="","",VLOOKUP(V78,Aux_Lista!A:L,12,FALSE))</f>
        <v/>
      </c>
      <c r="AA78" s="68" t="str">
        <f>IF(W78="","",VLOOKUP(W78,Aux_Lista!AN:AP,3,FALSE))</f>
        <v/>
      </c>
      <c r="AB78" s="68" t="str">
        <f>IF(W78="","",VLOOKUP(W78,Aux_Lista!AN:AP,2,FALSE))</f>
        <v/>
      </c>
      <c r="AC78" s="69"/>
      <c r="AD78" s="69"/>
      <c r="AE78" s="325">
        <f t="shared" si="0"/>
        <v>0</v>
      </c>
      <c r="AF78" s="540" t="s">
        <v>281</v>
      </c>
      <c r="AG78" s="540"/>
      <c r="AH78" s="337">
        <f>IFERROR(IF(X78="Sem projeto",1.5*AA78,AC78*VLOOKUP(AF78,Aux_Lista!AG:AH,2,FALSE)+AD78)*U78,0)</f>
        <v>0</v>
      </c>
      <c r="AI78" s="343" t="s">
        <v>90</v>
      </c>
      <c r="AJ78" s="343" t="s">
        <v>90</v>
      </c>
      <c r="AK78" s="343" t="s">
        <v>90</v>
      </c>
      <c r="AL78" s="333" t="str">
        <f t="shared" si="2"/>
        <v/>
      </c>
      <c r="AM78" s="334" t="str">
        <f t="shared" si="3"/>
        <v/>
      </c>
      <c r="AN78" s="333" t="str">
        <f t="shared" si="4"/>
        <v/>
      </c>
      <c r="AO78" s="334" t="str">
        <f t="shared" si="5"/>
        <v/>
      </c>
      <c r="AP78" s="44"/>
      <c r="AQ78" s="2"/>
    </row>
    <row r="79" spans="1:43" ht="24.95" customHeight="1" x14ac:dyDescent="0.25">
      <c r="A79" s="2">
        <v>39</v>
      </c>
      <c r="B79" s="349" t="s">
        <v>10746</v>
      </c>
      <c r="C79" s="350" t="s">
        <v>10708</v>
      </c>
      <c r="D79" s="351">
        <v>75.56</v>
      </c>
      <c r="E79" s="351">
        <v>1</v>
      </c>
      <c r="F79" s="336" t="s">
        <v>5983</v>
      </c>
      <c r="G79" s="327">
        <v>0</v>
      </c>
      <c r="H79" s="327">
        <v>818.75</v>
      </c>
      <c r="I79" s="325">
        <f t="shared" si="6"/>
        <v>818.75</v>
      </c>
      <c r="J79" s="540" t="s">
        <v>281</v>
      </c>
      <c r="K79" s="540"/>
      <c r="L79" s="337">
        <f>IFERROR(IF(F79="Sem projeto",VLOOKUP(C79,$B$32:$H$34,7,FALSE)*1.5,G79*VLOOKUP(J79,Aux_Lista!$AG:$AH,2,FALSE)+H79)*E79,0)</f>
        <v>818.75</v>
      </c>
      <c r="M79" s="348" t="s">
        <v>5974</v>
      </c>
      <c r="N79" s="348" t="s">
        <v>5895</v>
      </c>
      <c r="O79" s="348" t="s">
        <v>90</v>
      </c>
      <c r="P79" s="386">
        <f t="shared" si="7"/>
        <v>75.56</v>
      </c>
      <c r="R79" s="94">
        <v>48</v>
      </c>
      <c r="S79" s="383"/>
      <c r="T79" s="214"/>
      <c r="U79" s="214"/>
      <c r="V79" s="217"/>
      <c r="W79" s="215"/>
      <c r="X79" s="336"/>
      <c r="Y79" s="68" t="str">
        <f>IF(V79="","",VLOOKUP(V79,Aux_Lista!A:K,11,FALSE))</f>
        <v/>
      </c>
      <c r="Z79" s="68" t="str">
        <f>IF(V79="","",VLOOKUP(V79,Aux_Lista!A:L,12,FALSE))</f>
        <v/>
      </c>
      <c r="AA79" s="68" t="str">
        <f>IF(W79="","",VLOOKUP(W79,Aux_Lista!AN:AP,3,FALSE))</f>
        <v/>
      </c>
      <c r="AB79" s="68" t="str">
        <f>IF(W79="","",VLOOKUP(W79,Aux_Lista!AN:AP,2,FALSE))</f>
        <v/>
      </c>
      <c r="AC79" s="69"/>
      <c r="AD79" s="69"/>
      <c r="AE79" s="325">
        <f t="shared" si="0"/>
        <v>0</v>
      </c>
      <c r="AF79" s="540" t="s">
        <v>281</v>
      </c>
      <c r="AG79" s="540"/>
      <c r="AH79" s="337">
        <f>IFERROR(IF(X79="Sem projeto",1.5*AA79,AC79*VLOOKUP(AF79,Aux_Lista!AG:AH,2,FALSE)+AD79)*U79,0)</f>
        <v>0</v>
      </c>
      <c r="AI79" s="343" t="s">
        <v>90</v>
      </c>
      <c r="AJ79" s="343" t="s">
        <v>90</v>
      </c>
      <c r="AK79" s="343" t="s">
        <v>90</v>
      </c>
      <c r="AL79" s="333" t="str">
        <f t="shared" si="2"/>
        <v/>
      </c>
      <c r="AM79" s="334" t="str">
        <f t="shared" si="3"/>
        <v/>
      </c>
      <c r="AN79" s="333" t="str">
        <f t="shared" si="4"/>
        <v/>
      </c>
      <c r="AO79" s="334" t="str">
        <f t="shared" si="5"/>
        <v/>
      </c>
      <c r="AP79" s="44"/>
      <c r="AQ79" s="2"/>
    </row>
    <row r="80" spans="1:43" ht="24.95" customHeight="1" x14ac:dyDescent="0.25">
      <c r="A80" s="2">
        <v>40</v>
      </c>
      <c r="B80" s="349" t="s">
        <v>10747</v>
      </c>
      <c r="C80" s="350" t="s">
        <v>10708</v>
      </c>
      <c r="D80" s="351">
        <v>19.77</v>
      </c>
      <c r="E80" s="351">
        <v>1</v>
      </c>
      <c r="F80" s="336" t="s">
        <v>5983</v>
      </c>
      <c r="G80" s="327">
        <v>0</v>
      </c>
      <c r="H80" s="327">
        <v>180</v>
      </c>
      <c r="I80" s="325">
        <f t="shared" si="6"/>
        <v>180</v>
      </c>
      <c r="J80" s="540" t="s">
        <v>281</v>
      </c>
      <c r="K80" s="540"/>
      <c r="L80" s="337">
        <f>IFERROR(IF(F80="Sem projeto",VLOOKUP(C80,$B$32:$H$34,7,FALSE)*1.5,G80*VLOOKUP(J80,Aux_Lista!$AG:$AH,2,FALSE)+H80)*E80,0)</f>
        <v>180</v>
      </c>
      <c r="M80" s="348" t="s">
        <v>5974</v>
      </c>
      <c r="N80" s="348" t="s">
        <v>5895</v>
      </c>
      <c r="O80" s="348" t="s">
        <v>90</v>
      </c>
      <c r="P80" s="386">
        <f t="shared" si="7"/>
        <v>19.77</v>
      </c>
      <c r="R80" s="94">
        <v>49</v>
      </c>
      <c r="S80" s="383"/>
      <c r="T80" s="214"/>
      <c r="U80" s="214"/>
      <c r="V80" s="217"/>
      <c r="W80" s="215"/>
      <c r="X80" s="336"/>
      <c r="Y80" s="68" t="str">
        <f>IF(V80="","",VLOOKUP(V80,Aux_Lista!A:K,11,FALSE))</f>
        <v/>
      </c>
      <c r="Z80" s="68" t="str">
        <f>IF(V80="","",VLOOKUP(V80,Aux_Lista!A:L,12,FALSE))</f>
        <v/>
      </c>
      <c r="AA80" s="68" t="str">
        <f>IF(W80="","",VLOOKUP(W80,Aux_Lista!AN:AP,3,FALSE))</f>
        <v/>
      </c>
      <c r="AB80" s="68" t="str">
        <f>IF(W80="","",VLOOKUP(W80,Aux_Lista!AN:AP,2,FALSE))</f>
        <v/>
      </c>
      <c r="AC80" s="69"/>
      <c r="AD80" s="69"/>
      <c r="AE80" s="325">
        <f t="shared" si="0"/>
        <v>0</v>
      </c>
      <c r="AF80" s="540" t="s">
        <v>281</v>
      </c>
      <c r="AG80" s="540"/>
      <c r="AH80" s="337">
        <f>IFERROR(IF(X80="Sem projeto",1.5*AA80,AC80*VLOOKUP(AF80,Aux_Lista!AG:AH,2,FALSE)+AD80)*U80,0)</f>
        <v>0</v>
      </c>
      <c r="AI80" s="343" t="s">
        <v>90</v>
      </c>
      <c r="AJ80" s="343" t="s">
        <v>90</v>
      </c>
      <c r="AK80" s="343" t="s">
        <v>90</v>
      </c>
      <c r="AL80" s="333" t="str">
        <f t="shared" si="2"/>
        <v/>
      </c>
      <c r="AM80" s="334" t="str">
        <f t="shared" si="3"/>
        <v/>
      </c>
      <c r="AN80" s="333" t="str">
        <f t="shared" si="4"/>
        <v/>
      </c>
      <c r="AO80" s="334" t="str">
        <f t="shared" si="5"/>
        <v/>
      </c>
      <c r="AP80" s="44"/>
      <c r="AQ80" s="2"/>
    </row>
    <row r="81" spans="1:43" ht="24.95" customHeight="1" x14ac:dyDescent="0.25">
      <c r="A81" s="2">
        <v>41</v>
      </c>
      <c r="B81" s="349" t="s">
        <v>10748</v>
      </c>
      <c r="C81" s="350" t="s">
        <v>10708</v>
      </c>
      <c r="D81" s="351">
        <v>16.239999999999998</v>
      </c>
      <c r="E81" s="351">
        <v>1</v>
      </c>
      <c r="F81" s="336" t="s">
        <v>5983</v>
      </c>
      <c r="G81" s="327">
        <v>0</v>
      </c>
      <c r="H81" s="327">
        <v>180</v>
      </c>
      <c r="I81" s="325">
        <f t="shared" si="6"/>
        <v>180</v>
      </c>
      <c r="J81" s="540" t="s">
        <v>281</v>
      </c>
      <c r="K81" s="540"/>
      <c r="L81" s="337">
        <f>IFERROR(IF(F81="Sem projeto",VLOOKUP(C81,$B$32:$H$34,7,FALSE)*1.5,G81*VLOOKUP(J81,Aux_Lista!$AG:$AH,2,FALSE)+H81)*E81,0)</f>
        <v>180</v>
      </c>
      <c r="M81" s="348" t="s">
        <v>5974</v>
      </c>
      <c r="N81" s="348" t="s">
        <v>5895</v>
      </c>
      <c r="O81" s="348" t="s">
        <v>90</v>
      </c>
      <c r="P81" s="386">
        <f t="shared" si="7"/>
        <v>16.239999999999998</v>
      </c>
      <c r="R81" s="94">
        <v>50</v>
      </c>
      <c r="S81" s="383"/>
      <c r="T81" s="214"/>
      <c r="U81" s="214"/>
      <c r="V81" s="217"/>
      <c r="W81" s="215"/>
      <c r="X81" s="336"/>
      <c r="Y81" s="68" t="str">
        <f>IF(V81="","",VLOOKUP(V81,Aux_Lista!A:K,11,FALSE))</f>
        <v/>
      </c>
      <c r="Z81" s="68" t="str">
        <f>IF(V81="","",VLOOKUP(V81,Aux_Lista!A:L,12,FALSE))</f>
        <v/>
      </c>
      <c r="AA81" s="68" t="str">
        <f>IF(W81="","",VLOOKUP(W81,Aux_Lista!AN:AP,3,FALSE))</f>
        <v/>
      </c>
      <c r="AB81" s="68" t="str">
        <f>IF(W81="","",VLOOKUP(W81,Aux_Lista!AN:AP,2,FALSE))</f>
        <v/>
      </c>
      <c r="AC81" s="69"/>
      <c r="AD81" s="69"/>
      <c r="AE81" s="325">
        <f t="shared" si="0"/>
        <v>0</v>
      </c>
      <c r="AF81" s="540" t="s">
        <v>281</v>
      </c>
      <c r="AG81" s="540"/>
      <c r="AH81" s="337">
        <f>IFERROR(IF(X81="Sem projeto",1.5*AA81,AC81*VLOOKUP(AF81,Aux_Lista!AG:AH,2,FALSE)+AD81)*U81,0)</f>
        <v>0</v>
      </c>
      <c r="AI81" s="343" t="s">
        <v>90</v>
      </c>
      <c r="AJ81" s="343" t="s">
        <v>90</v>
      </c>
      <c r="AK81" s="343" t="s">
        <v>90</v>
      </c>
      <c r="AL81" s="333" t="str">
        <f t="shared" si="2"/>
        <v/>
      </c>
      <c r="AM81" s="334" t="str">
        <f t="shared" si="3"/>
        <v/>
      </c>
      <c r="AN81" s="333" t="str">
        <f t="shared" si="4"/>
        <v/>
      </c>
      <c r="AO81" s="334" t="str">
        <f t="shared" si="5"/>
        <v/>
      </c>
      <c r="AP81" s="44"/>
      <c r="AQ81" s="2"/>
    </row>
    <row r="82" spans="1:43" ht="24.95" customHeight="1" x14ac:dyDescent="0.25">
      <c r="A82" s="2">
        <v>42</v>
      </c>
      <c r="B82" s="349" t="s">
        <v>10749</v>
      </c>
      <c r="C82" s="350" t="s">
        <v>10708</v>
      </c>
      <c r="D82" s="351">
        <v>9.74</v>
      </c>
      <c r="E82" s="351">
        <v>1</v>
      </c>
      <c r="F82" s="336" t="s">
        <v>5983</v>
      </c>
      <c r="G82" s="327">
        <v>0</v>
      </c>
      <c r="H82" s="327">
        <v>135</v>
      </c>
      <c r="I82" s="325">
        <f t="shared" si="6"/>
        <v>135</v>
      </c>
      <c r="J82" s="540" t="s">
        <v>281</v>
      </c>
      <c r="K82" s="540"/>
      <c r="L82" s="337">
        <f>IFERROR(IF(F82="Sem projeto",VLOOKUP(C82,$B$32:$H$34,7,FALSE)*1.5,G82*VLOOKUP(J82,Aux_Lista!$AG:$AH,2,FALSE)+H82)*E82,0)</f>
        <v>135</v>
      </c>
      <c r="M82" s="348" t="s">
        <v>90</v>
      </c>
      <c r="N82" s="348" t="s">
        <v>5895</v>
      </c>
      <c r="O82" s="348" t="s">
        <v>90</v>
      </c>
      <c r="P82" s="386">
        <f t="shared" si="7"/>
        <v>9.74</v>
      </c>
      <c r="R82" s="94">
        <v>51</v>
      </c>
      <c r="S82" s="383"/>
      <c r="T82" s="214"/>
      <c r="U82" s="214"/>
      <c r="V82" s="217"/>
      <c r="W82" s="215"/>
      <c r="X82" s="336"/>
      <c r="Y82" s="68" t="str">
        <f>IF(V82="","",VLOOKUP(V82,Aux_Lista!A:K,11,FALSE))</f>
        <v/>
      </c>
      <c r="Z82" s="68" t="str">
        <f>IF(V82="","",VLOOKUP(V82,Aux_Lista!A:L,12,FALSE))</f>
        <v/>
      </c>
      <c r="AA82" s="68" t="str">
        <f>IF(W82="","",VLOOKUP(W82,Aux_Lista!AN:AP,3,FALSE))</f>
        <v/>
      </c>
      <c r="AB82" s="68" t="str">
        <f>IF(W82="","",VLOOKUP(W82,Aux_Lista!AN:AP,2,FALSE))</f>
        <v/>
      </c>
      <c r="AC82" s="69"/>
      <c r="AD82" s="69"/>
      <c r="AE82" s="325">
        <f t="shared" si="0"/>
        <v>0</v>
      </c>
      <c r="AF82" s="540" t="s">
        <v>281</v>
      </c>
      <c r="AG82" s="540"/>
      <c r="AH82" s="337">
        <f>IFERROR(IF(X82="Sem projeto",1.5*AA82,AC82*VLOOKUP(AF82,Aux_Lista!AG:AH,2,FALSE)+AD82)*U82,0)</f>
        <v>0</v>
      </c>
      <c r="AI82" s="343" t="s">
        <v>90</v>
      </c>
      <c r="AJ82" s="343" t="s">
        <v>90</v>
      </c>
      <c r="AK82" s="343" t="s">
        <v>90</v>
      </c>
      <c r="AL82" s="333" t="str">
        <f t="shared" si="2"/>
        <v/>
      </c>
      <c r="AM82" s="334" t="str">
        <f t="shared" si="3"/>
        <v/>
      </c>
      <c r="AN82" s="333" t="str">
        <f t="shared" si="4"/>
        <v/>
      </c>
      <c r="AO82" s="334" t="str">
        <f t="shared" si="5"/>
        <v/>
      </c>
      <c r="AP82" s="44"/>
      <c r="AQ82" s="2"/>
    </row>
    <row r="83" spans="1:43" ht="24.95" customHeight="1" x14ac:dyDescent="0.25">
      <c r="A83" s="2">
        <v>43</v>
      </c>
      <c r="B83" s="349" t="s">
        <v>10750</v>
      </c>
      <c r="C83" s="350" t="s">
        <v>10708</v>
      </c>
      <c r="D83" s="351">
        <v>5.43</v>
      </c>
      <c r="E83" s="351">
        <v>1</v>
      </c>
      <c r="F83" s="336" t="s">
        <v>5983</v>
      </c>
      <c r="G83" s="327">
        <v>0</v>
      </c>
      <c r="H83" s="327">
        <v>135</v>
      </c>
      <c r="I83" s="325">
        <f t="shared" si="6"/>
        <v>135</v>
      </c>
      <c r="J83" s="540" t="s">
        <v>281</v>
      </c>
      <c r="K83" s="540"/>
      <c r="L83" s="337">
        <f>IFERROR(IF(F83="Sem projeto",VLOOKUP(C83,$B$32:$H$34,7,FALSE)*1.5,G83*VLOOKUP(J83,Aux_Lista!$AG:$AH,2,FALSE)+H83)*E83,0)</f>
        <v>135</v>
      </c>
      <c r="M83" s="348" t="s">
        <v>90</v>
      </c>
      <c r="N83" s="348" t="s">
        <v>5895</v>
      </c>
      <c r="O83" s="348" t="s">
        <v>90</v>
      </c>
      <c r="P83" s="386">
        <f t="shared" si="7"/>
        <v>5.43</v>
      </c>
      <c r="R83" s="94">
        <v>52</v>
      </c>
      <c r="S83" s="383"/>
      <c r="T83" s="214"/>
      <c r="U83" s="214"/>
      <c r="V83" s="217"/>
      <c r="W83" s="215"/>
      <c r="X83" s="336"/>
      <c r="Y83" s="68" t="str">
        <f>IF(V83="","",VLOOKUP(V83,Aux_Lista!A:K,11,FALSE))</f>
        <v/>
      </c>
      <c r="Z83" s="68" t="str">
        <f>IF(V83="","",VLOOKUP(V83,Aux_Lista!A:L,12,FALSE))</f>
        <v/>
      </c>
      <c r="AA83" s="68" t="str">
        <f>IF(W83="","",VLOOKUP(W83,Aux_Lista!AN:AP,3,FALSE))</f>
        <v/>
      </c>
      <c r="AB83" s="68" t="str">
        <f>IF(W83="","",VLOOKUP(W83,Aux_Lista!AN:AP,2,FALSE))</f>
        <v/>
      </c>
      <c r="AC83" s="69"/>
      <c r="AD83" s="69"/>
      <c r="AE83" s="325">
        <f t="shared" si="0"/>
        <v>0</v>
      </c>
      <c r="AF83" s="540" t="s">
        <v>281</v>
      </c>
      <c r="AG83" s="540"/>
      <c r="AH83" s="337">
        <f>IFERROR(IF(X83="Sem projeto",1.5*AA83,AC83*VLOOKUP(AF83,Aux_Lista!AG:AH,2,FALSE)+AD83)*U83,0)</f>
        <v>0</v>
      </c>
      <c r="AI83" s="343" t="s">
        <v>90</v>
      </c>
      <c r="AJ83" s="343" t="s">
        <v>90</v>
      </c>
      <c r="AK83" s="343" t="s">
        <v>90</v>
      </c>
      <c r="AL83" s="333" t="str">
        <f t="shared" si="2"/>
        <v/>
      </c>
      <c r="AM83" s="334" t="str">
        <f t="shared" si="3"/>
        <v/>
      </c>
      <c r="AN83" s="333" t="str">
        <f t="shared" si="4"/>
        <v/>
      </c>
      <c r="AO83" s="334" t="str">
        <f t="shared" si="5"/>
        <v/>
      </c>
      <c r="AP83" s="44"/>
      <c r="AQ83" s="2"/>
    </row>
    <row r="84" spans="1:43" ht="24.95" customHeight="1" x14ac:dyDescent="0.25">
      <c r="A84" s="2">
        <v>44</v>
      </c>
      <c r="B84" s="349" t="s">
        <v>10727</v>
      </c>
      <c r="C84" s="350" t="s">
        <v>10708</v>
      </c>
      <c r="D84" s="351">
        <v>3.01</v>
      </c>
      <c r="E84" s="351">
        <v>1</v>
      </c>
      <c r="F84" s="336" t="s">
        <v>5983</v>
      </c>
      <c r="G84" s="327">
        <v>0</v>
      </c>
      <c r="H84" s="327">
        <v>45</v>
      </c>
      <c r="I84" s="325">
        <f t="shared" si="6"/>
        <v>45</v>
      </c>
      <c r="J84" s="540" t="s">
        <v>281</v>
      </c>
      <c r="K84" s="540"/>
      <c r="L84" s="337">
        <f>IFERROR(IF(F84="Sem projeto",VLOOKUP(C84,$B$32:$H$34,7,FALSE)*1.5,G84*VLOOKUP(J84,Aux_Lista!$AG:$AH,2,FALSE)+H84)*E84,0)</f>
        <v>45</v>
      </c>
      <c r="M84" s="348" t="s">
        <v>90</v>
      </c>
      <c r="N84" s="348" t="s">
        <v>5895</v>
      </c>
      <c r="O84" s="348" t="s">
        <v>90</v>
      </c>
      <c r="P84" s="386">
        <f t="shared" si="7"/>
        <v>3.01</v>
      </c>
      <c r="R84" s="94">
        <v>53</v>
      </c>
      <c r="S84" s="383"/>
      <c r="T84" s="214"/>
      <c r="U84" s="214"/>
      <c r="V84" s="217"/>
      <c r="W84" s="215"/>
      <c r="X84" s="336"/>
      <c r="Y84" s="68" t="str">
        <f>IF(V84="","",VLOOKUP(V84,Aux_Lista!A:K,11,FALSE))</f>
        <v/>
      </c>
      <c r="Z84" s="68" t="str">
        <f>IF(V84="","",VLOOKUP(V84,Aux_Lista!A:L,12,FALSE))</f>
        <v/>
      </c>
      <c r="AA84" s="68" t="str">
        <f>IF(W84="","",VLOOKUP(W84,Aux_Lista!AN:AP,3,FALSE))</f>
        <v/>
      </c>
      <c r="AB84" s="68" t="str">
        <f>IF(W84="","",VLOOKUP(W84,Aux_Lista!AN:AP,2,FALSE))</f>
        <v/>
      </c>
      <c r="AC84" s="69"/>
      <c r="AD84" s="69"/>
      <c r="AE84" s="325">
        <f t="shared" si="0"/>
        <v>0</v>
      </c>
      <c r="AF84" s="540" t="s">
        <v>281</v>
      </c>
      <c r="AG84" s="540"/>
      <c r="AH84" s="337">
        <f>IFERROR(IF(X84="Sem projeto",1.5*AA84,AC84*VLOOKUP(AF84,Aux_Lista!AG:AH,2,FALSE)+AD84)*U84,0)</f>
        <v>0</v>
      </c>
      <c r="AI84" s="343" t="s">
        <v>90</v>
      </c>
      <c r="AJ84" s="343" t="s">
        <v>90</v>
      </c>
      <c r="AK84" s="343" t="s">
        <v>90</v>
      </c>
      <c r="AL84" s="333" t="str">
        <f t="shared" si="2"/>
        <v/>
      </c>
      <c r="AM84" s="334" t="str">
        <f t="shared" si="3"/>
        <v/>
      </c>
      <c r="AN84" s="333" t="str">
        <f t="shared" si="4"/>
        <v/>
      </c>
      <c r="AO84" s="334" t="str">
        <f t="shared" si="5"/>
        <v/>
      </c>
      <c r="AP84" s="44"/>
      <c r="AQ84" s="2"/>
    </row>
    <row r="85" spans="1:43" ht="24.95" customHeight="1" x14ac:dyDescent="0.25">
      <c r="A85" s="2">
        <v>45</v>
      </c>
      <c r="B85" s="349" t="s">
        <v>10751</v>
      </c>
      <c r="C85" s="350" t="s">
        <v>10708</v>
      </c>
      <c r="D85" s="351">
        <v>2.37</v>
      </c>
      <c r="E85" s="351">
        <v>1</v>
      </c>
      <c r="F85" s="336" t="s">
        <v>5983</v>
      </c>
      <c r="G85" s="327">
        <v>0</v>
      </c>
      <c r="H85" s="327">
        <v>195</v>
      </c>
      <c r="I85" s="325">
        <f t="shared" si="6"/>
        <v>195</v>
      </c>
      <c r="J85" s="540" t="s">
        <v>281</v>
      </c>
      <c r="K85" s="540"/>
      <c r="L85" s="337">
        <f>IFERROR(IF(F85="Sem projeto",VLOOKUP(C85,$B$32:$H$34,7,FALSE)*1.5,G85*VLOOKUP(J85,Aux_Lista!$AG:$AH,2,FALSE)+H85)*E85,0)</f>
        <v>195</v>
      </c>
      <c r="M85" s="346" t="s">
        <v>90</v>
      </c>
      <c r="N85" s="347" t="s">
        <v>90</v>
      </c>
      <c r="O85" s="348" t="s">
        <v>90</v>
      </c>
      <c r="P85" s="386">
        <f t="shared" si="7"/>
        <v>2.37</v>
      </c>
      <c r="R85" s="94">
        <v>54</v>
      </c>
      <c r="S85" s="383"/>
      <c r="T85" s="214"/>
      <c r="U85" s="214"/>
      <c r="V85" s="217"/>
      <c r="W85" s="215"/>
      <c r="X85" s="336"/>
      <c r="Y85" s="68" t="str">
        <f>IF(V85="","",VLOOKUP(V85,Aux_Lista!A:K,11,FALSE))</f>
        <v/>
      </c>
      <c r="Z85" s="68" t="str">
        <f>IF(V85="","",VLOOKUP(V85,Aux_Lista!A:L,12,FALSE))</f>
        <v/>
      </c>
      <c r="AA85" s="68" t="str">
        <f>IF(W85="","",VLOOKUP(W85,Aux_Lista!AN:AP,3,FALSE))</f>
        <v/>
      </c>
      <c r="AB85" s="68" t="str">
        <f>IF(W85="","",VLOOKUP(W85,Aux_Lista!AN:AP,2,FALSE))</f>
        <v/>
      </c>
      <c r="AC85" s="69"/>
      <c r="AD85" s="69"/>
      <c r="AE85" s="325">
        <f t="shared" si="0"/>
        <v>0</v>
      </c>
      <c r="AF85" s="540" t="s">
        <v>281</v>
      </c>
      <c r="AG85" s="540"/>
      <c r="AH85" s="337">
        <f>IFERROR(IF(X85="Sem projeto",1.5*AA85,AC85*VLOOKUP(AF85,Aux_Lista!AG:AH,2,FALSE)+AD85)*U85,0)</f>
        <v>0</v>
      </c>
      <c r="AI85" s="343" t="s">
        <v>90</v>
      </c>
      <c r="AJ85" s="343" t="s">
        <v>90</v>
      </c>
      <c r="AK85" s="343" t="s">
        <v>90</v>
      </c>
      <c r="AL85" s="333" t="str">
        <f t="shared" si="2"/>
        <v/>
      </c>
      <c r="AM85" s="334" t="str">
        <f t="shared" si="3"/>
        <v/>
      </c>
      <c r="AN85" s="333" t="str">
        <f t="shared" si="4"/>
        <v/>
      </c>
      <c r="AO85" s="334" t="str">
        <f t="shared" si="5"/>
        <v/>
      </c>
      <c r="AP85" s="44"/>
      <c r="AQ85" s="2"/>
    </row>
    <row r="86" spans="1:43" ht="24.95" customHeight="1" x14ac:dyDescent="0.25">
      <c r="A86" s="2">
        <v>46</v>
      </c>
      <c r="B86" s="349" t="s">
        <v>10752</v>
      </c>
      <c r="C86" s="350" t="s">
        <v>10708</v>
      </c>
      <c r="D86" s="351">
        <v>2.59</v>
      </c>
      <c r="E86" s="351">
        <v>1</v>
      </c>
      <c r="F86" s="336" t="s">
        <v>5983</v>
      </c>
      <c r="G86" s="327">
        <v>0</v>
      </c>
      <c r="H86" s="327">
        <v>195</v>
      </c>
      <c r="I86" s="325">
        <f t="shared" si="6"/>
        <v>195</v>
      </c>
      <c r="J86" s="540" t="s">
        <v>281</v>
      </c>
      <c r="K86" s="540"/>
      <c r="L86" s="337">
        <f>IFERROR(IF(F86="Sem projeto",VLOOKUP(C86,$B$32:$H$34,7,FALSE)*1.5,G86*VLOOKUP(J86,Aux_Lista!$AG:$AH,2,FALSE)+H86)*E86,0)</f>
        <v>195</v>
      </c>
      <c r="M86" s="346" t="s">
        <v>90</v>
      </c>
      <c r="N86" s="347" t="s">
        <v>90</v>
      </c>
      <c r="O86" s="348" t="s">
        <v>90</v>
      </c>
      <c r="P86" s="386">
        <f t="shared" si="7"/>
        <v>2.59</v>
      </c>
      <c r="R86" s="94">
        <v>55</v>
      </c>
      <c r="S86" s="383"/>
      <c r="T86" s="214"/>
      <c r="U86" s="214"/>
      <c r="V86" s="217"/>
      <c r="W86" s="215"/>
      <c r="X86" s="336"/>
      <c r="Y86" s="68" t="str">
        <f>IF(V86="","",VLOOKUP(V86,Aux_Lista!A:K,11,FALSE))</f>
        <v/>
      </c>
      <c r="Z86" s="68" t="str">
        <f>IF(V86="","",VLOOKUP(V86,Aux_Lista!A:L,12,FALSE))</f>
        <v/>
      </c>
      <c r="AA86" s="68" t="str">
        <f>IF(W86="","",VLOOKUP(W86,Aux_Lista!AN:AP,3,FALSE))</f>
        <v/>
      </c>
      <c r="AB86" s="68" t="str">
        <f>IF(W86="","",VLOOKUP(W86,Aux_Lista!AN:AP,2,FALSE))</f>
        <v/>
      </c>
      <c r="AC86" s="69"/>
      <c r="AD86" s="69"/>
      <c r="AE86" s="325">
        <f t="shared" si="0"/>
        <v>0</v>
      </c>
      <c r="AF86" s="540" t="s">
        <v>281</v>
      </c>
      <c r="AG86" s="540"/>
      <c r="AH86" s="337">
        <f>IFERROR(IF(X86="Sem projeto",1.5*AA86,AC86*VLOOKUP(AF86,Aux_Lista!AG:AH,2,FALSE)+AD86)*U86,0)</f>
        <v>0</v>
      </c>
      <c r="AI86" s="343" t="s">
        <v>90</v>
      </c>
      <c r="AJ86" s="343" t="s">
        <v>90</v>
      </c>
      <c r="AK86" s="343" t="s">
        <v>90</v>
      </c>
      <c r="AL86" s="333" t="str">
        <f t="shared" si="2"/>
        <v/>
      </c>
      <c r="AM86" s="334" t="str">
        <f t="shared" si="3"/>
        <v/>
      </c>
      <c r="AN86" s="333" t="str">
        <f t="shared" si="4"/>
        <v/>
      </c>
      <c r="AO86" s="334" t="str">
        <f t="shared" si="5"/>
        <v/>
      </c>
      <c r="AP86" s="44"/>
      <c r="AQ86" s="2"/>
    </row>
    <row r="87" spans="1:43" ht="24.95" customHeight="1" x14ac:dyDescent="0.25">
      <c r="A87" s="2">
        <v>47</v>
      </c>
      <c r="B87" s="349" t="s">
        <v>10753</v>
      </c>
      <c r="C87" s="350" t="s">
        <v>10708</v>
      </c>
      <c r="D87" s="351">
        <v>9.61</v>
      </c>
      <c r="E87" s="351">
        <v>1</v>
      </c>
      <c r="F87" s="336" t="s">
        <v>5983</v>
      </c>
      <c r="G87" s="327">
        <v>0</v>
      </c>
      <c r="H87" s="327">
        <v>375</v>
      </c>
      <c r="I87" s="325">
        <f t="shared" si="6"/>
        <v>375</v>
      </c>
      <c r="J87" s="540" t="s">
        <v>281</v>
      </c>
      <c r="K87" s="540"/>
      <c r="L87" s="337">
        <f>IFERROR(IF(F87="Sem projeto",VLOOKUP(C87,$B$32:$H$34,7,FALSE)*1.5,G87*VLOOKUP(J87,Aux_Lista!$AG:$AH,2,FALSE)+H87)*E87,0)</f>
        <v>375</v>
      </c>
      <c r="M87" s="346" t="s">
        <v>90</v>
      </c>
      <c r="N87" s="347" t="s">
        <v>90</v>
      </c>
      <c r="O87" s="348" t="s">
        <v>90</v>
      </c>
      <c r="P87" s="386">
        <f t="shared" si="7"/>
        <v>9.61</v>
      </c>
      <c r="R87" s="94">
        <v>56</v>
      </c>
      <c r="S87" s="383"/>
      <c r="T87" s="214"/>
      <c r="U87" s="214"/>
      <c r="V87" s="217"/>
      <c r="W87" s="215"/>
      <c r="X87" s="336"/>
      <c r="Y87" s="68" t="str">
        <f>IF(V87="","",VLOOKUP(V87,Aux_Lista!A:K,11,FALSE))</f>
        <v/>
      </c>
      <c r="Z87" s="68" t="str">
        <f>IF(V87="","",VLOOKUP(V87,Aux_Lista!A:L,12,FALSE))</f>
        <v/>
      </c>
      <c r="AA87" s="68" t="str">
        <f>IF(W87="","",VLOOKUP(W87,Aux_Lista!AN:AP,3,FALSE))</f>
        <v/>
      </c>
      <c r="AB87" s="68" t="str">
        <f>IF(W87="","",VLOOKUP(W87,Aux_Lista!AN:AP,2,FALSE))</f>
        <v/>
      </c>
      <c r="AC87" s="69"/>
      <c r="AD87" s="69"/>
      <c r="AE87" s="325">
        <f t="shared" si="0"/>
        <v>0</v>
      </c>
      <c r="AF87" s="540" t="s">
        <v>281</v>
      </c>
      <c r="AG87" s="540"/>
      <c r="AH87" s="337">
        <f>IFERROR(IF(X87="Sem projeto",1.5*AA87,AC87*VLOOKUP(AF87,Aux_Lista!AG:AH,2,FALSE)+AD87)*U87,0)</f>
        <v>0</v>
      </c>
      <c r="AI87" s="343" t="s">
        <v>90</v>
      </c>
      <c r="AJ87" s="343" t="s">
        <v>90</v>
      </c>
      <c r="AK87" s="343" t="s">
        <v>90</v>
      </c>
      <c r="AL87" s="333" t="str">
        <f t="shared" si="2"/>
        <v/>
      </c>
      <c r="AM87" s="334" t="str">
        <f t="shared" si="3"/>
        <v/>
      </c>
      <c r="AN87" s="333" t="str">
        <f t="shared" si="4"/>
        <v/>
      </c>
      <c r="AO87" s="334" t="str">
        <f t="shared" si="5"/>
        <v/>
      </c>
      <c r="AP87" s="44"/>
      <c r="AQ87" s="2"/>
    </row>
    <row r="88" spans="1:43" ht="24.95" customHeight="1" x14ac:dyDescent="0.25">
      <c r="A88" s="2">
        <v>48</v>
      </c>
      <c r="B88" s="349" t="s">
        <v>10754</v>
      </c>
      <c r="C88" s="350" t="s">
        <v>10708</v>
      </c>
      <c r="D88" s="351">
        <v>33.79</v>
      </c>
      <c r="E88" s="351">
        <v>1</v>
      </c>
      <c r="F88" s="336" t="s">
        <v>5983</v>
      </c>
      <c r="G88" s="327">
        <v>0</v>
      </c>
      <c r="H88" s="327">
        <v>630</v>
      </c>
      <c r="I88" s="325">
        <f t="shared" si="6"/>
        <v>630</v>
      </c>
      <c r="J88" s="540" t="s">
        <v>281</v>
      </c>
      <c r="K88" s="540"/>
      <c r="L88" s="337">
        <f>IFERROR(IF(F88="Sem projeto",VLOOKUP(C88,$B$32:$H$34,7,FALSE)*1.5,G88*VLOOKUP(J88,Aux_Lista!$AG:$AH,2,FALSE)+H88)*E88,0)</f>
        <v>630</v>
      </c>
      <c r="M88" s="346" t="s">
        <v>5974</v>
      </c>
      <c r="N88" s="347" t="s">
        <v>90</v>
      </c>
      <c r="O88" s="348" t="s">
        <v>90</v>
      </c>
      <c r="P88" s="386">
        <f t="shared" si="7"/>
        <v>33.79</v>
      </c>
      <c r="R88" s="94">
        <v>57</v>
      </c>
      <c r="S88" s="383"/>
      <c r="T88" s="214"/>
      <c r="U88" s="214"/>
      <c r="V88" s="217"/>
      <c r="W88" s="215"/>
      <c r="X88" s="336"/>
      <c r="Y88" s="68" t="str">
        <f>IF(V88="","",VLOOKUP(V88,Aux_Lista!A:K,11,FALSE))</f>
        <v/>
      </c>
      <c r="Z88" s="68" t="str">
        <f>IF(V88="","",VLOOKUP(V88,Aux_Lista!A:L,12,FALSE))</f>
        <v/>
      </c>
      <c r="AA88" s="68" t="str">
        <f>IF(W88="","",VLOOKUP(W88,Aux_Lista!AN:AP,3,FALSE))</f>
        <v/>
      </c>
      <c r="AB88" s="68" t="str">
        <f>IF(W88="","",VLOOKUP(W88,Aux_Lista!AN:AP,2,FALSE))</f>
        <v/>
      </c>
      <c r="AC88" s="69"/>
      <c r="AD88" s="69"/>
      <c r="AE88" s="325">
        <f t="shared" si="0"/>
        <v>0</v>
      </c>
      <c r="AF88" s="540" t="s">
        <v>281</v>
      </c>
      <c r="AG88" s="540"/>
      <c r="AH88" s="337">
        <f>IFERROR(IF(X88="Sem projeto",1.5*AA88,AC88*VLOOKUP(AF88,Aux_Lista!AG:AH,2,FALSE)+AD88)*U88,0)</f>
        <v>0</v>
      </c>
      <c r="AI88" s="343" t="s">
        <v>90</v>
      </c>
      <c r="AJ88" s="343" t="s">
        <v>90</v>
      </c>
      <c r="AK88" s="343" t="s">
        <v>90</v>
      </c>
      <c r="AL88" s="333" t="str">
        <f t="shared" si="2"/>
        <v/>
      </c>
      <c r="AM88" s="334" t="str">
        <f t="shared" si="3"/>
        <v/>
      </c>
      <c r="AN88" s="333" t="str">
        <f t="shared" si="4"/>
        <v/>
      </c>
      <c r="AO88" s="334" t="str">
        <f t="shared" si="5"/>
        <v/>
      </c>
      <c r="AP88" s="44"/>
      <c r="AQ88" s="2"/>
    </row>
    <row r="89" spans="1:43" ht="24.95" customHeight="1" x14ac:dyDescent="0.25">
      <c r="A89" s="2">
        <v>49</v>
      </c>
      <c r="B89" s="349" t="s">
        <v>10755</v>
      </c>
      <c r="C89" s="350" t="s">
        <v>10708</v>
      </c>
      <c r="D89" s="351">
        <v>28.78</v>
      </c>
      <c r="E89" s="351">
        <v>1</v>
      </c>
      <c r="F89" s="336" t="s">
        <v>5983</v>
      </c>
      <c r="G89" s="327">
        <v>0</v>
      </c>
      <c r="H89" s="327">
        <v>520</v>
      </c>
      <c r="I89" s="325">
        <f t="shared" si="6"/>
        <v>520</v>
      </c>
      <c r="J89" s="540" t="s">
        <v>281</v>
      </c>
      <c r="K89" s="540"/>
      <c r="L89" s="337">
        <f>IFERROR(IF(F89="Sem projeto",VLOOKUP(C89,$B$32:$H$34,7,FALSE)*1.5,G89*VLOOKUP(J89,Aux_Lista!$AG:$AH,2,FALSE)+H89)*E89,0)</f>
        <v>520</v>
      </c>
      <c r="M89" s="346" t="s">
        <v>5974</v>
      </c>
      <c r="N89" s="347" t="s">
        <v>90</v>
      </c>
      <c r="O89" s="348" t="s">
        <v>90</v>
      </c>
      <c r="P89" s="386">
        <f t="shared" si="7"/>
        <v>28.78</v>
      </c>
      <c r="R89" s="94">
        <v>58</v>
      </c>
      <c r="S89" s="383"/>
      <c r="T89" s="214"/>
      <c r="U89" s="214"/>
      <c r="V89" s="217"/>
      <c r="W89" s="215"/>
      <c r="X89" s="336"/>
      <c r="Y89" s="68" t="str">
        <f>IF(V89="","",VLOOKUP(V89,Aux_Lista!A:K,11,FALSE))</f>
        <v/>
      </c>
      <c r="Z89" s="68" t="str">
        <f>IF(V89="","",VLOOKUP(V89,Aux_Lista!A:L,12,FALSE))</f>
        <v/>
      </c>
      <c r="AA89" s="68" t="str">
        <f>IF(W89="","",VLOOKUP(W89,Aux_Lista!AN:AP,3,FALSE))</f>
        <v/>
      </c>
      <c r="AB89" s="68" t="str">
        <f>IF(W89="","",VLOOKUP(W89,Aux_Lista!AN:AP,2,FALSE))</f>
        <v/>
      </c>
      <c r="AC89" s="69"/>
      <c r="AD89" s="69"/>
      <c r="AE89" s="325">
        <f t="shared" si="0"/>
        <v>0</v>
      </c>
      <c r="AF89" s="540" t="s">
        <v>281</v>
      </c>
      <c r="AG89" s="540"/>
      <c r="AH89" s="337">
        <f>IFERROR(IF(X89="Sem projeto",1.5*AA89,AC89*VLOOKUP(AF89,Aux_Lista!AG:AH,2,FALSE)+AD89)*U89,0)</f>
        <v>0</v>
      </c>
      <c r="AI89" s="343" t="s">
        <v>90</v>
      </c>
      <c r="AJ89" s="343" t="s">
        <v>90</v>
      </c>
      <c r="AK89" s="343" t="s">
        <v>90</v>
      </c>
      <c r="AL89" s="333" t="str">
        <f t="shared" si="2"/>
        <v/>
      </c>
      <c r="AM89" s="334" t="str">
        <f t="shared" si="3"/>
        <v/>
      </c>
      <c r="AN89" s="333" t="str">
        <f t="shared" si="4"/>
        <v/>
      </c>
      <c r="AO89" s="334" t="str">
        <f t="shared" si="5"/>
        <v/>
      </c>
      <c r="AP89" s="44"/>
      <c r="AQ89" s="2"/>
    </row>
    <row r="90" spans="1:43" ht="24.95" customHeight="1" x14ac:dyDescent="0.25">
      <c r="A90" s="2">
        <v>50</v>
      </c>
      <c r="B90" s="349" t="s">
        <v>10756</v>
      </c>
      <c r="C90" s="350" t="s">
        <v>10708</v>
      </c>
      <c r="D90" s="351">
        <v>4.18</v>
      </c>
      <c r="E90" s="351">
        <v>1</v>
      </c>
      <c r="F90" s="336" t="s">
        <v>5983</v>
      </c>
      <c r="G90" s="327">
        <v>0</v>
      </c>
      <c r="H90" s="327">
        <v>145</v>
      </c>
      <c r="I90" s="325">
        <f t="shared" si="6"/>
        <v>145</v>
      </c>
      <c r="J90" s="540" t="s">
        <v>281</v>
      </c>
      <c r="K90" s="540"/>
      <c r="L90" s="337">
        <f>IFERROR(IF(F90="Sem projeto",VLOOKUP(C90,$B$32:$H$34,7,FALSE)*1.5,G90*VLOOKUP(J90,Aux_Lista!$AG:$AH,2,FALSE)+H90)*E90,0)</f>
        <v>145</v>
      </c>
      <c r="M90" s="346" t="s">
        <v>5974</v>
      </c>
      <c r="N90" s="347" t="s">
        <v>90</v>
      </c>
      <c r="O90" s="348" t="s">
        <v>90</v>
      </c>
      <c r="P90" s="386">
        <f t="shared" si="7"/>
        <v>4.18</v>
      </c>
      <c r="R90" s="94">
        <v>59</v>
      </c>
      <c r="S90" s="383"/>
      <c r="T90" s="214"/>
      <c r="U90" s="214"/>
      <c r="V90" s="217"/>
      <c r="W90" s="215"/>
      <c r="X90" s="336"/>
      <c r="Y90" s="68" t="str">
        <f>IF(V90="","",VLOOKUP(V90,Aux_Lista!A:K,11,FALSE))</f>
        <v/>
      </c>
      <c r="Z90" s="68" t="str">
        <f>IF(V90="","",VLOOKUP(V90,Aux_Lista!A:L,12,FALSE))</f>
        <v/>
      </c>
      <c r="AA90" s="68" t="str">
        <f>IF(W90="","",VLOOKUP(W90,Aux_Lista!AN:AP,3,FALSE))</f>
        <v/>
      </c>
      <c r="AB90" s="68" t="str">
        <f>IF(W90="","",VLOOKUP(W90,Aux_Lista!AN:AP,2,FALSE))</f>
        <v/>
      </c>
      <c r="AC90" s="69"/>
      <c r="AD90" s="69"/>
      <c r="AE90" s="325">
        <f t="shared" si="0"/>
        <v>0</v>
      </c>
      <c r="AF90" s="540" t="s">
        <v>281</v>
      </c>
      <c r="AG90" s="540"/>
      <c r="AH90" s="337">
        <f>IFERROR(IF(X90="Sem projeto",1.5*AA90,AC90*VLOOKUP(AF90,Aux_Lista!AG:AH,2,FALSE)+AD90)*U90,0)</f>
        <v>0</v>
      </c>
      <c r="AI90" s="343" t="s">
        <v>90</v>
      </c>
      <c r="AJ90" s="343" t="s">
        <v>90</v>
      </c>
      <c r="AK90" s="343" t="s">
        <v>90</v>
      </c>
      <c r="AL90" s="333" t="str">
        <f t="shared" si="2"/>
        <v/>
      </c>
      <c r="AM90" s="334" t="str">
        <f t="shared" si="3"/>
        <v/>
      </c>
      <c r="AN90" s="333" t="str">
        <f t="shared" si="4"/>
        <v/>
      </c>
      <c r="AO90" s="334" t="str">
        <f t="shared" si="5"/>
        <v/>
      </c>
      <c r="AP90" s="44"/>
      <c r="AQ90" s="2"/>
    </row>
    <row r="91" spans="1:43" ht="24.95" customHeight="1" x14ac:dyDescent="0.25">
      <c r="A91" s="2">
        <v>51</v>
      </c>
      <c r="B91" s="349" t="s">
        <v>10757</v>
      </c>
      <c r="C91" s="350" t="s">
        <v>10708</v>
      </c>
      <c r="D91" s="351">
        <v>44.62</v>
      </c>
      <c r="E91" s="351">
        <v>1</v>
      </c>
      <c r="F91" s="336" t="s">
        <v>5983</v>
      </c>
      <c r="G91" s="327">
        <v>0</v>
      </c>
      <c r="H91" s="327">
        <v>540</v>
      </c>
      <c r="I91" s="325">
        <f t="shared" si="6"/>
        <v>540</v>
      </c>
      <c r="J91" s="540" t="s">
        <v>281</v>
      </c>
      <c r="K91" s="540"/>
      <c r="L91" s="337">
        <f>IFERROR(IF(F91="Sem projeto",VLOOKUP(C91,$B$32:$H$34,7,FALSE)*1.5,G91*VLOOKUP(J91,Aux_Lista!$AG:$AH,2,FALSE)+H91)*E91,0)</f>
        <v>540</v>
      </c>
      <c r="M91" s="346" t="s">
        <v>5974</v>
      </c>
      <c r="N91" s="347" t="s">
        <v>90</v>
      </c>
      <c r="O91" s="348" t="s">
        <v>90</v>
      </c>
      <c r="P91" s="386">
        <f t="shared" si="7"/>
        <v>44.62</v>
      </c>
      <c r="R91" s="94">
        <v>60</v>
      </c>
      <c r="S91" s="383"/>
      <c r="T91" s="214"/>
      <c r="U91" s="214"/>
      <c r="V91" s="217"/>
      <c r="W91" s="215"/>
      <c r="X91" s="336"/>
      <c r="Y91" s="68" t="str">
        <f>IF(V91="","",VLOOKUP(V91,Aux_Lista!A:K,11,FALSE))</f>
        <v/>
      </c>
      <c r="Z91" s="68" t="str">
        <f>IF(V91="","",VLOOKUP(V91,Aux_Lista!A:L,12,FALSE))</f>
        <v/>
      </c>
      <c r="AA91" s="68" t="str">
        <f>IF(W91="","",VLOOKUP(W91,Aux_Lista!AN:AP,3,FALSE))</f>
        <v/>
      </c>
      <c r="AB91" s="68" t="str">
        <f>IF(W91="","",VLOOKUP(W91,Aux_Lista!AN:AP,2,FALSE))</f>
        <v/>
      </c>
      <c r="AC91" s="69"/>
      <c r="AD91" s="69"/>
      <c r="AE91" s="325">
        <f t="shared" si="0"/>
        <v>0</v>
      </c>
      <c r="AF91" s="540" t="s">
        <v>281</v>
      </c>
      <c r="AG91" s="540"/>
      <c r="AH91" s="337">
        <f>IFERROR(IF(X91="Sem projeto",1.5*AA91,AC91*VLOOKUP(AF91,Aux_Lista!AG:AH,2,FALSE)+AD91)*U91,0)</f>
        <v>0</v>
      </c>
      <c r="AI91" s="343" t="s">
        <v>90</v>
      </c>
      <c r="AJ91" s="343" t="s">
        <v>90</v>
      </c>
      <c r="AK91" s="343" t="s">
        <v>90</v>
      </c>
      <c r="AL91" s="333" t="str">
        <f t="shared" si="2"/>
        <v/>
      </c>
      <c r="AM91" s="334" t="str">
        <f t="shared" si="3"/>
        <v/>
      </c>
      <c r="AN91" s="333" t="str">
        <f t="shared" si="4"/>
        <v/>
      </c>
      <c r="AO91" s="334" t="str">
        <f t="shared" si="5"/>
        <v/>
      </c>
      <c r="AP91" s="44"/>
      <c r="AQ91" s="2"/>
    </row>
    <row r="92" spans="1:43" ht="24.95" customHeight="1" x14ac:dyDescent="0.25">
      <c r="A92" s="2">
        <v>52</v>
      </c>
      <c r="B92" s="349" t="s">
        <v>10758</v>
      </c>
      <c r="C92" s="350" t="s">
        <v>10708</v>
      </c>
      <c r="D92" s="351">
        <v>22.48</v>
      </c>
      <c r="E92" s="351">
        <v>1</v>
      </c>
      <c r="F92" s="336" t="s">
        <v>5983</v>
      </c>
      <c r="G92" s="327">
        <v>0</v>
      </c>
      <c r="H92" s="327">
        <v>380</v>
      </c>
      <c r="I92" s="325">
        <f t="shared" si="6"/>
        <v>380</v>
      </c>
      <c r="J92" s="540" t="s">
        <v>281</v>
      </c>
      <c r="K92" s="540"/>
      <c r="L92" s="337">
        <f>IFERROR(IF(F92="Sem projeto",VLOOKUP(C92,$B$32:$H$34,7,FALSE)*1.5,G92*VLOOKUP(J92,Aux_Lista!$AG:$AH,2,FALSE)+H92)*E92,0)</f>
        <v>380</v>
      </c>
      <c r="M92" s="346" t="s">
        <v>5974</v>
      </c>
      <c r="N92" s="347" t="s">
        <v>90</v>
      </c>
      <c r="O92" s="348" t="s">
        <v>90</v>
      </c>
      <c r="P92" s="386">
        <f t="shared" si="7"/>
        <v>22.48</v>
      </c>
      <c r="R92" s="94">
        <v>61</v>
      </c>
      <c r="S92" s="383"/>
      <c r="T92" s="214"/>
      <c r="U92" s="214"/>
      <c r="V92" s="217"/>
      <c r="W92" s="215"/>
      <c r="X92" s="336"/>
      <c r="Y92" s="68" t="str">
        <f>IF(V92="","",VLOOKUP(V92,Aux_Lista!A:K,11,FALSE))</f>
        <v/>
      </c>
      <c r="Z92" s="68" t="str">
        <f>IF(V92="","",VLOOKUP(V92,Aux_Lista!A:L,12,FALSE))</f>
        <v/>
      </c>
      <c r="AA92" s="68" t="str">
        <f>IF(W92="","",VLOOKUP(W92,Aux_Lista!AN:AP,3,FALSE))</f>
        <v/>
      </c>
      <c r="AB92" s="68" t="str">
        <f>IF(W92="","",VLOOKUP(W92,Aux_Lista!AN:AP,2,FALSE))</f>
        <v/>
      </c>
      <c r="AC92" s="69"/>
      <c r="AD92" s="69"/>
      <c r="AE92" s="325">
        <f t="shared" si="0"/>
        <v>0</v>
      </c>
      <c r="AF92" s="540" t="s">
        <v>281</v>
      </c>
      <c r="AG92" s="540"/>
      <c r="AH92" s="337">
        <f>IFERROR(IF(X92="Sem projeto",1.5*AA92,AC92*VLOOKUP(AF92,Aux_Lista!AG:AH,2,FALSE)+AD92)*U92,0)</f>
        <v>0</v>
      </c>
      <c r="AI92" s="343" t="s">
        <v>90</v>
      </c>
      <c r="AJ92" s="343" t="s">
        <v>90</v>
      </c>
      <c r="AK92" s="343" t="s">
        <v>90</v>
      </c>
      <c r="AL92" s="333" t="str">
        <f t="shared" si="2"/>
        <v/>
      </c>
      <c r="AM92" s="334" t="str">
        <f t="shared" si="3"/>
        <v/>
      </c>
      <c r="AN92" s="333" t="str">
        <f t="shared" si="4"/>
        <v/>
      </c>
      <c r="AO92" s="334" t="str">
        <f t="shared" si="5"/>
        <v/>
      </c>
      <c r="AP92" s="44"/>
      <c r="AQ92" s="2"/>
    </row>
    <row r="93" spans="1:43" ht="24.95" customHeight="1" x14ac:dyDescent="0.25">
      <c r="A93" s="2">
        <v>53</v>
      </c>
      <c r="B93" s="349" t="s">
        <v>10759</v>
      </c>
      <c r="C93" s="350" t="s">
        <v>10708</v>
      </c>
      <c r="D93" s="351">
        <v>2.5</v>
      </c>
      <c r="E93" s="351">
        <v>1</v>
      </c>
      <c r="F93" s="336" t="s">
        <v>5983</v>
      </c>
      <c r="G93" s="327">
        <v>0</v>
      </c>
      <c r="H93" s="327">
        <v>195</v>
      </c>
      <c r="I93" s="325">
        <f t="shared" si="6"/>
        <v>195</v>
      </c>
      <c r="J93" s="540" t="s">
        <v>281</v>
      </c>
      <c r="K93" s="540"/>
      <c r="L93" s="337">
        <f>IFERROR(IF(F93="Sem projeto",VLOOKUP(C93,$B$32:$H$34,7,FALSE)*1.5,G93*VLOOKUP(J93,Aux_Lista!$AG:$AH,2,FALSE)+H93)*E93,0)</f>
        <v>195</v>
      </c>
      <c r="M93" s="346" t="s">
        <v>5974</v>
      </c>
      <c r="N93" s="347" t="s">
        <v>90</v>
      </c>
      <c r="O93" s="348" t="s">
        <v>90</v>
      </c>
      <c r="P93" s="386">
        <f t="shared" si="7"/>
        <v>2.5</v>
      </c>
      <c r="R93" s="94">
        <v>62</v>
      </c>
      <c r="S93" s="383"/>
      <c r="T93" s="214"/>
      <c r="U93" s="214"/>
      <c r="V93" s="217"/>
      <c r="W93" s="215"/>
      <c r="X93" s="336"/>
      <c r="Y93" s="68" t="str">
        <f>IF(V93="","",VLOOKUP(V93,Aux_Lista!A:K,11,FALSE))</f>
        <v/>
      </c>
      <c r="Z93" s="68" t="str">
        <f>IF(V93="","",VLOOKUP(V93,Aux_Lista!A:L,12,FALSE))</f>
        <v/>
      </c>
      <c r="AA93" s="68" t="str">
        <f>IF(W93="","",VLOOKUP(W93,Aux_Lista!AN:AP,3,FALSE))</f>
        <v/>
      </c>
      <c r="AB93" s="68" t="str">
        <f>IF(W93="","",VLOOKUP(W93,Aux_Lista!AN:AP,2,FALSE))</f>
        <v/>
      </c>
      <c r="AC93" s="69"/>
      <c r="AD93" s="69"/>
      <c r="AE93" s="325">
        <f t="shared" si="0"/>
        <v>0</v>
      </c>
      <c r="AF93" s="540" t="s">
        <v>281</v>
      </c>
      <c r="AG93" s="540"/>
      <c r="AH93" s="337">
        <f>IFERROR(IF(X93="Sem projeto",1.5*AA93,AC93*VLOOKUP(AF93,Aux_Lista!AG:AH,2,FALSE)+AD93)*U93,0)</f>
        <v>0</v>
      </c>
      <c r="AI93" s="343" t="s">
        <v>90</v>
      </c>
      <c r="AJ93" s="343" t="s">
        <v>90</v>
      </c>
      <c r="AK93" s="343" t="s">
        <v>90</v>
      </c>
      <c r="AL93" s="333" t="str">
        <f t="shared" si="2"/>
        <v/>
      </c>
      <c r="AM93" s="334" t="str">
        <f t="shared" si="3"/>
        <v/>
      </c>
      <c r="AN93" s="333" t="str">
        <f t="shared" si="4"/>
        <v/>
      </c>
      <c r="AO93" s="334" t="str">
        <f t="shared" si="5"/>
        <v/>
      </c>
      <c r="AP93" s="44"/>
      <c r="AQ93" s="2"/>
    </row>
    <row r="94" spans="1:43" ht="24.95" customHeight="1" x14ac:dyDescent="0.25">
      <c r="A94" s="2">
        <v>54</v>
      </c>
      <c r="B94" s="349" t="s">
        <v>10760</v>
      </c>
      <c r="C94" s="350" t="s">
        <v>10708</v>
      </c>
      <c r="D94" s="351">
        <v>74.14</v>
      </c>
      <c r="E94" s="351">
        <v>1</v>
      </c>
      <c r="F94" s="336" t="s">
        <v>5983</v>
      </c>
      <c r="G94" s="327">
        <v>0</v>
      </c>
      <c r="H94" s="327">
        <v>818.78</v>
      </c>
      <c r="I94" s="325">
        <f t="shared" si="6"/>
        <v>818.78</v>
      </c>
      <c r="J94" s="540" t="s">
        <v>281</v>
      </c>
      <c r="K94" s="540"/>
      <c r="L94" s="337">
        <f>IFERROR(IF(F94="Sem projeto",VLOOKUP(C94,$B$32:$H$34,7,FALSE)*1.5,G94*VLOOKUP(J94,Aux_Lista!$AG:$AH,2,FALSE)+H94)*E94,0)</f>
        <v>818.78</v>
      </c>
      <c r="M94" s="346" t="s">
        <v>5974</v>
      </c>
      <c r="N94" s="347" t="s">
        <v>90</v>
      </c>
      <c r="O94" s="348" t="s">
        <v>90</v>
      </c>
      <c r="P94" s="386">
        <f t="shared" si="7"/>
        <v>74.14</v>
      </c>
      <c r="R94" s="94">
        <v>63</v>
      </c>
      <c r="S94" s="383"/>
      <c r="T94" s="214"/>
      <c r="U94" s="214"/>
      <c r="V94" s="217"/>
      <c r="W94" s="215"/>
      <c r="X94" s="336"/>
      <c r="Y94" s="68" t="str">
        <f>IF(V94="","",VLOOKUP(V94,Aux_Lista!A:K,11,FALSE))</f>
        <v/>
      </c>
      <c r="Z94" s="68" t="str">
        <f>IF(V94="","",VLOOKUP(V94,Aux_Lista!A:L,12,FALSE))</f>
        <v/>
      </c>
      <c r="AA94" s="68" t="str">
        <f>IF(W94="","",VLOOKUP(W94,Aux_Lista!AN:AP,3,FALSE))</f>
        <v/>
      </c>
      <c r="AB94" s="68" t="str">
        <f>IF(W94="","",VLOOKUP(W94,Aux_Lista!AN:AP,2,FALSE))</f>
        <v/>
      </c>
      <c r="AC94" s="69"/>
      <c r="AD94" s="69"/>
      <c r="AE94" s="325">
        <f t="shared" si="0"/>
        <v>0</v>
      </c>
      <c r="AF94" s="540" t="s">
        <v>281</v>
      </c>
      <c r="AG94" s="540"/>
      <c r="AH94" s="337">
        <f>IFERROR(IF(X94="Sem projeto",1.5*AA94,AC94*VLOOKUP(AF94,Aux_Lista!AG:AH,2,FALSE)+AD94)*U94,0)</f>
        <v>0</v>
      </c>
      <c r="AI94" s="343" t="s">
        <v>90</v>
      </c>
      <c r="AJ94" s="343" t="s">
        <v>90</v>
      </c>
      <c r="AK94" s="343" t="s">
        <v>90</v>
      </c>
      <c r="AL94" s="333" t="str">
        <f t="shared" si="2"/>
        <v/>
      </c>
      <c r="AM94" s="334" t="str">
        <f t="shared" si="3"/>
        <v/>
      </c>
      <c r="AN94" s="333" t="str">
        <f t="shared" si="4"/>
        <v/>
      </c>
      <c r="AO94" s="334" t="str">
        <f t="shared" si="5"/>
        <v/>
      </c>
      <c r="AP94" s="44"/>
      <c r="AQ94" s="2"/>
    </row>
    <row r="95" spans="1:43" ht="24.95" customHeight="1" x14ac:dyDescent="0.25">
      <c r="A95" s="2">
        <v>55</v>
      </c>
      <c r="B95" s="349" t="s">
        <v>10761</v>
      </c>
      <c r="C95" s="350" t="s">
        <v>10708</v>
      </c>
      <c r="D95" s="351">
        <v>19.260000000000002</v>
      </c>
      <c r="E95" s="351">
        <v>1</v>
      </c>
      <c r="F95" s="336" t="s">
        <v>5983</v>
      </c>
      <c r="G95" s="327">
        <v>0</v>
      </c>
      <c r="H95" s="327">
        <v>180</v>
      </c>
      <c r="I95" s="325">
        <f t="shared" si="6"/>
        <v>180</v>
      </c>
      <c r="J95" s="540" t="s">
        <v>281</v>
      </c>
      <c r="K95" s="540"/>
      <c r="L95" s="337">
        <f>IFERROR(IF(F95="Sem projeto",VLOOKUP(C95,$B$32:$H$34,7,FALSE)*1.5,G95*VLOOKUP(J95,Aux_Lista!$AG:$AH,2,FALSE)+H95)*E95,0)</f>
        <v>180</v>
      </c>
      <c r="M95" s="346" t="s">
        <v>5974</v>
      </c>
      <c r="N95" s="347" t="s">
        <v>90</v>
      </c>
      <c r="O95" s="348" t="s">
        <v>90</v>
      </c>
      <c r="P95" s="386">
        <f t="shared" si="7"/>
        <v>19.260000000000002</v>
      </c>
      <c r="R95" s="94">
        <v>64</v>
      </c>
      <c r="S95" s="383"/>
      <c r="T95" s="214"/>
      <c r="U95" s="214"/>
      <c r="V95" s="217"/>
      <c r="W95" s="215"/>
      <c r="X95" s="336"/>
      <c r="Y95" s="68" t="str">
        <f>IF(V95="","",VLOOKUP(V95,Aux_Lista!A:K,11,FALSE))</f>
        <v/>
      </c>
      <c r="Z95" s="68" t="str">
        <f>IF(V95="","",VLOOKUP(V95,Aux_Lista!A:L,12,FALSE))</f>
        <v/>
      </c>
      <c r="AA95" s="68" t="str">
        <f>IF(W95="","",VLOOKUP(W95,Aux_Lista!AN:AP,3,FALSE))</f>
        <v/>
      </c>
      <c r="AB95" s="68" t="str">
        <f>IF(W95="","",VLOOKUP(W95,Aux_Lista!AN:AP,2,FALSE))</f>
        <v/>
      </c>
      <c r="AC95" s="69"/>
      <c r="AD95" s="69"/>
      <c r="AE95" s="325">
        <f t="shared" si="0"/>
        <v>0</v>
      </c>
      <c r="AF95" s="540" t="s">
        <v>281</v>
      </c>
      <c r="AG95" s="540"/>
      <c r="AH95" s="337">
        <f>IFERROR(IF(X95="Sem projeto",1.5*AA95,AC95*VLOOKUP(AF95,Aux_Lista!AG:AH,2,FALSE)+AD95)*U95,0)</f>
        <v>0</v>
      </c>
      <c r="AI95" s="343" t="s">
        <v>90</v>
      </c>
      <c r="AJ95" s="343" t="s">
        <v>90</v>
      </c>
      <c r="AK95" s="343" t="s">
        <v>90</v>
      </c>
      <c r="AL95" s="333" t="str">
        <f t="shared" si="2"/>
        <v/>
      </c>
      <c r="AM95" s="334" t="str">
        <f t="shared" si="3"/>
        <v/>
      </c>
      <c r="AN95" s="333" t="str">
        <f t="shared" si="4"/>
        <v/>
      </c>
      <c r="AO95" s="334" t="str">
        <f t="shared" si="5"/>
        <v/>
      </c>
      <c r="AP95" s="44"/>
      <c r="AQ95" s="2"/>
    </row>
    <row r="96" spans="1:43" ht="24.95" customHeight="1" x14ac:dyDescent="0.25">
      <c r="A96" s="2">
        <v>56</v>
      </c>
      <c r="B96" s="349" t="s">
        <v>10762</v>
      </c>
      <c r="C96" s="350" t="s">
        <v>10708</v>
      </c>
      <c r="D96" s="351">
        <v>15.9</v>
      </c>
      <c r="E96" s="351">
        <v>1</v>
      </c>
      <c r="F96" s="336" t="s">
        <v>5983</v>
      </c>
      <c r="G96" s="327">
        <v>0</v>
      </c>
      <c r="H96" s="327">
        <v>180</v>
      </c>
      <c r="I96" s="325">
        <f t="shared" si="6"/>
        <v>180</v>
      </c>
      <c r="J96" s="540" t="s">
        <v>281</v>
      </c>
      <c r="K96" s="540"/>
      <c r="L96" s="337">
        <f>IFERROR(IF(F96="Sem projeto",VLOOKUP(C96,$B$32:$H$34,7,FALSE)*1.5,G96*VLOOKUP(J96,Aux_Lista!$AG:$AH,2,FALSE)+H96)*E96,0)</f>
        <v>180</v>
      </c>
      <c r="M96" s="346" t="s">
        <v>5974</v>
      </c>
      <c r="N96" s="347" t="s">
        <v>90</v>
      </c>
      <c r="O96" s="348" t="s">
        <v>90</v>
      </c>
      <c r="P96" s="386">
        <f t="shared" si="7"/>
        <v>15.9</v>
      </c>
      <c r="R96" s="94">
        <v>65</v>
      </c>
      <c r="S96" s="383"/>
      <c r="T96" s="214"/>
      <c r="U96" s="214"/>
      <c r="V96" s="217"/>
      <c r="W96" s="215"/>
      <c r="X96" s="336"/>
      <c r="Y96" s="68" t="str">
        <f>IF(V96="","",VLOOKUP(V96,Aux_Lista!A:K,11,FALSE))</f>
        <v/>
      </c>
      <c r="Z96" s="68" t="str">
        <f>IF(V96="","",VLOOKUP(V96,Aux_Lista!A:L,12,FALSE))</f>
        <v/>
      </c>
      <c r="AA96" s="68" t="str">
        <f>IF(W96="","",VLOOKUP(W96,Aux_Lista!AN:AP,3,FALSE))</f>
        <v/>
      </c>
      <c r="AB96" s="68" t="str">
        <f>IF(W96="","",VLOOKUP(W96,Aux_Lista!AN:AP,2,FALSE))</f>
        <v/>
      </c>
      <c r="AC96" s="69"/>
      <c r="AD96" s="69"/>
      <c r="AE96" s="325">
        <f t="shared" si="0"/>
        <v>0</v>
      </c>
      <c r="AF96" s="540" t="s">
        <v>281</v>
      </c>
      <c r="AG96" s="540"/>
      <c r="AH96" s="337">
        <f>IFERROR(IF(X96="Sem projeto",1.5*AA96,AC96*VLOOKUP(AF96,Aux_Lista!AG:AH,2,FALSE)+AD96)*U96,0)</f>
        <v>0</v>
      </c>
      <c r="AI96" s="343" t="s">
        <v>90</v>
      </c>
      <c r="AJ96" s="343" t="s">
        <v>90</v>
      </c>
      <c r="AK96" s="343" t="s">
        <v>90</v>
      </c>
      <c r="AL96" s="333" t="str">
        <f t="shared" si="2"/>
        <v/>
      </c>
      <c r="AM96" s="334" t="str">
        <f t="shared" si="3"/>
        <v/>
      </c>
      <c r="AN96" s="333" t="str">
        <f t="shared" si="4"/>
        <v/>
      </c>
      <c r="AO96" s="334" t="str">
        <f t="shared" si="5"/>
        <v/>
      </c>
      <c r="AP96" s="44"/>
      <c r="AQ96" s="2"/>
    </row>
    <row r="97" spans="1:43" ht="24.95" customHeight="1" x14ac:dyDescent="0.25">
      <c r="A97" s="2">
        <v>57</v>
      </c>
      <c r="B97" s="349" t="s">
        <v>10763</v>
      </c>
      <c r="C97" s="350" t="s">
        <v>10708</v>
      </c>
      <c r="D97" s="351">
        <v>10.15</v>
      </c>
      <c r="E97" s="351">
        <v>1</v>
      </c>
      <c r="F97" s="336" t="s">
        <v>5983</v>
      </c>
      <c r="G97" s="327">
        <v>0</v>
      </c>
      <c r="H97" s="327">
        <v>135</v>
      </c>
      <c r="I97" s="325">
        <f t="shared" si="6"/>
        <v>135</v>
      </c>
      <c r="J97" s="540" t="s">
        <v>281</v>
      </c>
      <c r="K97" s="540"/>
      <c r="L97" s="337">
        <f>IFERROR(IF(F97="Sem projeto",VLOOKUP(C97,$B$32:$H$34,7,FALSE)*1.5,G97*VLOOKUP(J97,Aux_Lista!$AG:$AH,2,FALSE)+H97)*E97,0)</f>
        <v>135</v>
      </c>
      <c r="M97" s="346" t="s">
        <v>90</v>
      </c>
      <c r="N97" s="347" t="s">
        <v>90</v>
      </c>
      <c r="O97" s="348" t="s">
        <v>90</v>
      </c>
      <c r="P97" s="386">
        <f t="shared" si="7"/>
        <v>10.15</v>
      </c>
      <c r="R97" s="94">
        <v>66</v>
      </c>
      <c r="S97" s="383"/>
      <c r="T97" s="214"/>
      <c r="U97" s="214"/>
      <c r="V97" s="217"/>
      <c r="W97" s="215"/>
      <c r="X97" s="336"/>
      <c r="Y97" s="68" t="str">
        <f>IF(V97="","",VLOOKUP(V97,Aux_Lista!A:K,11,FALSE))</f>
        <v/>
      </c>
      <c r="Z97" s="68" t="str">
        <f>IF(V97="","",VLOOKUP(V97,Aux_Lista!A:L,12,FALSE))</f>
        <v/>
      </c>
      <c r="AA97" s="68" t="str">
        <f>IF(W97="","",VLOOKUP(W97,Aux_Lista!AN:AP,3,FALSE))</f>
        <v/>
      </c>
      <c r="AB97" s="68" t="str">
        <f>IF(W97="","",VLOOKUP(W97,Aux_Lista!AN:AP,2,FALSE))</f>
        <v/>
      </c>
      <c r="AC97" s="69"/>
      <c r="AD97" s="69"/>
      <c r="AE97" s="325">
        <f t="shared" ref="AE97:AE160" si="8">(AC97+AD97)*U97</f>
        <v>0</v>
      </c>
      <c r="AF97" s="540" t="s">
        <v>281</v>
      </c>
      <c r="AG97" s="540"/>
      <c r="AH97" s="337">
        <f>IFERROR(IF(X97="Sem projeto",1.5*AA97,AC97*VLOOKUP(AF97,Aux_Lista!AG:AH,2,FALSE)+AD97)*U97,0)</f>
        <v>0</v>
      </c>
      <c r="AI97" s="343" t="s">
        <v>90</v>
      </c>
      <c r="AJ97" s="343" t="s">
        <v>90</v>
      </c>
      <c r="AK97" s="343" t="s">
        <v>90</v>
      </c>
      <c r="AL97" s="333" t="str">
        <f t="shared" ref="AL97:AL160" si="9">IF(ISERROR((T97*U97*Y97*Z97*AA97)/1000),"",(T97*U97*Y97*Z97*AA97)/1000)</f>
        <v/>
      </c>
      <c r="AM97" s="334" t="str">
        <f t="shared" ref="AM97:AM160" si="10">IF(ISERROR((Y97*Z97*AH97)/1000),"",(Y97*Z97*AH97)/1000)</f>
        <v/>
      </c>
      <c r="AN97" s="333" t="str">
        <f t="shared" ref="AN97:AN160" si="11">IFERROR(AA97*T97*U97*Y97*Z97/1000,"")</f>
        <v/>
      </c>
      <c r="AO97" s="334" t="str">
        <f t="shared" ref="AO97:AO160" si="12">IFERROR(AB97*T97*U97*Y97*Z97/1000,"")</f>
        <v/>
      </c>
      <c r="AP97" s="44"/>
      <c r="AQ97" s="2"/>
    </row>
    <row r="98" spans="1:43" ht="24.95" customHeight="1" x14ac:dyDescent="0.25">
      <c r="A98" s="2">
        <v>58</v>
      </c>
      <c r="B98" s="349" t="s">
        <v>10764</v>
      </c>
      <c r="C98" s="350" t="s">
        <v>10708</v>
      </c>
      <c r="D98" s="351">
        <v>7.22</v>
      </c>
      <c r="E98" s="351">
        <v>1</v>
      </c>
      <c r="F98" s="336" t="s">
        <v>5983</v>
      </c>
      <c r="G98" s="327">
        <v>0</v>
      </c>
      <c r="H98" s="327">
        <v>135</v>
      </c>
      <c r="I98" s="325">
        <f t="shared" si="6"/>
        <v>135</v>
      </c>
      <c r="J98" s="540" t="s">
        <v>281</v>
      </c>
      <c r="K98" s="540"/>
      <c r="L98" s="337">
        <f>IFERROR(IF(F98="Sem projeto",VLOOKUP(C98,$B$32:$H$34,7,FALSE)*1.5,G98*VLOOKUP(J98,Aux_Lista!$AG:$AH,2,FALSE)+H98)*E98,0)</f>
        <v>135</v>
      </c>
      <c r="M98" s="346" t="s">
        <v>90</v>
      </c>
      <c r="N98" s="347" t="s">
        <v>90</v>
      </c>
      <c r="O98" s="348" t="s">
        <v>90</v>
      </c>
      <c r="P98" s="386">
        <f t="shared" si="7"/>
        <v>7.22</v>
      </c>
      <c r="R98" s="94">
        <v>67</v>
      </c>
      <c r="S98" s="383"/>
      <c r="T98" s="214"/>
      <c r="U98" s="214"/>
      <c r="V98" s="217"/>
      <c r="W98" s="215"/>
      <c r="X98" s="336"/>
      <c r="Y98" s="68" t="str">
        <f>IF(V98="","",VLOOKUP(V98,Aux_Lista!A:K,11,FALSE))</f>
        <v/>
      </c>
      <c r="Z98" s="68" t="str">
        <f>IF(V98="","",VLOOKUP(V98,Aux_Lista!A:L,12,FALSE))</f>
        <v/>
      </c>
      <c r="AA98" s="68" t="str">
        <f>IF(W98="","",VLOOKUP(W98,Aux_Lista!AN:AP,3,FALSE))</f>
        <v/>
      </c>
      <c r="AB98" s="68" t="str">
        <f>IF(W98="","",VLOOKUP(W98,Aux_Lista!AN:AP,2,FALSE))</f>
        <v/>
      </c>
      <c r="AC98" s="69"/>
      <c r="AD98" s="69"/>
      <c r="AE98" s="325">
        <f t="shared" si="8"/>
        <v>0</v>
      </c>
      <c r="AF98" s="540" t="s">
        <v>281</v>
      </c>
      <c r="AG98" s="540"/>
      <c r="AH98" s="337">
        <f>IFERROR(IF(X98="Sem projeto",1.5*AA98,AC98*VLOOKUP(AF98,Aux_Lista!AG:AH,2,FALSE)+AD98)*U98,0)</f>
        <v>0</v>
      </c>
      <c r="AI98" s="343" t="s">
        <v>90</v>
      </c>
      <c r="AJ98" s="343" t="s">
        <v>90</v>
      </c>
      <c r="AK98" s="343" t="s">
        <v>90</v>
      </c>
      <c r="AL98" s="333" t="str">
        <f t="shared" si="9"/>
        <v/>
      </c>
      <c r="AM98" s="334" t="str">
        <f t="shared" si="10"/>
        <v/>
      </c>
      <c r="AN98" s="333" t="str">
        <f t="shared" si="11"/>
        <v/>
      </c>
      <c r="AO98" s="334" t="str">
        <f t="shared" si="12"/>
        <v/>
      </c>
      <c r="AP98" s="44"/>
      <c r="AQ98" s="2"/>
    </row>
    <row r="99" spans="1:43" ht="24.95" customHeight="1" x14ac:dyDescent="0.25">
      <c r="A99" s="2">
        <v>59</v>
      </c>
      <c r="B99" s="349" t="s">
        <v>10733</v>
      </c>
      <c r="C99" s="350" t="s">
        <v>10708</v>
      </c>
      <c r="D99" s="351">
        <v>4.7</v>
      </c>
      <c r="E99" s="351">
        <v>1</v>
      </c>
      <c r="F99" s="336" t="s">
        <v>5983</v>
      </c>
      <c r="G99" s="327">
        <v>0</v>
      </c>
      <c r="H99" s="327">
        <v>90</v>
      </c>
      <c r="I99" s="325">
        <f t="shared" si="6"/>
        <v>90</v>
      </c>
      <c r="J99" s="540" t="s">
        <v>281</v>
      </c>
      <c r="K99" s="540"/>
      <c r="L99" s="337">
        <f>IFERROR(IF(F99="Sem projeto",VLOOKUP(C99,$B$32:$H$34,7,FALSE)*1.5,G99*VLOOKUP(J99,Aux_Lista!$AG:$AH,2,FALSE)+H99)*E99,0)</f>
        <v>90</v>
      </c>
      <c r="M99" s="346" t="s">
        <v>90</v>
      </c>
      <c r="N99" s="347" t="s">
        <v>90</v>
      </c>
      <c r="O99" s="348" t="s">
        <v>90</v>
      </c>
      <c r="P99" s="386">
        <f t="shared" si="7"/>
        <v>4.7</v>
      </c>
      <c r="R99" s="94">
        <v>68</v>
      </c>
      <c r="S99" s="383"/>
      <c r="T99" s="214"/>
      <c r="U99" s="214"/>
      <c r="V99" s="217"/>
      <c r="W99" s="215"/>
      <c r="X99" s="336"/>
      <c r="Y99" s="68" t="str">
        <f>IF(V99="","",VLOOKUP(V99,Aux_Lista!A:K,11,FALSE))</f>
        <v/>
      </c>
      <c r="Z99" s="68" t="str">
        <f>IF(V99="","",VLOOKUP(V99,Aux_Lista!A:L,12,FALSE))</f>
        <v/>
      </c>
      <c r="AA99" s="68" t="str">
        <f>IF(W99="","",VLOOKUP(W99,Aux_Lista!AN:AP,3,FALSE))</f>
        <v/>
      </c>
      <c r="AB99" s="68" t="str">
        <f>IF(W99="","",VLOOKUP(W99,Aux_Lista!AN:AP,2,FALSE))</f>
        <v/>
      </c>
      <c r="AC99" s="69"/>
      <c r="AD99" s="69"/>
      <c r="AE99" s="325">
        <f t="shared" si="8"/>
        <v>0</v>
      </c>
      <c r="AF99" s="540" t="s">
        <v>281</v>
      </c>
      <c r="AG99" s="540"/>
      <c r="AH99" s="337">
        <f>IFERROR(IF(X99="Sem projeto",1.5*AA99,AC99*VLOOKUP(AF99,Aux_Lista!AG:AH,2,FALSE)+AD99)*U99,0)</f>
        <v>0</v>
      </c>
      <c r="AI99" s="343" t="s">
        <v>90</v>
      </c>
      <c r="AJ99" s="343" t="s">
        <v>90</v>
      </c>
      <c r="AK99" s="343" t="s">
        <v>90</v>
      </c>
      <c r="AL99" s="333" t="str">
        <f t="shared" si="9"/>
        <v/>
      </c>
      <c r="AM99" s="334" t="str">
        <f t="shared" si="10"/>
        <v/>
      </c>
      <c r="AN99" s="333" t="str">
        <f t="shared" si="11"/>
        <v/>
      </c>
      <c r="AO99" s="334" t="str">
        <f t="shared" si="12"/>
        <v/>
      </c>
      <c r="AP99" s="44"/>
      <c r="AQ99" s="2"/>
    </row>
    <row r="100" spans="1:43" ht="24.95" customHeight="1" x14ac:dyDescent="0.25">
      <c r="A100" s="2">
        <v>60</v>
      </c>
      <c r="B100" s="349" t="s">
        <v>10765</v>
      </c>
      <c r="C100" s="350" t="s">
        <v>10708</v>
      </c>
      <c r="D100" s="351">
        <v>2.36</v>
      </c>
      <c r="E100" s="351">
        <v>1</v>
      </c>
      <c r="F100" s="336" t="s">
        <v>5983</v>
      </c>
      <c r="G100" s="327">
        <v>0</v>
      </c>
      <c r="H100" s="327">
        <v>195</v>
      </c>
      <c r="I100" s="325">
        <f t="shared" si="6"/>
        <v>195</v>
      </c>
      <c r="J100" s="540" t="s">
        <v>281</v>
      </c>
      <c r="K100" s="540"/>
      <c r="L100" s="337">
        <f>IFERROR(IF(F100="Sem projeto",VLOOKUP(C100,$B$32:$H$34,7,FALSE)*1.5,G100*VLOOKUP(J100,Aux_Lista!$AG:$AH,2,FALSE)+H100)*E100,0)</f>
        <v>195</v>
      </c>
      <c r="M100" s="346" t="s">
        <v>90</v>
      </c>
      <c r="N100" s="347" t="s">
        <v>90</v>
      </c>
      <c r="O100" s="348" t="s">
        <v>90</v>
      </c>
      <c r="P100" s="386">
        <f t="shared" si="7"/>
        <v>2.36</v>
      </c>
      <c r="R100" s="94">
        <v>69</v>
      </c>
      <c r="S100" s="383"/>
      <c r="T100" s="214"/>
      <c r="U100" s="214"/>
      <c r="V100" s="217"/>
      <c r="W100" s="215"/>
      <c r="X100" s="336"/>
      <c r="Y100" s="68" t="str">
        <f>IF(V100="","",VLOOKUP(V100,Aux_Lista!A:K,11,FALSE))</f>
        <v/>
      </c>
      <c r="Z100" s="68" t="str">
        <f>IF(V100="","",VLOOKUP(V100,Aux_Lista!A:L,12,FALSE))</f>
        <v/>
      </c>
      <c r="AA100" s="68" t="str">
        <f>IF(W100="","",VLOOKUP(W100,Aux_Lista!AN:AP,3,FALSE))</f>
        <v/>
      </c>
      <c r="AB100" s="68" t="str">
        <f>IF(W100="","",VLOOKUP(W100,Aux_Lista!AN:AP,2,FALSE))</f>
        <v/>
      </c>
      <c r="AC100" s="69"/>
      <c r="AD100" s="69"/>
      <c r="AE100" s="325">
        <f t="shared" si="8"/>
        <v>0</v>
      </c>
      <c r="AF100" s="540" t="s">
        <v>281</v>
      </c>
      <c r="AG100" s="540"/>
      <c r="AH100" s="337">
        <f>IFERROR(IF(X100="Sem projeto",1.5*AA100,AC100*VLOOKUP(AF100,Aux_Lista!AG:AH,2,FALSE)+AD100)*U100,0)</f>
        <v>0</v>
      </c>
      <c r="AI100" s="343" t="s">
        <v>90</v>
      </c>
      <c r="AJ100" s="343" t="s">
        <v>90</v>
      </c>
      <c r="AK100" s="343" t="s">
        <v>90</v>
      </c>
      <c r="AL100" s="333" t="str">
        <f t="shared" si="9"/>
        <v/>
      </c>
      <c r="AM100" s="334" t="str">
        <f t="shared" si="10"/>
        <v/>
      </c>
      <c r="AN100" s="333" t="str">
        <f t="shared" si="11"/>
        <v/>
      </c>
      <c r="AO100" s="334" t="str">
        <f t="shared" si="12"/>
        <v/>
      </c>
      <c r="AP100" s="44"/>
      <c r="AQ100" s="2"/>
    </row>
    <row r="101" spans="1:43" ht="24.95" customHeight="1" x14ac:dyDescent="0.25">
      <c r="A101" s="2">
        <v>61</v>
      </c>
      <c r="B101" s="349" t="s">
        <v>10766</v>
      </c>
      <c r="C101" s="350" t="s">
        <v>10708</v>
      </c>
      <c r="D101" s="351">
        <v>2.59</v>
      </c>
      <c r="E101" s="351">
        <v>1</v>
      </c>
      <c r="F101" s="336" t="s">
        <v>5983</v>
      </c>
      <c r="G101" s="327">
        <v>0</v>
      </c>
      <c r="H101" s="327">
        <v>195</v>
      </c>
      <c r="I101" s="325">
        <f t="shared" si="6"/>
        <v>195</v>
      </c>
      <c r="J101" s="540" t="s">
        <v>281</v>
      </c>
      <c r="K101" s="540"/>
      <c r="L101" s="337">
        <f>IFERROR(IF(F101="Sem projeto",VLOOKUP(C101,$B$32:$H$34,7,FALSE)*1.5,G101*VLOOKUP(J101,Aux_Lista!$AG:$AH,2,FALSE)+H101)*E101,0)</f>
        <v>195</v>
      </c>
      <c r="M101" s="346" t="s">
        <v>90</v>
      </c>
      <c r="N101" s="347" t="s">
        <v>90</v>
      </c>
      <c r="O101" s="348" t="s">
        <v>90</v>
      </c>
      <c r="P101" s="386">
        <f t="shared" si="7"/>
        <v>2.59</v>
      </c>
      <c r="R101" s="94">
        <v>70</v>
      </c>
      <c r="S101" s="383"/>
      <c r="T101" s="214"/>
      <c r="U101" s="214"/>
      <c r="V101" s="217"/>
      <c r="W101" s="215"/>
      <c r="X101" s="336"/>
      <c r="Y101" s="68" t="str">
        <f>IF(V101="","",VLOOKUP(V101,Aux_Lista!A:K,11,FALSE))</f>
        <v/>
      </c>
      <c r="Z101" s="68" t="str">
        <f>IF(V101="","",VLOOKUP(V101,Aux_Lista!A:L,12,FALSE))</f>
        <v/>
      </c>
      <c r="AA101" s="68" t="str">
        <f>IF(W101="","",VLOOKUP(W101,Aux_Lista!AN:AP,3,FALSE))</f>
        <v/>
      </c>
      <c r="AB101" s="68" t="str">
        <f>IF(W101="","",VLOOKUP(W101,Aux_Lista!AN:AP,2,FALSE))</f>
        <v/>
      </c>
      <c r="AC101" s="69"/>
      <c r="AD101" s="69"/>
      <c r="AE101" s="325">
        <f t="shared" si="8"/>
        <v>0</v>
      </c>
      <c r="AF101" s="540" t="s">
        <v>281</v>
      </c>
      <c r="AG101" s="540"/>
      <c r="AH101" s="337">
        <f>IFERROR(IF(X101="Sem projeto",1.5*AA101,AC101*VLOOKUP(AF101,Aux_Lista!AG:AH,2,FALSE)+AD101)*U101,0)</f>
        <v>0</v>
      </c>
      <c r="AI101" s="343" t="s">
        <v>90</v>
      </c>
      <c r="AJ101" s="343" t="s">
        <v>90</v>
      </c>
      <c r="AK101" s="343" t="s">
        <v>90</v>
      </c>
      <c r="AL101" s="333" t="str">
        <f t="shared" si="9"/>
        <v/>
      </c>
      <c r="AM101" s="334" t="str">
        <f t="shared" si="10"/>
        <v/>
      </c>
      <c r="AN101" s="333" t="str">
        <f t="shared" si="11"/>
        <v/>
      </c>
      <c r="AO101" s="334" t="str">
        <f t="shared" si="12"/>
        <v/>
      </c>
      <c r="AP101" s="44"/>
      <c r="AQ101" s="2"/>
    </row>
    <row r="102" spans="1:43" ht="24.95" customHeight="1" x14ac:dyDescent="0.25">
      <c r="A102" s="2">
        <v>62</v>
      </c>
      <c r="B102" s="349" t="s">
        <v>10767</v>
      </c>
      <c r="C102" s="350" t="s">
        <v>10708</v>
      </c>
      <c r="D102" s="351">
        <v>10.88</v>
      </c>
      <c r="E102" s="351">
        <v>1</v>
      </c>
      <c r="F102" s="336" t="s">
        <v>5983</v>
      </c>
      <c r="G102" s="327">
        <v>0</v>
      </c>
      <c r="H102" s="327">
        <v>470</v>
      </c>
      <c r="I102" s="325">
        <f t="shared" si="6"/>
        <v>470</v>
      </c>
      <c r="J102" s="540" t="s">
        <v>281</v>
      </c>
      <c r="K102" s="540"/>
      <c r="L102" s="337">
        <f>IFERROR(IF(F102="Sem projeto",VLOOKUP(C102,$B$32:$H$34,7,FALSE)*1.5,G102*VLOOKUP(J102,Aux_Lista!$AG:$AH,2,FALSE)+H102)*E102,0)</f>
        <v>470</v>
      </c>
      <c r="M102" s="346" t="s">
        <v>90</v>
      </c>
      <c r="N102" s="347" t="s">
        <v>90</v>
      </c>
      <c r="O102" s="348" t="s">
        <v>90</v>
      </c>
      <c r="P102" s="386">
        <f t="shared" si="7"/>
        <v>10.88</v>
      </c>
      <c r="R102" s="94">
        <v>71</v>
      </c>
      <c r="S102" s="383"/>
      <c r="T102" s="214"/>
      <c r="U102" s="214"/>
      <c r="V102" s="217"/>
      <c r="W102" s="215"/>
      <c r="X102" s="336"/>
      <c r="Y102" s="68" t="str">
        <f>IF(V102="","",VLOOKUP(V102,Aux_Lista!A:K,11,FALSE))</f>
        <v/>
      </c>
      <c r="Z102" s="68" t="str">
        <f>IF(V102="","",VLOOKUP(V102,Aux_Lista!A:L,12,FALSE))</f>
        <v/>
      </c>
      <c r="AA102" s="68" t="str">
        <f>IF(W102="","",VLOOKUP(W102,Aux_Lista!AN:AP,3,FALSE))</f>
        <v/>
      </c>
      <c r="AB102" s="68" t="str">
        <f>IF(W102="","",VLOOKUP(W102,Aux_Lista!AN:AP,2,FALSE))</f>
        <v/>
      </c>
      <c r="AC102" s="69"/>
      <c r="AD102" s="69"/>
      <c r="AE102" s="325">
        <f t="shared" si="8"/>
        <v>0</v>
      </c>
      <c r="AF102" s="540" t="s">
        <v>281</v>
      </c>
      <c r="AG102" s="540"/>
      <c r="AH102" s="337">
        <f>IFERROR(IF(X102="Sem projeto",1.5*AA102,AC102*VLOOKUP(AF102,Aux_Lista!AG:AH,2,FALSE)+AD102)*U102,0)</f>
        <v>0</v>
      </c>
      <c r="AI102" s="343" t="s">
        <v>90</v>
      </c>
      <c r="AJ102" s="343" t="s">
        <v>90</v>
      </c>
      <c r="AK102" s="343" t="s">
        <v>90</v>
      </c>
      <c r="AL102" s="333" t="str">
        <f t="shared" si="9"/>
        <v/>
      </c>
      <c r="AM102" s="334" t="str">
        <f t="shared" si="10"/>
        <v/>
      </c>
      <c r="AN102" s="333" t="str">
        <f t="shared" si="11"/>
        <v/>
      </c>
      <c r="AO102" s="334" t="str">
        <f t="shared" si="12"/>
        <v/>
      </c>
      <c r="AP102" s="44"/>
      <c r="AQ102" s="2"/>
    </row>
    <row r="103" spans="1:43" ht="24.95" customHeight="1" x14ac:dyDescent="0.25">
      <c r="A103" s="2">
        <v>63</v>
      </c>
      <c r="B103" s="349" t="s">
        <v>10768</v>
      </c>
      <c r="C103" s="350" t="s">
        <v>10708</v>
      </c>
      <c r="D103" s="351">
        <v>59.21</v>
      </c>
      <c r="E103" s="351">
        <v>1</v>
      </c>
      <c r="F103" s="336" t="s">
        <v>5983</v>
      </c>
      <c r="G103" s="327">
        <v>0</v>
      </c>
      <c r="H103" s="327">
        <v>866.5</v>
      </c>
      <c r="I103" s="325">
        <f t="shared" si="6"/>
        <v>866.5</v>
      </c>
      <c r="J103" s="540" t="s">
        <v>281</v>
      </c>
      <c r="K103" s="540"/>
      <c r="L103" s="337">
        <f>IFERROR(IF(F103="Sem projeto",VLOOKUP(C103,$B$32:$H$34,7,FALSE)*1.5,G103*VLOOKUP(J103,Aux_Lista!$AG:$AH,2,FALSE)+H103)*E103,0)</f>
        <v>866.5</v>
      </c>
      <c r="M103" s="346" t="s">
        <v>90</v>
      </c>
      <c r="N103" s="347" t="s">
        <v>90</v>
      </c>
      <c r="O103" s="348" t="s">
        <v>90</v>
      </c>
      <c r="P103" s="386">
        <f t="shared" si="7"/>
        <v>59.21</v>
      </c>
      <c r="R103" s="94">
        <v>72</v>
      </c>
      <c r="S103" s="383"/>
      <c r="T103" s="214"/>
      <c r="U103" s="214"/>
      <c r="V103" s="217"/>
      <c r="W103" s="215"/>
      <c r="X103" s="336"/>
      <c r="Y103" s="68" t="str">
        <f>IF(V103="","",VLOOKUP(V103,Aux_Lista!A:K,11,FALSE))</f>
        <v/>
      </c>
      <c r="Z103" s="68" t="str">
        <f>IF(V103="","",VLOOKUP(V103,Aux_Lista!A:L,12,FALSE))</f>
        <v/>
      </c>
      <c r="AA103" s="68" t="str">
        <f>IF(W103="","",VLOOKUP(W103,Aux_Lista!AN:AP,3,FALSE))</f>
        <v/>
      </c>
      <c r="AB103" s="68" t="str">
        <f>IF(W103="","",VLOOKUP(W103,Aux_Lista!AN:AP,2,FALSE))</f>
        <v/>
      </c>
      <c r="AC103" s="69"/>
      <c r="AD103" s="69"/>
      <c r="AE103" s="325">
        <f t="shared" si="8"/>
        <v>0</v>
      </c>
      <c r="AF103" s="540" t="s">
        <v>281</v>
      </c>
      <c r="AG103" s="540"/>
      <c r="AH103" s="337">
        <f>IFERROR(IF(X103="Sem projeto",1.5*AA103,AC103*VLOOKUP(AF103,Aux_Lista!AG:AH,2,FALSE)+AD103)*U103,0)</f>
        <v>0</v>
      </c>
      <c r="AI103" s="343" t="s">
        <v>90</v>
      </c>
      <c r="AJ103" s="343" t="s">
        <v>90</v>
      </c>
      <c r="AK103" s="343" t="s">
        <v>90</v>
      </c>
      <c r="AL103" s="333" t="str">
        <f t="shared" si="9"/>
        <v/>
      </c>
      <c r="AM103" s="334" t="str">
        <f t="shared" si="10"/>
        <v/>
      </c>
      <c r="AN103" s="333" t="str">
        <f t="shared" si="11"/>
        <v/>
      </c>
      <c r="AO103" s="334" t="str">
        <f t="shared" si="12"/>
        <v/>
      </c>
      <c r="AP103" s="44"/>
      <c r="AQ103" s="2"/>
    </row>
    <row r="104" spans="1:43" ht="24.95" customHeight="1" x14ac:dyDescent="0.25">
      <c r="A104" s="2">
        <v>64</v>
      </c>
      <c r="B104" s="349" t="s">
        <v>10769</v>
      </c>
      <c r="C104" s="350" t="s">
        <v>10708</v>
      </c>
      <c r="D104" s="351">
        <v>27.74</v>
      </c>
      <c r="E104" s="351">
        <v>1</v>
      </c>
      <c r="F104" s="336" t="s">
        <v>5983</v>
      </c>
      <c r="G104" s="327">
        <v>0</v>
      </c>
      <c r="H104" s="327">
        <v>270</v>
      </c>
      <c r="I104" s="325">
        <f t="shared" si="6"/>
        <v>270</v>
      </c>
      <c r="J104" s="540" t="s">
        <v>281</v>
      </c>
      <c r="K104" s="540"/>
      <c r="L104" s="337">
        <f>IFERROR(IF(F104="Sem projeto",VLOOKUP(C104,$B$32:$H$34,7,FALSE)*1.5,G104*VLOOKUP(J104,Aux_Lista!$AG:$AH,2,FALSE)+H104)*E104,0)</f>
        <v>270</v>
      </c>
      <c r="M104" s="346" t="s">
        <v>90</v>
      </c>
      <c r="N104" s="347" t="s">
        <v>90</v>
      </c>
      <c r="O104" s="348" t="s">
        <v>90</v>
      </c>
      <c r="P104" s="386">
        <f t="shared" si="7"/>
        <v>27.74</v>
      </c>
      <c r="R104" s="94">
        <v>73</v>
      </c>
      <c r="S104" s="383"/>
      <c r="T104" s="214"/>
      <c r="U104" s="214"/>
      <c r="V104" s="217"/>
      <c r="W104" s="215"/>
      <c r="X104" s="336"/>
      <c r="Y104" s="68" t="str">
        <f>IF(V104="","",VLOOKUP(V104,Aux_Lista!A:K,11,FALSE))</f>
        <v/>
      </c>
      <c r="Z104" s="68" t="str">
        <f>IF(V104="","",VLOOKUP(V104,Aux_Lista!A:L,12,FALSE))</f>
        <v/>
      </c>
      <c r="AA104" s="68" t="str">
        <f>IF(W104="","",VLOOKUP(W104,Aux_Lista!AN:AP,3,FALSE))</f>
        <v/>
      </c>
      <c r="AB104" s="68" t="str">
        <f>IF(W104="","",VLOOKUP(W104,Aux_Lista!AN:AP,2,FALSE))</f>
        <v/>
      </c>
      <c r="AC104" s="69"/>
      <c r="AD104" s="69"/>
      <c r="AE104" s="325">
        <f t="shared" si="8"/>
        <v>0</v>
      </c>
      <c r="AF104" s="540" t="s">
        <v>281</v>
      </c>
      <c r="AG104" s="540"/>
      <c r="AH104" s="337">
        <f>IFERROR(IF(X104="Sem projeto",1.5*AA104,AC104*VLOOKUP(AF104,Aux_Lista!AG:AH,2,FALSE)+AD104)*U104,0)</f>
        <v>0</v>
      </c>
      <c r="AI104" s="343" t="s">
        <v>90</v>
      </c>
      <c r="AJ104" s="343" t="s">
        <v>90</v>
      </c>
      <c r="AK104" s="343" t="s">
        <v>90</v>
      </c>
      <c r="AL104" s="333" t="str">
        <f t="shared" si="9"/>
        <v/>
      </c>
      <c r="AM104" s="334" t="str">
        <f t="shared" si="10"/>
        <v/>
      </c>
      <c r="AN104" s="333" t="str">
        <f t="shared" si="11"/>
        <v/>
      </c>
      <c r="AO104" s="334" t="str">
        <f t="shared" si="12"/>
        <v/>
      </c>
      <c r="AP104" s="44"/>
      <c r="AQ104" s="2"/>
    </row>
    <row r="105" spans="1:43" ht="24.95" customHeight="1" x14ac:dyDescent="0.25">
      <c r="A105" s="2">
        <v>65</v>
      </c>
      <c r="B105" s="349" t="s">
        <v>10739</v>
      </c>
      <c r="C105" s="350" t="s">
        <v>10708</v>
      </c>
      <c r="D105" s="351">
        <v>51.77</v>
      </c>
      <c r="E105" s="351">
        <v>1</v>
      </c>
      <c r="F105" s="336" t="s">
        <v>5983</v>
      </c>
      <c r="G105" s="327">
        <v>0</v>
      </c>
      <c r="H105" s="327">
        <v>1021.5</v>
      </c>
      <c r="I105" s="325">
        <f t="shared" ref="I105:I168" si="13">IFERROR((G105+H105+IF(F105="Sem projeto",VLOOKUP(C105,$B$32:$H$34,7,FALSE),0)*1.5)*E105,"")</f>
        <v>1021.5</v>
      </c>
      <c r="J105" s="540" t="s">
        <v>281</v>
      </c>
      <c r="K105" s="540"/>
      <c r="L105" s="337">
        <f>IFERROR(IF(F105="Sem projeto",VLOOKUP(C105,$B$32:$H$34,7,FALSE)*1.5,G105*VLOOKUP(J105,Aux_Lista!$AG:$AH,2,FALSE)+H105)*E105,0)</f>
        <v>1021.5</v>
      </c>
      <c r="M105" s="346" t="s">
        <v>5974</v>
      </c>
      <c r="N105" s="347" t="s">
        <v>90</v>
      </c>
      <c r="O105" s="348" t="s">
        <v>90</v>
      </c>
      <c r="P105" s="386">
        <f t="shared" si="7"/>
        <v>51.77</v>
      </c>
      <c r="R105" s="94">
        <v>74</v>
      </c>
      <c r="S105" s="383"/>
      <c r="T105" s="214"/>
      <c r="U105" s="214"/>
      <c r="V105" s="217"/>
      <c r="W105" s="215"/>
      <c r="X105" s="336"/>
      <c r="Y105" s="68" t="str">
        <f>IF(V105="","",VLOOKUP(V105,Aux_Lista!A:K,11,FALSE))</f>
        <v/>
      </c>
      <c r="Z105" s="68" t="str">
        <f>IF(V105="","",VLOOKUP(V105,Aux_Lista!A:L,12,FALSE))</f>
        <v/>
      </c>
      <c r="AA105" s="68" t="str">
        <f>IF(W105="","",VLOOKUP(W105,Aux_Lista!AN:AP,3,FALSE))</f>
        <v/>
      </c>
      <c r="AB105" s="68" t="str">
        <f>IF(W105="","",VLOOKUP(W105,Aux_Lista!AN:AP,2,FALSE))</f>
        <v/>
      </c>
      <c r="AC105" s="69"/>
      <c r="AD105" s="69"/>
      <c r="AE105" s="325">
        <f t="shared" si="8"/>
        <v>0</v>
      </c>
      <c r="AF105" s="540" t="s">
        <v>281</v>
      </c>
      <c r="AG105" s="540"/>
      <c r="AH105" s="337">
        <f>IFERROR(IF(X105="Sem projeto",1.5*AA105,AC105*VLOOKUP(AF105,Aux_Lista!AG:AH,2,FALSE)+AD105)*U105,0)</f>
        <v>0</v>
      </c>
      <c r="AI105" s="343" t="s">
        <v>90</v>
      </c>
      <c r="AJ105" s="343" t="s">
        <v>90</v>
      </c>
      <c r="AK105" s="343" t="s">
        <v>90</v>
      </c>
      <c r="AL105" s="333" t="str">
        <f t="shared" si="9"/>
        <v/>
      </c>
      <c r="AM105" s="334" t="str">
        <f t="shared" si="10"/>
        <v/>
      </c>
      <c r="AN105" s="333" t="str">
        <f t="shared" si="11"/>
        <v/>
      </c>
      <c r="AO105" s="334" t="str">
        <f t="shared" si="12"/>
        <v/>
      </c>
      <c r="AP105" s="44"/>
      <c r="AQ105" s="2"/>
    </row>
    <row r="106" spans="1:43" ht="24.95" customHeight="1" x14ac:dyDescent="0.25">
      <c r="A106" s="2">
        <v>66</v>
      </c>
      <c r="B106" s="349" t="s">
        <v>10770</v>
      </c>
      <c r="C106" s="350" t="s">
        <v>10708</v>
      </c>
      <c r="D106" s="351">
        <v>0</v>
      </c>
      <c r="E106" s="351">
        <v>1</v>
      </c>
      <c r="F106" s="336" t="s">
        <v>5983</v>
      </c>
      <c r="G106" s="327">
        <v>0</v>
      </c>
      <c r="H106" s="327">
        <v>0</v>
      </c>
      <c r="I106" s="325">
        <f t="shared" si="13"/>
        <v>0</v>
      </c>
      <c r="J106" s="540" t="s">
        <v>281</v>
      </c>
      <c r="K106" s="540"/>
      <c r="L106" s="337">
        <f>IFERROR(IF(F106="Sem projeto",VLOOKUP(C106,$B$32:$H$34,7,FALSE)*1.5,G106*VLOOKUP(J106,Aux_Lista!$AG:$AH,2,FALSE)+H106)*E106,0)</f>
        <v>0</v>
      </c>
      <c r="M106" s="346" t="s">
        <v>90</v>
      </c>
      <c r="N106" s="347" t="s">
        <v>90</v>
      </c>
      <c r="O106" s="348" t="s">
        <v>90</v>
      </c>
      <c r="P106" s="386">
        <f t="shared" ref="P106:P169" si="14">D106*E106</f>
        <v>0</v>
      </c>
      <c r="R106" s="94">
        <v>75</v>
      </c>
      <c r="S106" s="383"/>
      <c r="T106" s="214"/>
      <c r="U106" s="214"/>
      <c r="V106" s="217"/>
      <c r="W106" s="215"/>
      <c r="X106" s="336"/>
      <c r="Y106" s="68" t="str">
        <f>IF(V106="","",VLOOKUP(V106,Aux_Lista!A:K,11,FALSE))</f>
        <v/>
      </c>
      <c r="Z106" s="68" t="str">
        <f>IF(V106="","",VLOOKUP(V106,Aux_Lista!A:L,12,FALSE))</f>
        <v/>
      </c>
      <c r="AA106" s="68" t="str">
        <f>IF(W106="","",VLOOKUP(W106,Aux_Lista!AN:AP,3,FALSE))</f>
        <v/>
      </c>
      <c r="AB106" s="68" t="str">
        <f>IF(W106="","",VLOOKUP(W106,Aux_Lista!AN:AP,2,FALSE))</f>
        <v/>
      </c>
      <c r="AC106" s="69"/>
      <c r="AD106" s="69"/>
      <c r="AE106" s="325">
        <f t="shared" si="8"/>
        <v>0</v>
      </c>
      <c r="AF106" s="540" t="s">
        <v>281</v>
      </c>
      <c r="AG106" s="540"/>
      <c r="AH106" s="337">
        <f>IFERROR(IF(X106="Sem projeto",1.5*AA106,AC106*VLOOKUP(AF106,Aux_Lista!AG:AH,2,FALSE)+AD106)*U106,0)</f>
        <v>0</v>
      </c>
      <c r="AI106" s="343" t="s">
        <v>90</v>
      </c>
      <c r="AJ106" s="343" t="s">
        <v>90</v>
      </c>
      <c r="AK106" s="343" t="s">
        <v>90</v>
      </c>
      <c r="AL106" s="333" t="str">
        <f t="shared" si="9"/>
        <v/>
      </c>
      <c r="AM106" s="334" t="str">
        <f t="shared" si="10"/>
        <v/>
      </c>
      <c r="AN106" s="333" t="str">
        <f t="shared" si="11"/>
        <v/>
      </c>
      <c r="AO106" s="334" t="str">
        <f t="shared" si="12"/>
        <v/>
      </c>
      <c r="AP106" s="44"/>
      <c r="AQ106" s="2"/>
    </row>
    <row r="107" spans="1:43" ht="24.95" customHeight="1" x14ac:dyDescent="0.25">
      <c r="A107" s="2">
        <v>67</v>
      </c>
      <c r="B107" s="349" t="s">
        <v>10771</v>
      </c>
      <c r="C107" s="350" t="s">
        <v>10708</v>
      </c>
      <c r="D107" s="351">
        <v>3.27</v>
      </c>
      <c r="E107" s="351">
        <v>1</v>
      </c>
      <c r="F107" s="336" t="s">
        <v>5983</v>
      </c>
      <c r="G107" s="327">
        <v>0</v>
      </c>
      <c r="H107" s="327">
        <v>95</v>
      </c>
      <c r="I107" s="325">
        <f t="shared" si="13"/>
        <v>95</v>
      </c>
      <c r="J107" s="540" t="s">
        <v>281</v>
      </c>
      <c r="K107" s="540"/>
      <c r="L107" s="337">
        <f>IFERROR(IF(F107="Sem projeto",VLOOKUP(C107,$B$32:$H$34,7,FALSE)*1.5,G107*VLOOKUP(J107,Aux_Lista!$AG:$AH,2,FALSE)+H107)*E107,0)</f>
        <v>95</v>
      </c>
      <c r="M107" s="346" t="s">
        <v>5974</v>
      </c>
      <c r="N107" s="347" t="s">
        <v>90</v>
      </c>
      <c r="O107" s="348" t="s">
        <v>90</v>
      </c>
      <c r="P107" s="386">
        <f t="shared" si="14"/>
        <v>3.27</v>
      </c>
      <c r="R107" s="94">
        <v>76</v>
      </c>
      <c r="S107" s="383"/>
      <c r="T107" s="214"/>
      <c r="U107" s="214"/>
      <c r="V107" s="217"/>
      <c r="W107" s="215"/>
      <c r="X107" s="336"/>
      <c r="Y107" s="68" t="str">
        <f>IF(V107="","",VLOOKUP(V107,Aux_Lista!A:K,11,FALSE))</f>
        <v/>
      </c>
      <c r="Z107" s="68" t="str">
        <f>IF(V107="","",VLOOKUP(V107,Aux_Lista!A:L,12,FALSE))</f>
        <v/>
      </c>
      <c r="AA107" s="68" t="str">
        <f>IF(W107="","",VLOOKUP(W107,Aux_Lista!AN:AP,3,FALSE))</f>
        <v/>
      </c>
      <c r="AB107" s="68" t="str">
        <f>IF(W107="","",VLOOKUP(W107,Aux_Lista!AN:AP,2,FALSE))</f>
        <v/>
      </c>
      <c r="AC107" s="69"/>
      <c r="AD107" s="69"/>
      <c r="AE107" s="325">
        <f t="shared" si="8"/>
        <v>0</v>
      </c>
      <c r="AF107" s="540" t="s">
        <v>281</v>
      </c>
      <c r="AG107" s="540"/>
      <c r="AH107" s="337">
        <f>IFERROR(IF(X107="Sem projeto",1.5*AA107,AC107*VLOOKUP(AF107,Aux_Lista!AG:AH,2,FALSE)+AD107)*U107,0)</f>
        <v>0</v>
      </c>
      <c r="AI107" s="343" t="s">
        <v>90</v>
      </c>
      <c r="AJ107" s="343" t="s">
        <v>90</v>
      </c>
      <c r="AK107" s="343" t="s">
        <v>90</v>
      </c>
      <c r="AL107" s="333" t="str">
        <f t="shared" si="9"/>
        <v/>
      </c>
      <c r="AM107" s="334" t="str">
        <f t="shared" si="10"/>
        <v/>
      </c>
      <c r="AN107" s="333" t="str">
        <f t="shared" si="11"/>
        <v/>
      </c>
      <c r="AO107" s="334" t="str">
        <f t="shared" si="12"/>
        <v/>
      </c>
      <c r="AP107" s="44"/>
      <c r="AQ107" s="2"/>
    </row>
    <row r="108" spans="1:43" ht="24.95" customHeight="1" x14ac:dyDescent="0.25">
      <c r="A108" s="2">
        <v>68</v>
      </c>
      <c r="B108" s="349" t="s">
        <v>10772</v>
      </c>
      <c r="C108" s="350" t="s">
        <v>10708</v>
      </c>
      <c r="D108" s="351">
        <v>3.27</v>
      </c>
      <c r="E108" s="351">
        <v>1</v>
      </c>
      <c r="F108" s="336" t="s">
        <v>5983</v>
      </c>
      <c r="G108" s="327">
        <v>0</v>
      </c>
      <c r="H108" s="327">
        <v>95</v>
      </c>
      <c r="I108" s="325">
        <f t="shared" si="13"/>
        <v>95</v>
      </c>
      <c r="J108" s="540" t="s">
        <v>281</v>
      </c>
      <c r="K108" s="540"/>
      <c r="L108" s="337">
        <f>IFERROR(IF(F108="Sem projeto",VLOOKUP(C108,$B$32:$H$34,7,FALSE)*1.5,G108*VLOOKUP(J108,Aux_Lista!$AG:$AH,2,FALSE)+H108)*E108,0)</f>
        <v>95</v>
      </c>
      <c r="M108" s="346" t="s">
        <v>5974</v>
      </c>
      <c r="N108" s="347" t="s">
        <v>90</v>
      </c>
      <c r="O108" s="348" t="s">
        <v>90</v>
      </c>
      <c r="P108" s="386">
        <f t="shared" si="14"/>
        <v>3.27</v>
      </c>
      <c r="R108" s="94">
        <v>77</v>
      </c>
      <c r="S108" s="383"/>
      <c r="T108" s="214"/>
      <c r="U108" s="214"/>
      <c r="V108" s="217"/>
      <c r="W108" s="215"/>
      <c r="X108" s="336"/>
      <c r="Y108" s="68" t="str">
        <f>IF(V108="","",VLOOKUP(V108,Aux_Lista!A:K,11,FALSE))</f>
        <v/>
      </c>
      <c r="Z108" s="68" t="str">
        <f>IF(V108="","",VLOOKUP(V108,Aux_Lista!A:L,12,FALSE))</f>
        <v/>
      </c>
      <c r="AA108" s="68" t="str">
        <f>IF(W108="","",VLOOKUP(W108,Aux_Lista!AN:AP,3,FALSE))</f>
        <v/>
      </c>
      <c r="AB108" s="68" t="str">
        <f>IF(W108="","",VLOOKUP(W108,Aux_Lista!AN:AP,2,FALSE))</f>
        <v/>
      </c>
      <c r="AC108" s="69"/>
      <c r="AD108" s="69"/>
      <c r="AE108" s="325">
        <f t="shared" si="8"/>
        <v>0</v>
      </c>
      <c r="AF108" s="540" t="s">
        <v>281</v>
      </c>
      <c r="AG108" s="540"/>
      <c r="AH108" s="337">
        <f>IFERROR(IF(X108="Sem projeto",1.5*AA108,AC108*VLOOKUP(AF108,Aux_Lista!AG:AH,2,FALSE)+AD108)*U108,0)</f>
        <v>0</v>
      </c>
      <c r="AI108" s="343" t="s">
        <v>90</v>
      </c>
      <c r="AJ108" s="343" t="s">
        <v>90</v>
      </c>
      <c r="AK108" s="343" t="s">
        <v>90</v>
      </c>
      <c r="AL108" s="333" t="str">
        <f t="shared" si="9"/>
        <v/>
      </c>
      <c r="AM108" s="334" t="str">
        <f t="shared" si="10"/>
        <v/>
      </c>
      <c r="AN108" s="333" t="str">
        <f t="shared" si="11"/>
        <v/>
      </c>
      <c r="AO108" s="334" t="str">
        <f t="shared" si="12"/>
        <v/>
      </c>
      <c r="AP108" s="44"/>
      <c r="AQ108" s="2"/>
    </row>
    <row r="109" spans="1:43" ht="24.95" customHeight="1" x14ac:dyDescent="0.25">
      <c r="A109" s="2">
        <v>69</v>
      </c>
      <c r="B109" s="349" t="s">
        <v>10773</v>
      </c>
      <c r="C109" s="350" t="s">
        <v>10708</v>
      </c>
      <c r="D109" s="351">
        <v>16.63</v>
      </c>
      <c r="E109" s="351">
        <v>1</v>
      </c>
      <c r="F109" s="336" t="s">
        <v>5983</v>
      </c>
      <c r="G109" s="327">
        <v>0</v>
      </c>
      <c r="H109" s="327">
        <v>180</v>
      </c>
      <c r="I109" s="325">
        <f t="shared" si="13"/>
        <v>180</v>
      </c>
      <c r="J109" s="540" t="s">
        <v>281</v>
      </c>
      <c r="K109" s="540"/>
      <c r="L109" s="337">
        <f>IFERROR(IF(F109="Sem projeto",VLOOKUP(C109,$B$32:$H$34,7,FALSE)*1.5,G109*VLOOKUP(J109,Aux_Lista!$AG:$AH,2,FALSE)+H109)*E109,0)</f>
        <v>180</v>
      </c>
      <c r="M109" s="346" t="s">
        <v>90</v>
      </c>
      <c r="N109" s="347" t="s">
        <v>90</v>
      </c>
      <c r="O109" s="348" t="s">
        <v>90</v>
      </c>
      <c r="P109" s="386">
        <f t="shared" si="14"/>
        <v>16.63</v>
      </c>
      <c r="R109" s="94">
        <v>78</v>
      </c>
      <c r="S109" s="383"/>
      <c r="T109" s="214"/>
      <c r="U109" s="214"/>
      <c r="V109" s="217"/>
      <c r="W109" s="215"/>
      <c r="X109" s="336"/>
      <c r="Y109" s="68" t="str">
        <f>IF(V109="","",VLOOKUP(V109,Aux_Lista!A:K,11,FALSE))</f>
        <v/>
      </c>
      <c r="Z109" s="68" t="str">
        <f>IF(V109="","",VLOOKUP(V109,Aux_Lista!A:L,12,FALSE))</f>
        <v/>
      </c>
      <c r="AA109" s="68" t="str">
        <f>IF(W109="","",VLOOKUP(W109,Aux_Lista!AN:AP,3,FALSE))</f>
        <v/>
      </c>
      <c r="AB109" s="68" t="str">
        <f>IF(W109="","",VLOOKUP(W109,Aux_Lista!AN:AP,2,FALSE))</f>
        <v/>
      </c>
      <c r="AC109" s="69"/>
      <c r="AD109" s="69"/>
      <c r="AE109" s="325">
        <f t="shared" si="8"/>
        <v>0</v>
      </c>
      <c r="AF109" s="540" t="s">
        <v>281</v>
      </c>
      <c r="AG109" s="540"/>
      <c r="AH109" s="337">
        <f>IFERROR(IF(X109="Sem projeto",1.5*AA109,AC109*VLOOKUP(AF109,Aux_Lista!AG:AH,2,FALSE)+AD109)*U109,0)</f>
        <v>0</v>
      </c>
      <c r="AI109" s="343" t="s">
        <v>90</v>
      </c>
      <c r="AJ109" s="343" t="s">
        <v>90</v>
      </c>
      <c r="AK109" s="343" t="s">
        <v>90</v>
      </c>
      <c r="AL109" s="333" t="str">
        <f t="shared" si="9"/>
        <v/>
      </c>
      <c r="AM109" s="334" t="str">
        <f t="shared" si="10"/>
        <v/>
      </c>
      <c r="AN109" s="333" t="str">
        <f t="shared" si="11"/>
        <v/>
      </c>
      <c r="AO109" s="334" t="str">
        <f t="shared" si="12"/>
        <v/>
      </c>
      <c r="AP109" s="44"/>
      <c r="AQ109" s="2"/>
    </row>
    <row r="110" spans="1:43" ht="24.95" customHeight="1" x14ac:dyDescent="0.25">
      <c r="A110" s="2">
        <v>70</v>
      </c>
      <c r="B110" s="349" t="s">
        <v>10774</v>
      </c>
      <c r="C110" s="350" t="s">
        <v>10708</v>
      </c>
      <c r="D110" s="351">
        <v>8.56</v>
      </c>
      <c r="E110" s="351">
        <v>1</v>
      </c>
      <c r="F110" s="336" t="s">
        <v>5983</v>
      </c>
      <c r="G110" s="327">
        <v>0</v>
      </c>
      <c r="H110" s="327">
        <v>270</v>
      </c>
      <c r="I110" s="325">
        <f t="shared" si="13"/>
        <v>270</v>
      </c>
      <c r="J110" s="540" t="s">
        <v>281</v>
      </c>
      <c r="K110" s="540"/>
      <c r="L110" s="337">
        <f>IFERROR(IF(F110="Sem projeto",VLOOKUP(C110,$B$32:$H$34,7,FALSE)*1.5,G110*VLOOKUP(J110,Aux_Lista!$AG:$AH,2,FALSE)+H110)*E110,0)</f>
        <v>270</v>
      </c>
      <c r="M110" s="346" t="s">
        <v>90</v>
      </c>
      <c r="N110" s="347" t="s">
        <v>90</v>
      </c>
      <c r="O110" s="348" t="s">
        <v>90</v>
      </c>
      <c r="P110" s="386">
        <f t="shared" si="14"/>
        <v>8.56</v>
      </c>
      <c r="R110" s="94">
        <v>79</v>
      </c>
      <c r="S110" s="383"/>
      <c r="T110" s="214"/>
      <c r="U110" s="214"/>
      <c r="V110" s="217"/>
      <c r="W110" s="215"/>
      <c r="X110" s="336"/>
      <c r="Y110" s="68" t="str">
        <f>IF(V110="","",VLOOKUP(V110,Aux_Lista!A:K,11,FALSE))</f>
        <v/>
      </c>
      <c r="Z110" s="68" t="str">
        <f>IF(V110="","",VLOOKUP(V110,Aux_Lista!A:L,12,FALSE))</f>
        <v/>
      </c>
      <c r="AA110" s="68" t="str">
        <f>IF(W110="","",VLOOKUP(W110,Aux_Lista!AN:AP,3,FALSE))</f>
        <v/>
      </c>
      <c r="AB110" s="68" t="str">
        <f>IF(W110="","",VLOOKUP(W110,Aux_Lista!AN:AP,2,FALSE))</f>
        <v/>
      </c>
      <c r="AC110" s="69"/>
      <c r="AD110" s="69"/>
      <c r="AE110" s="325">
        <f t="shared" si="8"/>
        <v>0</v>
      </c>
      <c r="AF110" s="540" t="s">
        <v>281</v>
      </c>
      <c r="AG110" s="540"/>
      <c r="AH110" s="337">
        <f>IFERROR(IF(X110="Sem projeto",1.5*AA110,AC110*VLOOKUP(AF110,Aux_Lista!AG:AH,2,FALSE)+AD110)*U110,0)</f>
        <v>0</v>
      </c>
      <c r="AI110" s="343" t="s">
        <v>90</v>
      </c>
      <c r="AJ110" s="343" t="s">
        <v>90</v>
      </c>
      <c r="AK110" s="343" t="s">
        <v>90</v>
      </c>
      <c r="AL110" s="333" t="str">
        <f t="shared" si="9"/>
        <v/>
      </c>
      <c r="AM110" s="334" t="str">
        <f t="shared" si="10"/>
        <v/>
      </c>
      <c r="AN110" s="333" t="str">
        <f t="shared" si="11"/>
        <v/>
      </c>
      <c r="AO110" s="334" t="str">
        <f t="shared" si="12"/>
        <v/>
      </c>
      <c r="AP110" s="44"/>
      <c r="AQ110" s="2"/>
    </row>
    <row r="111" spans="1:43" ht="24.95" customHeight="1" x14ac:dyDescent="0.25">
      <c r="A111" s="2">
        <v>71</v>
      </c>
      <c r="B111" s="349" t="s">
        <v>10775</v>
      </c>
      <c r="C111" s="350" t="s">
        <v>10708</v>
      </c>
      <c r="D111" s="351">
        <v>0</v>
      </c>
      <c r="E111" s="351">
        <v>1</v>
      </c>
      <c r="F111" s="336" t="s">
        <v>5983</v>
      </c>
      <c r="G111" s="327">
        <v>0</v>
      </c>
      <c r="H111" s="327">
        <v>0</v>
      </c>
      <c r="I111" s="325">
        <f t="shared" si="13"/>
        <v>0</v>
      </c>
      <c r="J111" s="540" t="s">
        <v>281</v>
      </c>
      <c r="K111" s="540"/>
      <c r="L111" s="337">
        <f>IFERROR(IF(F111="Sem projeto",VLOOKUP(C111,$B$32:$H$34,7,FALSE)*1.5,G111*VLOOKUP(J111,Aux_Lista!$AG:$AH,2,FALSE)+H111)*E111,0)</f>
        <v>0</v>
      </c>
      <c r="M111" s="346" t="s">
        <v>90</v>
      </c>
      <c r="N111" s="347" t="s">
        <v>90</v>
      </c>
      <c r="O111" s="348" t="s">
        <v>90</v>
      </c>
      <c r="P111" s="386">
        <f t="shared" si="14"/>
        <v>0</v>
      </c>
      <c r="R111" s="94">
        <v>80</v>
      </c>
      <c r="S111" s="383"/>
      <c r="T111" s="214"/>
      <c r="U111" s="214"/>
      <c r="V111" s="217"/>
      <c r="W111" s="215"/>
      <c r="X111" s="336"/>
      <c r="Y111" s="68" t="str">
        <f>IF(V111="","",VLOOKUP(V111,Aux_Lista!A:K,11,FALSE))</f>
        <v/>
      </c>
      <c r="Z111" s="68" t="str">
        <f>IF(V111="","",VLOOKUP(V111,Aux_Lista!A:L,12,FALSE))</f>
        <v/>
      </c>
      <c r="AA111" s="68" t="str">
        <f>IF(W111="","",VLOOKUP(W111,Aux_Lista!AN:AP,3,FALSE))</f>
        <v/>
      </c>
      <c r="AB111" s="68" t="str">
        <f>IF(W111="","",VLOOKUP(W111,Aux_Lista!AN:AP,2,FALSE))</f>
        <v/>
      </c>
      <c r="AC111" s="69"/>
      <c r="AD111" s="69"/>
      <c r="AE111" s="325">
        <f t="shared" si="8"/>
        <v>0</v>
      </c>
      <c r="AF111" s="540" t="s">
        <v>281</v>
      </c>
      <c r="AG111" s="540"/>
      <c r="AH111" s="337">
        <f>IFERROR(IF(X111="Sem projeto",1.5*AA111,AC111*VLOOKUP(AF111,Aux_Lista!AG:AH,2,FALSE)+AD111)*U111,0)</f>
        <v>0</v>
      </c>
      <c r="AI111" s="343" t="s">
        <v>90</v>
      </c>
      <c r="AJ111" s="343" t="s">
        <v>90</v>
      </c>
      <c r="AK111" s="343" t="s">
        <v>90</v>
      </c>
      <c r="AL111" s="333" t="str">
        <f t="shared" si="9"/>
        <v/>
      </c>
      <c r="AM111" s="334" t="str">
        <f t="shared" si="10"/>
        <v/>
      </c>
      <c r="AN111" s="333" t="str">
        <f t="shared" si="11"/>
        <v/>
      </c>
      <c r="AO111" s="334" t="str">
        <f t="shared" si="12"/>
        <v/>
      </c>
      <c r="AP111" s="44"/>
      <c r="AQ111" s="2"/>
    </row>
    <row r="112" spans="1:43" ht="24.95" customHeight="1" x14ac:dyDescent="0.25">
      <c r="A112" s="2">
        <v>72</v>
      </c>
      <c r="B112" s="349"/>
      <c r="C112" s="350"/>
      <c r="D112" s="351"/>
      <c r="E112" s="351"/>
      <c r="F112" s="336"/>
      <c r="G112" s="327"/>
      <c r="H112" s="327"/>
      <c r="I112" s="325">
        <f t="shared" si="13"/>
        <v>0</v>
      </c>
      <c r="J112" s="540" t="s">
        <v>281</v>
      </c>
      <c r="K112" s="540"/>
      <c r="L112" s="337">
        <f>IFERROR(IF(F112="Sem projeto",VLOOKUP(C112,$B$32:$H$34,7,FALSE)*1.5,G112*VLOOKUP(J112,Aux_Lista!$AG:$AH,2,FALSE)+H112)*E112,0)</f>
        <v>0</v>
      </c>
      <c r="M112" s="346" t="s">
        <v>90</v>
      </c>
      <c r="N112" s="347" t="s">
        <v>90</v>
      </c>
      <c r="O112" s="348" t="s">
        <v>90</v>
      </c>
      <c r="P112" s="386">
        <f t="shared" si="14"/>
        <v>0</v>
      </c>
      <c r="R112" s="94">
        <v>81</v>
      </c>
      <c r="S112" s="383"/>
      <c r="T112" s="214"/>
      <c r="U112" s="214"/>
      <c r="V112" s="217"/>
      <c r="W112" s="215"/>
      <c r="X112" s="336"/>
      <c r="Y112" s="68" t="str">
        <f>IF(V112="","",VLOOKUP(V112,Aux_Lista!A:K,11,FALSE))</f>
        <v/>
      </c>
      <c r="Z112" s="68" t="str">
        <f>IF(V112="","",VLOOKUP(V112,Aux_Lista!A:L,12,FALSE))</f>
        <v/>
      </c>
      <c r="AA112" s="68" t="str">
        <f>IF(W112="","",VLOOKUP(W112,Aux_Lista!AN:AP,3,FALSE))</f>
        <v/>
      </c>
      <c r="AB112" s="68" t="str">
        <f>IF(W112="","",VLOOKUP(W112,Aux_Lista!AN:AP,2,FALSE))</f>
        <v/>
      </c>
      <c r="AC112" s="69"/>
      <c r="AD112" s="69"/>
      <c r="AE112" s="325">
        <f t="shared" si="8"/>
        <v>0</v>
      </c>
      <c r="AF112" s="540" t="s">
        <v>281</v>
      </c>
      <c r="AG112" s="540"/>
      <c r="AH112" s="337">
        <f>IFERROR(IF(X112="Sem projeto",1.5*AA112,AC112*VLOOKUP(AF112,Aux_Lista!AG:AH,2,FALSE)+AD112)*U112,0)</f>
        <v>0</v>
      </c>
      <c r="AI112" s="343" t="s">
        <v>90</v>
      </c>
      <c r="AJ112" s="343" t="s">
        <v>90</v>
      </c>
      <c r="AK112" s="343" t="s">
        <v>90</v>
      </c>
      <c r="AL112" s="333" t="str">
        <f t="shared" si="9"/>
        <v/>
      </c>
      <c r="AM112" s="334" t="str">
        <f t="shared" si="10"/>
        <v/>
      </c>
      <c r="AN112" s="333" t="str">
        <f t="shared" si="11"/>
        <v/>
      </c>
      <c r="AO112" s="334" t="str">
        <f t="shared" si="12"/>
        <v/>
      </c>
      <c r="AP112" s="44"/>
      <c r="AQ112" s="2"/>
    </row>
    <row r="113" spans="1:43" ht="24.95" customHeight="1" x14ac:dyDescent="0.25">
      <c r="A113" s="2">
        <v>73</v>
      </c>
      <c r="B113" s="349"/>
      <c r="C113" s="350"/>
      <c r="D113" s="351"/>
      <c r="E113" s="351"/>
      <c r="F113" s="336"/>
      <c r="G113" s="327"/>
      <c r="H113" s="327"/>
      <c r="I113" s="325">
        <f t="shared" si="13"/>
        <v>0</v>
      </c>
      <c r="J113" s="540" t="s">
        <v>281</v>
      </c>
      <c r="K113" s="540"/>
      <c r="L113" s="337">
        <f>IFERROR(IF(F113="Sem projeto",VLOOKUP(C113,$B$32:$H$34,7,FALSE)*1.5,G113*VLOOKUP(J113,Aux_Lista!$AG:$AH,2,FALSE)+H113)*E113,0)</f>
        <v>0</v>
      </c>
      <c r="M113" s="346" t="s">
        <v>90</v>
      </c>
      <c r="N113" s="347" t="s">
        <v>90</v>
      </c>
      <c r="O113" s="348" t="s">
        <v>90</v>
      </c>
      <c r="P113" s="386">
        <f t="shared" si="14"/>
        <v>0</v>
      </c>
      <c r="R113" s="94">
        <v>82</v>
      </c>
      <c r="S113" s="383"/>
      <c r="T113" s="214"/>
      <c r="U113" s="214"/>
      <c r="V113" s="217"/>
      <c r="W113" s="215"/>
      <c r="X113" s="336"/>
      <c r="Y113" s="68" t="str">
        <f>IF(V113="","",VLOOKUP(V113,Aux_Lista!A:K,11,FALSE))</f>
        <v/>
      </c>
      <c r="Z113" s="68" t="str">
        <f>IF(V113="","",VLOOKUP(V113,Aux_Lista!A:L,12,FALSE))</f>
        <v/>
      </c>
      <c r="AA113" s="68" t="str">
        <f>IF(W113="","",VLOOKUP(W113,Aux_Lista!AN:AP,3,FALSE))</f>
        <v/>
      </c>
      <c r="AB113" s="68" t="str">
        <f>IF(W113="","",VLOOKUP(W113,Aux_Lista!AN:AP,2,FALSE))</f>
        <v/>
      </c>
      <c r="AC113" s="69"/>
      <c r="AD113" s="69"/>
      <c r="AE113" s="325">
        <f t="shared" si="8"/>
        <v>0</v>
      </c>
      <c r="AF113" s="540" t="s">
        <v>281</v>
      </c>
      <c r="AG113" s="540"/>
      <c r="AH113" s="337">
        <f>IFERROR(IF(X113="Sem projeto",1.5*AA113,AC113*VLOOKUP(AF113,Aux_Lista!AG:AH,2,FALSE)+AD113)*U113,0)</f>
        <v>0</v>
      </c>
      <c r="AI113" s="343" t="s">
        <v>90</v>
      </c>
      <c r="AJ113" s="343" t="s">
        <v>90</v>
      </c>
      <c r="AK113" s="343" t="s">
        <v>90</v>
      </c>
      <c r="AL113" s="333" t="str">
        <f t="shared" si="9"/>
        <v/>
      </c>
      <c r="AM113" s="334" t="str">
        <f t="shared" si="10"/>
        <v/>
      </c>
      <c r="AN113" s="333" t="str">
        <f t="shared" si="11"/>
        <v/>
      </c>
      <c r="AO113" s="334" t="str">
        <f t="shared" si="12"/>
        <v/>
      </c>
      <c r="AP113" s="44"/>
      <c r="AQ113" s="2"/>
    </row>
    <row r="114" spans="1:43" ht="24.95" customHeight="1" x14ac:dyDescent="0.25">
      <c r="A114" s="2">
        <v>74</v>
      </c>
      <c r="B114" s="349"/>
      <c r="C114" s="350"/>
      <c r="D114" s="351"/>
      <c r="E114" s="351"/>
      <c r="F114" s="336"/>
      <c r="G114" s="327"/>
      <c r="H114" s="327"/>
      <c r="I114" s="325">
        <f t="shared" si="13"/>
        <v>0</v>
      </c>
      <c r="J114" s="540" t="s">
        <v>281</v>
      </c>
      <c r="K114" s="540"/>
      <c r="L114" s="337">
        <f>IFERROR(IF(F114="Sem projeto",VLOOKUP(C114,$B$32:$H$34,7,FALSE)*1.5,G114*VLOOKUP(J114,Aux_Lista!$AG:$AH,2,FALSE)+H114)*E114,0)</f>
        <v>0</v>
      </c>
      <c r="M114" s="346" t="s">
        <v>90</v>
      </c>
      <c r="N114" s="347" t="s">
        <v>90</v>
      </c>
      <c r="O114" s="348" t="s">
        <v>90</v>
      </c>
      <c r="P114" s="386">
        <f t="shared" si="14"/>
        <v>0</v>
      </c>
      <c r="R114" s="94">
        <v>83</v>
      </c>
      <c r="S114" s="383"/>
      <c r="T114" s="214"/>
      <c r="U114" s="214"/>
      <c r="V114" s="217"/>
      <c r="W114" s="215"/>
      <c r="X114" s="336"/>
      <c r="Y114" s="68" t="str">
        <f>IF(V114="","",VLOOKUP(V114,Aux_Lista!A:K,11,FALSE))</f>
        <v/>
      </c>
      <c r="Z114" s="68" t="str">
        <f>IF(V114="","",VLOOKUP(V114,Aux_Lista!A:L,12,FALSE))</f>
        <v/>
      </c>
      <c r="AA114" s="68" t="str">
        <f>IF(W114="","",VLOOKUP(W114,Aux_Lista!AN:AP,3,FALSE))</f>
        <v/>
      </c>
      <c r="AB114" s="68" t="str">
        <f>IF(W114="","",VLOOKUP(W114,Aux_Lista!AN:AP,2,FALSE))</f>
        <v/>
      </c>
      <c r="AC114" s="69"/>
      <c r="AD114" s="69"/>
      <c r="AE114" s="325">
        <f t="shared" si="8"/>
        <v>0</v>
      </c>
      <c r="AF114" s="540" t="s">
        <v>281</v>
      </c>
      <c r="AG114" s="540"/>
      <c r="AH114" s="337">
        <f>IFERROR(IF(X114="Sem projeto",1.5*AA114,AC114*VLOOKUP(AF114,Aux_Lista!AG:AH,2,FALSE)+AD114)*U114,0)</f>
        <v>0</v>
      </c>
      <c r="AI114" s="343" t="s">
        <v>90</v>
      </c>
      <c r="AJ114" s="343" t="s">
        <v>90</v>
      </c>
      <c r="AK114" s="343" t="s">
        <v>90</v>
      </c>
      <c r="AL114" s="333" t="str">
        <f t="shared" si="9"/>
        <v/>
      </c>
      <c r="AM114" s="334" t="str">
        <f t="shared" si="10"/>
        <v/>
      </c>
      <c r="AN114" s="333" t="str">
        <f t="shared" si="11"/>
        <v/>
      </c>
      <c r="AO114" s="334" t="str">
        <f t="shared" si="12"/>
        <v/>
      </c>
      <c r="AP114" s="44"/>
      <c r="AQ114" s="2"/>
    </row>
    <row r="115" spans="1:43" ht="24.95" customHeight="1" x14ac:dyDescent="0.25">
      <c r="A115" s="2">
        <v>75</v>
      </c>
      <c r="B115" s="349"/>
      <c r="C115" s="350"/>
      <c r="D115" s="351"/>
      <c r="E115" s="351"/>
      <c r="F115" s="336"/>
      <c r="G115" s="327"/>
      <c r="H115" s="327"/>
      <c r="I115" s="325">
        <f t="shared" si="13"/>
        <v>0</v>
      </c>
      <c r="J115" s="540" t="s">
        <v>281</v>
      </c>
      <c r="K115" s="540"/>
      <c r="L115" s="337">
        <f>IFERROR(IF(F115="Sem projeto",VLOOKUP(C115,$B$32:$H$34,7,FALSE)*1.5,G115*VLOOKUP(J115,Aux_Lista!$AG:$AH,2,FALSE)+H115)*E115,0)</f>
        <v>0</v>
      </c>
      <c r="M115" s="346" t="s">
        <v>90</v>
      </c>
      <c r="N115" s="347" t="s">
        <v>90</v>
      </c>
      <c r="O115" s="348" t="s">
        <v>90</v>
      </c>
      <c r="P115" s="386">
        <f t="shared" si="14"/>
        <v>0</v>
      </c>
      <c r="R115" s="94">
        <v>84</v>
      </c>
      <c r="S115" s="383"/>
      <c r="T115" s="214"/>
      <c r="U115" s="214"/>
      <c r="V115" s="217"/>
      <c r="W115" s="215"/>
      <c r="X115" s="336"/>
      <c r="Y115" s="68" t="str">
        <f>IF(V115="","",VLOOKUP(V115,Aux_Lista!A:K,11,FALSE))</f>
        <v/>
      </c>
      <c r="Z115" s="68" t="str">
        <f>IF(V115="","",VLOOKUP(V115,Aux_Lista!A:L,12,FALSE))</f>
        <v/>
      </c>
      <c r="AA115" s="68" t="str">
        <f>IF(W115="","",VLOOKUP(W115,Aux_Lista!AN:AP,3,FALSE))</f>
        <v/>
      </c>
      <c r="AB115" s="68" t="str">
        <f>IF(W115="","",VLOOKUP(W115,Aux_Lista!AN:AP,2,FALSE))</f>
        <v/>
      </c>
      <c r="AC115" s="69"/>
      <c r="AD115" s="69"/>
      <c r="AE115" s="325">
        <f t="shared" si="8"/>
        <v>0</v>
      </c>
      <c r="AF115" s="540" t="s">
        <v>281</v>
      </c>
      <c r="AG115" s="540"/>
      <c r="AH115" s="337">
        <f>IFERROR(IF(X115="Sem projeto",1.5*AA115,AC115*VLOOKUP(AF115,Aux_Lista!AG:AH,2,FALSE)+AD115)*U115,0)</f>
        <v>0</v>
      </c>
      <c r="AI115" s="343" t="s">
        <v>90</v>
      </c>
      <c r="AJ115" s="343" t="s">
        <v>90</v>
      </c>
      <c r="AK115" s="343" t="s">
        <v>90</v>
      </c>
      <c r="AL115" s="333" t="str">
        <f t="shared" si="9"/>
        <v/>
      </c>
      <c r="AM115" s="334" t="str">
        <f t="shared" si="10"/>
        <v/>
      </c>
      <c r="AN115" s="333" t="str">
        <f t="shared" si="11"/>
        <v/>
      </c>
      <c r="AO115" s="334" t="str">
        <f t="shared" si="12"/>
        <v/>
      </c>
      <c r="AP115" s="44"/>
      <c r="AQ115" s="2"/>
    </row>
    <row r="116" spans="1:43" ht="24.95" customHeight="1" x14ac:dyDescent="0.25">
      <c r="A116" s="2">
        <v>76</v>
      </c>
      <c r="B116" s="349"/>
      <c r="C116" s="350"/>
      <c r="D116" s="351"/>
      <c r="E116" s="351"/>
      <c r="F116" s="336"/>
      <c r="G116" s="327"/>
      <c r="H116" s="327"/>
      <c r="I116" s="325">
        <f t="shared" si="13"/>
        <v>0</v>
      </c>
      <c r="J116" s="540" t="s">
        <v>281</v>
      </c>
      <c r="K116" s="540"/>
      <c r="L116" s="337">
        <f>IFERROR(IF(F116="Sem projeto",VLOOKUP(C116,$B$32:$H$34,7,FALSE)*1.5,G116*VLOOKUP(J116,Aux_Lista!$AG:$AH,2,FALSE)+H116)*E116,0)</f>
        <v>0</v>
      </c>
      <c r="M116" s="346" t="s">
        <v>90</v>
      </c>
      <c r="N116" s="347" t="s">
        <v>90</v>
      </c>
      <c r="O116" s="348" t="s">
        <v>90</v>
      </c>
      <c r="P116" s="386">
        <f t="shared" si="14"/>
        <v>0</v>
      </c>
      <c r="R116" s="94">
        <v>85</v>
      </c>
      <c r="S116" s="383"/>
      <c r="T116" s="214"/>
      <c r="U116" s="214"/>
      <c r="V116" s="217"/>
      <c r="W116" s="215"/>
      <c r="X116" s="336"/>
      <c r="Y116" s="68" t="str">
        <f>IF(V116="","",VLOOKUP(V116,Aux_Lista!A:K,11,FALSE))</f>
        <v/>
      </c>
      <c r="Z116" s="68" t="str">
        <f>IF(V116="","",VLOOKUP(V116,Aux_Lista!A:L,12,FALSE))</f>
        <v/>
      </c>
      <c r="AA116" s="68" t="str">
        <f>IF(W116="","",VLOOKUP(W116,Aux_Lista!AN:AP,3,FALSE))</f>
        <v/>
      </c>
      <c r="AB116" s="68" t="str">
        <f>IF(W116="","",VLOOKUP(W116,Aux_Lista!AN:AP,2,FALSE))</f>
        <v/>
      </c>
      <c r="AC116" s="69"/>
      <c r="AD116" s="69"/>
      <c r="AE116" s="325">
        <f t="shared" si="8"/>
        <v>0</v>
      </c>
      <c r="AF116" s="540" t="s">
        <v>281</v>
      </c>
      <c r="AG116" s="540"/>
      <c r="AH116" s="337">
        <f>IFERROR(IF(X116="Sem projeto",1.5*AA116,AC116*VLOOKUP(AF116,Aux_Lista!AG:AH,2,FALSE)+AD116)*U116,0)</f>
        <v>0</v>
      </c>
      <c r="AI116" s="343" t="s">
        <v>90</v>
      </c>
      <c r="AJ116" s="343" t="s">
        <v>90</v>
      </c>
      <c r="AK116" s="343" t="s">
        <v>90</v>
      </c>
      <c r="AL116" s="333" t="str">
        <f t="shared" si="9"/>
        <v/>
      </c>
      <c r="AM116" s="334" t="str">
        <f t="shared" si="10"/>
        <v/>
      </c>
      <c r="AN116" s="333" t="str">
        <f t="shared" si="11"/>
        <v/>
      </c>
      <c r="AO116" s="334" t="str">
        <f t="shared" si="12"/>
        <v/>
      </c>
      <c r="AP116" s="44"/>
      <c r="AQ116" s="2"/>
    </row>
    <row r="117" spans="1:43" ht="24.95" customHeight="1" x14ac:dyDescent="0.25">
      <c r="A117" s="2">
        <v>77</v>
      </c>
      <c r="B117" s="349"/>
      <c r="C117" s="350"/>
      <c r="D117" s="351"/>
      <c r="E117" s="351"/>
      <c r="F117" s="336"/>
      <c r="G117" s="327"/>
      <c r="H117" s="327"/>
      <c r="I117" s="325">
        <f t="shared" si="13"/>
        <v>0</v>
      </c>
      <c r="J117" s="540" t="s">
        <v>281</v>
      </c>
      <c r="K117" s="540"/>
      <c r="L117" s="337">
        <f>IFERROR(IF(F117="Sem projeto",VLOOKUP(C117,$B$32:$H$34,7,FALSE)*1.5,G117*VLOOKUP(J117,Aux_Lista!$AG:$AH,2,FALSE)+H117)*E117,0)</f>
        <v>0</v>
      </c>
      <c r="M117" s="346" t="s">
        <v>90</v>
      </c>
      <c r="N117" s="347" t="s">
        <v>90</v>
      </c>
      <c r="O117" s="348" t="s">
        <v>90</v>
      </c>
      <c r="P117" s="386">
        <f t="shared" si="14"/>
        <v>0</v>
      </c>
      <c r="R117" s="94">
        <v>86</v>
      </c>
      <c r="S117" s="383"/>
      <c r="T117" s="214"/>
      <c r="U117" s="214"/>
      <c r="V117" s="217"/>
      <c r="W117" s="215"/>
      <c r="X117" s="336"/>
      <c r="Y117" s="68" t="str">
        <f>IF(V117="","",VLOOKUP(V117,Aux_Lista!A:K,11,FALSE))</f>
        <v/>
      </c>
      <c r="Z117" s="68" t="str">
        <f>IF(V117="","",VLOOKUP(V117,Aux_Lista!A:L,12,FALSE))</f>
        <v/>
      </c>
      <c r="AA117" s="68" t="str">
        <f>IF(W117="","",VLOOKUP(W117,Aux_Lista!AN:AP,3,FALSE))</f>
        <v/>
      </c>
      <c r="AB117" s="68" t="str">
        <f>IF(W117="","",VLOOKUP(W117,Aux_Lista!AN:AP,2,FALSE))</f>
        <v/>
      </c>
      <c r="AC117" s="69"/>
      <c r="AD117" s="69"/>
      <c r="AE117" s="325">
        <f t="shared" si="8"/>
        <v>0</v>
      </c>
      <c r="AF117" s="540" t="s">
        <v>281</v>
      </c>
      <c r="AG117" s="540"/>
      <c r="AH117" s="337">
        <f>IFERROR(IF(X117="Sem projeto",1.5*AA117,AC117*VLOOKUP(AF117,Aux_Lista!AG:AH,2,FALSE)+AD117)*U117,0)</f>
        <v>0</v>
      </c>
      <c r="AI117" s="343" t="s">
        <v>90</v>
      </c>
      <c r="AJ117" s="343" t="s">
        <v>90</v>
      </c>
      <c r="AK117" s="343" t="s">
        <v>90</v>
      </c>
      <c r="AL117" s="333" t="str">
        <f t="shared" si="9"/>
        <v/>
      </c>
      <c r="AM117" s="334" t="str">
        <f t="shared" si="10"/>
        <v/>
      </c>
      <c r="AN117" s="333" t="str">
        <f t="shared" si="11"/>
        <v/>
      </c>
      <c r="AO117" s="334" t="str">
        <f t="shared" si="12"/>
        <v/>
      </c>
      <c r="AP117" s="44"/>
      <c r="AQ117" s="2"/>
    </row>
    <row r="118" spans="1:43" ht="24.95" customHeight="1" x14ac:dyDescent="0.25">
      <c r="A118" s="2">
        <v>78</v>
      </c>
      <c r="B118" s="349"/>
      <c r="C118" s="350"/>
      <c r="D118" s="351"/>
      <c r="E118" s="351"/>
      <c r="F118" s="336"/>
      <c r="G118" s="327"/>
      <c r="H118" s="327"/>
      <c r="I118" s="325">
        <f t="shared" si="13"/>
        <v>0</v>
      </c>
      <c r="J118" s="540" t="s">
        <v>281</v>
      </c>
      <c r="K118" s="540"/>
      <c r="L118" s="337">
        <f>IFERROR(IF(F118="Sem projeto",VLOOKUP(C118,$B$32:$H$34,7,FALSE)*1.5,G118*VLOOKUP(J118,Aux_Lista!$AG:$AH,2,FALSE)+H118)*E118,0)</f>
        <v>0</v>
      </c>
      <c r="M118" s="346" t="s">
        <v>90</v>
      </c>
      <c r="N118" s="347" t="s">
        <v>90</v>
      </c>
      <c r="O118" s="348" t="s">
        <v>90</v>
      </c>
      <c r="P118" s="386">
        <f t="shared" si="14"/>
        <v>0</v>
      </c>
      <c r="R118" s="94">
        <v>87</v>
      </c>
      <c r="S118" s="383"/>
      <c r="T118" s="214"/>
      <c r="U118" s="214"/>
      <c r="V118" s="217"/>
      <c r="W118" s="215"/>
      <c r="X118" s="336"/>
      <c r="Y118" s="68" t="str">
        <f>IF(V118="","",VLOOKUP(V118,Aux_Lista!A:K,11,FALSE))</f>
        <v/>
      </c>
      <c r="Z118" s="68" t="str">
        <f>IF(V118="","",VLOOKUP(V118,Aux_Lista!A:L,12,FALSE))</f>
        <v/>
      </c>
      <c r="AA118" s="68" t="str">
        <f>IF(W118="","",VLOOKUP(W118,Aux_Lista!AN:AP,3,FALSE))</f>
        <v/>
      </c>
      <c r="AB118" s="68" t="str">
        <f>IF(W118="","",VLOOKUP(W118,Aux_Lista!AN:AP,2,FALSE))</f>
        <v/>
      </c>
      <c r="AC118" s="69"/>
      <c r="AD118" s="69"/>
      <c r="AE118" s="325">
        <f t="shared" si="8"/>
        <v>0</v>
      </c>
      <c r="AF118" s="540" t="s">
        <v>281</v>
      </c>
      <c r="AG118" s="540"/>
      <c r="AH118" s="337">
        <f>IFERROR(IF(X118="Sem projeto",1.5*AA118,AC118*VLOOKUP(AF118,Aux_Lista!AG:AH,2,FALSE)+AD118)*U118,0)</f>
        <v>0</v>
      </c>
      <c r="AI118" s="343" t="s">
        <v>90</v>
      </c>
      <c r="AJ118" s="343" t="s">
        <v>90</v>
      </c>
      <c r="AK118" s="343" t="s">
        <v>90</v>
      </c>
      <c r="AL118" s="333" t="str">
        <f t="shared" si="9"/>
        <v/>
      </c>
      <c r="AM118" s="334" t="str">
        <f t="shared" si="10"/>
        <v/>
      </c>
      <c r="AN118" s="333" t="str">
        <f t="shared" si="11"/>
        <v/>
      </c>
      <c r="AO118" s="334" t="str">
        <f t="shared" si="12"/>
        <v/>
      </c>
      <c r="AP118" s="44"/>
      <c r="AQ118" s="2"/>
    </row>
    <row r="119" spans="1:43" ht="24.95" customHeight="1" x14ac:dyDescent="0.25">
      <c r="A119" s="2">
        <v>79</v>
      </c>
      <c r="B119" s="349"/>
      <c r="C119" s="350"/>
      <c r="D119" s="351"/>
      <c r="E119" s="351"/>
      <c r="F119" s="336"/>
      <c r="G119" s="327"/>
      <c r="H119" s="327"/>
      <c r="I119" s="325">
        <f t="shared" si="13"/>
        <v>0</v>
      </c>
      <c r="J119" s="540" t="s">
        <v>281</v>
      </c>
      <c r="K119" s="540"/>
      <c r="L119" s="337">
        <f>IFERROR(IF(F119="Sem projeto",VLOOKUP(C119,$B$32:$H$34,7,FALSE)*1.5,G119*VLOOKUP(J119,Aux_Lista!$AG:$AH,2,FALSE)+H119)*E119,0)</f>
        <v>0</v>
      </c>
      <c r="M119" s="346" t="s">
        <v>90</v>
      </c>
      <c r="N119" s="347" t="s">
        <v>90</v>
      </c>
      <c r="O119" s="348" t="s">
        <v>90</v>
      </c>
      <c r="P119" s="386">
        <f t="shared" si="14"/>
        <v>0</v>
      </c>
      <c r="R119" s="94">
        <v>88</v>
      </c>
      <c r="S119" s="383"/>
      <c r="T119" s="214"/>
      <c r="U119" s="214"/>
      <c r="V119" s="217"/>
      <c r="W119" s="215"/>
      <c r="X119" s="336"/>
      <c r="Y119" s="68" t="str">
        <f>IF(V119="","",VLOOKUP(V119,Aux_Lista!A:K,11,FALSE))</f>
        <v/>
      </c>
      <c r="Z119" s="68" t="str">
        <f>IF(V119="","",VLOOKUP(V119,Aux_Lista!A:L,12,FALSE))</f>
        <v/>
      </c>
      <c r="AA119" s="68" t="str">
        <f>IF(W119="","",VLOOKUP(W119,Aux_Lista!AN:AP,3,FALSE))</f>
        <v/>
      </c>
      <c r="AB119" s="68" t="str">
        <f>IF(W119="","",VLOOKUP(W119,Aux_Lista!AN:AP,2,FALSE))</f>
        <v/>
      </c>
      <c r="AC119" s="69"/>
      <c r="AD119" s="69"/>
      <c r="AE119" s="325">
        <f t="shared" si="8"/>
        <v>0</v>
      </c>
      <c r="AF119" s="540" t="s">
        <v>281</v>
      </c>
      <c r="AG119" s="540"/>
      <c r="AH119" s="337">
        <f>IFERROR(IF(X119="Sem projeto",1.5*AA119,AC119*VLOOKUP(AF119,Aux_Lista!AG:AH,2,FALSE)+AD119)*U119,0)</f>
        <v>0</v>
      </c>
      <c r="AI119" s="343" t="s">
        <v>90</v>
      </c>
      <c r="AJ119" s="343" t="s">
        <v>90</v>
      </c>
      <c r="AK119" s="343" t="s">
        <v>90</v>
      </c>
      <c r="AL119" s="333" t="str">
        <f t="shared" si="9"/>
        <v/>
      </c>
      <c r="AM119" s="334" t="str">
        <f t="shared" si="10"/>
        <v/>
      </c>
      <c r="AN119" s="333" t="str">
        <f t="shared" si="11"/>
        <v/>
      </c>
      <c r="AO119" s="334" t="str">
        <f t="shared" si="12"/>
        <v/>
      </c>
      <c r="AP119" s="44"/>
      <c r="AQ119" s="2"/>
    </row>
    <row r="120" spans="1:43" ht="24.95" customHeight="1" x14ac:dyDescent="0.25">
      <c r="A120" s="2">
        <v>80</v>
      </c>
      <c r="B120" s="349"/>
      <c r="C120" s="350"/>
      <c r="D120" s="351"/>
      <c r="E120" s="351"/>
      <c r="F120" s="336"/>
      <c r="G120" s="327"/>
      <c r="H120" s="327"/>
      <c r="I120" s="325">
        <f t="shared" si="13"/>
        <v>0</v>
      </c>
      <c r="J120" s="540" t="s">
        <v>281</v>
      </c>
      <c r="K120" s="540"/>
      <c r="L120" s="337">
        <f>IFERROR(IF(F120="Sem projeto",VLOOKUP(C120,$B$32:$H$34,7,FALSE)*1.5,G120*VLOOKUP(J120,Aux_Lista!$AG:$AH,2,FALSE)+H120)*E120,0)</f>
        <v>0</v>
      </c>
      <c r="M120" s="346" t="s">
        <v>90</v>
      </c>
      <c r="N120" s="347" t="s">
        <v>90</v>
      </c>
      <c r="O120" s="348" t="s">
        <v>90</v>
      </c>
      <c r="P120" s="386">
        <f t="shared" si="14"/>
        <v>0</v>
      </c>
      <c r="R120" s="94">
        <v>89</v>
      </c>
      <c r="S120" s="383"/>
      <c r="T120" s="214"/>
      <c r="U120" s="214"/>
      <c r="V120" s="217"/>
      <c r="W120" s="215"/>
      <c r="X120" s="336"/>
      <c r="Y120" s="68" t="str">
        <f>IF(V120="","",VLOOKUP(V120,Aux_Lista!A:K,11,FALSE))</f>
        <v/>
      </c>
      <c r="Z120" s="68" t="str">
        <f>IF(V120="","",VLOOKUP(V120,Aux_Lista!A:L,12,FALSE))</f>
        <v/>
      </c>
      <c r="AA120" s="68" t="str">
        <f>IF(W120="","",VLOOKUP(W120,Aux_Lista!AN:AP,3,FALSE))</f>
        <v/>
      </c>
      <c r="AB120" s="68" t="str">
        <f>IF(W120="","",VLOOKUP(W120,Aux_Lista!AN:AP,2,FALSE))</f>
        <v/>
      </c>
      <c r="AC120" s="69"/>
      <c r="AD120" s="69"/>
      <c r="AE120" s="325">
        <f t="shared" si="8"/>
        <v>0</v>
      </c>
      <c r="AF120" s="540" t="s">
        <v>281</v>
      </c>
      <c r="AG120" s="540"/>
      <c r="AH120" s="337">
        <f>IFERROR(IF(X120="Sem projeto",1.5*AA120,AC120*VLOOKUP(AF120,Aux_Lista!AG:AH,2,FALSE)+AD120)*U120,0)</f>
        <v>0</v>
      </c>
      <c r="AI120" s="343" t="s">
        <v>90</v>
      </c>
      <c r="AJ120" s="343" t="s">
        <v>90</v>
      </c>
      <c r="AK120" s="343" t="s">
        <v>90</v>
      </c>
      <c r="AL120" s="333" t="str">
        <f t="shared" si="9"/>
        <v/>
      </c>
      <c r="AM120" s="334" t="str">
        <f t="shared" si="10"/>
        <v/>
      </c>
      <c r="AN120" s="333" t="str">
        <f t="shared" si="11"/>
        <v/>
      </c>
      <c r="AO120" s="334" t="str">
        <f t="shared" si="12"/>
        <v/>
      </c>
      <c r="AP120" s="44"/>
      <c r="AQ120" s="2"/>
    </row>
    <row r="121" spans="1:43" ht="24.95" customHeight="1" x14ac:dyDescent="0.25">
      <c r="A121" s="2">
        <v>81</v>
      </c>
      <c r="B121" s="349"/>
      <c r="C121" s="350"/>
      <c r="D121" s="351"/>
      <c r="E121" s="351"/>
      <c r="F121" s="336"/>
      <c r="G121" s="327"/>
      <c r="H121" s="327"/>
      <c r="I121" s="325">
        <f t="shared" si="13"/>
        <v>0</v>
      </c>
      <c r="J121" s="540" t="s">
        <v>281</v>
      </c>
      <c r="K121" s="540"/>
      <c r="L121" s="337">
        <f>IFERROR(IF(F121="Sem projeto",VLOOKUP(C121,$B$32:$H$34,7,FALSE)*1.5,G121*VLOOKUP(J121,Aux_Lista!$AG:$AH,2,FALSE)+H121)*E121,0)</f>
        <v>0</v>
      </c>
      <c r="M121" s="346" t="s">
        <v>90</v>
      </c>
      <c r="N121" s="347" t="s">
        <v>90</v>
      </c>
      <c r="O121" s="348" t="s">
        <v>90</v>
      </c>
      <c r="P121" s="386">
        <f t="shared" si="14"/>
        <v>0</v>
      </c>
      <c r="R121" s="94">
        <v>90</v>
      </c>
      <c r="S121" s="383"/>
      <c r="T121" s="214"/>
      <c r="U121" s="214"/>
      <c r="V121" s="217"/>
      <c r="W121" s="215"/>
      <c r="X121" s="336"/>
      <c r="Y121" s="68" t="str">
        <f>IF(V121="","",VLOOKUP(V121,Aux_Lista!A:K,11,FALSE))</f>
        <v/>
      </c>
      <c r="Z121" s="68" t="str">
        <f>IF(V121="","",VLOOKUP(V121,Aux_Lista!A:L,12,FALSE))</f>
        <v/>
      </c>
      <c r="AA121" s="68" t="str">
        <f>IF(W121="","",VLOOKUP(W121,Aux_Lista!AN:AP,3,FALSE))</f>
        <v/>
      </c>
      <c r="AB121" s="68" t="str">
        <f>IF(W121="","",VLOOKUP(W121,Aux_Lista!AN:AP,2,FALSE))</f>
        <v/>
      </c>
      <c r="AC121" s="69"/>
      <c r="AD121" s="69"/>
      <c r="AE121" s="325">
        <f t="shared" si="8"/>
        <v>0</v>
      </c>
      <c r="AF121" s="540" t="s">
        <v>281</v>
      </c>
      <c r="AG121" s="540"/>
      <c r="AH121" s="337">
        <f>IFERROR(IF(X121="Sem projeto",1.5*AA121,AC121*VLOOKUP(AF121,Aux_Lista!AG:AH,2,FALSE)+AD121)*U121,0)</f>
        <v>0</v>
      </c>
      <c r="AI121" s="343" t="s">
        <v>90</v>
      </c>
      <c r="AJ121" s="343" t="s">
        <v>90</v>
      </c>
      <c r="AK121" s="343" t="s">
        <v>90</v>
      </c>
      <c r="AL121" s="333" t="str">
        <f t="shared" si="9"/>
        <v/>
      </c>
      <c r="AM121" s="334" t="str">
        <f t="shared" si="10"/>
        <v/>
      </c>
      <c r="AN121" s="333" t="str">
        <f t="shared" si="11"/>
        <v/>
      </c>
      <c r="AO121" s="334" t="str">
        <f t="shared" si="12"/>
        <v/>
      </c>
      <c r="AP121" s="44"/>
      <c r="AQ121" s="2"/>
    </row>
    <row r="122" spans="1:43" ht="24.95" customHeight="1" x14ac:dyDescent="0.25">
      <c r="A122" s="2">
        <v>82</v>
      </c>
      <c r="B122" s="349"/>
      <c r="C122" s="350"/>
      <c r="D122" s="351"/>
      <c r="E122" s="351"/>
      <c r="F122" s="336"/>
      <c r="G122" s="327"/>
      <c r="H122" s="327"/>
      <c r="I122" s="325">
        <f t="shared" si="13"/>
        <v>0</v>
      </c>
      <c r="J122" s="540" t="s">
        <v>281</v>
      </c>
      <c r="K122" s="540"/>
      <c r="L122" s="337">
        <f>IFERROR(IF(F122="Sem projeto",VLOOKUP(C122,$B$32:$H$34,7,FALSE)*1.5,G122*VLOOKUP(J122,Aux_Lista!$AG:$AH,2,FALSE)+H122)*E122,0)</f>
        <v>0</v>
      </c>
      <c r="M122" s="346" t="s">
        <v>90</v>
      </c>
      <c r="N122" s="347" t="s">
        <v>90</v>
      </c>
      <c r="O122" s="348" t="s">
        <v>90</v>
      </c>
      <c r="P122" s="386">
        <f t="shared" si="14"/>
        <v>0</v>
      </c>
      <c r="R122" s="94">
        <v>91</v>
      </c>
      <c r="S122" s="383"/>
      <c r="T122" s="214"/>
      <c r="U122" s="214"/>
      <c r="V122" s="217"/>
      <c r="W122" s="215"/>
      <c r="X122" s="336"/>
      <c r="Y122" s="68" t="str">
        <f>IF(V122="","",VLOOKUP(V122,Aux_Lista!A:K,11,FALSE))</f>
        <v/>
      </c>
      <c r="Z122" s="68" t="str">
        <f>IF(V122="","",VLOOKUP(V122,Aux_Lista!A:L,12,FALSE))</f>
        <v/>
      </c>
      <c r="AA122" s="68" t="str">
        <f>IF(W122="","",VLOOKUP(W122,Aux_Lista!AN:AP,3,FALSE))</f>
        <v/>
      </c>
      <c r="AB122" s="68" t="str">
        <f>IF(W122="","",VLOOKUP(W122,Aux_Lista!AN:AP,2,FALSE))</f>
        <v/>
      </c>
      <c r="AC122" s="69"/>
      <c r="AD122" s="69"/>
      <c r="AE122" s="325">
        <f t="shared" si="8"/>
        <v>0</v>
      </c>
      <c r="AF122" s="540" t="s">
        <v>281</v>
      </c>
      <c r="AG122" s="540"/>
      <c r="AH122" s="337">
        <f>IFERROR(IF(X122="Sem projeto",1.5*AA122,AC122*VLOOKUP(AF122,Aux_Lista!AG:AH,2,FALSE)+AD122)*U122,0)</f>
        <v>0</v>
      </c>
      <c r="AI122" s="343" t="s">
        <v>90</v>
      </c>
      <c r="AJ122" s="343" t="s">
        <v>90</v>
      </c>
      <c r="AK122" s="343" t="s">
        <v>90</v>
      </c>
      <c r="AL122" s="333" t="str">
        <f t="shared" si="9"/>
        <v/>
      </c>
      <c r="AM122" s="334" t="str">
        <f t="shared" si="10"/>
        <v/>
      </c>
      <c r="AN122" s="333" t="str">
        <f t="shared" si="11"/>
        <v/>
      </c>
      <c r="AO122" s="334" t="str">
        <f t="shared" si="12"/>
        <v/>
      </c>
      <c r="AP122" s="44"/>
      <c r="AQ122" s="2"/>
    </row>
    <row r="123" spans="1:43" ht="24.95" customHeight="1" x14ac:dyDescent="0.25">
      <c r="A123" s="2">
        <v>83</v>
      </c>
      <c r="B123" s="349"/>
      <c r="C123" s="350"/>
      <c r="D123" s="351"/>
      <c r="E123" s="351"/>
      <c r="F123" s="336"/>
      <c r="G123" s="327"/>
      <c r="H123" s="327"/>
      <c r="I123" s="325">
        <f t="shared" si="13"/>
        <v>0</v>
      </c>
      <c r="J123" s="540" t="s">
        <v>281</v>
      </c>
      <c r="K123" s="540"/>
      <c r="L123" s="337">
        <f>IFERROR(IF(F123="Sem projeto",VLOOKUP(C123,$B$32:$H$34,7,FALSE)*1.5,G123*VLOOKUP(J123,Aux_Lista!$AG:$AH,2,FALSE)+H123)*E123,0)</f>
        <v>0</v>
      </c>
      <c r="M123" s="346" t="s">
        <v>90</v>
      </c>
      <c r="N123" s="347" t="s">
        <v>90</v>
      </c>
      <c r="O123" s="348" t="s">
        <v>90</v>
      </c>
      <c r="P123" s="386">
        <f t="shared" si="14"/>
        <v>0</v>
      </c>
      <c r="R123" s="94">
        <v>92</v>
      </c>
      <c r="S123" s="383"/>
      <c r="T123" s="214"/>
      <c r="U123" s="214"/>
      <c r="V123" s="217"/>
      <c r="W123" s="215"/>
      <c r="X123" s="336"/>
      <c r="Y123" s="68" t="str">
        <f>IF(V123="","",VLOOKUP(V123,Aux_Lista!A:K,11,FALSE))</f>
        <v/>
      </c>
      <c r="Z123" s="68" t="str">
        <f>IF(V123="","",VLOOKUP(V123,Aux_Lista!A:L,12,FALSE))</f>
        <v/>
      </c>
      <c r="AA123" s="68" t="str">
        <f>IF(W123="","",VLOOKUP(W123,Aux_Lista!AN:AP,3,FALSE))</f>
        <v/>
      </c>
      <c r="AB123" s="68" t="str">
        <f>IF(W123="","",VLOOKUP(W123,Aux_Lista!AN:AP,2,FALSE))</f>
        <v/>
      </c>
      <c r="AC123" s="69"/>
      <c r="AD123" s="69"/>
      <c r="AE123" s="325">
        <f t="shared" si="8"/>
        <v>0</v>
      </c>
      <c r="AF123" s="540" t="s">
        <v>281</v>
      </c>
      <c r="AG123" s="540"/>
      <c r="AH123" s="337">
        <f>IFERROR(IF(X123="Sem projeto",1.5*AA123,AC123*VLOOKUP(AF123,Aux_Lista!AG:AH,2,FALSE)+AD123)*U123,0)</f>
        <v>0</v>
      </c>
      <c r="AI123" s="343" t="s">
        <v>90</v>
      </c>
      <c r="AJ123" s="343" t="s">
        <v>90</v>
      </c>
      <c r="AK123" s="343" t="s">
        <v>90</v>
      </c>
      <c r="AL123" s="333" t="str">
        <f t="shared" si="9"/>
        <v/>
      </c>
      <c r="AM123" s="334" t="str">
        <f t="shared" si="10"/>
        <v/>
      </c>
      <c r="AN123" s="333" t="str">
        <f t="shared" si="11"/>
        <v/>
      </c>
      <c r="AO123" s="334" t="str">
        <f t="shared" si="12"/>
        <v/>
      </c>
      <c r="AP123" s="44"/>
      <c r="AQ123" s="2"/>
    </row>
    <row r="124" spans="1:43" ht="24.95" customHeight="1" x14ac:dyDescent="0.25">
      <c r="A124" s="2">
        <v>84</v>
      </c>
      <c r="B124" s="349"/>
      <c r="C124" s="350"/>
      <c r="D124" s="351"/>
      <c r="E124" s="351"/>
      <c r="F124" s="336"/>
      <c r="G124" s="327"/>
      <c r="H124" s="327"/>
      <c r="I124" s="325">
        <f t="shared" si="13"/>
        <v>0</v>
      </c>
      <c r="J124" s="540" t="s">
        <v>281</v>
      </c>
      <c r="K124" s="540"/>
      <c r="L124" s="337">
        <f>IFERROR(IF(F124="Sem projeto",VLOOKUP(C124,$B$32:$H$34,7,FALSE)*1.5,G124*VLOOKUP(J124,Aux_Lista!$AG:$AH,2,FALSE)+H124)*E124,0)</f>
        <v>0</v>
      </c>
      <c r="M124" s="346" t="s">
        <v>90</v>
      </c>
      <c r="N124" s="347" t="s">
        <v>90</v>
      </c>
      <c r="O124" s="348" t="s">
        <v>90</v>
      </c>
      <c r="P124" s="386">
        <f t="shared" si="14"/>
        <v>0</v>
      </c>
      <c r="R124" s="94">
        <v>93</v>
      </c>
      <c r="S124" s="383"/>
      <c r="T124" s="214"/>
      <c r="U124" s="214"/>
      <c r="V124" s="217"/>
      <c r="W124" s="215"/>
      <c r="X124" s="336"/>
      <c r="Y124" s="68" t="str">
        <f>IF(V124="","",VLOOKUP(V124,Aux_Lista!A:K,11,FALSE))</f>
        <v/>
      </c>
      <c r="Z124" s="68" t="str">
        <f>IF(V124="","",VLOOKUP(V124,Aux_Lista!A:L,12,FALSE))</f>
        <v/>
      </c>
      <c r="AA124" s="68" t="str">
        <f>IF(W124="","",VLOOKUP(W124,Aux_Lista!AN:AP,3,FALSE))</f>
        <v/>
      </c>
      <c r="AB124" s="68" t="str">
        <f>IF(W124="","",VLOOKUP(W124,Aux_Lista!AN:AP,2,FALSE))</f>
        <v/>
      </c>
      <c r="AC124" s="69"/>
      <c r="AD124" s="69"/>
      <c r="AE124" s="325">
        <f t="shared" si="8"/>
        <v>0</v>
      </c>
      <c r="AF124" s="540" t="s">
        <v>281</v>
      </c>
      <c r="AG124" s="540"/>
      <c r="AH124" s="337">
        <f>IFERROR(IF(X124="Sem projeto",1.5*AA124,AC124*VLOOKUP(AF124,Aux_Lista!AG:AH,2,FALSE)+AD124)*U124,0)</f>
        <v>0</v>
      </c>
      <c r="AI124" s="343" t="s">
        <v>90</v>
      </c>
      <c r="AJ124" s="343" t="s">
        <v>90</v>
      </c>
      <c r="AK124" s="343" t="s">
        <v>90</v>
      </c>
      <c r="AL124" s="333" t="str">
        <f t="shared" si="9"/>
        <v/>
      </c>
      <c r="AM124" s="334" t="str">
        <f t="shared" si="10"/>
        <v/>
      </c>
      <c r="AN124" s="333" t="str">
        <f t="shared" si="11"/>
        <v/>
      </c>
      <c r="AO124" s="334" t="str">
        <f t="shared" si="12"/>
        <v/>
      </c>
      <c r="AP124" s="44"/>
      <c r="AQ124" s="2"/>
    </row>
    <row r="125" spans="1:43" ht="24.95" customHeight="1" x14ac:dyDescent="0.25">
      <c r="A125" s="2">
        <v>85</v>
      </c>
      <c r="B125" s="349"/>
      <c r="C125" s="350"/>
      <c r="D125" s="351"/>
      <c r="E125" s="351"/>
      <c r="F125" s="336"/>
      <c r="G125" s="327"/>
      <c r="H125" s="327"/>
      <c r="I125" s="325">
        <f t="shared" si="13"/>
        <v>0</v>
      </c>
      <c r="J125" s="540" t="s">
        <v>281</v>
      </c>
      <c r="K125" s="540"/>
      <c r="L125" s="337">
        <f>IFERROR(IF(F125="Sem projeto",VLOOKUP(C125,$B$32:$H$34,7,FALSE)*1.5,G125*VLOOKUP(J125,Aux_Lista!$AG:$AH,2,FALSE)+H125)*E125,0)</f>
        <v>0</v>
      </c>
      <c r="M125" s="346" t="s">
        <v>90</v>
      </c>
      <c r="N125" s="347" t="s">
        <v>90</v>
      </c>
      <c r="O125" s="348" t="s">
        <v>90</v>
      </c>
      <c r="P125" s="386">
        <f t="shared" si="14"/>
        <v>0</v>
      </c>
      <c r="R125" s="94">
        <v>94</v>
      </c>
      <c r="S125" s="383"/>
      <c r="T125" s="214"/>
      <c r="U125" s="214"/>
      <c r="V125" s="217"/>
      <c r="W125" s="215"/>
      <c r="X125" s="336"/>
      <c r="Y125" s="68" t="str">
        <f>IF(V125="","",VLOOKUP(V125,Aux_Lista!A:K,11,FALSE))</f>
        <v/>
      </c>
      <c r="Z125" s="68" t="str">
        <f>IF(V125="","",VLOOKUP(V125,Aux_Lista!A:L,12,FALSE))</f>
        <v/>
      </c>
      <c r="AA125" s="68" t="str">
        <f>IF(W125="","",VLOOKUP(W125,Aux_Lista!AN:AP,3,FALSE))</f>
        <v/>
      </c>
      <c r="AB125" s="68" t="str">
        <f>IF(W125="","",VLOOKUP(W125,Aux_Lista!AN:AP,2,FALSE))</f>
        <v/>
      </c>
      <c r="AC125" s="69"/>
      <c r="AD125" s="69"/>
      <c r="AE125" s="325">
        <f t="shared" si="8"/>
        <v>0</v>
      </c>
      <c r="AF125" s="540" t="s">
        <v>281</v>
      </c>
      <c r="AG125" s="540"/>
      <c r="AH125" s="337">
        <f>IFERROR(IF(X125="Sem projeto",1.5*AA125,AC125*VLOOKUP(AF125,Aux_Lista!AG:AH,2,FALSE)+AD125)*U125,0)</f>
        <v>0</v>
      </c>
      <c r="AI125" s="343" t="s">
        <v>90</v>
      </c>
      <c r="AJ125" s="343" t="s">
        <v>90</v>
      </c>
      <c r="AK125" s="343" t="s">
        <v>90</v>
      </c>
      <c r="AL125" s="333" t="str">
        <f t="shared" si="9"/>
        <v/>
      </c>
      <c r="AM125" s="334" t="str">
        <f t="shared" si="10"/>
        <v/>
      </c>
      <c r="AN125" s="333" t="str">
        <f t="shared" si="11"/>
        <v/>
      </c>
      <c r="AO125" s="334" t="str">
        <f t="shared" si="12"/>
        <v/>
      </c>
      <c r="AP125" s="44"/>
      <c r="AQ125" s="2"/>
    </row>
    <row r="126" spans="1:43" ht="24.95" customHeight="1" x14ac:dyDescent="0.25">
      <c r="A126" s="2">
        <v>86</v>
      </c>
      <c r="B126" s="349"/>
      <c r="C126" s="350"/>
      <c r="D126" s="351"/>
      <c r="E126" s="351"/>
      <c r="F126" s="336"/>
      <c r="G126" s="327"/>
      <c r="H126" s="327"/>
      <c r="I126" s="325">
        <f t="shared" si="13"/>
        <v>0</v>
      </c>
      <c r="J126" s="540" t="s">
        <v>281</v>
      </c>
      <c r="K126" s="540"/>
      <c r="L126" s="337">
        <f>IFERROR(IF(F126="Sem projeto",VLOOKUP(C126,$B$32:$H$34,7,FALSE)*1.5,G126*VLOOKUP(J126,Aux_Lista!$AG:$AH,2,FALSE)+H126)*E126,0)</f>
        <v>0</v>
      </c>
      <c r="M126" s="346" t="s">
        <v>90</v>
      </c>
      <c r="N126" s="347" t="s">
        <v>90</v>
      </c>
      <c r="O126" s="348" t="s">
        <v>90</v>
      </c>
      <c r="P126" s="386">
        <f t="shared" si="14"/>
        <v>0</v>
      </c>
      <c r="R126" s="94">
        <v>95</v>
      </c>
      <c r="S126" s="383"/>
      <c r="T126" s="214"/>
      <c r="U126" s="214"/>
      <c r="V126" s="217"/>
      <c r="W126" s="215"/>
      <c r="X126" s="336"/>
      <c r="Y126" s="68" t="str">
        <f>IF(V126="","",VLOOKUP(V126,Aux_Lista!A:K,11,FALSE))</f>
        <v/>
      </c>
      <c r="Z126" s="68" t="str">
        <f>IF(V126="","",VLOOKUP(V126,Aux_Lista!A:L,12,FALSE))</f>
        <v/>
      </c>
      <c r="AA126" s="68" t="str">
        <f>IF(W126="","",VLOOKUP(W126,Aux_Lista!AN:AP,3,FALSE))</f>
        <v/>
      </c>
      <c r="AB126" s="68" t="str">
        <f>IF(W126="","",VLOOKUP(W126,Aux_Lista!AN:AP,2,FALSE))</f>
        <v/>
      </c>
      <c r="AC126" s="69"/>
      <c r="AD126" s="69"/>
      <c r="AE126" s="325">
        <f t="shared" si="8"/>
        <v>0</v>
      </c>
      <c r="AF126" s="540" t="s">
        <v>281</v>
      </c>
      <c r="AG126" s="540"/>
      <c r="AH126" s="337">
        <f>IFERROR(IF(X126="Sem projeto",1.5*AA126,AC126*VLOOKUP(AF126,Aux_Lista!AG:AH,2,FALSE)+AD126)*U126,0)</f>
        <v>0</v>
      </c>
      <c r="AI126" s="343" t="s">
        <v>90</v>
      </c>
      <c r="AJ126" s="343" t="s">
        <v>90</v>
      </c>
      <c r="AK126" s="343" t="s">
        <v>90</v>
      </c>
      <c r="AL126" s="333" t="str">
        <f t="shared" si="9"/>
        <v/>
      </c>
      <c r="AM126" s="334" t="str">
        <f t="shared" si="10"/>
        <v/>
      </c>
      <c r="AN126" s="333" t="str">
        <f t="shared" si="11"/>
        <v/>
      </c>
      <c r="AO126" s="334" t="str">
        <f t="shared" si="12"/>
        <v/>
      </c>
      <c r="AP126" s="44"/>
      <c r="AQ126" s="2"/>
    </row>
    <row r="127" spans="1:43" ht="24.95" customHeight="1" x14ac:dyDescent="0.25">
      <c r="A127" s="2">
        <v>87</v>
      </c>
      <c r="B127" s="349"/>
      <c r="C127" s="350"/>
      <c r="D127" s="351"/>
      <c r="E127" s="351"/>
      <c r="F127" s="336"/>
      <c r="G127" s="327"/>
      <c r="H127" s="327"/>
      <c r="I127" s="325">
        <f t="shared" si="13"/>
        <v>0</v>
      </c>
      <c r="J127" s="540" t="s">
        <v>281</v>
      </c>
      <c r="K127" s="540"/>
      <c r="L127" s="337">
        <f>IFERROR(IF(F127="Sem projeto",VLOOKUP(C127,$B$32:$H$34,7,FALSE)*1.5,G127*VLOOKUP(J127,Aux_Lista!$AG:$AH,2,FALSE)+H127)*E127,0)</f>
        <v>0</v>
      </c>
      <c r="M127" s="346" t="s">
        <v>90</v>
      </c>
      <c r="N127" s="347" t="s">
        <v>90</v>
      </c>
      <c r="O127" s="348" t="s">
        <v>90</v>
      </c>
      <c r="P127" s="386">
        <f t="shared" si="14"/>
        <v>0</v>
      </c>
      <c r="R127" s="94">
        <v>96</v>
      </c>
      <c r="S127" s="383"/>
      <c r="T127" s="214"/>
      <c r="U127" s="214"/>
      <c r="V127" s="217"/>
      <c r="W127" s="215"/>
      <c r="X127" s="336"/>
      <c r="Y127" s="68" t="str">
        <f>IF(V127="","",VLOOKUP(V127,Aux_Lista!A:K,11,FALSE))</f>
        <v/>
      </c>
      <c r="Z127" s="68" t="str">
        <f>IF(V127="","",VLOOKUP(V127,Aux_Lista!A:L,12,FALSE))</f>
        <v/>
      </c>
      <c r="AA127" s="68" t="str">
        <f>IF(W127="","",VLOOKUP(W127,Aux_Lista!AN:AP,3,FALSE))</f>
        <v/>
      </c>
      <c r="AB127" s="68" t="str">
        <f>IF(W127="","",VLOOKUP(W127,Aux_Lista!AN:AP,2,FALSE))</f>
        <v/>
      </c>
      <c r="AC127" s="69"/>
      <c r="AD127" s="69"/>
      <c r="AE127" s="325">
        <f t="shared" si="8"/>
        <v>0</v>
      </c>
      <c r="AF127" s="540" t="s">
        <v>281</v>
      </c>
      <c r="AG127" s="540"/>
      <c r="AH127" s="337">
        <f>IFERROR(IF(X127="Sem projeto",1.5*AA127,AC127*VLOOKUP(AF127,Aux_Lista!AG:AH,2,FALSE)+AD127)*U127,0)</f>
        <v>0</v>
      </c>
      <c r="AI127" s="343" t="s">
        <v>90</v>
      </c>
      <c r="AJ127" s="343" t="s">
        <v>90</v>
      </c>
      <c r="AK127" s="343" t="s">
        <v>90</v>
      </c>
      <c r="AL127" s="333" t="str">
        <f t="shared" si="9"/>
        <v/>
      </c>
      <c r="AM127" s="334" t="str">
        <f t="shared" si="10"/>
        <v/>
      </c>
      <c r="AN127" s="333" t="str">
        <f t="shared" si="11"/>
        <v/>
      </c>
      <c r="AO127" s="334" t="str">
        <f t="shared" si="12"/>
        <v/>
      </c>
      <c r="AP127" s="44"/>
      <c r="AQ127" s="2"/>
    </row>
    <row r="128" spans="1:43" ht="24.95" customHeight="1" x14ac:dyDescent="0.25">
      <c r="A128" s="2">
        <v>88</v>
      </c>
      <c r="B128" s="349"/>
      <c r="C128" s="350"/>
      <c r="D128" s="351"/>
      <c r="E128" s="351"/>
      <c r="F128" s="336"/>
      <c r="G128" s="327"/>
      <c r="H128" s="327"/>
      <c r="I128" s="325">
        <f t="shared" si="13"/>
        <v>0</v>
      </c>
      <c r="J128" s="540" t="s">
        <v>281</v>
      </c>
      <c r="K128" s="540"/>
      <c r="L128" s="337">
        <f>IFERROR(IF(F128="Sem projeto",VLOOKUP(C128,$B$32:$H$34,7,FALSE)*1.5,G128*VLOOKUP(J128,Aux_Lista!$AG:$AH,2,FALSE)+H128)*E128,0)</f>
        <v>0</v>
      </c>
      <c r="M128" s="346" t="s">
        <v>90</v>
      </c>
      <c r="N128" s="347" t="s">
        <v>90</v>
      </c>
      <c r="O128" s="348" t="s">
        <v>90</v>
      </c>
      <c r="P128" s="386">
        <f t="shared" si="14"/>
        <v>0</v>
      </c>
      <c r="R128" s="94">
        <v>97</v>
      </c>
      <c r="S128" s="383"/>
      <c r="T128" s="214"/>
      <c r="U128" s="214"/>
      <c r="V128" s="217"/>
      <c r="W128" s="215"/>
      <c r="X128" s="336"/>
      <c r="Y128" s="68" t="str">
        <f>IF(V128="","",VLOOKUP(V128,Aux_Lista!A:K,11,FALSE))</f>
        <v/>
      </c>
      <c r="Z128" s="68" t="str">
        <f>IF(V128="","",VLOOKUP(V128,Aux_Lista!A:L,12,FALSE))</f>
        <v/>
      </c>
      <c r="AA128" s="68" t="str">
        <f>IF(W128="","",VLOOKUP(W128,Aux_Lista!AN:AP,3,FALSE))</f>
        <v/>
      </c>
      <c r="AB128" s="68" t="str">
        <f>IF(W128="","",VLOOKUP(W128,Aux_Lista!AN:AP,2,FALSE))</f>
        <v/>
      </c>
      <c r="AC128" s="69"/>
      <c r="AD128" s="69"/>
      <c r="AE128" s="325">
        <f t="shared" si="8"/>
        <v>0</v>
      </c>
      <c r="AF128" s="540" t="s">
        <v>281</v>
      </c>
      <c r="AG128" s="540"/>
      <c r="AH128" s="337">
        <f>IFERROR(IF(X128="Sem projeto",1.5*AA128,AC128*VLOOKUP(AF128,Aux_Lista!AG:AH,2,FALSE)+AD128)*U128,0)</f>
        <v>0</v>
      </c>
      <c r="AI128" s="343" t="s">
        <v>90</v>
      </c>
      <c r="AJ128" s="343" t="s">
        <v>90</v>
      </c>
      <c r="AK128" s="343" t="s">
        <v>90</v>
      </c>
      <c r="AL128" s="333" t="str">
        <f t="shared" si="9"/>
        <v/>
      </c>
      <c r="AM128" s="334" t="str">
        <f t="shared" si="10"/>
        <v/>
      </c>
      <c r="AN128" s="333" t="str">
        <f t="shared" si="11"/>
        <v/>
      </c>
      <c r="AO128" s="334" t="str">
        <f t="shared" si="12"/>
        <v/>
      </c>
      <c r="AP128" s="44"/>
      <c r="AQ128" s="2"/>
    </row>
    <row r="129" spans="1:43" ht="24.95" customHeight="1" x14ac:dyDescent="0.25">
      <c r="A129" s="2">
        <v>89</v>
      </c>
      <c r="B129" s="349"/>
      <c r="C129" s="350"/>
      <c r="D129" s="351"/>
      <c r="E129" s="351"/>
      <c r="F129" s="336"/>
      <c r="G129" s="327"/>
      <c r="H129" s="327"/>
      <c r="I129" s="325">
        <f t="shared" si="13"/>
        <v>0</v>
      </c>
      <c r="J129" s="540" t="s">
        <v>281</v>
      </c>
      <c r="K129" s="540"/>
      <c r="L129" s="337">
        <f>IFERROR(IF(F129="Sem projeto",VLOOKUP(C129,$B$32:$H$34,7,FALSE)*1.5,G129*VLOOKUP(J129,Aux_Lista!$AG:$AH,2,FALSE)+H129)*E129,0)</f>
        <v>0</v>
      </c>
      <c r="M129" s="346" t="s">
        <v>90</v>
      </c>
      <c r="N129" s="347" t="s">
        <v>90</v>
      </c>
      <c r="O129" s="348" t="s">
        <v>90</v>
      </c>
      <c r="P129" s="386">
        <f t="shared" si="14"/>
        <v>0</v>
      </c>
      <c r="R129" s="94">
        <v>98</v>
      </c>
      <c r="S129" s="383"/>
      <c r="T129" s="214"/>
      <c r="U129" s="214"/>
      <c r="V129" s="217"/>
      <c r="W129" s="215"/>
      <c r="X129" s="336"/>
      <c r="Y129" s="68" t="str">
        <f>IF(V129="","",VLOOKUP(V129,Aux_Lista!A:K,11,FALSE))</f>
        <v/>
      </c>
      <c r="Z129" s="68" t="str">
        <f>IF(V129="","",VLOOKUP(V129,Aux_Lista!A:L,12,FALSE))</f>
        <v/>
      </c>
      <c r="AA129" s="68" t="str">
        <f>IF(W129="","",VLOOKUP(W129,Aux_Lista!AN:AP,3,FALSE))</f>
        <v/>
      </c>
      <c r="AB129" s="68" t="str">
        <f>IF(W129="","",VLOOKUP(W129,Aux_Lista!AN:AP,2,FALSE))</f>
        <v/>
      </c>
      <c r="AC129" s="69"/>
      <c r="AD129" s="69"/>
      <c r="AE129" s="325">
        <f t="shared" si="8"/>
        <v>0</v>
      </c>
      <c r="AF129" s="540" t="s">
        <v>281</v>
      </c>
      <c r="AG129" s="540"/>
      <c r="AH129" s="337">
        <f>IFERROR(IF(X129="Sem projeto",1.5*AA129,AC129*VLOOKUP(AF129,Aux_Lista!AG:AH,2,FALSE)+AD129)*U129,0)</f>
        <v>0</v>
      </c>
      <c r="AI129" s="343" t="s">
        <v>90</v>
      </c>
      <c r="AJ129" s="343" t="s">
        <v>90</v>
      </c>
      <c r="AK129" s="343" t="s">
        <v>90</v>
      </c>
      <c r="AL129" s="333" t="str">
        <f t="shared" si="9"/>
        <v/>
      </c>
      <c r="AM129" s="334" t="str">
        <f t="shared" si="10"/>
        <v/>
      </c>
      <c r="AN129" s="333" t="str">
        <f t="shared" si="11"/>
        <v/>
      </c>
      <c r="AO129" s="334" t="str">
        <f t="shared" si="12"/>
        <v/>
      </c>
      <c r="AP129" s="44"/>
      <c r="AQ129" s="2"/>
    </row>
    <row r="130" spans="1:43" ht="24.95" customHeight="1" x14ac:dyDescent="0.25">
      <c r="A130" s="2">
        <v>90</v>
      </c>
      <c r="B130" s="349"/>
      <c r="C130" s="350"/>
      <c r="D130" s="351"/>
      <c r="E130" s="351"/>
      <c r="F130" s="336"/>
      <c r="G130" s="327"/>
      <c r="H130" s="327"/>
      <c r="I130" s="325">
        <f t="shared" si="13"/>
        <v>0</v>
      </c>
      <c r="J130" s="540" t="s">
        <v>281</v>
      </c>
      <c r="K130" s="540"/>
      <c r="L130" s="337">
        <f>IFERROR(IF(F130="Sem projeto",VLOOKUP(C130,$B$32:$H$34,7,FALSE)*1.5,G130*VLOOKUP(J130,Aux_Lista!$AG:$AH,2,FALSE)+H130)*E130,0)</f>
        <v>0</v>
      </c>
      <c r="M130" s="346" t="s">
        <v>90</v>
      </c>
      <c r="N130" s="347" t="s">
        <v>90</v>
      </c>
      <c r="O130" s="348" t="s">
        <v>90</v>
      </c>
      <c r="P130" s="386">
        <f t="shared" si="14"/>
        <v>0</v>
      </c>
      <c r="R130" s="94">
        <v>99</v>
      </c>
      <c r="S130" s="383"/>
      <c r="T130" s="214"/>
      <c r="U130" s="214"/>
      <c r="V130" s="217"/>
      <c r="W130" s="215"/>
      <c r="X130" s="336"/>
      <c r="Y130" s="68" t="str">
        <f>IF(V130="","",VLOOKUP(V130,Aux_Lista!A:K,11,FALSE))</f>
        <v/>
      </c>
      <c r="Z130" s="68" t="str">
        <f>IF(V130="","",VLOOKUP(V130,Aux_Lista!A:L,12,FALSE))</f>
        <v/>
      </c>
      <c r="AA130" s="68" t="str">
        <f>IF(W130="","",VLOOKUP(W130,Aux_Lista!AN:AP,3,FALSE))</f>
        <v/>
      </c>
      <c r="AB130" s="68" t="str">
        <f>IF(W130="","",VLOOKUP(W130,Aux_Lista!AN:AP,2,FALSE))</f>
        <v/>
      </c>
      <c r="AC130" s="69"/>
      <c r="AD130" s="69"/>
      <c r="AE130" s="325">
        <f t="shared" si="8"/>
        <v>0</v>
      </c>
      <c r="AF130" s="540" t="s">
        <v>281</v>
      </c>
      <c r="AG130" s="540"/>
      <c r="AH130" s="337">
        <f>IFERROR(IF(X130="Sem projeto",1.5*AA130,AC130*VLOOKUP(AF130,Aux_Lista!AG:AH,2,FALSE)+AD130)*U130,0)</f>
        <v>0</v>
      </c>
      <c r="AI130" s="343" t="s">
        <v>90</v>
      </c>
      <c r="AJ130" s="343" t="s">
        <v>90</v>
      </c>
      <c r="AK130" s="343" t="s">
        <v>90</v>
      </c>
      <c r="AL130" s="333" t="str">
        <f t="shared" si="9"/>
        <v/>
      </c>
      <c r="AM130" s="334" t="str">
        <f t="shared" si="10"/>
        <v/>
      </c>
      <c r="AN130" s="333" t="str">
        <f t="shared" si="11"/>
        <v/>
      </c>
      <c r="AO130" s="334" t="str">
        <f t="shared" si="12"/>
        <v/>
      </c>
      <c r="AP130" s="44"/>
      <c r="AQ130" s="2"/>
    </row>
    <row r="131" spans="1:43" ht="24.95" customHeight="1" x14ac:dyDescent="0.25">
      <c r="A131" s="2">
        <v>91</v>
      </c>
      <c r="B131" s="349"/>
      <c r="C131" s="350"/>
      <c r="D131" s="351"/>
      <c r="E131" s="351"/>
      <c r="F131" s="336"/>
      <c r="G131" s="327"/>
      <c r="H131" s="327"/>
      <c r="I131" s="325">
        <f t="shared" si="13"/>
        <v>0</v>
      </c>
      <c r="J131" s="540" t="s">
        <v>281</v>
      </c>
      <c r="K131" s="540"/>
      <c r="L131" s="337">
        <f>IFERROR(IF(F131="Sem projeto",VLOOKUP(C131,$B$32:$H$34,7,FALSE)*1.5,G131*VLOOKUP(J131,Aux_Lista!$AG:$AH,2,FALSE)+H131)*E131,0)</f>
        <v>0</v>
      </c>
      <c r="M131" s="346" t="s">
        <v>90</v>
      </c>
      <c r="N131" s="347" t="s">
        <v>90</v>
      </c>
      <c r="O131" s="348" t="s">
        <v>90</v>
      </c>
      <c r="P131" s="386">
        <f t="shared" si="14"/>
        <v>0</v>
      </c>
      <c r="R131" s="94">
        <v>100</v>
      </c>
      <c r="S131" s="383"/>
      <c r="T131" s="214"/>
      <c r="U131" s="214"/>
      <c r="V131" s="217"/>
      <c r="W131" s="215"/>
      <c r="X131" s="336"/>
      <c r="Y131" s="68" t="str">
        <f>IF(V131="","",VLOOKUP(V131,Aux_Lista!A:K,11,FALSE))</f>
        <v/>
      </c>
      <c r="Z131" s="68" t="str">
        <f>IF(V131="","",VLOOKUP(V131,Aux_Lista!A:L,12,FALSE))</f>
        <v/>
      </c>
      <c r="AA131" s="68" t="str">
        <f>IF(W131="","",VLOOKUP(W131,Aux_Lista!AN:AP,3,FALSE))</f>
        <v/>
      </c>
      <c r="AB131" s="68" t="str">
        <f>IF(W131="","",VLOOKUP(W131,Aux_Lista!AN:AP,2,FALSE))</f>
        <v/>
      </c>
      <c r="AC131" s="69"/>
      <c r="AD131" s="69"/>
      <c r="AE131" s="325">
        <f t="shared" si="8"/>
        <v>0</v>
      </c>
      <c r="AF131" s="540" t="s">
        <v>281</v>
      </c>
      <c r="AG131" s="540"/>
      <c r="AH131" s="337">
        <f>IFERROR(IF(X131="Sem projeto",1.5*AA131,AC131*VLOOKUP(AF131,Aux_Lista!AG:AH,2,FALSE)+AD131)*U131,0)</f>
        <v>0</v>
      </c>
      <c r="AI131" s="343" t="s">
        <v>90</v>
      </c>
      <c r="AJ131" s="343" t="s">
        <v>90</v>
      </c>
      <c r="AK131" s="343" t="s">
        <v>90</v>
      </c>
      <c r="AL131" s="333" t="str">
        <f t="shared" si="9"/>
        <v/>
      </c>
      <c r="AM131" s="334" t="str">
        <f t="shared" si="10"/>
        <v/>
      </c>
      <c r="AN131" s="333" t="str">
        <f t="shared" si="11"/>
        <v/>
      </c>
      <c r="AO131" s="334" t="str">
        <f t="shared" si="12"/>
        <v/>
      </c>
      <c r="AP131" s="44"/>
      <c r="AQ131" s="2"/>
    </row>
    <row r="132" spans="1:43" ht="24.95" customHeight="1" x14ac:dyDescent="0.25">
      <c r="A132" s="2">
        <v>92</v>
      </c>
      <c r="B132" s="349"/>
      <c r="C132" s="350"/>
      <c r="D132" s="351"/>
      <c r="E132" s="351"/>
      <c r="F132" s="336"/>
      <c r="G132" s="327"/>
      <c r="H132" s="327"/>
      <c r="I132" s="325">
        <f t="shared" si="13"/>
        <v>0</v>
      </c>
      <c r="J132" s="540" t="s">
        <v>281</v>
      </c>
      <c r="K132" s="540"/>
      <c r="L132" s="337">
        <f>IFERROR(IF(F132="Sem projeto",VLOOKUP(C132,$B$32:$H$34,7,FALSE)*1.5,G132*VLOOKUP(J132,Aux_Lista!$AG:$AH,2,FALSE)+H132)*E132,0)</f>
        <v>0</v>
      </c>
      <c r="M132" s="346" t="s">
        <v>90</v>
      </c>
      <c r="N132" s="347" t="s">
        <v>90</v>
      </c>
      <c r="O132" s="348" t="s">
        <v>90</v>
      </c>
      <c r="P132" s="386">
        <f t="shared" si="14"/>
        <v>0</v>
      </c>
      <c r="R132" s="94">
        <v>101</v>
      </c>
      <c r="S132" s="383"/>
      <c r="T132" s="214"/>
      <c r="U132" s="214"/>
      <c r="V132" s="217"/>
      <c r="W132" s="215"/>
      <c r="X132" s="336"/>
      <c r="Y132" s="68" t="str">
        <f>IF(V132="","",VLOOKUP(V132,Aux_Lista!A:K,11,FALSE))</f>
        <v/>
      </c>
      <c r="Z132" s="68" t="str">
        <f>IF(V132="","",VLOOKUP(V132,Aux_Lista!A:L,12,FALSE))</f>
        <v/>
      </c>
      <c r="AA132" s="68" t="str">
        <f>IF(W132="","",VLOOKUP(W132,Aux_Lista!AN:AP,3,FALSE))</f>
        <v/>
      </c>
      <c r="AB132" s="68" t="str">
        <f>IF(W132="","",VLOOKUP(W132,Aux_Lista!AN:AP,2,FALSE))</f>
        <v/>
      </c>
      <c r="AC132" s="69"/>
      <c r="AD132" s="69"/>
      <c r="AE132" s="325">
        <f t="shared" si="8"/>
        <v>0</v>
      </c>
      <c r="AF132" s="540" t="s">
        <v>281</v>
      </c>
      <c r="AG132" s="540"/>
      <c r="AH132" s="337">
        <f>IFERROR(IF(X132="Sem projeto",1.5*AA132,AC132*VLOOKUP(AF132,Aux_Lista!AG:AH,2,FALSE)+AD132)*U132,0)</f>
        <v>0</v>
      </c>
      <c r="AI132" s="343" t="s">
        <v>90</v>
      </c>
      <c r="AJ132" s="343" t="s">
        <v>90</v>
      </c>
      <c r="AK132" s="343" t="s">
        <v>90</v>
      </c>
      <c r="AL132" s="333" t="str">
        <f t="shared" si="9"/>
        <v/>
      </c>
      <c r="AM132" s="334" t="str">
        <f t="shared" si="10"/>
        <v/>
      </c>
      <c r="AN132" s="333" t="str">
        <f t="shared" si="11"/>
        <v/>
      </c>
      <c r="AO132" s="334" t="str">
        <f t="shared" si="12"/>
        <v/>
      </c>
      <c r="AP132" s="44"/>
      <c r="AQ132" s="2"/>
    </row>
    <row r="133" spans="1:43" ht="24.95" customHeight="1" x14ac:dyDescent="0.25">
      <c r="A133" s="2">
        <v>93</v>
      </c>
      <c r="B133" s="349"/>
      <c r="C133" s="350"/>
      <c r="D133" s="351"/>
      <c r="E133" s="351"/>
      <c r="F133" s="336"/>
      <c r="G133" s="327"/>
      <c r="H133" s="327"/>
      <c r="I133" s="325">
        <f t="shared" si="13"/>
        <v>0</v>
      </c>
      <c r="J133" s="540" t="s">
        <v>281</v>
      </c>
      <c r="K133" s="540"/>
      <c r="L133" s="337">
        <f>IFERROR(IF(F133="Sem projeto",VLOOKUP(C133,$B$32:$H$34,7,FALSE)*1.5,G133*VLOOKUP(J133,Aux_Lista!$AG:$AH,2,FALSE)+H133)*E133,0)</f>
        <v>0</v>
      </c>
      <c r="M133" s="346" t="s">
        <v>90</v>
      </c>
      <c r="N133" s="347" t="s">
        <v>90</v>
      </c>
      <c r="O133" s="348" t="s">
        <v>90</v>
      </c>
      <c r="P133" s="386">
        <f t="shared" si="14"/>
        <v>0</v>
      </c>
      <c r="R133" s="94">
        <v>102</v>
      </c>
      <c r="S133" s="383"/>
      <c r="T133" s="214"/>
      <c r="U133" s="214"/>
      <c r="V133" s="217"/>
      <c r="W133" s="215"/>
      <c r="X133" s="336"/>
      <c r="Y133" s="68" t="str">
        <f>IF(V133="","",VLOOKUP(V133,Aux_Lista!A:K,11,FALSE))</f>
        <v/>
      </c>
      <c r="Z133" s="68" t="str">
        <f>IF(V133="","",VLOOKUP(V133,Aux_Lista!A:L,12,FALSE))</f>
        <v/>
      </c>
      <c r="AA133" s="68" t="str">
        <f>IF(W133="","",VLOOKUP(W133,Aux_Lista!AN:AP,3,FALSE))</f>
        <v/>
      </c>
      <c r="AB133" s="68" t="str">
        <f>IF(W133="","",VLOOKUP(W133,Aux_Lista!AN:AP,2,FALSE))</f>
        <v/>
      </c>
      <c r="AC133" s="69"/>
      <c r="AD133" s="69"/>
      <c r="AE133" s="325">
        <f t="shared" si="8"/>
        <v>0</v>
      </c>
      <c r="AF133" s="540" t="s">
        <v>281</v>
      </c>
      <c r="AG133" s="540"/>
      <c r="AH133" s="337">
        <f>IFERROR(IF(X133="Sem projeto",1.5*AA133,AC133*VLOOKUP(AF133,Aux_Lista!AG:AH,2,FALSE)+AD133)*U133,0)</f>
        <v>0</v>
      </c>
      <c r="AI133" s="343" t="s">
        <v>90</v>
      </c>
      <c r="AJ133" s="343" t="s">
        <v>90</v>
      </c>
      <c r="AK133" s="343" t="s">
        <v>90</v>
      </c>
      <c r="AL133" s="333" t="str">
        <f t="shared" si="9"/>
        <v/>
      </c>
      <c r="AM133" s="334" t="str">
        <f t="shared" si="10"/>
        <v/>
      </c>
      <c r="AN133" s="333" t="str">
        <f t="shared" si="11"/>
        <v/>
      </c>
      <c r="AO133" s="334" t="str">
        <f t="shared" si="12"/>
        <v/>
      </c>
      <c r="AP133" s="44"/>
      <c r="AQ133" s="2"/>
    </row>
    <row r="134" spans="1:43" ht="24.95" customHeight="1" x14ac:dyDescent="0.25">
      <c r="A134" s="2">
        <v>94</v>
      </c>
      <c r="B134" s="349"/>
      <c r="C134" s="350"/>
      <c r="D134" s="351"/>
      <c r="E134" s="351"/>
      <c r="F134" s="336"/>
      <c r="G134" s="327"/>
      <c r="H134" s="327"/>
      <c r="I134" s="325">
        <f t="shared" si="13"/>
        <v>0</v>
      </c>
      <c r="J134" s="540" t="s">
        <v>281</v>
      </c>
      <c r="K134" s="540"/>
      <c r="L134" s="337">
        <f>IFERROR(IF(F134="Sem projeto",VLOOKUP(C134,$B$32:$H$34,7,FALSE)*1.5,G134*VLOOKUP(J134,Aux_Lista!$AG:$AH,2,FALSE)+H134)*E134,0)</f>
        <v>0</v>
      </c>
      <c r="M134" s="346" t="s">
        <v>90</v>
      </c>
      <c r="N134" s="347" t="s">
        <v>90</v>
      </c>
      <c r="O134" s="348" t="s">
        <v>90</v>
      </c>
      <c r="P134" s="386">
        <f t="shared" si="14"/>
        <v>0</v>
      </c>
      <c r="R134" s="94">
        <v>103</v>
      </c>
      <c r="S134" s="383"/>
      <c r="T134" s="214"/>
      <c r="U134" s="214"/>
      <c r="V134" s="217"/>
      <c r="W134" s="215"/>
      <c r="X134" s="336"/>
      <c r="Y134" s="68" t="str">
        <f>IF(V134="","",VLOOKUP(V134,Aux_Lista!A:K,11,FALSE))</f>
        <v/>
      </c>
      <c r="Z134" s="68" t="str">
        <f>IF(V134="","",VLOOKUP(V134,Aux_Lista!A:L,12,FALSE))</f>
        <v/>
      </c>
      <c r="AA134" s="68" t="str">
        <f>IF(W134="","",VLOOKUP(W134,Aux_Lista!AN:AP,3,FALSE))</f>
        <v/>
      </c>
      <c r="AB134" s="68" t="str">
        <f>IF(W134="","",VLOOKUP(W134,Aux_Lista!AN:AP,2,FALSE))</f>
        <v/>
      </c>
      <c r="AC134" s="69"/>
      <c r="AD134" s="69"/>
      <c r="AE134" s="325">
        <f t="shared" si="8"/>
        <v>0</v>
      </c>
      <c r="AF134" s="540" t="s">
        <v>281</v>
      </c>
      <c r="AG134" s="540"/>
      <c r="AH134" s="337">
        <f>IFERROR(IF(X134="Sem projeto",1.5*AA134,AC134*VLOOKUP(AF134,Aux_Lista!AG:AH,2,FALSE)+AD134)*U134,0)</f>
        <v>0</v>
      </c>
      <c r="AI134" s="343" t="s">
        <v>90</v>
      </c>
      <c r="AJ134" s="343" t="s">
        <v>90</v>
      </c>
      <c r="AK134" s="343" t="s">
        <v>90</v>
      </c>
      <c r="AL134" s="333" t="str">
        <f t="shared" si="9"/>
        <v/>
      </c>
      <c r="AM134" s="334" t="str">
        <f t="shared" si="10"/>
        <v/>
      </c>
      <c r="AN134" s="333" t="str">
        <f t="shared" si="11"/>
        <v/>
      </c>
      <c r="AO134" s="334" t="str">
        <f t="shared" si="12"/>
        <v/>
      </c>
      <c r="AP134" s="44"/>
      <c r="AQ134" s="2"/>
    </row>
    <row r="135" spans="1:43" ht="24.95" customHeight="1" x14ac:dyDescent="0.25">
      <c r="A135" s="2">
        <v>95</v>
      </c>
      <c r="B135" s="349"/>
      <c r="C135" s="350"/>
      <c r="D135" s="351"/>
      <c r="E135" s="351"/>
      <c r="F135" s="336"/>
      <c r="G135" s="327"/>
      <c r="H135" s="327"/>
      <c r="I135" s="325">
        <f t="shared" si="13"/>
        <v>0</v>
      </c>
      <c r="J135" s="540" t="s">
        <v>281</v>
      </c>
      <c r="K135" s="540"/>
      <c r="L135" s="337">
        <f>IFERROR(IF(F135="Sem projeto",VLOOKUP(C135,$B$32:$H$34,7,FALSE)*1.5,G135*VLOOKUP(J135,Aux_Lista!$AG:$AH,2,FALSE)+H135)*E135,0)</f>
        <v>0</v>
      </c>
      <c r="M135" s="346" t="s">
        <v>90</v>
      </c>
      <c r="N135" s="347" t="s">
        <v>90</v>
      </c>
      <c r="O135" s="348" t="s">
        <v>90</v>
      </c>
      <c r="P135" s="386">
        <f t="shared" si="14"/>
        <v>0</v>
      </c>
      <c r="R135" s="94">
        <v>104</v>
      </c>
      <c r="S135" s="383"/>
      <c r="T135" s="214"/>
      <c r="U135" s="214"/>
      <c r="V135" s="217"/>
      <c r="W135" s="215"/>
      <c r="X135" s="336"/>
      <c r="Y135" s="68" t="str">
        <f>IF(V135="","",VLOOKUP(V135,Aux_Lista!A:K,11,FALSE))</f>
        <v/>
      </c>
      <c r="Z135" s="68" t="str">
        <f>IF(V135="","",VLOOKUP(V135,Aux_Lista!A:L,12,FALSE))</f>
        <v/>
      </c>
      <c r="AA135" s="68" t="str">
        <f>IF(W135="","",VLOOKUP(W135,Aux_Lista!AN:AP,3,FALSE))</f>
        <v/>
      </c>
      <c r="AB135" s="68" t="str">
        <f>IF(W135="","",VLOOKUP(W135,Aux_Lista!AN:AP,2,FALSE))</f>
        <v/>
      </c>
      <c r="AC135" s="69"/>
      <c r="AD135" s="69"/>
      <c r="AE135" s="325">
        <f t="shared" si="8"/>
        <v>0</v>
      </c>
      <c r="AF135" s="540" t="s">
        <v>281</v>
      </c>
      <c r="AG135" s="540"/>
      <c r="AH135" s="337">
        <f>IFERROR(IF(X135="Sem projeto",1.5*AA135,AC135*VLOOKUP(AF135,Aux_Lista!AG:AH,2,FALSE)+AD135)*U135,0)</f>
        <v>0</v>
      </c>
      <c r="AI135" s="343" t="s">
        <v>90</v>
      </c>
      <c r="AJ135" s="343" t="s">
        <v>90</v>
      </c>
      <c r="AK135" s="343" t="s">
        <v>90</v>
      </c>
      <c r="AL135" s="333" t="str">
        <f t="shared" si="9"/>
        <v/>
      </c>
      <c r="AM135" s="334" t="str">
        <f t="shared" si="10"/>
        <v/>
      </c>
      <c r="AN135" s="333" t="str">
        <f t="shared" si="11"/>
        <v/>
      </c>
      <c r="AO135" s="334" t="str">
        <f t="shared" si="12"/>
        <v/>
      </c>
      <c r="AP135" s="44"/>
      <c r="AQ135" s="2"/>
    </row>
    <row r="136" spans="1:43" ht="24.95" customHeight="1" x14ac:dyDescent="0.25">
      <c r="A136" s="2">
        <v>96</v>
      </c>
      <c r="B136" s="349"/>
      <c r="C136" s="350"/>
      <c r="D136" s="351"/>
      <c r="E136" s="351"/>
      <c r="F136" s="336"/>
      <c r="G136" s="327"/>
      <c r="H136" s="327"/>
      <c r="I136" s="325">
        <f t="shared" si="13"/>
        <v>0</v>
      </c>
      <c r="J136" s="540" t="s">
        <v>281</v>
      </c>
      <c r="K136" s="540"/>
      <c r="L136" s="337">
        <f>IFERROR(IF(F136="Sem projeto",VLOOKUP(C136,$B$32:$H$34,7,FALSE)*1.5,G136*VLOOKUP(J136,Aux_Lista!$AG:$AH,2,FALSE)+H136)*E136,0)</f>
        <v>0</v>
      </c>
      <c r="M136" s="346" t="s">
        <v>90</v>
      </c>
      <c r="N136" s="347" t="s">
        <v>90</v>
      </c>
      <c r="O136" s="348" t="s">
        <v>90</v>
      </c>
      <c r="P136" s="386">
        <f t="shared" si="14"/>
        <v>0</v>
      </c>
      <c r="R136" s="94">
        <v>105</v>
      </c>
      <c r="S136" s="383"/>
      <c r="T136" s="214"/>
      <c r="U136" s="214"/>
      <c r="V136" s="217"/>
      <c r="W136" s="215"/>
      <c r="X136" s="336"/>
      <c r="Y136" s="68" t="str">
        <f>IF(V136="","",VLOOKUP(V136,Aux_Lista!A:K,11,FALSE))</f>
        <v/>
      </c>
      <c r="Z136" s="68" t="str">
        <f>IF(V136="","",VLOOKUP(V136,Aux_Lista!A:L,12,FALSE))</f>
        <v/>
      </c>
      <c r="AA136" s="68" t="str">
        <f>IF(W136="","",VLOOKUP(W136,Aux_Lista!AN:AP,3,FALSE))</f>
        <v/>
      </c>
      <c r="AB136" s="68" t="str">
        <f>IF(W136="","",VLOOKUP(W136,Aux_Lista!AN:AP,2,FALSE))</f>
        <v/>
      </c>
      <c r="AC136" s="69"/>
      <c r="AD136" s="69"/>
      <c r="AE136" s="325">
        <f t="shared" si="8"/>
        <v>0</v>
      </c>
      <c r="AF136" s="540" t="s">
        <v>281</v>
      </c>
      <c r="AG136" s="540"/>
      <c r="AH136" s="337">
        <f>IFERROR(IF(X136="Sem projeto",1.5*AA136,AC136*VLOOKUP(AF136,Aux_Lista!AG:AH,2,FALSE)+AD136)*U136,0)</f>
        <v>0</v>
      </c>
      <c r="AI136" s="343" t="s">
        <v>90</v>
      </c>
      <c r="AJ136" s="343" t="s">
        <v>90</v>
      </c>
      <c r="AK136" s="343" t="s">
        <v>90</v>
      </c>
      <c r="AL136" s="333" t="str">
        <f t="shared" si="9"/>
        <v/>
      </c>
      <c r="AM136" s="334" t="str">
        <f t="shared" si="10"/>
        <v/>
      </c>
      <c r="AN136" s="333" t="str">
        <f t="shared" si="11"/>
        <v/>
      </c>
      <c r="AO136" s="334" t="str">
        <f t="shared" si="12"/>
        <v/>
      </c>
      <c r="AP136" s="44"/>
      <c r="AQ136" s="2"/>
    </row>
    <row r="137" spans="1:43" ht="24.95" customHeight="1" x14ac:dyDescent="0.25">
      <c r="A137" s="2">
        <v>97</v>
      </c>
      <c r="B137" s="349"/>
      <c r="C137" s="350"/>
      <c r="D137" s="351"/>
      <c r="E137" s="351"/>
      <c r="F137" s="336"/>
      <c r="G137" s="327"/>
      <c r="H137" s="327"/>
      <c r="I137" s="325">
        <f t="shared" si="13"/>
        <v>0</v>
      </c>
      <c r="J137" s="540" t="s">
        <v>281</v>
      </c>
      <c r="K137" s="540"/>
      <c r="L137" s="337">
        <f>IFERROR(IF(F137="Sem projeto",VLOOKUP(C137,$B$32:$H$34,7,FALSE)*1.5,G137*VLOOKUP(J137,Aux_Lista!$AG:$AH,2,FALSE)+H137)*E137,0)</f>
        <v>0</v>
      </c>
      <c r="M137" s="346" t="s">
        <v>90</v>
      </c>
      <c r="N137" s="347" t="s">
        <v>90</v>
      </c>
      <c r="O137" s="348" t="s">
        <v>90</v>
      </c>
      <c r="P137" s="386">
        <f t="shared" si="14"/>
        <v>0</v>
      </c>
      <c r="R137" s="94">
        <v>106</v>
      </c>
      <c r="S137" s="383"/>
      <c r="T137" s="214"/>
      <c r="U137" s="214"/>
      <c r="V137" s="217"/>
      <c r="W137" s="215"/>
      <c r="X137" s="336"/>
      <c r="Y137" s="68" t="str">
        <f>IF(V137="","",VLOOKUP(V137,Aux_Lista!A:K,11,FALSE))</f>
        <v/>
      </c>
      <c r="Z137" s="68" t="str">
        <f>IF(V137="","",VLOOKUP(V137,Aux_Lista!A:L,12,FALSE))</f>
        <v/>
      </c>
      <c r="AA137" s="68" t="str">
        <f>IF(W137="","",VLOOKUP(W137,Aux_Lista!AN:AP,3,FALSE))</f>
        <v/>
      </c>
      <c r="AB137" s="68" t="str">
        <f>IF(W137="","",VLOOKUP(W137,Aux_Lista!AN:AP,2,FALSE))</f>
        <v/>
      </c>
      <c r="AC137" s="69"/>
      <c r="AD137" s="69"/>
      <c r="AE137" s="325">
        <f t="shared" si="8"/>
        <v>0</v>
      </c>
      <c r="AF137" s="540" t="s">
        <v>281</v>
      </c>
      <c r="AG137" s="540"/>
      <c r="AH137" s="337">
        <f>IFERROR(IF(X137="Sem projeto",1.5*AA137,AC137*VLOOKUP(AF137,Aux_Lista!AG:AH,2,FALSE)+AD137)*U137,0)</f>
        <v>0</v>
      </c>
      <c r="AI137" s="343" t="s">
        <v>90</v>
      </c>
      <c r="AJ137" s="343" t="s">
        <v>90</v>
      </c>
      <c r="AK137" s="343" t="s">
        <v>90</v>
      </c>
      <c r="AL137" s="333" t="str">
        <f t="shared" si="9"/>
        <v/>
      </c>
      <c r="AM137" s="334" t="str">
        <f t="shared" si="10"/>
        <v/>
      </c>
      <c r="AN137" s="333" t="str">
        <f t="shared" si="11"/>
        <v/>
      </c>
      <c r="AO137" s="334" t="str">
        <f t="shared" si="12"/>
        <v/>
      </c>
      <c r="AP137" s="44"/>
      <c r="AQ137" s="2"/>
    </row>
    <row r="138" spans="1:43" ht="24.95" customHeight="1" x14ac:dyDescent="0.25">
      <c r="A138" s="2">
        <v>98</v>
      </c>
      <c r="B138" s="349"/>
      <c r="C138" s="350"/>
      <c r="D138" s="351"/>
      <c r="E138" s="351"/>
      <c r="F138" s="336"/>
      <c r="G138" s="327"/>
      <c r="H138" s="327"/>
      <c r="I138" s="325">
        <f t="shared" si="13"/>
        <v>0</v>
      </c>
      <c r="J138" s="540" t="s">
        <v>281</v>
      </c>
      <c r="K138" s="540"/>
      <c r="L138" s="337">
        <f>IFERROR(IF(F138="Sem projeto",VLOOKUP(C138,$B$32:$H$34,7,FALSE)*1.5,G138*VLOOKUP(J138,Aux_Lista!$AG:$AH,2,FALSE)+H138)*E138,0)</f>
        <v>0</v>
      </c>
      <c r="M138" s="346" t="s">
        <v>90</v>
      </c>
      <c r="N138" s="347" t="s">
        <v>90</v>
      </c>
      <c r="O138" s="348" t="s">
        <v>90</v>
      </c>
      <c r="P138" s="386">
        <f t="shared" si="14"/>
        <v>0</v>
      </c>
      <c r="R138" s="94">
        <v>107</v>
      </c>
      <c r="S138" s="383"/>
      <c r="T138" s="214"/>
      <c r="U138" s="214"/>
      <c r="V138" s="217"/>
      <c r="W138" s="215"/>
      <c r="X138" s="336"/>
      <c r="Y138" s="68" t="str">
        <f>IF(V138="","",VLOOKUP(V138,Aux_Lista!A:K,11,FALSE))</f>
        <v/>
      </c>
      <c r="Z138" s="68" t="str">
        <f>IF(V138="","",VLOOKUP(V138,Aux_Lista!A:L,12,FALSE))</f>
        <v/>
      </c>
      <c r="AA138" s="68" t="str">
        <f>IF(W138="","",VLOOKUP(W138,Aux_Lista!AN:AP,3,FALSE))</f>
        <v/>
      </c>
      <c r="AB138" s="68" t="str">
        <f>IF(W138="","",VLOOKUP(W138,Aux_Lista!AN:AP,2,FALSE))</f>
        <v/>
      </c>
      <c r="AC138" s="69"/>
      <c r="AD138" s="69"/>
      <c r="AE138" s="325">
        <f t="shared" si="8"/>
        <v>0</v>
      </c>
      <c r="AF138" s="540" t="s">
        <v>281</v>
      </c>
      <c r="AG138" s="540"/>
      <c r="AH138" s="337">
        <f>IFERROR(IF(X138="Sem projeto",1.5*AA138,AC138*VLOOKUP(AF138,Aux_Lista!AG:AH,2,FALSE)+AD138)*U138,0)</f>
        <v>0</v>
      </c>
      <c r="AI138" s="343" t="s">
        <v>90</v>
      </c>
      <c r="AJ138" s="343" t="s">
        <v>90</v>
      </c>
      <c r="AK138" s="343" t="s">
        <v>90</v>
      </c>
      <c r="AL138" s="333" t="str">
        <f t="shared" si="9"/>
        <v/>
      </c>
      <c r="AM138" s="334" t="str">
        <f t="shared" si="10"/>
        <v/>
      </c>
      <c r="AN138" s="333" t="str">
        <f t="shared" si="11"/>
        <v/>
      </c>
      <c r="AO138" s="334" t="str">
        <f t="shared" si="12"/>
        <v/>
      </c>
      <c r="AP138" s="44"/>
      <c r="AQ138" s="2"/>
    </row>
    <row r="139" spans="1:43" ht="24.95" customHeight="1" x14ac:dyDescent="0.25">
      <c r="A139" s="2">
        <v>99</v>
      </c>
      <c r="B139" s="349"/>
      <c r="C139" s="350"/>
      <c r="D139" s="351"/>
      <c r="E139" s="351"/>
      <c r="F139" s="336"/>
      <c r="G139" s="327"/>
      <c r="H139" s="327"/>
      <c r="I139" s="325">
        <f t="shared" si="13"/>
        <v>0</v>
      </c>
      <c r="J139" s="540" t="s">
        <v>281</v>
      </c>
      <c r="K139" s="540"/>
      <c r="L139" s="337">
        <f>IFERROR(IF(F139="Sem projeto",VLOOKUP(C139,$B$32:$H$34,7,FALSE)*1.5,G139*VLOOKUP(J139,Aux_Lista!$AG:$AH,2,FALSE)+H139)*E139,0)</f>
        <v>0</v>
      </c>
      <c r="M139" s="346" t="s">
        <v>90</v>
      </c>
      <c r="N139" s="347" t="s">
        <v>90</v>
      </c>
      <c r="O139" s="348" t="s">
        <v>90</v>
      </c>
      <c r="P139" s="386">
        <f t="shared" si="14"/>
        <v>0</v>
      </c>
      <c r="R139" s="94">
        <v>108</v>
      </c>
      <c r="S139" s="383"/>
      <c r="T139" s="214"/>
      <c r="U139" s="214"/>
      <c r="V139" s="217"/>
      <c r="W139" s="215"/>
      <c r="X139" s="336"/>
      <c r="Y139" s="68" t="str">
        <f>IF(V139="","",VLOOKUP(V139,Aux_Lista!A:K,11,FALSE))</f>
        <v/>
      </c>
      <c r="Z139" s="68" t="str">
        <f>IF(V139="","",VLOOKUP(V139,Aux_Lista!A:L,12,FALSE))</f>
        <v/>
      </c>
      <c r="AA139" s="68" t="str">
        <f>IF(W139="","",VLOOKUP(W139,Aux_Lista!AN:AP,3,FALSE))</f>
        <v/>
      </c>
      <c r="AB139" s="68" t="str">
        <f>IF(W139="","",VLOOKUP(W139,Aux_Lista!AN:AP,2,FALSE))</f>
        <v/>
      </c>
      <c r="AC139" s="69"/>
      <c r="AD139" s="69"/>
      <c r="AE139" s="325">
        <f t="shared" si="8"/>
        <v>0</v>
      </c>
      <c r="AF139" s="540" t="s">
        <v>281</v>
      </c>
      <c r="AG139" s="540"/>
      <c r="AH139" s="337">
        <f>IFERROR(IF(X139="Sem projeto",1.5*AA139,AC139*VLOOKUP(AF139,Aux_Lista!AG:AH,2,FALSE)+AD139)*U139,0)</f>
        <v>0</v>
      </c>
      <c r="AI139" s="343" t="s">
        <v>90</v>
      </c>
      <c r="AJ139" s="343" t="s">
        <v>90</v>
      </c>
      <c r="AK139" s="343" t="s">
        <v>90</v>
      </c>
      <c r="AL139" s="333" t="str">
        <f t="shared" si="9"/>
        <v/>
      </c>
      <c r="AM139" s="334" t="str">
        <f t="shared" si="10"/>
        <v/>
      </c>
      <c r="AN139" s="333" t="str">
        <f t="shared" si="11"/>
        <v/>
      </c>
      <c r="AO139" s="334" t="str">
        <f t="shared" si="12"/>
        <v/>
      </c>
      <c r="AP139" s="44"/>
      <c r="AQ139" s="2"/>
    </row>
    <row r="140" spans="1:43" ht="24.95" customHeight="1" x14ac:dyDescent="0.25">
      <c r="A140" s="2">
        <v>100</v>
      </c>
      <c r="B140" s="349"/>
      <c r="C140" s="350"/>
      <c r="D140" s="351"/>
      <c r="E140" s="351"/>
      <c r="F140" s="336"/>
      <c r="G140" s="327"/>
      <c r="H140" s="327"/>
      <c r="I140" s="325">
        <f t="shared" si="13"/>
        <v>0</v>
      </c>
      <c r="J140" s="540" t="s">
        <v>281</v>
      </c>
      <c r="K140" s="540"/>
      <c r="L140" s="337">
        <f>IFERROR(IF(F140="Sem projeto",VLOOKUP(C140,$B$32:$H$34,7,FALSE)*1.5,G140*VLOOKUP(J140,Aux_Lista!$AG:$AH,2,FALSE)+H140)*E140,0)</f>
        <v>0</v>
      </c>
      <c r="M140" s="346" t="s">
        <v>90</v>
      </c>
      <c r="N140" s="347" t="s">
        <v>90</v>
      </c>
      <c r="O140" s="348" t="s">
        <v>90</v>
      </c>
      <c r="P140" s="386">
        <f t="shared" si="14"/>
        <v>0</v>
      </c>
      <c r="R140" s="94">
        <v>109</v>
      </c>
      <c r="S140" s="383"/>
      <c r="T140" s="214"/>
      <c r="U140" s="214"/>
      <c r="V140" s="217"/>
      <c r="W140" s="215"/>
      <c r="X140" s="336"/>
      <c r="Y140" s="68" t="str">
        <f>IF(V140="","",VLOOKUP(V140,Aux_Lista!A:K,11,FALSE))</f>
        <v/>
      </c>
      <c r="Z140" s="68" t="str">
        <f>IF(V140="","",VLOOKUP(V140,Aux_Lista!A:L,12,FALSE))</f>
        <v/>
      </c>
      <c r="AA140" s="68" t="str">
        <f>IF(W140="","",VLOOKUP(W140,Aux_Lista!AN:AP,3,FALSE))</f>
        <v/>
      </c>
      <c r="AB140" s="68" t="str">
        <f>IF(W140="","",VLOOKUP(W140,Aux_Lista!AN:AP,2,FALSE))</f>
        <v/>
      </c>
      <c r="AC140" s="69"/>
      <c r="AD140" s="69"/>
      <c r="AE140" s="325">
        <f t="shared" si="8"/>
        <v>0</v>
      </c>
      <c r="AF140" s="540" t="s">
        <v>281</v>
      </c>
      <c r="AG140" s="540"/>
      <c r="AH140" s="337">
        <f>IFERROR(IF(X140="Sem projeto",1.5*AA140,AC140*VLOOKUP(AF140,Aux_Lista!AG:AH,2,FALSE)+AD140)*U140,0)</f>
        <v>0</v>
      </c>
      <c r="AI140" s="343" t="s">
        <v>90</v>
      </c>
      <c r="AJ140" s="343" t="s">
        <v>90</v>
      </c>
      <c r="AK140" s="343" t="s">
        <v>90</v>
      </c>
      <c r="AL140" s="333" t="str">
        <f t="shared" si="9"/>
        <v/>
      </c>
      <c r="AM140" s="334" t="str">
        <f t="shared" si="10"/>
        <v/>
      </c>
      <c r="AN140" s="333" t="str">
        <f t="shared" si="11"/>
        <v/>
      </c>
      <c r="AO140" s="334" t="str">
        <f t="shared" si="12"/>
        <v/>
      </c>
      <c r="AP140" s="44"/>
      <c r="AQ140" s="2"/>
    </row>
    <row r="141" spans="1:43" ht="24.95" customHeight="1" x14ac:dyDescent="0.25">
      <c r="A141" s="2">
        <v>101</v>
      </c>
      <c r="B141" s="349"/>
      <c r="C141" s="350"/>
      <c r="D141" s="351"/>
      <c r="E141" s="351"/>
      <c r="F141" s="336"/>
      <c r="G141" s="327"/>
      <c r="H141" s="327"/>
      <c r="I141" s="325">
        <f t="shared" si="13"/>
        <v>0</v>
      </c>
      <c r="J141" s="540" t="s">
        <v>281</v>
      </c>
      <c r="K141" s="540"/>
      <c r="L141" s="337">
        <f>IFERROR(IF(F141="Sem projeto",VLOOKUP(C141,$B$32:$H$34,7,FALSE)*1.5,G141*VLOOKUP(J141,Aux_Lista!$AG:$AH,2,FALSE)+H141)*E141,0)</f>
        <v>0</v>
      </c>
      <c r="M141" s="346" t="s">
        <v>90</v>
      </c>
      <c r="N141" s="347" t="s">
        <v>90</v>
      </c>
      <c r="O141" s="348" t="s">
        <v>90</v>
      </c>
      <c r="P141" s="386">
        <f t="shared" si="14"/>
        <v>0</v>
      </c>
      <c r="R141" s="94">
        <v>110</v>
      </c>
      <c r="S141" s="383"/>
      <c r="T141" s="214"/>
      <c r="U141" s="214"/>
      <c r="V141" s="217"/>
      <c r="W141" s="215"/>
      <c r="X141" s="336"/>
      <c r="Y141" s="68" t="str">
        <f>IF(V141="","",VLOOKUP(V141,Aux_Lista!A:K,11,FALSE))</f>
        <v/>
      </c>
      <c r="Z141" s="68" t="str">
        <f>IF(V141="","",VLOOKUP(V141,Aux_Lista!A:L,12,FALSE))</f>
        <v/>
      </c>
      <c r="AA141" s="68" t="str">
        <f>IF(W141="","",VLOOKUP(W141,Aux_Lista!AN:AP,3,FALSE))</f>
        <v/>
      </c>
      <c r="AB141" s="68" t="str">
        <f>IF(W141="","",VLOOKUP(W141,Aux_Lista!AN:AP,2,FALSE))</f>
        <v/>
      </c>
      <c r="AC141" s="69"/>
      <c r="AD141" s="69"/>
      <c r="AE141" s="325">
        <f t="shared" si="8"/>
        <v>0</v>
      </c>
      <c r="AF141" s="540" t="s">
        <v>281</v>
      </c>
      <c r="AG141" s="540"/>
      <c r="AH141" s="337">
        <f>IFERROR(IF(X141="Sem projeto",1.5*AA141,AC141*VLOOKUP(AF141,Aux_Lista!AG:AH,2,FALSE)+AD141)*U141,0)</f>
        <v>0</v>
      </c>
      <c r="AI141" s="343" t="s">
        <v>90</v>
      </c>
      <c r="AJ141" s="343" t="s">
        <v>90</v>
      </c>
      <c r="AK141" s="343" t="s">
        <v>90</v>
      </c>
      <c r="AL141" s="333" t="str">
        <f t="shared" si="9"/>
        <v/>
      </c>
      <c r="AM141" s="334" t="str">
        <f t="shared" si="10"/>
        <v/>
      </c>
      <c r="AN141" s="333" t="str">
        <f t="shared" si="11"/>
        <v/>
      </c>
      <c r="AO141" s="334" t="str">
        <f t="shared" si="12"/>
        <v/>
      </c>
      <c r="AP141" s="44"/>
      <c r="AQ141" s="2"/>
    </row>
    <row r="142" spans="1:43" ht="24.95" customHeight="1" x14ac:dyDescent="0.25">
      <c r="A142" s="2">
        <v>102</v>
      </c>
      <c r="B142" s="349"/>
      <c r="C142" s="350"/>
      <c r="D142" s="351"/>
      <c r="E142" s="351"/>
      <c r="F142" s="336"/>
      <c r="G142" s="327"/>
      <c r="H142" s="327"/>
      <c r="I142" s="325">
        <f t="shared" si="13"/>
        <v>0</v>
      </c>
      <c r="J142" s="540" t="s">
        <v>281</v>
      </c>
      <c r="K142" s="540"/>
      <c r="L142" s="337">
        <f>IFERROR(IF(F142="Sem projeto",VLOOKUP(C142,$B$32:$H$34,7,FALSE)*1.5,G142*VLOOKUP(J142,Aux_Lista!$AG:$AH,2,FALSE)+H142)*E142,0)</f>
        <v>0</v>
      </c>
      <c r="M142" s="346" t="s">
        <v>90</v>
      </c>
      <c r="N142" s="347" t="s">
        <v>90</v>
      </c>
      <c r="O142" s="348" t="s">
        <v>90</v>
      </c>
      <c r="P142" s="386">
        <f t="shared" si="14"/>
        <v>0</v>
      </c>
      <c r="R142" s="94">
        <v>111</v>
      </c>
      <c r="S142" s="383"/>
      <c r="T142" s="214"/>
      <c r="U142" s="214"/>
      <c r="V142" s="217"/>
      <c r="W142" s="215"/>
      <c r="X142" s="336"/>
      <c r="Y142" s="68" t="str">
        <f>IF(V142="","",VLOOKUP(V142,Aux_Lista!A:K,11,FALSE))</f>
        <v/>
      </c>
      <c r="Z142" s="68" t="str">
        <f>IF(V142="","",VLOOKUP(V142,Aux_Lista!A:L,12,FALSE))</f>
        <v/>
      </c>
      <c r="AA142" s="68" t="str">
        <f>IF(W142="","",VLOOKUP(W142,Aux_Lista!AN:AP,3,FALSE))</f>
        <v/>
      </c>
      <c r="AB142" s="68" t="str">
        <f>IF(W142="","",VLOOKUP(W142,Aux_Lista!AN:AP,2,FALSE))</f>
        <v/>
      </c>
      <c r="AC142" s="69"/>
      <c r="AD142" s="69"/>
      <c r="AE142" s="325">
        <f t="shared" si="8"/>
        <v>0</v>
      </c>
      <c r="AF142" s="540" t="s">
        <v>281</v>
      </c>
      <c r="AG142" s="540"/>
      <c r="AH142" s="337">
        <f>IFERROR(IF(X142="Sem projeto",1.5*AA142,AC142*VLOOKUP(AF142,Aux_Lista!AG:AH,2,FALSE)+AD142)*U142,0)</f>
        <v>0</v>
      </c>
      <c r="AI142" s="343" t="s">
        <v>90</v>
      </c>
      <c r="AJ142" s="343" t="s">
        <v>90</v>
      </c>
      <c r="AK142" s="343" t="s">
        <v>90</v>
      </c>
      <c r="AL142" s="333" t="str">
        <f t="shared" si="9"/>
        <v/>
      </c>
      <c r="AM142" s="334" t="str">
        <f t="shared" si="10"/>
        <v/>
      </c>
      <c r="AN142" s="333" t="str">
        <f t="shared" si="11"/>
        <v/>
      </c>
      <c r="AO142" s="334" t="str">
        <f t="shared" si="12"/>
        <v/>
      </c>
      <c r="AP142" s="44"/>
      <c r="AQ142" s="2"/>
    </row>
    <row r="143" spans="1:43" ht="24.95" customHeight="1" x14ac:dyDescent="0.25">
      <c r="A143" s="2">
        <v>103</v>
      </c>
      <c r="B143" s="349"/>
      <c r="C143" s="350"/>
      <c r="D143" s="351"/>
      <c r="E143" s="351"/>
      <c r="F143" s="336"/>
      <c r="G143" s="327"/>
      <c r="H143" s="327"/>
      <c r="I143" s="325">
        <f t="shared" si="13"/>
        <v>0</v>
      </c>
      <c r="J143" s="540" t="s">
        <v>281</v>
      </c>
      <c r="K143" s="540"/>
      <c r="L143" s="337">
        <f>IFERROR(IF(F143="Sem projeto",VLOOKUP(C143,$B$32:$H$34,7,FALSE)*1.5,G143*VLOOKUP(J143,Aux_Lista!$AG:$AH,2,FALSE)+H143)*E143,0)</f>
        <v>0</v>
      </c>
      <c r="M143" s="346" t="s">
        <v>90</v>
      </c>
      <c r="N143" s="347" t="s">
        <v>90</v>
      </c>
      <c r="O143" s="348" t="s">
        <v>90</v>
      </c>
      <c r="P143" s="386">
        <f t="shared" si="14"/>
        <v>0</v>
      </c>
      <c r="R143" s="94">
        <v>112</v>
      </c>
      <c r="S143" s="383"/>
      <c r="T143" s="214"/>
      <c r="U143" s="214"/>
      <c r="V143" s="217"/>
      <c r="W143" s="215"/>
      <c r="X143" s="336"/>
      <c r="Y143" s="68" t="str">
        <f>IF(V143="","",VLOOKUP(V143,Aux_Lista!A:K,11,FALSE))</f>
        <v/>
      </c>
      <c r="Z143" s="68" t="str">
        <f>IF(V143="","",VLOOKUP(V143,Aux_Lista!A:L,12,FALSE))</f>
        <v/>
      </c>
      <c r="AA143" s="68" t="str">
        <f>IF(W143="","",VLOOKUP(W143,Aux_Lista!AN:AP,3,FALSE))</f>
        <v/>
      </c>
      <c r="AB143" s="68" t="str">
        <f>IF(W143="","",VLOOKUP(W143,Aux_Lista!AN:AP,2,FALSE))</f>
        <v/>
      </c>
      <c r="AC143" s="69"/>
      <c r="AD143" s="69"/>
      <c r="AE143" s="325">
        <f t="shared" si="8"/>
        <v>0</v>
      </c>
      <c r="AF143" s="540" t="s">
        <v>281</v>
      </c>
      <c r="AG143" s="540"/>
      <c r="AH143" s="337">
        <f>IFERROR(IF(X143="Sem projeto",1.5*AA143,AC143*VLOOKUP(AF143,Aux_Lista!AG:AH,2,FALSE)+AD143)*U143,0)</f>
        <v>0</v>
      </c>
      <c r="AI143" s="343" t="s">
        <v>90</v>
      </c>
      <c r="AJ143" s="343" t="s">
        <v>90</v>
      </c>
      <c r="AK143" s="343" t="s">
        <v>90</v>
      </c>
      <c r="AL143" s="333" t="str">
        <f t="shared" si="9"/>
        <v/>
      </c>
      <c r="AM143" s="334" t="str">
        <f t="shared" si="10"/>
        <v/>
      </c>
      <c r="AN143" s="333" t="str">
        <f t="shared" si="11"/>
        <v/>
      </c>
      <c r="AO143" s="334" t="str">
        <f t="shared" si="12"/>
        <v/>
      </c>
      <c r="AP143" s="44"/>
      <c r="AQ143" s="2"/>
    </row>
    <row r="144" spans="1:43" ht="24.95" customHeight="1" x14ac:dyDescent="0.25">
      <c r="A144" s="2">
        <v>104</v>
      </c>
      <c r="B144" s="349"/>
      <c r="C144" s="350"/>
      <c r="D144" s="351"/>
      <c r="E144" s="351"/>
      <c r="F144" s="336"/>
      <c r="G144" s="327"/>
      <c r="H144" s="327"/>
      <c r="I144" s="325">
        <f t="shared" si="13"/>
        <v>0</v>
      </c>
      <c r="J144" s="540" t="s">
        <v>281</v>
      </c>
      <c r="K144" s="540"/>
      <c r="L144" s="337">
        <f>IFERROR(IF(F144="Sem projeto",VLOOKUP(C144,$B$32:$H$34,7,FALSE)*1.5,G144*VLOOKUP(J144,Aux_Lista!$AG:$AH,2,FALSE)+H144)*E144,0)</f>
        <v>0</v>
      </c>
      <c r="M144" s="346" t="s">
        <v>90</v>
      </c>
      <c r="N144" s="347" t="s">
        <v>90</v>
      </c>
      <c r="O144" s="348" t="s">
        <v>90</v>
      </c>
      <c r="P144" s="386">
        <f t="shared" si="14"/>
        <v>0</v>
      </c>
      <c r="R144" s="94">
        <v>113</v>
      </c>
      <c r="S144" s="383"/>
      <c r="T144" s="214"/>
      <c r="U144" s="214"/>
      <c r="V144" s="217"/>
      <c r="W144" s="215"/>
      <c r="X144" s="336"/>
      <c r="Y144" s="68" t="str">
        <f>IF(V144="","",VLOOKUP(V144,Aux_Lista!A:K,11,FALSE))</f>
        <v/>
      </c>
      <c r="Z144" s="68" t="str">
        <f>IF(V144="","",VLOOKUP(V144,Aux_Lista!A:L,12,FALSE))</f>
        <v/>
      </c>
      <c r="AA144" s="68" t="str">
        <f>IF(W144="","",VLOOKUP(W144,Aux_Lista!AN:AP,3,FALSE))</f>
        <v/>
      </c>
      <c r="AB144" s="68" t="str">
        <f>IF(W144="","",VLOOKUP(W144,Aux_Lista!AN:AP,2,FALSE))</f>
        <v/>
      </c>
      <c r="AC144" s="69"/>
      <c r="AD144" s="69"/>
      <c r="AE144" s="325">
        <f t="shared" si="8"/>
        <v>0</v>
      </c>
      <c r="AF144" s="540" t="s">
        <v>281</v>
      </c>
      <c r="AG144" s="540"/>
      <c r="AH144" s="337">
        <f>IFERROR(IF(X144="Sem projeto",1.5*AA144,AC144*VLOOKUP(AF144,Aux_Lista!AG:AH,2,FALSE)+AD144)*U144,0)</f>
        <v>0</v>
      </c>
      <c r="AI144" s="343" t="s">
        <v>90</v>
      </c>
      <c r="AJ144" s="343" t="s">
        <v>90</v>
      </c>
      <c r="AK144" s="343" t="s">
        <v>90</v>
      </c>
      <c r="AL144" s="333" t="str">
        <f t="shared" si="9"/>
        <v/>
      </c>
      <c r="AM144" s="334" t="str">
        <f t="shared" si="10"/>
        <v/>
      </c>
      <c r="AN144" s="333" t="str">
        <f t="shared" si="11"/>
        <v/>
      </c>
      <c r="AO144" s="334" t="str">
        <f t="shared" si="12"/>
        <v/>
      </c>
      <c r="AP144" s="44"/>
      <c r="AQ144" s="2"/>
    </row>
    <row r="145" spans="1:43" ht="24.95" customHeight="1" x14ac:dyDescent="0.25">
      <c r="A145" s="2">
        <v>105</v>
      </c>
      <c r="B145" s="349"/>
      <c r="C145" s="350"/>
      <c r="D145" s="351"/>
      <c r="E145" s="351"/>
      <c r="F145" s="336"/>
      <c r="G145" s="327"/>
      <c r="H145" s="327"/>
      <c r="I145" s="325">
        <f t="shared" si="13"/>
        <v>0</v>
      </c>
      <c r="J145" s="540" t="s">
        <v>281</v>
      </c>
      <c r="K145" s="540"/>
      <c r="L145" s="337">
        <f>IFERROR(IF(F145="Sem projeto",VLOOKUP(C145,$B$32:$H$34,7,FALSE)*1.5,G145*VLOOKUP(J145,Aux_Lista!$AG:$AH,2,FALSE)+H145)*E145,0)</f>
        <v>0</v>
      </c>
      <c r="M145" s="346" t="s">
        <v>90</v>
      </c>
      <c r="N145" s="347" t="s">
        <v>90</v>
      </c>
      <c r="O145" s="348" t="s">
        <v>90</v>
      </c>
      <c r="P145" s="386">
        <f t="shared" si="14"/>
        <v>0</v>
      </c>
      <c r="R145" s="94">
        <v>114</v>
      </c>
      <c r="S145" s="383"/>
      <c r="T145" s="214"/>
      <c r="U145" s="214"/>
      <c r="V145" s="217"/>
      <c r="W145" s="215"/>
      <c r="X145" s="336"/>
      <c r="Y145" s="68" t="str">
        <f>IF(V145="","",VLOOKUP(V145,Aux_Lista!A:K,11,FALSE))</f>
        <v/>
      </c>
      <c r="Z145" s="68" t="str">
        <f>IF(V145="","",VLOOKUP(V145,Aux_Lista!A:L,12,FALSE))</f>
        <v/>
      </c>
      <c r="AA145" s="68" t="str">
        <f>IF(W145="","",VLOOKUP(W145,Aux_Lista!AN:AP,3,FALSE))</f>
        <v/>
      </c>
      <c r="AB145" s="68" t="str">
        <f>IF(W145="","",VLOOKUP(W145,Aux_Lista!AN:AP,2,FALSE))</f>
        <v/>
      </c>
      <c r="AC145" s="69"/>
      <c r="AD145" s="69"/>
      <c r="AE145" s="325">
        <f t="shared" si="8"/>
        <v>0</v>
      </c>
      <c r="AF145" s="540" t="s">
        <v>281</v>
      </c>
      <c r="AG145" s="540"/>
      <c r="AH145" s="337">
        <f>IFERROR(IF(X145="Sem projeto",1.5*AA145,AC145*VLOOKUP(AF145,Aux_Lista!AG:AH,2,FALSE)+AD145)*U145,0)</f>
        <v>0</v>
      </c>
      <c r="AI145" s="343" t="s">
        <v>90</v>
      </c>
      <c r="AJ145" s="343" t="s">
        <v>90</v>
      </c>
      <c r="AK145" s="343" t="s">
        <v>90</v>
      </c>
      <c r="AL145" s="333" t="str">
        <f t="shared" si="9"/>
        <v/>
      </c>
      <c r="AM145" s="334" t="str">
        <f t="shared" si="10"/>
        <v/>
      </c>
      <c r="AN145" s="333" t="str">
        <f t="shared" si="11"/>
        <v/>
      </c>
      <c r="AO145" s="334" t="str">
        <f t="shared" si="12"/>
        <v/>
      </c>
      <c r="AP145" s="44"/>
      <c r="AQ145" s="2"/>
    </row>
    <row r="146" spans="1:43" ht="24.95" customHeight="1" x14ac:dyDescent="0.25">
      <c r="A146" s="2">
        <v>106</v>
      </c>
      <c r="B146" s="349"/>
      <c r="C146" s="350"/>
      <c r="D146" s="351"/>
      <c r="E146" s="351"/>
      <c r="F146" s="336"/>
      <c r="G146" s="327"/>
      <c r="H146" s="327"/>
      <c r="I146" s="325">
        <f t="shared" si="13"/>
        <v>0</v>
      </c>
      <c r="J146" s="540" t="s">
        <v>281</v>
      </c>
      <c r="K146" s="540"/>
      <c r="L146" s="337">
        <f>IFERROR(IF(F146="Sem projeto",VLOOKUP(C146,$B$32:$H$34,7,FALSE)*1.5,G146*VLOOKUP(J146,Aux_Lista!$AG:$AH,2,FALSE)+H146)*E146,0)</f>
        <v>0</v>
      </c>
      <c r="M146" s="346" t="s">
        <v>90</v>
      </c>
      <c r="N146" s="347" t="s">
        <v>90</v>
      </c>
      <c r="O146" s="348" t="s">
        <v>90</v>
      </c>
      <c r="P146" s="386">
        <f t="shared" si="14"/>
        <v>0</v>
      </c>
      <c r="R146" s="94">
        <v>115</v>
      </c>
      <c r="S146" s="383"/>
      <c r="T146" s="214"/>
      <c r="U146" s="214"/>
      <c r="V146" s="217"/>
      <c r="W146" s="215"/>
      <c r="X146" s="336"/>
      <c r="Y146" s="68" t="str">
        <f>IF(V146="","",VLOOKUP(V146,Aux_Lista!A:K,11,FALSE))</f>
        <v/>
      </c>
      <c r="Z146" s="68" t="str">
        <f>IF(V146="","",VLOOKUP(V146,Aux_Lista!A:L,12,FALSE))</f>
        <v/>
      </c>
      <c r="AA146" s="68" t="str">
        <f>IF(W146="","",VLOOKUP(W146,Aux_Lista!AN:AP,3,FALSE))</f>
        <v/>
      </c>
      <c r="AB146" s="68" t="str">
        <f>IF(W146="","",VLOOKUP(W146,Aux_Lista!AN:AP,2,FALSE))</f>
        <v/>
      </c>
      <c r="AC146" s="69"/>
      <c r="AD146" s="69"/>
      <c r="AE146" s="325">
        <f t="shared" si="8"/>
        <v>0</v>
      </c>
      <c r="AF146" s="540" t="s">
        <v>281</v>
      </c>
      <c r="AG146" s="540"/>
      <c r="AH146" s="337">
        <f>IFERROR(IF(X146="Sem projeto",1.5*AA146,AC146*VLOOKUP(AF146,Aux_Lista!AG:AH,2,FALSE)+AD146)*U146,0)</f>
        <v>0</v>
      </c>
      <c r="AI146" s="343" t="s">
        <v>90</v>
      </c>
      <c r="AJ146" s="343" t="s">
        <v>90</v>
      </c>
      <c r="AK146" s="343" t="s">
        <v>90</v>
      </c>
      <c r="AL146" s="333" t="str">
        <f t="shared" si="9"/>
        <v/>
      </c>
      <c r="AM146" s="334" t="str">
        <f t="shared" si="10"/>
        <v/>
      </c>
      <c r="AN146" s="333" t="str">
        <f t="shared" si="11"/>
        <v/>
      </c>
      <c r="AO146" s="334" t="str">
        <f t="shared" si="12"/>
        <v/>
      </c>
      <c r="AP146" s="44"/>
      <c r="AQ146" s="2"/>
    </row>
    <row r="147" spans="1:43" ht="24.95" customHeight="1" x14ac:dyDescent="0.25">
      <c r="A147" s="2">
        <v>107</v>
      </c>
      <c r="B147" s="349"/>
      <c r="C147" s="350"/>
      <c r="D147" s="351"/>
      <c r="E147" s="351"/>
      <c r="F147" s="336"/>
      <c r="G147" s="327"/>
      <c r="H147" s="327"/>
      <c r="I147" s="325">
        <f t="shared" si="13"/>
        <v>0</v>
      </c>
      <c r="J147" s="540" t="s">
        <v>281</v>
      </c>
      <c r="K147" s="540"/>
      <c r="L147" s="337">
        <f>IFERROR(IF(F147="Sem projeto",VLOOKUP(C147,$B$32:$H$34,7,FALSE)*1.5,G147*VLOOKUP(J147,Aux_Lista!$AG:$AH,2,FALSE)+H147)*E147,0)</f>
        <v>0</v>
      </c>
      <c r="M147" s="346" t="s">
        <v>90</v>
      </c>
      <c r="N147" s="347" t="s">
        <v>90</v>
      </c>
      <c r="O147" s="348" t="s">
        <v>90</v>
      </c>
      <c r="P147" s="386">
        <f t="shared" si="14"/>
        <v>0</v>
      </c>
      <c r="R147" s="94">
        <v>116</v>
      </c>
      <c r="S147" s="383"/>
      <c r="T147" s="214"/>
      <c r="U147" s="214"/>
      <c r="V147" s="217"/>
      <c r="W147" s="215"/>
      <c r="X147" s="336"/>
      <c r="Y147" s="68" t="str">
        <f>IF(V147="","",VLOOKUP(V147,Aux_Lista!A:K,11,FALSE))</f>
        <v/>
      </c>
      <c r="Z147" s="68" t="str">
        <f>IF(V147="","",VLOOKUP(V147,Aux_Lista!A:L,12,FALSE))</f>
        <v/>
      </c>
      <c r="AA147" s="68" t="str">
        <f>IF(W147="","",VLOOKUP(W147,Aux_Lista!AN:AP,3,FALSE))</f>
        <v/>
      </c>
      <c r="AB147" s="68" t="str">
        <f>IF(W147="","",VLOOKUP(W147,Aux_Lista!AN:AP,2,FALSE))</f>
        <v/>
      </c>
      <c r="AC147" s="69"/>
      <c r="AD147" s="69"/>
      <c r="AE147" s="325">
        <f t="shared" si="8"/>
        <v>0</v>
      </c>
      <c r="AF147" s="540" t="s">
        <v>281</v>
      </c>
      <c r="AG147" s="540"/>
      <c r="AH147" s="337">
        <f>IFERROR(IF(X147="Sem projeto",1.5*AA147,AC147*VLOOKUP(AF147,Aux_Lista!AG:AH,2,FALSE)+AD147)*U147,0)</f>
        <v>0</v>
      </c>
      <c r="AI147" s="343" t="s">
        <v>90</v>
      </c>
      <c r="AJ147" s="343" t="s">
        <v>90</v>
      </c>
      <c r="AK147" s="343" t="s">
        <v>90</v>
      </c>
      <c r="AL147" s="333" t="str">
        <f t="shared" si="9"/>
        <v/>
      </c>
      <c r="AM147" s="334" t="str">
        <f t="shared" si="10"/>
        <v/>
      </c>
      <c r="AN147" s="333" t="str">
        <f t="shared" si="11"/>
        <v/>
      </c>
      <c r="AO147" s="334" t="str">
        <f t="shared" si="12"/>
        <v/>
      </c>
      <c r="AP147" s="44"/>
      <c r="AQ147" s="2"/>
    </row>
    <row r="148" spans="1:43" ht="24.95" customHeight="1" x14ac:dyDescent="0.25">
      <c r="A148" s="2">
        <v>108</v>
      </c>
      <c r="B148" s="349"/>
      <c r="C148" s="350"/>
      <c r="D148" s="351"/>
      <c r="E148" s="351"/>
      <c r="F148" s="336"/>
      <c r="G148" s="327"/>
      <c r="H148" s="327"/>
      <c r="I148" s="325">
        <f t="shared" si="13"/>
        <v>0</v>
      </c>
      <c r="J148" s="540" t="s">
        <v>281</v>
      </c>
      <c r="K148" s="540"/>
      <c r="L148" s="337">
        <f>IFERROR(IF(F148="Sem projeto",VLOOKUP(C148,$B$32:$H$34,7,FALSE)*1.5,G148*VLOOKUP(J148,Aux_Lista!$AG:$AH,2,FALSE)+H148)*E148,0)</f>
        <v>0</v>
      </c>
      <c r="M148" s="346" t="s">
        <v>90</v>
      </c>
      <c r="N148" s="347" t="s">
        <v>90</v>
      </c>
      <c r="O148" s="348" t="s">
        <v>90</v>
      </c>
      <c r="P148" s="386">
        <f t="shared" si="14"/>
        <v>0</v>
      </c>
      <c r="R148" s="94">
        <v>117</v>
      </c>
      <c r="S148" s="383"/>
      <c r="T148" s="214"/>
      <c r="U148" s="214"/>
      <c r="V148" s="217"/>
      <c r="W148" s="215"/>
      <c r="X148" s="336"/>
      <c r="Y148" s="68" t="str">
        <f>IF(V148="","",VLOOKUP(V148,Aux_Lista!A:K,11,FALSE))</f>
        <v/>
      </c>
      <c r="Z148" s="68" t="str">
        <f>IF(V148="","",VLOOKUP(V148,Aux_Lista!A:L,12,FALSE))</f>
        <v/>
      </c>
      <c r="AA148" s="68" t="str">
        <f>IF(W148="","",VLOOKUP(W148,Aux_Lista!AN:AP,3,FALSE))</f>
        <v/>
      </c>
      <c r="AB148" s="68" t="str">
        <f>IF(W148="","",VLOOKUP(W148,Aux_Lista!AN:AP,2,FALSE))</f>
        <v/>
      </c>
      <c r="AC148" s="69"/>
      <c r="AD148" s="69"/>
      <c r="AE148" s="325">
        <f t="shared" si="8"/>
        <v>0</v>
      </c>
      <c r="AF148" s="540" t="s">
        <v>281</v>
      </c>
      <c r="AG148" s="540"/>
      <c r="AH148" s="337">
        <f>IFERROR(IF(X148="Sem projeto",1.5*AA148,AC148*VLOOKUP(AF148,Aux_Lista!AG:AH,2,FALSE)+AD148)*U148,0)</f>
        <v>0</v>
      </c>
      <c r="AI148" s="343" t="s">
        <v>90</v>
      </c>
      <c r="AJ148" s="343" t="s">
        <v>90</v>
      </c>
      <c r="AK148" s="343" t="s">
        <v>90</v>
      </c>
      <c r="AL148" s="333" t="str">
        <f t="shared" si="9"/>
        <v/>
      </c>
      <c r="AM148" s="334" t="str">
        <f t="shared" si="10"/>
        <v/>
      </c>
      <c r="AN148" s="333" t="str">
        <f t="shared" si="11"/>
        <v/>
      </c>
      <c r="AO148" s="334" t="str">
        <f t="shared" si="12"/>
        <v/>
      </c>
      <c r="AP148" s="44"/>
      <c r="AQ148" s="2"/>
    </row>
    <row r="149" spans="1:43" ht="24.95" customHeight="1" x14ac:dyDescent="0.25">
      <c r="A149" s="2">
        <v>109</v>
      </c>
      <c r="B149" s="349"/>
      <c r="C149" s="350"/>
      <c r="D149" s="351"/>
      <c r="E149" s="351"/>
      <c r="F149" s="336"/>
      <c r="G149" s="327"/>
      <c r="H149" s="327"/>
      <c r="I149" s="325">
        <f t="shared" si="13"/>
        <v>0</v>
      </c>
      <c r="J149" s="540" t="s">
        <v>281</v>
      </c>
      <c r="K149" s="540"/>
      <c r="L149" s="337">
        <f>IFERROR(IF(F149="Sem projeto",VLOOKUP(C149,$B$32:$H$34,7,FALSE)*1.5,G149*VLOOKUP(J149,Aux_Lista!$AG:$AH,2,FALSE)+H149)*E149,0)</f>
        <v>0</v>
      </c>
      <c r="M149" s="346" t="s">
        <v>90</v>
      </c>
      <c r="N149" s="347" t="s">
        <v>90</v>
      </c>
      <c r="O149" s="348" t="s">
        <v>90</v>
      </c>
      <c r="P149" s="386">
        <f t="shared" si="14"/>
        <v>0</v>
      </c>
      <c r="R149" s="94">
        <v>118</v>
      </c>
      <c r="S149" s="383"/>
      <c r="T149" s="214"/>
      <c r="U149" s="214"/>
      <c r="V149" s="217"/>
      <c r="W149" s="215"/>
      <c r="X149" s="336"/>
      <c r="Y149" s="68" t="str">
        <f>IF(V149="","",VLOOKUP(V149,Aux_Lista!A:K,11,FALSE))</f>
        <v/>
      </c>
      <c r="Z149" s="68" t="str">
        <f>IF(V149="","",VLOOKUP(V149,Aux_Lista!A:L,12,FALSE))</f>
        <v/>
      </c>
      <c r="AA149" s="68" t="str">
        <f>IF(W149="","",VLOOKUP(W149,Aux_Lista!AN:AP,3,FALSE))</f>
        <v/>
      </c>
      <c r="AB149" s="68" t="str">
        <f>IF(W149="","",VLOOKUP(W149,Aux_Lista!AN:AP,2,FALSE))</f>
        <v/>
      </c>
      <c r="AC149" s="69"/>
      <c r="AD149" s="69"/>
      <c r="AE149" s="325">
        <f t="shared" si="8"/>
        <v>0</v>
      </c>
      <c r="AF149" s="540" t="s">
        <v>281</v>
      </c>
      <c r="AG149" s="540"/>
      <c r="AH149" s="337">
        <f>IFERROR(IF(X149="Sem projeto",1.5*AA149,AC149*VLOOKUP(AF149,Aux_Lista!AG:AH,2,FALSE)+AD149)*U149,0)</f>
        <v>0</v>
      </c>
      <c r="AI149" s="343" t="s">
        <v>90</v>
      </c>
      <c r="AJ149" s="343" t="s">
        <v>90</v>
      </c>
      <c r="AK149" s="343" t="s">
        <v>90</v>
      </c>
      <c r="AL149" s="333" t="str">
        <f t="shared" si="9"/>
        <v/>
      </c>
      <c r="AM149" s="334" t="str">
        <f t="shared" si="10"/>
        <v/>
      </c>
      <c r="AN149" s="333" t="str">
        <f t="shared" si="11"/>
        <v/>
      </c>
      <c r="AO149" s="334" t="str">
        <f t="shared" si="12"/>
        <v/>
      </c>
      <c r="AP149" s="44"/>
      <c r="AQ149" s="2"/>
    </row>
    <row r="150" spans="1:43" ht="24.95" customHeight="1" x14ac:dyDescent="0.25">
      <c r="A150" s="2">
        <v>110</v>
      </c>
      <c r="B150" s="349"/>
      <c r="C150" s="350"/>
      <c r="D150" s="351"/>
      <c r="E150" s="351"/>
      <c r="F150" s="336"/>
      <c r="G150" s="327"/>
      <c r="H150" s="327"/>
      <c r="I150" s="325">
        <f t="shared" si="13"/>
        <v>0</v>
      </c>
      <c r="J150" s="540" t="s">
        <v>281</v>
      </c>
      <c r="K150" s="540"/>
      <c r="L150" s="337">
        <f>IFERROR(IF(F150="Sem projeto",VLOOKUP(C150,$B$32:$H$34,7,FALSE)*1.5,G150*VLOOKUP(J150,Aux_Lista!$AG:$AH,2,FALSE)+H150)*E150,0)</f>
        <v>0</v>
      </c>
      <c r="M150" s="346" t="s">
        <v>90</v>
      </c>
      <c r="N150" s="347" t="s">
        <v>90</v>
      </c>
      <c r="O150" s="348" t="s">
        <v>90</v>
      </c>
      <c r="P150" s="386">
        <f t="shared" si="14"/>
        <v>0</v>
      </c>
      <c r="R150" s="94">
        <v>119</v>
      </c>
      <c r="S150" s="383"/>
      <c r="T150" s="214"/>
      <c r="U150" s="214"/>
      <c r="V150" s="217"/>
      <c r="W150" s="215"/>
      <c r="X150" s="336"/>
      <c r="Y150" s="68" t="str">
        <f>IF(V150="","",VLOOKUP(V150,Aux_Lista!A:K,11,FALSE))</f>
        <v/>
      </c>
      <c r="Z150" s="68" t="str">
        <f>IF(V150="","",VLOOKUP(V150,Aux_Lista!A:L,12,FALSE))</f>
        <v/>
      </c>
      <c r="AA150" s="68" t="str">
        <f>IF(W150="","",VLOOKUP(W150,Aux_Lista!AN:AP,3,FALSE))</f>
        <v/>
      </c>
      <c r="AB150" s="68" t="str">
        <f>IF(W150="","",VLOOKUP(W150,Aux_Lista!AN:AP,2,FALSE))</f>
        <v/>
      </c>
      <c r="AC150" s="69"/>
      <c r="AD150" s="69"/>
      <c r="AE150" s="325">
        <f t="shared" si="8"/>
        <v>0</v>
      </c>
      <c r="AF150" s="540" t="s">
        <v>281</v>
      </c>
      <c r="AG150" s="540"/>
      <c r="AH150" s="337">
        <f>IFERROR(IF(X150="Sem projeto",1.5*AA150,AC150*VLOOKUP(AF150,Aux_Lista!AG:AH,2,FALSE)+AD150)*U150,0)</f>
        <v>0</v>
      </c>
      <c r="AI150" s="343" t="s">
        <v>90</v>
      </c>
      <c r="AJ150" s="343" t="s">
        <v>90</v>
      </c>
      <c r="AK150" s="343" t="s">
        <v>90</v>
      </c>
      <c r="AL150" s="333" t="str">
        <f t="shared" si="9"/>
        <v/>
      </c>
      <c r="AM150" s="334" t="str">
        <f t="shared" si="10"/>
        <v/>
      </c>
      <c r="AN150" s="333" t="str">
        <f t="shared" si="11"/>
        <v/>
      </c>
      <c r="AO150" s="334" t="str">
        <f t="shared" si="12"/>
        <v/>
      </c>
      <c r="AP150" s="44"/>
      <c r="AQ150" s="2"/>
    </row>
    <row r="151" spans="1:43" ht="24.95" customHeight="1" x14ac:dyDescent="0.25">
      <c r="A151" s="2">
        <v>111</v>
      </c>
      <c r="B151" s="349"/>
      <c r="C151" s="350"/>
      <c r="D151" s="351"/>
      <c r="E151" s="351"/>
      <c r="F151" s="336"/>
      <c r="G151" s="327"/>
      <c r="H151" s="327"/>
      <c r="I151" s="325">
        <f t="shared" si="13"/>
        <v>0</v>
      </c>
      <c r="J151" s="540" t="s">
        <v>281</v>
      </c>
      <c r="K151" s="540"/>
      <c r="L151" s="337">
        <f>IFERROR(IF(F151="Sem projeto",VLOOKUP(C151,$B$32:$H$34,7,FALSE)*1.5,G151*VLOOKUP(J151,Aux_Lista!$AG:$AH,2,FALSE)+H151)*E151,0)</f>
        <v>0</v>
      </c>
      <c r="M151" s="346" t="s">
        <v>90</v>
      </c>
      <c r="N151" s="347" t="s">
        <v>90</v>
      </c>
      <c r="O151" s="348" t="s">
        <v>90</v>
      </c>
      <c r="P151" s="386">
        <f t="shared" si="14"/>
        <v>0</v>
      </c>
      <c r="R151" s="94">
        <v>120</v>
      </c>
      <c r="S151" s="383"/>
      <c r="T151" s="214"/>
      <c r="U151" s="214"/>
      <c r="V151" s="217"/>
      <c r="W151" s="215"/>
      <c r="X151" s="336"/>
      <c r="Y151" s="68" t="str">
        <f>IF(V151="","",VLOOKUP(V151,Aux_Lista!A:K,11,FALSE))</f>
        <v/>
      </c>
      <c r="Z151" s="68" t="str">
        <f>IF(V151="","",VLOOKUP(V151,Aux_Lista!A:L,12,FALSE))</f>
        <v/>
      </c>
      <c r="AA151" s="68" t="str">
        <f>IF(W151="","",VLOOKUP(W151,Aux_Lista!AN:AP,3,FALSE))</f>
        <v/>
      </c>
      <c r="AB151" s="68" t="str">
        <f>IF(W151="","",VLOOKUP(W151,Aux_Lista!AN:AP,2,FALSE))</f>
        <v/>
      </c>
      <c r="AC151" s="69"/>
      <c r="AD151" s="69"/>
      <c r="AE151" s="325">
        <f t="shared" si="8"/>
        <v>0</v>
      </c>
      <c r="AF151" s="540" t="s">
        <v>281</v>
      </c>
      <c r="AG151" s="540"/>
      <c r="AH151" s="337">
        <f>IFERROR(IF(X151="Sem projeto",1.5*AA151,AC151*VLOOKUP(AF151,Aux_Lista!AG:AH,2,FALSE)+AD151)*U151,0)</f>
        <v>0</v>
      </c>
      <c r="AI151" s="343" t="s">
        <v>90</v>
      </c>
      <c r="AJ151" s="343" t="s">
        <v>90</v>
      </c>
      <c r="AK151" s="343" t="s">
        <v>90</v>
      </c>
      <c r="AL151" s="333" t="str">
        <f t="shared" si="9"/>
        <v/>
      </c>
      <c r="AM151" s="334" t="str">
        <f t="shared" si="10"/>
        <v/>
      </c>
      <c r="AN151" s="333" t="str">
        <f t="shared" si="11"/>
        <v/>
      </c>
      <c r="AO151" s="334" t="str">
        <f t="shared" si="12"/>
        <v/>
      </c>
      <c r="AP151" s="44"/>
      <c r="AQ151" s="2"/>
    </row>
    <row r="152" spans="1:43" ht="24.95" customHeight="1" x14ac:dyDescent="0.25">
      <c r="A152" s="2">
        <v>112</v>
      </c>
      <c r="B152" s="349"/>
      <c r="C152" s="350"/>
      <c r="D152" s="351"/>
      <c r="E152" s="351"/>
      <c r="F152" s="336"/>
      <c r="G152" s="327"/>
      <c r="H152" s="327"/>
      <c r="I152" s="325">
        <f t="shared" si="13"/>
        <v>0</v>
      </c>
      <c r="J152" s="540" t="s">
        <v>281</v>
      </c>
      <c r="K152" s="540"/>
      <c r="L152" s="337">
        <f>IFERROR(IF(F152="Sem projeto",VLOOKUP(C152,$B$32:$H$34,7,FALSE)*1.5,G152*VLOOKUP(J152,Aux_Lista!$AG:$AH,2,FALSE)+H152)*E152,0)</f>
        <v>0</v>
      </c>
      <c r="M152" s="346" t="s">
        <v>90</v>
      </c>
      <c r="N152" s="347" t="s">
        <v>90</v>
      </c>
      <c r="O152" s="348" t="s">
        <v>90</v>
      </c>
      <c r="P152" s="386">
        <f t="shared" si="14"/>
        <v>0</v>
      </c>
      <c r="R152" s="94">
        <v>121</v>
      </c>
      <c r="S152" s="383"/>
      <c r="T152" s="214"/>
      <c r="U152" s="214"/>
      <c r="V152" s="217"/>
      <c r="W152" s="215"/>
      <c r="X152" s="336"/>
      <c r="Y152" s="68" t="str">
        <f>IF(V152="","",VLOOKUP(V152,Aux_Lista!A:K,11,FALSE))</f>
        <v/>
      </c>
      <c r="Z152" s="68" t="str">
        <f>IF(V152="","",VLOOKUP(V152,Aux_Lista!A:L,12,FALSE))</f>
        <v/>
      </c>
      <c r="AA152" s="68" t="str">
        <f>IF(W152="","",VLOOKUP(W152,Aux_Lista!AN:AP,3,FALSE))</f>
        <v/>
      </c>
      <c r="AB152" s="68" t="str">
        <f>IF(W152="","",VLOOKUP(W152,Aux_Lista!AN:AP,2,FALSE))</f>
        <v/>
      </c>
      <c r="AC152" s="69"/>
      <c r="AD152" s="69"/>
      <c r="AE152" s="325">
        <f t="shared" si="8"/>
        <v>0</v>
      </c>
      <c r="AF152" s="540" t="s">
        <v>281</v>
      </c>
      <c r="AG152" s="540"/>
      <c r="AH152" s="337">
        <f>IFERROR(IF(X152="Sem projeto",1.5*AA152,AC152*VLOOKUP(AF152,Aux_Lista!AG:AH,2,FALSE)+AD152)*U152,0)</f>
        <v>0</v>
      </c>
      <c r="AI152" s="343" t="s">
        <v>90</v>
      </c>
      <c r="AJ152" s="343" t="s">
        <v>90</v>
      </c>
      <c r="AK152" s="343" t="s">
        <v>90</v>
      </c>
      <c r="AL152" s="333" t="str">
        <f t="shared" si="9"/>
        <v/>
      </c>
      <c r="AM152" s="334" t="str">
        <f t="shared" si="10"/>
        <v/>
      </c>
      <c r="AN152" s="333" t="str">
        <f t="shared" si="11"/>
        <v/>
      </c>
      <c r="AO152" s="334" t="str">
        <f t="shared" si="12"/>
        <v/>
      </c>
      <c r="AP152" s="44"/>
      <c r="AQ152" s="2"/>
    </row>
    <row r="153" spans="1:43" ht="24.95" customHeight="1" x14ac:dyDescent="0.25">
      <c r="A153" s="2">
        <v>113</v>
      </c>
      <c r="B153" s="349"/>
      <c r="C153" s="350"/>
      <c r="D153" s="351"/>
      <c r="E153" s="351"/>
      <c r="F153" s="336"/>
      <c r="G153" s="327"/>
      <c r="H153" s="327"/>
      <c r="I153" s="325">
        <f t="shared" si="13"/>
        <v>0</v>
      </c>
      <c r="J153" s="540" t="s">
        <v>281</v>
      </c>
      <c r="K153" s="540"/>
      <c r="L153" s="337">
        <f>IFERROR(IF(F153="Sem projeto",VLOOKUP(C153,$B$32:$H$34,7,FALSE)*1.5,G153*VLOOKUP(J153,Aux_Lista!$AG:$AH,2,FALSE)+H153)*E153,0)</f>
        <v>0</v>
      </c>
      <c r="M153" s="346" t="s">
        <v>90</v>
      </c>
      <c r="N153" s="347" t="s">
        <v>90</v>
      </c>
      <c r="O153" s="348" t="s">
        <v>90</v>
      </c>
      <c r="P153" s="386">
        <f t="shared" si="14"/>
        <v>0</v>
      </c>
      <c r="R153" s="94">
        <v>122</v>
      </c>
      <c r="S153" s="383"/>
      <c r="T153" s="214"/>
      <c r="U153" s="214"/>
      <c r="V153" s="217"/>
      <c r="W153" s="215"/>
      <c r="X153" s="336"/>
      <c r="Y153" s="68" t="str">
        <f>IF(V153="","",VLOOKUP(V153,Aux_Lista!A:K,11,FALSE))</f>
        <v/>
      </c>
      <c r="Z153" s="68" t="str">
        <f>IF(V153="","",VLOOKUP(V153,Aux_Lista!A:L,12,FALSE))</f>
        <v/>
      </c>
      <c r="AA153" s="68" t="str">
        <f>IF(W153="","",VLOOKUP(W153,Aux_Lista!AN:AP,3,FALSE))</f>
        <v/>
      </c>
      <c r="AB153" s="68" t="str">
        <f>IF(W153="","",VLOOKUP(W153,Aux_Lista!AN:AP,2,FALSE))</f>
        <v/>
      </c>
      <c r="AC153" s="69"/>
      <c r="AD153" s="69"/>
      <c r="AE153" s="325">
        <f t="shared" si="8"/>
        <v>0</v>
      </c>
      <c r="AF153" s="540" t="s">
        <v>281</v>
      </c>
      <c r="AG153" s="540"/>
      <c r="AH153" s="337">
        <f>IFERROR(IF(X153="Sem projeto",1.5*AA153,AC153*VLOOKUP(AF153,Aux_Lista!AG:AH,2,FALSE)+AD153)*U153,0)</f>
        <v>0</v>
      </c>
      <c r="AI153" s="343" t="s">
        <v>90</v>
      </c>
      <c r="AJ153" s="343" t="s">
        <v>90</v>
      </c>
      <c r="AK153" s="343" t="s">
        <v>90</v>
      </c>
      <c r="AL153" s="333" t="str">
        <f t="shared" si="9"/>
        <v/>
      </c>
      <c r="AM153" s="334" t="str">
        <f t="shared" si="10"/>
        <v/>
      </c>
      <c r="AN153" s="333" t="str">
        <f t="shared" si="11"/>
        <v/>
      </c>
      <c r="AO153" s="334" t="str">
        <f t="shared" si="12"/>
        <v/>
      </c>
      <c r="AP153" s="44"/>
      <c r="AQ153" s="2"/>
    </row>
    <row r="154" spans="1:43" ht="24.95" customHeight="1" x14ac:dyDescent="0.25">
      <c r="A154" s="2">
        <v>114</v>
      </c>
      <c r="B154" s="349"/>
      <c r="C154" s="350"/>
      <c r="D154" s="351"/>
      <c r="E154" s="351"/>
      <c r="F154" s="336"/>
      <c r="G154" s="327"/>
      <c r="H154" s="327"/>
      <c r="I154" s="325">
        <f t="shared" si="13"/>
        <v>0</v>
      </c>
      <c r="J154" s="540" t="s">
        <v>281</v>
      </c>
      <c r="K154" s="540"/>
      <c r="L154" s="337">
        <f>IFERROR(IF(F154="Sem projeto",VLOOKUP(C154,$B$32:$H$34,7,FALSE)*1.5,G154*VLOOKUP(J154,Aux_Lista!$AG:$AH,2,FALSE)+H154)*E154,0)</f>
        <v>0</v>
      </c>
      <c r="M154" s="346" t="s">
        <v>90</v>
      </c>
      <c r="N154" s="347" t="s">
        <v>90</v>
      </c>
      <c r="O154" s="348" t="s">
        <v>90</v>
      </c>
      <c r="P154" s="386">
        <f t="shared" si="14"/>
        <v>0</v>
      </c>
      <c r="R154" s="94">
        <v>123</v>
      </c>
      <c r="S154" s="383"/>
      <c r="T154" s="214"/>
      <c r="U154" s="214"/>
      <c r="V154" s="217"/>
      <c r="W154" s="215"/>
      <c r="X154" s="336"/>
      <c r="Y154" s="68" t="str">
        <f>IF(V154="","",VLOOKUP(V154,Aux_Lista!A:K,11,FALSE))</f>
        <v/>
      </c>
      <c r="Z154" s="68" t="str">
        <f>IF(V154="","",VLOOKUP(V154,Aux_Lista!A:L,12,FALSE))</f>
        <v/>
      </c>
      <c r="AA154" s="68" t="str">
        <f>IF(W154="","",VLOOKUP(W154,Aux_Lista!AN:AP,3,FALSE))</f>
        <v/>
      </c>
      <c r="AB154" s="68" t="str">
        <f>IF(W154="","",VLOOKUP(W154,Aux_Lista!AN:AP,2,FALSE))</f>
        <v/>
      </c>
      <c r="AC154" s="69"/>
      <c r="AD154" s="69"/>
      <c r="AE154" s="325">
        <f t="shared" si="8"/>
        <v>0</v>
      </c>
      <c r="AF154" s="540" t="s">
        <v>281</v>
      </c>
      <c r="AG154" s="540"/>
      <c r="AH154" s="337">
        <f>IFERROR(IF(X154="Sem projeto",1.5*AA154,AC154*VLOOKUP(AF154,Aux_Lista!AG:AH,2,FALSE)+AD154)*U154,0)</f>
        <v>0</v>
      </c>
      <c r="AI154" s="343" t="s">
        <v>90</v>
      </c>
      <c r="AJ154" s="343" t="s">
        <v>90</v>
      </c>
      <c r="AK154" s="343" t="s">
        <v>90</v>
      </c>
      <c r="AL154" s="333" t="str">
        <f t="shared" si="9"/>
        <v/>
      </c>
      <c r="AM154" s="334" t="str">
        <f t="shared" si="10"/>
        <v/>
      </c>
      <c r="AN154" s="333" t="str">
        <f t="shared" si="11"/>
        <v/>
      </c>
      <c r="AO154" s="334" t="str">
        <f t="shared" si="12"/>
        <v/>
      </c>
      <c r="AP154" s="44"/>
      <c r="AQ154" s="2"/>
    </row>
    <row r="155" spans="1:43" ht="24.95" customHeight="1" x14ac:dyDescent="0.25">
      <c r="A155" s="2">
        <v>115</v>
      </c>
      <c r="B155" s="349"/>
      <c r="C155" s="350"/>
      <c r="D155" s="351"/>
      <c r="E155" s="351"/>
      <c r="F155" s="336"/>
      <c r="G155" s="327"/>
      <c r="H155" s="327"/>
      <c r="I155" s="325">
        <f t="shared" si="13"/>
        <v>0</v>
      </c>
      <c r="J155" s="540" t="s">
        <v>281</v>
      </c>
      <c r="K155" s="540"/>
      <c r="L155" s="337">
        <f>IFERROR(IF(F155="Sem projeto",VLOOKUP(C155,$B$32:$H$34,7,FALSE)*1.5,G155*VLOOKUP(J155,Aux_Lista!$AG:$AH,2,FALSE)+H155)*E155,0)</f>
        <v>0</v>
      </c>
      <c r="M155" s="346" t="s">
        <v>90</v>
      </c>
      <c r="N155" s="347" t="s">
        <v>90</v>
      </c>
      <c r="O155" s="348" t="s">
        <v>90</v>
      </c>
      <c r="P155" s="386">
        <f t="shared" si="14"/>
        <v>0</v>
      </c>
      <c r="R155" s="94">
        <v>124</v>
      </c>
      <c r="S155" s="383"/>
      <c r="T155" s="214"/>
      <c r="U155" s="214"/>
      <c r="V155" s="217"/>
      <c r="W155" s="215"/>
      <c r="X155" s="336"/>
      <c r="Y155" s="68" t="str">
        <f>IF(V155="","",VLOOKUP(V155,Aux_Lista!A:K,11,FALSE))</f>
        <v/>
      </c>
      <c r="Z155" s="68" t="str">
        <f>IF(V155="","",VLOOKUP(V155,Aux_Lista!A:L,12,FALSE))</f>
        <v/>
      </c>
      <c r="AA155" s="68" t="str">
        <f>IF(W155="","",VLOOKUP(W155,Aux_Lista!AN:AP,3,FALSE))</f>
        <v/>
      </c>
      <c r="AB155" s="68" t="str">
        <f>IF(W155="","",VLOOKUP(W155,Aux_Lista!AN:AP,2,FALSE))</f>
        <v/>
      </c>
      <c r="AC155" s="69"/>
      <c r="AD155" s="69"/>
      <c r="AE155" s="325">
        <f t="shared" si="8"/>
        <v>0</v>
      </c>
      <c r="AF155" s="540" t="s">
        <v>281</v>
      </c>
      <c r="AG155" s="540"/>
      <c r="AH155" s="337">
        <f>IFERROR(IF(X155="Sem projeto",1.5*AA155,AC155*VLOOKUP(AF155,Aux_Lista!AG:AH,2,FALSE)+AD155)*U155,0)</f>
        <v>0</v>
      </c>
      <c r="AI155" s="343" t="s">
        <v>90</v>
      </c>
      <c r="AJ155" s="343" t="s">
        <v>90</v>
      </c>
      <c r="AK155" s="343" t="s">
        <v>90</v>
      </c>
      <c r="AL155" s="333" t="str">
        <f t="shared" si="9"/>
        <v/>
      </c>
      <c r="AM155" s="334" t="str">
        <f t="shared" si="10"/>
        <v/>
      </c>
      <c r="AN155" s="333" t="str">
        <f t="shared" si="11"/>
        <v/>
      </c>
      <c r="AO155" s="334" t="str">
        <f t="shared" si="12"/>
        <v/>
      </c>
      <c r="AP155" s="44"/>
      <c r="AQ155" s="2"/>
    </row>
    <row r="156" spans="1:43" ht="24.95" customHeight="1" x14ac:dyDescent="0.25">
      <c r="A156" s="2">
        <v>116</v>
      </c>
      <c r="B156" s="349"/>
      <c r="C156" s="350"/>
      <c r="D156" s="351"/>
      <c r="E156" s="351"/>
      <c r="F156" s="336"/>
      <c r="G156" s="327"/>
      <c r="H156" s="327"/>
      <c r="I156" s="325">
        <f t="shared" si="13"/>
        <v>0</v>
      </c>
      <c r="J156" s="540" t="s">
        <v>281</v>
      </c>
      <c r="K156" s="540"/>
      <c r="L156" s="337">
        <f>IFERROR(IF(F156="Sem projeto",VLOOKUP(C156,$B$32:$H$34,7,FALSE)*1.5,G156*VLOOKUP(J156,Aux_Lista!$AG:$AH,2,FALSE)+H156)*E156,0)</f>
        <v>0</v>
      </c>
      <c r="M156" s="346" t="s">
        <v>90</v>
      </c>
      <c r="N156" s="347" t="s">
        <v>90</v>
      </c>
      <c r="O156" s="348" t="s">
        <v>90</v>
      </c>
      <c r="P156" s="386">
        <f t="shared" si="14"/>
        <v>0</v>
      </c>
      <c r="R156" s="94">
        <v>125</v>
      </c>
      <c r="S156" s="383"/>
      <c r="T156" s="214"/>
      <c r="U156" s="214"/>
      <c r="V156" s="217"/>
      <c r="W156" s="215"/>
      <c r="X156" s="336"/>
      <c r="Y156" s="68" t="str">
        <f>IF(V156="","",VLOOKUP(V156,Aux_Lista!A:K,11,FALSE))</f>
        <v/>
      </c>
      <c r="Z156" s="68" t="str">
        <f>IF(V156="","",VLOOKUP(V156,Aux_Lista!A:L,12,FALSE))</f>
        <v/>
      </c>
      <c r="AA156" s="68" t="str">
        <f>IF(W156="","",VLOOKUP(W156,Aux_Lista!AN:AP,3,FALSE))</f>
        <v/>
      </c>
      <c r="AB156" s="68" t="str">
        <f>IF(W156="","",VLOOKUP(W156,Aux_Lista!AN:AP,2,FALSE))</f>
        <v/>
      </c>
      <c r="AC156" s="69"/>
      <c r="AD156" s="69"/>
      <c r="AE156" s="325">
        <f t="shared" si="8"/>
        <v>0</v>
      </c>
      <c r="AF156" s="540" t="s">
        <v>281</v>
      </c>
      <c r="AG156" s="540"/>
      <c r="AH156" s="337">
        <f>IFERROR(IF(X156="Sem projeto",1.5*AA156,AC156*VLOOKUP(AF156,Aux_Lista!AG:AH,2,FALSE)+AD156)*U156,0)</f>
        <v>0</v>
      </c>
      <c r="AI156" s="343" t="s">
        <v>90</v>
      </c>
      <c r="AJ156" s="343" t="s">
        <v>90</v>
      </c>
      <c r="AK156" s="343" t="s">
        <v>90</v>
      </c>
      <c r="AL156" s="333" t="str">
        <f t="shared" si="9"/>
        <v/>
      </c>
      <c r="AM156" s="334" t="str">
        <f t="shared" si="10"/>
        <v/>
      </c>
      <c r="AN156" s="333" t="str">
        <f t="shared" si="11"/>
        <v/>
      </c>
      <c r="AO156" s="334" t="str">
        <f t="shared" si="12"/>
        <v/>
      </c>
      <c r="AP156" s="44"/>
      <c r="AQ156" s="2"/>
    </row>
    <row r="157" spans="1:43" ht="24.95" customHeight="1" x14ac:dyDescent="0.25">
      <c r="A157" s="2">
        <v>117</v>
      </c>
      <c r="B157" s="349"/>
      <c r="C157" s="350"/>
      <c r="D157" s="351"/>
      <c r="E157" s="351"/>
      <c r="F157" s="336"/>
      <c r="G157" s="327"/>
      <c r="H157" s="327"/>
      <c r="I157" s="325">
        <f t="shared" si="13"/>
        <v>0</v>
      </c>
      <c r="J157" s="540" t="s">
        <v>281</v>
      </c>
      <c r="K157" s="540"/>
      <c r="L157" s="337">
        <f>IFERROR(IF(F157="Sem projeto",VLOOKUP(C157,$B$32:$H$34,7,FALSE)*1.5,G157*VLOOKUP(J157,Aux_Lista!$AG:$AH,2,FALSE)+H157)*E157,0)</f>
        <v>0</v>
      </c>
      <c r="M157" s="346" t="s">
        <v>90</v>
      </c>
      <c r="N157" s="347" t="s">
        <v>90</v>
      </c>
      <c r="O157" s="348" t="s">
        <v>90</v>
      </c>
      <c r="P157" s="386">
        <f t="shared" si="14"/>
        <v>0</v>
      </c>
      <c r="R157" s="94">
        <v>126</v>
      </c>
      <c r="S157" s="383"/>
      <c r="T157" s="214"/>
      <c r="U157" s="214"/>
      <c r="V157" s="217"/>
      <c r="W157" s="215"/>
      <c r="X157" s="336"/>
      <c r="Y157" s="68" t="str">
        <f>IF(V157="","",VLOOKUP(V157,Aux_Lista!A:K,11,FALSE))</f>
        <v/>
      </c>
      <c r="Z157" s="68" t="str">
        <f>IF(V157="","",VLOOKUP(V157,Aux_Lista!A:L,12,FALSE))</f>
        <v/>
      </c>
      <c r="AA157" s="68" t="str">
        <f>IF(W157="","",VLOOKUP(W157,Aux_Lista!AN:AP,3,FALSE))</f>
        <v/>
      </c>
      <c r="AB157" s="68" t="str">
        <f>IF(W157="","",VLOOKUP(W157,Aux_Lista!AN:AP,2,FALSE))</f>
        <v/>
      </c>
      <c r="AC157" s="69"/>
      <c r="AD157" s="69"/>
      <c r="AE157" s="325">
        <f t="shared" si="8"/>
        <v>0</v>
      </c>
      <c r="AF157" s="540" t="s">
        <v>281</v>
      </c>
      <c r="AG157" s="540"/>
      <c r="AH157" s="337">
        <f>IFERROR(IF(X157="Sem projeto",1.5*AA157,AC157*VLOOKUP(AF157,Aux_Lista!AG:AH,2,FALSE)+AD157)*U157,0)</f>
        <v>0</v>
      </c>
      <c r="AI157" s="343" t="s">
        <v>90</v>
      </c>
      <c r="AJ157" s="343" t="s">
        <v>90</v>
      </c>
      <c r="AK157" s="343" t="s">
        <v>90</v>
      </c>
      <c r="AL157" s="333" t="str">
        <f t="shared" si="9"/>
        <v/>
      </c>
      <c r="AM157" s="334" t="str">
        <f t="shared" si="10"/>
        <v/>
      </c>
      <c r="AN157" s="333" t="str">
        <f t="shared" si="11"/>
        <v/>
      </c>
      <c r="AO157" s="334" t="str">
        <f t="shared" si="12"/>
        <v/>
      </c>
      <c r="AP157" s="44"/>
      <c r="AQ157" s="2"/>
    </row>
    <row r="158" spans="1:43" ht="24.95" customHeight="1" x14ac:dyDescent="0.25">
      <c r="A158" s="2">
        <v>118</v>
      </c>
      <c r="B158" s="349"/>
      <c r="C158" s="350"/>
      <c r="D158" s="351"/>
      <c r="E158" s="351"/>
      <c r="F158" s="336"/>
      <c r="G158" s="327"/>
      <c r="H158" s="327"/>
      <c r="I158" s="325">
        <f t="shared" si="13"/>
        <v>0</v>
      </c>
      <c r="J158" s="540" t="s">
        <v>281</v>
      </c>
      <c r="K158" s="540"/>
      <c r="L158" s="337">
        <f>IFERROR(IF(F158="Sem projeto",VLOOKUP(C158,$B$32:$H$34,7,FALSE)*1.5,G158*VLOOKUP(J158,Aux_Lista!$AG:$AH,2,FALSE)+H158)*E158,0)</f>
        <v>0</v>
      </c>
      <c r="M158" s="346" t="s">
        <v>90</v>
      </c>
      <c r="N158" s="347" t="s">
        <v>90</v>
      </c>
      <c r="O158" s="348" t="s">
        <v>90</v>
      </c>
      <c r="P158" s="386">
        <f t="shared" si="14"/>
        <v>0</v>
      </c>
      <c r="R158" s="94">
        <v>127</v>
      </c>
      <c r="S158" s="383"/>
      <c r="T158" s="214"/>
      <c r="U158" s="214"/>
      <c r="V158" s="217"/>
      <c r="W158" s="215"/>
      <c r="X158" s="336"/>
      <c r="Y158" s="68" t="str">
        <f>IF(V158="","",VLOOKUP(V158,Aux_Lista!A:K,11,FALSE))</f>
        <v/>
      </c>
      <c r="Z158" s="68" t="str">
        <f>IF(V158="","",VLOOKUP(V158,Aux_Lista!A:L,12,FALSE))</f>
        <v/>
      </c>
      <c r="AA158" s="68" t="str">
        <f>IF(W158="","",VLOOKUP(W158,Aux_Lista!AN:AP,3,FALSE))</f>
        <v/>
      </c>
      <c r="AB158" s="68" t="str">
        <f>IF(W158="","",VLOOKUP(W158,Aux_Lista!AN:AP,2,FALSE))</f>
        <v/>
      </c>
      <c r="AC158" s="69"/>
      <c r="AD158" s="69"/>
      <c r="AE158" s="325">
        <f t="shared" si="8"/>
        <v>0</v>
      </c>
      <c r="AF158" s="540" t="s">
        <v>281</v>
      </c>
      <c r="AG158" s="540"/>
      <c r="AH158" s="337">
        <f>IFERROR(IF(X158="Sem projeto",1.5*AA158,AC158*VLOOKUP(AF158,Aux_Lista!AG:AH,2,FALSE)+AD158)*U158,0)</f>
        <v>0</v>
      </c>
      <c r="AI158" s="343" t="s">
        <v>90</v>
      </c>
      <c r="AJ158" s="343" t="s">
        <v>90</v>
      </c>
      <c r="AK158" s="343" t="s">
        <v>90</v>
      </c>
      <c r="AL158" s="333" t="str">
        <f t="shared" si="9"/>
        <v/>
      </c>
      <c r="AM158" s="334" t="str">
        <f t="shared" si="10"/>
        <v/>
      </c>
      <c r="AN158" s="333" t="str">
        <f t="shared" si="11"/>
        <v/>
      </c>
      <c r="AO158" s="334" t="str">
        <f t="shared" si="12"/>
        <v/>
      </c>
      <c r="AP158" s="44"/>
      <c r="AQ158" s="2"/>
    </row>
    <row r="159" spans="1:43" ht="24.95" customHeight="1" x14ac:dyDescent="0.25">
      <c r="A159" s="2">
        <v>119</v>
      </c>
      <c r="B159" s="349"/>
      <c r="C159" s="350"/>
      <c r="D159" s="351"/>
      <c r="E159" s="351"/>
      <c r="F159" s="336"/>
      <c r="G159" s="327"/>
      <c r="H159" s="327"/>
      <c r="I159" s="325">
        <f t="shared" si="13"/>
        <v>0</v>
      </c>
      <c r="J159" s="540" t="s">
        <v>281</v>
      </c>
      <c r="K159" s="540"/>
      <c r="L159" s="337">
        <f>IFERROR(IF(F159="Sem projeto",VLOOKUP(C159,$B$32:$H$34,7,FALSE)*1.5,G159*VLOOKUP(J159,Aux_Lista!$AG:$AH,2,FALSE)+H159)*E159,0)</f>
        <v>0</v>
      </c>
      <c r="M159" s="346" t="s">
        <v>90</v>
      </c>
      <c r="N159" s="347" t="s">
        <v>90</v>
      </c>
      <c r="O159" s="348" t="s">
        <v>90</v>
      </c>
      <c r="P159" s="386">
        <f t="shared" si="14"/>
        <v>0</v>
      </c>
      <c r="R159" s="94">
        <v>128</v>
      </c>
      <c r="S159" s="383"/>
      <c r="T159" s="214"/>
      <c r="U159" s="214"/>
      <c r="V159" s="217"/>
      <c r="W159" s="215"/>
      <c r="X159" s="336"/>
      <c r="Y159" s="68" t="str">
        <f>IF(V159="","",VLOOKUP(V159,Aux_Lista!A:K,11,FALSE))</f>
        <v/>
      </c>
      <c r="Z159" s="68" t="str">
        <f>IF(V159="","",VLOOKUP(V159,Aux_Lista!A:L,12,FALSE))</f>
        <v/>
      </c>
      <c r="AA159" s="68" t="str">
        <f>IF(W159="","",VLOOKUP(W159,Aux_Lista!AN:AP,3,FALSE))</f>
        <v/>
      </c>
      <c r="AB159" s="68" t="str">
        <f>IF(W159="","",VLOOKUP(W159,Aux_Lista!AN:AP,2,FALSE))</f>
        <v/>
      </c>
      <c r="AC159" s="69"/>
      <c r="AD159" s="69"/>
      <c r="AE159" s="325">
        <f t="shared" si="8"/>
        <v>0</v>
      </c>
      <c r="AF159" s="540" t="s">
        <v>281</v>
      </c>
      <c r="AG159" s="540"/>
      <c r="AH159" s="337">
        <f>IFERROR(IF(X159="Sem projeto",1.5*AA159,AC159*VLOOKUP(AF159,Aux_Lista!AG:AH,2,FALSE)+AD159)*U159,0)</f>
        <v>0</v>
      </c>
      <c r="AI159" s="343" t="s">
        <v>90</v>
      </c>
      <c r="AJ159" s="343" t="s">
        <v>90</v>
      </c>
      <c r="AK159" s="343" t="s">
        <v>90</v>
      </c>
      <c r="AL159" s="333" t="str">
        <f t="shared" si="9"/>
        <v/>
      </c>
      <c r="AM159" s="334" t="str">
        <f t="shared" si="10"/>
        <v/>
      </c>
      <c r="AN159" s="333" t="str">
        <f t="shared" si="11"/>
        <v/>
      </c>
      <c r="AO159" s="334" t="str">
        <f t="shared" si="12"/>
        <v/>
      </c>
      <c r="AP159" s="44"/>
      <c r="AQ159" s="2"/>
    </row>
    <row r="160" spans="1:43" ht="24.95" customHeight="1" x14ac:dyDescent="0.25">
      <c r="A160" s="2">
        <v>120</v>
      </c>
      <c r="B160" s="349"/>
      <c r="C160" s="350"/>
      <c r="D160" s="351"/>
      <c r="E160" s="351"/>
      <c r="F160" s="336"/>
      <c r="G160" s="327"/>
      <c r="H160" s="327"/>
      <c r="I160" s="325">
        <f t="shared" si="13"/>
        <v>0</v>
      </c>
      <c r="J160" s="540" t="s">
        <v>281</v>
      </c>
      <c r="K160" s="540"/>
      <c r="L160" s="337">
        <f>IFERROR(IF(F160="Sem projeto",VLOOKUP(C160,$B$32:$H$34,7,FALSE)*1.5,G160*VLOOKUP(J160,Aux_Lista!$AG:$AH,2,FALSE)+H160)*E160,0)</f>
        <v>0</v>
      </c>
      <c r="M160" s="346" t="s">
        <v>90</v>
      </c>
      <c r="N160" s="347" t="s">
        <v>90</v>
      </c>
      <c r="O160" s="348" t="s">
        <v>90</v>
      </c>
      <c r="P160" s="386">
        <f t="shared" si="14"/>
        <v>0</v>
      </c>
      <c r="R160" s="94">
        <v>129</v>
      </c>
      <c r="S160" s="383"/>
      <c r="T160" s="214"/>
      <c r="U160" s="214"/>
      <c r="V160" s="217"/>
      <c r="W160" s="215"/>
      <c r="X160" s="336"/>
      <c r="Y160" s="68" t="str">
        <f>IF(V160="","",VLOOKUP(V160,Aux_Lista!A:K,11,FALSE))</f>
        <v/>
      </c>
      <c r="Z160" s="68" t="str">
        <f>IF(V160="","",VLOOKUP(V160,Aux_Lista!A:L,12,FALSE))</f>
        <v/>
      </c>
      <c r="AA160" s="68" t="str">
        <f>IF(W160="","",VLOOKUP(W160,Aux_Lista!AN:AP,3,FALSE))</f>
        <v/>
      </c>
      <c r="AB160" s="68" t="str">
        <f>IF(W160="","",VLOOKUP(W160,Aux_Lista!AN:AP,2,FALSE))</f>
        <v/>
      </c>
      <c r="AC160" s="69"/>
      <c r="AD160" s="69"/>
      <c r="AE160" s="325">
        <f t="shared" si="8"/>
        <v>0</v>
      </c>
      <c r="AF160" s="540" t="s">
        <v>281</v>
      </c>
      <c r="AG160" s="540"/>
      <c r="AH160" s="337">
        <f>IFERROR(IF(X160="Sem projeto",1.5*AA160,AC160*VLOOKUP(AF160,Aux_Lista!AG:AH,2,FALSE)+AD160)*U160,0)</f>
        <v>0</v>
      </c>
      <c r="AI160" s="343" t="s">
        <v>90</v>
      </c>
      <c r="AJ160" s="343" t="s">
        <v>90</v>
      </c>
      <c r="AK160" s="343" t="s">
        <v>90</v>
      </c>
      <c r="AL160" s="333" t="str">
        <f t="shared" si="9"/>
        <v/>
      </c>
      <c r="AM160" s="334" t="str">
        <f t="shared" si="10"/>
        <v/>
      </c>
      <c r="AN160" s="333" t="str">
        <f t="shared" si="11"/>
        <v/>
      </c>
      <c r="AO160" s="334" t="str">
        <f t="shared" si="12"/>
        <v/>
      </c>
      <c r="AP160" s="44"/>
      <c r="AQ160" s="2"/>
    </row>
    <row r="161" spans="1:43" ht="24.95" customHeight="1" x14ac:dyDescent="0.25">
      <c r="A161" s="2">
        <v>121</v>
      </c>
      <c r="B161" s="349"/>
      <c r="C161" s="350"/>
      <c r="D161" s="351"/>
      <c r="E161" s="351"/>
      <c r="F161" s="336"/>
      <c r="G161" s="327"/>
      <c r="H161" s="327"/>
      <c r="I161" s="325">
        <f t="shared" si="13"/>
        <v>0</v>
      </c>
      <c r="J161" s="540" t="s">
        <v>281</v>
      </c>
      <c r="K161" s="540"/>
      <c r="L161" s="337">
        <f>IFERROR(IF(F161="Sem projeto",VLOOKUP(C161,$B$32:$H$34,7,FALSE)*1.5,G161*VLOOKUP(J161,Aux_Lista!$AG:$AH,2,FALSE)+H161)*E161,0)</f>
        <v>0</v>
      </c>
      <c r="M161" s="346" t="s">
        <v>90</v>
      </c>
      <c r="N161" s="347" t="s">
        <v>90</v>
      </c>
      <c r="O161" s="348" t="s">
        <v>90</v>
      </c>
      <c r="P161" s="386">
        <f t="shared" si="14"/>
        <v>0</v>
      </c>
      <c r="R161" s="94">
        <v>130</v>
      </c>
      <c r="S161" s="383"/>
      <c r="T161" s="214"/>
      <c r="U161" s="214"/>
      <c r="V161" s="217"/>
      <c r="W161" s="215"/>
      <c r="X161" s="336"/>
      <c r="Y161" s="68" t="str">
        <f>IF(V161="","",VLOOKUP(V161,Aux_Lista!A:K,11,FALSE))</f>
        <v/>
      </c>
      <c r="Z161" s="68" t="str">
        <f>IF(V161="","",VLOOKUP(V161,Aux_Lista!A:L,12,FALSE))</f>
        <v/>
      </c>
      <c r="AA161" s="68" t="str">
        <f>IF(W161="","",VLOOKUP(W161,Aux_Lista!AN:AP,3,FALSE))</f>
        <v/>
      </c>
      <c r="AB161" s="68" t="str">
        <f>IF(W161="","",VLOOKUP(W161,Aux_Lista!AN:AP,2,FALSE))</f>
        <v/>
      </c>
      <c r="AC161" s="69"/>
      <c r="AD161" s="69"/>
      <c r="AE161" s="325">
        <f t="shared" ref="AE161:AE224" si="15">(AC161+AD161)*U161</f>
        <v>0</v>
      </c>
      <c r="AF161" s="540" t="s">
        <v>281</v>
      </c>
      <c r="AG161" s="540"/>
      <c r="AH161" s="337">
        <f>IFERROR(IF(X161="Sem projeto",1.5*AA161,AC161*VLOOKUP(AF161,Aux_Lista!AG:AH,2,FALSE)+AD161)*U161,0)</f>
        <v>0</v>
      </c>
      <c r="AI161" s="343" t="s">
        <v>90</v>
      </c>
      <c r="AJ161" s="343" t="s">
        <v>90</v>
      </c>
      <c r="AK161" s="343" t="s">
        <v>90</v>
      </c>
      <c r="AL161" s="333" t="str">
        <f t="shared" ref="AL161:AL224" si="16">IF(ISERROR((T161*U161*Y161*Z161*AA161)/1000),"",(T161*U161*Y161*Z161*AA161)/1000)</f>
        <v/>
      </c>
      <c r="AM161" s="334" t="str">
        <f t="shared" ref="AM161:AM224" si="17">IF(ISERROR((Y161*Z161*AH161)/1000),"",(Y161*Z161*AH161)/1000)</f>
        <v/>
      </c>
      <c r="AN161" s="333" t="str">
        <f t="shared" ref="AN161:AN224" si="18">IFERROR(AA161*T161*U161*Y161*Z161/1000,"")</f>
        <v/>
      </c>
      <c r="AO161" s="334" t="str">
        <f t="shared" ref="AO161:AO224" si="19">IFERROR(AB161*T161*U161*Y161*Z161/1000,"")</f>
        <v/>
      </c>
      <c r="AP161" s="44"/>
      <c r="AQ161" s="2"/>
    </row>
    <row r="162" spans="1:43" ht="24.95" customHeight="1" x14ac:dyDescent="0.25">
      <c r="A162" s="2">
        <v>122</v>
      </c>
      <c r="B162" s="349"/>
      <c r="C162" s="350"/>
      <c r="D162" s="351"/>
      <c r="E162" s="351"/>
      <c r="F162" s="336"/>
      <c r="G162" s="327"/>
      <c r="H162" s="327"/>
      <c r="I162" s="325">
        <f t="shared" si="13"/>
        <v>0</v>
      </c>
      <c r="J162" s="540" t="s">
        <v>281</v>
      </c>
      <c r="K162" s="540"/>
      <c r="L162" s="337">
        <f>IFERROR(IF(F162="Sem projeto",VLOOKUP(C162,$B$32:$H$34,7,FALSE)*1.5,G162*VLOOKUP(J162,Aux_Lista!$AG:$AH,2,FALSE)+H162)*E162,0)</f>
        <v>0</v>
      </c>
      <c r="M162" s="346" t="s">
        <v>90</v>
      </c>
      <c r="N162" s="347" t="s">
        <v>90</v>
      </c>
      <c r="O162" s="348" t="s">
        <v>90</v>
      </c>
      <c r="P162" s="386">
        <f t="shared" si="14"/>
        <v>0</v>
      </c>
      <c r="R162" s="94">
        <v>131</v>
      </c>
      <c r="S162" s="383"/>
      <c r="T162" s="214"/>
      <c r="U162" s="214"/>
      <c r="V162" s="217"/>
      <c r="W162" s="215"/>
      <c r="X162" s="336"/>
      <c r="Y162" s="68" t="str">
        <f>IF(V162="","",VLOOKUP(V162,Aux_Lista!A:K,11,FALSE))</f>
        <v/>
      </c>
      <c r="Z162" s="68" t="str">
        <f>IF(V162="","",VLOOKUP(V162,Aux_Lista!A:L,12,FALSE))</f>
        <v/>
      </c>
      <c r="AA162" s="68" t="str">
        <f>IF(W162="","",VLOOKUP(W162,Aux_Lista!AN:AP,3,FALSE))</f>
        <v/>
      </c>
      <c r="AB162" s="68" t="str">
        <f>IF(W162="","",VLOOKUP(W162,Aux_Lista!AN:AP,2,FALSE))</f>
        <v/>
      </c>
      <c r="AC162" s="69"/>
      <c r="AD162" s="69"/>
      <c r="AE162" s="325">
        <f t="shared" si="15"/>
        <v>0</v>
      </c>
      <c r="AF162" s="540" t="s">
        <v>281</v>
      </c>
      <c r="AG162" s="540"/>
      <c r="AH162" s="337">
        <f>IFERROR(IF(X162="Sem projeto",1.5*AA162,AC162*VLOOKUP(AF162,Aux_Lista!AG:AH,2,FALSE)+AD162)*U162,0)</f>
        <v>0</v>
      </c>
      <c r="AI162" s="343" t="s">
        <v>90</v>
      </c>
      <c r="AJ162" s="343" t="s">
        <v>90</v>
      </c>
      <c r="AK162" s="343" t="s">
        <v>90</v>
      </c>
      <c r="AL162" s="333" t="str">
        <f t="shared" si="16"/>
        <v/>
      </c>
      <c r="AM162" s="334" t="str">
        <f t="shared" si="17"/>
        <v/>
      </c>
      <c r="AN162" s="333" t="str">
        <f t="shared" si="18"/>
        <v/>
      </c>
      <c r="AO162" s="334" t="str">
        <f t="shared" si="19"/>
        <v/>
      </c>
      <c r="AP162" s="44"/>
      <c r="AQ162" s="2"/>
    </row>
    <row r="163" spans="1:43" ht="24.95" customHeight="1" x14ac:dyDescent="0.25">
      <c r="A163" s="2">
        <v>123</v>
      </c>
      <c r="B163" s="349"/>
      <c r="C163" s="350"/>
      <c r="D163" s="351"/>
      <c r="E163" s="351"/>
      <c r="F163" s="336"/>
      <c r="G163" s="327"/>
      <c r="H163" s="327"/>
      <c r="I163" s="325">
        <f t="shared" si="13"/>
        <v>0</v>
      </c>
      <c r="J163" s="540" t="s">
        <v>281</v>
      </c>
      <c r="K163" s="540"/>
      <c r="L163" s="337">
        <f>IFERROR(IF(F163="Sem projeto",VLOOKUP(C163,$B$32:$H$34,7,FALSE)*1.5,G163*VLOOKUP(J163,Aux_Lista!$AG:$AH,2,FALSE)+H163)*E163,0)</f>
        <v>0</v>
      </c>
      <c r="M163" s="346" t="s">
        <v>90</v>
      </c>
      <c r="N163" s="347" t="s">
        <v>90</v>
      </c>
      <c r="O163" s="348" t="s">
        <v>90</v>
      </c>
      <c r="P163" s="386">
        <f t="shared" si="14"/>
        <v>0</v>
      </c>
      <c r="R163" s="94">
        <v>132</v>
      </c>
      <c r="S163" s="383"/>
      <c r="T163" s="214"/>
      <c r="U163" s="214"/>
      <c r="V163" s="217"/>
      <c r="W163" s="215"/>
      <c r="X163" s="336"/>
      <c r="Y163" s="68" t="str">
        <f>IF(V163="","",VLOOKUP(V163,Aux_Lista!A:K,11,FALSE))</f>
        <v/>
      </c>
      <c r="Z163" s="68" t="str">
        <f>IF(V163="","",VLOOKUP(V163,Aux_Lista!A:L,12,FALSE))</f>
        <v/>
      </c>
      <c r="AA163" s="68" t="str">
        <f>IF(W163="","",VLOOKUP(W163,Aux_Lista!AN:AP,3,FALSE))</f>
        <v/>
      </c>
      <c r="AB163" s="68" t="str">
        <f>IF(W163="","",VLOOKUP(W163,Aux_Lista!AN:AP,2,FALSE))</f>
        <v/>
      </c>
      <c r="AC163" s="69"/>
      <c r="AD163" s="69"/>
      <c r="AE163" s="325">
        <f t="shared" si="15"/>
        <v>0</v>
      </c>
      <c r="AF163" s="540" t="s">
        <v>281</v>
      </c>
      <c r="AG163" s="540"/>
      <c r="AH163" s="337">
        <f>IFERROR(IF(X163="Sem projeto",1.5*AA163,AC163*VLOOKUP(AF163,Aux_Lista!AG:AH,2,FALSE)+AD163)*U163,0)</f>
        <v>0</v>
      </c>
      <c r="AI163" s="343" t="s">
        <v>90</v>
      </c>
      <c r="AJ163" s="343" t="s">
        <v>90</v>
      </c>
      <c r="AK163" s="343" t="s">
        <v>90</v>
      </c>
      <c r="AL163" s="333" t="str">
        <f t="shared" si="16"/>
        <v/>
      </c>
      <c r="AM163" s="334" t="str">
        <f t="shared" si="17"/>
        <v/>
      </c>
      <c r="AN163" s="333" t="str">
        <f t="shared" si="18"/>
        <v/>
      </c>
      <c r="AO163" s="334" t="str">
        <f t="shared" si="19"/>
        <v/>
      </c>
      <c r="AP163" s="44"/>
      <c r="AQ163" s="2"/>
    </row>
    <row r="164" spans="1:43" ht="24.95" customHeight="1" x14ac:dyDescent="0.25">
      <c r="A164" s="2">
        <v>124</v>
      </c>
      <c r="B164" s="349"/>
      <c r="C164" s="350"/>
      <c r="D164" s="351"/>
      <c r="E164" s="351"/>
      <c r="F164" s="336"/>
      <c r="G164" s="327"/>
      <c r="H164" s="327"/>
      <c r="I164" s="325">
        <f t="shared" si="13"/>
        <v>0</v>
      </c>
      <c r="J164" s="540" t="s">
        <v>281</v>
      </c>
      <c r="K164" s="540"/>
      <c r="L164" s="337">
        <f>IFERROR(IF(F164="Sem projeto",VLOOKUP(C164,$B$32:$H$34,7,FALSE)*1.5,G164*VLOOKUP(J164,Aux_Lista!$AG:$AH,2,FALSE)+H164)*E164,0)</f>
        <v>0</v>
      </c>
      <c r="M164" s="346" t="s">
        <v>90</v>
      </c>
      <c r="N164" s="347" t="s">
        <v>90</v>
      </c>
      <c r="O164" s="348" t="s">
        <v>90</v>
      </c>
      <c r="P164" s="386">
        <f t="shared" si="14"/>
        <v>0</v>
      </c>
      <c r="R164" s="94">
        <v>133</v>
      </c>
      <c r="S164" s="383"/>
      <c r="T164" s="214"/>
      <c r="U164" s="214"/>
      <c r="V164" s="217"/>
      <c r="W164" s="215"/>
      <c r="X164" s="336"/>
      <c r="Y164" s="68" t="str">
        <f>IF(V164="","",VLOOKUP(V164,Aux_Lista!A:K,11,FALSE))</f>
        <v/>
      </c>
      <c r="Z164" s="68" t="str">
        <f>IF(V164="","",VLOOKUP(V164,Aux_Lista!A:L,12,FALSE))</f>
        <v/>
      </c>
      <c r="AA164" s="68" t="str">
        <f>IF(W164="","",VLOOKUP(W164,Aux_Lista!AN:AP,3,FALSE))</f>
        <v/>
      </c>
      <c r="AB164" s="68" t="str">
        <f>IF(W164="","",VLOOKUP(W164,Aux_Lista!AN:AP,2,FALSE))</f>
        <v/>
      </c>
      <c r="AC164" s="69"/>
      <c r="AD164" s="69"/>
      <c r="AE164" s="325">
        <f t="shared" si="15"/>
        <v>0</v>
      </c>
      <c r="AF164" s="540" t="s">
        <v>281</v>
      </c>
      <c r="AG164" s="540"/>
      <c r="AH164" s="337">
        <f>IFERROR(IF(X164="Sem projeto",1.5*AA164,AC164*VLOOKUP(AF164,Aux_Lista!AG:AH,2,FALSE)+AD164)*U164,0)</f>
        <v>0</v>
      </c>
      <c r="AI164" s="343" t="s">
        <v>90</v>
      </c>
      <c r="AJ164" s="343" t="s">
        <v>90</v>
      </c>
      <c r="AK164" s="343" t="s">
        <v>90</v>
      </c>
      <c r="AL164" s="333" t="str">
        <f t="shared" si="16"/>
        <v/>
      </c>
      <c r="AM164" s="334" t="str">
        <f t="shared" si="17"/>
        <v/>
      </c>
      <c r="AN164" s="333" t="str">
        <f t="shared" si="18"/>
        <v/>
      </c>
      <c r="AO164" s="334" t="str">
        <f t="shared" si="19"/>
        <v/>
      </c>
      <c r="AP164" s="44"/>
      <c r="AQ164" s="2"/>
    </row>
    <row r="165" spans="1:43" ht="24.95" customHeight="1" x14ac:dyDescent="0.25">
      <c r="A165" s="2">
        <v>125</v>
      </c>
      <c r="B165" s="349"/>
      <c r="C165" s="350"/>
      <c r="D165" s="351"/>
      <c r="E165" s="351"/>
      <c r="F165" s="336"/>
      <c r="G165" s="327"/>
      <c r="H165" s="327"/>
      <c r="I165" s="325">
        <f t="shared" si="13"/>
        <v>0</v>
      </c>
      <c r="J165" s="540" t="s">
        <v>281</v>
      </c>
      <c r="K165" s="540"/>
      <c r="L165" s="337">
        <f>IFERROR(IF(F165="Sem projeto",VLOOKUP(C165,$B$32:$H$34,7,FALSE)*1.5,G165*VLOOKUP(J165,Aux_Lista!$AG:$AH,2,FALSE)+H165)*E165,0)</f>
        <v>0</v>
      </c>
      <c r="M165" s="346" t="s">
        <v>90</v>
      </c>
      <c r="N165" s="347" t="s">
        <v>90</v>
      </c>
      <c r="O165" s="348" t="s">
        <v>90</v>
      </c>
      <c r="P165" s="386">
        <f t="shared" si="14"/>
        <v>0</v>
      </c>
      <c r="R165" s="94">
        <v>134</v>
      </c>
      <c r="S165" s="383"/>
      <c r="T165" s="214"/>
      <c r="U165" s="214"/>
      <c r="V165" s="217"/>
      <c r="W165" s="215"/>
      <c r="X165" s="336"/>
      <c r="Y165" s="68" t="str">
        <f>IF(V165="","",VLOOKUP(V165,Aux_Lista!A:K,11,FALSE))</f>
        <v/>
      </c>
      <c r="Z165" s="68" t="str">
        <f>IF(V165="","",VLOOKUP(V165,Aux_Lista!A:L,12,FALSE))</f>
        <v/>
      </c>
      <c r="AA165" s="68" t="str">
        <f>IF(W165="","",VLOOKUP(W165,Aux_Lista!AN:AP,3,FALSE))</f>
        <v/>
      </c>
      <c r="AB165" s="68" t="str">
        <f>IF(W165="","",VLOOKUP(W165,Aux_Lista!AN:AP,2,FALSE))</f>
        <v/>
      </c>
      <c r="AC165" s="69"/>
      <c r="AD165" s="69"/>
      <c r="AE165" s="325">
        <f t="shared" si="15"/>
        <v>0</v>
      </c>
      <c r="AF165" s="540" t="s">
        <v>281</v>
      </c>
      <c r="AG165" s="540"/>
      <c r="AH165" s="337">
        <f>IFERROR(IF(X165="Sem projeto",1.5*AA165,AC165*VLOOKUP(AF165,Aux_Lista!AG:AH,2,FALSE)+AD165)*U165,0)</f>
        <v>0</v>
      </c>
      <c r="AI165" s="343" t="s">
        <v>90</v>
      </c>
      <c r="AJ165" s="343" t="s">
        <v>90</v>
      </c>
      <c r="AK165" s="343" t="s">
        <v>90</v>
      </c>
      <c r="AL165" s="333" t="str">
        <f t="shared" si="16"/>
        <v/>
      </c>
      <c r="AM165" s="334" t="str">
        <f t="shared" si="17"/>
        <v/>
      </c>
      <c r="AN165" s="333" t="str">
        <f t="shared" si="18"/>
        <v/>
      </c>
      <c r="AO165" s="334" t="str">
        <f t="shared" si="19"/>
        <v/>
      </c>
      <c r="AP165" s="44"/>
      <c r="AQ165" s="2"/>
    </row>
    <row r="166" spans="1:43" ht="24.95" customHeight="1" x14ac:dyDescent="0.25">
      <c r="A166" s="2">
        <v>126</v>
      </c>
      <c r="B166" s="349"/>
      <c r="C166" s="350"/>
      <c r="D166" s="351"/>
      <c r="E166" s="351"/>
      <c r="F166" s="336"/>
      <c r="G166" s="327"/>
      <c r="H166" s="327"/>
      <c r="I166" s="325">
        <f t="shared" si="13"/>
        <v>0</v>
      </c>
      <c r="J166" s="540" t="s">
        <v>281</v>
      </c>
      <c r="K166" s="540"/>
      <c r="L166" s="337">
        <f>IFERROR(IF(F166="Sem projeto",VLOOKUP(C166,$B$32:$H$34,7,FALSE)*1.5,G166*VLOOKUP(J166,Aux_Lista!$AG:$AH,2,FALSE)+H166)*E166,0)</f>
        <v>0</v>
      </c>
      <c r="M166" s="346" t="s">
        <v>90</v>
      </c>
      <c r="N166" s="347" t="s">
        <v>90</v>
      </c>
      <c r="O166" s="348" t="s">
        <v>90</v>
      </c>
      <c r="P166" s="386">
        <f t="shared" si="14"/>
        <v>0</v>
      </c>
      <c r="R166" s="94">
        <v>135</v>
      </c>
      <c r="S166" s="383"/>
      <c r="T166" s="214"/>
      <c r="U166" s="214"/>
      <c r="V166" s="217"/>
      <c r="W166" s="215"/>
      <c r="X166" s="336"/>
      <c r="Y166" s="68" t="str">
        <f>IF(V166="","",VLOOKUP(V166,Aux_Lista!A:K,11,FALSE))</f>
        <v/>
      </c>
      <c r="Z166" s="68" t="str">
        <f>IF(V166="","",VLOOKUP(V166,Aux_Lista!A:L,12,FALSE))</f>
        <v/>
      </c>
      <c r="AA166" s="68" t="str">
        <f>IF(W166="","",VLOOKUP(W166,Aux_Lista!AN:AP,3,FALSE))</f>
        <v/>
      </c>
      <c r="AB166" s="68" t="str">
        <f>IF(W166="","",VLOOKUP(W166,Aux_Lista!AN:AP,2,FALSE))</f>
        <v/>
      </c>
      <c r="AC166" s="69"/>
      <c r="AD166" s="69"/>
      <c r="AE166" s="325">
        <f t="shared" si="15"/>
        <v>0</v>
      </c>
      <c r="AF166" s="540" t="s">
        <v>281</v>
      </c>
      <c r="AG166" s="540"/>
      <c r="AH166" s="337">
        <f>IFERROR(IF(X166="Sem projeto",1.5*AA166,AC166*VLOOKUP(AF166,Aux_Lista!AG:AH,2,FALSE)+AD166)*U166,0)</f>
        <v>0</v>
      </c>
      <c r="AI166" s="343" t="s">
        <v>90</v>
      </c>
      <c r="AJ166" s="343" t="s">
        <v>90</v>
      </c>
      <c r="AK166" s="343" t="s">
        <v>90</v>
      </c>
      <c r="AL166" s="333" t="str">
        <f t="shared" si="16"/>
        <v/>
      </c>
      <c r="AM166" s="334" t="str">
        <f t="shared" si="17"/>
        <v/>
      </c>
      <c r="AN166" s="333" t="str">
        <f t="shared" si="18"/>
        <v/>
      </c>
      <c r="AO166" s="334" t="str">
        <f t="shared" si="19"/>
        <v/>
      </c>
      <c r="AP166" s="44"/>
      <c r="AQ166" s="2"/>
    </row>
    <row r="167" spans="1:43" ht="24.95" customHeight="1" x14ac:dyDescent="0.25">
      <c r="A167" s="2">
        <v>127</v>
      </c>
      <c r="B167" s="349"/>
      <c r="C167" s="350"/>
      <c r="D167" s="351"/>
      <c r="E167" s="351"/>
      <c r="F167" s="336"/>
      <c r="G167" s="327"/>
      <c r="H167" s="327"/>
      <c r="I167" s="325">
        <f t="shared" si="13"/>
        <v>0</v>
      </c>
      <c r="J167" s="540" t="s">
        <v>281</v>
      </c>
      <c r="K167" s="540"/>
      <c r="L167" s="337">
        <f>IFERROR(IF(F167="Sem projeto",VLOOKUP(C167,$B$32:$H$34,7,FALSE)*1.5,G167*VLOOKUP(J167,Aux_Lista!$AG:$AH,2,FALSE)+H167)*E167,0)</f>
        <v>0</v>
      </c>
      <c r="M167" s="346" t="s">
        <v>90</v>
      </c>
      <c r="N167" s="347" t="s">
        <v>90</v>
      </c>
      <c r="O167" s="348" t="s">
        <v>90</v>
      </c>
      <c r="P167" s="386">
        <f t="shared" si="14"/>
        <v>0</v>
      </c>
      <c r="R167" s="94">
        <v>136</v>
      </c>
      <c r="S167" s="383"/>
      <c r="T167" s="214"/>
      <c r="U167" s="214"/>
      <c r="V167" s="217"/>
      <c r="W167" s="215"/>
      <c r="X167" s="336"/>
      <c r="Y167" s="68" t="str">
        <f>IF(V167="","",VLOOKUP(V167,Aux_Lista!A:K,11,FALSE))</f>
        <v/>
      </c>
      <c r="Z167" s="68" t="str">
        <f>IF(V167="","",VLOOKUP(V167,Aux_Lista!A:L,12,FALSE))</f>
        <v/>
      </c>
      <c r="AA167" s="68" t="str">
        <f>IF(W167="","",VLOOKUP(W167,Aux_Lista!AN:AP,3,FALSE))</f>
        <v/>
      </c>
      <c r="AB167" s="68" t="str">
        <f>IF(W167="","",VLOOKUP(W167,Aux_Lista!AN:AP,2,FALSE))</f>
        <v/>
      </c>
      <c r="AC167" s="69"/>
      <c r="AD167" s="69"/>
      <c r="AE167" s="325">
        <f t="shared" si="15"/>
        <v>0</v>
      </c>
      <c r="AF167" s="540" t="s">
        <v>281</v>
      </c>
      <c r="AG167" s="540"/>
      <c r="AH167" s="337">
        <f>IFERROR(IF(X167="Sem projeto",1.5*AA167,AC167*VLOOKUP(AF167,Aux_Lista!AG:AH,2,FALSE)+AD167)*U167,0)</f>
        <v>0</v>
      </c>
      <c r="AI167" s="343" t="s">
        <v>90</v>
      </c>
      <c r="AJ167" s="343" t="s">
        <v>90</v>
      </c>
      <c r="AK167" s="343" t="s">
        <v>90</v>
      </c>
      <c r="AL167" s="333" t="str">
        <f t="shared" si="16"/>
        <v/>
      </c>
      <c r="AM167" s="334" t="str">
        <f t="shared" si="17"/>
        <v/>
      </c>
      <c r="AN167" s="333" t="str">
        <f t="shared" si="18"/>
        <v/>
      </c>
      <c r="AO167" s="334" t="str">
        <f t="shared" si="19"/>
        <v/>
      </c>
      <c r="AP167" s="44"/>
      <c r="AQ167" s="2"/>
    </row>
    <row r="168" spans="1:43" ht="24.95" customHeight="1" x14ac:dyDescent="0.25">
      <c r="A168" s="2">
        <v>128</v>
      </c>
      <c r="B168" s="349"/>
      <c r="C168" s="350"/>
      <c r="D168" s="351"/>
      <c r="E168" s="351"/>
      <c r="F168" s="336"/>
      <c r="G168" s="327"/>
      <c r="H168" s="327"/>
      <c r="I168" s="325">
        <f t="shared" si="13"/>
        <v>0</v>
      </c>
      <c r="J168" s="540" t="s">
        <v>281</v>
      </c>
      <c r="K168" s="540"/>
      <c r="L168" s="337">
        <f>IFERROR(IF(F168="Sem projeto",VLOOKUP(C168,$B$32:$H$34,7,FALSE)*1.5,G168*VLOOKUP(J168,Aux_Lista!$AG:$AH,2,FALSE)+H168)*E168,0)</f>
        <v>0</v>
      </c>
      <c r="M168" s="346" t="s">
        <v>90</v>
      </c>
      <c r="N168" s="347" t="s">
        <v>90</v>
      </c>
      <c r="O168" s="348" t="s">
        <v>90</v>
      </c>
      <c r="P168" s="386">
        <f t="shared" si="14"/>
        <v>0</v>
      </c>
      <c r="R168" s="94">
        <v>137</v>
      </c>
      <c r="S168" s="383"/>
      <c r="T168" s="214"/>
      <c r="U168" s="214"/>
      <c r="V168" s="217"/>
      <c r="W168" s="215"/>
      <c r="X168" s="336"/>
      <c r="Y168" s="68" t="str">
        <f>IF(V168="","",VLOOKUP(V168,Aux_Lista!A:K,11,FALSE))</f>
        <v/>
      </c>
      <c r="Z168" s="68" t="str">
        <f>IF(V168="","",VLOOKUP(V168,Aux_Lista!A:L,12,FALSE))</f>
        <v/>
      </c>
      <c r="AA168" s="68" t="str">
        <f>IF(W168="","",VLOOKUP(W168,Aux_Lista!AN:AP,3,FALSE))</f>
        <v/>
      </c>
      <c r="AB168" s="68" t="str">
        <f>IF(W168="","",VLOOKUP(W168,Aux_Lista!AN:AP,2,FALSE))</f>
        <v/>
      </c>
      <c r="AC168" s="69"/>
      <c r="AD168" s="69"/>
      <c r="AE168" s="325">
        <f t="shared" si="15"/>
        <v>0</v>
      </c>
      <c r="AF168" s="540" t="s">
        <v>281</v>
      </c>
      <c r="AG168" s="540"/>
      <c r="AH168" s="337">
        <f>IFERROR(IF(X168="Sem projeto",1.5*AA168,AC168*VLOOKUP(AF168,Aux_Lista!AG:AH,2,FALSE)+AD168)*U168,0)</f>
        <v>0</v>
      </c>
      <c r="AI168" s="343" t="s">
        <v>90</v>
      </c>
      <c r="AJ168" s="343" t="s">
        <v>90</v>
      </c>
      <c r="AK168" s="343" t="s">
        <v>90</v>
      </c>
      <c r="AL168" s="333" t="str">
        <f t="shared" si="16"/>
        <v/>
      </c>
      <c r="AM168" s="334" t="str">
        <f t="shared" si="17"/>
        <v/>
      </c>
      <c r="AN168" s="333" t="str">
        <f t="shared" si="18"/>
        <v/>
      </c>
      <c r="AO168" s="334" t="str">
        <f t="shared" si="19"/>
        <v/>
      </c>
      <c r="AP168" s="44"/>
      <c r="AQ168" s="2"/>
    </row>
    <row r="169" spans="1:43" ht="24.95" customHeight="1" x14ac:dyDescent="0.25">
      <c r="A169" s="2">
        <v>129</v>
      </c>
      <c r="B169" s="349"/>
      <c r="C169" s="350"/>
      <c r="D169" s="351"/>
      <c r="E169" s="351"/>
      <c r="F169" s="336"/>
      <c r="G169" s="327"/>
      <c r="H169" s="327"/>
      <c r="I169" s="325">
        <f t="shared" ref="I169:I232" si="20">IFERROR((G169+H169+IF(F169="Sem projeto",VLOOKUP(C169,$B$32:$H$34,7,FALSE),0)*1.5)*E169,"")</f>
        <v>0</v>
      </c>
      <c r="J169" s="540" t="s">
        <v>281</v>
      </c>
      <c r="K169" s="540"/>
      <c r="L169" s="337">
        <f>IFERROR(IF(F169="Sem projeto",VLOOKUP(C169,$B$32:$H$34,7,FALSE)*1.5,G169*VLOOKUP(J169,Aux_Lista!$AG:$AH,2,FALSE)+H169)*E169,0)</f>
        <v>0</v>
      </c>
      <c r="M169" s="346" t="s">
        <v>90</v>
      </c>
      <c r="N169" s="347" t="s">
        <v>90</v>
      </c>
      <c r="O169" s="348" t="s">
        <v>90</v>
      </c>
      <c r="P169" s="386">
        <f t="shared" si="14"/>
        <v>0</v>
      </c>
      <c r="R169" s="94">
        <v>138</v>
      </c>
      <c r="S169" s="383"/>
      <c r="T169" s="214"/>
      <c r="U169" s="214"/>
      <c r="V169" s="217"/>
      <c r="W169" s="215"/>
      <c r="X169" s="336"/>
      <c r="Y169" s="68" t="str">
        <f>IF(V169="","",VLOOKUP(V169,Aux_Lista!A:K,11,FALSE))</f>
        <v/>
      </c>
      <c r="Z169" s="68" t="str">
        <f>IF(V169="","",VLOOKUP(V169,Aux_Lista!A:L,12,FALSE))</f>
        <v/>
      </c>
      <c r="AA169" s="68" t="str">
        <f>IF(W169="","",VLOOKUP(W169,Aux_Lista!AN:AP,3,FALSE))</f>
        <v/>
      </c>
      <c r="AB169" s="68" t="str">
        <f>IF(W169="","",VLOOKUP(W169,Aux_Lista!AN:AP,2,FALSE))</f>
        <v/>
      </c>
      <c r="AC169" s="69"/>
      <c r="AD169" s="69"/>
      <c r="AE169" s="325">
        <f t="shared" si="15"/>
        <v>0</v>
      </c>
      <c r="AF169" s="540" t="s">
        <v>281</v>
      </c>
      <c r="AG169" s="540"/>
      <c r="AH169" s="337">
        <f>IFERROR(IF(X169="Sem projeto",1.5*AA169,AC169*VLOOKUP(AF169,Aux_Lista!AG:AH,2,FALSE)+AD169)*U169,0)</f>
        <v>0</v>
      </c>
      <c r="AI169" s="343" t="s">
        <v>90</v>
      </c>
      <c r="AJ169" s="343" t="s">
        <v>90</v>
      </c>
      <c r="AK169" s="343" t="s">
        <v>90</v>
      </c>
      <c r="AL169" s="333" t="str">
        <f t="shared" si="16"/>
        <v/>
      </c>
      <c r="AM169" s="334" t="str">
        <f t="shared" si="17"/>
        <v/>
      </c>
      <c r="AN169" s="333" t="str">
        <f t="shared" si="18"/>
        <v/>
      </c>
      <c r="AO169" s="334" t="str">
        <f t="shared" si="19"/>
        <v/>
      </c>
      <c r="AP169" s="44"/>
      <c r="AQ169" s="2"/>
    </row>
    <row r="170" spans="1:43" ht="24.95" customHeight="1" x14ac:dyDescent="0.25">
      <c r="A170" s="2">
        <v>130</v>
      </c>
      <c r="B170" s="349"/>
      <c r="C170" s="350"/>
      <c r="D170" s="351"/>
      <c r="E170" s="351"/>
      <c r="F170" s="336"/>
      <c r="G170" s="327"/>
      <c r="H170" s="327"/>
      <c r="I170" s="325">
        <f t="shared" si="20"/>
        <v>0</v>
      </c>
      <c r="J170" s="540" t="s">
        <v>281</v>
      </c>
      <c r="K170" s="540"/>
      <c r="L170" s="337">
        <f>IFERROR(IF(F170="Sem projeto",VLOOKUP(C170,$B$32:$H$34,7,FALSE)*1.5,G170*VLOOKUP(J170,Aux_Lista!$AG:$AH,2,FALSE)+H170)*E170,0)</f>
        <v>0</v>
      </c>
      <c r="M170" s="346" t="s">
        <v>90</v>
      </c>
      <c r="N170" s="347" t="s">
        <v>90</v>
      </c>
      <c r="O170" s="348" t="s">
        <v>90</v>
      </c>
      <c r="P170" s="386">
        <f t="shared" ref="P170:P233" si="21">D170*E170</f>
        <v>0</v>
      </c>
      <c r="R170" s="94">
        <v>139</v>
      </c>
      <c r="S170" s="383"/>
      <c r="T170" s="214"/>
      <c r="U170" s="214"/>
      <c r="V170" s="217"/>
      <c r="W170" s="215"/>
      <c r="X170" s="336"/>
      <c r="Y170" s="68" t="str">
        <f>IF(V170="","",VLOOKUP(V170,Aux_Lista!A:K,11,FALSE))</f>
        <v/>
      </c>
      <c r="Z170" s="68" t="str">
        <f>IF(V170="","",VLOOKUP(V170,Aux_Lista!A:L,12,FALSE))</f>
        <v/>
      </c>
      <c r="AA170" s="68" t="str">
        <f>IF(W170="","",VLOOKUP(W170,Aux_Lista!AN:AP,3,FALSE))</f>
        <v/>
      </c>
      <c r="AB170" s="68" t="str">
        <f>IF(W170="","",VLOOKUP(W170,Aux_Lista!AN:AP,2,FALSE))</f>
        <v/>
      </c>
      <c r="AC170" s="69"/>
      <c r="AD170" s="69"/>
      <c r="AE170" s="325">
        <f t="shared" si="15"/>
        <v>0</v>
      </c>
      <c r="AF170" s="540" t="s">
        <v>281</v>
      </c>
      <c r="AG170" s="540"/>
      <c r="AH170" s="337">
        <f>IFERROR(IF(X170="Sem projeto",1.5*AA170,AC170*VLOOKUP(AF170,Aux_Lista!AG:AH,2,FALSE)+AD170)*U170,0)</f>
        <v>0</v>
      </c>
      <c r="AI170" s="343" t="s">
        <v>90</v>
      </c>
      <c r="AJ170" s="343" t="s">
        <v>90</v>
      </c>
      <c r="AK170" s="343" t="s">
        <v>90</v>
      </c>
      <c r="AL170" s="333" t="str">
        <f t="shared" si="16"/>
        <v/>
      </c>
      <c r="AM170" s="334" t="str">
        <f t="shared" si="17"/>
        <v/>
      </c>
      <c r="AN170" s="333" t="str">
        <f t="shared" si="18"/>
        <v/>
      </c>
      <c r="AO170" s="334" t="str">
        <f t="shared" si="19"/>
        <v/>
      </c>
      <c r="AP170" s="44"/>
      <c r="AQ170" s="2"/>
    </row>
    <row r="171" spans="1:43" ht="24.95" customHeight="1" x14ac:dyDescent="0.25">
      <c r="A171" s="2">
        <v>131</v>
      </c>
      <c r="B171" s="349"/>
      <c r="C171" s="350"/>
      <c r="D171" s="351"/>
      <c r="E171" s="351"/>
      <c r="F171" s="336"/>
      <c r="G171" s="327"/>
      <c r="H171" s="327"/>
      <c r="I171" s="325">
        <f t="shared" si="20"/>
        <v>0</v>
      </c>
      <c r="J171" s="540" t="s">
        <v>281</v>
      </c>
      <c r="K171" s="540"/>
      <c r="L171" s="337">
        <f>IFERROR(IF(F171="Sem projeto",VLOOKUP(C171,$B$32:$H$34,7,FALSE)*1.5,G171*VLOOKUP(J171,Aux_Lista!$AG:$AH,2,FALSE)+H171)*E171,0)</f>
        <v>0</v>
      </c>
      <c r="M171" s="346" t="s">
        <v>90</v>
      </c>
      <c r="N171" s="347" t="s">
        <v>90</v>
      </c>
      <c r="O171" s="348" t="s">
        <v>90</v>
      </c>
      <c r="P171" s="386">
        <f t="shared" si="21"/>
        <v>0</v>
      </c>
      <c r="R171" s="94">
        <v>140</v>
      </c>
      <c r="S171" s="383"/>
      <c r="T171" s="214"/>
      <c r="U171" s="214"/>
      <c r="V171" s="217"/>
      <c r="W171" s="215"/>
      <c r="X171" s="336"/>
      <c r="Y171" s="68" t="str">
        <f>IF(V171="","",VLOOKUP(V171,Aux_Lista!A:K,11,FALSE))</f>
        <v/>
      </c>
      <c r="Z171" s="68" t="str">
        <f>IF(V171="","",VLOOKUP(V171,Aux_Lista!A:L,12,FALSE))</f>
        <v/>
      </c>
      <c r="AA171" s="68" t="str">
        <f>IF(W171="","",VLOOKUP(W171,Aux_Lista!AN:AP,3,FALSE))</f>
        <v/>
      </c>
      <c r="AB171" s="68" t="str">
        <f>IF(W171="","",VLOOKUP(W171,Aux_Lista!AN:AP,2,FALSE))</f>
        <v/>
      </c>
      <c r="AC171" s="69"/>
      <c r="AD171" s="69"/>
      <c r="AE171" s="325">
        <f t="shared" si="15"/>
        <v>0</v>
      </c>
      <c r="AF171" s="540" t="s">
        <v>281</v>
      </c>
      <c r="AG171" s="540"/>
      <c r="AH171" s="337">
        <f>IFERROR(IF(X171="Sem projeto",1.5*AA171,AC171*VLOOKUP(AF171,Aux_Lista!AG:AH,2,FALSE)+AD171)*U171,0)</f>
        <v>0</v>
      </c>
      <c r="AI171" s="343" t="s">
        <v>90</v>
      </c>
      <c r="AJ171" s="343" t="s">
        <v>90</v>
      </c>
      <c r="AK171" s="343" t="s">
        <v>90</v>
      </c>
      <c r="AL171" s="333" t="str">
        <f t="shared" si="16"/>
        <v/>
      </c>
      <c r="AM171" s="334" t="str">
        <f t="shared" si="17"/>
        <v/>
      </c>
      <c r="AN171" s="333" t="str">
        <f t="shared" si="18"/>
        <v/>
      </c>
      <c r="AO171" s="334" t="str">
        <f t="shared" si="19"/>
        <v/>
      </c>
      <c r="AP171" s="44"/>
      <c r="AQ171" s="2"/>
    </row>
    <row r="172" spans="1:43" ht="24.95" customHeight="1" x14ac:dyDescent="0.25">
      <c r="A172" s="2">
        <v>132</v>
      </c>
      <c r="B172" s="349"/>
      <c r="C172" s="350"/>
      <c r="D172" s="351"/>
      <c r="E172" s="351"/>
      <c r="F172" s="336"/>
      <c r="G172" s="327"/>
      <c r="H172" s="327"/>
      <c r="I172" s="325">
        <f t="shared" si="20"/>
        <v>0</v>
      </c>
      <c r="J172" s="540" t="s">
        <v>281</v>
      </c>
      <c r="K172" s="540"/>
      <c r="L172" s="337">
        <f>IFERROR(IF(F172="Sem projeto",VLOOKUP(C172,$B$32:$H$34,7,FALSE)*1.5,G172*VLOOKUP(J172,Aux_Lista!$AG:$AH,2,FALSE)+H172)*E172,0)</f>
        <v>0</v>
      </c>
      <c r="M172" s="346" t="s">
        <v>90</v>
      </c>
      <c r="N172" s="347" t="s">
        <v>90</v>
      </c>
      <c r="O172" s="348" t="s">
        <v>90</v>
      </c>
      <c r="P172" s="386">
        <f t="shared" si="21"/>
        <v>0</v>
      </c>
      <c r="R172" s="94">
        <v>141</v>
      </c>
      <c r="S172" s="383"/>
      <c r="T172" s="214"/>
      <c r="U172" s="214"/>
      <c r="V172" s="217"/>
      <c r="W172" s="215"/>
      <c r="X172" s="336"/>
      <c r="Y172" s="68" t="str">
        <f>IF(V172="","",VLOOKUP(V172,Aux_Lista!A:K,11,FALSE))</f>
        <v/>
      </c>
      <c r="Z172" s="68" t="str">
        <f>IF(V172="","",VLOOKUP(V172,Aux_Lista!A:L,12,FALSE))</f>
        <v/>
      </c>
      <c r="AA172" s="68" t="str">
        <f>IF(W172="","",VLOOKUP(W172,Aux_Lista!AN:AP,3,FALSE))</f>
        <v/>
      </c>
      <c r="AB172" s="68" t="str">
        <f>IF(W172="","",VLOOKUP(W172,Aux_Lista!AN:AP,2,FALSE))</f>
        <v/>
      </c>
      <c r="AC172" s="69"/>
      <c r="AD172" s="69"/>
      <c r="AE172" s="325">
        <f t="shared" si="15"/>
        <v>0</v>
      </c>
      <c r="AF172" s="540" t="s">
        <v>281</v>
      </c>
      <c r="AG172" s="540"/>
      <c r="AH172" s="337">
        <f>IFERROR(IF(X172="Sem projeto",1.5*AA172,AC172*VLOOKUP(AF172,Aux_Lista!AG:AH,2,FALSE)+AD172)*U172,0)</f>
        <v>0</v>
      </c>
      <c r="AI172" s="343" t="s">
        <v>90</v>
      </c>
      <c r="AJ172" s="343" t="s">
        <v>90</v>
      </c>
      <c r="AK172" s="343" t="s">
        <v>90</v>
      </c>
      <c r="AL172" s="333" t="str">
        <f t="shared" si="16"/>
        <v/>
      </c>
      <c r="AM172" s="334" t="str">
        <f t="shared" si="17"/>
        <v/>
      </c>
      <c r="AN172" s="333" t="str">
        <f t="shared" si="18"/>
        <v/>
      </c>
      <c r="AO172" s="334" t="str">
        <f t="shared" si="19"/>
        <v/>
      </c>
      <c r="AP172" s="44"/>
      <c r="AQ172" s="2"/>
    </row>
    <row r="173" spans="1:43" ht="24.95" customHeight="1" x14ac:dyDescent="0.25">
      <c r="A173" s="2">
        <v>133</v>
      </c>
      <c r="B173" s="349"/>
      <c r="C173" s="350"/>
      <c r="D173" s="351"/>
      <c r="E173" s="351"/>
      <c r="F173" s="336"/>
      <c r="G173" s="327"/>
      <c r="H173" s="327"/>
      <c r="I173" s="325">
        <f t="shared" si="20"/>
        <v>0</v>
      </c>
      <c r="J173" s="540" t="s">
        <v>281</v>
      </c>
      <c r="K173" s="540"/>
      <c r="L173" s="337">
        <f>IFERROR(IF(F173="Sem projeto",VLOOKUP(C173,$B$32:$H$34,7,FALSE)*1.5,G173*VLOOKUP(J173,Aux_Lista!$AG:$AH,2,FALSE)+H173)*E173,0)</f>
        <v>0</v>
      </c>
      <c r="M173" s="346" t="s">
        <v>90</v>
      </c>
      <c r="N173" s="347" t="s">
        <v>90</v>
      </c>
      <c r="O173" s="348" t="s">
        <v>90</v>
      </c>
      <c r="P173" s="386">
        <f t="shared" si="21"/>
        <v>0</v>
      </c>
      <c r="R173" s="94">
        <v>142</v>
      </c>
      <c r="S173" s="383"/>
      <c r="T173" s="214"/>
      <c r="U173" s="214"/>
      <c r="V173" s="217"/>
      <c r="W173" s="215"/>
      <c r="X173" s="336"/>
      <c r="Y173" s="68" t="str">
        <f>IF(V173="","",VLOOKUP(V173,Aux_Lista!A:K,11,FALSE))</f>
        <v/>
      </c>
      <c r="Z173" s="68" t="str">
        <f>IF(V173="","",VLOOKUP(V173,Aux_Lista!A:L,12,FALSE))</f>
        <v/>
      </c>
      <c r="AA173" s="68" t="str">
        <f>IF(W173="","",VLOOKUP(W173,Aux_Lista!AN:AP,3,FALSE))</f>
        <v/>
      </c>
      <c r="AB173" s="68" t="str">
        <f>IF(W173="","",VLOOKUP(W173,Aux_Lista!AN:AP,2,FALSE))</f>
        <v/>
      </c>
      <c r="AC173" s="69"/>
      <c r="AD173" s="69"/>
      <c r="AE173" s="325">
        <f t="shared" si="15"/>
        <v>0</v>
      </c>
      <c r="AF173" s="540" t="s">
        <v>281</v>
      </c>
      <c r="AG173" s="540"/>
      <c r="AH173" s="337">
        <f>IFERROR(IF(X173="Sem projeto",1.5*AA173,AC173*VLOOKUP(AF173,Aux_Lista!AG:AH,2,FALSE)+AD173)*U173,0)</f>
        <v>0</v>
      </c>
      <c r="AI173" s="343" t="s">
        <v>90</v>
      </c>
      <c r="AJ173" s="343" t="s">
        <v>90</v>
      </c>
      <c r="AK173" s="343" t="s">
        <v>90</v>
      </c>
      <c r="AL173" s="333" t="str">
        <f t="shared" si="16"/>
        <v/>
      </c>
      <c r="AM173" s="334" t="str">
        <f t="shared" si="17"/>
        <v/>
      </c>
      <c r="AN173" s="333" t="str">
        <f t="shared" si="18"/>
        <v/>
      </c>
      <c r="AO173" s="334" t="str">
        <f t="shared" si="19"/>
        <v/>
      </c>
      <c r="AP173" s="44"/>
      <c r="AQ173" s="2"/>
    </row>
    <row r="174" spans="1:43" ht="24.95" customHeight="1" x14ac:dyDescent="0.25">
      <c r="A174" s="2">
        <v>134</v>
      </c>
      <c r="B174" s="349"/>
      <c r="C174" s="350"/>
      <c r="D174" s="351"/>
      <c r="E174" s="351"/>
      <c r="F174" s="336"/>
      <c r="G174" s="327"/>
      <c r="H174" s="327"/>
      <c r="I174" s="325">
        <f t="shared" si="20"/>
        <v>0</v>
      </c>
      <c r="J174" s="540" t="s">
        <v>281</v>
      </c>
      <c r="K174" s="540"/>
      <c r="L174" s="337">
        <f>IFERROR(IF(F174="Sem projeto",VLOOKUP(C174,$B$32:$H$34,7,FALSE)*1.5,G174*VLOOKUP(J174,Aux_Lista!$AG:$AH,2,FALSE)+H174)*E174,0)</f>
        <v>0</v>
      </c>
      <c r="M174" s="346" t="s">
        <v>90</v>
      </c>
      <c r="N174" s="347" t="s">
        <v>90</v>
      </c>
      <c r="O174" s="348" t="s">
        <v>90</v>
      </c>
      <c r="P174" s="386">
        <f t="shared" si="21"/>
        <v>0</v>
      </c>
      <c r="R174" s="94">
        <v>143</v>
      </c>
      <c r="S174" s="383"/>
      <c r="T174" s="214"/>
      <c r="U174" s="214"/>
      <c r="V174" s="217"/>
      <c r="W174" s="215"/>
      <c r="X174" s="336"/>
      <c r="Y174" s="68" t="str">
        <f>IF(V174="","",VLOOKUP(V174,Aux_Lista!A:K,11,FALSE))</f>
        <v/>
      </c>
      <c r="Z174" s="68" t="str">
        <f>IF(V174="","",VLOOKUP(V174,Aux_Lista!A:L,12,FALSE))</f>
        <v/>
      </c>
      <c r="AA174" s="68" t="str">
        <f>IF(W174="","",VLOOKUP(W174,Aux_Lista!AN:AP,3,FALSE))</f>
        <v/>
      </c>
      <c r="AB174" s="68" t="str">
        <f>IF(W174="","",VLOOKUP(W174,Aux_Lista!AN:AP,2,FALSE))</f>
        <v/>
      </c>
      <c r="AC174" s="69"/>
      <c r="AD174" s="69"/>
      <c r="AE174" s="325">
        <f t="shared" si="15"/>
        <v>0</v>
      </c>
      <c r="AF174" s="540" t="s">
        <v>281</v>
      </c>
      <c r="AG174" s="540"/>
      <c r="AH174" s="337">
        <f>IFERROR(IF(X174="Sem projeto",1.5*AA174,AC174*VLOOKUP(AF174,Aux_Lista!AG:AH,2,FALSE)+AD174)*U174,0)</f>
        <v>0</v>
      </c>
      <c r="AI174" s="343" t="s">
        <v>90</v>
      </c>
      <c r="AJ174" s="343" t="s">
        <v>90</v>
      </c>
      <c r="AK174" s="343" t="s">
        <v>90</v>
      </c>
      <c r="AL174" s="333" t="str">
        <f t="shared" si="16"/>
        <v/>
      </c>
      <c r="AM174" s="334" t="str">
        <f t="shared" si="17"/>
        <v/>
      </c>
      <c r="AN174" s="333" t="str">
        <f t="shared" si="18"/>
        <v/>
      </c>
      <c r="AO174" s="334" t="str">
        <f t="shared" si="19"/>
        <v/>
      </c>
      <c r="AP174" s="44"/>
      <c r="AQ174" s="2"/>
    </row>
    <row r="175" spans="1:43" ht="24.95" customHeight="1" x14ac:dyDescent="0.25">
      <c r="A175" s="2">
        <v>135</v>
      </c>
      <c r="B175" s="349"/>
      <c r="C175" s="350"/>
      <c r="D175" s="351"/>
      <c r="E175" s="351"/>
      <c r="F175" s="336"/>
      <c r="G175" s="327"/>
      <c r="H175" s="327"/>
      <c r="I175" s="325">
        <f t="shared" si="20"/>
        <v>0</v>
      </c>
      <c r="J175" s="540" t="s">
        <v>281</v>
      </c>
      <c r="K175" s="540"/>
      <c r="L175" s="337">
        <f>IFERROR(IF(F175="Sem projeto",VLOOKUP(C175,$B$32:$H$34,7,FALSE)*1.5,G175*VLOOKUP(J175,Aux_Lista!$AG:$AH,2,FALSE)+H175)*E175,0)</f>
        <v>0</v>
      </c>
      <c r="M175" s="346" t="s">
        <v>90</v>
      </c>
      <c r="N175" s="347" t="s">
        <v>90</v>
      </c>
      <c r="O175" s="348" t="s">
        <v>90</v>
      </c>
      <c r="P175" s="386">
        <f t="shared" si="21"/>
        <v>0</v>
      </c>
      <c r="R175" s="94">
        <v>144</v>
      </c>
      <c r="S175" s="383"/>
      <c r="T175" s="214"/>
      <c r="U175" s="214"/>
      <c r="V175" s="217"/>
      <c r="W175" s="215"/>
      <c r="X175" s="336"/>
      <c r="Y175" s="68" t="str">
        <f>IF(V175="","",VLOOKUP(V175,Aux_Lista!A:K,11,FALSE))</f>
        <v/>
      </c>
      <c r="Z175" s="68" t="str">
        <f>IF(V175="","",VLOOKUP(V175,Aux_Lista!A:L,12,FALSE))</f>
        <v/>
      </c>
      <c r="AA175" s="68" t="str">
        <f>IF(W175="","",VLOOKUP(W175,Aux_Lista!AN:AP,3,FALSE))</f>
        <v/>
      </c>
      <c r="AB175" s="68" t="str">
        <f>IF(W175="","",VLOOKUP(W175,Aux_Lista!AN:AP,2,FALSE))</f>
        <v/>
      </c>
      <c r="AC175" s="69"/>
      <c r="AD175" s="69"/>
      <c r="AE175" s="325">
        <f t="shared" si="15"/>
        <v>0</v>
      </c>
      <c r="AF175" s="540" t="s">
        <v>281</v>
      </c>
      <c r="AG175" s="540"/>
      <c r="AH175" s="337">
        <f>IFERROR(IF(X175="Sem projeto",1.5*AA175,AC175*VLOOKUP(AF175,Aux_Lista!AG:AH,2,FALSE)+AD175)*U175,0)</f>
        <v>0</v>
      </c>
      <c r="AI175" s="343" t="s">
        <v>90</v>
      </c>
      <c r="AJ175" s="343" t="s">
        <v>90</v>
      </c>
      <c r="AK175" s="343" t="s">
        <v>90</v>
      </c>
      <c r="AL175" s="333" t="str">
        <f t="shared" si="16"/>
        <v/>
      </c>
      <c r="AM175" s="334" t="str">
        <f t="shared" si="17"/>
        <v/>
      </c>
      <c r="AN175" s="333" t="str">
        <f t="shared" si="18"/>
        <v/>
      </c>
      <c r="AO175" s="334" t="str">
        <f t="shared" si="19"/>
        <v/>
      </c>
      <c r="AP175" s="44"/>
      <c r="AQ175" s="2"/>
    </row>
    <row r="176" spans="1:43" ht="24.95" customHeight="1" x14ac:dyDescent="0.25">
      <c r="A176" s="2">
        <v>136</v>
      </c>
      <c r="B176" s="349"/>
      <c r="C176" s="350"/>
      <c r="D176" s="351"/>
      <c r="E176" s="351"/>
      <c r="F176" s="336"/>
      <c r="G176" s="327"/>
      <c r="H176" s="327"/>
      <c r="I176" s="325">
        <f t="shared" si="20"/>
        <v>0</v>
      </c>
      <c r="J176" s="540" t="s">
        <v>281</v>
      </c>
      <c r="K176" s="540"/>
      <c r="L176" s="337">
        <f>IFERROR(IF(F176="Sem projeto",VLOOKUP(C176,$B$32:$H$34,7,FALSE)*1.5,G176*VLOOKUP(J176,Aux_Lista!$AG:$AH,2,FALSE)+H176)*E176,0)</f>
        <v>0</v>
      </c>
      <c r="M176" s="346" t="s">
        <v>90</v>
      </c>
      <c r="N176" s="347" t="s">
        <v>90</v>
      </c>
      <c r="O176" s="348" t="s">
        <v>90</v>
      </c>
      <c r="P176" s="386">
        <f t="shared" si="21"/>
        <v>0</v>
      </c>
      <c r="R176" s="94">
        <v>145</v>
      </c>
      <c r="S176" s="383"/>
      <c r="T176" s="214"/>
      <c r="U176" s="214"/>
      <c r="V176" s="217"/>
      <c r="W176" s="215"/>
      <c r="X176" s="336"/>
      <c r="Y176" s="68" t="str">
        <f>IF(V176="","",VLOOKUP(V176,Aux_Lista!A:K,11,FALSE))</f>
        <v/>
      </c>
      <c r="Z176" s="68" t="str">
        <f>IF(V176="","",VLOOKUP(V176,Aux_Lista!A:L,12,FALSE))</f>
        <v/>
      </c>
      <c r="AA176" s="68" t="str">
        <f>IF(W176="","",VLOOKUP(W176,Aux_Lista!AN:AP,3,FALSE))</f>
        <v/>
      </c>
      <c r="AB176" s="68" t="str">
        <f>IF(W176="","",VLOOKUP(W176,Aux_Lista!AN:AP,2,FALSE))</f>
        <v/>
      </c>
      <c r="AC176" s="69"/>
      <c r="AD176" s="69"/>
      <c r="AE176" s="325">
        <f t="shared" si="15"/>
        <v>0</v>
      </c>
      <c r="AF176" s="540" t="s">
        <v>281</v>
      </c>
      <c r="AG176" s="540"/>
      <c r="AH176" s="337">
        <f>IFERROR(IF(X176="Sem projeto",1.5*AA176,AC176*VLOOKUP(AF176,Aux_Lista!AG:AH,2,FALSE)+AD176)*U176,0)</f>
        <v>0</v>
      </c>
      <c r="AI176" s="343" t="s">
        <v>90</v>
      </c>
      <c r="AJ176" s="343" t="s">
        <v>90</v>
      </c>
      <c r="AK176" s="343" t="s">
        <v>90</v>
      </c>
      <c r="AL176" s="333" t="str">
        <f t="shared" si="16"/>
        <v/>
      </c>
      <c r="AM176" s="334" t="str">
        <f t="shared" si="17"/>
        <v/>
      </c>
      <c r="AN176" s="333" t="str">
        <f t="shared" si="18"/>
        <v/>
      </c>
      <c r="AO176" s="334" t="str">
        <f t="shared" si="19"/>
        <v/>
      </c>
      <c r="AP176" s="44"/>
      <c r="AQ176" s="2"/>
    </row>
    <row r="177" spans="1:43" ht="24.95" customHeight="1" x14ac:dyDescent="0.25">
      <c r="A177" s="2">
        <v>137</v>
      </c>
      <c r="B177" s="349"/>
      <c r="C177" s="350"/>
      <c r="D177" s="351"/>
      <c r="E177" s="351"/>
      <c r="F177" s="336"/>
      <c r="G177" s="327"/>
      <c r="H177" s="327"/>
      <c r="I177" s="325">
        <f t="shared" si="20"/>
        <v>0</v>
      </c>
      <c r="J177" s="540" t="s">
        <v>281</v>
      </c>
      <c r="K177" s="540"/>
      <c r="L177" s="337">
        <f>IFERROR(IF(F177="Sem projeto",VLOOKUP(C177,$B$32:$H$34,7,FALSE)*1.5,G177*VLOOKUP(J177,Aux_Lista!$AG:$AH,2,FALSE)+H177)*E177,0)</f>
        <v>0</v>
      </c>
      <c r="M177" s="346" t="s">
        <v>90</v>
      </c>
      <c r="N177" s="347" t="s">
        <v>90</v>
      </c>
      <c r="O177" s="348" t="s">
        <v>90</v>
      </c>
      <c r="P177" s="386">
        <f t="shared" si="21"/>
        <v>0</v>
      </c>
      <c r="R177" s="94">
        <v>146</v>
      </c>
      <c r="S177" s="383"/>
      <c r="T177" s="214"/>
      <c r="U177" s="214"/>
      <c r="V177" s="217"/>
      <c r="W177" s="215"/>
      <c r="X177" s="336"/>
      <c r="Y177" s="68" t="str">
        <f>IF(V177="","",VLOOKUP(V177,Aux_Lista!A:K,11,FALSE))</f>
        <v/>
      </c>
      <c r="Z177" s="68" t="str">
        <f>IF(V177="","",VLOOKUP(V177,Aux_Lista!A:L,12,FALSE))</f>
        <v/>
      </c>
      <c r="AA177" s="68" t="str">
        <f>IF(W177="","",VLOOKUP(W177,Aux_Lista!AN:AP,3,FALSE))</f>
        <v/>
      </c>
      <c r="AB177" s="68" t="str">
        <f>IF(W177="","",VLOOKUP(W177,Aux_Lista!AN:AP,2,FALSE))</f>
        <v/>
      </c>
      <c r="AC177" s="69"/>
      <c r="AD177" s="69"/>
      <c r="AE177" s="325">
        <f t="shared" si="15"/>
        <v>0</v>
      </c>
      <c r="AF177" s="540" t="s">
        <v>281</v>
      </c>
      <c r="AG177" s="540"/>
      <c r="AH177" s="337">
        <f>IFERROR(IF(X177="Sem projeto",1.5*AA177,AC177*VLOOKUP(AF177,Aux_Lista!AG:AH,2,FALSE)+AD177)*U177,0)</f>
        <v>0</v>
      </c>
      <c r="AI177" s="343" t="s">
        <v>90</v>
      </c>
      <c r="AJ177" s="343" t="s">
        <v>90</v>
      </c>
      <c r="AK177" s="343" t="s">
        <v>90</v>
      </c>
      <c r="AL177" s="333" t="str">
        <f t="shared" si="16"/>
        <v/>
      </c>
      <c r="AM177" s="334" t="str">
        <f t="shared" si="17"/>
        <v/>
      </c>
      <c r="AN177" s="333" t="str">
        <f t="shared" si="18"/>
        <v/>
      </c>
      <c r="AO177" s="334" t="str">
        <f t="shared" si="19"/>
        <v/>
      </c>
      <c r="AP177" s="44"/>
      <c r="AQ177" s="2"/>
    </row>
    <row r="178" spans="1:43" ht="24.95" customHeight="1" x14ac:dyDescent="0.25">
      <c r="A178" s="2">
        <v>138</v>
      </c>
      <c r="B178" s="349"/>
      <c r="C178" s="350"/>
      <c r="D178" s="351"/>
      <c r="E178" s="351"/>
      <c r="F178" s="336"/>
      <c r="G178" s="327"/>
      <c r="H178" s="327"/>
      <c r="I178" s="325">
        <f t="shared" si="20"/>
        <v>0</v>
      </c>
      <c r="J178" s="540" t="s">
        <v>281</v>
      </c>
      <c r="K178" s="540"/>
      <c r="L178" s="337">
        <f>IFERROR(IF(F178="Sem projeto",VLOOKUP(C178,$B$32:$H$34,7,FALSE)*1.5,G178*VLOOKUP(J178,Aux_Lista!$AG:$AH,2,FALSE)+H178)*E178,0)</f>
        <v>0</v>
      </c>
      <c r="M178" s="346" t="s">
        <v>90</v>
      </c>
      <c r="N178" s="347" t="s">
        <v>90</v>
      </c>
      <c r="O178" s="348" t="s">
        <v>90</v>
      </c>
      <c r="P178" s="386">
        <f t="shared" si="21"/>
        <v>0</v>
      </c>
      <c r="R178" s="94">
        <v>147</v>
      </c>
      <c r="S178" s="383"/>
      <c r="T178" s="214"/>
      <c r="U178" s="214"/>
      <c r="V178" s="217"/>
      <c r="W178" s="215"/>
      <c r="X178" s="336"/>
      <c r="Y178" s="68" t="str">
        <f>IF(V178="","",VLOOKUP(V178,Aux_Lista!A:K,11,FALSE))</f>
        <v/>
      </c>
      <c r="Z178" s="68" t="str">
        <f>IF(V178="","",VLOOKUP(V178,Aux_Lista!A:L,12,FALSE))</f>
        <v/>
      </c>
      <c r="AA178" s="68" t="str">
        <f>IF(W178="","",VLOOKUP(W178,Aux_Lista!AN:AP,3,FALSE))</f>
        <v/>
      </c>
      <c r="AB178" s="68" t="str">
        <f>IF(W178="","",VLOOKUP(W178,Aux_Lista!AN:AP,2,FALSE))</f>
        <v/>
      </c>
      <c r="AC178" s="69"/>
      <c r="AD178" s="69"/>
      <c r="AE178" s="325">
        <f t="shared" si="15"/>
        <v>0</v>
      </c>
      <c r="AF178" s="540" t="s">
        <v>281</v>
      </c>
      <c r="AG178" s="540"/>
      <c r="AH178" s="337">
        <f>IFERROR(IF(X178="Sem projeto",1.5*AA178,AC178*VLOOKUP(AF178,Aux_Lista!AG:AH,2,FALSE)+AD178)*U178,0)</f>
        <v>0</v>
      </c>
      <c r="AI178" s="343" t="s">
        <v>90</v>
      </c>
      <c r="AJ178" s="343" t="s">
        <v>90</v>
      </c>
      <c r="AK178" s="343" t="s">
        <v>90</v>
      </c>
      <c r="AL178" s="333" t="str">
        <f t="shared" si="16"/>
        <v/>
      </c>
      <c r="AM178" s="334" t="str">
        <f t="shared" si="17"/>
        <v/>
      </c>
      <c r="AN178" s="333" t="str">
        <f t="shared" si="18"/>
        <v/>
      </c>
      <c r="AO178" s="334" t="str">
        <f t="shared" si="19"/>
        <v/>
      </c>
      <c r="AP178" s="44"/>
      <c r="AQ178" s="2"/>
    </row>
    <row r="179" spans="1:43" ht="24.95" customHeight="1" x14ac:dyDescent="0.25">
      <c r="A179" s="2">
        <v>139</v>
      </c>
      <c r="B179" s="349"/>
      <c r="C179" s="350"/>
      <c r="D179" s="351"/>
      <c r="E179" s="351"/>
      <c r="F179" s="336"/>
      <c r="G179" s="327"/>
      <c r="H179" s="327"/>
      <c r="I179" s="325">
        <f t="shared" si="20"/>
        <v>0</v>
      </c>
      <c r="J179" s="540" t="s">
        <v>281</v>
      </c>
      <c r="K179" s="540"/>
      <c r="L179" s="337">
        <f>IFERROR(IF(F179="Sem projeto",VLOOKUP(C179,$B$32:$H$34,7,FALSE)*1.5,G179*VLOOKUP(J179,Aux_Lista!$AG:$AH,2,FALSE)+H179)*E179,0)</f>
        <v>0</v>
      </c>
      <c r="M179" s="346" t="s">
        <v>90</v>
      </c>
      <c r="N179" s="347" t="s">
        <v>90</v>
      </c>
      <c r="O179" s="348" t="s">
        <v>90</v>
      </c>
      <c r="P179" s="386">
        <f t="shared" si="21"/>
        <v>0</v>
      </c>
      <c r="R179" s="94">
        <v>148</v>
      </c>
      <c r="S179" s="383"/>
      <c r="T179" s="214"/>
      <c r="U179" s="214"/>
      <c r="V179" s="217"/>
      <c r="W179" s="215"/>
      <c r="X179" s="336"/>
      <c r="Y179" s="68" t="str">
        <f>IF(V179="","",VLOOKUP(V179,Aux_Lista!A:K,11,FALSE))</f>
        <v/>
      </c>
      <c r="Z179" s="68" t="str">
        <f>IF(V179="","",VLOOKUP(V179,Aux_Lista!A:L,12,FALSE))</f>
        <v/>
      </c>
      <c r="AA179" s="68" t="str">
        <f>IF(W179="","",VLOOKUP(W179,Aux_Lista!AN:AP,3,FALSE))</f>
        <v/>
      </c>
      <c r="AB179" s="68" t="str">
        <f>IF(W179="","",VLOOKUP(W179,Aux_Lista!AN:AP,2,FALSE))</f>
        <v/>
      </c>
      <c r="AC179" s="69"/>
      <c r="AD179" s="69"/>
      <c r="AE179" s="325">
        <f t="shared" si="15"/>
        <v>0</v>
      </c>
      <c r="AF179" s="540" t="s">
        <v>281</v>
      </c>
      <c r="AG179" s="540"/>
      <c r="AH179" s="337">
        <f>IFERROR(IF(X179="Sem projeto",1.5*AA179,AC179*VLOOKUP(AF179,Aux_Lista!AG:AH,2,FALSE)+AD179)*U179,0)</f>
        <v>0</v>
      </c>
      <c r="AI179" s="343" t="s">
        <v>90</v>
      </c>
      <c r="AJ179" s="343" t="s">
        <v>90</v>
      </c>
      <c r="AK179" s="343" t="s">
        <v>90</v>
      </c>
      <c r="AL179" s="333" t="str">
        <f t="shared" si="16"/>
        <v/>
      </c>
      <c r="AM179" s="334" t="str">
        <f t="shared" si="17"/>
        <v/>
      </c>
      <c r="AN179" s="333" t="str">
        <f t="shared" si="18"/>
        <v/>
      </c>
      <c r="AO179" s="334" t="str">
        <f t="shared" si="19"/>
        <v/>
      </c>
      <c r="AP179" s="44"/>
      <c r="AQ179" s="2"/>
    </row>
    <row r="180" spans="1:43" ht="24.95" customHeight="1" x14ac:dyDescent="0.25">
      <c r="A180" s="2">
        <v>140</v>
      </c>
      <c r="B180" s="349"/>
      <c r="C180" s="350"/>
      <c r="D180" s="351"/>
      <c r="E180" s="351"/>
      <c r="F180" s="336"/>
      <c r="G180" s="327"/>
      <c r="H180" s="327"/>
      <c r="I180" s="325">
        <f t="shared" si="20"/>
        <v>0</v>
      </c>
      <c r="J180" s="540" t="s">
        <v>281</v>
      </c>
      <c r="K180" s="540"/>
      <c r="L180" s="337">
        <f>IFERROR(IF(F180="Sem projeto",VLOOKUP(C180,$B$32:$H$34,7,FALSE)*1.5,G180*VLOOKUP(J180,Aux_Lista!$AG:$AH,2,FALSE)+H180)*E180,0)</f>
        <v>0</v>
      </c>
      <c r="M180" s="346" t="s">
        <v>90</v>
      </c>
      <c r="N180" s="347" t="s">
        <v>90</v>
      </c>
      <c r="O180" s="348" t="s">
        <v>90</v>
      </c>
      <c r="P180" s="386">
        <f t="shared" si="21"/>
        <v>0</v>
      </c>
      <c r="R180" s="94">
        <v>149</v>
      </c>
      <c r="S180" s="383"/>
      <c r="T180" s="214"/>
      <c r="U180" s="214"/>
      <c r="V180" s="217"/>
      <c r="W180" s="215"/>
      <c r="X180" s="336"/>
      <c r="Y180" s="68" t="str">
        <f>IF(V180="","",VLOOKUP(V180,Aux_Lista!A:K,11,FALSE))</f>
        <v/>
      </c>
      <c r="Z180" s="68" t="str">
        <f>IF(V180="","",VLOOKUP(V180,Aux_Lista!A:L,12,FALSE))</f>
        <v/>
      </c>
      <c r="AA180" s="68" t="str">
        <f>IF(W180="","",VLOOKUP(W180,Aux_Lista!AN:AP,3,FALSE))</f>
        <v/>
      </c>
      <c r="AB180" s="68" t="str">
        <f>IF(W180="","",VLOOKUP(W180,Aux_Lista!AN:AP,2,FALSE))</f>
        <v/>
      </c>
      <c r="AC180" s="69"/>
      <c r="AD180" s="69"/>
      <c r="AE180" s="325">
        <f t="shared" si="15"/>
        <v>0</v>
      </c>
      <c r="AF180" s="540" t="s">
        <v>281</v>
      </c>
      <c r="AG180" s="540"/>
      <c r="AH180" s="337">
        <f>IFERROR(IF(X180="Sem projeto",1.5*AA180,AC180*VLOOKUP(AF180,Aux_Lista!AG:AH,2,FALSE)+AD180)*U180,0)</f>
        <v>0</v>
      </c>
      <c r="AI180" s="343" t="s">
        <v>90</v>
      </c>
      <c r="AJ180" s="343" t="s">
        <v>90</v>
      </c>
      <c r="AK180" s="343" t="s">
        <v>90</v>
      </c>
      <c r="AL180" s="333" t="str">
        <f t="shared" si="16"/>
        <v/>
      </c>
      <c r="AM180" s="334" t="str">
        <f t="shared" si="17"/>
        <v/>
      </c>
      <c r="AN180" s="333" t="str">
        <f t="shared" si="18"/>
        <v/>
      </c>
      <c r="AO180" s="334" t="str">
        <f t="shared" si="19"/>
        <v/>
      </c>
      <c r="AP180" s="44"/>
      <c r="AQ180" s="2"/>
    </row>
    <row r="181" spans="1:43" ht="24.95" customHeight="1" x14ac:dyDescent="0.25">
      <c r="A181" s="2">
        <v>141</v>
      </c>
      <c r="B181" s="349"/>
      <c r="C181" s="350"/>
      <c r="D181" s="351"/>
      <c r="E181" s="351"/>
      <c r="F181" s="336"/>
      <c r="G181" s="327"/>
      <c r="H181" s="327"/>
      <c r="I181" s="325">
        <f t="shared" si="20"/>
        <v>0</v>
      </c>
      <c r="J181" s="540" t="s">
        <v>281</v>
      </c>
      <c r="K181" s="540"/>
      <c r="L181" s="337">
        <f>IFERROR(IF(F181="Sem projeto",VLOOKUP(C181,$B$32:$H$34,7,FALSE)*1.5,G181*VLOOKUP(J181,Aux_Lista!$AG:$AH,2,FALSE)+H181)*E181,0)</f>
        <v>0</v>
      </c>
      <c r="M181" s="346" t="s">
        <v>90</v>
      </c>
      <c r="N181" s="347" t="s">
        <v>90</v>
      </c>
      <c r="O181" s="348" t="s">
        <v>90</v>
      </c>
      <c r="P181" s="386">
        <f t="shared" si="21"/>
        <v>0</v>
      </c>
      <c r="R181" s="94">
        <v>150</v>
      </c>
      <c r="S181" s="383"/>
      <c r="T181" s="214"/>
      <c r="U181" s="214"/>
      <c r="V181" s="217"/>
      <c r="W181" s="215"/>
      <c r="X181" s="336"/>
      <c r="Y181" s="68" t="str">
        <f>IF(V181="","",VLOOKUP(V181,Aux_Lista!A:K,11,FALSE))</f>
        <v/>
      </c>
      <c r="Z181" s="68" t="str">
        <f>IF(V181="","",VLOOKUP(V181,Aux_Lista!A:L,12,FALSE))</f>
        <v/>
      </c>
      <c r="AA181" s="68" t="str">
        <f>IF(W181="","",VLOOKUP(W181,Aux_Lista!AN:AP,3,FALSE))</f>
        <v/>
      </c>
      <c r="AB181" s="68" t="str">
        <f>IF(W181="","",VLOOKUP(W181,Aux_Lista!AN:AP,2,FALSE))</f>
        <v/>
      </c>
      <c r="AC181" s="69"/>
      <c r="AD181" s="69"/>
      <c r="AE181" s="325">
        <f t="shared" si="15"/>
        <v>0</v>
      </c>
      <c r="AF181" s="540" t="s">
        <v>281</v>
      </c>
      <c r="AG181" s="540"/>
      <c r="AH181" s="337">
        <f>IFERROR(IF(X181="Sem projeto",1.5*AA181,AC181*VLOOKUP(AF181,Aux_Lista!AG:AH,2,FALSE)+AD181)*U181,0)</f>
        <v>0</v>
      </c>
      <c r="AI181" s="343" t="s">
        <v>90</v>
      </c>
      <c r="AJ181" s="343" t="s">
        <v>90</v>
      </c>
      <c r="AK181" s="343" t="s">
        <v>90</v>
      </c>
      <c r="AL181" s="333" t="str">
        <f t="shared" si="16"/>
        <v/>
      </c>
      <c r="AM181" s="334" t="str">
        <f t="shared" si="17"/>
        <v/>
      </c>
      <c r="AN181" s="333" t="str">
        <f t="shared" si="18"/>
        <v/>
      </c>
      <c r="AO181" s="334" t="str">
        <f t="shared" si="19"/>
        <v/>
      </c>
      <c r="AP181" s="44"/>
      <c r="AQ181" s="2"/>
    </row>
    <row r="182" spans="1:43" ht="24.95" customHeight="1" x14ac:dyDescent="0.25">
      <c r="A182" s="2">
        <v>142</v>
      </c>
      <c r="B182" s="349"/>
      <c r="C182" s="350"/>
      <c r="D182" s="351"/>
      <c r="E182" s="351"/>
      <c r="F182" s="336"/>
      <c r="G182" s="327"/>
      <c r="H182" s="327"/>
      <c r="I182" s="325">
        <f t="shared" si="20"/>
        <v>0</v>
      </c>
      <c r="J182" s="540" t="s">
        <v>281</v>
      </c>
      <c r="K182" s="540"/>
      <c r="L182" s="337">
        <f>IFERROR(IF(F182="Sem projeto",VLOOKUP(C182,$B$32:$H$34,7,FALSE)*1.5,G182*VLOOKUP(J182,Aux_Lista!$AG:$AH,2,FALSE)+H182)*E182,0)</f>
        <v>0</v>
      </c>
      <c r="M182" s="346" t="s">
        <v>90</v>
      </c>
      <c r="N182" s="347" t="s">
        <v>90</v>
      </c>
      <c r="O182" s="348" t="s">
        <v>90</v>
      </c>
      <c r="P182" s="386">
        <f t="shared" si="21"/>
        <v>0</v>
      </c>
      <c r="R182" s="94">
        <v>151</v>
      </c>
      <c r="S182" s="383"/>
      <c r="T182" s="214"/>
      <c r="U182" s="214"/>
      <c r="V182" s="217"/>
      <c r="W182" s="215"/>
      <c r="X182" s="336"/>
      <c r="Y182" s="68" t="str">
        <f>IF(V182="","",VLOOKUP(V182,Aux_Lista!A:K,11,FALSE))</f>
        <v/>
      </c>
      <c r="Z182" s="68" t="str">
        <f>IF(V182="","",VLOOKUP(V182,Aux_Lista!A:L,12,FALSE))</f>
        <v/>
      </c>
      <c r="AA182" s="68" t="str">
        <f>IF(W182="","",VLOOKUP(W182,Aux_Lista!AN:AP,3,FALSE))</f>
        <v/>
      </c>
      <c r="AB182" s="68" t="str">
        <f>IF(W182="","",VLOOKUP(W182,Aux_Lista!AN:AP,2,FALSE))</f>
        <v/>
      </c>
      <c r="AC182" s="69"/>
      <c r="AD182" s="69"/>
      <c r="AE182" s="325">
        <f t="shared" si="15"/>
        <v>0</v>
      </c>
      <c r="AF182" s="540" t="s">
        <v>281</v>
      </c>
      <c r="AG182" s="540"/>
      <c r="AH182" s="337">
        <f>IFERROR(IF(X182="Sem projeto",1.5*AA182,AC182*VLOOKUP(AF182,Aux_Lista!AG:AH,2,FALSE)+AD182)*U182,0)</f>
        <v>0</v>
      </c>
      <c r="AI182" s="343" t="s">
        <v>90</v>
      </c>
      <c r="AJ182" s="343" t="s">
        <v>90</v>
      </c>
      <c r="AK182" s="343" t="s">
        <v>90</v>
      </c>
      <c r="AL182" s="333" t="str">
        <f t="shared" si="16"/>
        <v/>
      </c>
      <c r="AM182" s="334" t="str">
        <f t="shared" si="17"/>
        <v/>
      </c>
      <c r="AN182" s="333" t="str">
        <f t="shared" si="18"/>
        <v/>
      </c>
      <c r="AO182" s="334" t="str">
        <f t="shared" si="19"/>
        <v/>
      </c>
      <c r="AP182" s="44"/>
      <c r="AQ182" s="2"/>
    </row>
    <row r="183" spans="1:43" ht="24.95" customHeight="1" x14ac:dyDescent="0.25">
      <c r="A183" s="2">
        <v>143</v>
      </c>
      <c r="B183" s="349"/>
      <c r="C183" s="350"/>
      <c r="D183" s="351"/>
      <c r="E183" s="351"/>
      <c r="F183" s="336"/>
      <c r="G183" s="327"/>
      <c r="H183" s="327"/>
      <c r="I183" s="325">
        <f t="shared" si="20"/>
        <v>0</v>
      </c>
      <c r="J183" s="540" t="s">
        <v>281</v>
      </c>
      <c r="K183" s="540"/>
      <c r="L183" s="337">
        <f>IFERROR(IF(F183="Sem projeto",VLOOKUP(C183,$B$32:$H$34,7,FALSE)*1.5,G183*VLOOKUP(J183,Aux_Lista!$AG:$AH,2,FALSE)+H183)*E183,0)</f>
        <v>0</v>
      </c>
      <c r="M183" s="346" t="s">
        <v>90</v>
      </c>
      <c r="N183" s="347" t="s">
        <v>90</v>
      </c>
      <c r="O183" s="348" t="s">
        <v>90</v>
      </c>
      <c r="P183" s="386">
        <f t="shared" si="21"/>
        <v>0</v>
      </c>
      <c r="R183" s="94">
        <v>152</v>
      </c>
      <c r="S183" s="383"/>
      <c r="T183" s="214"/>
      <c r="U183" s="214"/>
      <c r="V183" s="217"/>
      <c r="W183" s="215"/>
      <c r="X183" s="336"/>
      <c r="Y183" s="68" t="str">
        <f>IF(V183="","",VLOOKUP(V183,Aux_Lista!A:K,11,FALSE))</f>
        <v/>
      </c>
      <c r="Z183" s="68" t="str">
        <f>IF(V183="","",VLOOKUP(V183,Aux_Lista!A:L,12,FALSE))</f>
        <v/>
      </c>
      <c r="AA183" s="68" t="str">
        <f>IF(W183="","",VLOOKUP(W183,Aux_Lista!AN:AP,3,FALSE))</f>
        <v/>
      </c>
      <c r="AB183" s="68" t="str">
        <f>IF(W183="","",VLOOKUP(W183,Aux_Lista!AN:AP,2,FALSE))</f>
        <v/>
      </c>
      <c r="AC183" s="69"/>
      <c r="AD183" s="69"/>
      <c r="AE183" s="325">
        <f t="shared" si="15"/>
        <v>0</v>
      </c>
      <c r="AF183" s="540" t="s">
        <v>281</v>
      </c>
      <c r="AG183" s="540"/>
      <c r="AH183" s="337">
        <f>IFERROR(IF(X183="Sem projeto",1.5*AA183,AC183*VLOOKUP(AF183,Aux_Lista!AG:AH,2,FALSE)+AD183)*U183,0)</f>
        <v>0</v>
      </c>
      <c r="AI183" s="343" t="s">
        <v>90</v>
      </c>
      <c r="AJ183" s="343" t="s">
        <v>90</v>
      </c>
      <c r="AK183" s="343" t="s">
        <v>90</v>
      </c>
      <c r="AL183" s="333" t="str">
        <f t="shared" si="16"/>
        <v/>
      </c>
      <c r="AM183" s="334" t="str">
        <f t="shared" si="17"/>
        <v/>
      </c>
      <c r="AN183" s="333" t="str">
        <f t="shared" si="18"/>
        <v/>
      </c>
      <c r="AO183" s="334" t="str">
        <f t="shared" si="19"/>
        <v/>
      </c>
      <c r="AP183" s="44"/>
      <c r="AQ183" s="2"/>
    </row>
    <row r="184" spans="1:43" ht="24.95" customHeight="1" x14ac:dyDescent="0.25">
      <c r="A184" s="2">
        <v>144</v>
      </c>
      <c r="B184" s="349"/>
      <c r="C184" s="350"/>
      <c r="D184" s="351"/>
      <c r="E184" s="351"/>
      <c r="F184" s="336"/>
      <c r="G184" s="327"/>
      <c r="H184" s="327"/>
      <c r="I184" s="325">
        <f t="shared" si="20"/>
        <v>0</v>
      </c>
      <c r="J184" s="540" t="s">
        <v>281</v>
      </c>
      <c r="K184" s="540"/>
      <c r="L184" s="337">
        <f>IFERROR(IF(F184="Sem projeto",VLOOKUP(C184,$B$32:$H$34,7,FALSE)*1.5,G184*VLOOKUP(J184,Aux_Lista!$AG:$AH,2,FALSE)+H184)*E184,0)</f>
        <v>0</v>
      </c>
      <c r="M184" s="346" t="s">
        <v>90</v>
      </c>
      <c r="N184" s="347" t="s">
        <v>90</v>
      </c>
      <c r="O184" s="348" t="s">
        <v>90</v>
      </c>
      <c r="P184" s="386">
        <f t="shared" si="21"/>
        <v>0</v>
      </c>
      <c r="R184" s="94">
        <v>153</v>
      </c>
      <c r="S184" s="383"/>
      <c r="T184" s="214"/>
      <c r="U184" s="214"/>
      <c r="V184" s="217"/>
      <c r="W184" s="215"/>
      <c r="X184" s="336"/>
      <c r="Y184" s="68" t="str">
        <f>IF(V184="","",VLOOKUP(V184,Aux_Lista!A:K,11,FALSE))</f>
        <v/>
      </c>
      <c r="Z184" s="68" t="str">
        <f>IF(V184="","",VLOOKUP(V184,Aux_Lista!A:L,12,FALSE))</f>
        <v/>
      </c>
      <c r="AA184" s="68" t="str">
        <f>IF(W184="","",VLOOKUP(W184,Aux_Lista!AN:AP,3,FALSE))</f>
        <v/>
      </c>
      <c r="AB184" s="68" t="str">
        <f>IF(W184="","",VLOOKUP(W184,Aux_Lista!AN:AP,2,FALSE))</f>
        <v/>
      </c>
      <c r="AC184" s="69"/>
      <c r="AD184" s="69"/>
      <c r="AE184" s="325">
        <f t="shared" si="15"/>
        <v>0</v>
      </c>
      <c r="AF184" s="540" t="s">
        <v>281</v>
      </c>
      <c r="AG184" s="540"/>
      <c r="AH184" s="337">
        <f>IFERROR(IF(X184="Sem projeto",1.5*AA184,AC184*VLOOKUP(AF184,Aux_Lista!AG:AH,2,FALSE)+AD184)*U184,0)</f>
        <v>0</v>
      </c>
      <c r="AI184" s="343" t="s">
        <v>90</v>
      </c>
      <c r="AJ184" s="343" t="s">
        <v>90</v>
      </c>
      <c r="AK184" s="343" t="s">
        <v>90</v>
      </c>
      <c r="AL184" s="333" t="str">
        <f t="shared" si="16"/>
        <v/>
      </c>
      <c r="AM184" s="334" t="str">
        <f t="shared" si="17"/>
        <v/>
      </c>
      <c r="AN184" s="333" t="str">
        <f t="shared" si="18"/>
        <v/>
      </c>
      <c r="AO184" s="334" t="str">
        <f t="shared" si="19"/>
        <v/>
      </c>
      <c r="AP184" s="44"/>
      <c r="AQ184" s="2"/>
    </row>
    <row r="185" spans="1:43" ht="24.95" customHeight="1" x14ac:dyDescent="0.25">
      <c r="A185" s="2">
        <v>145</v>
      </c>
      <c r="B185" s="349"/>
      <c r="C185" s="350"/>
      <c r="D185" s="351"/>
      <c r="E185" s="351"/>
      <c r="F185" s="336"/>
      <c r="G185" s="327"/>
      <c r="H185" s="327"/>
      <c r="I185" s="325">
        <f t="shared" si="20"/>
        <v>0</v>
      </c>
      <c r="J185" s="540" t="s">
        <v>281</v>
      </c>
      <c r="K185" s="540"/>
      <c r="L185" s="337">
        <f>IFERROR(IF(F185="Sem projeto",VLOOKUP(C185,$B$32:$H$34,7,FALSE)*1.5,G185*VLOOKUP(J185,Aux_Lista!$AG:$AH,2,FALSE)+H185)*E185,0)</f>
        <v>0</v>
      </c>
      <c r="M185" s="346" t="s">
        <v>90</v>
      </c>
      <c r="N185" s="347" t="s">
        <v>90</v>
      </c>
      <c r="O185" s="348" t="s">
        <v>90</v>
      </c>
      <c r="P185" s="386">
        <f t="shared" si="21"/>
        <v>0</v>
      </c>
      <c r="R185" s="94">
        <v>154</v>
      </c>
      <c r="S185" s="383"/>
      <c r="T185" s="214"/>
      <c r="U185" s="214"/>
      <c r="V185" s="217"/>
      <c r="W185" s="215"/>
      <c r="X185" s="336"/>
      <c r="Y185" s="68" t="str">
        <f>IF(V185="","",VLOOKUP(V185,Aux_Lista!A:K,11,FALSE))</f>
        <v/>
      </c>
      <c r="Z185" s="68" t="str">
        <f>IF(V185="","",VLOOKUP(V185,Aux_Lista!A:L,12,FALSE))</f>
        <v/>
      </c>
      <c r="AA185" s="68" t="str">
        <f>IF(W185="","",VLOOKUP(W185,Aux_Lista!AN:AP,3,FALSE))</f>
        <v/>
      </c>
      <c r="AB185" s="68" t="str">
        <f>IF(W185="","",VLOOKUP(W185,Aux_Lista!AN:AP,2,FALSE))</f>
        <v/>
      </c>
      <c r="AC185" s="69"/>
      <c r="AD185" s="69"/>
      <c r="AE185" s="325">
        <f t="shared" si="15"/>
        <v>0</v>
      </c>
      <c r="AF185" s="540" t="s">
        <v>281</v>
      </c>
      <c r="AG185" s="540"/>
      <c r="AH185" s="337">
        <f>IFERROR(IF(X185="Sem projeto",1.5*AA185,AC185*VLOOKUP(AF185,Aux_Lista!AG:AH,2,FALSE)+AD185)*U185,0)</f>
        <v>0</v>
      </c>
      <c r="AI185" s="343" t="s">
        <v>90</v>
      </c>
      <c r="AJ185" s="343" t="s">
        <v>90</v>
      </c>
      <c r="AK185" s="343" t="s">
        <v>90</v>
      </c>
      <c r="AL185" s="333" t="str">
        <f t="shared" si="16"/>
        <v/>
      </c>
      <c r="AM185" s="334" t="str">
        <f t="shared" si="17"/>
        <v/>
      </c>
      <c r="AN185" s="333" t="str">
        <f t="shared" si="18"/>
        <v/>
      </c>
      <c r="AO185" s="334" t="str">
        <f t="shared" si="19"/>
        <v/>
      </c>
      <c r="AP185" s="44"/>
      <c r="AQ185" s="2"/>
    </row>
    <row r="186" spans="1:43" ht="24.95" customHeight="1" x14ac:dyDescent="0.25">
      <c r="A186" s="2">
        <v>146</v>
      </c>
      <c r="B186" s="349"/>
      <c r="C186" s="350"/>
      <c r="D186" s="351"/>
      <c r="E186" s="351"/>
      <c r="F186" s="336"/>
      <c r="G186" s="327"/>
      <c r="H186" s="327"/>
      <c r="I186" s="325">
        <f t="shared" si="20"/>
        <v>0</v>
      </c>
      <c r="J186" s="540" t="s">
        <v>281</v>
      </c>
      <c r="K186" s="540"/>
      <c r="L186" s="337">
        <f>IFERROR(IF(F186="Sem projeto",VLOOKUP(C186,$B$32:$H$34,7,FALSE)*1.5,G186*VLOOKUP(J186,Aux_Lista!$AG:$AH,2,FALSE)+H186)*E186,0)</f>
        <v>0</v>
      </c>
      <c r="M186" s="346" t="s">
        <v>90</v>
      </c>
      <c r="N186" s="347" t="s">
        <v>90</v>
      </c>
      <c r="O186" s="348" t="s">
        <v>90</v>
      </c>
      <c r="P186" s="386">
        <f t="shared" si="21"/>
        <v>0</v>
      </c>
      <c r="R186" s="94">
        <v>155</v>
      </c>
      <c r="S186" s="383"/>
      <c r="T186" s="214"/>
      <c r="U186" s="214"/>
      <c r="V186" s="217"/>
      <c r="W186" s="215"/>
      <c r="X186" s="336"/>
      <c r="Y186" s="68" t="str">
        <f>IF(V186="","",VLOOKUP(V186,Aux_Lista!A:K,11,FALSE))</f>
        <v/>
      </c>
      <c r="Z186" s="68" t="str">
        <f>IF(V186="","",VLOOKUP(V186,Aux_Lista!A:L,12,FALSE))</f>
        <v/>
      </c>
      <c r="AA186" s="68" t="str">
        <f>IF(W186="","",VLOOKUP(W186,Aux_Lista!AN:AP,3,FALSE))</f>
        <v/>
      </c>
      <c r="AB186" s="68" t="str">
        <f>IF(W186="","",VLOOKUP(W186,Aux_Lista!AN:AP,2,FALSE))</f>
        <v/>
      </c>
      <c r="AC186" s="69"/>
      <c r="AD186" s="69"/>
      <c r="AE186" s="325">
        <f t="shared" si="15"/>
        <v>0</v>
      </c>
      <c r="AF186" s="540" t="s">
        <v>281</v>
      </c>
      <c r="AG186" s="540"/>
      <c r="AH186" s="337">
        <f>IFERROR(IF(X186="Sem projeto",1.5*AA186,AC186*VLOOKUP(AF186,Aux_Lista!AG:AH,2,FALSE)+AD186)*U186,0)</f>
        <v>0</v>
      </c>
      <c r="AI186" s="343" t="s">
        <v>90</v>
      </c>
      <c r="AJ186" s="343" t="s">
        <v>90</v>
      </c>
      <c r="AK186" s="343" t="s">
        <v>90</v>
      </c>
      <c r="AL186" s="333" t="str">
        <f t="shared" si="16"/>
        <v/>
      </c>
      <c r="AM186" s="334" t="str">
        <f t="shared" si="17"/>
        <v/>
      </c>
      <c r="AN186" s="333" t="str">
        <f t="shared" si="18"/>
        <v/>
      </c>
      <c r="AO186" s="334" t="str">
        <f t="shared" si="19"/>
        <v/>
      </c>
      <c r="AP186" s="44"/>
      <c r="AQ186" s="2"/>
    </row>
    <row r="187" spans="1:43" ht="24.95" customHeight="1" x14ac:dyDescent="0.25">
      <c r="A187" s="2">
        <v>147</v>
      </c>
      <c r="B187" s="349"/>
      <c r="C187" s="350"/>
      <c r="D187" s="351"/>
      <c r="E187" s="351"/>
      <c r="F187" s="336"/>
      <c r="G187" s="327"/>
      <c r="H187" s="327"/>
      <c r="I187" s="325">
        <f t="shared" si="20"/>
        <v>0</v>
      </c>
      <c r="J187" s="540" t="s">
        <v>281</v>
      </c>
      <c r="K187" s="540"/>
      <c r="L187" s="337">
        <f>IFERROR(IF(F187="Sem projeto",VLOOKUP(C187,$B$32:$H$34,7,FALSE)*1.5,G187*VLOOKUP(J187,Aux_Lista!$AG:$AH,2,FALSE)+H187)*E187,0)</f>
        <v>0</v>
      </c>
      <c r="M187" s="346" t="s">
        <v>90</v>
      </c>
      <c r="N187" s="347" t="s">
        <v>90</v>
      </c>
      <c r="O187" s="348" t="s">
        <v>90</v>
      </c>
      <c r="P187" s="386">
        <f t="shared" si="21"/>
        <v>0</v>
      </c>
      <c r="R187" s="94">
        <v>156</v>
      </c>
      <c r="S187" s="383"/>
      <c r="T187" s="214"/>
      <c r="U187" s="214"/>
      <c r="V187" s="217"/>
      <c r="W187" s="215"/>
      <c r="X187" s="336"/>
      <c r="Y187" s="68" t="str">
        <f>IF(V187="","",VLOOKUP(V187,Aux_Lista!A:K,11,FALSE))</f>
        <v/>
      </c>
      <c r="Z187" s="68" t="str">
        <f>IF(V187="","",VLOOKUP(V187,Aux_Lista!A:L,12,FALSE))</f>
        <v/>
      </c>
      <c r="AA187" s="68" t="str">
        <f>IF(W187="","",VLOOKUP(W187,Aux_Lista!AN:AP,3,FALSE))</f>
        <v/>
      </c>
      <c r="AB187" s="68" t="str">
        <f>IF(W187="","",VLOOKUP(W187,Aux_Lista!AN:AP,2,FALSE))</f>
        <v/>
      </c>
      <c r="AC187" s="69"/>
      <c r="AD187" s="69"/>
      <c r="AE187" s="325">
        <f t="shared" si="15"/>
        <v>0</v>
      </c>
      <c r="AF187" s="540" t="s">
        <v>281</v>
      </c>
      <c r="AG187" s="540"/>
      <c r="AH187" s="337">
        <f>IFERROR(IF(X187="Sem projeto",1.5*AA187,AC187*VLOOKUP(AF187,Aux_Lista!AG:AH,2,FALSE)+AD187)*U187,0)</f>
        <v>0</v>
      </c>
      <c r="AI187" s="343" t="s">
        <v>90</v>
      </c>
      <c r="AJ187" s="343" t="s">
        <v>90</v>
      </c>
      <c r="AK187" s="343" t="s">
        <v>90</v>
      </c>
      <c r="AL187" s="333" t="str">
        <f t="shared" si="16"/>
        <v/>
      </c>
      <c r="AM187" s="334" t="str">
        <f t="shared" si="17"/>
        <v/>
      </c>
      <c r="AN187" s="333" t="str">
        <f t="shared" si="18"/>
        <v/>
      </c>
      <c r="AO187" s="334" t="str">
        <f t="shared" si="19"/>
        <v/>
      </c>
      <c r="AP187" s="44"/>
      <c r="AQ187" s="2"/>
    </row>
    <row r="188" spans="1:43" ht="24.95" customHeight="1" x14ac:dyDescent="0.25">
      <c r="A188" s="2">
        <v>148</v>
      </c>
      <c r="B188" s="349"/>
      <c r="C188" s="350"/>
      <c r="D188" s="351"/>
      <c r="E188" s="351"/>
      <c r="F188" s="336"/>
      <c r="G188" s="327"/>
      <c r="H188" s="327"/>
      <c r="I188" s="325">
        <f t="shared" si="20"/>
        <v>0</v>
      </c>
      <c r="J188" s="540" t="s">
        <v>281</v>
      </c>
      <c r="K188" s="540"/>
      <c r="L188" s="337">
        <f>IFERROR(IF(F188="Sem projeto",VLOOKUP(C188,$B$32:$H$34,7,FALSE)*1.5,G188*VLOOKUP(J188,Aux_Lista!$AG:$AH,2,FALSE)+H188)*E188,0)</f>
        <v>0</v>
      </c>
      <c r="M188" s="346" t="s">
        <v>90</v>
      </c>
      <c r="N188" s="347" t="s">
        <v>90</v>
      </c>
      <c r="O188" s="348" t="s">
        <v>90</v>
      </c>
      <c r="P188" s="386">
        <f t="shared" si="21"/>
        <v>0</v>
      </c>
      <c r="R188" s="94">
        <v>157</v>
      </c>
      <c r="S188" s="383"/>
      <c r="T188" s="214"/>
      <c r="U188" s="214"/>
      <c r="V188" s="217"/>
      <c r="W188" s="215"/>
      <c r="X188" s="336"/>
      <c r="Y188" s="68" t="str">
        <f>IF(V188="","",VLOOKUP(V188,Aux_Lista!A:K,11,FALSE))</f>
        <v/>
      </c>
      <c r="Z188" s="68" t="str">
        <f>IF(V188="","",VLOOKUP(V188,Aux_Lista!A:L,12,FALSE))</f>
        <v/>
      </c>
      <c r="AA188" s="68" t="str">
        <f>IF(W188="","",VLOOKUP(W188,Aux_Lista!AN:AP,3,FALSE))</f>
        <v/>
      </c>
      <c r="AB188" s="68" t="str">
        <f>IF(W188="","",VLOOKUP(W188,Aux_Lista!AN:AP,2,FALSE))</f>
        <v/>
      </c>
      <c r="AC188" s="69"/>
      <c r="AD188" s="69"/>
      <c r="AE188" s="325">
        <f t="shared" si="15"/>
        <v>0</v>
      </c>
      <c r="AF188" s="540" t="s">
        <v>281</v>
      </c>
      <c r="AG188" s="540"/>
      <c r="AH188" s="337">
        <f>IFERROR(IF(X188="Sem projeto",1.5*AA188,AC188*VLOOKUP(AF188,Aux_Lista!AG:AH,2,FALSE)+AD188)*U188,0)</f>
        <v>0</v>
      </c>
      <c r="AI188" s="343" t="s">
        <v>90</v>
      </c>
      <c r="AJ188" s="343" t="s">
        <v>90</v>
      </c>
      <c r="AK188" s="343" t="s">
        <v>90</v>
      </c>
      <c r="AL188" s="333" t="str">
        <f t="shared" si="16"/>
        <v/>
      </c>
      <c r="AM188" s="334" t="str">
        <f t="shared" si="17"/>
        <v/>
      </c>
      <c r="AN188" s="333" t="str">
        <f t="shared" si="18"/>
        <v/>
      </c>
      <c r="AO188" s="334" t="str">
        <f t="shared" si="19"/>
        <v/>
      </c>
      <c r="AP188" s="44"/>
      <c r="AQ188" s="2"/>
    </row>
    <row r="189" spans="1:43" ht="24.95" customHeight="1" x14ac:dyDescent="0.25">
      <c r="A189" s="2">
        <v>149</v>
      </c>
      <c r="B189" s="349"/>
      <c r="C189" s="350"/>
      <c r="D189" s="351"/>
      <c r="E189" s="351"/>
      <c r="F189" s="336"/>
      <c r="G189" s="327"/>
      <c r="H189" s="327"/>
      <c r="I189" s="325">
        <f t="shared" si="20"/>
        <v>0</v>
      </c>
      <c r="J189" s="540" t="s">
        <v>281</v>
      </c>
      <c r="K189" s="540"/>
      <c r="L189" s="337">
        <f>IFERROR(IF(F189="Sem projeto",VLOOKUP(C189,$B$32:$H$34,7,FALSE)*1.5,G189*VLOOKUP(J189,Aux_Lista!$AG:$AH,2,FALSE)+H189)*E189,0)</f>
        <v>0</v>
      </c>
      <c r="M189" s="346" t="s">
        <v>90</v>
      </c>
      <c r="N189" s="347" t="s">
        <v>90</v>
      </c>
      <c r="O189" s="348" t="s">
        <v>90</v>
      </c>
      <c r="P189" s="386">
        <f t="shared" si="21"/>
        <v>0</v>
      </c>
      <c r="R189" s="94">
        <v>158</v>
      </c>
      <c r="S189" s="383"/>
      <c r="T189" s="214"/>
      <c r="U189" s="214"/>
      <c r="V189" s="217"/>
      <c r="W189" s="215"/>
      <c r="X189" s="336"/>
      <c r="Y189" s="68" t="str">
        <f>IF(V189="","",VLOOKUP(V189,Aux_Lista!A:K,11,FALSE))</f>
        <v/>
      </c>
      <c r="Z189" s="68" t="str">
        <f>IF(V189="","",VLOOKUP(V189,Aux_Lista!A:L,12,FALSE))</f>
        <v/>
      </c>
      <c r="AA189" s="68" t="str">
        <f>IF(W189="","",VLOOKUP(W189,Aux_Lista!AN:AP,3,FALSE))</f>
        <v/>
      </c>
      <c r="AB189" s="68" t="str">
        <f>IF(W189="","",VLOOKUP(W189,Aux_Lista!AN:AP,2,FALSE))</f>
        <v/>
      </c>
      <c r="AC189" s="69"/>
      <c r="AD189" s="69"/>
      <c r="AE189" s="325">
        <f t="shared" si="15"/>
        <v>0</v>
      </c>
      <c r="AF189" s="540" t="s">
        <v>281</v>
      </c>
      <c r="AG189" s="540"/>
      <c r="AH189" s="337">
        <f>IFERROR(IF(X189="Sem projeto",1.5*AA189,AC189*VLOOKUP(AF189,Aux_Lista!AG:AH,2,FALSE)+AD189)*U189,0)</f>
        <v>0</v>
      </c>
      <c r="AI189" s="343" t="s">
        <v>90</v>
      </c>
      <c r="AJ189" s="343" t="s">
        <v>90</v>
      </c>
      <c r="AK189" s="343" t="s">
        <v>90</v>
      </c>
      <c r="AL189" s="333" t="str">
        <f t="shared" si="16"/>
        <v/>
      </c>
      <c r="AM189" s="334" t="str">
        <f t="shared" si="17"/>
        <v/>
      </c>
      <c r="AN189" s="333" t="str">
        <f t="shared" si="18"/>
        <v/>
      </c>
      <c r="AO189" s="334" t="str">
        <f t="shared" si="19"/>
        <v/>
      </c>
      <c r="AP189" s="44"/>
      <c r="AQ189" s="2"/>
    </row>
    <row r="190" spans="1:43" ht="24.95" customHeight="1" x14ac:dyDescent="0.25">
      <c r="A190" s="2">
        <v>150</v>
      </c>
      <c r="B190" s="349"/>
      <c r="C190" s="350"/>
      <c r="D190" s="351"/>
      <c r="E190" s="351"/>
      <c r="F190" s="336"/>
      <c r="G190" s="327"/>
      <c r="H190" s="327"/>
      <c r="I190" s="325">
        <f t="shared" si="20"/>
        <v>0</v>
      </c>
      <c r="J190" s="540" t="s">
        <v>281</v>
      </c>
      <c r="K190" s="540"/>
      <c r="L190" s="337">
        <f>IFERROR(IF(F190="Sem projeto",VLOOKUP(C190,$B$32:$H$34,7,FALSE)*1.5,G190*VLOOKUP(J190,Aux_Lista!$AG:$AH,2,FALSE)+H190)*E190,0)</f>
        <v>0</v>
      </c>
      <c r="M190" s="346" t="s">
        <v>90</v>
      </c>
      <c r="N190" s="347" t="s">
        <v>90</v>
      </c>
      <c r="O190" s="348" t="s">
        <v>90</v>
      </c>
      <c r="P190" s="386">
        <f t="shared" si="21"/>
        <v>0</v>
      </c>
      <c r="R190" s="94">
        <v>159</v>
      </c>
      <c r="S190" s="383"/>
      <c r="T190" s="214"/>
      <c r="U190" s="214"/>
      <c r="V190" s="217"/>
      <c r="W190" s="215"/>
      <c r="X190" s="336"/>
      <c r="Y190" s="68" t="str">
        <f>IF(V190="","",VLOOKUP(V190,Aux_Lista!A:K,11,FALSE))</f>
        <v/>
      </c>
      <c r="Z190" s="68" t="str">
        <f>IF(V190="","",VLOOKUP(V190,Aux_Lista!A:L,12,FALSE))</f>
        <v/>
      </c>
      <c r="AA190" s="68" t="str">
        <f>IF(W190="","",VLOOKUP(W190,Aux_Lista!AN:AP,3,FALSE))</f>
        <v/>
      </c>
      <c r="AB190" s="68" t="str">
        <f>IF(W190="","",VLOOKUP(W190,Aux_Lista!AN:AP,2,FALSE))</f>
        <v/>
      </c>
      <c r="AC190" s="69"/>
      <c r="AD190" s="69"/>
      <c r="AE190" s="325">
        <f t="shared" si="15"/>
        <v>0</v>
      </c>
      <c r="AF190" s="540" t="s">
        <v>281</v>
      </c>
      <c r="AG190" s="540"/>
      <c r="AH190" s="337">
        <f>IFERROR(IF(X190="Sem projeto",1.5*AA190,AC190*VLOOKUP(AF190,Aux_Lista!AG:AH,2,FALSE)+AD190)*U190,0)</f>
        <v>0</v>
      </c>
      <c r="AI190" s="343" t="s">
        <v>90</v>
      </c>
      <c r="AJ190" s="343" t="s">
        <v>90</v>
      </c>
      <c r="AK190" s="343" t="s">
        <v>90</v>
      </c>
      <c r="AL190" s="333" t="str">
        <f t="shared" si="16"/>
        <v/>
      </c>
      <c r="AM190" s="334" t="str">
        <f t="shared" si="17"/>
        <v/>
      </c>
      <c r="AN190" s="333" t="str">
        <f t="shared" si="18"/>
        <v/>
      </c>
      <c r="AO190" s="334" t="str">
        <f t="shared" si="19"/>
        <v/>
      </c>
      <c r="AP190" s="44"/>
      <c r="AQ190" s="2"/>
    </row>
    <row r="191" spans="1:43" ht="24.95" customHeight="1" x14ac:dyDescent="0.25">
      <c r="A191" s="2">
        <v>151</v>
      </c>
      <c r="B191" s="349"/>
      <c r="C191" s="350"/>
      <c r="D191" s="351"/>
      <c r="E191" s="351"/>
      <c r="F191" s="336"/>
      <c r="G191" s="327"/>
      <c r="H191" s="327"/>
      <c r="I191" s="325">
        <f t="shared" si="20"/>
        <v>0</v>
      </c>
      <c r="J191" s="540" t="s">
        <v>281</v>
      </c>
      <c r="K191" s="540"/>
      <c r="L191" s="337">
        <f>IFERROR(IF(F191="Sem projeto",VLOOKUP(C191,$B$32:$H$34,7,FALSE)*1.5,G191*VLOOKUP(J191,Aux_Lista!$AG:$AH,2,FALSE)+H191)*E191,0)</f>
        <v>0</v>
      </c>
      <c r="M191" s="346" t="s">
        <v>90</v>
      </c>
      <c r="N191" s="347" t="s">
        <v>90</v>
      </c>
      <c r="O191" s="348" t="s">
        <v>90</v>
      </c>
      <c r="P191" s="386">
        <f t="shared" si="21"/>
        <v>0</v>
      </c>
      <c r="R191" s="94">
        <v>160</v>
      </c>
      <c r="S191" s="383"/>
      <c r="T191" s="214"/>
      <c r="U191" s="214"/>
      <c r="V191" s="217"/>
      <c r="W191" s="215"/>
      <c r="X191" s="336"/>
      <c r="Y191" s="68" t="str">
        <f>IF(V191="","",VLOOKUP(V191,Aux_Lista!A:K,11,FALSE))</f>
        <v/>
      </c>
      <c r="Z191" s="68" t="str">
        <f>IF(V191="","",VLOOKUP(V191,Aux_Lista!A:L,12,FALSE))</f>
        <v/>
      </c>
      <c r="AA191" s="68" t="str">
        <f>IF(W191="","",VLOOKUP(W191,Aux_Lista!AN:AP,3,FALSE))</f>
        <v/>
      </c>
      <c r="AB191" s="68" t="str">
        <f>IF(W191="","",VLOOKUP(W191,Aux_Lista!AN:AP,2,FALSE))</f>
        <v/>
      </c>
      <c r="AC191" s="69"/>
      <c r="AD191" s="69"/>
      <c r="AE191" s="325">
        <f t="shared" si="15"/>
        <v>0</v>
      </c>
      <c r="AF191" s="540" t="s">
        <v>281</v>
      </c>
      <c r="AG191" s="540"/>
      <c r="AH191" s="337">
        <f>IFERROR(IF(X191="Sem projeto",1.5*AA191,AC191*VLOOKUP(AF191,Aux_Lista!AG:AH,2,FALSE)+AD191)*U191,0)</f>
        <v>0</v>
      </c>
      <c r="AI191" s="343" t="s">
        <v>90</v>
      </c>
      <c r="AJ191" s="343" t="s">
        <v>90</v>
      </c>
      <c r="AK191" s="343" t="s">
        <v>90</v>
      </c>
      <c r="AL191" s="333" t="str">
        <f t="shared" si="16"/>
        <v/>
      </c>
      <c r="AM191" s="334" t="str">
        <f t="shared" si="17"/>
        <v/>
      </c>
      <c r="AN191" s="333" t="str">
        <f t="shared" si="18"/>
        <v/>
      </c>
      <c r="AO191" s="334" t="str">
        <f t="shared" si="19"/>
        <v/>
      </c>
      <c r="AP191" s="44"/>
      <c r="AQ191" s="2"/>
    </row>
    <row r="192" spans="1:43" ht="24.95" customHeight="1" x14ac:dyDescent="0.25">
      <c r="A192" s="2">
        <v>152</v>
      </c>
      <c r="B192" s="349"/>
      <c r="C192" s="350"/>
      <c r="D192" s="351"/>
      <c r="E192" s="351"/>
      <c r="F192" s="336"/>
      <c r="G192" s="327"/>
      <c r="H192" s="327"/>
      <c r="I192" s="325">
        <f t="shared" si="20"/>
        <v>0</v>
      </c>
      <c r="J192" s="540" t="s">
        <v>281</v>
      </c>
      <c r="K192" s="540"/>
      <c r="L192" s="337">
        <f>IFERROR(IF(F192="Sem projeto",VLOOKUP(C192,$B$32:$H$34,7,FALSE)*1.5,G192*VLOOKUP(J192,Aux_Lista!$AG:$AH,2,FALSE)+H192)*E192,0)</f>
        <v>0</v>
      </c>
      <c r="M192" s="346" t="s">
        <v>90</v>
      </c>
      <c r="N192" s="347" t="s">
        <v>90</v>
      </c>
      <c r="O192" s="348" t="s">
        <v>90</v>
      </c>
      <c r="P192" s="386">
        <f t="shared" si="21"/>
        <v>0</v>
      </c>
      <c r="R192" s="94">
        <v>161</v>
      </c>
      <c r="S192" s="383"/>
      <c r="T192" s="214"/>
      <c r="U192" s="214"/>
      <c r="V192" s="217"/>
      <c r="W192" s="215"/>
      <c r="X192" s="336"/>
      <c r="Y192" s="68" t="str">
        <f>IF(V192="","",VLOOKUP(V192,Aux_Lista!A:K,11,FALSE))</f>
        <v/>
      </c>
      <c r="Z192" s="68" t="str">
        <f>IF(V192="","",VLOOKUP(V192,Aux_Lista!A:L,12,FALSE))</f>
        <v/>
      </c>
      <c r="AA192" s="68" t="str">
        <f>IF(W192="","",VLOOKUP(W192,Aux_Lista!AN:AP,3,FALSE))</f>
        <v/>
      </c>
      <c r="AB192" s="68" t="str">
        <f>IF(W192="","",VLOOKUP(W192,Aux_Lista!AN:AP,2,FALSE))</f>
        <v/>
      </c>
      <c r="AC192" s="69"/>
      <c r="AD192" s="69"/>
      <c r="AE192" s="325">
        <f t="shared" si="15"/>
        <v>0</v>
      </c>
      <c r="AF192" s="540" t="s">
        <v>281</v>
      </c>
      <c r="AG192" s="540"/>
      <c r="AH192" s="337">
        <f>IFERROR(IF(X192="Sem projeto",1.5*AA192,AC192*VLOOKUP(AF192,Aux_Lista!AG:AH,2,FALSE)+AD192)*U192,0)</f>
        <v>0</v>
      </c>
      <c r="AI192" s="343" t="s">
        <v>90</v>
      </c>
      <c r="AJ192" s="343" t="s">
        <v>90</v>
      </c>
      <c r="AK192" s="343" t="s">
        <v>90</v>
      </c>
      <c r="AL192" s="333" t="str">
        <f t="shared" si="16"/>
        <v/>
      </c>
      <c r="AM192" s="334" t="str">
        <f t="shared" si="17"/>
        <v/>
      </c>
      <c r="AN192" s="333" t="str">
        <f t="shared" si="18"/>
        <v/>
      </c>
      <c r="AO192" s="334" t="str">
        <f t="shared" si="19"/>
        <v/>
      </c>
      <c r="AP192" s="44"/>
      <c r="AQ192" s="2"/>
    </row>
    <row r="193" spans="1:43" ht="24.95" customHeight="1" x14ac:dyDescent="0.25">
      <c r="A193" s="2">
        <v>153</v>
      </c>
      <c r="B193" s="349"/>
      <c r="C193" s="350"/>
      <c r="D193" s="351"/>
      <c r="E193" s="351"/>
      <c r="F193" s="336"/>
      <c r="G193" s="327"/>
      <c r="H193" s="327"/>
      <c r="I193" s="325">
        <f t="shared" si="20"/>
        <v>0</v>
      </c>
      <c r="J193" s="540" t="s">
        <v>281</v>
      </c>
      <c r="K193" s="540"/>
      <c r="L193" s="337">
        <f>IFERROR(IF(F193="Sem projeto",VLOOKUP(C193,$B$32:$H$34,7,FALSE)*1.5,G193*VLOOKUP(J193,Aux_Lista!$AG:$AH,2,FALSE)+H193)*E193,0)</f>
        <v>0</v>
      </c>
      <c r="M193" s="346" t="s">
        <v>90</v>
      </c>
      <c r="N193" s="347" t="s">
        <v>90</v>
      </c>
      <c r="O193" s="348" t="s">
        <v>90</v>
      </c>
      <c r="P193" s="386">
        <f t="shared" si="21"/>
        <v>0</v>
      </c>
      <c r="R193" s="94">
        <v>162</v>
      </c>
      <c r="S193" s="383"/>
      <c r="T193" s="214"/>
      <c r="U193" s="214"/>
      <c r="V193" s="217"/>
      <c r="W193" s="215"/>
      <c r="X193" s="336"/>
      <c r="Y193" s="68" t="str">
        <f>IF(V193="","",VLOOKUP(V193,Aux_Lista!A:K,11,FALSE))</f>
        <v/>
      </c>
      <c r="Z193" s="68" t="str">
        <f>IF(V193="","",VLOOKUP(V193,Aux_Lista!A:L,12,FALSE))</f>
        <v/>
      </c>
      <c r="AA193" s="68" t="str">
        <f>IF(W193="","",VLOOKUP(W193,Aux_Lista!AN:AP,3,FALSE))</f>
        <v/>
      </c>
      <c r="AB193" s="68" t="str">
        <f>IF(W193="","",VLOOKUP(W193,Aux_Lista!AN:AP,2,FALSE))</f>
        <v/>
      </c>
      <c r="AC193" s="69"/>
      <c r="AD193" s="69"/>
      <c r="AE193" s="325">
        <f t="shared" si="15"/>
        <v>0</v>
      </c>
      <c r="AF193" s="540" t="s">
        <v>281</v>
      </c>
      <c r="AG193" s="540"/>
      <c r="AH193" s="337">
        <f>IFERROR(IF(X193="Sem projeto",1.5*AA193,AC193*VLOOKUP(AF193,Aux_Lista!AG:AH,2,FALSE)+AD193)*U193,0)</f>
        <v>0</v>
      </c>
      <c r="AI193" s="343" t="s">
        <v>90</v>
      </c>
      <c r="AJ193" s="343" t="s">
        <v>90</v>
      </c>
      <c r="AK193" s="343" t="s">
        <v>90</v>
      </c>
      <c r="AL193" s="333" t="str">
        <f t="shared" si="16"/>
        <v/>
      </c>
      <c r="AM193" s="334" t="str">
        <f t="shared" si="17"/>
        <v/>
      </c>
      <c r="AN193" s="333" t="str">
        <f t="shared" si="18"/>
        <v/>
      </c>
      <c r="AO193" s="334" t="str">
        <f t="shared" si="19"/>
        <v/>
      </c>
      <c r="AP193" s="44"/>
      <c r="AQ193" s="2"/>
    </row>
    <row r="194" spans="1:43" ht="24.95" customHeight="1" x14ac:dyDescent="0.25">
      <c r="A194" s="2">
        <v>154</v>
      </c>
      <c r="B194" s="349"/>
      <c r="C194" s="350"/>
      <c r="D194" s="351"/>
      <c r="E194" s="351"/>
      <c r="F194" s="336"/>
      <c r="G194" s="327"/>
      <c r="H194" s="327"/>
      <c r="I194" s="325">
        <f t="shared" si="20"/>
        <v>0</v>
      </c>
      <c r="J194" s="540" t="s">
        <v>281</v>
      </c>
      <c r="K194" s="540"/>
      <c r="L194" s="337">
        <f>IFERROR(IF(F194="Sem projeto",VLOOKUP(C194,$B$32:$H$34,7,FALSE)*1.5,G194*VLOOKUP(J194,Aux_Lista!$AG:$AH,2,FALSE)+H194)*E194,0)</f>
        <v>0</v>
      </c>
      <c r="M194" s="346" t="s">
        <v>90</v>
      </c>
      <c r="N194" s="347" t="s">
        <v>90</v>
      </c>
      <c r="O194" s="348" t="s">
        <v>90</v>
      </c>
      <c r="P194" s="386">
        <f t="shared" si="21"/>
        <v>0</v>
      </c>
      <c r="R194" s="94">
        <v>163</v>
      </c>
      <c r="S194" s="383"/>
      <c r="T194" s="214"/>
      <c r="U194" s="214"/>
      <c r="V194" s="217"/>
      <c r="W194" s="215"/>
      <c r="X194" s="336"/>
      <c r="Y194" s="68" t="str">
        <f>IF(V194="","",VLOOKUP(V194,Aux_Lista!A:K,11,FALSE))</f>
        <v/>
      </c>
      <c r="Z194" s="68" t="str">
        <f>IF(V194="","",VLOOKUP(V194,Aux_Lista!A:L,12,FALSE))</f>
        <v/>
      </c>
      <c r="AA194" s="68" t="str">
        <f>IF(W194="","",VLOOKUP(W194,Aux_Lista!AN:AP,3,FALSE))</f>
        <v/>
      </c>
      <c r="AB194" s="68" t="str">
        <f>IF(W194="","",VLOOKUP(W194,Aux_Lista!AN:AP,2,FALSE))</f>
        <v/>
      </c>
      <c r="AC194" s="69"/>
      <c r="AD194" s="69"/>
      <c r="AE194" s="325">
        <f t="shared" si="15"/>
        <v>0</v>
      </c>
      <c r="AF194" s="540" t="s">
        <v>281</v>
      </c>
      <c r="AG194" s="540"/>
      <c r="AH194" s="337">
        <f>IFERROR(IF(X194="Sem projeto",1.5*AA194,AC194*VLOOKUP(AF194,Aux_Lista!AG:AH,2,FALSE)+AD194)*U194,0)</f>
        <v>0</v>
      </c>
      <c r="AI194" s="343" t="s">
        <v>90</v>
      </c>
      <c r="AJ194" s="343" t="s">
        <v>90</v>
      </c>
      <c r="AK194" s="343" t="s">
        <v>90</v>
      </c>
      <c r="AL194" s="333" t="str">
        <f t="shared" si="16"/>
        <v/>
      </c>
      <c r="AM194" s="334" t="str">
        <f t="shared" si="17"/>
        <v/>
      </c>
      <c r="AN194" s="333" t="str">
        <f t="shared" si="18"/>
        <v/>
      </c>
      <c r="AO194" s="334" t="str">
        <f t="shared" si="19"/>
        <v/>
      </c>
      <c r="AP194" s="44"/>
      <c r="AQ194" s="2"/>
    </row>
    <row r="195" spans="1:43" ht="24.95" customHeight="1" x14ac:dyDescent="0.25">
      <c r="A195" s="2">
        <v>155</v>
      </c>
      <c r="B195" s="349"/>
      <c r="C195" s="350"/>
      <c r="D195" s="351"/>
      <c r="E195" s="351"/>
      <c r="F195" s="336"/>
      <c r="G195" s="327"/>
      <c r="H195" s="327"/>
      <c r="I195" s="325">
        <f t="shared" si="20"/>
        <v>0</v>
      </c>
      <c r="J195" s="540" t="s">
        <v>281</v>
      </c>
      <c r="K195" s="540"/>
      <c r="L195" s="337">
        <f>IFERROR(IF(F195="Sem projeto",VLOOKUP(C195,$B$32:$H$34,7,FALSE)*1.5,G195*VLOOKUP(J195,Aux_Lista!$AG:$AH,2,FALSE)+H195)*E195,0)</f>
        <v>0</v>
      </c>
      <c r="M195" s="346" t="s">
        <v>90</v>
      </c>
      <c r="N195" s="347" t="s">
        <v>90</v>
      </c>
      <c r="O195" s="348" t="s">
        <v>90</v>
      </c>
      <c r="P195" s="386">
        <f t="shared" si="21"/>
        <v>0</v>
      </c>
      <c r="R195" s="94">
        <v>164</v>
      </c>
      <c r="S195" s="383"/>
      <c r="T195" s="214"/>
      <c r="U195" s="214"/>
      <c r="V195" s="217"/>
      <c r="W195" s="215"/>
      <c r="X195" s="336"/>
      <c r="Y195" s="68" t="str">
        <f>IF(V195="","",VLOOKUP(V195,Aux_Lista!A:K,11,FALSE))</f>
        <v/>
      </c>
      <c r="Z195" s="68" t="str">
        <f>IF(V195="","",VLOOKUP(V195,Aux_Lista!A:L,12,FALSE))</f>
        <v/>
      </c>
      <c r="AA195" s="68" t="str">
        <f>IF(W195="","",VLOOKUP(W195,Aux_Lista!AN:AP,3,FALSE))</f>
        <v/>
      </c>
      <c r="AB195" s="68" t="str">
        <f>IF(W195="","",VLOOKUP(W195,Aux_Lista!AN:AP,2,FALSE))</f>
        <v/>
      </c>
      <c r="AC195" s="69"/>
      <c r="AD195" s="69"/>
      <c r="AE195" s="325">
        <f t="shared" si="15"/>
        <v>0</v>
      </c>
      <c r="AF195" s="540" t="s">
        <v>281</v>
      </c>
      <c r="AG195" s="540"/>
      <c r="AH195" s="337">
        <f>IFERROR(IF(X195="Sem projeto",1.5*AA195,AC195*VLOOKUP(AF195,Aux_Lista!AG:AH,2,FALSE)+AD195)*U195,0)</f>
        <v>0</v>
      </c>
      <c r="AI195" s="343" t="s">
        <v>90</v>
      </c>
      <c r="AJ195" s="343" t="s">
        <v>90</v>
      </c>
      <c r="AK195" s="343" t="s">
        <v>90</v>
      </c>
      <c r="AL195" s="333" t="str">
        <f t="shared" si="16"/>
        <v/>
      </c>
      <c r="AM195" s="334" t="str">
        <f t="shared" si="17"/>
        <v/>
      </c>
      <c r="AN195" s="333" t="str">
        <f t="shared" si="18"/>
        <v/>
      </c>
      <c r="AO195" s="334" t="str">
        <f t="shared" si="19"/>
        <v/>
      </c>
      <c r="AP195" s="44"/>
      <c r="AQ195" s="2"/>
    </row>
    <row r="196" spans="1:43" ht="24.95" customHeight="1" x14ac:dyDescent="0.25">
      <c r="A196" s="2">
        <v>156</v>
      </c>
      <c r="B196" s="349"/>
      <c r="C196" s="350"/>
      <c r="D196" s="351"/>
      <c r="E196" s="351"/>
      <c r="F196" s="336"/>
      <c r="G196" s="327"/>
      <c r="H196" s="327"/>
      <c r="I196" s="325">
        <f t="shared" si="20"/>
        <v>0</v>
      </c>
      <c r="J196" s="540" t="s">
        <v>281</v>
      </c>
      <c r="K196" s="540"/>
      <c r="L196" s="337">
        <f>IFERROR(IF(F196="Sem projeto",VLOOKUP(C196,$B$32:$H$34,7,FALSE)*1.5,G196*VLOOKUP(J196,Aux_Lista!$AG:$AH,2,FALSE)+H196)*E196,0)</f>
        <v>0</v>
      </c>
      <c r="M196" s="346" t="s">
        <v>90</v>
      </c>
      <c r="N196" s="347" t="s">
        <v>90</v>
      </c>
      <c r="O196" s="348" t="s">
        <v>90</v>
      </c>
      <c r="P196" s="386">
        <f t="shared" si="21"/>
        <v>0</v>
      </c>
      <c r="R196" s="94">
        <v>165</v>
      </c>
      <c r="S196" s="383"/>
      <c r="T196" s="214"/>
      <c r="U196" s="214"/>
      <c r="V196" s="217"/>
      <c r="W196" s="215"/>
      <c r="X196" s="336"/>
      <c r="Y196" s="68" t="str">
        <f>IF(V196="","",VLOOKUP(V196,Aux_Lista!A:K,11,FALSE))</f>
        <v/>
      </c>
      <c r="Z196" s="68" t="str">
        <f>IF(V196="","",VLOOKUP(V196,Aux_Lista!A:L,12,FALSE))</f>
        <v/>
      </c>
      <c r="AA196" s="68" t="str">
        <f>IF(W196="","",VLOOKUP(W196,Aux_Lista!AN:AP,3,FALSE))</f>
        <v/>
      </c>
      <c r="AB196" s="68" t="str">
        <f>IF(W196="","",VLOOKUP(W196,Aux_Lista!AN:AP,2,FALSE))</f>
        <v/>
      </c>
      <c r="AC196" s="69"/>
      <c r="AD196" s="69"/>
      <c r="AE196" s="325">
        <f t="shared" si="15"/>
        <v>0</v>
      </c>
      <c r="AF196" s="540" t="s">
        <v>281</v>
      </c>
      <c r="AG196" s="540"/>
      <c r="AH196" s="337">
        <f>IFERROR(IF(X196="Sem projeto",1.5*AA196,AC196*VLOOKUP(AF196,Aux_Lista!AG:AH,2,FALSE)+AD196)*U196,0)</f>
        <v>0</v>
      </c>
      <c r="AI196" s="343" t="s">
        <v>90</v>
      </c>
      <c r="AJ196" s="343" t="s">
        <v>90</v>
      </c>
      <c r="AK196" s="343" t="s">
        <v>90</v>
      </c>
      <c r="AL196" s="333" t="str">
        <f t="shared" si="16"/>
        <v/>
      </c>
      <c r="AM196" s="334" t="str">
        <f t="shared" si="17"/>
        <v/>
      </c>
      <c r="AN196" s="333" t="str">
        <f t="shared" si="18"/>
        <v/>
      </c>
      <c r="AO196" s="334" t="str">
        <f t="shared" si="19"/>
        <v/>
      </c>
      <c r="AP196" s="44"/>
      <c r="AQ196" s="2"/>
    </row>
    <row r="197" spans="1:43" ht="24.95" customHeight="1" x14ac:dyDescent="0.25">
      <c r="A197" s="2">
        <v>157</v>
      </c>
      <c r="B197" s="349"/>
      <c r="C197" s="350"/>
      <c r="D197" s="351"/>
      <c r="E197" s="351"/>
      <c r="F197" s="336"/>
      <c r="G197" s="327"/>
      <c r="H197" s="327"/>
      <c r="I197" s="325">
        <f t="shared" si="20"/>
        <v>0</v>
      </c>
      <c r="J197" s="540" t="s">
        <v>281</v>
      </c>
      <c r="K197" s="540"/>
      <c r="L197" s="337">
        <f>IFERROR(IF(F197="Sem projeto",VLOOKUP(C197,$B$32:$H$34,7,FALSE)*1.5,G197*VLOOKUP(J197,Aux_Lista!$AG:$AH,2,FALSE)+H197)*E197,0)</f>
        <v>0</v>
      </c>
      <c r="M197" s="346" t="s">
        <v>90</v>
      </c>
      <c r="N197" s="347" t="s">
        <v>90</v>
      </c>
      <c r="O197" s="348" t="s">
        <v>90</v>
      </c>
      <c r="P197" s="386">
        <f t="shared" si="21"/>
        <v>0</v>
      </c>
      <c r="R197" s="94">
        <v>166</v>
      </c>
      <c r="S197" s="383"/>
      <c r="T197" s="214"/>
      <c r="U197" s="214"/>
      <c r="V197" s="217"/>
      <c r="W197" s="215"/>
      <c r="X197" s="336"/>
      <c r="Y197" s="68" t="str">
        <f>IF(V197="","",VLOOKUP(V197,Aux_Lista!A:K,11,FALSE))</f>
        <v/>
      </c>
      <c r="Z197" s="68" t="str">
        <f>IF(V197="","",VLOOKUP(V197,Aux_Lista!A:L,12,FALSE))</f>
        <v/>
      </c>
      <c r="AA197" s="68" t="str">
        <f>IF(W197="","",VLOOKUP(W197,Aux_Lista!AN:AP,3,FALSE))</f>
        <v/>
      </c>
      <c r="AB197" s="68" t="str">
        <f>IF(W197="","",VLOOKUP(W197,Aux_Lista!AN:AP,2,FALSE))</f>
        <v/>
      </c>
      <c r="AC197" s="69"/>
      <c r="AD197" s="69"/>
      <c r="AE197" s="325">
        <f t="shared" si="15"/>
        <v>0</v>
      </c>
      <c r="AF197" s="540" t="s">
        <v>281</v>
      </c>
      <c r="AG197" s="540"/>
      <c r="AH197" s="337">
        <f>IFERROR(IF(X197="Sem projeto",1.5*AA197,AC197*VLOOKUP(AF197,Aux_Lista!AG:AH,2,FALSE)+AD197)*U197,0)</f>
        <v>0</v>
      </c>
      <c r="AI197" s="343" t="s">
        <v>90</v>
      </c>
      <c r="AJ197" s="343" t="s">
        <v>90</v>
      </c>
      <c r="AK197" s="343" t="s">
        <v>90</v>
      </c>
      <c r="AL197" s="333" t="str">
        <f t="shared" si="16"/>
        <v/>
      </c>
      <c r="AM197" s="334" t="str">
        <f t="shared" si="17"/>
        <v/>
      </c>
      <c r="AN197" s="333" t="str">
        <f t="shared" si="18"/>
        <v/>
      </c>
      <c r="AO197" s="334" t="str">
        <f t="shared" si="19"/>
        <v/>
      </c>
      <c r="AP197" s="44"/>
      <c r="AQ197" s="2"/>
    </row>
    <row r="198" spans="1:43" ht="24.95" customHeight="1" x14ac:dyDescent="0.25">
      <c r="A198" s="2">
        <v>158</v>
      </c>
      <c r="B198" s="349"/>
      <c r="C198" s="350"/>
      <c r="D198" s="351"/>
      <c r="E198" s="351"/>
      <c r="F198" s="336"/>
      <c r="G198" s="327"/>
      <c r="H198" s="327"/>
      <c r="I198" s="325">
        <f t="shared" si="20"/>
        <v>0</v>
      </c>
      <c r="J198" s="540" t="s">
        <v>281</v>
      </c>
      <c r="K198" s="540"/>
      <c r="L198" s="337">
        <f>IFERROR(IF(F198="Sem projeto",VLOOKUP(C198,$B$32:$H$34,7,FALSE)*1.5,G198*VLOOKUP(J198,Aux_Lista!$AG:$AH,2,FALSE)+H198)*E198,0)</f>
        <v>0</v>
      </c>
      <c r="M198" s="346" t="s">
        <v>90</v>
      </c>
      <c r="N198" s="347" t="s">
        <v>90</v>
      </c>
      <c r="O198" s="348" t="s">
        <v>90</v>
      </c>
      <c r="P198" s="386">
        <f t="shared" si="21"/>
        <v>0</v>
      </c>
      <c r="R198" s="94">
        <v>167</v>
      </c>
      <c r="S198" s="383"/>
      <c r="T198" s="214"/>
      <c r="U198" s="214"/>
      <c r="V198" s="217"/>
      <c r="W198" s="215"/>
      <c r="X198" s="336"/>
      <c r="Y198" s="68" t="str">
        <f>IF(V198="","",VLOOKUP(V198,Aux_Lista!A:K,11,FALSE))</f>
        <v/>
      </c>
      <c r="Z198" s="68" t="str">
        <f>IF(V198="","",VLOOKUP(V198,Aux_Lista!A:L,12,FALSE))</f>
        <v/>
      </c>
      <c r="AA198" s="68" t="str">
        <f>IF(W198="","",VLOOKUP(W198,Aux_Lista!AN:AP,3,FALSE))</f>
        <v/>
      </c>
      <c r="AB198" s="68" t="str">
        <f>IF(W198="","",VLOOKUP(W198,Aux_Lista!AN:AP,2,FALSE))</f>
        <v/>
      </c>
      <c r="AC198" s="69"/>
      <c r="AD198" s="69"/>
      <c r="AE198" s="325">
        <f t="shared" si="15"/>
        <v>0</v>
      </c>
      <c r="AF198" s="540" t="s">
        <v>281</v>
      </c>
      <c r="AG198" s="540"/>
      <c r="AH198" s="337">
        <f>IFERROR(IF(X198="Sem projeto",1.5*AA198,AC198*VLOOKUP(AF198,Aux_Lista!AG:AH,2,FALSE)+AD198)*U198,0)</f>
        <v>0</v>
      </c>
      <c r="AI198" s="343" t="s">
        <v>90</v>
      </c>
      <c r="AJ198" s="343" t="s">
        <v>90</v>
      </c>
      <c r="AK198" s="343" t="s">
        <v>90</v>
      </c>
      <c r="AL198" s="333" t="str">
        <f t="shared" si="16"/>
        <v/>
      </c>
      <c r="AM198" s="334" t="str">
        <f t="shared" si="17"/>
        <v/>
      </c>
      <c r="AN198" s="333" t="str">
        <f t="shared" si="18"/>
        <v/>
      </c>
      <c r="AO198" s="334" t="str">
        <f t="shared" si="19"/>
        <v/>
      </c>
      <c r="AP198" s="44"/>
      <c r="AQ198" s="2"/>
    </row>
    <row r="199" spans="1:43" ht="24.95" customHeight="1" x14ac:dyDescent="0.25">
      <c r="A199" s="2">
        <v>159</v>
      </c>
      <c r="B199" s="349"/>
      <c r="C199" s="350"/>
      <c r="D199" s="351"/>
      <c r="E199" s="351"/>
      <c r="F199" s="336"/>
      <c r="G199" s="327"/>
      <c r="H199" s="327"/>
      <c r="I199" s="325">
        <f t="shared" si="20"/>
        <v>0</v>
      </c>
      <c r="J199" s="540" t="s">
        <v>281</v>
      </c>
      <c r="K199" s="540"/>
      <c r="L199" s="337">
        <f>IFERROR(IF(F199="Sem projeto",VLOOKUP(C199,$B$32:$H$34,7,FALSE)*1.5,G199*VLOOKUP(J199,Aux_Lista!$AG:$AH,2,FALSE)+H199)*E199,0)</f>
        <v>0</v>
      </c>
      <c r="M199" s="346" t="s">
        <v>90</v>
      </c>
      <c r="N199" s="347" t="s">
        <v>90</v>
      </c>
      <c r="O199" s="348" t="s">
        <v>90</v>
      </c>
      <c r="P199" s="386">
        <f t="shared" si="21"/>
        <v>0</v>
      </c>
      <c r="R199" s="94">
        <v>168</v>
      </c>
      <c r="S199" s="383"/>
      <c r="T199" s="214"/>
      <c r="U199" s="214"/>
      <c r="V199" s="217"/>
      <c r="W199" s="215"/>
      <c r="X199" s="336"/>
      <c r="Y199" s="68" t="str">
        <f>IF(V199="","",VLOOKUP(V199,Aux_Lista!A:K,11,FALSE))</f>
        <v/>
      </c>
      <c r="Z199" s="68" t="str">
        <f>IF(V199="","",VLOOKUP(V199,Aux_Lista!A:L,12,FALSE))</f>
        <v/>
      </c>
      <c r="AA199" s="68" t="str">
        <f>IF(W199="","",VLOOKUP(W199,Aux_Lista!AN:AP,3,FALSE))</f>
        <v/>
      </c>
      <c r="AB199" s="68" t="str">
        <f>IF(W199="","",VLOOKUP(W199,Aux_Lista!AN:AP,2,FALSE))</f>
        <v/>
      </c>
      <c r="AC199" s="69"/>
      <c r="AD199" s="69"/>
      <c r="AE199" s="325">
        <f t="shared" si="15"/>
        <v>0</v>
      </c>
      <c r="AF199" s="540" t="s">
        <v>281</v>
      </c>
      <c r="AG199" s="540"/>
      <c r="AH199" s="337">
        <f>IFERROR(IF(X199="Sem projeto",1.5*AA199,AC199*VLOOKUP(AF199,Aux_Lista!AG:AH,2,FALSE)+AD199)*U199,0)</f>
        <v>0</v>
      </c>
      <c r="AI199" s="343" t="s">
        <v>90</v>
      </c>
      <c r="AJ199" s="343" t="s">
        <v>90</v>
      </c>
      <c r="AK199" s="343" t="s">
        <v>90</v>
      </c>
      <c r="AL199" s="333" t="str">
        <f t="shared" si="16"/>
        <v/>
      </c>
      <c r="AM199" s="334" t="str">
        <f t="shared" si="17"/>
        <v/>
      </c>
      <c r="AN199" s="333" t="str">
        <f t="shared" si="18"/>
        <v/>
      </c>
      <c r="AO199" s="334" t="str">
        <f t="shared" si="19"/>
        <v/>
      </c>
      <c r="AP199" s="44"/>
      <c r="AQ199" s="2"/>
    </row>
    <row r="200" spans="1:43" ht="24.95" customHeight="1" x14ac:dyDescent="0.25">
      <c r="A200" s="2">
        <v>160</v>
      </c>
      <c r="B200" s="349"/>
      <c r="C200" s="350"/>
      <c r="D200" s="351"/>
      <c r="E200" s="351"/>
      <c r="F200" s="336"/>
      <c r="G200" s="327"/>
      <c r="H200" s="327"/>
      <c r="I200" s="325">
        <f t="shared" si="20"/>
        <v>0</v>
      </c>
      <c r="J200" s="540" t="s">
        <v>281</v>
      </c>
      <c r="K200" s="540"/>
      <c r="L200" s="337">
        <f>IFERROR(IF(F200="Sem projeto",VLOOKUP(C200,$B$32:$H$34,7,FALSE)*1.5,G200*VLOOKUP(J200,Aux_Lista!$AG:$AH,2,FALSE)+H200)*E200,0)</f>
        <v>0</v>
      </c>
      <c r="M200" s="346" t="s">
        <v>90</v>
      </c>
      <c r="N200" s="347" t="s">
        <v>90</v>
      </c>
      <c r="O200" s="348" t="s">
        <v>90</v>
      </c>
      <c r="P200" s="386">
        <f t="shared" si="21"/>
        <v>0</v>
      </c>
      <c r="R200" s="94">
        <v>169</v>
      </c>
      <c r="S200" s="383"/>
      <c r="T200" s="214"/>
      <c r="U200" s="214"/>
      <c r="V200" s="217"/>
      <c r="W200" s="215"/>
      <c r="X200" s="336"/>
      <c r="Y200" s="68" t="str">
        <f>IF(V200="","",VLOOKUP(V200,Aux_Lista!A:K,11,FALSE))</f>
        <v/>
      </c>
      <c r="Z200" s="68" t="str">
        <f>IF(V200="","",VLOOKUP(V200,Aux_Lista!A:L,12,FALSE))</f>
        <v/>
      </c>
      <c r="AA200" s="68" t="str">
        <f>IF(W200="","",VLOOKUP(W200,Aux_Lista!AN:AP,3,FALSE))</f>
        <v/>
      </c>
      <c r="AB200" s="68" t="str">
        <f>IF(W200="","",VLOOKUP(W200,Aux_Lista!AN:AP,2,FALSE))</f>
        <v/>
      </c>
      <c r="AC200" s="69"/>
      <c r="AD200" s="69"/>
      <c r="AE200" s="325">
        <f t="shared" si="15"/>
        <v>0</v>
      </c>
      <c r="AF200" s="540" t="s">
        <v>281</v>
      </c>
      <c r="AG200" s="540"/>
      <c r="AH200" s="337">
        <f>IFERROR(IF(X200="Sem projeto",1.5*AA200,AC200*VLOOKUP(AF200,Aux_Lista!AG:AH,2,FALSE)+AD200)*U200,0)</f>
        <v>0</v>
      </c>
      <c r="AI200" s="343" t="s">
        <v>90</v>
      </c>
      <c r="AJ200" s="343" t="s">
        <v>90</v>
      </c>
      <c r="AK200" s="343" t="s">
        <v>90</v>
      </c>
      <c r="AL200" s="333" t="str">
        <f t="shared" si="16"/>
        <v/>
      </c>
      <c r="AM200" s="334" t="str">
        <f t="shared" si="17"/>
        <v/>
      </c>
      <c r="AN200" s="333" t="str">
        <f t="shared" si="18"/>
        <v/>
      </c>
      <c r="AO200" s="334" t="str">
        <f t="shared" si="19"/>
        <v/>
      </c>
      <c r="AP200" s="44"/>
      <c r="AQ200" s="2"/>
    </row>
    <row r="201" spans="1:43" ht="24.95" customHeight="1" x14ac:dyDescent="0.25">
      <c r="A201" s="2">
        <v>161</v>
      </c>
      <c r="B201" s="349"/>
      <c r="C201" s="350"/>
      <c r="D201" s="351"/>
      <c r="E201" s="351"/>
      <c r="F201" s="336"/>
      <c r="G201" s="327"/>
      <c r="H201" s="327"/>
      <c r="I201" s="325">
        <f t="shared" si="20"/>
        <v>0</v>
      </c>
      <c r="J201" s="540" t="s">
        <v>281</v>
      </c>
      <c r="K201" s="540"/>
      <c r="L201" s="337">
        <f>IFERROR(IF(F201="Sem projeto",VLOOKUP(C201,$B$32:$H$34,7,FALSE)*1.5,G201*VLOOKUP(J201,Aux_Lista!$AG:$AH,2,FALSE)+H201)*E201,0)</f>
        <v>0</v>
      </c>
      <c r="M201" s="346" t="s">
        <v>90</v>
      </c>
      <c r="N201" s="347" t="s">
        <v>90</v>
      </c>
      <c r="O201" s="348" t="s">
        <v>90</v>
      </c>
      <c r="P201" s="386">
        <f t="shared" si="21"/>
        <v>0</v>
      </c>
      <c r="R201" s="94">
        <v>170</v>
      </c>
      <c r="S201" s="383"/>
      <c r="T201" s="214"/>
      <c r="U201" s="214"/>
      <c r="V201" s="217"/>
      <c r="W201" s="215"/>
      <c r="X201" s="336"/>
      <c r="Y201" s="68" t="str">
        <f>IF(V201="","",VLOOKUP(V201,Aux_Lista!A:K,11,FALSE))</f>
        <v/>
      </c>
      <c r="Z201" s="68" t="str">
        <f>IF(V201="","",VLOOKUP(V201,Aux_Lista!A:L,12,FALSE))</f>
        <v/>
      </c>
      <c r="AA201" s="68" t="str">
        <f>IF(W201="","",VLOOKUP(W201,Aux_Lista!AN:AP,3,FALSE))</f>
        <v/>
      </c>
      <c r="AB201" s="68" t="str">
        <f>IF(W201="","",VLOOKUP(W201,Aux_Lista!AN:AP,2,FALSE))</f>
        <v/>
      </c>
      <c r="AC201" s="69"/>
      <c r="AD201" s="69"/>
      <c r="AE201" s="325">
        <f t="shared" si="15"/>
        <v>0</v>
      </c>
      <c r="AF201" s="540" t="s">
        <v>281</v>
      </c>
      <c r="AG201" s="540"/>
      <c r="AH201" s="337">
        <f>IFERROR(IF(X201="Sem projeto",1.5*AA201,AC201*VLOOKUP(AF201,Aux_Lista!AG:AH,2,FALSE)+AD201)*U201,0)</f>
        <v>0</v>
      </c>
      <c r="AI201" s="343" t="s">
        <v>90</v>
      </c>
      <c r="AJ201" s="343" t="s">
        <v>90</v>
      </c>
      <c r="AK201" s="343" t="s">
        <v>90</v>
      </c>
      <c r="AL201" s="333" t="str">
        <f t="shared" si="16"/>
        <v/>
      </c>
      <c r="AM201" s="334" t="str">
        <f t="shared" si="17"/>
        <v/>
      </c>
      <c r="AN201" s="333" t="str">
        <f t="shared" si="18"/>
        <v/>
      </c>
      <c r="AO201" s="334" t="str">
        <f t="shared" si="19"/>
        <v/>
      </c>
      <c r="AP201" s="44"/>
      <c r="AQ201" s="2"/>
    </row>
    <row r="202" spans="1:43" ht="24.95" customHeight="1" x14ac:dyDescent="0.25">
      <c r="A202" s="2">
        <v>162</v>
      </c>
      <c r="B202" s="349"/>
      <c r="C202" s="350"/>
      <c r="D202" s="351"/>
      <c r="E202" s="351"/>
      <c r="F202" s="336"/>
      <c r="G202" s="327"/>
      <c r="H202" s="327"/>
      <c r="I202" s="325">
        <f t="shared" si="20"/>
        <v>0</v>
      </c>
      <c r="J202" s="540" t="s">
        <v>281</v>
      </c>
      <c r="K202" s="540"/>
      <c r="L202" s="337">
        <f>IFERROR(IF(F202="Sem projeto",VLOOKUP(C202,$B$32:$H$34,7,FALSE)*1.5,G202*VLOOKUP(J202,Aux_Lista!$AG:$AH,2,FALSE)+H202)*E202,0)</f>
        <v>0</v>
      </c>
      <c r="M202" s="346" t="s">
        <v>90</v>
      </c>
      <c r="N202" s="347" t="s">
        <v>90</v>
      </c>
      <c r="O202" s="348" t="s">
        <v>90</v>
      </c>
      <c r="P202" s="386">
        <f t="shared" si="21"/>
        <v>0</v>
      </c>
      <c r="R202" s="94">
        <v>171</v>
      </c>
      <c r="S202" s="383"/>
      <c r="T202" s="214"/>
      <c r="U202" s="214"/>
      <c r="V202" s="217"/>
      <c r="W202" s="215"/>
      <c r="X202" s="336"/>
      <c r="Y202" s="68" t="str">
        <f>IF(V202="","",VLOOKUP(V202,Aux_Lista!A:K,11,FALSE))</f>
        <v/>
      </c>
      <c r="Z202" s="68" t="str">
        <f>IF(V202="","",VLOOKUP(V202,Aux_Lista!A:L,12,FALSE))</f>
        <v/>
      </c>
      <c r="AA202" s="68" t="str">
        <f>IF(W202="","",VLOOKUP(W202,Aux_Lista!AN:AP,3,FALSE))</f>
        <v/>
      </c>
      <c r="AB202" s="68" t="str">
        <f>IF(W202="","",VLOOKUP(W202,Aux_Lista!AN:AP,2,FALSE))</f>
        <v/>
      </c>
      <c r="AC202" s="69"/>
      <c r="AD202" s="69"/>
      <c r="AE202" s="325">
        <f t="shared" si="15"/>
        <v>0</v>
      </c>
      <c r="AF202" s="540" t="s">
        <v>281</v>
      </c>
      <c r="AG202" s="540"/>
      <c r="AH202" s="337">
        <f>IFERROR(IF(X202="Sem projeto",1.5*AA202,AC202*VLOOKUP(AF202,Aux_Lista!AG:AH,2,FALSE)+AD202)*U202,0)</f>
        <v>0</v>
      </c>
      <c r="AI202" s="343" t="s">
        <v>90</v>
      </c>
      <c r="AJ202" s="343" t="s">
        <v>90</v>
      </c>
      <c r="AK202" s="343" t="s">
        <v>90</v>
      </c>
      <c r="AL202" s="333" t="str">
        <f t="shared" si="16"/>
        <v/>
      </c>
      <c r="AM202" s="334" t="str">
        <f t="shared" si="17"/>
        <v/>
      </c>
      <c r="AN202" s="333" t="str">
        <f t="shared" si="18"/>
        <v/>
      </c>
      <c r="AO202" s="334" t="str">
        <f t="shared" si="19"/>
        <v/>
      </c>
      <c r="AP202" s="44"/>
      <c r="AQ202" s="2"/>
    </row>
    <row r="203" spans="1:43" ht="24.95" customHeight="1" x14ac:dyDescent="0.25">
      <c r="A203" s="2">
        <v>163</v>
      </c>
      <c r="B203" s="349"/>
      <c r="C203" s="350"/>
      <c r="D203" s="351"/>
      <c r="E203" s="351"/>
      <c r="F203" s="336"/>
      <c r="G203" s="327"/>
      <c r="H203" s="327"/>
      <c r="I203" s="325">
        <f t="shared" si="20"/>
        <v>0</v>
      </c>
      <c r="J203" s="540" t="s">
        <v>281</v>
      </c>
      <c r="K203" s="540"/>
      <c r="L203" s="337">
        <f>IFERROR(IF(F203="Sem projeto",VLOOKUP(C203,$B$32:$H$34,7,FALSE)*1.5,G203*VLOOKUP(J203,Aux_Lista!$AG:$AH,2,FALSE)+H203)*E203,0)</f>
        <v>0</v>
      </c>
      <c r="M203" s="346" t="s">
        <v>90</v>
      </c>
      <c r="N203" s="347" t="s">
        <v>90</v>
      </c>
      <c r="O203" s="348" t="s">
        <v>90</v>
      </c>
      <c r="P203" s="386">
        <f t="shared" si="21"/>
        <v>0</v>
      </c>
      <c r="R203" s="94">
        <v>172</v>
      </c>
      <c r="S203" s="383"/>
      <c r="T203" s="214"/>
      <c r="U203" s="214"/>
      <c r="V203" s="217"/>
      <c r="W203" s="215"/>
      <c r="X203" s="336"/>
      <c r="Y203" s="68" t="str">
        <f>IF(V203="","",VLOOKUP(V203,Aux_Lista!A:K,11,FALSE))</f>
        <v/>
      </c>
      <c r="Z203" s="68" t="str">
        <f>IF(V203="","",VLOOKUP(V203,Aux_Lista!A:L,12,FALSE))</f>
        <v/>
      </c>
      <c r="AA203" s="68" t="str">
        <f>IF(W203="","",VLOOKUP(W203,Aux_Lista!AN:AP,3,FALSE))</f>
        <v/>
      </c>
      <c r="AB203" s="68" t="str">
        <f>IF(W203="","",VLOOKUP(W203,Aux_Lista!AN:AP,2,FALSE))</f>
        <v/>
      </c>
      <c r="AC203" s="69"/>
      <c r="AD203" s="69"/>
      <c r="AE203" s="325">
        <f t="shared" si="15"/>
        <v>0</v>
      </c>
      <c r="AF203" s="540" t="s">
        <v>281</v>
      </c>
      <c r="AG203" s="540"/>
      <c r="AH203" s="337">
        <f>IFERROR(IF(X203="Sem projeto",1.5*AA203,AC203*VLOOKUP(AF203,Aux_Lista!AG:AH,2,FALSE)+AD203)*U203,0)</f>
        <v>0</v>
      </c>
      <c r="AI203" s="343" t="s">
        <v>90</v>
      </c>
      <c r="AJ203" s="343" t="s">
        <v>90</v>
      </c>
      <c r="AK203" s="343" t="s">
        <v>90</v>
      </c>
      <c r="AL203" s="333" t="str">
        <f t="shared" si="16"/>
        <v/>
      </c>
      <c r="AM203" s="334" t="str">
        <f t="shared" si="17"/>
        <v/>
      </c>
      <c r="AN203" s="333" t="str">
        <f t="shared" si="18"/>
        <v/>
      </c>
      <c r="AO203" s="334" t="str">
        <f t="shared" si="19"/>
        <v/>
      </c>
      <c r="AP203" s="44"/>
      <c r="AQ203" s="2"/>
    </row>
    <row r="204" spans="1:43" ht="24.95" customHeight="1" x14ac:dyDescent="0.25">
      <c r="A204" s="2">
        <v>164</v>
      </c>
      <c r="B204" s="349"/>
      <c r="C204" s="350"/>
      <c r="D204" s="351"/>
      <c r="E204" s="351"/>
      <c r="F204" s="336"/>
      <c r="G204" s="327"/>
      <c r="H204" s="327"/>
      <c r="I204" s="325">
        <f t="shared" si="20"/>
        <v>0</v>
      </c>
      <c r="J204" s="540" t="s">
        <v>281</v>
      </c>
      <c r="K204" s="540"/>
      <c r="L204" s="337">
        <f>IFERROR(IF(F204="Sem projeto",VLOOKUP(C204,$B$32:$H$34,7,FALSE)*1.5,G204*VLOOKUP(J204,Aux_Lista!$AG:$AH,2,FALSE)+H204)*E204,0)</f>
        <v>0</v>
      </c>
      <c r="M204" s="346" t="s">
        <v>90</v>
      </c>
      <c r="N204" s="347" t="s">
        <v>90</v>
      </c>
      <c r="O204" s="348" t="s">
        <v>90</v>
      </c>
      <c r="P204" s="386">
        <f t="shared" si="21"/>
        <v>0</v>
      </c>
      <c r="R204" s="94">
        <v>173</v>
      </c>
      <c r="S204" s="383"/>
      <c r="T204" s="214"/>
      <c r="U204" s="214"/>
      <c r="V204" s="217"/>
      <c r="W204" s="215"/>
      <c r="X204" s="336"/>
      <c r="Y204" s="68" t="str">
        <f>IF(V204="","",VLOOKUP(V204,Aux_Lista!A:K,11,FALSE))</f>
        <v/>
      </c>
      <c r="Z204" s="68" t="str">
        <f>IF(V204="","",VLOOKUP(V204,Aux_Lista!A:L,12,FALSE))</f>
        <v/>
      </c>
      <c r="AA204" s="68" t="str">
        <f>IF(W204="","",VLOOKUP(W204,Aux_Lista!AN:AP,3,FALSE))</f>
        <v/>
      </c>
      <c r="AB204" s="68" t="str">
        <f>IF(W204="","",VLOOKUP(W204,Aux_Lista!AN:AP,2,FALSE))</f>
        <v/>
      </c>
      <c r="AC204" s="69"/>
      <c r="AD204" s="69"/>
      <c r="AE204" s="325">
        <f t="shared" si="15"/>
        <v>0</v>
      </c>
      <c r="AF204" s="540" t="s">
        <v>281</v>
      </c>
      <c r="AG204" s="540"/>
      <c r="AH204" s="337">
        <f>IFERROR(IF(X204="Sem projeto",1.5*AA204,AC204*VLOOKUP(AF204,Aux_Lista!AG:AH,2,FALSE)+AD204)*U204,0)</f>
        <v>0</v>
      </c>
      <c r="AI204" s="343" t="s">
        <v>90</v>
      </c>
      <c r="AJ204" s="343" t="s">
        <v>90</v>
      </c>
      <c r="AK204" s="343" t="s">
        <v>90</v>
      </c>
      <c r="AL204" s="333" t="str">
        <f t="shared" si="16"/>
        <v/>
      </c>
      <c r="AM204" s="334" t="str">
        <f t="shared" si="17"/>
        <v/>
      </c>
      <c r="AN204" s="333" t="str">
        <f t="shared" si="18"/>
        <v/>
      </c>
      <c r="AO204" s="334" t="str">
        <f t="shared" si="19"/>
        <v/>
      </c>
      <c r="AP204" s="44"/>
      <c r="AQ204" s="2"/>
    </row>
    <row r="205" spans="1:43" ht="24.95" customHeight="1" x14ac:dyDescent="0.25">
      <c r="A205" s="2">
        <v>165</v>
      </c>
      <c r="B205" s="349"/>
      <c r="C205" s="350"/>
      <c r="D205" s="351"/>
      <c r="E205" s="351"/>
      <c r="F205" s="336"/>
      <c r="G205" s="327"/>
      <c r="H205" s="327"/>
      <c r="I205" s="325">
        <f t="shared" si="20"/>
        <v>0</v>
      </c>
      <c r="J205" s="540" t="s">
        <v>281</v>
      </c>
      <c r="K205" s="540"/>
      <c r="L205" s="337">
        <f>IFERROR(IF(F205="Sem projeto",VLOOKUP(C205,$B$32:$H$34,7,FALSE)*1.5,G205*VLOOKUP(J205,Aux_Lista!$AG:$AH,2,FALSE)+H205)*E205,0)</f>
        <v>0</v>
      </c>
      <c r="M205" s="346" t="s">
        <v>90</v>
      </c>
      <c r="N205" s="347" t="s">
        <v>90</v>
      </c>
      <c r="O205" s="348" t="s">
        <v>90</v>
      </c>
      <c r="P205" s="386">
        <f t="shared" si="21"/>
        <v>0</v>
      </c>
      <c r="R205" s="94">
        <v>174</v>
      </c>
      <c r="S205" s="383"/>
      <c r="T205" s="214"/>
      <c r="U205" s="214"/>
      <c r="V205" s="217"/>
      <c r="W205" s="215"/>
      <c r="X205" s="336"/>
      <c r="Y205" s="68" t="str">
        <f>IF(V205="","",VLOOKUP(V205,Aux_Lista!A:K,11,FALSE))</f>
        <v/>
      </c>
      <c r="Z205" s="68" t="str">
        <f>IF(V205="","",VLOOKUP(V205,Aux_Lista!A:L,12,FALSE))</f>
        <v/>
      </c>
      <c r="AA205" s="68" t="str">
        <f>IF(W205="","",VLOOKUP(W205,Aux_Lista!AN:AP,3,FALSE))</f>
        <v/>
      </c>
      <c r="AB205" s="68" t="str">
        <f>IF(W205="","",VLOOKUP(W205,Aux_Lista!AN:AP,2,FALSE))</f>
        <v/>
      </c>
      <c r="AC205" s="69"/>
      <c r="AD205" s="69"/>
      <c r="AE205" s="325">
        <f t="shared" si="15"/>
        <v>0</v>
      </c>
      <c r="AF205" s="540" t="s">
        <v>281</v>
      </c>
      <c r="AG205" s="540"/>
      <c r="AH205" s="337">
        <f>IFERROR(IF(X205="Sem projeto",1.5*AA205,AC205*VLOOKUP(AF205,Aux_Lista!AG:AH,2,FALSE)+AD205)*U205,0)</f>
        <v>0</v>
      </c>
      <c r="AI205" s="343" t="s">
        <v>90</v>
      </c>
      <c r="AJ205" s="343" t="s">
        <v>90</v>
      </c>
      <c r="AK205" s="343" t="s">
        <v>90</v>
      </c>
      <c r="AL205" s="333" t="str">
        <f t="shared" si="16"/>
        <v/>
      </c>
      <c r="AM205" s="334" t="str">
        <f t="shared" si="17"/>
        <v/>
      </c>
      <c r="AN205" s="333" t="str">
        <f t="shared" si="18"/>
        <v/>
      </c>
      <c r="AO205" s="334" t="str">
        <f t="shared" si="19"/>
        <v/>
      </c>
      <c r="AP205" s="44"/>
      <c r="AQ205" s="2"/>
    </row>
    <row r="206" spans="1:43" ht="24.95" customHeight="1" x14ac:dyDescent="0.25">
      <c r="A206" s="2">
        <v>166</v>
      </c>
      <c r="B206" s="349"/>
      <c r="C206" s="350"/>
      <c r="D206" s="351"/>
      <c r="E206" s="351"/>
      <c r="F206" s="336"/>
      <c r="G206" s="327"/>
      <c r="H206" s="327"/>
      <c r="I206" s="325">
        <f t="shared" si="20"/>
        <v>0</v>
      </c>
      <c r="J206" s="540" t="s">
        <v>281</v>
      </c>
      <c r="K206" s="540"/>
      <c r="L206" s="337">
        <f>IFERROR(IF(F206="Sem projeto",VLOOKUP(C206,$B$32:$H$34,7,FALSE)*1.5,G206*VLOOKUP(J206,Aux_Lista!$AG:$AH,2,FALSE)+H206)*E206,0)</f>
        <v>0</v>
      </c>
      <c r="M206" s="346" t="s">
        <v>90</v>
      </c>
      <c r="N206" s="347" t="s">
        <v>90</v>
      </c>
      <c r="O206" s="348" t="s">
        <v>90</v>
      </c>
      <c r="P206" s="386">
        <f t="shared" si="21"/>
        <v>0</v>
      </c>
      <c r="R206" s="94">
        <v>175</v>
      </c>
      <c r="S206" s="383"/>
      <c r="T206" s="214"/>
      <c r="U206" s="214"/>
      <c r="V206" s="217"/>
      <c r="W206" s="215"/>
      <c r="X206" s="336"/>
      <c r="Y206" s="68" t="str">
        <f>IF(V206="","",VLOOKUP(V206,Aux_Lista!A:K,11,FALSE))</f>
        <v/>
      </c>
      <c r="Z206" s="68" t="str">
        <f>IF(V206="","",VLOOKUP(V206,Aux_Lista!A:L,12,FALSE))</f>
        <v/>
      </c>
      <c r="AA206" s="68" t="str">
        <f>IF(W206="","",VLOOKUP(W206,Aux_Lista!AN:AP,3,FALSE))</f>
        <v/>
      </c>
      <c r="AB206" s="68" t="str">
        <f>IF(W206="","",VLOOKUP(W206,Aux_Lista!AN:AP,2,FALSE))</f>
        <v/>
      </c>
      <c r="AC206" s="69"/>
      <c r="AD206" s="69"/>
      <c r="AE206" s="325">
        <f t="shared" si="15"/>
        <v>0</v>
      </c>
      <c r="AF206" s="540" t="s">
        <v>281</v>
      </c>
      <c r="AG206" s="540"/>
      <c r="AH206" s="337">
        <f>IFERROR(IF(X206="Sem projeto",1.5*AA206,AC206*VLOOKUP(AF206,Aux_Lista!AG:AH,2,FALSE)+AD206)*U206,0)</f>
        <v>0</v>
      </c>
      <c r="AI206" s="343" t="s">
        <v>90</v>
      </c>
      <c r="AJ206" s="343" t="s">
        <v>90</v>
      </c>
      <c r="AK206" s="343" t="s">
        <v>90</v>
      </c>
      <c r="AL206" s="333" t="str">
        <f t="shared" si="16"/>
        <v/>
      </c>
      <c r="AM206" s="334" t="str">
        <f t="shared" si="17"/>
        <v/>
      </c>
      <c r="AN206" s="333" t="str">
        <f t="shared" si="18"/>
        <v/>
      </c>
      <c r="AO206" s="334" t="str">
        <f t="shared" si="19"/>
        <v/>
      </c>
      <c r="AP206" s="44"/>
      <c r="AQ206" s="2"/>
    </row>
    <row r="207" spans="1:43" ht="24.95" customHeight="1" x14ac:dyDescent="0.25">
      <c r="A207" s="2">
        <v>167</v>
      </c>
      <c r="B207" s="349"/>
      <c r="C207" s="350"/>
      <c r="D207" s="351"/>
      <c r="E207" s="351"/>
      <c r="F207" s="336"/>
      <c r="G207" s="327"/>
      <c r="H207" s="327"/>
      <c r="I207" s="325">
        <f t="shared" si="20"/>
        <v>0</v>
      </c>
      <c r="J207" s="540" t="s">
        <v>281</v>
      </c>
      <c r="K207" s="540"/>
      <c r="L207" s="337">
        <f>IFERROR(IF(F207="Sem projeto",VLOOKUP(C207,$B$32:$H$34,7,FALSE)*1.5,G207*VLOOKUP(J207,Aux_Lista!$AG:$AH,2,FALSE)+H207)*E207,0)</f>
        <v>0</v>
      </c>
      <c r="M207" s="346" t="s">
        <v>90</v>
      </c>
      <c r="N207" s="347" t="s">
        <v>90</v>
      </c>
      <c r="O207" s="348" t="s">
        <v>90</v>
      </c>
      <c r="P207" s="386">
        <f t="shared" si="21"/>
        <v>0</v>
      </c>
      <c r="R207" s="94">
        <v>176</v>
      </c>
      <c r="S207" s="383"/>
      <c r="T207" s="214"/>
      <c r="U207" s="214"/>
      <c r="V207" s="217"/>
      <c r="W207" s="215"/>
      <c r="X207" s="336"/>
      <c r="Y207" s="68" t="str">
        <f>IF(V207="","",VLOOKUP(V207,Aux_Lista!A:K,11,FALSE))</f>
        <v/>
      </c>
      <c r="Z207" s="68" t="str">
        <f>IF(V207="","",VLOOKUP(V207,Aux_Lista!A:L,12,FALSE))</f>
        <v/>
      </c>
      <c r="AA207" s="68" t="str">
        <f>IF(W207="","",VLOOKUP(W207,Aux_Lista!AN:AP,3,FALSE))</f>
        <v/>
      </c>
      <c r="AB207" s="68" t="str">
        <f>IF(W207="","",VLOOKUP(W207,Aux_Lista!AN:AP,2,FALSE))</f>
        <v/>
      </c>
      <c r="AC207" s="69"/>
      <c r="AD207" s="69"/>
      <c r="AE207" s="325">
        <f t="shared" si="15"/>
        <v>0</v>
      </c>
      <c r="AF207" s="540" t="s">
        <v>281</v>
      </c>
      <c r="AG207" s="540"/>
      <c r="AH207" s="337">
        <f>IFERROR(IF(X207="Sem projeto",1.5*AA207,AC207*VLOOKUP(AF207,Aux_Lista!AG:AH,2,FALSE)+AD207)*U207,0)</f>
        <v>0</v>
      </c>
      <c r="AI207" s="343" t="s">
        <v>90</v>
      </c>
      <c r="AJ207" s="343" t="s">
        <v>90</v>
      </c>
      <c r="AK207" s="343" t="s">
        <v>90</v>
      </c>
      <c r="AL207" s="333" t="str">
        <f t="shared" si="16"/>
        <v/>
      </c>
      <c r="AM207" s="334" t="str">
        <f t="shared" si="17"/>
        <v/>
      </c>
      <c r="AN207" s="333" t="str">
        <f t="shared" si="18"/>
        <v/>
      </c>
      <c r="AO207" s="334" t="str">
        <f t="shared" si="19"/>
        <v/>
      </c>
      <c r="AP207" s="44"/>
      <c r="AQ207" s="2"/>
    </row>
    <row r="208" spans="1:43" ht="24.95" customHeight="1" x14ac:dyDescent="0.25">
      <c r="A208" s="2">
        <v>168</v>
      </c>
      <c r="B208" s="349"/>
      <c r="C208" s="350"/>
      <c r="D208" s="351"/>
      <c r="E208" s="351"/>
      <c r="F208" s="336"/>
      <c r="G208" s="327"/>
      <c r="H208" s="327"/>
      <c r="I208" s="325">
        <f t="shared" si="20"/>
        <v>0</v>
      </c>
      <c r="J208" s="540" t="s">
        <v>281</v>
      </c>
      <c r="K208" s="540"/>
      <c r="L208" s="337">
        <f>IFERROR(IF(F208="Sem projeto",VLOOKUP(C208,$B$32:$H$34,7,FALSE)*1.5,G208*VLOOKUP(J208,Aux_Lista!$AG:$AH,2,FALSE)+H208)*E208,0)</f>
        <v>0</v>
      </c>
      <c r="M208" s="346" t="s">
        <v>90</v>
      </c>
      <c r="N208" s="347" t="s">
        <v>90</v>
      </c>
      <c r="O208" s="348" t="s">
        <v>90</v>
      </c>
      <c r="P208" s="386">
        <f t="shared" si="21"/>
        <v>0</v>
      </c>
      <c r="R208" s="94">
        <v>177</v>
      </c>
      <c r="S208" s="383"/>
      <c r="T208" s="214"/>
      <c r="U208" s="214"/>
      <c r="V208" s="217"/>
      <c r="W208" s="215"/>
      <c r="X208" s="336"/>
      <c r="Y208" s="68" t="str">
        <f>IF(V208="","",VLOOKUP(V208,Aux_Lista!A:K,11,FALSE))</f>
        <v/>
      </c>
      <c r="Z208" s="68" t="str">
        <f>IF(V208="","",VLOOKUP(V208,Aux_Lista!A:L,12,FALSE))</f>
        <v/>
      </c>
      <c r="AA208" s="68" t="str">
        <f>IF(W208="","",VLOOKUP(W208,Aux_Lista!AN:AP,3,FALSE))</f>
        <v/>
      </c>
      <c r="AB208" s="68" t="str">
        <f>IF(W208="","",VLOOKUP(W208,Aux_Lista!AN:AP,2,FALSE))</f>
        <v/>
      </c>
      <c r="AC208" s="69"/>
      <c r="AD208" s="69"/>
      <c r="AE208" s="325">
        <f t="shared" si="15"/>
        <v>0</v>
      </c>
      <c r="AF208" s="540" t="s">
        <v>281</v>
      </c>
      <c r="AG208" s="540"/>
      <c r="AH208" s="337">
        <f>IFERROR(IF(X208="Sem projeto",1.5*AA208,AC208*VLOOKUP(AF208,Aux_Lista!AG:AH,2,FALSE)+AD208)*U208,0)</f>
        <v>0</v>
      </c>
      <c r="AI208" s="343" t="s">
        <v>90</v>
      </c>
      <c r="AJ208" s="343" t="s">
        <v>90</v>
      </c>
      <c r="AK208" s="343" t="s">
        <v>90</v>
      </c>
      <c r="AL208" s="333" t="str">
        <f t="shared" si="16"/>
        <v/>
      </c>
      <c r="AM208" s="334" t="str">
        <f t="shared" si="17"/>
        <v/>
      </c>
      <c r="AN208" s="333" t="str">
        <f t="shared" si="18"/>
        <v/>
      </c>
      <c r="AO208" s="334" t="str">
        <f t="shared" si="19"/>
        <v/>
      </c>
      <c r="AP208" s="44"/>
      <c r="AQ208" s="2"/>
    </row>
    <row r="209" spans="1:43" ht="24.95" customHeight="1" x14ac:dyDescent="0.25">
      <c r="A209" s="2">
        <v>169</v>
      </c>
      <c r="B209" s="349"/>
      <c r="C209" s="350"/>
      <c r="D209" s="351"/>
      <c r="E209" s="351"/>
      <c r="F209" s="336"/>
      <c r="G209" s="327"/>
      <c r="H209" s="327"/>
      <c r="I209" s="325">
        <f t="shared" si="20"/>
        <v>0</v>
      </c>
      <c r="J209" s="540" t="s">
        <v>281</v>
      </c>
      <c r="K209" s="540"/>
      <c r="L209" s="337">
        <f>IFERROR(IF(F209="Sem projeto",VLOOKUP(C209,$B$32:$H$34,7,FALSE)*1.5,G209*VLOOKUP(J209,Aux_Lista!$AG:$AH,2,FALSE)+H209)*E209,0)</f>
        <v>0</v>
      </c>
      <c r="M209" s="346" t="s">
        <v>90</v>
      </c>
      <c r="N209" s="347" t="s">
        <v>90</v>
      </c>
      <c r="O209" s="348" t="s">
        <v>90</v>
      </c>
      <c r="P209" s="386">
        <f t="shared" si="21"/>
        <v>0</v>
      </c>
      <c r="R209" s="94">
        <v>178</v>
      </c>
      <c r="S209" s="383"/>
      <c r="T209" s="214"/>
      <c r="U209" s="214"/>
      <c r="V209" s="217"/>
      <c r="W209" s="215"/>
      <c r="X209" s="336"/>
      <c r="Y209" s="68" t="str">
        <f>IF(V209="","",VLOOKUP(V209,Aux_Lista!A:K,11,FALSE))</f>
        <v/>
      </c>
      <c r="Z209" s="68" t="str">
        <f>IF(V209="","",VLOOKUP(V209,Aux_Lista!A:L,12,FALSE))</f>
        <v/>
      </c>
      <c r="AA209" s="68" t="str">
        <f>IF(W209="","",VLOOKUP(W209,Aux_Lista!AN:AP,3,FALSE))</f>
        <v/>
      </c>
      <c r="AB209" s="68" t="str">
        <f>IF(W209="","",VLOOKUP(W209,Aux_Lista!AN:AP,2,FALSE))</f>
        <v/>
      </c>
      <c r="AC209" s="69"/>
      <c r="AD209" s="69"/>
      <c r="AE209" s="325">
        <f t="shared" si="15"/>
        <v>0</v>
      </c>
      <c r="AF209" s="540" t="s">
        <v>281</v>
      </c>
      <c r="AG209" s="540"/>
      <c r="AH209" s="337">
        <f>IFERROR(IF(X209="Sem projeto",1.5*AA209,AC209*VLOOKUP(AF209,Aux_Lista!AG:AH,2,FALSE)+AD209)*U209,0)</f>
        <v>0</v>
      </c>
      <c r="AI209" s="343" t="s">
        <v>90</v>
      </c>
      <c r="AJ209" s="343" t="s">
        <v>90</v>
      </c>
      <c r="AK209" s="343" t="s">
        <v>90</v>
      </c>
      <c r="AL209" s="333" t="str">
        <f t="shared" si="16"/>
        <v/>
      </c>
      <c r="AM209" s="334" t="str">
        <f t="shared" si="17"/>
        <v/>
      </c>
      <c r="AN209" s="333" t="str">
        <f t="shared" si="18"/>
        <v/>
      </c>
      <c r="AO209" s="334" t="str">
        <f t="shared" si="19"/>
        <v/>
      </c>
      <c r="AP209" s="44"/>
      <c r="AQ209" s="2"/>
    </row>
    <row r="210" spans="1:43" ht="24.95" customHeight="1" x14ac:dyDescent="0.25">
      <c r="A210" s="2">
        <v>170</v>
      </c>
      <c r="B210" s="349"/>
      <c r="C210" s="350"/>
      <c r="D210" s="351"/>
      <c r="E210" s="351"/>
      <c r="F210" s="336"/>
      <c r="G210" s="327"/>
      <c r="H210" s="327"/>
      <c r="I210" s="325">
        <f t="shared" si="20"/>
        <v>0</v>
      </c>
      <c r="J210" s="540" t="s">
        <v>281</v>
      </c>
      <c r="K210" s="540"/>
      <c r="L210" s="337">
        <f>IFERROR(IF(F210="Sem projeto",VLOOKUP(C210,$B$32:$H$34,7,FALSE)*1.5,G210*VLOOKUP(J210,Aux_Lista!$AG:$AH,2,FALSE)+H210)*E210,0)</f>
        <v>0</v>
      </c>
      <c r="M210" s="346" t="s">
        <v>90</v>
      </c>
      <c r="N210" s="347" t="s">
        <v>90</v>
      </c>
      <c r="O210" s="348" t="s">
        <v>90</v>
      </c>
      <c r="P210" s="386">
        <f t="shared" si="21"/>
        <v>0</v>
      </c>
      <c r="R210" s="94">
        <v>179</v>
      </c>
      <c r="S210" s="383"/>
      <c r="T210" s="214"/>
      <c r="U210" s="214"/>
      <c r="V210" s="217"/>
      <c r="W210" s="215"/>
      <c r="X210" s="336"/>
      <c r="Y210" s="68" t="str">
        <f>IF(V210="","",VLOOKUP(V210,Aux_Lista!A:K,11,FALSE))</f>
        <v/>
      </c>
      <c r="Z210" s="68" t="str">
        <f>IF(V210="","",VLOOKUP(V210,Aux_Lista!A:L,12,FALSE))</f>
        <v/>
      </c>
      <c r="AA210" s="68" t="str">
        <f>IF(W210="","",VLOOKUP(W210,Aux_Lista!AN:AP,3,FALSE))</f>
        <v/>
      </c>
      <c r="AB210" s="68" t="str">
        <f>IF(W210="","",VLOOKUP(W210,Aux_Lista!AN:AP,2,FALSE))</f>
        <v/>
      </c>
      <c r="AC210" s="69"/>
      <c r="AD210" s="69"/>
      <c r="AE210" s="325">
        <f t="shared" si="15"/>
        <v>0</v>
      </c>
      <c r="AF210" s="540" t="s">
        <v>281</v>
      </c>
      <c r="AG210" s="540"/>
      <c r="AH210" s="337">
        <f>IFERROR(IF(X210="Sem projeto",1.5*AA210,AC210*VLOOKUP(AF210,Aux_Lista!AG:AH,2,FALSE)+AD210)*U210,0)</f>
        <v>0</v>
      </c>
      <c r="AI210" s="343" t="s">
        <v>90</v>
      </c>
      <c r="AJ210" s="343" t="s">
        <v>90</v>
      </c>
      <c r="AK210" s="343" t="s">
        <v>90</v>
      </c>
      <c r="AL210" s="333" t="str">
        <f t="shared" si="16"/>
        <v/>
      </c>
      <c r="AM210" s="334" t="str">
        <f t="shared" si="17"/>
        <v/>
      </c>
      <c r="AN210" s="333" t="str">
        <f t="shared" si="18"/>
        <v/>
      </c>
      <c r="AO210" s="334" t="str">
        <f t="shared" si="19"/>
        <v/>
      </c>
      <c r="AP210" s="44"/>
      <c r="AQ210" s="2"/>
    </row>
    <row r="211" spans="1:43" ht="24.95" customHeight="1" x14ac:dyDescent="0.25">
      <c r="A211" s="2">
        <v>171</v>
      </c>
      <c r="B211" s="349"/>
      <c r="C211" s="350"/>
      <c r="D211" s="351"/>
      <c r="E211" s="351"/>
      <c r="F211" s="336"/>
      <c r="G211" s="327"/>
      <c r="H211" s="327"/>
      <c r="I211" s="325">
        <f t="shared" si="20"/>
        <v>0</v>
      </c>
      <c r="J211" s="540" t="s">
        <v>281</v>
      </c>
      <c r="K211" s="540"/>
      <c r="L211" s="337">
        <f>IFERROR(IF(F211="Sem projeto",VLOOKUP(C211,$B$32:$H$34,7,FALSE)*1.5,G211*VLOOKUP(J211,Aux_Lista!$AG:$AH,2,FALSE)+H211)*E211,0)</f>
        <v>0</v>
      </c>
      <c r="M211" s="346" t="s">
        <v>90</v>
      </c>
      <c r="N211" s="347" t="s">
        <v>90</v>
      </c>
      <c r="O211" s="348" t="s">
        <v>90</v>
      </c>
      <c r="P211" s="386">
        <f t="shared" si="21"/>
        <v>0</v>
      </c>
      <c r="R211" s="94">
        <v>180</v>
      </c>
      <c r="S211" s="383"/>
      <c r="T211" s="214"/>
      <c r="U211" s="214"/>
      <c r="V211" s="217"/>
      <c r="W211" s="215"/>
      <c r="X211" s="336"/>
      <c r="Y211" s="68" t="str">
        <f>IF(V211="","",VLOOKUP(V211,Aux_Lista!A:K,11,FALSE))</f>
        <v/>
      </c>
      <c r="Z211" s="68" t="str">
        <f>IF(V211="","",VLOOKUP(V211,Aux_Lista!A:L,12,FALSE))</f>
        <v/>
      </c>
      <c r="AA211" s="68" t="str">
        <f>IF(W211="","",VLOOKUP(W211,Aux_Lista!AN:AP,3,FALSE))</f>
        <v/>
      </c>
      <c r="AB211" s="68" t="str">
        <f>IF(W211="","",VLOOKUP(W211,Aux_Lista!AN:AP,2,FALSE))</f>
        <v/>
      </c>
      <c r="AC211" s="69"/>
      <c r="AD211" s="69"/>
      <c r="AE211" s="325">
        <f t="shared" si="15"/>
        <v>0</v>
      </c>
      <c r="AF211" s="540" t="s">
        <v>281</v>
      </c>
      <c r="AG211" s="540"/>
      <c r="AH211" s="337">
        <f>IFERROR(IF(X211="Sem projeto",1.5*AA211,AC211*VLOOKUP(AF211,Aux_Lista!AG:AH,2,FALSE)+AD211)*U211,0)</f>
        <v>0</v>
      </c>
      <c r="AI211" s="343" t="s">
        <v>90</v>
      </c>
      <c r="AJ211" s="343" t="s">
        <v>90</v>
      </c>
      <c r="AK211" s="343" t="s">
        <v>90</v>
      </c>
      <c r="AL211" s="333" t="str">
        <f t="shared" si="16"/>
        <v/>
      </c>
      <c r="AM211" s="334" t="str">
        <f t="shared" si="17"/>
        <v/>
      </c>
      <c r="AN211" s="333" t="str">
        <f t="shared" si="18"/>
        <v/>
      </c>
      <c r="AO211" s="334" t="str">
        <f t="shared" si="19"/>
        <v/>
      </c>
      <c r="AP211" s="44"/>
      <c r="AQ211" s="2"/>
    </row>
    <row r="212" spans="1:43" ht="24.95" customHeight="1" x14ac:dyDescent="0.25">
      <c r="A212" s="2">
        <v>172</v>
      </c>
      <c r="B212" s="349"/>
      <c r="C212" s="350"/>
      <c r="D212" s="351"/>
      <c r="E212" s="351"/>
      <c r="F212" s="336"/>
      <c r="G212" s="327"/>
      <c r="H212" s="327"/>
      <c r="I212" s="325">
        <f t="shared" si="20"/>
        <v>0</v>
      </c>
      <c r="J212" s="540" t="s">
        <v>281</v>
      </c>
      <c r="K212" s="540"/>
      <c r="L212" s="337">
        <f>IFERROR(IF(F212="Sem projeto",VLOOKUP(C212,$B$32:$H$34,7,FALSE)*1.5,G212*VLOOKUP(J212,Aux_Lista!$AG:$AH,2,FALSE)+H212)*E212,0)</f>
        <v>0</v>
      </c>
      <c r="M212" s="346" t="s">
        <v>90</v>
      </c>
      <c r="N212" s="347" t="s">
        <v>90</v>
      </c>
      <c r="O212" s="348" t="s">
        <v>90</v>
      </c>
      <c r="P212" s="386">
        <f t="shared" si="21"/>
        <v>0</v>
      </c>
      <c r="R212" s="94">
        <v>181</v>
      </c>
      <c r="S212" s="383"/>
      <c r="T212" s="214"/>
      <c r="U212" s="214"/>
      <c r="V212" s="217"/>
      <c r="W212" s="215"/>
      <c r="X212" s="336"/>
      <c r="Y212" s="68" t="str">
        <f>IF(V212="","",VLOOKUP(V212,Aux_Lista!A:K,11,FALSE))</f>
        <v/>
      </c>
      <c r="Z212" s="68" t="str">
        <f>IF(V212="","",VLOOKUP(V212,Aux_Lista!A:L,12,FALSE))</f>
        <v/>
      </c>
      <c r="AA212" s="68" t="str">
        <f>IF(W212="","",VLOOKUP(W212,Aux_Lista!AN:AP,3,FALSE))</f>
        <v/>
      </c>
      <c r="AB212" s="68" t="str">
        <f>IF(W212="","",VLOOKUP(W212,Aux_Lista!AN:AP,2,FALSE))</f>
        <v/>
      </c>
      <c r="AC212" s="69"/>
      <c r="AD212" s="69"/>
      <c r="AE212" s="325">
        <f t="shared" si="15"/>
        <v>0</v>
      </c>
      <c r="AF212" s="540" t="s">
        <v>281</v>
      </c>
      <c r="AG212" s="540"/>
      <c r="AH212" s="337">
        <f>IFERROR(IF(X212="Sem projeto",1.5*AA212,AC212*VLOOKUP(AF212,Aux_Lista!AG:AH,2,FALSE)+AD212)*U212,0)</f>
        <v>0</v>
      </c>
      <c r="AI212" s="343" t="s">
        <v>90</v>
      </c>
      <c r="AJ212" s="343" t="s">
        <v>90</v>
      </c>
      <c r="AK212" s="343" t="s">
        <v>90</v>
      </c>
      <c r="AL212" s="333" t="str">
        <f t="shared" si="16"/>
        <v/>
      </c>
      <c r="AM212" s="334" t="str">
        <f t="shared" si="17"/>
        <v/>
      </c>
      <c r="AN212" s="333" t="str">
        <f t="shared" si="18"/>
        <v/>
      </c>
      <c r="AO212" s="334" t="str">
        <f t="shared" si="19"/>
        <v/>
      </c>
      <c r="AP212" s="44"/>
      <c r="AQ212" s="2"/>
    </row>
    <row r="213" spans="1:43" ht="24.95" customHeight="1" x14ac:dyDescent="0.25">
      <c r="A213" s="2">
        <v>173</v>
      </c>
      <c r="B213" s="349"/>
      <c r="C213" s="350"/>
      <c r="D213" s="351"/>
      <c r="E213" s="351"/>
      <c r="F213" s="336"/>
      <c r="G213" s="327"/>
      <c r="H213" s="327"/>
      <c r="I213" s="325">
        <f t="shared" si="20"/>
        <v>0</v>
      </c>
      <c r="J213" s="540" t="s">
        <v>281</v>
      </c>
      <c r="K213" s="540"/>
      <c r="L213" s="337">
        <f>IFERROR(IF(F213="Sem projeto",VLOOKUP(C213,$B$32:$H$34,7,FALSE)*1.5,G213*VLOOKUP(J213,Aux_Lista!$AG:$AH,2,FALSE)+H213)*E213,0)</f>
        <v>0</v>
      </c>
      <c r="M213" s="346" t="s">
        <v>90</v>
      </c>
      <c r="N213" s="347" t="s">
        <v>90</v>
      </c>
      <c r="O213" s="348" t="s">
        <v>90</v>
      </c>
      <c r="P213" s="386">
        <f t="shared" si="21"/>
        <v>0</v>
      </c>
      <c r="R213" s="94">
        <v>182</v>
      </c>
      <c r="S213" s="383"/>
      <c r="T213" s="214"/>
      <c r="U213" s="214"/>
      <c r="V213" s="217"/>
      <c r="W213" s="215"/>
      <c r="X213" s="336"/>
      <c r="Y213" s="68" t="str">
        <f>IF(V213="","",VLOOKUP(V213,Aux_Lista!A:K,11,FALSE))</f>
        <v/>
      </c>
      <c r="Z213" s="68" t="str">
        <f>IF(V213="","",VLOOKUP(V213,Aux_Lista!A:L,12,FALSE))</f>
        <v/>
      </c>
      <c r="AA213" s="68" t="str">
        <f>IF(W213="","",VLOOKUP(W213,Aux_Lista!AN:AP,3,FALSE))</f>
        <v/>
      </c>
      <c r="AB213" s="68" t="str">
        <f>IF(W213="","",VLOOKUP(W213,Aux_Lista!AN:AP,2,FALSE))</f>
        <v/>
      </c>
      <c r="AC213" s="69"/>
      <c r="AD213" s="69"/>
      <c r="AE213" s="325">
        <f t="shared" si="15"/>
        <v>0</v>
      </c>
      <c r="AF213" s="540" t="s">
        <v>281</v>
      </c>
      <c r="AG213" s="540"/>
      <c r="AH213" s="337">
        <f>IFERROR(IF(X213="Sem projeto",1.5*AA213,AC213*VLOOKUP(AF213,Aux_Lista!AG:AH,2,FALSE)+AD213)*U213,0)</f>
        <v>0</v>
      </c>
      <c r="AI213" s="343" t="s">
        <v>90</v>
      </c>
      <c r="AJ213" s="343" t="s">
        <v>90</v>
      </c>
      <c r="AK213" s="343" t="s">
        <v>90</v>
      </c>
      <c r="AL213" s="333" t="str">
        <f t="shared" si="16"/>
        <v/>
      </c>
      <c r="AM213" s="334" t="str">
        <f t="shared" si="17"/>
        <v/>
      </c>
      <c r="AN213" s="333" t="str">
        <f t="shared" si="18"/>
        <v/>
      </c>
      <c r="AO213" s="334" t="str">
        <f t="shared" si="19"/>
        <v/>
      </c>
      <c r="AP213" s="44"/>
      <c r="AQ213" s="2"/>
    </row>
    <row r="214" spans="1:43" ht="24.95" customHeight="1" x14ac:dyDescent="0.25">
      <c r="A214" s="2">
        <v>174</v>
      </c>
      <c r="B214" s="349"/>
      <c r="C214" s="350"/>
      <c r="D214" s="351"/>
      <c r="E214" s="351"/>
      <c r="F214" s="336"/>
      <c r="G214" s="327"/>
      <c r="H214" s="327"/>
      <c r="I214" s="325">
        <f t="shared" si="20"/>
        <v>0</v>
      </c>
      <c r="J214" s="540" t="s">
        <v>281</v>
      </c>
      <c r="K214" s="540"/>
      <c r="L214" s="337">
        <f>IFERROR(IF(F214="Sem projeto",VLOOKUP(C214,$B$32:$H$34,7,FALSE)*1.5,G214*VLOOKUP(J214,Aux_Lista!$AG:$AH,2,FALSE)+H214)*E214,0)</f>
        <v>0</v>
      </c>
      <c r="M214" s="346" t="s">
        <v>90</v>
      </c>
      <c r="N214" s="347" t="s">
        <v>90</v>
      </c>
      <c r="O214" s="348" t="s">
        <v>90</v>
      </c>
      <c r="P214" s="386">
        <f t="shared" si="21"/>
        <v>0</v>
      </c>
      <c r="R214" s="94">
        <v>183</v>
      </c>
      <c r="S214" s="383"/>
      <c r="T214" s="214"/>
      <c r="U214" s="214"/>
      <c r="V214" s="217"/>
      <c r="W214" s="215"/>
      <c r="X214" s="336"/>
      <c r="Y214" s="68" t="str">
        <f>IF(V214="","",VLOOKUP(V214,Aux_Lista!A:K,11,FALSE))</f>
        <v/>
      </c>
      <c r="Z214" s="68" t="str">
        <f>IF(V214="","",VLOOKUP(V214,Aux_Lista!A:L,12,FALSE))</f>
        <v/>
      </c>
      <c r="AA214" s="68" t="str">
        <f>IF(W214="","",VLOOKUP(W214,Aux_Lista!AN:AP,3,FALSE))</f>
        <v/>
      </c>
      <c r="AB214" s="68" t="str">
        <f>IF(W214="","",VLOOKUP(W214,Aux_Lista!AN:AP,2,FALSE))</f>
        <v/>
      </c>
      <c r="AC214" s="69"/>
      <c r="AD214" s="69"/>
      <c r="AE214" s="325">
        <f t="shared" si="15"/>
        <v>0</v>
      </c>
      <c r="AF214" s="540" t="s">
        <v>281</v>
      </c>
      <c r="AG214" s="540"/>
      <c r="AH214" s="337">
        <f>IFERROR(IF(X214="Sem projeto",1.5*AA214,AC214*VLOOKUP(AF214,Aux_Lista!AG:AH,2,FALSE)+AD214)*U214,0)</f>
        <v>0</v>
      </c>
      <c r="AI214" s="343" t="s">
        <v>90</v>
      </c>
      <c r="AJ214" s="343" t="s">
        <v>90</v>
      </c>
      <c r="AK214" s="343" t="s">
        <v>90</v>
      </c>
      <c r="AL214" s="333" t="str">
        <f t="shared" si="16"/>
        <v/>
      </c>
      <c r="AM214" s="334" t="str">
        <f t="shared" si="17"/>
        <v/>
      </c>
      <c r="AN214" s="333" t="str">
        <f t="shared" si="18"/>
        <v/>
      </c>
      <c r="AO214" s="334" t="str">
        <f t="shared" si="19"/>
        <v/>
      </c>
      <c r="AP214" s="44"/>
      <c r="AQ214" s="2"/>
    </row>
    <row r="215" spans="1:43" ht="24.95" customHeight="1" x14ac:dyDescent="0.25">
      <c r="A215" s="2">
        <v>175</v>
      </c>
      <c r="B215" s="349"/>
      <c r="C215" s="350"/>
      <c r="D215" s="351"/>
      <c r="E215" s="351"/>
      <c r="F215" s="336"/>
      <c r="G215" s="327"/>
      <c r="H215" s="327"/>
      <c r="I215" s="325">
        <f t="shared" si="20"/>
        <v>0</v>
      </c>
      <c r="J215" s="540" t="s">
        <v>281</v>
      </c>
      <c r="K215" s="540"/>
      <c r="L215" s="337">
        <f>IFERROR(IF(F215="Sem projeto",VLOOKUP(C215,$B$32:$H$34,7,FALSE)*1.5,G215*VLOOKUP(J215,Aux_Lista!$AG:$AH,2,FALSE)+H215)*E215,0)</f>
        <v>0</v>
      </c>
      <c r="M215" s="346" t="s">
        <v>90</v>
      </c>
      <c r="N215" s="347" t="s">
        <v>90</v>
      </c>
      <c r="O215" s="348" t="s">
        <v>90</v>
      </c>
      <c r="P215" s="386">
        <f t="shared" si="21"/>
        <v>0</v>
      </c>
      <c r="R215" s="94">
        <v>184</v>
      </c>
      <c r="S215" s="383"/>
      <c r="T215" s="214"/>
      <c r="U215" s="214"/>
      <c r="V215" s="217"/>
      <c r="W215" s="215"/>
      <c r="X215" s="336"/>
      <c r="Y215" s="68" t="str">
        <f>IF(V215="","",VLOOKUP(V215,Aux_Lista!A:K,11,FALSE))</f>
        <v/>
      </c>
      <c r="Z215" s="68" t="str">
        <f>IF(V215="","",VLOOKUP(V215,Aux_Lista!A:L,12,FALSE))</f>
        <v/>
      </c>
      <c r="AA215" s="68" t="str">
        <f>IF(W215="","",VLOOKUP(W215,Aux_Lista!AN:AP,3,FALSE))</f>
        <v/>
      </c>
      <c r="AB215" s="68" t="str">
        <f>IF(W215="","",VLOOKUP(W215,Aux_Lista!AN:AP,2,FALSE))</f>
        <v/>
      </c>
      <c r="AC215" s="69"/>
      <c r="AD215" s="69"/>
      <c r="AE215" s="325">
        <f t="shared" si="15"/>
        <v>0</v>
      </c>
      <c r="AF215" s="540" t="s">
        <v>281</v>
      </c>
      <c r="AG215" s="540"/>
      <c r="AH215" s="337">
        <f>IFERROR(IF(X215="Sem projeto",1.5*AA215,AC215*VLOOKUP(AF215,Aux_Lista!AG:AH,2,FALSE)+AD215)*U215,0)</f>
        <v>0</v>
      </c>
      <c r="AI215" s="343" t="s">
        <v>90</v>
      </c>
      <c r="AJ215" s="343" t="s">
        <v>90</v>
      </c>
      <c r="AK215" s="343" t="s">
        <v>90</v>
      </c>
      <c r="AL215" s="333" t="str">
        <f t="shared" si="16"/>
        <v/>
      </c>
      <c r="AM215" s="334" t="str">
        <f t="shared" si="17"/>
        <v/>
      </c>
      <c r="AN215" s="333" t="str">
        <f t="shared" si="18"/>
        <v/>
      </c>
      <c r="AO215" s="334" t="str">
        <f t="shared" si="19"/>
        <v/>
      </c>
      <c r="AP215" s="44"/>
      <c r="AQ215" s="2"/>
    </row>
    <row r="216" spans="1:43" ht="24.95" customHeight="1" x14ac:dyDescent="0.25">
      <c r="A216" s="2">
        <v>176</v>
      </c>
      <c r="B216" s="349"/>
      <c r="C216" s="350"/>
      <c r="D216" s="351"/>
      <c r="E216" s="351"/>
      <c r="F216" s="336"/>
      <c r="G216" s="327"/>
      <c r="H216" s="327"/>
      <c r="I216" s="325">
        <f t="shared" si="20"/>
        <v>0</v>
      </c>
      <c r="J216" s="540" t="s">
        <v>281</v>
      </c>
      <c r="K216" s="540"/>
      <c r="L216" s="337">
        <f>IFERROR(IF(F216="Sem projeto",VLOOKUP(C216,$B$32:$H$34,7,FALSE)*1.5,G216*VLOOKUP(J216,Aux_Lista!$AG:$AH,2,FALSE)+H216)*E216,0)</f>
        <v>0</v>
      </c>
      <c r="M216" s="346" t="s">
        <v>90</v>
      </c>
      <c r="N216" s="347" t="s">
        <v>90</v>
      </c>
      <c r="O216" s="348" t="s">
        <v>90</v>
      </c>
      <c r="P216" s="386">
        <f t="shared" si="21"/>
        <v>0</v>
      </c>
      <c r="R216" s="94">
        <v>185</v>
      </c>
      <c r="S216" s="383"/>
      <c r="T216" s="214"/>
      <c r="U216" s="214"/>
      <c r="V216" s="217"/>
      <c r="W216" s="215"/>
      <c r="X216" s="336"/>
      <c r="Y216" s="68" t="str">
        <f>IF(V216="","",VLOOKUP(V216,Aux_Lista!A:K,11,FALSE))</f>
        <v/>
      </c>
      <c r="Z216" s="68" t="str">
        <f>IF(V216="","",VLOOKUP(V216,Aux_Lista!A:L,12,FALSE))</f>
        <v/>
      </c>
      <c r="AA216" s="68" t="str">
        <f>IF(W216="","",VLOOKUP(W216,Aux_Lista!AN:AP,3,FALSE))</f>
        <v/>
      </c>
      <c r="AB216" s="68" t="str">
        <f>IF(W216="","",VLOOKUP(W216,Aux_Lista!AN:AP,2,FALSE))</f>
        <v/>
      </c>
      <c r="AC216" s="69"/>
      <c r="AD216" s="69"/>
      <c r="AE216" s="325">
        <f t="shared" si="15"/>
        <v>0</v>
      </c>
      <c r="AF216" s="540" t="s">
        <v>281</v>
      </c>
      <c r="AG216" s="540"/>
      <c r="AH216" s="337">
        <f>IFERROR(IF(X216="Sem projeto",1.5*AA216,AC216*VLOOKUP(AF216,Aux_Lista!AG:AH,2,FALSE)+AD216)*U216,0)</f>
        <v>0</v>
      </c>
      <c r="AI216" s="343" t="s">
        <v>90</v>
      </c>
      <c r="AJ216" s="343" t="s">
        <v>90</v>
      </c>
      <c r="AK216" s="343" t="s">
        <v>90</v>
      </c>
      <c r="AL216" s="333" t="str">
        <f t="shared" si="16"/>
        <v/>
      </c>
      <c r="AM216" s="334" t="str">
        <f t="shared" si="17"/>
        <v/>
      </c>
      <c r="AN216" s="333" t="str">
        <f t="shared" si="18"/>
        <v/>
      </c>
      <c r="AO216" s="334" t="str">
        <f t="shared" si="19"/>
        <v/>
      </c>
      <c r="AP216" s="44"/>
      <c r="AQ216" s="2"/>
    </row>
    <row r="217" spans="1:43" ht="24.95" customHeight="1" x14ac:dyDescent="0.25">
      <c r="A217" s="2">
        <v>177</v>
      </c>
      <c r="B217" s="349"/>
      <c r="C217" s="350"/>
      <c r="D217" s="351"/>
      <c r="E217" s="351"/>
      <c r="F217" s="336"/>
      <c r="G217" s="327"/>
      <c r="H217" s="327"/>
      <c r="I217" s="325">
        <f t="shared" si="20"/>
        <v>0</v>
      </c>
      <c r="J217" s="540" t="s">
        <v>281</v>
      </c>
      <c r="K217" s="540"/>
      <c r="L217" s="337">
        <f>IFERROR(IF(F217="Sem projeto",VLOOKUP(C217,$B$32:$H$34,7,FALSE)*1.5,G217*VLOOKUP(J217,Aux_Lista!$AG:$AH,2,FALSE)+H217)*E217,0)</f>
        <v>0</v>
      </c>
      <c r="M217" s="346" t="s">
        <v>90</v>
      </c>
      <c r="N217" s="347" t="s">
        <v>90</v>
      </c>
      <c r="O217" s="348" t="s">
        <v>90</v>
      </c>
      <c r="P217" s="386">
        <f t="shared" si="21"/>
        <v>0</v>
      </c>
      <c r="R217" s="94">
        <v>186</v>
      </c>
      <c r="S217" s="383"/>
      <c r="T217" s="214"/>
      <c r="U217" s="214"/>
      <c r="V217" s="217"/>
      <c r="W217" s="215"/>
      <c r="X217" s="336"/>
      <c r="Y217" s="68" t="str">
        <f>IF(V217="","",VLOOKUP(V217,Aux_Lista!A:K,11,FALSE))</f>
        <v/>
      </c>
      <c r="Z217" s="68" t="str">
        <f>IF(V217="","",VLOOKUP(V217,Aux_Lista!A:L,12,FALSE))</f>
        <v/>
      </c>
      <c r="AA217" s="68" t="str">
        <f>IF(W217="","",VLOOKUP(W217,Aux_Lista!AN:AP,3,FALSE))</f>
        <v/>
      </c>
      <c r="AB217" s="68" t="str">
        <f>IF(W217="","",VLOOKUP(W217,Aux_Lista!AN:AP,2,FALSE))</f>
        <v/>
      </c>
      <c r="AC217" s="69"/>
      <c r="AD217" s="69"/>
      <c r="AE217" s="325">
        <f t="shared" si="15"/>
        <v>0</v>
      </c>
      <c r="AF217" s="540" t="s">
        <v>281</v>
      </c>
      <c r="AG217" s="540"/>
      <c r="AH217" s="337">
        <f>IFERROR(IF(X217="Sem projeto",1.5*AA217,AC217*VLOOKUP(AF217,Aux_Lista!AG:AH,2,FALSE)+AD217)*U217,0)</f>
        <v>0</v>
      </c>
      <c r="AI217" s="343" t="s">
        <v>90</v>
      </c>
      <c r="AJ217" s="343" t="s">
        <v>90</v>
      </c>
      <c r="AK217" s="343" t="s">
        <v>90</v>
      </c>
      <c r="AL217" s="333" t="str">
        <f t="shared" si="16"/>
        <v/>
      </c>
      <c r="AM217" s="334" t="str">
        <f t="shared" si="17"/>
        <v/>
      </c>
      <c r="AN217" s="333" t="str">
        <f t="shared" si="18"/>
        <v/>
      </c>
      <c r="AO217" s="334" t="str">
        <f t="shared" si="19"/>
        <v/>
      </c>
      <c r="AP217" s="44"/>
      <c r="AQ217" s="2"/>
    </row>
    <row r="218" spans="1:43" ht="24.95" customHeight="1" x14ac:dyDescent="0.25">
      <c r="A218" s="2">
        <v>178</v>
      </c>
      <c r="B218" s="349"/>
      <c r="C218" s="350"/>
      <c r="D218" s="351"/>
      <c r="E218" s="351"/>
      <c r="F218" s="336"/>
      <c r="G218" s="327"/>
      <c r="H218" s="327"/>
      <c r="I218" s="325">
        <f t="shared" si="20"/>
        <v>0</v>
      </c>
      <c r="J218" s="540" t="s">
        <v>281</v>
      </c>
      <c r="K218" s="540"/>
      <c r="L218" s="337">
        <f>IFERROR(IF(F218="Sem projeto",VLOOKUP(C218,$B$32:$H$34,7,FALSE)*1.5,G218*VLOOKUP(J218,Aux_Lista!$AG:$AH,2,FALSE)+H218)*E218,0)</f>
        <v>0</v>
      </c>
      <c r="M218" s="346" t="s">
        <v>90</v>
      </c>
      <c r="N218" s="347" t="s">
        <v>90</v>
      </c>
      <c r="O218" s="348" t="s">
        <v>90</v>
      </c>
      <c r="P218" s="386">
        <f t="shared" si="21"/>
        <v>0</v>
      </c>
      <c r="R218" s="94">
        <v>187</v>
      </c>
      <c r="S218" s="383"/>
      <c r="T218" s="214"/>
      <c r="U218" s="214"/>
      <c r="V218" s="217"/>
      <c r="W218" s="215"/>
      <c r="X218" s="336"/>
      <c r="Y218" s="68" t="str">
        <f>IF(V218="","",VLOOKUP(V218,Aux_Lista!A:K,11,FALSE))</f>
        <v/>
      </c>
      <c r="Z218" s="68" t="str">
        <f>IF(V218="","",VLOOKUP(V218,Aux_Lista!A:L,12,FALSE))</f>
        <v/>
      </c>
      <c r="AA218" s="68" t="str">
        <f>IF(W218="","",VLOOKUP(W218,Aux_Lista!AN:AP,3,FALSE))</f>
        <v/>
      </c>
      <c r="AB218" s="68" t="str">
        <f>IF(W218="","",VLOOKUP(W218,Aux_Lista!AN:AP,2,FALSE))</f>
        <v/>
      </c>
      <c r="AC218" s="69"/>
      <c r="AD218" s="69"/>
      <c r="AE218" s="325">
        <f t="shared" si="15"/>
        <v>0</v>
      </c>
      <c r="AF218" s="540" t="s">
        <v>281</v>
      </c>
      <c r="AG218" s="540"/>
      <c r="AH218" s="337">
        <f>IFERROR(IF(X218="Sem projeto",1.5*AA218,AC218*VLOOKUP(AF218,Aux_Lista!AG:AH,2,FALSE)+AD218)*U218,0)</f>
        <v>0</v>
      </c>
      <c r="AI218" s="343" t="s">
        <v>90</v>
      </c>
      <c r="AJ218" s="343" t="s">
        <v>90</v>
      </c>
      <c r="AK218" s="343" t="s">
        <v>90</v>
      </c>
      <c r="AL218" s="333" t="str">
        <f t="shared" si="16"/>
        <v/>
      </c>
      <c r="AM218" s="334" t="str">
        <f t="shared" si="17"/>
        <v/>
      </c>
      <c r="AN218" s="333" t="str">
        <f t="shared" si="18"/>
        <v/>
      </c>
      <c r="AO218" s="334" t="str">
        <f t="shared" si="19"/>
        <v/>
      </c>
      <c r="AP218" s="44"/>
      <c r="AQ218" s="2"/>
    </row>
    <row r="219" spans="1:43" ht="24.95" customHeight="1" x14ac:dyDescent="0.25">
      <c r="A219" s="2">
        <v>179</v>
      </c>
      <c r="B219" s="349"/>
      <c r="C219" s="350"/>
      <c r="D219" s="351"/>
      <c r="E219" s="351"/>
      <c r="F219" s="336"/>
      <c r="G219" s="327"/>
      <c r="H219" s="327"/>
      <c r="I219" s="325">
        <f t="shared" si="20"/>
        <v>0</v>
      </c>
      <c r="J219" s="540" t="s">
        <v>281</v>
      </c>
      <c r="K219" s="540"/>
      <c r="L219" s="337">
        <f>IFERROR(IF(F219="Sem projeto",VLOOKUP(C219,$B$32:$H$34,7,FALSE)*1.5,G219*VLOOKUP(J219,Aux_Lista!$AG:$AH,2,FALSE)+H219)*E219,0)</f>
        <v>0</v>
      </c>
      <c r="M219" s="346" t="s">
        <v>90</v>
      </c>
      <c r="N219" s="347" t="s">
        <v>90</v>
      </c>
      <c r="O219" s="348" t="s">
        <v>90</v>
      </c>
      <c r="P219" s="386">
        <f t="shared" si="21"/>
        <v>0</v>
      </c>
      <c r="R219" s="94">
        <v>188</v>
      </c>
      <c r="S219" s="383"/>
      <c r="T219" s="214"/>
      <c r="U219" s="214"/>
      <c r="V219" s="217"/>
      <c r="W219" s="215"/>
      <c r="X219" s="336"/>
      <c r="Y219" s="68" t="str">
        <f>IF(V219="","",VLOOKUP(V219,Aux_Lista!A:K,11,FALSE))</f>
        <v/>
      </c>
      <c r="Z219" s="68" t="str">
        <f>IF(V219="","",VLOOKUP(V219,Aux_Lista!A:L,12,FALSE))</f>
        <v/>
      </c>
      <c r="AA219" s="68" t="str">
        <f>IF(W219="","",VLOOKUP(W219,Aux_Lista!AN:AP,3,FALSE))</f>
        <v/>
      </c>
      <c r="AB219" s="68" t="str">
        <f>IF(W219="","",VLOOKUP(W219,Aux_Lista!AN:AP,2,FALSE))</f>
        <v/>
      </c>
      <c r="AC219" s="69"/>
      <c r="AD219" s="69"/>
      <c r="AE219" s="325">
        <f t="shared" si="15"/>
        <v>0</v>
      </c>
      <c r="AF219" s="540" t="s">
        <v>281</v>
      </c>
      <c r="AG219" s="540"/>
      <c r="AH219" s="337">
        <f>IFERROR(IF(X219="Sem projeto",1.5*AA219,AC219*VLOOKUP(AF219,Aux_Lista!AG:AH,2,FALSE)+AD219)*U219,0)</f>
        <v>0</v>
      </c>
      <c r="AI219" s="343" t="s">
        <v>90</v>
      </c>
      <c r="AJ219" s="343" t="s">
        <v>90</v>
      </c>
      <c r="AK219" s="343" t="s">
        <v>90</v>
      </c>
      <c r="AL219" s="333" t="str">
        <f t="shared" si="16"/>
        <v/>
      </c>
      <c r="AM219" s="334" t="str">
        <f t="shared" si="17"/>
        <v/>
      </c>
      <c r="AN219" s="333" t="str">
        <f t="shared" si="18"/>
        <v/>
      </c>
      <c r="AO219" s="334" t="str">
        <f t="shared" si="19"/>
        <v/>
      </c>
      <c r="AP219" s="44"/>
      <c r="AQ219" s="2"/>
    </row>
    <row r="220" spans="1:43" ht="24.95" customHeight="1" x14ac:dyDescent="0.25">
      <c r="A220" s="2">
        <v>180</v>
      </c>
      <c r="B220" s="349"/>
      <c r="C220" s="350"/>
      <c r="D220" s="351"/>
      <c r="E220" s="351"/>
      <c r="F220" s="336"/>
      <c r="G220" s="327"/>
      <c r="H220" s="327"/>
      <c r="I220" s="325">
        <f t="shared" si="20"/>
        <v>0</v>
      </c>
      <c r="J220" s="540" t="s">
        <v>281</v>
      </c>
      <c r="K220" s="540"/>
      <c r="L220" s="337">
        <f>IFERROR(IF(F220="Sem projeto",VLOOKUP(C220,$B$32:$H$34,7,FALSE)*1.5,G220*VLOOKUP(J220,Aux_Lista!$AG:$AH,2,FALSE)+H220)*E220,0)</f>
        <v>0</v>
      </c>
      <c r="M220" s="346" t="s">
        <v>90</v>
      </c>
      <c r="N220" s="347" t="s">
        <v>90</v>
      </c>
      <c r="O220" s="348" t="s">
        <v>90</v>
      </c>
      <c r="P220" s="386">
        <f t="shared" si="21"/>
        <v>0</v>
      </c>
      <c r="R220" s="94">
        <v>189</v>
      </c>
      <c r="S220" s="383"/>
      <c r="T220" s="214"/>
      <c r="U220" s="214"/>
      <c r="V220" s="217"/>
      <c r="W220" s="215"/>
      <c r="X220" s="336"/>
      <c r="Y220" s="68" t="str">
        <f>IF(V220="","",VLOOKUP(V220,Aux_Lista!A:K,11,FALSE))</f>
        <v/>
      </c>
      <c r="Z220" s="68" t="str">
        <f>IF(V220="","",VLOOKUP(V220,Aux_Lista!A:L,12,FALSE))</f>
        <v/>
      </c>
      <c r="AA220" s="68" t="str">
        <f>IF(W220="","",VLOOKUP(W220,Aux_Lista!AN:AP,3,FALSE))</f>
        <v/>
      </c>
      <c r="AB220" s="68" t="str">
        <f>IF(W220="","",VLOOKUP(W220,Aux_Lista!AN:AP,2,FALSE))</f>
        <v/>
      </c>
      <c r="AC220" s="69"/>
      <c r="AD220" s="69"/>
      <c r="AE220" s="325">
        <f t="shared" si="15"/>
        <v>0</v>
      </c>
      <c r="AF220" s="540" t="s">
        <v>281</v>
      </c>
      <c r="AG220" s="540"/>
      <c r="AH220" s="337">
        <f>IFERROR(IF(X220="Sem projeto",1.5*AA220,AC220*VLOOKUP(AF220,Aux_Lista!AG:AH,2,FALSE)+AD220)*U220,0)</f>
        <v>0</v>
      </c>
      <c r="AI220" s="343" t="s">
        <v>90</v>
      </c>
      <c r="AJ220" s="343" t="s">
        <v>90</v>
      </c>
      <c r="AK220" s="343" t="s">
        <v>90</v>
      </c>
      <c r="AL220" s="333" t="str">
        <f t="shared" si="16"/>
        <v/>
      </c>
      <c r="AM220" s="334" t="str">
        <f t="shared" si="17"/>
        <v/>
      </c>
      <c r="AN220" s="333" t="str">
        <f t="shared" si="18"/>
        <v/>
      </c>
      <c r="AO220" s="334" t="str">
        <f t="shared" si="19"/>
        <v/>
      </c>
      <c r="AP220" s="44"/>
      <c r="AQ220" s="2"/>
    </row>
    <row r="221" spans="1:43" ht="24.95" customHeight="1" x14ac:dyDescent="0.25">
      <c r="A221" s="2">
        <v>181</v>
      </c>
      <c r="B221" s="349"/>
      <c r="C221" s="350"/>
      <c r="D221" s="351"/>
      <c r="E221" s="351"/>
      <c r="F221" s="336"/>
      <c r="G221" s="327"/>
      <c r="H221" s="327"/>
      <c r="I221" s="325">
        <f t="shared" si="20"/>
        <v>0</v>
      </c>
      <c r="J221" s="540" t="s">
        <v>281</v>
      </c>
      <c r="K221" s="540"/>
      <c r="L221" s="337">
        <f>IFERROR(IF(F221="Sem projeto",VLOOKUP(C221,$B$32:$H$34,7,FALSE)*1.5,G221*VLOOKUP(J221,Aux_Lista!$AG:$AH,2,FALSE)+H221)*E221,0)</f>
        <v>0</v>
      </c>
      <c r="M221" s="346" t="s">
        <v>90</v>
      </c>
      <c r="N221" s="347" t="s">
        <v>90</v>
      </c>
      <c r="O221" s="348" t="s">
        <v>90</v>
      </c>
      <c r="P221" s="386">
        <f t="shared" si="21"/>
        <v>0</v>
      </c>
      <c r="R221" s="94">
        <v>190</v>
      </c>
      <c r="S221" s="383"/>
      <c r="T221" s="214"/>
      <c r="U221" s="214"/>
      <c r="V221" s="217"/>
      <c r="W221" s="215"/>
      <c r="X221" s="336"/>
      <c r="Y221" s="68" t="str">
        <f>IF(V221="","",VLOOKUP(V221,Aux_Lista!A:K,11,FALSE))</f>
        <v/>
      </c>
      <c r="Z221" s="68" t="str">
        <f>IF(V221="","",VLOOKUP(V221,Aux_Lista!A:L,12,FALSE))</f>
        <v/>
      </c>
      <c r="AA221" s="68" t="str">
        <f>IF(W221="","",VLOOKUP(W221,Aux_Lista!AN:AP,3,FALSE))</f>
        <v/>
      </c>
      <c r="AB221" s="68" t="str">
        <f>IF(W221="","",VLOOKUP(W221,Aux_Lista!AN:AP,2,FALSE))</f>
        <v/>
      </c>
      <c r="AC221" s="69"/>
      <c r="AD221" s="69"/>
      <c r="AE221" s="325">
        <f t="shared" si="15"/>
        <v>0</v>
      </c>
      <c r="AF221" s="540" t="s">
        <v>281</v>
      </c>
      <c r="AG221" s="540"/>
      <c r="AH221" s="337">
        <f>IFERROR(IF(X221="Sem projeto",1.5*AA221,AC221*VLOOKUP(AF221,Aux_Lista!AG:AH,2,FALSE)+AD221)*U221,0)</f>
        <v>0</v>
      </c>
      <c r="AI221" s="343" t="s">
        <v>90</v>
      </c>
      <c r="AJ221" s="343" t="s">
        <v>90</v>
      </c>
      <c r="AK221" s="343" t="s">
        <v>90</v>
      </c>
      <c r="AL221" s="333" t="str">
        <f t="shared" si="16"/>
        <v/>
      </c>
      <c r="AM221" s="334" t="str">
        <f t="shared" si="17"/>
        <v/>
      </c>
      <c r="AN221" s="333" t="str">
        <f t="shared" si="18"/>
        <v/>
      </c>
      <c r="AO221" s="334" t="str">
        <f t="shared" si="19"/>
        <v/>
      </c>
      <c r="AP221" s="44"/>
      <c r="AQ221" s="2"/>
    </row>
    <row r="222" spans="1:43" ht="24.95" customHeight="1" x14ac:dyDescent="0.25">
      <c r="A222" s="2">
        <v>182</v>
      </c>
      <c r="B222" s="349"/>
      <c r="C222" s="350"/>
      <c r="D222" s="351"/>
      <c r="E222" s="351"/>
      <c r="F222" s="336"/>
      <c r="G222" s="327"/>
      <c r="H222" s="327"/>
      <c r="I222" s="325">
        <f t="shared" si="20"/>
        <v>0</v>
      </c>
      <c r="J222" s="540" t="s">
        <v>281</v>
      </c>
      <c r="K222" s="540"/>
      <c r="L222" s="337">
        <f>IFERROR(IF(F222="Sem projeto",VLOOKUP(C222,$B$32:$H$34,7,FALSE)*1.5,G222*VLOOKUP(J222,Aux_Lista!$AG:$AH,2,FALSE)+H222)*E222,0)</f>
        <v>0</v>
      </c>
      <c r="M222" s="346" t="s">
        <v>90</v>
      </c>
      <c r="N222" s="347" t="s">
        <v>90</v>
      </c>
      <c r="O222" s="348" t="s">
        <v>90</v>
      </c>
      <c r="P222" s="386">
        <f t="shared" si="21"/>
        <v>0</v>
      </c>
      <c r="R222" s="94">
        <v>191</v>
      </c>
      <c r="S222" s="383"/>
      <c r="T222" s="214"/>
      <c r="U222" s="214"/>
      <c r="V222" s="217"/>
      <c r="W222" s="215"/>
      <c r="X222" s="336"/>
      <c r="Y222" s="68" t="str">
        <f>IF(V222="","",VLOOKUP(V222,Aux_Lista!A:K,11,FALSE))</f>
        <v/>
      </c>
      <c r="Z222" s="68" t="str">
        <f>IF(V222="","",VLOOKUP(V222,Aux_Lista!A:L,12,FALSE))</f>
        <v/>
      </c>
      <c r="AA222" s="68" t="str">
        <f>IF(W222="","",VLOOKUP(W222,Aux_Lista!AN:AP,3,FALSE))</f>
        <v/>
      </c>
      <c r="AB222" s="68" t="str">
        <f>IF(W222="","",VLOOKUP(W222,Aux_Lista!AN:AP,2,FALSE))</f>
        <v/>
      </c>
      <c r="AC222" s="69"/>
      <c r="AD222" s="69"/>
      <c r="AE222" s="325">
        <f t="shared" si="15"/>
        <v>0</v>
      </c>
      <c r="AF222" s="540" t="s">
        <v>281</v>
      </c>
      <c r="AG222" s="540"/>
      <c r="AH222" s="337">
        <f>IFERROR(IF(X222="Sem projeto",1.5*AA222,AC222*VLOOKUP(AF222,Aux_Lista!AG:AH,2,FALSE)+AD222)*U222,0)</f>
        <v>0</v>
      </c>
      <c r="AI222" s="343" t="s">
        <v>90</v>
      </c>
      <c r="AJ222" s="343" t="s">
        <v>90</v>
      </c>
      <c r="AK222" s="343" t="s">
        <v>90</v>
      </c>
      <c r="AL222" s="333" t="str">
        <f t="shared" si="16"/>
        <v/>
      </c>
      <c r="AM222" s="334" t="str">
        <f t="shared" si="17"/>
        <v/>
      </c>
      <c r="AN222" s="333" t="str">
        <f t="shared" si="18"/>
        <v/>
      </c>
      <c r="AO222" s="334" t="str">
        <f t="shared" si="19"/>
        <v/>
      </c>
      <c r="AP222" s="44"/>
      <c r="AQ222" s="2"/>
    </row>
    <row r="223" spans="1:43" ht="24.95" customHeight="1" x14ac:dyDescent="0.25">
      <c r="A223" s="2">
        <v>183</v>
      </c>
      <c r="B223" s="349"/>
      <c r="C223" s="350"/>
      <c r="D223" s="351"/>
      <c r="E223" s="351"/>
      <c r="F223" s="336"/>
      <c r="G223" s="327"/>
      <c r="H223" s="327"/>
      <c r="I223" s="325">
        <f t="shared" si="20"/>
        <v>0</v>
      </c>
      <c r="J223" s="540" t="s">
        <v>281</v>
      </c>
      <c r="K223" s="540"/>
      <c r="L223" s="337">
        <f>IFERROR(IF(F223="Sem projeto",VLOOKUP(C223,$B$32:$H$34,7,FALSE)*1.5,G223*VLOOKUP(J223,Aux_Lista!$AG:$AH,2,FALSE)+H223)*E223,0)</f>
        <v>0</v>
      </c>
      <c r="M223" s="346" t="s">
        <v>90</v>
      </c>
      <c r="N223" s="347" t="s">
        <v>90</v>
      </c>
      <c r="O223" s="348" t="s">
        <v>90</v>
      </c>
      <c r="P223" s="386">
        <f t="shared" si="21"/>
        <v>0</v>
      </c>
      <c r="R223" s="94">
        <v>192</v>
      </c>
      <c r="S223" s="383"/>
      <c r="T223" s="214"/>
      <c r="U223" s="214"/>
      <c r="V223" s="217"/>
      <c r="W223" s="215"/>
      <c r="X223" s="336"/>
      <c r="Y223" s="68" t="str">
        <f>IF(V223="","",VLOOKUP(V223,Aux_Lista!A:K,11,FALSE))</f>
        <v/>
      </c>
      <c r="Z223" s="68" t="str">
        <f>IF(V223="","",VLOOKUP(V223,Aux_Lista!A:L,12,FALSE))</f>
        <v/>
      </c>
      <c r="AA223" s="68" t="str">
        <f>IF(W223="","",VLOOKUP(W223,Aux_Lista!AN:AP,3,FALSE))</f>
        <v/>
      </c>
      <c r="AB223" s="68" t="str">
        <f>IF(W223="","",VLOOKUP(W223,Aux_Lista!AN:AP,2,FALSE))</f>
        <v/>
      </c>
      <c r="AC223" s="69"/>
      <c r="AD223" s="69"/>
      <c r="AE223" s="325">
        <f t="shared" si="15"/>
        <v>0</v>
      </c>
      <c r="AF223" s="540" t="s">
        <v>281</v>
      </c>
      <c r="AG223" s="540"/>
      <c r="AH223" s="337">
        <f>IFERROR(IF(X223="Sem projeto",1.5*AA223,AC223*VLOOKUP(AF223,Aux_Lista!AG:AH,2,FALSE)+AD223)*U223,0)</f>
        <v>0</v>
      </c>
      <c r="AI223" s="343" t="s">
        <v>90</v>
      </c>
      <c r="AJ223" s="343" t="s">
        <v>90</v>
      </c>
      <c r="AK223" s="343" t="s">
        <v>90</v>
      </c>
      <c r="AL223" s="333" t="str">
        <f t="shared" si="16"/>
        <v/>
      </c>
      <c r="AM223" s="334" t="str">
        <f t="shared" si="17"/>
        <v/>
      </c>
      <c r="AN223" s="333" t="str">
        <f t="shared" si="18"/>
        <v/>
      </c>
      <c r="AO223" s="334" t="str">
        <f t="shared" si="19"/>
        <v/>
      </c>
      <c r="AP223" s="44"/>
      <c r="AQ223" s="2"/>
    </row>
    <row r="224" spans="1:43" ht="24.95" customHeight="1" x14ac:dyDescent="0.25">
      <c r="A224" s="2">
        <v>184</v>
      </c>
      <c r="B224" s="349"/>
      <c r="C224" s="350"/>
      <c r="D224" s="351"/>
      <c r="E224" s="351"/>
      <c r="F224" s="336"/>
      <c r="G224" s="327"/>
      <c r="H224" s="327"/>
      <c r="I224" s="325">
        <f t="shared" si="20"/>
        <v>0</v>
      </c>
      <c r="J224" s="540" t="s">
        <v>281</v>
      </c>
      <c r="K224" s="540"/>
      <c r="L224" s="337">
        <f>IFERROR(IF(F224="Sem projeto",VLOOKUP(C224,$B$32:$H$34,7,FALSE)*1.5,G224*VLOOKUP(J224,Aux_Lista!$AG:$AH,2,FALSE)+H224)*E224,0)</f>
        <v>0</v>
      </c>
      <c r="M224" s="346" t="s">
        <v>90</v>
      </c>
      <c r="N224" s="347" t="s">
        <v>90</v>
      </c>
      <c r="O224" s="348" t="s">
        <v>90</v>
      </c>
      <c r="P224" s="386">
        <f t="shared" si="21"/>
        <v>0</v>
      </c>
      <c r="R224" s="94">
        <v>193</v>
      </c>
      <c r="S224" s="383"/>
      <c r="T224" s="214"/>
      <c r="U224" s="214"/>
      <c r="V224" s="217"/>
      <c r="W224" s="215"/>
      <c r="X224" s="336"/>
      <c r="Y224" s="68" t="str">
        <f>IF(V224="","",VLOOKUP(V224,Aux_Lista!A:K,11,FALSE))</f>
        <v/>
      </c>
      <c r="Z224" s="68" t="str">
        <f>IF(V224="","",VLOOKUP(V224,Aux_Lista!A:L,12,FALSE))</f>
        <v/>
      </c>
      <c r="AA224" s="68" t="str">
        <f>IF(W224="","",VLOOKUP(W224,Aux_Lista!AN:AP,3,FALSE))</f>
        <v/>
      </c>
      <c r="AB224" s="68" t="str">
        <f>IF(W224="","",VLOOKUP(W224,Aux_Lista!AN:AP,2,FALSE))</f>
        <v/>
      </c>
      <c r="AC224" s="69"/>
      <c r="AD224" s="69"/>
      <c r="AE224" s="325">
        <f t="shared" si="15"/>
        <v>0</v>
      </c>
      <c r="AF224" s="540" t="s">
        <v>281</v>
      </c>
      <c r="AG224" s="540"/>
      <c r="AH224" s="337">
        <f>IFERROR(IF(X224="Sem projeto",1.5*AA224,AC224*VLOOKUP(AF224,Aux_Lista!AG:AH,2,FALSE)+AD224)*U224,0)</f>
        <v>0</v>
      </c>
      <c r="AI224" s="343" t="s">
        <v>90</v>
      </c>
      <c r="AJ224" s="343" t="s">
        <v>90</v>
      </c>
      <c r="AK224" s="343" t="s">
        <v>90</v>
      </c>
      <c r="AL224" s="333" t="str">
        <f t="shared" si="16"/>
        <v/>
      </c>
      <c r="AM224" s="334" t="str">
        <f t="shared" si="17"/>
        <v/>
      </c>
      <c r="AN224" s="333" t="str">
        <f t="shared" si="18"/>
        <v/>
      </c>
      <c r="AO224" s="334" t="str">
        <f t="shared" si="19"/>
        <v/>
      </c>
      <c r="AP224" s="44"/>
      <c r="AQ224" s="2"/>
    </row>
    <row r="225" spans="1:43" ht="24.95" customHeight="1" x14ac:dyDescent="0.25">
      <c r="A225" s="2">
        <v>185</v>
      </c>
      <c r="B225" s="349"/>
      <c r="C225" s="350"/>
      <c r="D225" s="351"/>
      <c r="E225" s="351"/>
      <c r="F225" s="336"/>
      <c r="G225" s="327"/>
      <c r="H225" s="327"/>
      <c r="I225" s="325">
        <f t="shared" si="20"/>
        <v>0</v>
      </c>
      <c r="J225" s="540" t="s">
        <v>281</v>
      </c>
      <c r="K225" s="540"/>
      <c r="L225" s="337">
        <f>IFERROR(IF(F225="Sem projeto",VLOOKUP(C225,$B$32:$H$34,7,FALSE)*1.5,G225*VLOOKUP(J225,Aux_Lista!$AG:$AH,2,FALSE)+H225)*E225,0)</f>
        <v>0</v>
      </c>
      <c r="M225" s="346" t="s">
        <v>90</v>
      </c>
      <c r="N225" s="347" t="s">
        <v>90</v>
      </c>
      <c r="O225" s="348" t="s">
        <v>90</v>
      </c>
      <c r="P225" s="386">
        <f t="shared" si="21"/>
        <v>0</v>
      </c>
      <c r="R225" s="94">
        <v>194</v>
      </c>
      <c r="S225" s="383"/>
      <c r="T225" s="214"/>
      <c r="U225" s="214"/>
      <c r="V225" s="217"/>
      <c r="W225" s="215"/>
      <c r="X225" s="336"/>
      <c r="Y225" s="68" t="str">
        <f>IF(V225="","",VLOOKUP(V225,Aux_Lista!A:K,11,FALSE))</f>
        <v/>
      </c>
      <c r="Z225" s="68" t="str">
        <f>IF(V225="","",VLOOKUP(V225,Aux_Lista!A:L,12,FALSE))</f>
        <v/>
      </c>
      <c r="AA225" s="68" t="str">
        <f>IF(W225="","",VLOOKUP(W225,Aux_Lista!AN:AP,3,FALSE))</f>
        <v/>
      </c>
      <c r="AB225" s="68" t="str">
        <f>IF(W225="","",VLOOKUP(W225,Aux_Lista!AN:AP,2,FALSE))</f>
        <v/>
      </c>
      <c r="AC225" s="69"/>
      <c r="AD225" s="69"/>
      <c r="AE225" s="325">
        <f t="shared" ref="AE225:AE288" si="22">(AC225+AD225)*U225</f>
        <v>0</v>
      </c>
      <c r="AF225" s="540" t="s">
        <v>281</v>
      </c>
      <c r="AG225" s="540"/>
      <c r="AH225" s="337">
        <f>IFERROR(IF(X225="Sem projeto",1.5*AA225,AC225*VLOOKUP(AF225,Aux_Lista!AG:AH,2,FALSE)+AD225)*U225,0)</f>
        <v>0</v>
      </c>
      <c r="AI225" s="343" t="s">
        <v>90</v>
      </c>
      <c r="AJ225" s="343" t="s">
        <v>90</v>
      </c>
      <c r="AK225" s="343" t="s">
        <v>90</v>
      </c>
      <c r="AL225" s="333" t="str">
        <f t="shared" ref="AL225:AL288" si="23">IF(ISERROR((T225*U225*Y225*Z225*AA225)/1000),"",(T225*U225*Y225*Z225*AA225)/1000)</f>
        <v/>
      </c>
      <c r="AM225" s="334" t="str">
        <f t="shared" ref="AM225:AM288" si="24">IF(ISERROR((Y225*Z225*AH225)/1000),"",(Y225*Z225*AH225)/1000)</f>
        <v/>
      </c>
      <c r="AN225" s="333" t="str">
        <f t="shared" ref="AN225:AN288" si="25">IFERROR(AA225*T225*U225*Y225*Z225/1000,"")</f>
        <v/>
      </c>
      <c r="AO225" s="334" t="str">
        <f t="shared" ref="AO225:AO288" si="26">IFERROR(AB225*T225*U225*Y225*Z225/1000,"")</f>
        <v/>
      </c>
      <c r="AP225" s="44"/>
      <c r="AQ225" s="2"/>
    </row>
    <row r="226" spans="1:43" ht="24.95" customHeight="1" x14ac:dyDescent="0.25">
      <c r="A226" s="2">
        <v>186</v>
      </c>
      <c r="B226" s="349"/>
      <c r="C226" s="350"/>
      <c r="D226" s="351"/>
      <c r="E226" s="351"/>
      <c r="F226" s="336"/>
      <c r="G226" s="327"/>
      <c r="H226" s="327"/>
      <c r="I226" s="325">
        <f t="shared" si="20"/>
        <v>0</v>
      </c>
      <c r="J226" s="540" t="s">
        <v>281</v>
      </c>
      <c r="K226" s="540"/>
      <c r="L226" s="337">
        <f>IFERROR(IF(F226="Sem projeto",VLOOKUP(C226,$B$32:$H$34,7,FALSE)*1.5,G226*VLOOKUP(J226,Aux_Lista!$AG:$AH,2,FALSE)+H226)*E226,0)</f>
        <v>0</v>
      </c>
      <c r="M226" s="346" t="s">
        <v>90</v>
      </c>
      <c r="N226" s="347" t="s">
        <v>90</v>
      </c>
      <c r="O226" s="348" t="s">
        <v>90</v>
      </c>
      <c r="P226" s="386">
        <f t="shared" si="21"/>
        <v>0</v>
      </c>
      <c r="R226" s="94">
        <v>195</v>
      </c>
      <c r="S226" s="383"/>
      <c r="T226" s="214"/>
      <c r="U226" s="214"/>
      <c r="V226" s="217"/>
      <c r="W226" s="215"/>
      <c r="X226" s="336"/>
      <c r="Y226" s="68" t="str">
        <f>IF(V226="","",VLOOKUP(V226,Aux_Lista!A:K,11,FALSE))</f>
        <v/>
      </c>
      <c r="Z226" s="68" t="str">
        <f>IF(V226="","",VLOOKUP(V226,Aux_Lista!A:L,12,FALSE))</f>
        <v/>
      </c>
      <c r="AA226" s="68" t="str">
        <f>IF(W226="","",VLOOKUP(W226,Aux_Lista!AN:AP,3,FALSE))</f>
        <v/>
      </c>
      <c r="AB226" s="68" t="str">
        <f>IF(W226="","",VLOOKUP(W226,Aux_Lista!AN:AP,2,FALSE))</f>
        <v/>
      </c>
      <c r="AC226" s="69"/>
      <c r="AD226" s="69"/>
      <c r="AE226" s="325">
        <f t="shared" si="22"/>
        <v>0</v>
      </c>
      <c r="AF226" s="540" t="s">
        <v>281</v>
      </c>
      <c r="AG226" s="540"/>
      <c r="AH226" s="337">
        <f>IFERROR(IF(X226="Sem projeto",1.5*AA226,AC226*VLOOKUP(AF226,Aux_Lista!AG:AH,2,FALSE)+AD226)*U226,0)</f>
        <v>0</v>
      </c>
      <c r="AI226" s="343" t="s">
        <v>90</v>
      </c>
      <c r="AJ226" s="343" t="s">
        <v>90</v>
      </c>
      <c r="AK226" s="343" t="s">
        <v>90</v>
      </c>
      <c r="AL226" s="333" t="str">
        <f t="shared" si="23"/>
        <v/>
      </c>
      <c r="AM226" s="334" t="str">
        <f t="shared" si="24"/>
        <v/>
      </c>
      <c r="AN226" s="333" t="str">
        <f t="shared" si="25"/>
        <v/>
      </c>
      <c r="AO226" s="334" t="str">
        <f t="shared" si="26"/>
        <v/>
      </c>
      <c r="AP226" s="44"/>
      <c r="AQ226" s="2"/>
    </row>
    <row r="227" spans="1:43" ht="24.95" customHeight="1" x14ac:dyDescent="0.25">
      <c r="A227" s="2">
        <v>187</v>
      </c>
      <c r="B227" s="349"/>
      <c r="C227" s="350"/>
      <c r="D227" s="351"/>
      <c r="E227" s="351"/>
      <c r="F227" s="336"/>
      <c r="G227" s="327"/>
      <c r="H227" s="327"/>
      <c r="I227" s="325">
        <f t="shared" si="20"/>
        <v>0</v>
      </c>
      <c r="J227" s="540" t="s">
        <v>281</v>
      </c>
      <c r="K227" s="540"/>
      <c r="L227" s="337">
        <f>IFERROR(IF(F227="Sem projeto",VLOOKUP(C227,$B$32:$H$34,7,FALSE)*1.5,G227*VLOOKUP(J227,Aux_Lista!$AG:$AH,2,FALSE)+H227)*E227,0)</f>
        <v>0</v>
      </c>
      <c r="M227" s="346" t="s">
        <v>90</v>
      </c>
      <c r="N227" s="347" t="s">
        <v>90</v>
      </c>
      <c r="O227" s="348" t="s">
        <v>90</v>
      </c>
      <c r="P227" s="386">
        <f t="shared" si="21"/>
        <v>0</v>
      </c>
      <c r="R227" s="94">
        <v>196</v>
      </c>
      <c r="S227" s="383"/>
      <c r="T227" s="214"/>
      <c r="U227" s="214"/>
      <c r="V227" s="217"/>
      <c r="W227" s="215"/>
      <c r="X227" s="336"/>
      <c r="Y227" s="68" t="str">
        <f>IF(V227="","",VLOOKUP(V227,Aux_Lista!A:K,11,FALSE))</f>
        <v/>
      </c>
      <c r="Z227" s="68" t="str">
        <f>IF(V227="","",VLOOKUP(V227,Aux_Lista!A:L,12,FALSE))</f>
        <v/>
      </c>
      <c r="AA227" s="68" t="str">
        <f>IF(W227="","",VLOOKUP(W227,Aux_Lista!AN:AP,3,FALSE))</f>
        <v/>
      </c>
      <c r="AB227" s="68" t="str">
        <f>IF(W227="","",VLOOKUP(W227,Aux_Lista!AN:AP,2,FALSE))</f>
        <v/>
      </c>
      <c r="AC227" s="69"/>
      <c r="AD227" s="69"/>
      <c r="AE227" s="325">
        <f t="shared" si="22"/>
        <v>0</v>
      </c>
      <c r="AF227" s="540" t="s">
        <v>281</v>
      </c>
      <c r="AG227" s="540"/>
      <c r="AH227" s="337">
        <f>IFERROR(IF(X227="Sem projeto",1.5*AA227,AC227*VLOOKUP(AF227,Aux_Lista!AG:AH,2,FALSE)+AD227)*U227,0)</f>
        <v>0</v>
      </c>
      <c r="AI227" s="343" t="s">
        <v>90</v>
      </c>
      <c r="AJ227" s="343" t="s">
        <v>90</v>
      </c>
      <c r="AK227" s="343" t="s">
        <v>90</v>
      </c>
      <c r="AL227" s="333" t="str">
        <f t="shared" si="23"/>
        <v/>
      </c>
      <c r="AM227" s="334" t="str">
        <f t="shared" si="24"/>
        <v/>
      </c>
      <c r="AN227" s="333" t="str">
        <f t="shared" si="25"/>
        <v/>
      </c>
      <c r="AO227" s="334" t="str">
        <f t="shared" si="26"/>
        <v/>
      </c>
      <c r="AP227" s="44"/>
      <c r="AQ227" s="2"/>
    </row>
    <row r="228" spans="1:43" ht="24.95" customHeight="1" x14ac:dyDescent="0.25">
      <c r="A228" s="2">
        <v>188</v>
      </c>
      <c r="B228" s="349"/>
      <c r="C228" s="350"/>
      <c r="D228" s="351"/>
      <c r="E228" s="351"/>
      <c r="F228" s="336"/>
      <c r="G228" s="327"/>
      <c r="H228" s="327"/>
      <c r="I228" s="325">
        <f t="shared" si="20"/>
        <v>0</v>
      </c>
      <c r="J228" s="540" t="s">
        <v>281</v>
      </c>
      <c r="K228" s="540"/>
      <c r="L228" s="337">
        <f>IFERROR(IF(F228="Sem projeto",VLOOKUP(C228,$B$32:$H$34,7,FALSE)*1.5,G228*VLOOKUP(J228,Aux_Lista!$AG:$AH,2,FALSE)+H228)*E228,0)</f>
        <v>0</v>
      </c>
      <c r="M228" s="346" t="s">
        <v>90</v>
      </c>
      <c r="N228" s="347" t="s">
        <v>90</v>
      </c>
      <c r="O228" s="348" t="s">
        <v>90</v>
      </c>
      <c r="P228" s="386">
        <f t="shared" si="21"/>
        <v>0</v>
      </c>
      <c r="R228" s="94">
        <v>197</v>
      </c>
      <c r="S228" s="383"/>
      <c r="T228" s="214"/>
      <c r="U228" s="214"/>
      <c r="V228" s="217"/>
      <c r="W228" s="215"/>
      <c r="X228" s="336"/>
      <c r="Y228" s="68" t="str">
        <f>IF(V228="","",VLOOKUP(V228,Aux_Lista!A:K,11,FALSE))</f>
        <v/>
      </c>
      <c r="Z228" s="68" t="str">
        <f>IF(V228="","",VLOOKUP(V228,Aux_Lista!A:L,12,FALSE))</f>
        <v/>
      </c>
      <c r="AA228" s="68" t="str">
        <f>IF(W228="","",VLOOKUP(W228,Aux_Lista!AN:AP,3,FALSE))</f>
        <v/>
      </c>
      <c r="AB228" s="68" t="str">
        <f>IF(W228="","",VLOOKUP(W228,Aux_Lista!AN:AP,2,FALSE))</f>
        <v/>
      </c>
      <c r="AC228" s="69"/>
      <c r="AD228" s="69"/>
      <c r="AE228" s="325">
        <f t="shared" si="22"/>
        <v>0</v>
      </c>
      <c r="AF228" s="540" t="s">
        <v>281</v>
      </c>
      <c r="AG228" s="540"/>
      <c r="AH228" s="337">
        <f>IFERROR(IF(X228="Sem projeto",1.5*AA228,AC228*VLOOKUP(AF228,Aux_Lista!AG:AH,2,FALSE)+AD228)*U228,0)</f>
        <v>0</v>
      </c>
      <c r="AI228" s="343" t="s">
        <v>90</v>
      </c>
      <c r="AJ228" s="343" t="s">
        <v>90</v>
      </c>
      <c r="AK228" s="343" t="s">
        <v>90</v>
      </c>
      <c r="AL228" s="333" t="str">
        <f t="shared" si="23"/>
        <v/>
      </c>
      <c r="AM228" s="334" t="str">
        <f t="shared" si="24"/>
        <v/>
      </c>
      <c r="AN228" s="333" t="str">
        <f t="shared" si="25"/>
        <v/>
      </c>
      <c r="AO228" s="334" t="str">
        <f t="shared" si="26"/>
        <v/>
      </c>
      <c r="AP228" s="44"/>
      <c r="AQ228" s="2"/>
    </row>
    <row r="229" spans="1:43" ht="24.95" customHeight="1" x14ac:dyDescent="0.25">
      <c r="A229" s="2">
        <v>189</v>
      </c>
      <c r="B229" s="349"/>
      <c r="C229" s="350"/>
      <c r="D229" s="351"/>
      <c r="E229" s="351"/>
      <c r="F229" s="336"/>
      <c r="G229" s="327"/>
      <c r="H229" s="327"/>
      <c r="I229" s="325">
        <f t="shared" si="20"/>
        <v>0</v>
      </c>
      <c r="J229" s="540" t="s">
        <v>281</v>
      </c>
      <c r="K229" s="540"/>
      <c r="L229" s="337">
        <f>IFERROR(IF(F229="Sem projeto",VLOOKUP(C229,$B$32:$H$34,7,FALSE)*1.5,G229*VLOOKUP(J229,Aux_Lista!$AG:$AH,2,FALSE)+H229)*E229,0)</f>
        <v>0</v>
      </c>
      <c r="M229" s="346" t="s">
        <v>90</v>
      </c>
      <c r="N229" s="347" t="s">
        <v>90</v>
      </c>
      <c r="O229" s="348" t="s">
        <v>90</v>
      </c>
      <c r="P229" s="386">
        <f t="shared" si="21"/>
        <v>0</v>
      </c>
      <c r="R229" s="94">
        <v>198</v>
      </c>
      <c r="S229" s="383"/>
      <c r="T229" s="214"/>
      <c r="U229" s="214"/>
      <c r="V229" s="217"/>
      <c r="W229" s="215"/>
      <c r="X229" s="336"/>
      <c r="Y229" s="68" t="str">
        <f>IF(V229="","",VLOOKUP(V229,Aux_Lista!A:K,11,FALSE))</f>
        <v/>
      </c>
      <c r="Z229" s="68" t="str">
        <f>IF(V229="","",VLOOKUP(V229,Aux_Lista!A:L,12,FALSE))</f>
        <v/>
      </c>
      <c r="AA229" s="68" t="str">
        <f>IF(W229="","",VLOOKUP(W229,Aux_Lista!AN:AP,3,FALSE))</f>
        <v/>
      </c>
      <c r="AB229" s="68" t="str">
        <f>IF(W229="","",VLOOKUP(W229,Aux_Lista!AN:AP,2,FALSE))</f>
        <v/>
      </c>
      <c r="AC229" s="69"/>
      <c r="AD229" s="69"/>
      <c r="AE229" s="325">
        <f t="shared" si="22"/>
        <v>0</v>
      </c>
      <c r="AF229" s="540" t="s">
        <v>281</v>
      </c>
      <c r="AG229" s="540"/>
      <c r="AH229" s="337">
        <f>IFERROR(IF(X229="Sem projeto",1.5*AA229,AC229*VLOOKUP(AF229,Aux_Lista!AG:AH,2,FALSE)+AD229)*U229,0)</f>
        <v>0</v>
      </c>
      <c r="AI229" s="343" t="s">
        <v>90</v>
      </c>
      <c r="AJ229" s="343" t="s">
        <v>90</v>
      </c>
      <c r="AK229" s="343" t="s">
        <v>90</v>
      </c>
      <c r="AL229" s="333" t="str">
        <f t="shared" si="23"/>
        <v/>
      </c>
      <c r="AM229" s="334" t="str">
        <f t="shared" si="24"/>
        <v/>
      </c>
      <c r="AN229" s="333" t="str">
        <f t="shared" si="25"/>
        <v/>
      </c>
      <c r="AO229" s="334" t="str">
        <f t="shared" si="26"/>
        <v/>
      </c>
      <c r="AP229" s="44"/>
      <c r="AQ229" s="2"/>
    </row>
    <row r="230" spans="1:43" ht="24.95" customHeight="1" x14ac:dyDescent="0.25">
      <c r="A230" s="2">
        <v>190</v>
      </c>
      <c r="B230" s="349"/>
      <c r="C230" s="350"/>
      <c r="D230" s="351"/>
      <c r="E230" s="351"/>
      <c r="F230" s="336"/>
      <c r="G230" s="327"/>
      <c r="H230" s="327"/>
      <c r="I230" s="325">
        <f t="shared" si="20"/>
        <v>0</v>
      </c>
      <c r="J230" s="540" t="s">
        <v>281</v>
      </c>
      <c r="K230" s="540"/>
      <c r="L230" s="337">
        <f>IFERROR(IF(F230="Sem projeto",VLOOKUP(C230,$B$32:$H$34,7,FALSE)*1.5,G230*VLOOKUP(J230,Aux_Lista!$AG:$AH,2,FALSE)+H230)*E230,0)</f>
        <v>0</v>
      </c>
      <c r="M230" s="346" t="s">
        <v>90</v>
      </c>
      <c r="N230" s="347" t="s">
        <v>90</v>
      </c>
      <c r="O230" s="348" t="s">
        <v>90</v>
      </c>
      <c r="P230" s="386">
        <f t="shared" si="21"/>
        <v>0</v>
      </c>
      <c r="R230" s="94">
        <v>199</v>
      </c>
      <c r="S230" s="383"/>
      <c r="T230" s="214"/>
      <c r="U230" s="214"/>
      <c r="V230" s="217"/>
      <c r="W230" s="215"/>
      <c r="X230" s="336"/>
      <c r="Y230" s="68" t="str">
        <f>IF(V230="","",VLOOKUP(V230,Aux_Lista!A:K,11,FALSE))</f>
        <v/>
      </c>
      <c r="Z230" s="68" t="str">
        <f>IF(V230="","",VLOOKUP(V230,Aux_Lista!A:L,12,FALSE))</f>
        <v/>
      </c>
      <c r="AA230" s="68" t="str">
        <f>IF(W230="","",VLOOKUP(W230,Aux_Lista!AN:AP,3,FALSE))</f>
        <v/>
      </c>
      <c r="AB230" s="68" t="str">
        <f>IF(W230="","",VLOOKUP(W230,Aux_Lista!AN:AP,2,FALSE))</f>
        <v/>
      </c>
      <c r="AC230" s="69"/>
      <c r="AD230" s="69"/>
      <c r="AE230" s="325">
        <f t="shared" si="22"/>
        <v>0</v>
      </c>
      <c r="AF230" s="540" t="s">
        <v>281</v>
      </c>
      <c r="AG230" s="540"/>
      <c r="AH230" s="337">
        <f>IFERROR(IF(X230="Sem projeto",1.5*AA230,AC230*VLOOKUP(AF230,Aux_Lista!AG:AH,2,FALSE)+AD230)*U230,0)</f>
        <v>0</v>
      </c>
      <c r="AI230" s="343" t="s">
        <v>90</v>
      </c>
      <c r="AJ230" s="343" t="s">
        <v>90</v>
      </c>
      <c r="AK230" s="343" t="s">
        <v>90</v>
      </c>
      <c r="AL230" s="333" t="str">
        <f t="shared" si="23"/>
        <v/>
      </c>
      <c r="AM230" s="334" t="str">
        <f t="shared" si="24"/>
        <v/>
      </c>
      <c r="AN230" s="333" t="str">
        <f t="shared" si="25"/>
        <v/>
      </c>
      <c r="AO230" s="334" t="str">
        <f t="shared" si="26"/>
        <v/>
      </c>
      <c r="AP230" s="44"/>
      <c r="AQ230" s="2"/>
    </row>
    <row r="231" spans="1:43" ht="24.95" customHeight="1" x14ac:dyDescent="0.25">
      <c r="A231" s="2">
        <v>191</v>
      </c>
      <c r="B231" s="349"/>
      <c r="C231" s="350"/>
      <c r="D231" s="351"/>
      <c r="E231" s="351"/>
      <c r="F231" s="336"/>
      <c r="G231" s="327"/>
      <c r="H231" s="327"/>
      <c r="I231" s="325">
        <f t="shared" si="20"/>
        <v>0</v>
      </c>
      <c r="J231" s="540" t="s">
        <v>281</v>
      </c>
      <c r="K231" s="540"/>
      <c r="L231" s="337">
        <f>IFERROR(IF(F231="Sem projeto",VLOOKUP(C231,$B$32:$H$34,7,FALSE)*1.5,G231*VLOOKUP(J231,Aux_Lista!$AG:$AH,2,FALSE)+H231)*E231,0)</f>
        <v>0</v>
      </c>
      <c r="M231" s="346" t="s">
        <v>90</v>
      </c>
      <c r="N231" s="347" t="s">
        <v>90</v>
      </c>
      <c r="O231" s="348" t="s">
        <v>90</v>
      </c>
      <c r="P231" s="386">
        <f t="shared" si="21"/>
        <v>0</v>
      </c>
      <c r="R231" s="94">
        <v>200</v>
      </c>
      <c r="S231" s="383"/>
      <c r="T231" s="214"/>
      <c r="U231" s="214"/>
      <c r="V231" s="217"/>
      <c r="W231" s="215"/>
      <c r="X231" s="336"/>
      <c r="Y231" s="68" t="str">
        <f>IF(V231="","",VLOOKUP(V231,Aux_Lista!A:K,11,FALSE))</f>
        <v/>
      </c>
      <c r="Z231" s="68" t="str">
        <f>IF(V231="","",VLOOKUP(V231,Aux_Lista!A:L,12,FALSE))</f>
        <v/>
      </c>
      <c r="AA231" s="68" t="str">
        <f>IF(W231="","",VLOOKUP(W231,Aux_Lista!AN:AP,3,FALSE))</f>
        <v/>
      </c>
      <c r="AB231" s="68" t="str">
        <f>IF(W231="","",VLOOKUP(W231,Aux_Lista!AN:AP,2,FALSE))</f>
        <v/>
      </c>
      <c r="AC231" s="69"/>
      <c r="AD231" s="69"/>
      <c r="AE231" s="325">
        <f t="shared" si="22"/>
        <v>0</v>
      </c>
      <c r="AF231" s="540" t="s">
        <v>281</v>
      </c>
      <c r="AG231" s="540"/>
      <c r="AH231" s="337">
        <f>IFERROR(IF(X231="Sem projeto",1.5*AA231,AC231*VLOOKUP(AF231,Aux_Lista!AG:AH,2,FALSE)+AD231)*U231,0)</f>
        <v>0</v>
      </c>
      <c r="AI231" s="343" t="s">
        <v>90</v>
      </c>
      <c r="AJ231" s="343" t="s">
        <v>90</v>
      </c>
      <c r="AK231" s="343" t="s">
        <v>90</v>
      </c>
      <c r="AL231" s="333" t="str">
        <f t="shared" si="23"/>
        <v/>
      </c>
      <c r="AM231" s="334" t="str">
        <f t="shared" si="24"/>
        <v/>
      </c>
      <c r="AN231" s="333" t="str">
        <f t="shared" si="25"/>
        <v/>
      </c>
      <c r="AO231" s="334" t="str">
        <f t="shared" si="26"/>
        <v/>
      </c>
      <c r="AP231" s="44"/>
      <c r="AQ231" s="2"/>
    </row>
    <row r="232" spans="1:43" ht="24.95" customHeight="1" x14ac:dyDescent="0.25">
      <c r="A232" s="2">
        <v>192</v>
      </c>
      <c r="B232" s="349"/>
      <c r="C232" s="350"/>
      <c r="D232" s="351"/>
      <c r="E232" s="351"/>
      <c r="F232" s="336"/>
      <c r="G232" s="327"/>
      <c r="H232" s="327"/>
      <c r="I232" s="325">
        <f t="shared" si="20"/>
        <v>0</v>
      </c>
      <c r="J232" s="540" t="s">
        <v>281</v>
      </c>
      <c r="K232" s="540"/>
      <c r="L232" s="337">
        <f>IFERROR(IF(F232="Sem projeto",VLOOKUP(C232,$B$32:$H$34,7,FALSE)*1.5,G232*VLOOKUP(J232,Aux_Lista!$AG:$AH,2,FALSE)+H232)*E232,0)</f>
        <v>0</v>
      </c>
      <c r="M232" s="346" t="s">
        <v>90</v>
      </c>
      <c r="N232" s="347" t="s">
        <v>90</v>
      </c>
      <c r="O232" s="348" t="s">
        <v>90</v>
      </c>
      <c r="P232" s="386">
        <f t="shared" si="21"/>
        <v>0</v>
      </c>
      <c r="R232" s="94">
        <v>201</v>
      </c>
      <c r="S232" s="383"/>
      <c r="T232" s="214"/>
      <c r="U232" s="214"/>
      <c r="V232" s="217"/>
      <c r="W232" s="215"/>
      <c r="X232" s="336"/>
      <c r="Y232" s="68" t="str">
        <f>IF(V232="","",VLOOKUP(V232,Aux_Lista!A:K,11,FALSE))</f>
        <v/>
      </c>
      <c r="Z232" s="68" t="str">
        <f>IF(V232="","",VLOOKUP(V232,Aux_Lista!A:L,12,FALSE))</f>
        <v/>
      </c>
      <c r="AA232" s="68" t="str">
        <f>IF(W232="","",VLOOKUP(W232,Aux_Lista!AN:AP,3,FALSE))</f>
        <v/>
      </c>
      <c r="AB232" s="68" t="str">
        <f>IF(W232="","",VLOOKUP(W232,Aux_Lista!AN:AP,2,FALSE))</f>
        <v/>
      </c>
      <c r="AC232" s="69"/>
      <c r="AD232" s="69"/>
      <c r="AE232" s="325">
        <f t="shared" si="22"/>
        <v>0</v>
      </c>
      <c r="AF232" s="540" t="s">
        <v>281</v>
      </c>
      <c r="AG232" s="540"/>
      <c r="AH232" s="337">
        <f>IFERROR(IF(X232="Sem projeto",1.5*AA232,AC232*VLOOKUP(AF232,Aux_Lista!AG:AH,2,FALSE)+AD232)*U232,0)</f>
        <v>0</v>
      </c>
      <c r="AI232" s="343" t="s">
        <v>90</v>
      </c>
      <c r="AJ232" s="343" t="s">
        <v>90</v>
      </c>
      <c r="AK232" s="343" t="s">
        <v>90</v>
      </c>
      <c r="AL232" s="333" t="str">
        <f t="shared" si="23"/>
        <v/>
      </c>
      <c r="AM232" s="334" t="str">
        <f t="shared" si="24"/>
        <v/>
      </c>
      <c r="AN232" s="333" t="str">
        <f t="shared" si="25"/>
        <v/>
      </c>
      <c r="AO232" s="334" t="str">
        <f t="shared" si="26"/>
        <v/>
      </c>
      <c r="AP232" s="44"/>
      <c r="AQ232" s="2"/>
    </row>
    <row r="233" spans="1:43" ht="24.95" customHeight="1" x14ac:dyDescent="0.25">
      <c r="A233" s="2">
        <v>193</v>
      </c>
      <c r="B233" s="349"/>
      <c r="C233" s="350"/>
      <c r="D233" s="351"/>
      <c r="E233" s="351"/>
      <c r="F233" s="336"/>
      <c r="G233" s="327"/>
      <c r="H233" s="327"/>
      <c r="I233" s="325">
        <f t="shared" ref="I233:I296" si="27">IFERROR((G233+H233+IF(F233="Sem projeto",VLOOKUP(C233,$B$32:$H$34,7,FALSE),0)*1.5)*E233,"")</f>
        <v>0</v>
      </c>
      <c r="J233" s="540" t="s">
        <v>281</v>
      </c>
      <c r="K233" s="540"/>
      <c r="L233" s="337">
        <f>IFERROR(IF(F233="Sem projeto",VLOOKUP(C233,$B$32:$H$34,7,FALSE)*1.5,G233*VLOOKUP(J233,Aux_Lista!$AG:$AH,2,FALSE)+H233)*E233,0)</f>
        <v>0</v>
      </c>
      <c r="M233" s="346" t="s">
        <v>90</v>
      </c>
      <c r="N233" s="347" t="s">
        <v>90</v>
      </c>
      <c r="O233" s="348" t="s">
        <v>90</v>
      </c>
      <c r="P233" s="386">
        <f t="shared" si="21"/>
        <v>0</v>
      </c>
      <c r="R233" s="94">
        <v>202</v>
      </c>
      <c r="S233" s="383"/>
      <c r="T233" s="214"/>
      <c r="U233" s="214"/>
      <c r="V233" s="217"/>
      <c r="W233" s="215"/>
      <c r="X233" s="336"/>
      <c r="Y233" s="68" t="str">
        <f>IF(V233="","",VLOOKUP(V233,Aux_Lista!A:K,11,FALSE))</f>
        <v/>
      </c>
      <c r="Z233" s="68" t="str">
        <f>IF(V233="","",VLOOKUP(V233,Aux_Lista!A:L,12,FALSE))</f>
        <v/>
      </c>
      <c r="AA233" s="68" t="str">
        <f>IF(W233="","",VLOOKUP(W233,Aux_Lista!AN:AP,3,FALSE))</f>
        <v/>
      </c>
      <c r="AB233" s="68" t="str">
        <f>IF(W233="","",VLOOKUP(W233,Aux_Lista!AN:AP,2,FALSE))</f>
        <v/>
      </c>
      <c r="AC233" s="69"/>
      <c r="AD233" s="69"/>
      <c r="AE233" s="325">
        <f t="shared" si="22"/>
        <v>0</v>
      </c>
      <c r="AF233" s="540" t="s">
        <v>281</v>
      </c>
      <c r="AG233" s="540"/>
      <c r="AH233" s="337">
        <f>IFERROR(IF(X233="Sem projeto",1.5*AA233,AC233*VLOOKUP(AF233,Aux_Lista!AG:AH,2,FALSE)+AD233)*U233,0)</f>
        <v>0</v>
      </c>
      <c r="AI233" s="343" t="s">
        <v>90</v>
      </c>
      <c r="AJ233" s="343" t="s">
        <v>90</v>
      </c>
      <c r="AK233" s="343" t="s">
        <v>90</v>
      </c>
      <c r="AL233" s="333" t="str">
        <f t="shared" si="23"/>
        <v/>
      </c>
      <c r="AM233" s="334" t="str">
        <f t="shared" si="24"/>
        <v/>
      </c>
      <c r="AN233" s="333" t="str">
        <f t="shared" si="25"/>
        <v/>
      </c>
      <c r="AO233" s="334" t="str">
        <f t="shared" si="26"/>
        <v/>
      </c>
      <c r="AP233" s="44"/>
      <c r="AQ233" s="2"/>
    </row>
    <row r="234" spans="1:43" ht="24.95" customHeight="1" x14ac:dyDescent="0.25">
      <c r="A234" s="2">
        <v>194</v>
      </c>
      <c r="B234" s="349"/>
      <c r="C234" s="350"/>
      <c r="D234" s="351"/>
      <c r="E234" s="351"/>
      <c r="F234" s="336"/>
      <c r="G234" s="327"/>
      <c r="H234" s="327"/>
      <c r="I234" s="325">
        <f t="shared" si="27"/>
        <v>0</v>
      </c>
      <c r="J234" s="540" t="s">
        <v>281</v>
      </c>
      <c r="K234" s="540"/>
      <c r="L234" s="337">
        <f>IFERROR(IF(F234="Sem projeto",VLOOKUP(C234,$B$32:$H$34,7,FALSE)*1.5,G234*VLOOKUP(J234,Aux_Lista!$AG:$AH,2,FALSE)+H234)*E234,0)</f>
        <v>0</v>
      </c>
      <c r="M234" s="346" t="s">
        <v>90</v>
      </c>
      <c r="N234" s="347" t="s">
        <v>90</v>
      </c>
      <c r="O234" s="348" t="s">
        <v>90</v>
      </c>
      <c r="P234" s="386">
        <f t="shared" ref="P234:P297" si="28">D234*E234</f>
        <v>0</v>
      </c>
      <c r="R234" s="94">
        <v>203</v>
      </c>
      <c r="S234" s="383"/>
      <c r="T234" s="214"/>
      <c r="U234" s="214"/>
      <c r="V234" s="217"/>
      <c r="W234" s="215"/>
      <c r="X234" s="336"/>
      <c r="Y234" s="68" t="str">
        <f>IF(V234="","",VLOOKUP(V234,Aux_Lista!A:K,11,FALSE))</f>
        <v/>
      </c>
      <c r="Z234" s="68" t="str">
        <f>IF(V234="","",VLOOKUP(V234,Aux_Lista!A:L,12,FALSE))</f>
        <v/>
      </c>
      <c r="AA234" s="68" t="str">
        <f>IF(W234="","",VLOOKUP(W234,Aux_Lista!AN:AP,3,FALSE))</f>
        <v/>
      </c>
      <c r="AB234" s="68" t="str">
        <f>IF(W234="","",VLOOKUP(W234,Aux_Lista!AN:AP,2,FALSE))</f>
        <v/>
      </c>
      <c r="AC234" s="69"/>
      <c r="AD234" s="69"/>
      <c r="AE234" s="325">
        <f t="shared" si="22"/>
        <v>0</v>
      </c>
      <c r="AF234" s="540" t="s">
        <v>281</v>
      </c>
      <c r="AG234" s="540"/>
      <c r="AH234" s="337">
        <f>IFERROR(IF(X234="Sem projeto",1.5*AA234,AC234*VLOOKUP(AF234,Aux_Lista!AG:AH,2,FALSE)+AD234)*U234,0)</f>
        <v>0</v>
      </c>
      <c r="AI234" s="343" t="s">
        <v>90</v>
      </c>
      <c r="AJ234" s="343" t="s">
        <v>90</v>
      </c>
      <c r="AK234" s="343" t="s">
        <v>90</v>
      </c>
      <c r="AL234" s="333" t="str">
        <f t="shared" si="23"/>
        <v/>
      </c>
      <c r="AM234" s="334" t="str">
        <f t="shared" si="24"/>
        <v/>
      </c>
      <c r="AN234" s="333" t="str">
        <f t="shared" si="25"/>
        <v/>
      </c>
      <c r="AO234" s="334" t="str">
        <f t="shared" si="26"/>
        <v/>
      </c>
      <c r="AP234" s="44"/>
      <c r="AQ234" s="2"/>
    </row>
    <row r="235" spans="1:43" ht="24.95" customHeight="1" x14ac:dyDescent="0.25">
      <c r="A235" s="2">
        <v>195</v>
      </c>
      <c r="B235" s="349"/>
      <c r="C235" s="350"/>
      <c r="D235" s="351"/>
      <c r="E235" s="351"/>
      <c r="F235" s="336"/>
      <c r="G235" s="327"/>
      <c r="H235" s="327"/>
      <c r="I235" s="325">
        <f t="shared" si="27"/>
        <v>0</v>
      </c>
      <c r="J235" s="540" t="s">
        <v>281</v>
      </c>
      <c r="K235" s="540"/>
      <c r="L235" s="337">
        <f>IFERROR(IF(F235="Sem projeto",VLOOKUP(C235,$B$32:$H$34,7,FALSE)*1.5,G235*VLOOKUP(J235,Aux_Lista!$AG:$AH,2,FALSE)+H235)*E235,0)</f>
        <v>0</v>
      </c>
      <c r="M235" s="346" t="s">
        <v>90</v>
      </c>
      <c r="N235" s="347" t="s">
        <v>90</v>
      </c>
      <c r="O235" s="348" t="s">
        <v>90</v>
      </c>
      <c r="P235" s="386">
        <f t="shared" si="28"/>
        <v>0</v>
      </c>
      <c r="R235" s="94">
        <v>204</v>
      </c>
      <c r="S235" s="383"/>
      <c r="T235" s="214"/>
      <c r="U235" s="214"/>
      <c r="V235" s="217"/>
      <c r="W235" s="215"/>
      <c r="X235" s="336"/>
      <c r="Y235" s="68" t="str">
        <f>IF(V235="","",VLOOKUP(V235,Aux_Lista!A:K,11,FALSE))</f>
        <v/>
      </c>
      <c r="Z235" s="68" t="str">
        <f>IF(V235="","",VLOOKUP(V235,Aux_Lista!A:L,12,FALSE))</f>
        <v/>
      </c>
      <c r="AA235" s="68" t="str">
        <f>IF(W235="","",VLOOKUP(W235,Aux_Lista!AN:AP,3,FALSE))</f>
        <v/>
      </c>
      <c r="AB235" s="68" t="str">
        <f>IF(W235="","",VLOOKUP(W235,Aux_Lista!AN:AP,2,FALSE))</f>
        <v/>
      </c>
      <c r="AC235" s="69"/>
      <c r="AD235" s="69"/>
      <c r="AE235" s="325">
        <f t="shared" si="22"/>
        <v>0</v>
      </c>
      <c r="AF235" s="540" t="s">
        <v>281</v>
      </c>
      <c r="AG235" s="540"/>
      <c r="AH235" s="337">
        <f>IFERROR(IF(X235="Sem projeto",1.5*AA235,AC235*VLOOKUP(AF235,Aux_Lista!AG:AH,2,FALSE)+AD235)*U235,0)</f>
        <v>0</v>
      </c>
      <c r="AI235" s="343" t="s">
        <v>90</v>
      </c>
      <c r="AJ235" s="343" t="s">
        <v>90</v>
      </c>
      <c r="AK235" s="343" t="s">
        <v>90</v>
      </c>
      <c r="AL235" s="333" t="str">
        <f t="shared" si="23"/>
        <v/>
      </c>
      <c r="AM235" s="334" t="str">
        <f t="shared" si="24"/>
        <v/>
      </c>
      <c r="AN235" s="333" t="str">
        <f t="shared" si="25"/>
        <v/>
      </c>
      <c r="AO235" s="334" t="str">
        <f t="shared" si="26"/>
        <v/>
      </c>
      <c r="AP235" s="44"/>
      <c r="AQ235" s="2"/>
    </row>
    <row r="236" spans="1:43" ht="24.95" customHeight="1" x14ac:dyDescent="0.25">
      <c r="A236" s="2">
        <v>196</v>
      </c>
      <c r="B236" s="349"/>
      <c r="C236" s="350"/>
      <c r="D236" s="351"/>
      <c r="E236" s="351"/>
      <c r="F236" s="336"/>
      <c r="G236" s="327"/>
      <c r="H236" s="327"/>
      <c r="I236" s="325">
        <f t="shared" si="27"/>
        <v>0</v>
      </c>
      <c r="J236" s="540" t="s">
        <v>281</v>
      </c>
      <c r="K236" s="540"/>
      <c r="L236" s="337">
        <f>IFERROR(IF(F236="Sem projeto",VLOOKUP(C236,$B$32:$H$34,7,FALSE)*1.5,G236*VLOOKUP(J236,Aux_Lista!$AG:$AH,2,FALSE)+H236)*E236,0)</f>
        <v>0</v>
      </c>
      <c r="M236" s="346" t="s">
        <v>90</v>
      </c>
      <c r="N236" s="347" t="s">
        <v>90</v>
      </c>
      <c r="O236" s="348" t="s">
        <v>90</v>
      </c>
      <c r="P236" s="386">
        <f t="shared" si="28"/>
        <v>0</v>
      </c>
      <c r="R236" s="94">
        <v>205</v>
      </c>
      <c r="S236" s="383"/>
      <c r="T236" s="214"/>
      <c r="U236" s="214"/>
      <c r="V236" s="217"/>
      <c r="W236" s="215"/>
      <c r="X236" s="336"/>
      <c r="Y236" s="68" t="str">
        <f>IF(V236="","",VLOOKUP(V236,Aux_Lista!A:K,11,FALSE))</f>
        <v/>
      </c>
      <c r="Z236" s="68" t="str">
        <f>IF(V236="","",VLOOKUP(V236,Aux_Lista!A:L,12,FALSE))</f>
        <v/>
      </c>
      <c r="AA236" s="68" t="str">
        <f>IF(W236="","",VLOOKUP(W236,Aux_Lista!AN:AP,3,FALSE))</f>
        <v/>
      </c>
      <c r="AB236" s="68" t="str">
        <f>IF(W236="","",VLOOKUP(W236,Aux_Lista!AN:AP,2,FALSE))</f>
        <v/>
      </c>
      <c r="AC236" s="69"/>
      <c r="AD236" s="69"/>
      <c r="AE236" s="325">
        <f t="shared" si="22"/>
        <v>0</v>
      </c>
      <c r="AF236" s="540" t="s">
        <v>281</v>
      </c>
      <c r="AG236" s="540"/>
      <c r="AH236" s="337">
        <f>IFERROR(IF(X236="Sem projeto",1.5*AA236,AC236*VLOOKUP(AF236,Aux_Lista!AG:AH,2,FALSE)+AD236)*U236,0)</f>
        <v>0</v>
      </c>
      <c r="AI236" s="343" t="s">
        <v>90</v>
      </c>
      <c r="AJ236" s="343" t="s">
        <v>90</v>
      </c>
      <c r="AK236" s="343" t="s">
        <v>90</v>
      </c>
      <c r="AL236" s="333" t="str">
        <f t="shared" si="23"/>
        <v/>
      </c>
      <c r="AM236" s="334" t="str">
        <f t="shared" si="24"/>
        <v/>
      </c>
      <c r="AN236" s="333" t="str">
        <f t="shared" si="25"/>
        <v/>
      </c>
      <c r="AO236" s="334" t="str">
        <f t="shared" si="26"/>
        <v/>
      </c>
      <c r="AP236" s="44"/>
      <c r="AQ236" s="2"/>
    </row>
    <row r="237" spans="1:43" ht="24.95" customHeight="1" x14ac:dyDescent="0.25">
      <c r="A237" s="2">
        <v>197</v>
      </c>
      <c r="B237" s="349"/>
      <c r="C237" s="350"/>
      <c r="D237" s="351"/>
      <c r="E237" s="351"/>
      <c r="F237" s="336"/>
      <c r="G237" s="327"/>
      <c r="H237" s="327"/>
      <c r="I237" s="325">
        <f t="shared" si="27"/>
        <v>0</v>
      </c>
      <c r="J237" s="540" t="s">
        <v>281</v>
      </c>
      <c r="K237" s="540"/>
      <c r="L237" s="337">
        <f>IFERROR(IF(F237="Sem projeto",VLOOKUP(C237,$B$32:$H$34,7,FALSE)*1.5,G237*VLOOKUP(J237,Aux_Lista!$AG:$AH,2,FALSE)+H237)*E237,0)</f>
        <v>0</v>
      </c>
      <c r="M237" s="346" t="s">
        <v>90</v>
      </c>
      <c r="N237" s="347" t="s">
        <v>90</v>
      </c>
      <c r="O237" s="348" t="s">
        <v>90</v>
      </c>
      <c r="P237" s="386">
        <f t="shared" si="28"/>
        <v>0</v>
      </c>
      <c r="R237" s="94">
        <v>206</v>
      </c>
      <c r="S237" s="383"/>
      <c r="T237" s="214"/>
      <c r="U237" s="214"/>
      <c r="V237" s="217"/>
      <c r="W237" s="215"/>
      <c r="X237" s="336"/>
      <c r="Y237" s="68" t="str">
        <f>IF(V237="","",VLOOKUP(V237,Aux_Lista!A:K,11,FALSE))</f>
        <v/>
      </c>
      <c r="Z237" s="68" t="str">
        <f>IF(V237="","",VLOOKUP(V237,Aux_Lista!A:L,12,FALSE))</f>
        <v/>
      </c>
      <c r="AA237" s="68" t="str">
        <f>IF(W237="","",VLOOKUP(W237,Aux_Lista!AN:AP,3,FALSE))</f>
        <v/>
      </c>
      <c r="AB237" s="68" t="str">
        <f>IF(W237="","",VLOOKUP(W237,Aux_Lista!AN:AP,2,FALSE))</f>
        <v/>
      </c>
      <c r="AC237" s="69"/>
      <c r="AD237" s="69"/>
      <c r="AE237" s="325">
        <f t="shared" si="22"/>
        <v>0</v>
      </c>
      <c r="AF237" s="540" t="s">
        <v>281</v>
      </c>
      <c r="AG237" s="540"/>
      <c r="AH237" s="337">
        <f>IFERROR(IF(X237="Sem projeto",1.5*AA237,AC237*VLOOKUP(AF237,Aux_Lista!AG:AH,2,FALSE)+AD237)*U237,0)</f>
        <v>0</v>
      </c>
      <c r="AI237" s="343" t="s">
        <v>90</v>
      </c>
      <c r="AJ237" s="343" t="s">
        <v>90</v>
      </c>
      <c r="AK237" s="343" t="s">
        <v>90</v>
      </c>
      <c r="AL237" s="333" t="str">
        <f t="shared" si="23"/>
        <v/>
      </c>
      <c r="AM237" s="334" t="str">
        <f t="shared" si="24"/>
        <v/>
      </c>
      <c r="AN237" s="333" t="str">
        <f t="shared" si="25"/>
        <v/>
      </c>
      <c r="AO237" s="334" t="str">
        <f t="shared" si="26"/>
        <v/>
      </c>
      <c r="AP237" s="44"/>
      <c r="AQ237" s="2"/>
    </row>
    <row r="238" spans="1:43" ht="24.95" customHeight="1" x14ac:dyDescent="0.25">
      <c r="A238" s="2">
        <v>198</v>
      </c>
      <c r="B238" s="349"/>
      <c r="C238" s="350"/>
      <c r="D238" s="351"/>
      <c r="E238" s="351"/>
      <c r="F238" s="336"/>
      <c r="G238" s="327"/>
      <c r="H238" s="327"/>
      <c r="I238" s="325">
        <f t="shared" si="27"/>
        <v>0</v>
      </c>
      <c r="J238" s="540" t="s">
        <v>281</v>
      </c>
      <c r="K238" s="540"/>
      <c r="L238" s="337">
        <f>IFERROR(IF(F238="Sem projeto",VLOOKUP(C238,$B$32:$H$34,7,FALSE)*1.5,G238*VLOOKUP(J238,Aux_Lista!$AG:$AH,2,FALSE)+H238)*E238,0)</f>
        <v>0</v>
      </c>
      <c r="M238" s="346" t="s">
        <v>90</v>
      </c>
      <c r="N238" s="347" t="s">
        <v>90</v>
      </c>
      <c r="O238" s="348" t="s">
        <v>90</v>
      </c>
      <c r="P238" s="386">
        <f t="shared" si="28"/>
        <v>0</v>
      </c>
      <c r="R238" s="94">
        <v>207</v>
      </c>
      <c r="S238" s="383"/>
      <c r="T238" s="214"/>
      <c r="U238" s="214"/>
      <c r="V238" s="217"/>
      <c r="W238" s="215"/>
      <c r="X238" s="336"/>
      <c r="Y238" s="68" t="str">
        <f>IF(V238="","",VLOOKUP(V238,Aux_Lista!A:K,11,FALSE))</f>
        <v/>
      </c>
      <c r="Z238" s="68" t="str">
        <f>IF(V238="","",VLOOKUP(V238,Aux_Lista!A:L,12,FALSE))</f>
        <v/>
      </c>
      <c r="AA238" s="68" t="str">
        <f>IF(W238="","",VLOOKUP(W238,Aux_Lista!AN:AP,3,FALSE))</f>
        <v/>
      </c>
      <c r="AB238" s="68" t="str">
        <f>IF(W238="","",VLOOKUP(W238,Aux_Lista!AN:AP,2,FALSE))</f>
        <v/>
      </c>
      <c r="AC238" s="69"/>
      <c r="AD238" s="69"/>
      <c r="AE238" s="325">
        <f t="shared" si="22"/>
        <v>0</v>
      </c>
      <c r="AF238" s="540" t="s">
        <v>281</v>
      </c>
      <c r="AG238" s="540"/>
      <c r="AH238" s="337">
        <f>IFERROR(IF(X238="Sem projeto",1.5*AA238,AC238*VLOOKUP(AF238,Aux_Lista!AG:AH,2,FALSE)+AD238)*U238,0)</f>
        <v>0</v>
      </c>
      <c r="AI238" s="343" t="s">
        <v>90</v>
      </c>
      <c r="AJ238" s="343" t="s">
        <v>90</v>
      </c>
      <c r="AK238" s="343" t="s">
        <v>90</v>
      </c>
      <c r="AL238" s="333" t="str">
        <f t="shared" si="23"/>
        <v/>
      </c>
      <c r="AM238" s="334" t="str">
        <f t="shared" si="24"/>
        <v/>
      </c>
      <c r="AN238" s="333" t="str">
        <f t="shared" si="25"/>
        <v/>
      </c>
      <c r="AO238" s="334" t="str">
        <f t="shared" si="26"/>
        <v/>
      </c>
      <c r="AP238" s="44"/>
      <c r="AQ238" s="2"/>
    </row>
    <row r="239" spans="1:43" ht="24.95" customHeight="1" x14ac:dyDescent="0.25">
      <c r="A239" s="2">
        <v>199</v>
      </c>
      <c r="B239" s="349"/>
      <c r="C239" s="350"/>
      <c r="D239" s="351"/>
      <c r="E239" s="351"/>
      <c r="F239" s="336"/>
      <c r="G239" s="327"/>
      <c r="H239" s="327"/>
      <c r="I239" s="325">
        <f t="shared" si="27"/>
        <v>0</v>
      </c>
      <c r="J239" s="540" t="s">
        <v>281</v>
      </c>
      <c r="K239" s="540"/>
      <c r="L239" s="337">
        <f>IFERROR(IF(F239="Sem projeto",VLOOKUP(C239,$B$32:$H$34,7,FALSE)*1.5,G239*VLOOKUP(J239,Aux_Lista!$AG:$AH,2,FALSE)+H239)*E239,0)</f>
        <v>0</v>
      </c>
      <c r="M239" s="346" t="s">
        <v>90</v>
      </c>
      <c r="N239" s="347" t="s">
        <v>90</v>
      </c>
      <c r="O239" s="348" t="s">
        <v>90</v>
      </c>
      <c r="P239" s="386">
        <f t="shared" si="28"/>
        <v>0</v>
      </c>
      <c r="R239" s="94">
        <v>208</v>
      </c>
      <c r="S239" s="383"/>
      <c r="T239" s="214"/>
      <c r="U239" s="214"/>
      <c r="V239" s="217"/>
      <c r="W239" s="215"/>
      <c r="X239" s="336"/>
      <c r="Y239" s="68" t="str">
        <f>IF(V239="","",VLOOKUP(V239,Aux_Lista!A:K,11,FALSE))</f>
        <v/>
      </c>
      <c r="Z239" s="68" t="str">
        <f>IF(V239="","",VLOOKUP(V239,Aux_Lista!A:L,12,FALSE))</f>
        <v/>
      </c>
      <c r="AA239" s="68" t="str">
        <f>IF(W239="","",VLOOKUP(W239,Aux_Lista!AN:AP,3,FALSE))</f>
        <v/>
      </c>
      <c r="AB239" s="68" t="str">
        <f>IF(W239="","",VLOOKUP(W239,Aux_Lista!AN:AP,2,FALSE))</f>
        <v/>
      </c>
      <c r="AC239" s="69"/>
      <c r="AD239" s="69"/>
      <c r="AE239" s="325">
        <f t="shared" si="22"/>
        <v>0</v>
      </c>
      <c r="AF239" s="540" t="s">
        <v>281</v>
      </c>
      <c r="AG239" s="540"/>
      <c r="AH239" s="337">
        <f>IFERROR(IF(X239="Sem projeto",1.5*AA239,AC239*VLOOKUP(AF239,Aux_Lista!AG:AH,2,FALSE)+AD239)*U239,0)</f>
        <v>0</v>
      </c>
      <c r="AI239" s="343" t="s">
        <v>90</v>
      </c>
      <c r="AJ239" s="343" t="s">
        <v>90</v>
      </c>
      <c r="AK239" s="343" t="s">
        <v>90</v>
      </c>
      <c r="AL239" s="333" t="str">
        <f t="shared" si="23"/>
        <v/>
      </c>
      <c r="AM239" s="334" t="str">
        <f t="shared" si="24"/>
        <v/>
      </c>
      <c r="AN239" s="333" t="str">
        <f t="shared" si="25"/>
        <v/>
      </c>
      <c r="AO239" s="334" t="str">
        <f t="shared" si="26"/>
        <v/>
      </c>
      <c r="AP239" s="44"/>
      <c r="AQ239" s="2"/>
    </row>
    <row r="240" spans="1:43" ht="24.95" customHeight="1" x14ac:dyDescent="0.25">
      <c r="A240" s="2">
        <v>200</v>
      </c>
      <c r="B240" s="349"/>
      <c r="C240" s="350"/>
      <c r="D240" s="351"/>
      <c r="E240" s="351"/>
      <c r="F240" s="336"/>
      <c r="G240" s="327"/>
      <c r="H240" s="327"/>
      <c r="I240" s="325">
        <f t="shared" si="27"/>
        <v>0</v>
      </c>
      <c r="J240" s="540" t="s">
        <v>281</v>
      </c>
      <c r="K240" s="540"/>
      <c r="L240" s="337">
        <f>IFERROR(IF(F240="Sem projeto",VLOOKUP(C240,$B$32:$H$34,7,FALSE)*1.5,G240*VLOOKUP(J240,Aux_Lista!$AG:$AH,2,FALSE)+H240)*E240,0)</f>
        <v>0</v>
      </c>
      <c r="M240" s="346" t="s">
        <v>90</v>
      </c>
      <c r="N240" s="347" t="s">
        <v>90</v>
      </c>
      <c r="O240" s="348" t="s">
        <v>90</v>
      </c>
      <c r="P240" s="386">
        <f t="shared" si="28"/>
        <v>0</v>
      </c>
      <c r="R240" s="94">
        <v>209</v>
      </c>
      <c r="S240" s="383"/>
      <c r="T240" s="214"/>
      <c r="U240" s="214"/>
      <c r="V240" s="217"/>
      <c r="W240" s="215"/>
      <c r="X240" s="336"/>
      <c r="Y240" s="68" t="str">
        <f>IF(V240="","",VLOOKUP(V240,Aux_Lista!A:K,11,FALSE))</f>
        <v/>
      </c>
      <c r="Z240" s="68" t="str">
        <f>IF(V240="","",VLOOKUP(V240,Aux_Lista!A:L,12,FALSE))</f>
        <v/>
      </c>
      <c r="AA240" s="68" t="str">
        <f>IF(W240="","",VLOOKUP(W240,Aux_Lista!AN:AP,3,FALSE))</f>
        <v/>
      </c>
      <c r="AB240" s="68" t="str">
        <f>IF(W240="","",VLOOKUP(W240,Aux_Lista!AN:AP,2,FALSE))</f>
        <v/>
      </c>
      <c r="AC240" s="69"/>
      <c r="AD240" s="69"/>
      <c r="AE240" s="325">
        <f t="shared" si="22"/>
        <v>0</v>
      </c>
      <c r="AF240" s="540" t="s">
        <v>281</v>
      </c>
      <c r="AG240" s="540"/>
      <c r="AH240" s="337">
        <f>IFERROR(IF(X240="Sem projeto",1.5*AA240,AC240*VLOOKUP(AF240,Aux_Lista!AG:AH,2,FALSE)+AD240)*U240,0)</f>
        <v>0</v>
      </c>
      <c r="AI240" s="343" t="s">
        <v>90</v>
      </c>
      <c r="AJ240" s="343" t="s">
        <v>90</v>
      </c>
      <c r="AK240" s="343" t="s">
        <v>90</v>
      </c>
      <c r="AL240" s="333" t="str">
        <f t="shared" si="23"/>
        <v/>
      </c>
      <c r="AM240" s="334" t="str">
        <f t="shared" si="24"/>
        <v/>
      </c>
      <c r="AN240" s="333" t="str">
        <f t="shared" si="25"/>
        <v/>
      </c>
      <c r="AO240" s="334" t="str">
        <f t="shared" si="26"/>
        <v/>
      </c>
      <c r="AP240" s="44"/>
      <c r="AQ240" s="2"/>
    </row>
    <row r="241" spans="1:43" ht="24.95" customHeight="1" x14ac:dyDescent="0.25">
      <c r="A241" s="2">
        <v>201</v>
      </c>
      <c r="B241" s="349"/>
      <c r="C241" s="350"/>
      <c r="D241" s="351"/>
      <c r="E241" s="351"/>
      <c r="F241" s="336"/>
      <c r="G241" s="327"/>
      <c r="H241" s="327"/>
      <c r="I241" s="325">
        <f t="shared" si="27"/>
        <v>0</v>
      </c>
      <c r="J241" s="540" t="s">
        <v>281</v>
      </c>
      <c r="K241" s="540"/>
      <c r="L241" s="337">
        <f>IFERROR(IF(F241="Sem projeto",VLOOKUP(C241,$B$32:$H$34,7,FALSE)*1.5,G241*VLOOKUP(J241,Aux_Lista!$AG:$AH,2,FALSE)+H241)*E241,0)</f>
        <v>0</v>
      </c>
      <c r="M241" s="346" t="s">
        <v>90</v>
      </c>
      <c r="N241" s="347" t="s">
        <v>90</v>
      </c>
      <c r="O241" s="348" t="s">
        <v>90</v>
      </c>
      <c r="P241" s="386">
        <f t="shared" si="28"/>
        <v>0</v>
      </c>
      <c r="R241" s="94">
        <v>210</v>
      </c>
      <c r="S241" s="383"/>
      <c r="T241" s="214"/>
      <c r="U241" s="214"/>
      <c r="V241" s="217"/>
      <c r="W241" s="215"/>
      <c r="X241" s="336"/>
      <c r="Y241" s="68" t="str">
        <f>IF(V241="","",VLOOKUP(V241,Aux_Lista!A:K,11,FALSE))</f>
        <v/>
      </c>
      <c r="Z241" s="68" t="str">
        <f>IF(V241="","",VLOOKUP(V241,Aux_Lista!A:L,12,FALSE))</f>
        <v/>
      </c>
      <c r="AA241" s="68" t="str">
        <f>IF(W241="","",VLOOKUP(W241,Aux_Lista!AN:AP,3,FALSE))</f>
        <v/>
      </c>
      <c r="AB241" s="68" t="str">
        <f>IF(W241="","",VLOOKUP(W241,Aux_Lista!AN:AP,2,FALSE))</f>
        <v/>
      </c>
      <c r="AC241" s="69"/>
      <c r="AD241" s="69"/>
      <c r="AE241" s="325">
        <f t="shared" si="22"/>
        <v>0</v>
      </c>
      <c r="AF241" s="540" t="s">
        <v>281</v>
      </c>
      <c r="AG241" s="540"/>
      <c r="AH241" s="337">
        <f>IFERROR(IF(X241="Sem projeto",1.5*AA241,AC241*VLOOKUP(AF241,Aux_Lista!AG:AH,2,FALSE)+AD241)*U241,0)</f>
        <v>0</v>
      </c>
      <c r="AI241" s="343" t="s">
        <v>90</v>
      </c>
      <c r="AJ241" s="343" t="s">
        <v>90</v>
      </c>
      <c r="AK241" s="343" t="s">
        <v>90</v>
      </c>
      <c r="AL241" s="333" t="str">
        <f t="shared" si="23"/>
        <v/>
      </c>
      <c r="AM241" s="334" t="str">
        <f t="shared" si="24"/>
        <v/>
      </c>
      <c r="AN241" s="333" t="str">
        <f t="shared" si="25"/>
        <v/>
      </c>
      <c r="AO241" s="334" t="str">
        <f t="shared" si="26"/>
        <v/>
      </c>
      <c r="AP241" s="44"/>
      <c r="AQ241" s="2"/>
    </row>
    <row r="242" spans="1:43" ht="24.95" customHeight="1" x14ac:dyDescent="0.25">
      <c r="A242" s="2">
        <v>202</v>
      </c>
      <c r="B242" s="349"/>
      <c r="C242" s="350"/>
      <c r="D242" s="351"/>
      <c r="E242" s="351"/>
      <c r="F242" s="336"/>
      <c r="G242" s="327"/>
      <c r="H242" s="327"/>
      <c r="I242" s="325">
        <f t="shared" si="27"/>
        <v>0</v>
      </c>
      <c r="J242" s="540" t="s">
        <v>281</v>
      </c>
      <c r="K242" s="540"/>
      <c r="L242" s="337">
        <f>IFERROR(IF(F242="Sem projeto",VLOOKUP(C242,$B$32:$H$34,7,FALSE)*1.5,G242*VLOOKUP(J242,Aux_Lista!$AG:$AH,2,FALSE)+H242)*E242,0)</f>
        <v>0</v>
      </c>
      <c r="M242" s="346" t="s">
        <v>90</v>
      </c>
      <c r="N242" s="347" t="s">
        <v>90</v>
      </c>
      <c r="O242" s="348" t="s">
        <v>90</v>
      </c>
      <c r="P242" s="386">
        <f t="shared" si="28"/>
        <v>0</v>
      </c>
      <c r="R242" s="94">
        <v>211</v>
      </c>
      <c r="S242" s="383"/>
      <c r="T242" s="214"/>
      <c r="U242" s="214"/>
      <c r="V242" s="217"/>
      <c r="W242" s="215"/>
      <c r="X242" s="336"/>
      <c r="Y242" s="68" t="str">
        <f>IF(V242="","",VLOOKUP(V242,Aux_Lista!A:K,11,FALSE))</f>
        <v/>
      </c>
      <c r="Z242" s="68" t="str">
        <f>IF(V242="","",VLOOKUP(V242,Aux_Lista!A:L,12,FALSE))</f>
        <v/>
      </c>
      <c r="AA242" s="68" t="str">
        <f>IF(W242="","",VLOOKUP(W242,Aux_Lista!AN:AP,3,FALSE))</f>
        <v/>
      </c>
      <c r="AB242" s="68" t="str">
        <f>IF(W242="","",VLOOKUP(W242,Aux_Lista!AN:AP,2,FALSE))</f>
        <v/>
      </c>
      <c r="AC242" s="69"/>
      <c r="AD242" s="69"/>
      <c r="AE242" s="325">
        <f t="shared" si="22"/>
        <v>0</v>
      </c>
      <c r="AF242" s="540" t="s">
        <v>281</v>
      </c>
      <c r="AG242" s="540"/>
      <c r="AH242" s="337">
        <f>IFERROR(IF(X242="Sem projeto",1.5*AA242,AC242*VLOOKUP(AF242,Aux_Lista!AG:AH,2,FALSE)+AD242)*U242,0)</f>
        <v>0</v>
      </c>
      <c r="AI242" s="343" t="s">
        <v>90</v>
      </c>
      <c r="AJ242" s="343" t="s">
        <v>90</v>
      </c>
      <c r="AK242" s="343" t="s">
        <v>90</v>
      </c>
      <c r="AL242" s="333" t="str">
        <f t="shared" si="23"/>
        <v/>
      </c>
      <c r="AM242" s="334" t="str">
        <f t="shared" si="24"/>
        <v/>
      </c>
      <c r="AN242" s="333" t="str">
        <f t="shared" si="25"/>
        <v/>
      </c>
      <c r="AO242" s="334" t="str">
        <f t="shared" si="26"/>
        <v/>
      </c>
      <c r="AP242" s="44"/>
      <c r="AQ242" s="2"/>
    </row>
    <row r="243" spans="1:43" ht="24.95" customHeight="1" x14ac:dyDescent="0.25">
      <c r="A243" s="2">
        <v>203</v>
      </c>
      <c r="B243" s="349"/>
      <c r="C243" s="350"/>
      <c r="D243" s="351"/>
      <c r="E243" s="351"/>
      <c r="F243" s="336"/>
      <c r="G243" s="327"/>
      <c r="H243" s="327"/>
      <c r="I243" s="325">
        <f t="shared" si="27"/>
        <v>0</v>
      </c>
      <c r="J243" s="540" t="s">
        <v>281</v>
      </c>
      <c r="K243" s="540"/>
      <c r="L243" s="337">
        <f>IFERROR(IF(F243="Sem projeto",VLOOKUP(C243,$B$32:$H$34,7,FALSE)*1.5,G243*VLOOKUP(J243,Aux_Lista!$AG:$AH,2,FALSE)+H243)*E243,0)</f>
        <v>0</v>
      </c>
      <c r="M243" s="346" t="s">
        <v>90</v>
      </c>
      <c r="N243" s="347" t="s">
        <v>90</v>
      </c>
      <c r="O243" s="348" t="s">
        <v>90</v>
      </c>
      <c r="P243" s="386">
        <f t="shared" si="28"/>
        <v>0</v>
      </c>
      <c r="R243" s="94">
        <v>212</v>
      </c>
      <c r="S243" s="383"/>
      <c r="T243" s="214"/>
      <c r="U243" s="214"/>
      <c r="V243" s="217"/>
      <c r="W243" s="215"/>
      <c r="X243" s="336"/>
      <c r="Y243" s="68" t="str">
        <f>IF(V243="","",VLOOKUP(V243,Aux_Lista!A:K,11,FALSE))</f>
        <v/>
      </c>
      <c r="Z243" s="68" t="str">
        <f>IF(V243="","",VLOOKUP(V243,Aux_Lista!A:L,12,FALSE))</f>
        <v/>
      </c>
      <c r="AA243" s="68" t="str">
        <f>IF(W243="","",VLOOKUP(W243,Aux_Lista!AN:AP,3,FALSE))</f>
        <v/>
      </c>
      <c r="AB243" s="68" t="str">
        <f>IF(W243="","",VLOOKUP(W243,Aux_Lista!AN:AP,2,FALSE))</f>
        <v/>
      </c>
      <c r="AC243" s="69"/>
      <c r="AD243" s="69"/>
      <c r="AE243" s="325">
        <f t="shared" si="22"/>
        <v>0</v>
      </c>
      <c r="AF243" s="540" t="s">
        <v>281</v>
      </c>
      <c r="AG243" s="540"/>
      <c r="AH243" s="337">
        <f>IFERROR(IF(X243="Sem projeto",1.5*AA243,AC243*VLOOKUP(AF243,Aux_Lista!AG:AH,2,FALSE)+AD243)*U243,0)</f>
        <v>0</v>
      </c>
      <c r="AI243" s="343" t="s">
        <v>90</v>
      </c>
      <c r="AJ243" s="343" t="s">
        <v>90</v>
      </c>
      <c r="AK243" s="343" t="s">
        <v>90</v>
      </c>
      <c r="AL243" s="333" t="str">
        <f t="shared" si="23"/>
        <v/>
      </c>
      <c r="AM243" s="334" t="str">
        <f t="shared" si="24"/>
        <v/>
      </c>
      <c r="AN243" s="333" t="str">
        <f t="shared" si="25"/>
        <v/>
      </c>
      <c r="AO243" s="334" t="str">
        <f t="shared" si="26"/>
        <v/>
      </c>
      <c r="AP243" s="44"/>
      <c r="AQ243" s="2"/>
    </row>
    <row r="244" spans="1:43" ht="24.95" customHeight="1" x14ac:dyDescent="0.25">
      <c r="A244" s="2">
        <v>204</v>
      </c>
      <c r="B244" s="349"/>
      <c r="C244" s="350"/>
      <c r="D244" s="351"/>
      <c r="E244" s="351"/>
      <c r="F244" s="336"/>
      <c r="G244" s="327"/>
      <c r="H244" s="327"/>
      <c r="I244" s="325">
        <f t="shared" si="27"/>
        <v>0</v>
      </c>
      <c r="J244" s="540" t="s">
        <v>281</v>
      </c>
      <c r="K244" s="540"/>
      <c r="L244" s="337">
        <f>IFERROR(IF(F244="Sem projeto",VLOOKUP(C244,$B$32:$H$34,7,FALSE)*1.5,G244*VLOOKUP(J244,Aux_Lista!$AG:$AH,2,FALSE)+H244)*E244,0)</f>
        <v>0</v>
      </c>
      <c r="M244" s="346" t="s">
        <v>90</v>
      </c>
      <c r="N244" s="347" t="s">
        <v>90</v>
      </c>
      <c r="O244" s="348" t="s">
        <v>90</v>
      </c>
      <c r="P244" s="386">
        <f t="shared" si="28"/>
        <v>0</v>
      </c>
      <c r="R244" s="94">
        <v>213</v>
      </c>
      <c r="S244" s="383"/>
      <c r="T244" s="214"/>
      <c r="U244" s="214"/>
      <c r="V244" s="217"/>
      <c r="W244" s="215"/>
      <c r="X244" s="336"/>
      <c r="Y244" s="68" t="str">
        <f>IF(V244="","",VLOOKUP(V244,Aux_Lista!A:K,11,FALSE))</f>
        <v/>
      </c>
      <c r="Z244" s="68" t="str">
        <f>IF(V244="","",VLOOKUP(V244,Aux_Lista!A:L,12,FALSE))</f>
        <v/>
      </c>
      <c r="AA244" s="68" t="str">
        <f>IF(W244="","",VLOOKUP(W244,Aux_Lista!AN:AP,3,FALSE))</f>
        <v/>
      </c>
      <c r="AB244" s="68" t="str">
        <f>IF(W244="","",VLOOKUP(W244,Aux_Lista!AN:AP,2,FALSE))</f>
        <v/>
      </c>
      <c r="AC244" s="69"/>
      <c r="AD244" s="69"/>
      <c r="AE244" s="325">
        <f t="shared" si="22"/>
        <v>0</v>
      </c>
      <c r="AF244" s="540" t="s">
        <v>281</v>
      </c>
      <c r="AG244" s="540"/>
      <c r="AH244" s="337">
        <f>IFERROR(IF(X244="Sem projeto",1.5*AA244,AC244*VLOOKUP(AF244,Aux_Lista!AG:AH,2,FALSE)+AD244)*U244,0)</f>
        <v>0</v>
      </c>
      <c r="AI244" s="343" t="s">
        <v>90</v>
      </c>
      <c r="AJ244" s="343" t="s">
        <v>90</v>
      </c>
      <c r="AK244" s="343" t="s">
        <v>90</v>
      </c>
      <c r="AL244" s="333" t="str">
        <f t="shared" si="23"/>
        <v/>
      </c>
      <c r="AM244" s="334" t="str">
        <f t="shared" si="24"/>
        <v/>
      </c>
      <c r="AN244" s="333" t="str">
        <f t="shared" si="25"/>
        <v/>
      </c>
      <c r="AO244" s="334" t="str">
        <f t="shared" si="26"/>
        <v/>
      </c>
      <c r="AP244" s="44"/>
      <c r="AQ244" s="2"/>
    </row>
    <row r="245" spans="1:43" ht="24.95" customHeight="1" x14ac:dyDescent="0.25">
      <c r="A245" s="2">
        <v>205</v>
      </c>
      <c r="B245" s="349"/>
      <c r="C245" s="350"/>
      <c r="D245" s="351"/>
      <c r="E245" s="351"/>
      <c r="F245" s="336"/>
      <c r="G245" s="327"/>
      <c r="H245" s="327"/>
      <c r="I245" s="325">
        <f t="shared" si="27"/>
        <v>0</v>
      </c>
      <c r="J245" s="540" t="s">
        <v>281</v>
      </c>
      <c r="K245" s="540"/>
      <c r="L245" s="337">
        <f>IFERROR(IF(F245="Sem projeto",VLOOKUP(C245,$B$32:$H$34,7,FALSE)*1.5,G245*VLOOKUP(J245,Aux_Lista!$AG:$AH,2,FALSE)+H245)*E245,0)</f>
        <v>0</v>
      </c>
      <c r="M245" s="346" t="s">
        <v>90</v>
      </c>
      <c r="N245" s="347" t="s">
        <v>90</v>
      </c>
      <c r="O245" s="348" t="s">
        <v>90</v>
      </c>
      <c r="P245" s="386">
        <f t="shared" si="28"/>
        <v>0</v>
      </c>
      <c r="R245" s="94">
        <v>214</v>
      </c>
      <c r="S245" s="383"/>
      <c r="T245" s="214"/>
      <c r="U245" s="214"/>
      <c r="V245" s="217"/>
      <c r="W245" s="215"/>
      <c r="X245" s="336"/>
      <c r="Y245" s="68" t="str">
        <f>IF(V245="","",VLOOKUP(V245,Aux_Lista!A:K,11,FALSE))</f>
        <v/>
      </c>
      <c r="Z245" s="68" t="str">
        <f>IF(V245="","",VLOOKUP(V245,Aux_Lista!A:L,12,FALSE))</f>
        <v/>
      </c>
      <c r="AA245" s="68" t="str">
        <f>IF(W245="","",VLOOKUP(W245,Aux_Lista!AN:AP,3,FALSE))</f>
        <v/>
      </c>
      <c r="AB245" s="68" t="str">
        <f>IF(W245="","",VLOOKUP(W245,Aux_Lista!AN:AP,2,FALSE))</f>
        <v/>
      </c>
      <c r="AC245" s="69"/>
      <c r="AD245" s="69"/>
      <c r="AE245" s="325">
        <f t="shared" si="22"/>
        <v>0</v>
      </c>
      <c r="AF245" s="540" t="s">
        <v>281</v>
      </c>
      <c r="AG245" s="540"/>
      <c r="AH245" s="337">
        <f>IFERROR(IF(X245="Sem projeto",1.5*AA245,AC245*VLOOKUP(AF245,Aux_Lista!AG:AH,2,FALSE)+AD245)*U245,0)</f>
        <v>0</v>
      </c>
      <c r="AI245" s="343" t="s">
        <v>90</v>
      </c>
      <c r="AJ245" s="343" t="s">
        <v>90</v>
      </c>
      <c r="AK245" s="343" t="s">
        <v>90</v>
      </c>
      <c r="AL245" s="333" t="str">
        <f t="shared" si="23"/>
        <v/>
      </c>
      <c r="AM245" s="334" t="str">
        <f t="shared" si="24"/>
        <v/>
      </c>
      <c r="AN245" s="333" t="str">
        <f t="shared" si="25"/>
        <v/>
      </c>
      <c r="AO245" s="334" t="str">
        <f t="shared" si="26"/>
        <v/>
      </c>
      <c r="AP245" s="44"/>
      <c r="AQ245" s="2"/>
    </row>
    <row r="246" spans="1:43" ht="24.95" customHeight="1" x14ac:dyDescent="0.25">
      <c r="A246" s="2">
        <v>206</v>
      </c>
      <c r="B246" s="349"/>
      <c r="C246" s="350"/>
      <c r="D246" s="351"/>
      <c r="E246" s="351"/>
      <c r="F246" s="336"/>
      <c r="G246" s="327"/>
      <c r="H246" s="327"/>
      <c r="I246" s="325">
        <f t="shared" si="27"/>
        <v>0</v>
      </c>
      <c r="J246" s="540" t="s">
        <v>281</v>
      </c>
      <c r="K246" s="540"/>
      <c r="L246" s="337">
        <f>IFERROR(IF(F246="Sem projeto",VLOOKUP(C246,$B$32:$H$34,7,FALSE)*1.5,G246*VLOOKUP(J246,Aux_Lista!$AG:$AH,2,FALSE)+H246)*E246,0)</f>
        <v>0</v>
      </c>
      <c r="M246" s="346" t="s">
        <v>90</v>
      </c>
      <c r="N246" s="347" t="s">
        <v>90</v>
      </c>
      <c r="O246" s="348" t="s">
        <v>90</v>
      </c>
      <c r="P246" s="386">
        <f t="shared" si="28"/>
        <v>0</v>
      </c>
      <c r="R246" s="94">
        <v>215</v>
      </c>
      <c r="S246" s="383"/>
      <c r="T246" s="214"/>
      <c r="U246" s="214"/>
      <c r="V246" s="217"/>
      <c r="W246" s="215"/>
      <c r="X246" s="336"/>
      <c r="Y246" s="68" t="str">
        <f>IF(V246="","",VLOOKUP(V246,Aux_Lista!A:K,11,FALSE))</f>
        <v/>
      </c>
      <c r="Z246" s="68" t="str">
        <f>IF(V246="","",VLOOKUP(V246,Aux_Lista!A:L,12,FALSE))</f>
        <v/>
      </c>
      <c r="AA246" s="68" t="str">
        <f>IF(W246="","",VLOOKUP(W246,Aux_Lista!AN:AP,3,FALSE))</f>
        <v/>
      </c>
      <c r="AB246" s="68" t="str">
        <f>IF(W246="","",VLOOKUP(W246,Aux_Lista!AN:AP,2,FALSE))</f>
        <v/>
      </c>
      <c r="AC246" s="69"/>
      <c r="AD246" s="69"/>
      <c r="AE246" s="325">
        <f t="shared" si="22"/>
        <v>0</v>
      </c>
      <c r="AF246" s="540" t="s">
        <v>281</v>
      </c>
      <c r="AG246" s="540"/>
      <c r="AH246" s="337">
        <f>IFERROR(IF(X246="Sem projeto",1.5*AA246,AC246*VLOOKUP(AF246,Aux_Lista!AG:AH,2,FALSE)+AD246)*U246,0)</f>
        <v>0</v>
      </c>
      <c r="AI246" s="343" t="s">
        <v>90</v>
      </c>
      <c r="AJ246" s="343" t="s">
        <v>90</v>
      </c>
      <c r="AK246" s="343" t="s">
        <v>90</v>
      </c>
      <c r="AL246" s="333" t="str">
        <f t="shared" si="23"/>
        <v/>
      </c>
      <c r="AM246" s="334" t="str">
        <f t="shared" si="24"/>
        <v/>
      </c>
      <c r="AN246" s="333" t="str">
        <f t="shared" si="25"/>
        <v/>
      </c>
      <c r="AO246" s="334" t="str">
        <f t="shared" si="26"/>
        <v/>
      </c>
      <c r="AP246" s="44"/>
      <c r="AQ246" s="2"/>
    </row>
    <row r="247" spans="1:43" ht="24.95" customHeight="1" x14ac:dyDescent="0.25">
      <c r="A247" s="2">
        <v>207</v>
      </c>
      <c r="B247" s="349"/>
      <c r="C247" s="350"/>
      <c r="D247" s="351"/>
      <c r="E247" s="351"/>
      <c r="F247" s="336"/>
      <c r="G247" s="327"/>
      <c r="H247" s="327"/>
      <c r="I247" s="325">
        <f t="shared" si="27"/>
        <v>0</v>
      </c>
      <c r="J247" s="540" t="s">
        <v>281</v>
      </c>
      <c r="K247" s="540"/>
      <c r="L247" s="337">
        <f>IFERROR(IF(F247="Sem projeto",VLOOKUP(C247,$B$32:$H$34,7,FALSE)*1.5,G247*VLOOKUP(J247,Aux_Lista!$AG:$AH,2,FALSE)+H247)*E247,0)</f>
        <v>0</v>
      </c>
      <c r="M247" s="346" t="s">
        <v>90</v>
      </c>
      <c r="N247" s="347" t="s">
        <v>90</v>
      </c>
      <c r="O247" s="348" t="s">
        <v>90</v>
      </c>
      <c r="P247" s="386">
        <f t="shared" si="28"/>
        <v>0</v>
      </c>
      <c r="R247" s="94">
        <v>216</v>
      </c>
      <c r="S247" s="383"/>
      <c r="T247" s="214"/>
      <c r="U247" s="214"/>
      <c r="V247" s="217"/>
      <c r="W247" s="215"/>
      <c r="X247" s="336"/>
      <c r="Y247" s="68" t="str">
        <f>IF(V247="","",VLOOKUP(V247,Aux_Lista!A:K,11,FALSE))</f>
        <v/>
      </c>
      <c r="Z247" s="68" t="str">
        <f>IF(V247="","",VLOOKUP(V247,Aux_Lista!A:L,12,FALSE))</f>
        <v/>
      </c>
      <c r="AA247" s="68" t="str">
        <f>IF(W247="","",VLOOKUP(W247,Aux_Lista!AN:AP,3,FALSE))</f>
        <v/>
      </c>
      <c r="AB247" s="68" t="str">
        <f>IF(W247="","",VLOOKUP(W247,Aux_Lista!AN:AP,2,FALSE))</f>
        <v/>
      </c>
      <c r="AC247" s="69"/>
      <c r="AD247" s="69"/>
      <c r="AE247" s="325">
        <f t="shared" si="22"/>
        <v>0</v>
      </c>
      <c r="AF247" s="540" t="s">
        <v>281</v>
      </c>
      <c r="AG247" s="540"/>
      <c r="AH247" s="337">
        <f>IFERROR(IF(X247="Sem projeto",1.5*AA247,AC247*VLOOKUP(AF247,Aux_Lista!AG:AH,2,FALSE)+AD247)*U247,0)</f>
        <v>0</v>
      </c>
      <c r="AI247" s="343" t="s">
        <v>90</v>
      </c>
      <c r="AJ247" s="343" t="s">
        <v>90</v>
      </c>
      <c r="AK247" s="343" t="s">
        <v>90</v>
      </c>
      <c r="AL247" s="333" t="str">
        <f t="shared" si="23"/>
        <v/>
      </c>
      <c r="AM247" s="334" t="str">
        <f t="shared" si="24"/>
        <v/>
      </c>
      <c r="AN247" s="333" t="str">
        <f t="shared" si="25"/>
        <v/>
      </c>
      <c r="AO247" s="334" t="str">
        <f t="shared" si="26"/>
        <v/>
      </c>
      <c r="AP247" s="44"/>
      <c r="AQ247" s="2"/>
    </row>
    <row r="248" spans="1:43" ht="24.95" customHeight="1" x14ac:dyDescent="0.25">
      <c r="A248" s="2">
        <v>208</v>
      </c>
      <c r="B248" s="349"/>
      <c r="C248" s="350"/>
      <c r="D248" s="351"/>
      <c r="E248" s="351"/>
      <c r="F248" s="336"/>
      <c r="G248" s="327"/>
      <c r="H248" s="327"/>
      <c r="I248" s="325">
        <f t="shared" si="27"/>
        <v>0</v>
      </c>
      <c r="J248" s="540" t="s">
        <v>281</v>
      </c>
      <c r="K248" s="540"/>
      <c r="L248" s="337">
        <f>IFERROR(IF(F248="Sem projeto",VLOOKUP(C248,$B$32:$H$34,7,FALSE)*1.5,G248*VLOOKUP(J248,Aux_Lista!$AG:$AH,2,FALSE)+H248)*E248,0)</f>
        <v>0</v>
      </c>
      <c r="M248" s="346" t="s">
        <v>90</v>
      </c>
      <c r="N248" s="347" t="s">
        <v>90</v>
      </c>
      <c r="O248" s="348" t="s">
        <v>90</v>
      </c>
      <c r="P248" s="386">
        <f t="shared" si="28"/>
        <v>0</v>
      </c>
      <c r="R248" s="94">
        <v>217</v>
      </c>
      <c r="S248" s="383"/>
      <c r="T248" s="214"/>
      <c r="U248" s="214"/>
      <c r="V248" s="217"/>
      <c r="W248" s="215"/>
      <c r="X248" s="336"/>
      <c r="Y248" s="68" t="str">
        <f>IF(V248="","",VLOOKUP(V248,Aux_Lista!A:K,11,FALSE))</f>
        <v/>
      </c>
      <c r="Z248" s="68" t="str">
        <f>IF(V248="","",VLOOKUP(V248,Aux_Lista!A:L,12,FALSE))</f>
        <v/>
      </c>
      <c r="AA248" s="68" t="str">
        <f>IF(W248="","",VLOOKUP(W248,Aux_Lista!AN:AP,3,FALSE))</f>
        <v/>
      </c>
      <c r="AB248" s="68" t="str">
        <f>IF(W248="","",VLOOKUP(W248,Aux_Lista!AN:AP,2,FALSE))</f>
        <v/>
      </c>
      <c r="AC248" s="69"/>
      <c r="AD248" s="69"/>
      <c r="AE248" s="325">
        <f t="shared" si="22"/>
        <v>0</v>
      </c>
      <c r="AF248" s="540" t="s">
        <v>281</v>
      </c>
      <c r="AG248" s="540"/>
      <c r="AH248" s="337">
        <f>IFERROR(IF(X248="Sem projeto",1.5*AA248,AC248*VLOOKUP(AF248,Aux_Lista!AG:AH,2,FALSE)+AD248)*U248,0)</f>
        <v>0</v>
      </c>
      <c r="AI248" s="343" t="s">
        <v>90</v>
      </c>
      <c r="AJ248" s="343" t="s">
        <v>90</v>
      </c>
      <c r="AK248" s="343" t="s">
        <v>90</v>
      </c>
      <c r="AL248" s="333" t="str">
        <f t="shared" si="23"/>
        <v/>
      </c>
      <c r="AM248" s="334" t="str">
        <f t="shared" si="24"/>
        <v/>
      </c>
      <c r="AN248" s="333" t="str">
        <f t="shared" si="25"/>
        <v/>
      </c>
      <c r="AO248" s="334" t="str">
        <f t="shared" si="26"/>
        <v/>
      </c>
      <c r="AP248" s="44"/>
      <c r="AQ248" s="2"/>
    </row>
    <row r="249" spans="1:43" ht="24.95" customHeight="1" x14ac:dyDescent="0.25">
      <c r="A249" s="2">
        <v>209</v>
      </c>
      <c r="B249" s="349"/>
      <c r="C249" s="350"/>
      <c r="D249" s="351"/>
      <c r="E249" s="351"/>
      <c r="F249" s="336"/>
      <c r="G249" s="327"/>
      <c r="H249" s="327"/>
      <c r="I249" s="325">
        <f t="shared" si="27"/>
        <v>0</v>
      </c>
      <c r="J249" s="540" t="s">
        <v>281</v>
      </c>
      <c r="K249" s="540"/>
      <c r="L249" s="337">
        <f>IFERROR(IF(F249="Sem projeto",VLOOKUP(C249,$B$32:$H$34,7,FALSE)*1.5,G249*VLOOKUP(J249,Aux_Lista!$AG:$AH,2,FALSE)+H249)*E249,0)</f>
        <v>0</v>
      </c>
      <c r="M249" s="346" t="s">
        <v>90</v>
      </c>
      <c r="N249" s="347" t="s">
        <v>90</v>
      </c>
      <c r="O249" s="348" t="s">
        <v>90</v>
      </c>
      <c r="P249" s="386">
        <f t="shared" si="28"/>
        <v>0</v>
      </c>
      <c r="R249" s="94">
        <v>218</v>
      </c>
      <c r="S249" s="383"/>
      <c r="T249" s="214"/>
      <c r="U249" s="214"/>
      <c r="V249" s="217"/>
      <c r="W249" s="215"/>
      <c r="X249" s="336"/>
      <c r="Y249" s="68" t="str">
        <f>IF(V249="","",VLOOKUP(V249,Aux_Lista!A:K,11,FALSE))</f>
        <v/>
      </c>
      <c r="Z249" s="68" t="str">
        <f>IF(V249="","",VLOOKUP(V249,Aux_Lista!A:L,12,FALSE))</f>
        <v/>
      </c>
      <c r="AA249" s="68" t="str">
        <f>IF(W249="","",VLOOKUP(W249,Aux_Lista!AN:AP,3,FALSE))</f>
        <v/>
      </c>
      <c r="AB249" s="68" t="str">
        <f>IF(W249="","",VLOOKUP(W249,Aux_Lista!AN:AP,2,FALSE))</f>
        <v/>
      </c>
      <c r="AC249" s="69"/>
      <c r="AD249" s="69"/>
      <c r="AE249" s="325">
        <f t="shared" si="22"/>
        <v>0</v>
      </c>
      <c r="AF249" s="540" t="s">
        <v>281</v>
      </c>
      <c r="AG249" s="540"/>
      <c r="AH249" s="337">
        <f>IFERROR(IF(X249="Sem projeto",1.5*AA249,AC249*VLOOKUP(AF249,Aux_Lista!AG:AH,2,FALSE)+AD249)*U249,0)</f>
        <v>0</v>
      </c>
      <c r="AI249" s="343" t="s">
        <v>90</v>
      </c>
      <c r="AJ249" s="343" t="s">
        <v>90</v>
      </c>
      <c r="AK249" s="343" t="s">
        <v>90</v>
      </c>
      <c r="AL249" s="333" t="str">
        <f t="shared" si="23"/>
        <v/>
      </c>
      <c r="AM249" s="334" t="str">
        <f t="shared" si="24"/>
        <v/>
      </c>
      <c r="AN249" s="333" t="str">
        <f t="shared" si="25"/>
        <v/>
      </c>
      <c r="AO249" s="334" t="str">
        <f t="shared" si="26"/>
        <v/>
      </c>
      <c r="AP249" s="44"/>
      <c r="AQ249" s="2"/>
    </row>
    <row r="250" spans="1:43" ht="24.95" customHeight="1" x14ac:dyDescent="0.25">
      <c r="A250" s="2">
        <v>210</v>
      </c>
      <c r="B250" s="349"/>
      <c r="C250" s="350"/>
      <c r="D250" s="351"/>
      <c r="E250" s="351"/>
      <c r="F250" s="336"/>
      <c r="G250" s="327"/>
      <c r="H250" s="327"/>
      <c r="I250" s="325">
        <f t="shared" si="27"/>
        <v>0</v>
      </c>
      <c r="J250" s="540" t="s">
        <v>281</v>
      </c>
      <c r="K250" s="540"/>
      <c r="L250" s="337">
        <f>IFERROR(IF(F250="Sem projeto",VLOOKUP(C250,$B$32:$H$34,7,FALSE)*1.5,G250*VLOOKUP(J250,Aux_Lista!$AG:$AH,2,FALSE)+H250)*E250,0)</f>
        <v>0</v>
      </c>
      <c r="M250" s="346" t="s">
        <v>90</v>
      </c>
      <c r="N250" s="347" t="s">
        <v>90</v>
      </c>
      <c r="O250" s="348" t="s">
        <v>90</v>
      </c>
      <c r="P250" s="386">
        <f t="shared" si="28"/>
        <v>0</v>
      </c>
      <c r="R250" s="94">
        <v>219</v>
      </c>
      <c r="S250" s="383"/>
      <c r="T250" s="214"/>
      <c r="U250" s="214"/>
      <c r="V250" s="217"/>
      <c r="W250" s="215"/>
      <c r="X250" s="336"/>
      <c r="Y250" s="68" t="str">
        <f>IF(V250="","",VLOOKUP(V250,Aux_Lista!A:K,11,FALSE))</f>
        <v/>
      </c>
      <c r="Z250" s="68" t="str">
        <f>IF(V250="","",VLOOKUP(V250,Aux_Lista!A:L,12,FALSE))</f>
        <v/>
      </c>
      <c r="AA250" s="68" t="str">
        <f>IF(W250="","",VLOOKUP(W250,Aux_Lista!AN:AP,3,FALSE))</f>
        <v/>
      </c>
      <c r="AB250" s="68" t="str">
        <f>IF(W250="","",VLOOKUP(W250,Aux_Lista!AN:AP,2,FALSE))</f>
        <v/>
      </c>
      <c r="AC250" s="69"/>
      <c r="AD250" s="69"/>
      <c r="AE250" s="325">
        <f t="shared" si="22"/>
        <v>0</v>
      </c>
      <c r="AF250" s="540" t="s">
        <v>281</v>
      </c>
      <c r="AG250" s="540"/>
      <c r="AH250" s="337">
        <f>IFERROR(IF(X250="Sem projeto",1.5*AA250,AC250*VLOOKUP(AF250,Aux_Lista!AG:AH,2,FALSE)+AD250)*U250,0)</f>
        <v>0</v>
      </c>
      <c r="AI250" s="343" t="s">
        <v>90</v>
      </c>
      <c r="AJ250" s="343" t="s">
        <v>90</v>
      </c>
      <c r="AK250" s="343" t="s">
        <v>90</v>
      </c>
      <c r="AL250" s="333" t="str">
        <f t="shared" si="23"/>
        <v/>
      </c>
      <c r="AM250" s="334" t="str">
        <f t="shared" si="24"/>
        <v/>
      </c>
      <c r="AN250" s="333" t="str">
        <f t="shared" si="25"/>
        <v/>
      </c>
      <c r="AO250" s="334" t="str">
        <f t="shared" si="26"/>
        <v/>
      </c>
      <c r="AP250" s="44"/>
      <c r="AQ250" s="2"/>
    </row>
    <row r="251" spans="1:43" ht="24.95" customHeight="1" x14ac:dyDescent="0.25">
      <c r="A251" s="2">
        <v>211</v>
      </c>
      <c r="B251" s="349"/>
      <c r="C251" s="350"/>
      <c r="D251" s="351"/>
      <c r="E251" s="351"/>
      <c r="F251" s="336"/>
      <c r="G251" s="327"/>
      <c r="H251" s="327"/>
      <c r="I251" s="325">
        <f t="shared" si="27"/>
        <v>0</v>
      </c>
      <c r="J251" s="540" t="s">
        <v>281</v>
      </c>
      <c r="K251" s="540"/>
      <c r="L251" s="337">
        <f>IFERROR(IF(F251="Sem projeto",VLOOKUP(C251,$B$32:$H$34,7,FALSE)*1.5,G251*VLOOKUP(J251,Aux_Lista!$AG:$AH,2,FALSE)+H251)*E251,0)</f>
        <v>0</v>
      </c>
      <c r="M251" s="346" t="s">
        <v>90</v>
      </c>
      <c r="N251" s="347" t="s">
        <v>90</v>
      </c>
      <c r="O251" s="348" t="s">
        <v>90</v>
      </c>
      <c r="P251" s="386">
        <f t="shared" si="28"/>
        <v>0</v>
      </c>
      <c r="R251" s="94">
        <v>220</v>
      </c>
      <c r="S251" s="383"/>
      <c r="T251" s="214"/>
      <c r="U251" s="214"/>
      <c r="V251" s="217"/>
      <c r="W251" s="215"/>
      <c r="X251" s="336"/>
      <c r="Y251" s="68" t="str">
        <f>IF(V251="","",VLOOKUP(V251,Aux_Lista!A:K,11,FALSE))</f>
        <v/>
      </c>
      <c r="Z251" s="68" t="str">
        <f>IF(V251="","",VLOOKUP(V251,Aux_Lista!A:L,12,FALSE))</f>
        <v/>
      </c>
      <c r="AA251" s="68" t="str">
        <f>IF(W251="","",VLOOKUP(W251,Aux_Lista!AN:AP,3,FALSE))</f>
        <v/>
      </c>
      <c r="AB251" s="68" t="str">
        <f>IF(W251="","",VLOOKUP(W251,Aux_Lista!AN:AP,2,FALSE))</f>
        <v/>
      </c>
      <c r="AC251" s="69"/>
      <c r="AD251" s="69"/>
      <c r="AE251" s="325">
        <f t="shared" si="22"/>
        <v>0</v>
      </c>
      <c r="AF251" s="540" t="s">
        <v>281</v>
      </c>
      <c r="AG251" s="540"/>
      <c r="AH251" s="337">
        <f>IFERROR(IF(X251="Sem projeto",1.5*AA251,AC251*VLOOKUP(AF251,Aux_Lista!AG:AH,2,FALSE)+AD251)*U251,0)</f>
        <v>0</v>
      </c>
      <c r="AI251" s="343" t="s">
        <v>90</v>
      </c>
      <c r="AJ251" s="343" t="s">
        <v>90</v>
      </c>
      <c r="AK251" s="343" t="s">
        <v>90</v>
      </c>
      <c r="AL251" s="333" t="str">
        <f t="shared" si="23"/>
        <v/>
      </c>
      <c r="AM251" s="334" t="str">
        <f t="shared" si="24"/>
        <v/>
      </c>
      <c r="AN251" s="333" t="str">
        <f t="shared" si="25"/>
        <v/>
      </c>
      <c r="AO251" s="334" t="str">
        <f t="shared" si="26"/>
        <v/>
      </c>
      <c r="AP251" s="44"/>
      <c r="AQ251" s="2"/>
    </row>
    <row r="252" spans="1:43" ht="24.95" customHeight="1" x14ac:dyDescent="0.25">
      <c r="A252" s="2">
        <v>212</v>
      </c>
      <c r="B252" s="349"/>
      <c r="C252" s="350"/>
      <c r="D252" s="351"/>
      <c r="E252" s="351"/>
      <c r="F252" s="336"/>
      <c r="G252" s="327"/>
      <c r="H252" s="327"/>
      <c r="I252" s="325">
        <f t="shared" si="27"/>
        <v>0</v>
      </c>
      <c r="J252" s="540" t="s">
        <v>281</v>
      </c>
      <c r="K252" s="540"/>
      <c r="L252" s="337">
        <f>IFERROR(IF(F252="Sem projeto",VLOOKUP(C252,$B$32:$H$34,7,FALSE)*1.5,G252*VLOOKUP(J252,Aux_Lista!$AG:$AH,2,FALSE)+H252)*E252,0)</f>
        <v>0</v>
      </c>
      <c r="M252" s="346" t="s">
        <v>90</v>
      </c>
      <c r="N252" s="347" t="s">
        <v>90</v>
      </c>
      <c r="O252" s="348" t="s">
        <v>90</v>
      </c>
      <c r="P252" s="386">
        <f t="shared" si="28"/>
        <v>0</v>
      </c>
      <c r="R252" s="94">
        <v>221</v>
      </c>
      <c r="S252" s="383"/>
      <c r="T252" s="214"/>
      <c r="U252" s="214"/>
      <c r="V252" s="217"/>
      <c r="W252" s="215"/>
      <c r="X252" s="336"/>
      <c r="Y252" s="68" t="str">
        <f>IF(V252="","",VLOOKUP(V252,Aux_Lista!A:K,11,FALSE))</f>
        <v/>
      </c>
      <c r="Z252" s="68" t="str">
        <f>IF(V252="","",VLOOKUP(V252,Aux_Lista!A:L,12,FALSE))</f>
        <v/>
      </c>
      <c r="AA252" s="68" t="str">
        <f>IF(W252="","",VLOOKUP(W252,Aux_Lista!AN:AP,3,FALSE))</f>
        <v/>
      </c>
      <c r="AB252" s="68" t="str">
        <f>IF(W252="","",VLOOKUP(W252,Aux_Lista!AN:AP,2,FALSE))</f>
        <v/>
      </c>
      <c r="AC252" s="69"/>
      <c r="AD252" s="69"/>
      <c r="AE252" s="325">
        <f t="shared" si="22"/>
        <v>0</v>
      </c>
      <c r="AF252" s="540" t="s">
        <v>281</v>
      </c>
      <c r="AG252" s="540"/>
      <c r="AH252" s="337">
        <f>IFERROR(IF(X252="Sem projeto",1.5*AA252,AC252*VLOOKUP(AF252,Aux_Lista!AG:AH,2,FALSE)+AD252)*U252,0)</f>
        <v>0</v>
      </c>
      <c r="AI252" s="343" t="s">
        <v>90</v>
      </c>
      <c r="AJ252" s="343" t="s">
        <v>90</v>
      </c>
      <c r="AK252" s="343" t="s">
        <v>90</v>
      </c>
      <c r="AL252" s="333" t="str">
        <f t="shared" si="23"/>
        <v/>
      </c>
      <c r="AM252" s="334" t="str">
        <f t="shared" si="24"/>
        <v/>
      </c>
      <c r="AN252" s="333" t="str">
        <f t="shared" si="25"/>
        <v/>
      </c>
      <c r="AO252" s="334" t="str">
        <f t="shared" si="26"/>
        <v/>
      </c>
      <c r="AP252" s="44"/>
      <c r="AQ252" s="2"/>
    </row>
    <row r="253" spans="1:43" ht="24.95" customHeight="1" x14ac:dyDescent="0.25">
      <c r="A253" s="2">
        <v>213</v>
      </c>
      <c r="B253" s="349"/>
      <c r="C253" s="350"/>
      <c r="D253" s="351"/>
      <c r="E253" s="351"/>
      <c r="F253" s="336"/>
      <c r="G253" s="327"/>
      <c r="H253" s="327"/>
      <c r="I253" s="325">
        <f t="shared" si="27"/>
        <v>0</v>
      </c>
      <c r="J253" s="540" t="s">
        <v>281</v>
      </c>
      <c r="K253" s="540"/>
      <c r="L253" s="337">
        <f>IFERROR(IF(F253="Sem projeto",VLOOKUP(C253,$B$32:$H$34,7,FALSE)*1.5,G253*VLOOKUP(J253,Aux_Lista!$AG:$AH,2,FALSE)+H253)*E253,0)</f>
        <v>0</v>
      </c>
      <c r="M253" s="346" t="s">
        <v>90</v>
      </c>
      <c r="N253" s="347" t="s">
        <v>90</v>
      </c>
      <c r="O253" s="348" t="s">
        <v>90</v>
      </c>
      <c r="P253" s="386">
        <f t="shared" si="28"/>
        <v>0</v>
      </c>
      <c r="R253" s="94">
        <v>222</v>
      </c>
      <c r="S253" s="383"/>
      <c r="T253" s="214"/>
      <c r="U253" s="214"/>
      <c r="V253" s="217"/>
      <c r="W253" s="215"/>
      <c r="X253" s="336"/>
      <c r="Y253" s="68" t="str">
        <f>IF(V253="","",VLOOKUP(V253,Aux_Lista!A:K,11,FALSE))</f>
        <v/>
      </c>
      <c r="Z253" s="68" t="str">
        <f>IF(V253="","",VLOOKUP(V253,Aux_Lista!A:L,12,FALSE))</f>
        <v/>
      </c>
      <c r="AA253" s="68" t="str">
        <f>IF(W253="","",VLOOKUP(W253,Aux_Lista!AN:AP,3,FALSE))</f>
        <v/>
      </c>
      <c r="AB253" s="68" t="str">
        <f>IF(W253="","",VLOOKUP(W253,Aux_Lista!AN:AP,2,FALSE))</f>
        <v/>
      </c>
      <c r="AC253" s="69"/>
      <c r="AD253" s="69"/>
      <c r="AE253" s="325">
        <f t="shared" si="22"/>
        <v>0</v>
      </c>
      <c r="AF253" s="540" t="s">
        <v>281</v>
      </c>
      <c r="AG253" s="540"/>
      <c r="AH253" s="337">
        <f>IFERROR(IF(X253="Sem projeto",1.5*AA253,AC253*VLOOKUP(AF253,Aux_Lista!AG:AH,2,FALSE)+AD253)*U253,0)</f>
        <v>0</v>
      </c>
      <c r="AI253" s="343" t="s">
        <v>90</v>
      </c>
      <c r="AJ253" s="343" t="s">
        <v>90</v>
      </c>
      <c r="AK253" s="343" t="s">
        <v>90</v>
      </c>
      <c r="AL253" s="333" t="str">
        <f t="shared" si="23"/>
        <v/>
      </c>
      <c r="AM253" s="334" t="str">
        <f t="shared" si="24"/>
        <v/>
      </c>
      <c r="AN253" s="333" t="str">
        <f t="shared" si="25"/>
        <v/>
      </c>
      <c r="AO253" s="334" t="str">
        <f t="shared" si="26"/>
        <v/>
      </c>
      <c r="AP253" s="44"/>
      <c r="AQ253" s="2"/>
    </row>
    <row r="254" spans="1:43" ht="24.95" customHeight="1" x14ac:dyDescent="0.25">
      <c r="A254" s="2">
        <v>214</v>
      </c>
      <c r="B254" s="349"/>
      <c r="C254" s="350"/>
      <c r="D254" s="351"/>
      <c r="E254" s="351"/>
      <c r="F254" s="336"/>
      <c r="G254" s="327"/>
      <c r="H254" s="327"/>
      <c r="I254" s="325">
        <f t="shared" si="27"/>
        <v>0</v>
      </c>
      <c r="J254" s="540" t="s">
        <v>281</v>
      </c>
      <c r="K254" s="540"/>
      <c r="L254" s="337">
        <f>IFERROR(IF(F254="Sem projeto",VLOOKUP(C254,$B$32:$H$34,7,FALSE)*1.5,G254*VLOOKUP(J254,Aux_Lista!$AG:$AH,2,FALSE)+H254)*E254,0)</f>
        <v>0</v>
      </c>
      <c r="M254" s="346" t="s">
        <v>90</v>
      </c>
      <c r="N254" s="347" t="s">
        <v>90</v>
      </c>
      <c r="O254" s="348" t="s">
        <v>90</v>
      </c>
      <c r="P254" s="386">
        <f t="shared" si="28"/>
        <v>0</v>
      </c>
      <c r="R254" s="94">
        <v>223</v>
      </c>
      <c r="S254" s="383"/>
      <c r="T254" s="214"/>
      <c r="U254" s="214"/>
      <c r="V254" s="217"/>
      <c r="W254" s="215"/>
      <c r="X254" s="336"/>
      <c r="Y254" s="68" t="str">
        <f>IF(V254="","",VLOOKUP(V254,Aux_Lista!A:K,11,FALSE))</f>
        <v/>
      </c>
      <c r="Z254" s="68" t="str">
        <f>IF(V254="","",VLOOKUP(V254,Aux_Lista!A:L,12,FALSE))</f>
        <v/>
      </c>
      <c r="AA254" s="68" t="str">
        <f>IF(W254="","",VLOOKUP(W254,Aux_Lista!AN:AP,3,FALSE))</f>
        <v/>
      </c>
      <c r="AB254" s="68" t="str">
        <f>IF(W254="","",VLOOKUP(W254,Aux_Lista!AN:AP,2,FALSE))</f>
        <v/>
      </c>
      <c r="AC254" s="69"/>
      <c r="AD254" s="69"/>
      <c r="AE254" s="325">
        <f t="shared" si="22"/>
        <v>0</v>
      </c>
      <c r="AF254" s="540" t="s">
        <v>281</v>
      </c>
      <c r="AG254" s="540"/>
      <c r="AH254" s="337">
        <f>IFERROR(IF(X254="Sem projeto",1.5*AA254,AC254*VLOOKUP(AF254,Aux_Lista!AG:AH,2,FALSE)+AD254)*U254,0)</f>
        <v>0</v>
      </c>
      <c r="AI254" s="343" t="s">
        <v>90</v>
      </c>
      <c r="AJ254" s="343" t="s">
        <v>90</v>
      </c>
      <c r="AK254" s="343" t="s">
        <v>90</v>
      </c>
      <c r="AL254" s="333" t="str">
        <f t="shared" si="23"/>
        <v/>
      </c>
      <c r="AM254" s="334" t="str">
        <f t="shared" si="24"/>
        <v/>
      </c>
      <c r="AN254" s="333" t="str">
        <f t="shared" si="25"/>
        <v/>
      </c>
      <c r="AO254" s="334" t="str">
        <f t="shared" si="26"/>
        <v/>
      </c>
      <c r="AP254" s="44"/>
      <c r="AQ254" s="2"/>
    </row>
    <row r="255" spans="1:43" ht="24.95" customHeight="1" x14ac:dyDescent="0.25">
      <c r="A255" s="2">
        <v>215</v>
      </c>
      <c r="B255" s="349"/>
      <c r="C255" s="350"/>
      <c r="D255" s="351"/>
      <c r="E255" s="351"/>
      <c r="F255" s="336"/>
      <c r="G255" s="327"/>
      <c r="H255" s="327"/>
      <c r="I255" s="325">
        <f t="shared" si="27"/>
        <v>0</v>
      </c>
      <c r="J255" s="540" t="s">
        <v>281</v>
      </c>
      <c r="K255" s="540"/>
      <c r="L255" s="337">
        <f>IFERROR(IF(F255="Sem projeto",VLOOKUP(C255,$B$32:$H$34,7,FALSE)*1.5,G255*VLOOKUP(J255,Aux_Lista!$AG:$AH,2,FALSE)+H255)*E255,0)</f>
        <v>0</v>
      </c>
      <c r="M255" s="346" t="s">
        <v>90</v>
      </c>
      <c r="N255" s="347" t="s">
        <v>90</v>
      </c>
      <c r="O255" s="348" t="s">
        <v>90</v>
      </c>
      <c r="P255" s="386">
        <f t="shared" si="28"/>
        <v>0</v>
      </c>
      <c r="R255" s="94">
        <v>224</v>
      </c>
      <c r="S255" s="383"/>
      <c r="T255" s="214"/>
      <c r="U255" s="214"/>
      <c r="V255" s="217"/>
      <c r="W255" s="215"/>
      <c r="X255" s="336"/>
      <c r="Y255" s="68" t="str">
        <f>IF(V255="","",VLOOKUP(V255,Aux_Lista!A:K,11,FALSE))</f>
        <v/>
      </c>
      <c r="Z255" s="68" t="str">
        <f>IF(V255="","",VLOOKUP(V255,Aux_Lista!A:L,12,FALSE))</f>
        <v/>
      </c>
      <c r="AA255" s="68" t="str">
        <f>IF(W255="","",VLOOKUP(W255,Aux_Lista!AN:AP,3,FALSE))</f>
        <v/>
      </c>
      <c r="AB255" s="68" t="str">
        <f>IF(W255="","",VLOOKUP(W255,Aux_Lista!AN:AP,2,FALSE))</f>
        <v/>
      </c>
      <c r="AC255" s="69"/>
      <c r="AD255" s="69"/>
      <c r="AE255" s="325">
        <f t="shared" si="22"/>
        <v>0</v>
      </c>
      <c r="AF255" s="540" t="s">
        <v>281</v>
      </c>
      <c r="AG255" s="540"/>
      <c r="AH255" s="337">
        <f>IFERROR(IF(X255="Sem projeto",1.5*AA255,AC255*VLOOKUP(AF255,Aux_Lista!AG:AH,2,FALSE)+AD255)*U255,0)</f>
        <v>0</v>
      </c>
      <c r="AI255" s="343" t="s">
        <v>90</v>
      </c>
      <c r="AJ255" s="343" t="s">
        <v>90</v>
      </c>
      <c r="AK255" s="343" t="s">
        <v>90</v>
      </c>
      <c r="AL255" s="333" t="str">
        <f t="shared" si="23"/>
        <v/>
      </c>
      <c r="AM255" s="334" t="str">
        <f t="shared" si="24"/>
        <v/>
      </c>
      <c r="AN255" s="333" t="str">
        <f t="shared" si="25"/>
        <v/>
      </c>
      <c r="AO255" s="334" t="str">
        <f t="shared" si="26"/>
        <v/>
      </c>
      <c r="AP255" s="44"/>
      <c r="AQ255" s="2"/>
    </row>
    <row r="256" spans="1:43" ht="24.95" customHeight="1" x14ac:dyDescent="0.25">
      <c r="A256" s="2">
        <v>216</v>
      </c>
      <c r="B256" s="349"/>
      <c r="C256" s="350"/>
      <c r="D256" s="351"/>
      <c r="E256" s="351"/>
      <c r="F256" s="336"/>
      <c r="G256" s="327"/>
      <c r="H256" s="327"/>
      <c r="I256" s="325">
        <f t="shared" si="27"/>
        <v>0</v>
      </c>
      <c r="J256" s="540" t="s">
        <v>281</v>
      </c>
      <c r="K256" s="540"/>
      <c r="L256" s="337">
        <f>IFERROR(IF(F256="Sem projeto",VLOOKUP(C256,$B$32:$H$34,7,FALSE)*1.5,G256*VLOOKUP(J256,Aux_Lista!$AG:$AH,2,FALSE)+H256)*E256,0)</f>
        <v>0</v>
      </c>
      <c r="M256" s="346" t="s">
        <v>90</v>
      </c>
      <c r="N256" s="347" t="s">
        <v>90</v>
      </c>
      <c r="O256" s="348" t="s">
        <v>90</v>
      </c>
      <c r="P256" s="386">
        <f t="shared" si="28"/>
        <v>0</v>
      </c>
      <c r="R256" s="94">
        <v>225</v>
      </c>
      <c r="S256" s="383"/>
      <c r="T256" s="214"/>
      <c r="U256" s="214"/>
      <c r="V256" s="217"/>
      <c r="W256" s="215"/>
      <c r="X256" s="336"/>
      <c r="Y256" s="68" t="str">
        <f>IF(V256="","",VLOOKUP(V256,Aux_Lista!A:K,11,FALSE))</f>
        <v/>
      </c>
      <c r="Z256" s="68" t="str">
        <f>IF(V256="","",VLOOKUP(V256,Aux_Lista!A:L,12,FALSE))</f>
        <v/>
      </c>
      <c r="AA256" s="68" t="str">
        <f>IF(W256="","",VLOOKUP(W256,Aux_Lista!AN:AP,3,FALSE))</f>
        <v/>
      </c>
      <c r="AB256" s="68" t="str">
        <f>IF(W256="","",VLOOKUP(W256,Aux_Lista!AN:AP,2,FALSE))</f>
        <v/>
      </c>
      <c r="AC256" s="69"/>
      <c r="AD256" s="69"/>
      <c r="AE256" s="325">
        <f t="shared" si="22"/>
        <v>0</v>
      </c>
      <c r="AF256" s="540" t="s">
        <v>281</v>
      </c>
      <c r="AG256" s="540"/>
      <c r="AH256" s="337">
        <f>IFERROR(IF(X256="Sem projeto",1.5*AA256,AC256*VLOOKUP(AF256,Aux_Lista!AG:AH,2,FALSE)+AD256)*U256,0)</f>
        <v>0</v>
      </c>
      <c r="AI256" s="343" t="s">
        <v>90</v>
      </c>
      <c r="AJ256" s="343" t="s">
        <v>90</v>
      </c>
      <c r="AK256" s="343" t="s">
        <v>90</v>
      </c>
      <c r="AL256" s="333" t="str">
        <f t="shared" si="23"/>
        <v/>
      </c>
      <c r="AM256" s="334" t="str">
        <f t="shared" si="24"/>
        <v/>
      </c>
      <c r="AN256" s="333" t="str">
        <f t="shared" si="25"/>
        <v/>
      </c>
      <c r="AO256" s="334" t="str">
        <f t="shared" si="26"/>
        <v/>
      </c>
      <c r="AP256" s="44"/>
      <c r="AQ256" s="2"/>
    </row>
    <row r="257" spans="1:43" ht="24.95" customHeight="1" x14ac:dyDescent="0.25">
      <c r="A257" s="2">
        <v>217</v>
      </c>
      <c r="B257" s="349"/>
      <c r="C257" s="350"/>
      <c r="D257" s="351"/>
      <c r="E257" s="351"/>
      <c r="F257" s="336"/>
      <c r="G257" s="327"/>
      <c r="H257" s="327"/>
      <c r="I257" s="325">
        <f t="shared" si="27"/>
        <v>0</v>
      </c>
      <c r="J257" s="540" t="s">
        <v>281</v>
      </c>
      <c r="K257" s="540"/>
      <c r="L257" s="337">
        <f>IFERROR(IF(F257="Sem projeto",VLOOKUP(C257,$B$32:$H$34,7,FALSE)*1.5,G257*VLOOKUP(J257,Aux_Lista!$AG:$AH,2,FALSE)+H257)*E257,0)</f>
        <v>0</v>
      </c>
      <c r="M257" s="346" t="s">
        <v>90</v>
      </c>
      <c r="N257" s="347" t="s">
        <v>90</v>
      </c>
      <c r="O257" s="348" t="s">
        <v>90</v>
      </c>
      <c r="P257" s="386">
        <f t="shared" si="28"/>
        <v>0</v>
      </c>
      <c r="R257" s="94">
        <v>226</v>
      </c>
      <c r="S257" s="383"/>
      <c r="T257" s="214"/>
      <c r="U257" s="214"/>
      <c r="V257" s="217"/>
      <c r="W257" s="215"/>
      <c r="X257" s="336"/>
      <c r="Y257" s="68" t="str">
        <f>IF(V257="","",VLOOKUP(V257,Aux_Lista!A:K,11,FALSE))</f>
        <v/>
      </c>
      <c r="Z257" s="68" t="str">
        <f>IF(V257="","",VLOOKUP(V257,Aux_Lista!A:L,12,FALSE))</f>
        <v/>
      </c>
      <c r="AA257" s="68" t="str">
        <f>IF(W257="","",VLOOKUP(W257,Aux_Lista!AN:AP,3,FALSE))</f>
        <v/>
      </c>
      <c r="AB257" s="68" t="str">
        <f>IF(W257="","",VLOOKUP(W257,Aux_Lista!AN:AP,2,FALSE))</f>
        <v/>
      </c>
      <c r="AC257" s="69"/>
      <c r="AD257" s="69"/>
      <c r="AE257" s="325">
        <f t="shared" si="22"/>
        <v>0</v>
      </c>
      <c r="AF257" s="540" t="s">
        <v>281</v>
      </c>
      <c r="AG257" s="540"/>
      <c r="AH257" s="337">
        <f>IFERROR(IF(X257="Sem projeto",1.5*AA257,AC257*VLOOKUP(AF257,Aux_Lista!AG:AH,2,FALSE)+AD257)*U257,0)</f>
        <v>0</v>
      </c>
      <c r="AI257" s="343" t="s">
        <v>90</v>
      </c>
      <c r="AJ257" s="343" t="s">
        <v>90</v>
      </c>
      <c r="AK257" s="343" t="s">
        <v>90</v>
      </c>
      <c r="AL257" s="333" t="str">
        <f t="shared" si="23"/>
        <v/>
      </c>
      <c r="AM257" s="334" t="str">
        <f t="shared" si="24"/>
        <v/>
      </c>
      <c r="AN257" s="333" t="str">
        <f t="shared" si="25"/>
        <v/>
      </c>
      <c r="AO257" s="334" t="str">
        <f t="shared" si="26"/>
        <v/>
      </c>
      <c r="AP257" s="44"/>
      <c r="AQ257" s="2"/>
    </row>
    <row r="258" spans="1:43" ht="24.95" customHeight="1" x14ac:dyDescent="0.25">
      <c r="A258" s="2">
        <v>218</v>
      </c>
      <c r="B258" s="349"/>
      <c r="C258" s="350"/>
      <c r="D258" s="351"/>
      <c r="E258" s="351"/>
      <c r="F258" s="336"/>
      <c r="G258" s="327"/>
      <c r="H258" s="327"/>
      <c r="I258" s="325">
        <f t="shared" si="27"/>
        <v>0</v>
      </c>
      <c r="J258" s="540" t="s">
        <v>281</v>
      </c>
      <c r="K258" s="540"/>
      <c r="L258" s="337">
        <f>IFERROR(IF(F258="Sem projeto",VLOOKUP(C258,$B$32:$H$34,7,FALSE)*1.5,G258*VLOOKUP(J258,Aux_Lista!$AG:$AH,2,FALSE)+H258)*E258,0)</f>
        <v>0</v>
      </c>
      <c r="M258" s="346" t="s">
        <v>90</v>
      </c>
      <c r="N258" s="347" t="s">
        <v>90</v>
      </c>
      <c r="O258" s="348" t="s">
        <v>90</v>
      </c>
      <c r="P258" s="386">
        <f t="shared" si="28"/>
        <v>0</v>
      </c>
      <c r="R258" s="94">
        <v>227</v>
      </c>
      <c r="S258" s="383"/>
      <c r="T258" s="214"/>
      <c r="U258" s="214"/>
      <c r="V258" s="217"/>
      <c r="W258" s="215"/>
      <c r="X258" s="336"/>
      <c r="Y258" s="68" t="str">
        <f>IF(V258="","",VLOOKUP(V258,Aux_Lista!A:K,11,FALSE))</f>
        <v/>
      </c>
      <c r="Z258" s="68" t="str">
        <f>IF(V258="","",VLOOKUP(V258,Aux_Lista!A:L,12,FALSE))</f>
        <v/>
      </c>
      <c r="AA258" s="68" t="str">
        <f>IF(W258="","",VLOOKUP(W258,Aux_Lista!AN:AP,3,FALSE))</f>
        <v/>
      </c>
      <c r="AB258" s="68" t="str">
        <f>IF(W258="","",VLOOKUP(W258,Aux_Lista!AN:AP,2,FALSE))</f>
        <v/>
      </c>
      <c r="AC258" s="69"/>
      <c r="AD258" s="69"/>
      <c r="AE258" s="325">
        <f t="shared" si="22"/>
        <v>0</v>
      </c>
      <c r="AF258" s="540" t="s">
        <v>281</v>
      </c>
      <c r="AG258" s="540"/>
      <c r="AH258" s="337">
        <f>IFERROR(IF(X258="Sem projeto",1.5*AA258,AC258*VLOOKUP(AF258,Aux_Lista!AG:AH,2,FALSE)+AD258)*U258,0)</f>
        <v>0</v>
      </c>
      <c r="AI258" s="343" t="s">
        <v>90</v>
      </c>
      <c r="AJ258" s="343" t="s">
        <v>90</v>
      </c>
      <c r="AK258" s="343" t="s">
        <v>90</v>
      </c>
      <c r="AL258" s="333" t="str">
        <f t="shared" si="23"/>
        <v/>
      </c>
      <c r="AM258" s="334" t="str">
        <f t="shared" si="24"/>
        <v/>
      </c>
      <c r="AN258" s="333" t="str">
        <f t="shared" si="25"/>
        <v/>
      </c>
      <c r="AO258" s="334" t="str">
        <f t="shared" si="26"/>
        <v/>
      </c>
      <c r="AP258" s="44"/>
      <c r="AQ258" s="2"/>
    </row>
    <row r="259" spans="1:43" ht="24.95" customHeight="1" x14ac:dyDescent="0.25">
      <c r="A259" s="2">
        <v>219</v>
      </c>
      <c r="B259" s="349"/>
      <c r="C259" s="350"/>
      <c r="D259" s="351"/>
      <c r="E259" s="351"/>
      <c r="F259" s="336"/>
      <c r="G259" s="327"/>
      <c r="H259" s="327"/>
      <c r="I259" s="325">
        <f t="shared" si="27"/>
        <v>0</v>
      </c>
      <c r="J259" s="540" t="s">
        <v>281</v>
      </c>
      <c r="K259" s="540"/>
      <c r="L259" s="337">
        <f>IFERROR(IF(F259="Sem projeto",VLOOKUP(C259,$B$32:$H$34,7,FALSE)*1.5,G259*VLOOKUP(J259,Aux_Lista!$AG:$AH,2,FALSE)+H259)*E259,0)</f>
        <v>0</v>
      </c>
      <c r="M259" s="346" t="s">
        <v>90</v>
      </c>
      <c r="N259" s="347" t="s">
        <v>90</v>
      </c>
      <c r="O259" s="348" t="s">
        <v>90</v>
      </c>
      <c r="P259" s="386">
        <f t="shared" si="28"/>
        <v>0</v>
      </c>
      <c r="R259" s="94">
        <v>228</v>
      </c>
      <c r="S259" s="383"/>
      <c r="T259" s="214"/>
      <c r="U259" s="214"/>
      <c r="V259" s="217"/>
      <c r="W259" s="215"/>
      <c r="X259" s="336"/>
      <c r="Y259" s="68" t="str">
        <f>IF(V259="","",VLOOKUP(V259,Aux_Lista!A:K,11,FALSE))</f>
        <v/>
      </c>
      <c r="Z259" s="68" t="str">
        <f>IF(V259="","",VLOOKUP(V259,Aux_Lista!A:L,12,FALSE))</f>
        <v/>
      </c>
      <c r="AA259" s="68" t="str">
        <f>IF(W259="","",VLOOKUP(W259,Aux_Lista!AN:AP,3,FALSE))</f>
        <v/>
      </c>
      <c r="AB259" s="68" t="str">
        <f>IF(W259="","",VLOOKUP(W259,Aux_Lista!AN:AP,2,FALSE))</f>
        <v/>
      </c>
      <c r="AC259" s="69"/>
      <c r="AD259" s="69"/>
      <c r="AE259" s="325">
        <f t="shared" si="22"/>
        <v>0</v>
      </c>
      <c r="AF259" s="540" t="s">
        <v>281</v>
      </c>
      <c r="AG259" s="540"/>
      <c r="AH259" s="337">
        <f>IFERROR(IF(X259="Sem projeto",1.5*AA259,AC259*VLOOKUP(AF259,Aux_Lista!AG:AH,2,FALSE)+AD259)*U259,0)</f>
        <v>0</v>
      </c>
      <c r="AI259" s="343" t="s">
        <v>90</v>
      </c>
      <c r="AJ259" s="343" t="s">
        <v>90</v>
      </c>
      <c r="AK259" s="343" t="s">
        <v>90</v>
      </c>
      <c r="AL259" s="333" t="str">
        <f t="shared" si="23"/>
        <v/>
      </c>
      <c r="AM259" s="334" t="str">
        <f t="shared" si="24"/>
        <v/>
      </c>
      <c r="AN259" s="333" t="str">
        <f t="shared" si="25"/>
        <v/>
      </c>
      <c r="AO259" s="334" t="str">
        <f t="shared" si="26"/>
        <v/>
      </c>
      <c r="AP259" s="44"/>
      <c r="AQ259" s="2"/>
    </row>
    <row r="260" spans="1:43" ht="24.95" customHeight="1" x14ac:dyDescent="0.25">
      <c r="A260" s="2">
        <v>220</v>
      </c>
      <c r="B260" s="349"/>
      <c r="C260" s="350"/>
      <c r="D260" s="351"/>
      <c r="E260" s="351"/>
      <c r="F260" s="336"/>
      <c r="G260" s="327"/>
      <c r="H260" s="327"/>
      <c r="I260" s="325">
        <f t="shared" si="27"/>
        <v>0</v>
      </c>
      <c r="J260" s="540" t="s">
        <v>281</v>
      </c>
      <c r="K260" s="540"/>
      <c r="L260" s="337">
        <f>IFERROR(IF(F260="Sem projeto",VLOOKUP(C260,$B$32:$H$34,7,FALSE)*1.5,G260*VLOOKUP(J260,Aux_Lista!$AG:$AH,2,FALSE)+H260)*E260,0)</f>
        <v>0</v>
      </c>
      <c r="M260" s="346" t="s">
        <v>90</v>
      </c>
      <c r="N260" s="347" t="s">
        <v>90</v>
      </c>
      <c r="O260" s="348" t="s">
        <v>90</v>
      </c>
      <c r="P260" s="386">
        <f t="shared" si="28"/>
        <v>0</v>
      </c>
      <c r="R260" s="94">
        <v>229</v>
      </c>
      <c r="S260" s="383"/>
      <c r="T260" s="214"/>
      <c r="U260" s="214"/>
      <c r="V260" s="217"/>
      <c r="W260" s="215"/>
      <c r="X260" s="336"/>
      <c r="Y260" s="68" t="str">
        <f>IF(V260="","",VLOOKUP(V260,Aux_Lista!A:K,11,FALSE))</f>
        <v/>
      </c>
      <c r="Z260" s="68" t="str">
        <f>IF(V260="","",VLOOKUP(V260,Aux_Lista!A:L,12,FALSE))</f>
        <v/>
      </c>
      <c r="AA260" s="68" t="str">
        <f>IF(W260="","",VLOOKUP(W260,Aux_Lista!AN:AP,3,FALSE))</f>
        <v/>
      </c>
      <c r="AB260" s="68" t="str">
        <f>IF(W260="","",VLOOKUP(W260,Aux_Lista!AN:AP,2,FALSE))</f>
        <v/>
      </c>
      <c r="AC260" s="69"/>
      <c r="AD260" s="69"/>
      <c r="AE260" s="325">
        <f t="shared" si="22"/>
        <v>0</v>
      </c>
      <c r="AF260" s="540" t="s">
        <v>281</v>
      </c>
      <c r="AG260" s="540"/>
      <c r="AH260" s="337">
        <f>IFERROR(IF(X260="Sem projeto",1.5*AA260,AC260*VLOOKUP(AF260,Aux_Lista!AG:AH,2,FALSE)+AD260)*U260,0)</f>
        <v>0</v>
      </c>
      <c r="AI260" s="343" t="s">
        <v>90</v>
      </c>
      <c r="AJ260" s="343" t="s">
        <v>90</v>
      </c>
      <c r="AK260" s="343" t="s">
        <v>90</v>
      </c>
      <c r="AL260" s="333" t="str">
        <f t="shared" si="23"/>
        <v/>
      </c>
      <c r="AM260" s="334" t="str">
        <f t="shared" si="24"/>
        <v/>
      </c>
      <c r="AN260" s="333" t="str">
        <f t="shared" si="25"/>
        <v/>
      </c>
      <c r="AO260" s="334" t="str">
        <f t="shared" si="26"/>
        <v/>
      </c>
      <c r="AP260" s="44"/>
      <c r="AQ260" s="2"/>
    </row>
    <row r="261" spans="1:43" ht="24.95" customHeight="1" x14ac:dyDescent="0.25">
      <c r="A261" s="2">
        <v>221</v>
      </c>
      <c r="B261" s="349"/>
      <c r="C261" s="350"/>
      <c r="D261" s="351"/>
      <c r="E261" s="351"/>
      <c r="F261" s="336"/>
      <c r="G261" s="327"/>
      <c r="H261" s="327"/>
      <c r="I261" s="325">
        <f t="shared" si="27"/>
        <v>0</v>
      </c>
      <c r="J261" s="540" t="s">
        <v>281</v>
      </c>
      <c r="K261" s="540"/>
      <c r="L261" s="337">
        <f>IFERROR(IF(F261="Sem projeto",VLOOKUP(C261,$B$32:$H$34,7,FALSE)*1.5,G261*VLOOKUP(J261,Aux_Lista!$AG:$AH,2,FALSE)+H261)*E261,0)</f>
        <v>0</v>
      </c>
      <c r="M261" s="346" t="s">
        <v>90</v>
      </c>
      <c r="N261" s="347" t="s">
        <v>90</v>
      </c>
      <c r="O261" s="348" t="s">
        <v>90</v>
      </c>
      <c r="P261" s="386">
        <f t="shared" si="28"/>
        <v>0</v>
      </c>
      <c r="R261" s="94">
        <v>230</v>
      </c>
      <c r="S261" s="383"/>
      <c r="T261" s="214"/>
      <c r="U261" s="214"/>
      <c r="V261" s="217"/>
      <c r="W261" s="215"/>
      <c r="X261" s="336"/>
      <c r="Y261" s="68" t="str">
        <f>IF(V261="","",VLOOKUP(V261,Aux_Lista!A:K,11,FALSE))</f>
        <v/>
      </c>
      <c r="Z261" s="68" t="str">
        <f>IF(V261="","",VLOOKUP(V261,Aux_Lista!A:L,12,FALSE))</f>
        <v/>
      </c>
      <c r="AA261" s="68" t="str">
        <f>IF(W261="","",VLOOKUP(W261,Aux_Lista!AN:AP,3,FALSE))</f>
        <v/>
      </c>
      <c r="AB261" s="68" t="str">
        <f>IF(W261="","",VLOOKUP(W261,Aux_Lista!AN:AP,2,FALSE))</f>
        <v/>
      </c>
      <c r="AC261" s="69"/>
      <c r="AD261" s="69"/>
      <c r="AE261" s="325">
        <f t="shared" si="22"/>
        <v>0</v>
      </c>
      <c r="AF261" s="540" t="s">
        <v>281</v>
      </c>
      <c r="AG261" s="540"/>
      <c r="AH261" s="337">
        <f>IFERROR(IF(X261="Sem projeto",1.5*AA261,AC261*VLOOKUP(AF261,Aux_Lista!AG:AH,2,FALSE)+AD261)*U261,0)</f>
        <v>0</v>
      </c>
      <c r="AI261" s="343" t="s">
        <v>90</v>
      </c>
      <c r="AJ261" s="343" t="s">
        <v>90</v>
      </c>
      <c r="AK261" s="343" t="s">
        <v>90</v>
      </c>
      <c r="AL261" s="333" t="str">
        <f t="shared" si="23"/>
        <v/>
      </c>
      <c r="AM261" s="334" t="str">
        <f t="shared" si="24"/>
        <v/>
      </c>
      <c r="AN261" s="333" t="str">
        <f t="shared" si="25"/>
        <v/>
      </c>
      <c r="AO261" s="334" t="str">
        <f t="shared" si="26"/>
        <v/>
      </c>
      <c r="AP261" s="44"/>
      <c r="AQ261" s="2"/>
    </row>
    <row r="262" spans="1:43" ht="24.95" customHeight="1" x14ac:dyDescent="0.25">
      <c r="A262" s="2">
        <v>222</v>
      </c>
      <c r="B262" s="349"/>
      <c r="C262" s="350"/>
      <c r="D262" s="351"/>
      <c r="E262" s="351"/>
      <c r="F262" s="336"/>
      <c r="G262" s="327"/>
      <c r="H262" s="327"/>
      <c r="I262" s="325">
        <f t="shared" si="27"/>
        <v>0</v>
      </c>
      <c r="J262" s="540" t="s">
        <v>281</v>
      </c>
      <c r="K262" s="540"/>
      <c r="L262" s="337">
        <f>IFERROR(IF(F262="Sem projeto",VLOOKUP(C262,$B$32:$H$34,7,FALSE)*1.5,G262*VLOOKUP(J262,Aux_Lista!$AG:$AH,2,FALSE)+H262)*E262,0)</f>
        <v>0</v>
      </c>
      <c r="M262" s="346" t="s">
        <v>90</v>
      </c>
      <c r="N262" s="347" t="s">
        <v>90</v>
      </c>
      <c r="O262" s="348" t="s">
        <v>90</v>
      </c>
      <c r="P262" s="386">
        <f t="shared" si="28"/>
        <v>0</v>
      </c>
      <c r="R262" s="94">
        <v>231</v>
      </c>
      <c r="S262" s="383"/>
      <c r="T262" s="214"/>
      <c r="U262" s="214"/>
      <c r="V262" s="217"/>
      <c r="W262" s="215"/>
      <c r="X262" s="336"/>
      <c r="Y262" s="68" t="str">
        <f>IF(V262="","",VLOOKUP(V262,Aux_Lista!A:K,11,FALSE))</f>
        <v/>
      </c>
      <c r="Z262" s="68" t="str">
        <f>IF(V262="","",VLOOKUP(V262,Aux_Lista!A:L,12,FALSE))</f>
        <v/>
      </c>
      <c r="AA262" s="68" t="str">
        <f>IF(W262="","",VLOOKUP(W262,Aux_Lista!AN:AP,3,FALSE))</f>
        <v/>
      </c>
      <c r="AB262" s="68" t="str">
        <f>IF(W262="","",VLOOKUP(W262,Aux_Lista!AN:AP,2,FALSE))</f>
        <v/>
      </c>
      <c r="AC262" s="69"/>
      <c r="AD262" s="69"/>
      <c r="AE262" s="325">
        <f t="shared" si="22"/>
        <v>0</v>
      </c>
      <c r="AF262" s="540" t="s">
        <v>281</v>
      </c>
      <c r="AG262" s="540"/>
      <c r="AH262" s="337">
        <f>IFERROR(IF(X262="Sem projeto",1.5*AA262,AC262*VLOOKUP(AF262,Aux_Lista!AG:AH,2,FALSE)+AD262)*U262,0)</f>
        <v>0</v>
      </c>
      <c r="AI262" s="343" t="s">
        <v>90</v>
      </c>
      <c r="AJ262" s="343" t="s">
        <v>90</v>
      </c>
      <c r="AK262" s="343" t="s">
        <v>90</v>
      </c>
      <c r="AL262" s="333" t="str">
        <f t="shared" si="23"/>
        <v/>
      </c>
      <c r="AM262" s="334" t="str">
        <f t="shared" si="24"/>
        <v/>
      </c>
      <c r="AN262" s="333" t="str">
        <f t="shared" si="25"/>
        <v/>
      </c>
      <c r="AO262" s="334" t="str">
        <f t="shared" si="26"/>
        <v/>
      </c>
      <c r="AP262" s="44"/>
      <c r="AQ262" s="2"/>
    </row>
    <row r="263" spans="1:43" ht="24.95" customHeight="1" x14ac:dyDescent="0.25">
      <c r="A263" s="2">
        <v>223</v>
      </c>
      <c r="B263" s="349"/>
      <c r="C263" s="350"/>
      <c r="D263" s="351"/>
      <c r="E263" s="351"/>
      <c r="F263" s="336"/>
      <c r="G263" s="327"/>
      <c r="H263" s="327"/>
      <c r="I263" s="325">
        <f t="shared" si="27"/>
        <v>0</v>
      </c>
      <c r="J263" s="540" t="s">
        <v>281</v>
      </c>
      <c r="K263" s="540"/>
      <c r="L263" s="337">
        <f>IFERROR(IF(F263="Sem projeto",VLOOKUP(C263,$B$32:$H$34,7,FALSE)*1.5,G263*VLOOKUP(J263,Aux_Lista!$AG:$AH,2,FALSE)+H263)*E263,0)</f>
        <v>0</v>
      </c>
      <c r="M263" s="346" t="s">
        <v>90</v>
      </c>
      <c r="N263" s="347" t="s">
        <v>90</v>
      </c>
      <c r="O263" s="348" t="s">
        <v>90</v>
      </c>
      <c r="P263" s="386">
        <f t="shared" si="28"/>
        <v>0</v>
      </c>
      <c r="R263" s="94">
        <v>232</v>
      </c>
      <c r="S263" s="383"/>
      <c r="T263" s="214"/>
      <c r="U263" s="214"/>
      <c r="V263" s="217"/>
      <c r="W263" s="215"/>
      <c r="X263" s="336"/>
      <c r="Y263" s="68" t="str">
        <f>IF(V263="","",VLOOKUP(V263,Aux_Lista!A:K,11,FALSE))</f>
        <v/>
      </c>
      <c r="Z263" s="68" t="str">
        <f>IF(V263="","",VLOOKUP(V263,Aux_Lista!A:L,12,FALSE))</f>
        <v/>
      </c>
      <c r="AA263" s="68" t="str">
        <f>IF(W263="","",VLOOKUP(W263,Aux_Lista!AN:AP,3,FALSE))</f>
        <v/>
      </c>
      <c r="AB263" s="68" t="str">
        <f>IF(W263="","",VLOOKUP(W263,Aux_Lista!AN:AP,2,FALSE))</f>
        <v/>
      </c>
      <c r="AC263" s="69"/>
      <c r="AD263" s="69"/>
      <c r="AE263" s="325">
        <f t="shared" si="22"/>
        <v>0</v>
      </c>
      <c r="AF263" s="540" t="s">
        <v>281</v>
      </c>
      <c r="AG263" s="540"/>
      <c r="AH263" s="337">
        <f>IFERROR(IF(X263="Sem projeto",1.5*AA263,AC263*VLOOKUP(AF263,Aux_Lista!AG:AH,2,FALSE)+AD263)*U263,0)</f>
        <v>0</v>
      </c>
      <c r="AI263" s="343" t="s">
        <v>90</v>
      </c>
      <c r="AJ263" s="343" t="s">
        <v>90</v>
      </c>
      <c r="AK263" s="343" t="s">
        <v>90</v>
      </c>
      <c r="AL263" s="333" t="str">
        <f t="shared" si="23"/>
        <v/>
      </c>
      <c r="AM263" s="334" t="str">
        <f t="shared" si="24"/>
        <v/>
      </c>
      <c r="AN263" s="333" t="str">
        <f t="shared" si="25"/>
        <v/>
      </c>
      <c r="AO263" s="334" t="str">
        <f t="shared" si="26"/>
        <v/>
      </c>
      <c r="AP263" s="44"/>
      <c r="AQ263" s="2"/>
    </row>
    <row r="264" spans="1:43" ht="24.95" customHeight="1" x14ac:dyDescent="0.25">
      <c r="A264" s="2">
        <v>224</v>
      </c>
      <c r="B264" s="349"/>
      <c r="C264" s="350"/>
      <c r="D264" s="351"/>
      <c r="E264" s="351"/>
      <c r="F264" s="336"/>
      <c r="G264" s="327"/>
      <c r="H264" s="327"/>
      <c r="I264" s="325">
        <f t="shared" si="27"/>
        <v>0</v>
      </c>
      <c r="J264" s="540" t="s">
        <v>281</v>
      </c>
      <c r="K264" s="540"/>
      <c r="L264" s="337">
        <f>IFERROR(IF(F264="Sem projeto",VLOOKUP(C264,$B$32:$H$34,7,FALSE)*1.5,G264*VLOOKUP(J264,Aux_Lista!$AG:$AH,2,FALSE)+H264)*E264,0)</f>
        <v>0</v>
      </c>
      <c r="M264" s="346" t="s">
        <v>90</v>
      </c>
      <c r="N264" s="347" t="s">
        <v>90</v>
      </c>
      <c r="O264" s="348" t="s">
        <v>90</v>
      </c>
      <c r="P264" s="386">
        <f t="shared" si="28"/>
        <v>0</v>
      </c>
      <c r="R264" s="94">
        <v>233</v>
      </c>
      <c r="S264" s="383"/>
      <c r="T264" s="214"/>
      <c r="U264" s="214"/>
      <c r="V264" s="217"/>
      <c r="W264" s="215"/>
      <c r="X264" s="336"/>
      <c r="Y264" s="68" t="str">
        <f>IF(V264="","",VLOOKUP(V264,Aux_Lista!A:K,11,FALSE))</f>
        <v/>
      </c>
      <c r="Z264" s="68" t="str">
        <f>IF(V264="","",VLOOKUP(V264,Aux_Lista!A:L,12,FALSE))</f>
        <v/>
      </c>
      <c r="AA264" s="68" t="str">
        <f>IF(W264="","",VLOOKUP(W264,Aux_Lista!AN:AP,3,FALSE))</f>
        <v/>
      </c>
      <c r="AB264" s="68" t="str">
        <f>IF(W264="","",VLOOKUP(W264,Aux_Lista!AN:AP,2,FALSE))</f>
        <v/>
      </c>
      <c r="AC264" s="69"/>
      <c r="AD264" s="69"/>
      <c r="AE264" s="325">
        <f t="shared" si="22"/>
        <v>0</v>
      </c>
      <c r="AF264" s="540" t="s">
        <v>281</v>
      </c>
      <c r="AG264" s="540"/>
      <c r="AH264" s="337">
        <f>IFERROR(IF(X264="Sem projeto",1.5*AA264,AC264*VLOOKUP(AF264,Aux_Lista!AG:AH,2,FALSE)+AD264)*U264,0)</f>
        <v>0</v>
      </c>
      <c r="AI264" s="343" t="s">
        <v>90</v>
      </c>
      <c r="AJ264" s="343" t="s">
        <v>90</v>
      </c>
      <c r="AK264" s="343" t="s">
        <v>90</v>
      </c>
      <c r="AL264" s="333" t="str">
        <f t="shared" si="23"/>
        <v/>
      </c>
      <c r="AM264" s="334" t="str">
        <f t="shared" si="24"/>
        <v/>
      </c>
      <c r="AN264" s="333" t="str">
        <f t="shared" si="25"/>
        <v/>
      </c>
      <c r="AO264" s="334" t="str">
        <f t="shared" si="26"/>
        <v/>
      </c>
      <c r="AP264" s="44"/>
      <c r="AQ264" s="2"/>
    </row>
    <row r="265" spans="1:43" ht="24.95" customHeight="1" x14ac:dyDescent="0.25">
      <c r="A265" s="2">
        <v>225</v>
      </c>
      <c r="B265" s="349"/>
      <c r="C265" s="350"/>
      <c r="D265" s="351"/>
      <c r="E265" s="351"/>
      <c r="F265" s="336"/>
      <c r="G265" s="327"/>
      <c r="H265" s="327"/>
      <c r="I265" s="325">
        <f t="shared" si="27"/>
        <v>0</v>
      </c>
      <c r="J265" s="540" t="s">
        <v>281</v>
      </c>
      <c r="K265" s="540"/>
      <c r="L265" s="337">
        <f>IFERROR(IF(F265="Sem projeto",VLOOKUP(C265,$B$32:$H$34,7,FALSE)*1.5,G265*VLOOKUP(J265,Aux_Lista!$AG:$AH,2,FALSE)+H265)*E265,0)</f>
        <v>0</v>
      </c>
      <c r="M265" s="346" t="s">
        <v>90</v>
      </c>
      <c r="N265" s="347" t="s">
        <v>90</v>
      </c>
      <c r="O265" s="348" t="s">
        <v>90</v>
      </c>
      <c r="P265" s="386">
        <f t="shared" si="28"/>
        <v>0</v>
      </c>
      <c r="R265" s="94">
        <v>234</v>
      </c>
      <c r="S265" s="383"/>
      <c r="T265" s="214"/>
      <c r="U265" s="214"/>
      <c r="V265" s="217"/>
      <c r="W265" s="215"/>
      <c r="X265" s="336"/>
      <c r="Y265" s="68" t="str">
        <f>IF(V265="","",VLOOKUP(V265,Aux_Lista!A:K,11,FALSE))</f>
        <v/>
      </c>
      <c r="Z265" s="68" t="str">
        <f>IF(V265="","",VLOOKUP(V265,Aux_Lista!A:L,12,FALSE))</f>
        <v/>
      </c>
      <c r="AA265" s="68" t="str">
        <f>IF(W265="","",VLOOKUP(W265,Aux_Lista!AN:AP,3,FALSE))</f>
        <v/>
      </c>
      <c r="AB265" s="68" t="str">
        <f>IF(W265="","",VLOOKUP(W265,Aux_Lista!AN:AP,2,FALSE))</f>
        <v/>
      </c>
      <c r="AC265" s="69"/>
      <c r="AD265" s="69"/>
      <c r="AE265" s="325">
        <f t="shared" si="22"/>
        <v>0</v>
      </c>
      <c r="AF265" s="540" t="s">
        <v>281</v>
      </c>
      <c r="AG265" s="540"/>
      <c r="AH265" s="337">
        <f>IFERROR(IF(X265="Sem projeto",1.5*AA265,AC265*VLOOKUP(AF265,Aux_Lista!AG:AH,2,FALSE)+AD265)*U265,0)</f>
        <v>0</v>
      </c>
      <c r="AI265" s="343" t="s">
        <v>90</v>
      </c>
      <c r="AJ265" s="343" t="s">
        <v>90</v>
      </c>
      <c r="AK265" s="343" t="s">
        <v>90</v>
      </c>
      <c r="AL265" s="333" t="str">
        <f t="shared" si="23"/>
        <v/>
      </c>
      <c r="AM265" s="334" t="str">
        <f t="shared" si="24"/>
        <v/>
      </c>
      <c r="AN265" s="333" t="str">
        <f t="shared" si="25"/>
        <v/>
      </c>
      <c r="AO265" s="334" t="str">
        <f t="shared" si="26"/>
        <v/>
      </c>
      <c r="AP265" s="44"/>
      <c r="AQ265" s="2"/>
    </row>
    <row r="266" spans="1:43" ht="24.95" customHeight="1" x14ac:dyDescent="0.25">
      <c r="A266" s="2">
        <v>226</v>
      </c>
      <c r="B266" s="349"/>
      <c r="C266" s="350"/>
      <c r="D266" s="351"/>
      <c r="E266" s="351"/>
      <c r="F266" s="336"/>
      <c r="G266" s="327"/>
      <c r="H266" s="327"/>
      <c r="I266" s="325">
        <f t="shared" si="27"/>
        <v>0</v>
      </c>
      <c r="J266" s="540" t="s">
        <v>281</v>
      </c>
      <c r="K266" s="540"/>
      <c r="L266" s="337">
        <f>IFERROR(IF(F266="Sem projeto",VLOOKUP(C266,$B$32:$H$34,7,FALSE)*1.5,G266*VLOOKUP(J266,Aux_Lista!$AG:$AH,2,FALSE)+H266)*E266,0)</f>
        <v>0</v>
      </c>
      <c r="M266" s="346" t="s">
        <v>90</v>
      </c>
      <c r="N266" s="347" t="s">
        <v>90</v>
      </c>
      <c r="O266" s="348" t="s">
        <v>90</v>
      </c>
      <c r="P266" s="386">
        <f t="shared" si="28"/>
        <v>0</v>
      </c>
      <c r="R266" s="94">
        <v>235</v>
      </c>
      <c r="S266" s="383"/>
      <c r="T266" s="214"/>
      <c r="U266" s="214"/>
      <c r="V266" s="217"/>
      <c r="W266" s="215"/>
      <c r="X266" s="336"/>
      <c r="Y266" s="68" t="str">
        <f>IF(V266="","",VLOOKUP(V266,Aux_Lista!A:K,11,FALSE))</f>
        <v/>
      </c>
      <c r="Z266" s="68" t="str">
        <f>IF(V266="","",VLOOKUP(V266,Aux_Lista!A:L,12,FALSE))</f>
        <v/>
      </c>
      <c r="AA266" s="68" t="str">
        <f>IF(W266="","",VLOOKUP(W266,Aux_Lista!AN:AP,3,FALSE))</f>
        <v/>
      </c>
      <c r="AB266" s="68" t="str">
        <f>IF(W266="","",VLOOKUP(W266,Aux_Lista!AN:AP,2,FALSE))</f>
        <v/>
      </c>
      <c r="AC266" s="69"/>
      <c r="AD266" s="69"/>
      <c r="AE266" s="325">
        <f t="shared" si="22"/>
        <v>0</v>
      </c>
      <c r="AF266" s="540" t="s">
        <v>281</v>
      </c>
      <c r="AG266" s="540"/>
      <c r="AH266" s="337">
        <f>IFERROR(IF(X266="Sem projeto",1.5*AA266,AC266*VLOOKUP(AF266,Aux_Lista!AG:AH,2,FALSE)+AD266)*U266,0)</f>
        <v>0</v>
      </c>
      <c r="AI266" s="343" t="s">
        <v>90</v>
      </c>
      <c r="AJ266" s="343" t="s">
        <v>90</v>
      </c>
      <c r="AK266" s="343" t="s">
        <v>90</v>
      </c>
      <c r="AL266" s="333" t="str">
        <f t="shared" si="23"/>
        <v/>
      </c>
      <c r="AM266" s="334" t="str">
        <f t="shared" si="24"/>
        <v/>
      </c>
      <c r="AN266" s="333" t="str">
        <f t="shared" si="25"/>
        <v/>
      </c>
      <c r="AO266" s="334" t="str">
        <f t="shared" si="26"/>
        <v/>
      </c>
      <c r="AP266" s="44"/>
      <c r="AQ266" s="2"/>
    </row>
    <row r="267" spans="1:43" ht="24.95" customHeight="1" x14ac:dyDescent="0.25">
      <c r="A267" s="2">
        <v>227</v>
      </c>
      <c r="B267" s="349"/>
      <c r="C267" s="350"/>
      <c r="D267" s="351"/>
      <c r="E267" s="351"/>
      <c r="F267" s="336"/>
      <c r="G267" s="327"/>
      <c r="H267" s="327"/>
      <c r="I267" s="325">
        <f t="shared" si="27"/>
        <v>0</v>
      </c>
      <c r="J267" s="540" t="s">
        <v>281</v>
      </c>
      <c r="K267" s="540"/>
      <c r="L267" s="337">
        <f>IFERROR(IF(F267="Sem projeto",VLOOKUP(C267,$B$32:$H$34,7,FALSE)*1.5,G267*VLOOKUP(J267,Aux_Lista!$AG:$AH,2,FALSE)+H267)*E267,0)</f>
        <v>0</v>
      </c>
      <c r="M267" s="346" t="s">
        <v>90</v>
      </c>
      <c r="N267" s="347" t="s">
        <v>90</v>
      </c>
      <c r="O267" s="348" t="s">
        <v>90</v>
      </c>
      <c r="P267" s="386">
        <f t="shared" si="28"/>
        <v>0</v>
      </c>
      <c r="R267" s="94">
        <v>236</v>
      </c>
      <c r="S267" s="383"/>
      <c r="T267" s="214"/>
      <c r="U267" s="214"/>
      <c r="V267" s="217"/>
      <c r="W267" s="215"/>
      <c r="X267" s="336"/>
      <c r="Y267" s="68" t="str">
        <f>IF(V267="","",VLOOKUP(V267,Aux_Lista!A:K,11,FALSE))</f>
        <v/>
      </c>
      <c r="Z267" s="68" t="str">
        <f>IF(V267="","",VLOOKUP(V267,Aux_Lista!A:L,12,FALSE))</f>
        <v/>
      </c>
      <c r="AA267" s="68" t="str">
        <f>IF(W267="","",VLOOKUP(W267,Aux_Lista!AN:AP,3,FALSE))</f>
        <v/>
      </c>
      <c r="AB267" s="68" t="str">
        <f>IF(W267="","",VLOOKUP(W267,Aux_Lista!AN:AP,2,FALSE))</f>
        <v/>
      </c>
      <c r="AC267" s="69"/>
      <c r="AD267" s="69"/>
      <c r="AE267" s="325">
        <f t="shared" si="22"/>
        <v>0</v>
      </c>
      <c r="AF267" s="540" t="s">
        <v>281</v>
      </c>
      <c r="AG267" s="540"/>
      <c r="AH267" s="337">
        <f>IFERROR(IF(X267="Sem projeto",1.5*AA267,AC267*VLOOKUP(AF267,Aux_Lista!AG:AH,2,FALSE)+AD267)*U267,0)</f>
        <v>0</v>
      </c>
      <c r="AI267" s="343" t="s">
        <v>90</v>
      </c>
      <c r="AJ267" s="343" t="s">
        <v>90</v>
      </c>
      <c r="AK267" s="343" t="s">
        <v>90</v>
      </c>
      <c r="AL267" s="333" t="str">
        <f t="shared" si="23"/>
        <v/>
      </c>
      <c r="AM267" s="334" t="str">
        <f t="shared" si="24"/>
        <v/>
      </c>
      <c r="AN267" s="333" t="str">
        <f t="shared" si="25"/>
        <v/>
      </c>
      <c r="AO267" s="334" t="str">
        <f t="shared" si="26"/>
        <v/>
      </c>
      <c r="AP267" s="44"/>
      <c r="AQ267" s="2"/>
    </row>
    <row r="268" spans="1:43" ht="24.95" customHeight="1" x14ac:dyDescent="0.25">
      <c r="A268" s="2">
        <v>228</v>
      </c>
      <c r="B268" s="349"/>
      <c r="C268" s="350"/>
      <c r="D268" s="351"/>
      <c r="E268" s="351"/>
      <c r="F268" s="336"/>
      <c r="G268" s="327"/>
      <c r="H268" s="327"/>
      <c r="I268" s="325">
        <f t="shared" si="27"/>
        <v>0</v>
      </c>
      <c r="J268" s="540" t="s">
        <v>281</v>
      </c>
      <c r="K268" s="540"/>
      <c r="L268" s="337">
        <f>IFERROR(IF(F268="Sem projeto",VLOOKUP(C268,$B$32:$H$34,7,FALSE)*1.5,G268*VLOOKUP(J268,Aux_Lista!$AG:$AH,2,FALSE)+H268)*E268,0)</f>
        <v>0</v>
      </c>
      <c r="M268" s="346" t="s">
        <v>90</v>
      </c>
      <c r="N268" s="347" t="s">
        <v>90</v>
      </c>
      <c r="O268" s="348" t="s">
        <v>90</v>
      </c>
      <c r="P268" s="386">
        <f t="shared" si="28"/>
        <v>0</v>
      </c>
      <c r="R268" s="94">
        <v>237</v>
      </c>
      <c r="S268" s="383"/>
      <c r="T268" s="214"/>
      <c r="U268" s="214"/>
      <c r="V268" s="217"/>
      <c r="W268" s="215"/>
      <c r="X268" s="336"/>
      <c r="Y268" s="68" t="str">
        <f>IF(V268="","",VLOOKUP(V268,Aux_Lista!A:K,11,FALSE))</f>
        <v/>
      </c>
      <c r="Z268" s="68" t="str">
        <f>IF(V268="","",VLOOKUP(V268,Aux_Lista!A:L,12,FALSE))</f>
        <v/>
      </c>
      <c r="AA268" s="68" t="str">
        <f>IF(W268="","",VLOOKUP(W268,Aux_Lista!AN:AP,3,FALSE))</f>
        <v/>
      </c>
      <c r="AB268" s="68" t="str">
        <f>IF(W268="","",VLOOKUP(W268,Aux_Lista!AN:AP,2,FALSE))</f>
        <v/>
      </c>
      <c r="AC268" s="69"/>
      <c r="AD268" s="69"/>
      <c r="AE268" s="325">
        <f t="shared" si="22"/>
        <v>0</v>
      </c>
      <c r="AF268" s="540" t="s">
        <v>281</v>
      </c>
      <c r="AG268" s="540"/>
      <c r="AH268" s="337">
        <f>IFERROR(IF(X268="Sem projeto",1.5*AA268,AC268*VLOOKUP(AF268,Aux_Lista!AG:AH,2,FALSE)+AD268)*U268,0)</f>
        <v>0</v>
      </c>
      <c r="AI268" s="343" t="s">
        <v>90</v>
      </c>
      <c r="AJ268" s="343" t="s">
        <v>90</v>
      </c>
      <c r="AK268" s="343" t="s">
        <v>90</v>
      </c>
      <c r="AL268" s="333" t="str">
        <f t="shared" si="23"/>
        <v/>
      </c>
      <c r="AM268" s="334" t="str">
        <f t="shared" si="24"/>
        <v/>
      </c>
      <c r="AN268" s="333" t="str">
        <f t="shared" si="25"/>
        <v/>
      </c>
      <c r="AO268" s="334" t="str">
        <f t="shared" si="26"/>
        <v/>
      </c>
      <c r="AP268" s="44"/>
      <c r="AQ268" s="2"/>
    </row>
    <row r="269" spans="1:43" ht="24.95" customHeight="1" x14ac:dyDescent="0.25">
      <c r="A269" s="2">
        <v>229</v>
      </c>
      <c r="B269" s="349"/>
      <c r="C269" s="350"/>
      <c r="D269" s="351"/>
      <c r="E269" s="351"/>
      <c r="F269" s="336"/>
      <c r="G269" s="327"/>
      <c r="H269" s="327"/>
      <c r="I269" s="325">
        <f t="shared" si="27"/>
        <v>0</v>
      </c>
      <c r="J269" s="540" t="s">
        <v>281</v>
      </c>
      <c r="K269" s="540"/>
      <c r="L269" s="337">
        <f>IFERROR(IF(F269="Sem projeto",VLOOKUP(C269,$B$32:$H$34,7,FALSE)*1.5,G269*VLOOKUP(J269,Aux_Lista!$AG:$AH,2,FALSE)+H269)*E269,0)</f>
        <v>0</v>
      </c>
      <c r="M269" s="346" t="s">
        <v>90</v>
      </c>
      <c r="N269" s="347" t="s">
        <v>90</v>
      </c>
      <c r="O269" s="348" t="s">
        <v>90</v>
      </c>
      <c r="P269" s="386">
        <f t="shared" si="28"/>
        <v>0</v>
      </c>
      <c r="R269" s="94">
        <v>238</v>
      </c>
      <c r="S269" s="383"/>
      <c r="T269" s="214"/>
      <c r="U269" s="214"/>
      <c r="V269" s="217"/>
      <c r="W269" s="215"/>
      <c r="X269" s="336"/>
      <c r="Y269" s="68" t="str">
        <f>IF(V269="","",VLOOKUP(V269,Aux_Lista!A:K,11,FALSE))</f>
        <v/>
      </c>
      <c r="Z269" s="68" t="str">
        <f>IF(V269="","",VLOOKUP(V269,Aux_Lista!A:L,12,FALSE))</f>
        <v/>
      </c>
      <c r="AA269" s="68" t="str">
        <f>IF(W269="","",VLOOKUP(W269,Aux_Lista!AN:AP,3,FALSE))</f>
        <v/>
      </c>
      <c r="AB269" s="68" t="str">
        <f>IF(W269="","",VLOOKUP(W269,Aux_Lista!AN:AP,2,FALSE))</f>
        <v/>
      </c>
      <c r="AC269" s="69"/>
      <c r="AD269" s="69"/>
      <c r="AE269" s="325">
        <f t="shared" si="22"/>
        <v>0</v>
      </c>
      <c r="AF269" s="540" t="s">
        <v>281</v>
      </c>
      <c r="AG269" s="540"/>
      <c r="AH269" s="337">
        <f>IFERROR(IF(X269="Sem projeto",1.5*AA269,AC269*VLOOKUP(AF269,Aux_Lista!AG:AH,2,FALSE)+AD269)*U269,0)</f>
        <v>0</v>
      </c>
      <c r="AI269" s="343" t="s">
        <v>90</v>
      </c>
      <c r="AJ269" s="343" t="s">
        <v>90</v>
      </c>
      <c r="AK269" s="343" t="s">
        <v>90</v>
      </c>
      <c r="AL269" s="333" t="str">
        <f t="shared" si="23"/>
        <v/>
      </c>
      <c r="AM269" s="334" t="str">
        <f t="shared" si="24"/>
        <v/>
      </c>
      <c r="AN269" s="333" t="str">
        <f t="shared" si="25"/>
        <v/>
      </c>
      <c r="AO269" s="334" t="str">
        <f t="shared" si="26"/>
        <v/>
      </c>
      <c r="AP269" s="44"/>
      <c r="AQ269" s="2"/>
    </row>
    <row r="270" spans="1:43" ht="24.95" customHeight="1" x14ac:dyDescent="0.25">
      <c r="A270" s="2">
        <v>230</v>
      </c>
      <c r="B270" s="349"/>
      <c r="C270" s="350"/>
      <c r="D270" s="351"/>
      <c r="E270" s="351"/>
      <c r="F270" s="336"/>
      <c r="G270" s="327"/>
      <c r="H270" s="327"/>
      <c r="I270" s="325">
        <f t="shared" si="27"/>
        <v>0</v>
      </c>
      <c r="J270" s="540" t="s">
        <v>281</v>
      </c>
      <c r="K270" s="540"/>
      <c r="L270" s="337">
        <f>IFERROR(IF(F270="Sem projeto",VLOOKUP(C270,$B$32:$H$34,7,FALSE)*1.5,G270*VLOOKUP(J270,Aux_Lista!$AG:$AH,2,FALSE)+H270)*E270,0)</f>
        <v>0</v>
      </c>
      <c r="M270" s="346" t="s">
        <v>90</v>
      </c>
      <c r="N270" s="347" t="s">
        <v>90</v>
      </c>
      <c r="O270" s="348" t="s">
        <v>90</v>
      </c>
      <c r="P270" s="386">
        <f t="shared" si="28"/>
        <v>0</v>
      </c>
      <c r="R270" s="94">
        <v>239</v>
      </c>
      <c r="S270" s="383"/>
      <c r="T270" s="214"/>
      <c r="U270" s="214"/>
      <c r="V270" s="217"/>
      <c r="W270" s="215"/>
      <c r="X270" s="336"/>
      <c r="Y270" s="68" t="str">
        <f>IF(V270="","",VLOOKUP(V270,Aux_Lista!A:K,11,FALSE))</f>
        <v/>
      </c>
      <c r="Z270" s="68" t="str">
        <f>IF(V270="","",VLOOKUP(V270,Aux_Lista!A:L,12,FALSE))</f>
        <v/>
      </c>
      <c r="AA270" s="68" t="str">
        <f>IF(W270="","",VLOOKUP(W270,Aux_Lista!AN:AP,3,FALSE))</f>
        <v/>
      </c>
      <c r="AB270" s="68" t="str">
        <f>IF(W270="","",VLOOKUP(W270,Aux_Lista!AN:AP,2,FALSE))</f>
        <v/>
      </c>
      <c r="AC270" s="69"/>
      <c r="AD270" s="69"/>
      <c r="AE270" s="325">
        <f t="shared" si="22"/>
        <v>0</v>
      </c>
      <c r="AF270" s="540" t="s">
        <v>281</v>
      </c>
      <c r="AG270" s="540"/>
      <c r="AH270" s="337">
        <f>IFERROR(IF(X270="Sem projeto",1.5*AA270,AC270*VLOOKUP(AF270,Aux_Lista!AG:AH,2,FALSE)+AD270)*U270,0)</f>
        <v>0</v>
      </c>
      <c r="AI270" s="343" t="s">
        <v>90</v>
      </c>
      <c r="AJ270" s="343" t="s">
        <v>90</v>
      </c>
      <c r="AK270" s="343" t="s">
        <v>90</v>
      </c>
      <c r="AL270" s="333" t="str">
        <f t="shared" si="23"/>
        <v/>
      </c>
      <c r="AM270" s="334" t="str">
        <f t="shared" si="24"/>
        <v/>
      </c>
      <c r="AN270" s="333" t="str">
        <f t="shared" si="25"/>
        <v/>
      </c>
      <c r="AO270" s="334" t="str">
        <f t="shared" si="26"/>
        <v/>
      </c>
      <c r="AP270" s="44"/>
      <c r="AQ270" s="2"/>
    </row>
    <row r="271" spans="1:43" ht="24.95" customHeight="1" x14ac:dyDescent="0.25">
      <c r="A271" s="2">
        <v>231</v>
      </c>
      <c r="B271" s="349"/>
      <c r="C271" s="350"/>
      <c r="D271" s="351"/>
      <c r="E271" s="351"/>
      <c r="F271" s="336"/>
      <c r="G271" s="327"/>
      <c r="H271" s="327"/>
      <c r="I271" s="325">
        <f t="shared" si="27"/>
        <v>0</v>
      </c>
      <c r="J271" s="540" t="s">
        <v>281</v>
      </c>
      <c r="K271" s="540"/>
      <c r="L271" s="337">
        <f>IFERROR(IF(F271="Sem projeto",VLOOKUP(C271,$B$32:$H$34,7,FALSE)*1.5,G271*VLOOKUP(J271,Aux_Lista!$AG:$AH,2,FALSE)+H271)*E271,0)</f>
        <v>0</v>
      </c>
      <c r="M271" s="346" t="s">
        <v>90</v>
      </c>
      <c r="N271" s="347" t="s">
        <v>90</v>
      </c>
      <c r="O271" s="348" t="s">
        <v>90</v>
      </c>
      <c r="P271" s="386">
        <f t="shared" si="28"/>
        <v>0</v>
      </c>
      <c r="R271" s="94">
        <v>240</v>
      </c>
      <c r="S271" s="383"/>
      <c r="T271" s="214"/>
      <c r="U271" s="214"/>
      <c r="V271" s="217"/>
      <c r="W271" s="215"/>
      <c r="X271" s="336"/>
      <c r="Y271" s="68" t="str">
        <f>IF(V271="","",VLOOKUP(V271,Aux_Lista!A:K,11,FALSE))</f>
        <v/>
      </c>
      <c r="Z271" s="68" t="str">
        <f>IF(V271="","",VLOOKUP(V271,Aux_Lista!A:L,12,FALSE))</f>
        <v/>
      </c>
      <c r="AA271" s="68" t="str">
        <f>IF(W271="","",VLOOKUP(W271,Aux_Lista!AN:AP,3,FALSE))</f>
        <v/>
      </c>
      <c r="AB271" s="68" t="str">
        <f>IF(W271="","",VLOOKUP(W271,Aux_Lista!AN:AP,2,FALSE))</f>
        <v/>
      </c>
      <c r="AC271" s="69"/>
      <c r="AD271" s="69"/>
      <c r="AE271" s="325">
        <f t="shared" si="22"/>
        <v>0</v>
      </c>
      <c r="AF271" s="540" t="s">
        <v>281</v>
      </c>
      <c r="AG271" s="540"/>
      <c r="AH271" s="337">
        <f>IFERROR(IF(X271="Sem projeto",1.5*AA271,AC271*VLOOKUP(AF271,Aux_Lista!AG:AH,2,FALSE)+AD271)*U271,0)</f>
        <v>0</v>
      </c>
      <c r="AI271" s="343" t="s">
        <v>90</v>
      </c>
      <c r="AJ271" s="343" t="s">
        <v>90</v>
      </c>
      <c r="AK271" s="343" t="s">
        <v>90</v>
      </c>
      <c r="AL271" s="333" t="str">
        <f t="shared" si="23"/>
        <v/>
      </c>
      <c r="AM271" s="334" t="str">
        <f t="shared" si="24"/>
        <v/>
      </c>
      <c r="AN271" s="333" t="str">
        <f t="shared" si="25"/>
        <v/>
      </c>
      <c r="AO271" s="334" t="str">
        <f t="shared" si="26"/>
        <v/>
      </c>
      <c r="AP271" s="44"/>
      <c r="AQ271" s="2"/>
    </row>
    <row r="272" spans="1:43" ht="24.95" customHeight="1" x14ac:dyDescent="0.25">
      <c r="A272" s="2">
        <v>232</v>
      </c>
      <c r="B272" s="349"/>
      <c r="C272" s="350"/>
      <c r="D272" s="351"/>
      <c r="E272" s="351"/>
      <c r="F272" s="336"/>
      <c r="G272" s="327"/>
      <c r="H272" s="327"/>
      <c r="I272" s="325">
        <f t="shared" si="27"/>
        <v>0</v>
      </c>
      <c r="J272" s="540" t="s">
        <v>281</v>
      </c>
      <c r="K272" s="540"/>
      <c r="L272" s="337">
        <f>IFERROR(IF(F272="Sem projeto",VLOOKUP(C272,$B$32:$H$34,7,FALSE)*1.5,G272*VLOOKUP(J272,Aux_Lista!$AG:$AH,2,FALSE)+H272)*E272,0)</f>
        <v>0</v>
      </c>
      <c r="M272" s="346" t="s">
        <v>90</v>
      </c>
      <c r="N272" s="347" t="s">
        <v>90</v>
      </c>
      <c r="O272" s="348" t="s">
        <v>90</v>
      </c>
      <c r="P272" s="386">
        <f t="shared" si="28"/>
        <v>0</v>
      </c>
      <c r="R272" s="94">
        <v>241</v>
      </c>
      <c r="S272" s="383"/>
      <c r="T272" s="214"/>
      <c r="U272" s="214"/>
      <c r="V272" s="217"/>
      <c r="W272" s="215"/>
      <c r="X272" s="336"/>
      <c r="Y272" s="68" t="str">
        <f>IF(V272="","",VLOOKUP(V272,Aux_Lista!A:K,11,FALSE))</f>
        <v/>
      </c>
      <c r="Z272" s="68" t="str">
        <f>IF(V272="","",VLOOKUP(V272,Aux_Lista!A:L,12,FALSE))</f>
        <v/>
      </c>
      <c r="AA272" s="68" t="str">
        <f>IF(W272="","",VLOOKUP(W272,Aux_Lista!AN:AP,3,FALSE))</f>
        <v/>
      </c>
      <c r="AB272" s="68" t="str">
        <f>IF(W272="","",VLOOKUP(W272,Aux_Lista!AN:AP,2,FALSE))</f>
        <v/>
      </c>
      <c r="AC272" s="69"/>
      <c r="AD272" s="69"/>
      <c r="AE272" s="325">
        <f t="shared" si="22"/>
        <v>0</v>
      </c>
      <c r="AF272" s="540" t="s">
        <v>281</v>
      </c>
      <c r="AG272" s="540"/>
      <c r="AH272" s="337">
        <f>IFERROR(IF(X272="Sem projeto",1.5*AA272,AC272*VLOOKUP(AF272,Aux_Lista!AG:AH,2,FALSE)+AD272)*U272,0)</f>
        <v>0</v>
      </c>
      <c r="AI272" s="343" t="s">
        <v>90</v>
      </c>
      <c r="AJ272" s="343" t="s">
        <v>90</v>
      </c>
      <c r="AK272" s="343" t="s">
        <v>90</v>
      </c>
      <c r="AL272" s="333" t="str">
        <f t="shared" si="23"/>
        <v/>
      </c>
      <c r="AM272" s="334" t="str">
        <f t="shared" si="24"/>
        <v/>
      </c>
      <c r="AN272" s="333" t="str">
        <f t="shared" si="25"/>
        <v/>
      </c>
      <c r="AO272" s="334" t="str">
        <f t="shared" si="26"/>
        <v/>
      </c>
      <c r="AP272" s="44"/>
      <c r="AQ272" s="2"/>
    </row>
    <row r="273" spans="1:43" ht="24.95" customHeight="1" x14ac:dyDescent="0.25">
      <c r="A273" s="2">
        <v>233</v>
      </c>
      <c r="B273" s="349"/>
      <c r="C273" s="350"/>
      <c r="D273" s="351"/>
      <c r="E273" s="351"/>
      <c r="F273" s="336"/>
      <c r="G273" s="327"/>
      <c r="H273" s="327"/>
      <c r="I273" s="325">
        <f t="shared" si="27"/>
        <v>0</v>
      </c>
      <c r="J273" s="540" t="s">
        <v>281</v>
      </c>
      <c r="K273" s="540"/>
      <c r="L273" s="337">
        <f>IFERROR(IF(F273="Sem projeto",VLOOKUP(C273,$B$32:$H$34,7,FALSE)*1.5,G273*VLOOKUP(J273,Aux_Lista!$AG:$AH,2,FALSE)+H273)*E273,0)</f>
        <v>0</v>
      </c>
      <c r="M273" s="346" t="s">
        <v>90</v>
      </c>
      <c r="N273" s="347" t="s">
        <v>90</v>
      </c>
      <c r="O273" s="348" t="s">
        <v>90</v>
      </c>
      <c r="P273" s="386">
        <f t="shared" si="28"/>
        <v>0</v>
      </c>
      <c r="R273" s="94">
        <v>242</v>
      </c>
      <c r="S273" s="383"/>
      <c r="T273" s="214"/>
      <c r="U273" s="214"/>
      <c r="V273" s="217"/>
      <c r="W273" s="215"/>
      <c r="X273" s="336"/>
      <c r="Y273" s="68" t="str">
        <f>IF(V273="","",VLOOKUP(V273,Aux_Lista!A:K,11,FALSE))</f>
        <v/>
      </c>
      <c r="Z273" s="68" t="str">
        <f>IF(V273="","",VLOOKUP(V273,Aux_Lista!A:L,12,FALSE))</f>
        <v/>
      </c>
      <c r="AA273" s="68" t="str">
        <f>IF(W273="","",VLOOKUP(W273,Aux_Lista!AN:AP,3,FALSE))</f>
        <v/>
      </c>
      <c r="AB273" s="68" t="str">
        <f>IF(W273="","",VLOOKUP(W273,Aux_Lista!AN:AP,2,FALSE))</f>
        <v/>
      </c>
      <c r="AC273" s="69"/>
      <c r="AD273" s="69"/>
      <c r="AE273" s="325">
        <f t="shared" si="22"/>
        <v>0</v>
      </c>
      <c r="AF273" s="540" t="s">
        <v>281</v>
      </c>
      <c r="AG273" s="540"/>
      <c r="AH273" s="337">
        <f>IFERROR(IF(X273="Sem projeto",1.5*AA273,AC273*VLOOKUP(AF273,Aux_Lista!AG:AH,2,FALSE)+AD273)*U273,0)</f>
        <v>0</v>
      </c>
      <c r="AI273" s="343" t="s">
        <v>90</v>
      </c>
      <c r="AJ273" s="343" t="s">
        <v>90</v>
      </c>
      <c r="AK273" s="343" t="s">
        <v>90</v>
      </c>
      <c r="AL273" s="333" t="str">
        <f t="shared" si="23"/>
        <v/>
      </c>
      <c r="AM273" s="334" t="str">
        <f t="shared" si="24"/>
        <v/>
      </c>
      <c r="AN273" s="333" t="str">
        <f t="shared" si="25"/>
        <v/>
      </c>
      <c r="AO273" s="334" t="str">
        <f t="shared" si="26"/>
        <v/>
      </c>
      <c r="AP273" s="44"/>
      <c r="AQ273" s="2"/>
    </row>
    <row r="274" spans="1:43" ht="24.95" customHeight="1" x14ac:dyDescent="0.25">
      <c r="A274" s="2">
        <v>234</v>
      </c>
      <c r="B274" s="349"/>
      <c r="C274" s="350"/>
      <c r="D274" s="351"/>
      <c r="E274" s="351"/>
      <c r="F274" s="336"/>
      <c r="G274" s="327"/>
      <c r="H274" s="327"/>
      <c r="I274" s="325">
        <f t="shared" si="27"/>
        <v>0</v>
      </c>
      <c r="J274" s="540" t="s">
        <v>281</v>
      </c>
      <c r="K274" s="540"/>
      <c r="L274" s="337">
        <f>IFERROR(IF(F274="Sem projeto",VLOOKUP(C274,$B$32:$H$34,7,FALSE)*1.5,G274*VLOOKUP(J274,Aux_Lista!$AG:$AH,2,FALSE)+H274)*E274,0)</f>
        <v>0</v>
      </c>
      <c r="M274" s="346" t="s">
        <v>90</v>
      </c>
      <c r="N274" s="347" t="s">
        <v>90</v>
      </c>
      <c r="O274" s="348" t="s">
        <v>90</v>
      </c>
      <c r="P274" s="386">
        <f t="shared" si="28"/>
        <v>0</v>
      </c>
      <c r="R274" s="94">
        <v>243</v>
      </c>
      <c r="S274" s="383"/>
      <c r="T274" s="214"/>
      <c r="U274" s="214"/>
      <c r="V274" s="217"/>
      <c r="W274" s="215"/>
      <c r="X274" s="336"/>
      <c r="Y274" s="68" t="str">
        <f>IF(V274="","",VLOOKUP(V274,Aux_Lista!A:K,11,FALSE))</f>
        <v/>
      </c>
      <c r="Z274" s="68" t="str">
        <f>IF(V274="","",VLOOKUP(V274,Aux_Lista!A:L,12,FALSE))</f>
        <v/>
      </c>
      <c r="AA274" s="68" t="str">
        <f>IF(W274="","",VLOOKUP(W274,Aux_Lista!AN:AP,3,FALSE))</f>
        <v/>
      </c>
      <c r="AB274" s="68" t="str">
        <f>IF(W274="","",VLOOKUP(W274,Aux_Lista!AN:AP,2,FALSE))</f>
        <v/>
      </c>
      <c r="AC274" s="69"/>
      <c r="AD274" s="69"/>
      <c r="AE274" s="325">
        <f t="shared" si="22"/>
        <v>0</v>
      </c>
      <c r="AF274" s="540" t="s">
        <v>281</v>
      </c>
      <c r="AG274" s="540"/>
      <c r="AH274" s="337">
        <f>IFERROR(IF(X274="Sem projeto",1.5*AA274,AC274*VLOOKUP(AF274,Aux_Lista!AG:AH,2,FALSE)+AD274)*U274,0)</f>
        <v>0</v>
      </c>
      <c r="AI274" s="343" t="s">
        <v>90</v>
      </c>
      <c r="AJ274" s="343" t="s">
        <v>90</v>
      </c>
      <c r="AK274" s="343" t="s">
        <v>90</v>
      </c>
      <c r="AL274" s="333" t="str">
        <f t="shared" si="23"/>
        <v/>
      </c>
      <c r="AM274" s="334" t="str">
        <f t="shared" si="24"/>
        <v/>
      </c>
      <c r="AN274" s="333" t="str">
        <f t="shared" si="25"/>
        <v/>
      </c>
      <c r="AO274" s="334" t="str">
        <f t="shared" si="26"/>
        <v/>
      </c>
      <c r="AP274" s="44"/>
      <c r="AQ274" s="2"/>
    </row>
    <row r="275" spans="1:43" ht="24.95" customHeight="1" x14ac:dyDescent="0.25">
      <c r="A275" s="2">
        <v>235</v>
      </c>
      <c r="B275" s="349"/>
      <c r="C275" s="350"/>
      <c r="D275" s="351"/>
      <c r="E275" s="351"/>
      <c r="F275" s="336"/>
      <c r="G275" s="327"/>
      <c r="H275" s="327"/>
      <c r="I275" s="325">
        <f t="shared" si="27"/>
        <v>0</v>
      </c>
      <c r="J275" s="540" t="s">
        <v>281</v>
      </c>
      <c r="K275" s="540"/>
      <c r="L275" s="337">
        <f>IFERROR(IF(F275="Sem projeto",VLOOKUP(C275,$B$32:$H$34,7,FALSE)*1.5,G275*VLOOKUP(J275,Aux_Lista!$AG:$AH,2,FALSE)+H275)*E275,0)</f>
        <v>0</v>
      </c>
      <c r="M275" s="346" t="s">
        <v>90</v>
      </c>
      <c r="N275" s="347" t="s">
        <v>90</v>
      </c>
      <c r="O275" s="348" t="s">
        <v>90</v>
      </c>
      <c r="P275" s="386">
        <f t="shared" si="28"/>
        <v>0</v>
      </c>
      <c r="R275" s="94">
        <v>244</v>
      </c>
      <c r="S275" s="383"/>
      <c r="T275" s="214"/>
      <c r="U275" s="214"/>
      <c r="V275" s="217"/>
      <c r="W275" s="215"/>
      <c r="X275" s="336"/>
      <c r="Y275" s="68" t="str">
        <f>IF(V275="","",VLOOKUP(V275,Aux_Lista!A:K,11,FALSE))</f>
        <v/>
      </c>
      <c r="Z275" s="68" t="str">
        <f>IF(V275="","",VLOOKUP(V275,Aux_Lista!A:L,12,FALSE))</f>
        <v/>
      </c>
      <c r="AA275" s="68" t="str">
        <f>IF(W275="","",VLOOKUP(W275,Aux_Lista!AN:AP,3,FALSE))</f>
        <v/>
      </c>
      <c r="AB275" s="68" t="str">
        <f>IF(W275="","",VLOOKUP(W275,Aux_Lista!AN:AP,2,FALSE))</f>
        <v/>
      </c>
      <c r="AC275" s="69"/>
      <c r="AD275" s="69"/>
      <c r="AE275" s="325">
        <f t="shared" si="22"/>
        <v>0</v>
      </c>
      <c r="AF275" s="540" t="s">
        <v>281</v>
      </c>
      <c r="AG275" s="540"/>
      <c r="AH275" s="337">
        <f>IFERROR(IF(X275="Sem projeto",1.5*AA275,AC275*VLOOKUP(AF275,Aux_Lista!AG:AH,2,FALSE)+AD275)*U275,0)</f>
        <v>0</v>
      </c>
      <c r="AI275" s="343" t="s">
        <v>90</v>
      </c>
      <c r="AJ275" s="343" t="s">
        <v>90</v>
      </c>
      <c r="AK275" s="343" t="s">
        <v>90</v>
      </c>
      <c r="AL275" s="333" t="str">
        <f t="shared" si="23"/>
        <v/>
      </c>
      <c r="AM275" s="334" t="str">
        <f t="shared" si="24"/>
        <v/>
      </c>
      <c r="AN275" s="333" t="str">
        <f t="shared" si="25"/>
        <v/>
      </c>
      <c r="AO275" s="334" t="str">
        <f t="shared" si="26"/>
        <v/>
      </c>
      <c r="AP275" s="44"/>
      <c r="AQ275" s="2"/>
    </row>
    <row r="276" spans="1:43" ht="24.95" customHeight="1" x14ac:dyDescent="0.25">
      <c r="A276" s="2">
        <v>236</v>
      </c>
      <c r="B276" s="349"/>
      <c r="C276" s="350"/>
      <c r="D276" s="351"/>
      <c r="E276" s="351"/>
      <c r="F276" s="336"/>
      <c r="G276" s="327"/>
      <c r="H276" s="327"/>
      <c r="I276" s="325">
        <f t="shared" si="27"/>
        <v>0</v>
      </c>
      <c r="J276" s="540" t="s">
        <v>281</v>
      </c>
      <c r="K276" s="540"/>
      <c r="L276" s="337">
        <f>IFERROR(IF(F276="Sem projeto",VLOOKUP(C276,$B$32:$H$34,7,FALSE)*1.5,G276*VLOOKUP(J276,Aux_Lista!$AG:$AH,2,FALSE)+H276)*E276,0)</f>
        <v>0</v>
      </c>
      <c r="M276" s="346" t="s">
        <v>90</v>
      </c>
      <c r="N276" s="347" t="s">
        <v>90</v>
      </c>
      <c r="O276" s="348" t="s">
        <v>90</v>
      </c>
      <c r="P276" s="386">
        <f t="shared" si="28"/>
        <v>0</v>
      </c>
      <c r="R276" s="94">
        <v>245</v>
      </c>
      <c r="S276" s="383"/>
      <c r="T276" s="214"/>
      <c r="U276" s="214"/>
      <c r="V276" s="217"/>
      <c r="W276" s="215"/>
      <c r="X276" s="336"/>
      <c r="Y276" s="68" t="str">
        <f>IF(V276="","",VLOOKUP(V276,Aux_Lista!A:K,11,FALSE))</f>
        <v/>
      </c>
      <c r="Z276" s="68" t="str">
        <f>IF(V276="","",VLOOKUP(V276,Aux_Lista!A:L,12,FALSE))</f>
        <v/>
      </c>
      <c r="AA276" s="68" t="str">
        <f>IF(W276="","",VLOOKUP(W276,Aux_Lista!AN:AP,3,FALSE))</f>
        <v/>
      </c>
      <c r="AB276" s="68" t="str">
        <f>IF(W276="","",VLOOKUP(W276,Aux_Lista!AN:AP,2,FALSE))</f>
        <v/>
      </c>
      <c r="AC276" s="69"/>
      <c r="AD276" s="69"/>
      <c r="AE276" s="325">
        <f t="shared" si="22"/>
        <v>0</v>
      </c>
      <c r="AF276" s="540" t="s">
        <v>281</v>
      </c>
      <c r="AG276" s="540"/>
      <c r="AH276" s="337">
        <f>IFERROR(IF(X276="Sem projeto",1.5*AA276,AC276*VLOOKUP(AF276,Aux_Lista!AG:AH,2,FALSE)+AD276)*U276,0)</f>
        <v>0</v>
      </c>
      <c r="AI276" s="343" t="s">
        <v>90</v>
      </c>
      <c r="AJ276" s="343" t="s">
        <v>90</v>
      </c>
      <c r="AK276" s="343" t="s">
        <v>90</v>
      </c>
      <c r="AL276" s="333" t="str">
        <f t="shared" si="23"/>
        <v/>
      </c>
      <c r="AM276" s="334" t="str">
        <f t="shared" si="24"/>
        <v/>
      </c>
      <c r="AN276" s="333" t="str">
        <f t="shared" si="25"/>
        <v/>
      </c>
      <c r="AO276" s="334" t="str">
        <f t="shared" si="26"/>
        <v/>
      </c>
      <c r="AP276" s="44"/>
      <c r="AQ276" s="2"/>
    </row>
    <row r="277" spans="1:43" ht="24.95" customHeight="1" x14ac:dyDescent="0.25">
      <c r="A277" s="2">
        <v>237</v>
      </c>
      <c r="B277" s="349"/>
      <c r="C277" s="350"/>
      <c r="D277" s="351"/>
      <c r="E277" s="351"/>
      <c r="F277" s="336"/>
      <c r="G277" s="327"/>
      <c r="H277" s="327"/>
      <c r="I277" s="325">
        <f t="shared" si="27"/>
        <v>0</v>
      </c>
      <c r="J277" s="540" t="s">
        <v>281</v>
      </c>
      <c r="K277" s="540"/>
      <c r="L277" s="337">
        <f>IFERROR(IF(F277="Sem projeto",VLOOKUP(C277,$B$32:$H$34,7,FALSE)*1.5,G277*VLOOKUP(J277,Aux_Lista!$AG:$AH,2,FALSE)+H277)*E277,0)</f>
        <v>0</v>
      </c>
      <c r="M277" s="346" t="s">
        <v>90</v>
      </c>
      <c r="N277" s="347" t="s">
        <v>90</v>
      </c>
      <c r="O277" s="348" t="s">
        <v>90</v>
      </c>
      <c r="P277" s="386">
        <f t="shared" si="28"/>
        <v>0</v>
      </c>
      <c r="R277" s="94">
        <v>246</v>
      </c>
      <c r="S277" s="383"/>
      <c r="T277" s="214"/>
      <c r="U277" s="214"/>
      <c r="V277" s="217"/>
      <c r="W277" s="215"/>
      <c r="X277" s="336"/>
      <c r="Y277" s="68" t="str">
        <f>IF(V277="","",VLOOKUP(V277,Aux_Lista!A:K,11,FALSE))</f>
        <v/>
      </c>
      <c r="Z277" s="68" t="str">
        <f>IF(V277="","",VLOOKUP(V277,Aux_Lista!A:L,12,FALSE))</f>
        <v/>
      </c>
      <c r="AA277" s="68" t="str">
        <f>IF(W277="","",VLOOKUP(W277,Aux_Lista!AN:AP,3,FALSE))</f>
        <v/>
      </c>
      <c r="AB277" s="68" t="str">
        <f>IF(W277="","",VLOOKUP(W277,Aux_Lista!AN:AP,2,FALSE))</f>
        <v/>
      </c>
      <c r="AC277" s="69"/>
      <c r="AD277" s="69"/>
      <c r="AE277" s="325">
        <f t="shared" si="22"/>
        <v>0</v>
      </c>
      <c r="AF277" s="540" t="s">
        <v>281</v>
      </c>
      <c r="AG277" s="540"/>
      <c r="AH277" s="337">
        <f>IFERROR(IF(X277="Sem projeto",1.5*AA277,AC277*VLOOKUP(AF277,Aux_Lista!AG:AH,2,FALSE)+AD277)*U277,0)</f>
        <v>0</v>
      </c>
      <c r="AI277" s="343" t="s">
        <v>90</v>
      </c>
      <c r="AJ277" s="343" t="s">
        <v>90</v>
      </c>
      <c r="AK277" s="343" t="s">
        <v>90</v>
      </c>
      <c r="AL277" s="333" t="str">
        <f t="shared" si="23"/>
        <v/>
      </c>
      <c r="AM277" s="334" t="str">
        <f t="shared" si="24"/>
        <v/>
      </c>
      <c r="AN277" s="333" t="str">
        <f t="shared" si="25"/>
        <v/>
      </c>
      <c r="AO277" s="334" t="str">
        <f t="shared" si="26"/>
        <v/>
      </c>
      <c r="AP277" s="44"/>
      <c r="AQ277" s="2"/>
    </row>
    <row r="278" spans="1:43" ht="24.95" customHeight="1" x14ac:dyDescent="0.25">
      <c r="A278" s="2">
        <v>238</v>
      </c>
      <c r="B278" s="349"/>
      <c r="C278" s="350"/>
      <c r="D278" s="351"/>
      <c r="E278" s="351"/>
      <c r="F278" s="336"/>
      <c r="G278" s="327"/>
      <c r="H278" s="327"/>
      <c r="I278" s="325">
        <f t="shared" si="27"/>
        <v>0</v>
      </c>
      <c r="J278" s="540" t="s">
        <v>281</v>
      </c>
      <c r="K278" s="540"/>
      <c r="L278" s="337">
        <f>IFERROR(IF(F278="Sem projeto",VLOOKUP(C278,$B$32:$H$34,7,FALSE)*1.5,G278*VLOOKUP(J278,Aux_Lista!$AG:$AH,2,FALSE)+H278)*E278,0)</f>
        <v>0</v>
      </c>
      <c r="M278" s="346" t="s">
        <v>90</v>
      </c>
      <c r="N278" s="347" t="s">
        <v>90</v>
      </c>
      <c r="O278" s="348" t="s">
        <v>90</v>
      </c>
      <c r="P278" s="386">
        <f t="shared" si="28"/>
        <v>0</v>
      </c>
      <c r="R278" s="94">
        <v>247</v>
      </c>
      <c r="S278" s="383"/>
      <c r="T278" s="214"/>
      <c r="U278" s="214"/>
      <c r="V278" s="217"/>
      <c r="W278" s="215"/>
      <c r="X278" s="336"/>
      <c r="Y278" s="68" t="str">
        <f>IF(V278="","",VLOOKUP(V278,Aux_Lista!A:K,11,FALSE))</f>
        <v/>
      </c>
      <c r="Z278" s="68" t="str">
        <f>IF(V278="","",VLOOKUP(V278,Aux_Lista!A:L,12,FALSE))</f>
        <v/>
      </c>
      <c r="AA278" s="68" t="str">
        <f>IF(W278="","",VLOOKUP(W278,Aux_Lista!AN:AP,3,FALSE))</f>
        <v/>
      </c>
      <c r="AB278" s="68" t="str">
        <f>IF(W278="","",VLOOKUP(W278,Aux_Lista!AN:AP,2,FALSE))</f>
        <v/>
      </c>
      <c r="AC278" s="69"/>
      <c r="AD278" s="69"/>
      <c r="AE278" s="325">
        <f t="shared" si="22"/>
        <v>0</v>
      </c>
      <c r="AF278" s="540" t="s">
        <v>281</v>
      </c>
      <c r="AG278" s="540"/>
      <c r="AH278" s="337">
        <f>IFERROR(IF(X278="Sem projeto",1.5*AA278,AC278*VLOOKUP(AF278,Aux_Lista!AG:AH,2,FALSE)+AD278)*U278,0)</f>
        <v>0</v>
      </c>
      <c r="AI278" s="343" t="s">
        <v>90</v>
      </c>
      <c r="AJ278" s="343" t="s">
        <v>90</v>
      </c>
      <c r="AK278" s="343" t="s">
        <v>90</v>
      </c>
      <c r="AL278" s="333" t="str">
        <f t="shared" si="23"/>
        <v/>
      </c>
      <c r="AM278" s="334" t="str">
        <f t="shared" si="24"/>
        <v/>
      </c>
      <c r="AN278" s="333" t="str">
        <f t="shared" si="25"/>
        <v/>
      </c>
      <c r="AO278" s="334" t="str">
        <f t="shared" si="26"/>
        <v/>
      </c>
      <c r="AP278" s="44"/>
      <c r="AQ278" s="2"/>
    </row>
    <row r="279" spans="1:43" ht="24.95" customHeight="1" x14ac:dyDescent="0.25">
      <c r="A279" s="2">
        <v>239</v>
      </c>
      <c r="B279" s="349"/>
      <c r="C279" s="350"/>
      <c r="D279" s="351"/>
      <c r="E279" s="351"/>
      <c r="F279" s="336"/>
      <c r="G279" s="327"/>
      <c r="H279" s="327"/>
      <c r="I279" s="325">
        <f t="shared" si="27"/>
        <v>0</v>
      </c>
      <c r="J279" s="540" t="s">
        <v>281</v>
      </c>
      <c r="K279" s="540"/>
      <c r="L279" s="337">
        <f>IFERROR(IF(F279="Sem projeto",VLOOKUP(C279,$B$32:$H$34,7,FALSE)*1.5,G279*VLOOKUP(J279,Aux_Lista!$AG:$AH,2,FALSE)+H279)*E279,0)</f>
        <v>0</v>
      </c>
      <c r="M279" s="346" t="s">
        <v>90</v>
      </c>
      <c r="N279" s="347" t="s">
        <v>90</v>
      </c>
      <c r="O279" s="348" t="s">
        <v>90</v>
      </c>
      <c r="P279" s="386">
        <f t="shared" si="28"/>
        <v>0</v>
      </c>
      <c r="R279" s="94">
        <v>248</v>
      </c>
      <c r="S279" s="383"/>
      <c r="T279" s="214"/>
      <c r="U279" s="214"/>
      <c r="V279" s="217"/>
      <c r="W279" s="215"/>
      <c r="X279" s="336"/>
      <c r="Y279" s="68" t="str">
        <f>IF(V279="","",VLOOKUP(V279,Aux_Lista!A:K,11,FALSE))</f>
        <v/>
      </c>
      <c r="Z279" s="68" t="str">
        <f>IF(V279="","",VLOOKUP(V279,Aux_Lista!A:L,12,FALSE))</f>
        <v/>
      </c>
      <c r="AA279" s="68" t="str">
        <f>IF(W279="","",VLOOKUP(W279,Aux_Lista!AN:AP,3,FALSE))</f>
        <v/>
      </c>
      <c r="AB279" s="68" t="str">
        <f>IF(W279="","",VLOOKUP(W279,Aux_Lista!AN:AP,2,FALSE))</f>
        <v/>
      </c>
      <c r="AC279" s="69"/>
      <c r="AD279" s="69"/>
      <c r="AE279" s="325">
        <f t="shared" si="22"/>
        <v>0</v>
      </c>
      <c r="AF279" s="540" t="s">
        <v>281</v>
      </c>
      <c r="AG279" s="540"/>
      <c r="AH279" s="337">
        <f>IFERROR(IF(X279="Sem projeto",1.5*AA279,AC279*VLOOKUP(AF279,Aux_Lista!AG:AH,2,FALSE)+AD279)*U279,0)</f>
        <v>0</v>
      </c>
      <c r="AI279" s="343" t="s">
        <v>90</v>
      </c>
      <c r="AJ279" s="343" t="s">
        <v>90</v>
      </c>
      <c r="AK279" s="343" t="s">
        <v>90</v>
      </c>
      <c r="AL279" s="333" t="str">
        <f t="shared" si="23"/>
        <v/>
      </c>
      <c r="AM279" s="334" t="str">
        <f t="shared" si="24"/>
        <v/>
      </c>
      <c r="AN279" s="333" t="str">
        <f t="shared" si="25"/>
        <v/>
      </c>
      <c r="AO279" s="334" t="str">
        <f t="shared" si="26"/>
        <v/>
      </c>
      <c r="AP279" s="44"/>
      <c r="AQ279" s="2"/>
    </row>
    <row r="280" spans="1:43" ht="24.95" customHeight="1" x14ac:dyDescent="0.25">
      <c r="A280" s="2">
        <v>240</v>
      </c>
      <c r="B280" s="349"/>
      <c r="C280" s="350"/>
      <c r="D280" s="351"/>
      <c r="E280" s="351"/>
      <c r="F280" s="336"/>
      <c r="G280" s="327"/>
      <c r="H280" s="327"/>
      <c r="I280" s="325">
        <f t="shared" si="27"/>
        <v>0</v>
      </c>
      <c r="J280" s="540" t="s">
        <v>281</v>
      </c>
      <c r="K280" s="540"/>
      <c r="L280" s="337">
        <f>IFERROR(IF(F280="Sem projeto",VLOOKUP(C280,$B$32:$H$34,7,FALSE)*1.5,G280*VLOOKUP(J280,Aux_Lista!$AG:$AH,2,FALSE)+H280)*E280,0)</f>
        <v>0</v>
      </c>
      <c r="M280" s="346" t="s">
        <v>90</v>
      </c>
      <c r="N280" s="347" t="s">
        <v>90</v>
      </c>
      <c r="O280" s="348" t="s">
        <v>90</v>
      </c>
      <c r="P280" s="386">
        <f t="shared" si="28"/>
        <v>0</v>
      </c>
      <c r="R280" s="94">
        <v>249</v>
      </c>
      <c r="S280" s="383"/>
      <c r="T280" s="214"/>
      <c r="U280" s="214"/>
      <c r="V280" s="217"/>
      <c r="W280" s="215"/>
      <c r="X280" s="336"/>
      <c r="Y280" s="68" t="str">
        <f>IF(V280="","",VLOOKUP(V280,Aux_Lista!A:K,11,FALSE))</f>
        <v/>
      </c>
      <c r="Z280" s="68" t="str">
        <f>IF(V280="","",VLOOKUP(V280,Aux_Lista!A:L,12,FALSE))</f>
        <v/>
      </c>
      <c r="AA280" s="68" t="str">
        <f>IF(W280="","",VLOOKUP(W280,Aux_Lista!AN:AP,3,FALSE))</f>
        <v/>
      </c>
      <c r="AB280" s="68" t="str">
        <f>IF(W280="","",VLOOKUP(W280,Aux_Lista!AN:AP,2,FALSE))</f>
        <v/>
      </c>
      <c r="AC280" s="69"/>
      <c r="AD280" s="69"/>
      <c r="AE280" s="325">
        <f t="shared" si="22"/>
        <v>0</v>
      </c>
      <c r="AF280" s="540" t="s">
        <v>281</v>
      </c>
      <c r="AG280" s="540"/>
      <c r="AH280" s="337">
        <f>IFERROR(IF(X280="Sem projeto",1.5*AA280,AC280*VLOOKUP(AF280,Aux_Lista!AG:AH,2,FALSE)+AD280)*U280,0)</f>
        <v>0</v>
      </c>
      <c r="AI280" s="343" t="s">
        <v>90</v>
      </c>
      <c r="AJ280" s="343" t="s">
        <v>90</v>
      </c>
      <c r="AK280" s="343" t="s">
        <v>90</v>
      </c>
      <c r="AL280" s="333" t="str">
        <f t="shared" si="23"/>
        <v/>
      </c>
      <c r="AM280" s="334" t="str">
        <f t="shared" si="24"/>
        <v/>
      </c>
      <c r="AN280" s="333" t="str">
        <f t="shared" si="25"/>
        <v/>
      </c>
      <c r="AO280" s="334" t="str">
        <f t="shared" si="26"/>
        <v/>
      </c>
      <c r="AP280" s="44"/>
      <c r="AQ280" s="2"/>
    </row>
    <row r="281" spans="1:43" ht="24.95" customHeight="1" x14ac:dyDescent="0.25">
      <c r="A281" s="2">
        <v>241</v>
      </c>
      <c r="B281" s="349"/>
      <c r="C281" s="350"/>
      <c r="D281" s="351"/>
      <c r="E281" s="351"/>
      <c r="F281" s="336"/>
      <c r="G281" s="327"/>
      <c r="H281" s="327"/>
      <c r="I281" s="325">
        <f t="shared" si="27"/>
        <v>0</v>
      </c>
      <c r="J281" s="540" t="s">
        <v>281</v>
      </c>
      <c r="K281" s="540"/>
      <c r="L281" s="337">
        <f>IFERROR(IF(F281="Sem projeto",VLOOKUP(C281,$B$32:$H$34,7,FALSE)*1.5,G281*VLOOKUP(J281,Aux_Lista!$AG:$AH,2,FALSE)+H281)*E281,0)</f>
        <v>0</v>
      </c>
      <c r="M281" s="346" t="s">
        <v>90</v>
      </c>
      <c r="N281" s="347" t="s">
        <v>90</v>
      </c>
      <c r="O281" s="348" t="s">
        <v>90</v>
      </c>
      <c r="P281" s="386">
        <f t="shared" si="28"/>
        <v>0</v>
      </c>
      <c r="R281" s="94">
        <v>250</v>
      </c>
      <c r="S281" s="383"/>
      <c r="T281" s="214"/>
      <c r="U281" s="214"/>
      <c r="V281" s="217"/>
      <c r="W281" s="215"/>
      <c r="X281" s="336"/>
      <c r="Y281" s="68" t="str">
        <f>IF(V281="","",VLOOKUP(V281,Aux_Lista!A:K,11,FALSE))</f>
        <v/>
      </c>
      <c r="Z281" s="68" t="str">
        <f>IF(V281="","",VLOOKUP(V281,Aux_Lista!A:L,12,FALSE))</f>
        <v/>
      </c>
      <c r="AA281" s="68" t="str">
        <f>IF(W281="","",VLOOKUP(W281,Aux_Lista!AN:AP,3,FALSE))</f>
        <v/>
      </c>
      <c r="AB281" s="68" t="str">
        <f>IF(W281="","",VLOOKUP(W281,Aux_Lista!AN:AP,2,FALSE))</f>
        <v/>
      </c>
      <c r="AC281" s="69"/>
      <c r="AD281" s="69"/>
      <c r="AE281" s="325">
        <f t="shared" si="22"/>
        <v>0</v>
      </c>
      <c r="AF281" s="540" t="s">
        <v>281</v>
      </c>
      <c r="AG281" s="540"/>
      <c r="AH281" s="337">
        <f>IFERROR(IF(X281="Sem projeto",1.5*AA281,AC281*VLOOKUP(AF281,Aux_Lista!AG:AH,2,FALSE)+AD281)*U281,0)</f>
        <v>0</v>
      </c>
      <c r="AI281" s="343" t="s">
        <v>90</v>
      </c>
      <c r="AJ281" s="343" t="s">
        <v>90</v>
      </c>
      <c r="AK281" s="343" t="s">
        <v>90</v>
      </c>
      <c r="AL281" s="333" t="str">
        <f t="shared" si="23"/>
        <v/>
      </c>
      <c r="AM281" s="334" t="str">
        <f t="shared" si="24"/>
        <v/>
      </c>
      <c r="AN281" s="333" t="str">
        <f t="shared" si="25"/>
        <v/>
      </c>
      <c r="AO281" s="334" t="str">
        <f t="shared" si="26"/>
        <v/>
      </c>
      <c r="AP281" s="44"/>
      <c r="AQ281" s="2"/>
    </row>
    <row r="282" spans="1:43" ht="24.95" customHeight="1" x14ac:dyDescent="0.25">
      <c r="A282" s="2">
        <v>242</v>
      </c>
      <c r="B282" s="349"/>
      <c r="C282" s="350"/>
      <c r="D282" s="351"/>
      <c r="E282" s="351"/>
      <c r="F282" s="336"/>
      <c r="G282" s="327"/>
      <c r="H282" s="327"/>
      <c r="I282" s="325">
        <f t="shared" si="27"/>
        <v>0</v>
      </c>
      <c r="J282" s="540" t="s">
        <v>281</v>
      </c>
      <c r="K282" s="540"/>
      <c r="L282" s="337">
        <f>IFERROR(IF(F282="Sem projeto",VLOOKUP(C282,$B$32:$H$34,7,FALSE)*1.5,G282*VLOOKUP(J282,Aux_Lista!$AG:$AH,2,FALSE)+H282)*E282,0)</f>
        <v>0</v>
      </c>
      <c r="M282" s="346" t="s">
        <v>90</v>
      </c>
      <c r="N282" s="347" t="s">
        <v>90</v>
      </c>
      <c r="O282" s="348" t="s">
        <v>90</v>
      </c>
      <c r="P282" s="386">
        <f t="shared" si="28"/>
        <v>0</v>
      </c>
      <c r="R282" s="94">
        <v>251</v>
      </c>
      <c r="S282" s="383"/>
      <c r="T282" s="214"/>
      <c r="U282" s="214"/>
      <c r="V282" s="217"/>
      <c r="W282" s="215"/>
      <c r="X282" s="336"/>
      <c r="Y282" s="68" t="str">
        <f>IF(V282="","",VLOOKUP(V282,Aux_Lista!A:K,11,FALSE))</f>
        <v/>
      </c>
      <c r="Z282" s="68" t="str">
        <f>IF(V282="","",VLOOKUP(V282,Aux_Lista!A:L,12,FALSE))</f>
        <v/>
      </c>
      <c r="AA282" s="68" t="str">
        <f>IF(W282="","",VLOOKUP(W282,Aux_Lista!AN:AP,3,FALSE))</f>
        <v/>
      </c>
      <c r="AB282" s="68" t="str">
        <f>IF(W282="","",VLOOKUP(W282,Aux_Lista!AN:AP,2,FALSE))</f>
        <v/>
      </c>
      <c r="AC282" s="69"/>
      <c r="AD282" s="69"/>
      <c r="AE282" s="325">
        <f t="shared" si="22"/>
        <v>0</v>
      </c>
      <c r="AF282" s="540" t="s">
        <v>281</v>
      </c>
      <c r="AG282" s="540"/>
      <c r="AH282" s="337">
        <f>IFERROR(IF(X282="Sem projeto",1.5*AA282,AC282*VLOOKUP(AF282,Aux_Lista!AG:AH,2,FALSE)+AD282)*U282,0)</f>
        <v>0</v>
      </c>
      <c r="AI282" s="343" t="s">
        <v>90</v>
      </c>
      <c r="AJ282" s="343" t="s">
        <v>90</v>
      </c>
      <c r="AK282" s="343" t="s">
        <v>90</v>
      </c>
      <c r="AL282" s="333" t="str">
        <f t="shared" si="23"/>
        <v/>
      </c>
      <c r="AM282" s="334" t="str">
        <f t="shared" si="24"/>
        <v/>
      </c>
      <c r="AN282" s="333" t="str">
        <f t="shared" si="25"/>
        <v/>
      </c>
      <c r="AO282" s="334" t="str">
        <f t="shared" si="26"/>
        <v/>
      </c>
      <c r="AP282" s="44"/>
      <c r="AQ282" s="2"/>
    </row>
    <row r="283" spans="1:43" ht="24.95" customHeight="1" x14ac:dyDescent="0.25">
      <c r="A283" s="2">
        <v>243</v>
      </c>
      <c r="B283" s="349"/>
      <c r="C283" s="350"/>
      <c r="D283" s="351"/>
      <c r="E283" s="351"/>
      <c r="F283" s="336"/>
      <c r="G283" s="327"/>
      <c r="H283" s="327"/>
      <c r="I283" s="325">
        <f t="shared" si="27"/>
        <v>0</v>
      </c>
      <c r="J283" s="540" t="s">
        <v>281</v>
      </c>
      <c r="K283" s="540"/>
      <c r="L283" s="337">
        <f>IFERROR(IF(F283="Sem projeto",VLOOKUP(C283,$B$32:$H$34,7,FALSE)*1.5,G283*VLOOKUP(J283,Aux_Lista!$AG:$AH,2,FALSE)+H283)*E283,0)</f>
        <v>0</v>
      </c>
      <c r="M283" s="346" t="s">
        <v>90</v>
      </c>
      <c r="N283" s="347" t="s">
        <v>90</v>
      </c>
      <c r="O283" s="348" t="s">
        <v>90</v>
      </c>
      <c r="P283" s="386">
        <f t="shared" si="28"/>
        <v>0</v>
      </c>
      <c r="R283" s="94">
        <v>252</v>
      </c>
      <c r="S283" s="383"/>
      <c r="T283" s="214"/>
      <c r="U283" s="214"/>
      <c r="V283" s="217"/>
      <c r="W283" s="215"/>
      <c r="X283" s="336"/>
      <c r="Y283" s="68" t="str">
        <f>IF(V283="","",VLOOKUP(V283,Aux_Lista!A:K,11,FALSE))</f>
        <v/>
      </c>
      <c r="Z283" s="68" t="str">
        <f>IF(V283="","",VLOOKUP(V283,Aux_Lista!A:L,12,FALSE))</f>
        <v/>
      </c>
      <c r="AA283" s="68" t="str">
        <f>IF(W283="","",VLOOKUP(W283,Aux_Lista!AN:AP,3,FALSE))</f>
        <v/>
      </c>
      <c r="AB283" s="68" t="str">
        <f>IF(W283="","",VLOOKUP(W283,Aux_Lista!AN:AP,2,FALSE))</f>
        <v/>
      </c>
      <c r="AC283" s="69"/>
      <c r="AD283" s="69"/>
      <c r="AE283" s="325">
        <f t="shared" si="22"/>
        <v>0</v>
      </c>
      <c r="AF283" s="540" t="s">
        <v>281</v>
      </c>
      <c r="AG283" s="540"/>
      <c r="AH283" s="337">
        <f>IFERROR(IF(X283="Sem projeto",1.5*AA283,AC283*VLOOKUP(AF283,Aux_Lista!AG:AH,2,FALSE)+AD283)*U283,0)</f>
        <v>0</v>
      </c>
      <c r="AI283" s="343" t="s">
        <v>90</v>
      </c>
      <c r="AJ283" s="343" t="s">
        <v>90</v>
      </c>
      <c r="AK283" s="343" t="s">
        <v>90</v>
      </c>
      <c r="AL283" s="333" t="str">
        <f t="shared" si="23"/>
        <v/>
      </c>
      <c r="AM283" s="334" t="str">
        <f t="shared" si="24"/>
        <v/>
      </c>
      <c r="AN283" s="333" t="str">
        <f t="shared" si="25"/>
        <v/>
      </c>
      <c r="AO283" s="334" t="str">
        <f t="shared" si="26"/>
        <v/>
      </c>
      <c r="AP283" s="44"/>
      <c r="AQ283" s="2"/>
    </row>
    <row r="284" spans="1:43" ht="24.95" customHeight="1" x14ac:dyDescent="0.25">
      <c r="A284" s="2">
        <v>244</v>
      </c>
      <c r="B284" s="349"/>
      <c r="C284" s="350"/>
      <c r="D284" s="351"/>
      <c r="E284" s="351"/>
      <c r="F284" s="336"/>
      <c r="G284" s="327"/>
      <c r="H284" s="327"/>
      <c r="I284" s="325">
        <f t="shared" si="27"/>
        <v>0</v>
      </c>
      <c r="J284" s="540" t="s">
        <v>281</v>
      </c>
      <c r="K284" s="540"/>
      <c r="L284" s="337">
        <f>IFERROR(IF(F284="Sem projeto",VLOOKUP(C284,$B$32:$H$34,7,FALSE)*1.5,G284*VLOOKUP(J284,Aux_Lista!$AG:$AH,2,FALSE)+H284)*E284,0)</f>
        <v>0</v>
      </c>
      <c r="M284" s="346" t="s">
        <v>90</v>
      </c>
      <c r="N284" s="347" t="s">
        <v>90</v>
      </c>
      <c r="O284" s="348" t="s">
        <v>90</v>
      </c>
      <c r="P284" s="386">
        <f t="shared" si="28"/>
        <v>0</v>
      </c>
      <c r="R284" s="94">
        <v>253</v>
      </c>
      <c r="S284" s="383"/>
      <c r="T284" s="214"/>
      <c r="U284" s="214"/>
      <c r="V284" s="217"/>
      <c r="W284" s="215"/>
      <c r="X284" s="336"/>
      <c r="Y284" s="68" t="str">
        <f>IF(V284="","",VLOOKUP(V284,Aux_Lista!A:K,11,FALSE))</f>
        <v/>
      </c>
      <c r="Z284" s="68" t="str">
        <f>IF(V284="","",VLOOKUP(V284,Aux_Lista!A:L,12,FALSE))</f>
        <v/>
      </c>
      <c r="AA284" s="68" t="str">
        <f>IF(W284="","",VLOOKUP(W284,Aux_Lista!AN:AP,3,FALSE))</f>
        <v/>
      </c>
      <c r="AB284" s="68" t="str">
        <f>IF(W284="","",VLOOKUP(W284,Aux_Lista!AN:AP,2,FALSE))</f>
        <v/>
      </c>
      <c r="AC284" s="69"/>
      <c r="AD284" s="69"/>
      <c r="AE284" s="325">
        <f t="shared" si="22"/>
        <v>0</v>
      </c>
      <c r="AF284" s="540" t="s">
        <v>281</v>
      </c>
      <c r="AG284" s="540"/>
      <c r="AH284" s="337">
        <f>IFERROR(IF(X284="Sem projeto",1.5*AA284,AC284*VLOOKUP(AF284,Aux_Lista!AG:AH,2,FALSE)+AD284)*U284,0)</f>
        <v>0</v>
      </c>
      <c r="AI284" s="343" t="s">
        <v>90</v>
      </c>
      <c r="AJ284" s="343" t="s">
        <v>90</v>
      </c>
      <c r="AK284" s="343" t="s">
        <v>90</v>
      </c>
      <c r="AL284" s="333" t="str">
        <f t="shared" si="23"/>
        <v/>
      </c>
      <c r="AM284" s="334" t="str">
        <f t="shared" si="24"/>
        <v/>
      </c>
      <c r="AN284" s="333" t="str">
        <f t="shared" si="25"/>
        <v/>
      </c>
      <c r="AO284" s="334" t="str">
        <f t="shared" si="26"/>
        <v/>
      </c>
      <c r="AP284" s="44"/>
      <c r="AQ284" s="2"/>
    </row>
    <row r="285" spans="1:43" ht="24.95" customHeight="1" x14ac:dyDescent="0.25">
      <c r="A285" s="2">
        <v>245</v>
      </c>
      <c r="B285" s="349"/>
      <c r="C285" s="350"/>
      <c r="D285" s="351"/>
      <c r="E285" s="351"/>
      <c r="F285" s="336"/>
      <c r="G285" s="327"/>
      <c r="H285" s="327"/>
      <c r="I285" s="325">
        <f t="shared" si="27"/>
        <v>0</v>
      </c>
      <c r="J285" s="540" t="s">
        <v>281</v>
      </c>
      <c r="K285" s="540"/>
      <c r="L285" s="337">
        <f>IFERROR(IF(F285="Sem projeto",VLOOKUP(C285,$B$32:$H$34,7,FALSE)*1.5,G285*VLOOKUP(J285,Aux_Lista!$AG:$AH,2,FALSE)+H285)*E285,0)</f>
        <v>0</v>
      </c>
      <c r="M285" s="346" t="s">
        <v>90</v>
      </c>
      <c r="N285" s="347" t="s">
        <v>90</v>
      </c>
      <c r="O285" s="348" t="s">
        <v>90</v>
      </c>
      <c r="P285" s="386">
        <f t="shared" si="28"/>
        <v>0</v>
      </c>
      <c r="R285" s="94">
        <v>254</v>
      </c>
      <c r="S285" s="383"/>
      <c r="T285" s="214"/>
      <c r="U285" s="214"/>
      <c r="V285" s="217"/>
      <c r="W285" s="215"/>
      <c r="X285" s="336"/>
      <c r="Y285" s="68" t="str">
        <f>IF(V285="","",VLOOKUP(V285,Aux_Lista!A:K,11,FALSE))</f>
        <v/>
      </c>
      <c r="Z285" s="68" t="str">
        <f>IF(V285="","",VLOOKUP(V285,Aux_Lista!A:L,12,FALSE))</f>
        <v/>
      </c>
      <c r="AA285" s="68" t="str">
        <f>IF(W285="","",VLOOKUP(W285,Aux_Lista!AN:AP,3,FALSE))</f>
        <v/>
      </c>
      <c r="AB285" s="68" t="str">
        <f>IF(W285="","",VLOOKUP(W285,Aux_Lista!AN:AP,2,FALSE))</f>
        <v/>
      </c>
      <c r="AC285" s="69"/>
      <c r="AD285" s="69"/>
      <c r="AE285" s="325">
        <f t="shared" si="22"/>
        <v>0</v>
      </c>
      <c r="AF285" s="540" t="s">
        <v>281</v>
      </c>
      <c r="AG285" s="540"/>
      <c r="AH285" s="337">
        <f>IFERROR(IF(X285="Sem projeto",1.5*AA285,AC285*VLOOKUP(AF285,Aux_Lista!AG:AH,2,FALSE)+AD285)*U285,0)</f>
        <v>0</v>
      </c>
      <c r="AI285" s="343" t="s">
        <v>90</v>
      </c>
      <c r="AJ285" s="343" t="s">
        <v>90</v>
      </c>
      <c r="AK285" s="343" t="s">
        <v>90</v>
      </c>
      <c r="AL285" s="333" t="str">
        <f t="shared" si="23"/>
        <v/>
      </c>
      <c r="AM285" s="334" t="str">
        <f t="shared" si="24"/>
        <v/>
      </c>
      <c r="AN285" s="333" t="str">
        <f t="shared" si="25"/>
        <v/>
      </c>
      <c r="AO285" s="334" t="str">
        <f t="shared" si="26"/>
        <v/>
      </c>
      <c r="AP285" s="44"/>
      <c r="AQ285" s="2"/>
    </row>
    <row r="286" spans="1:43" ht="24.95" customHeight="1" x14ac:dyDescent="0.25">
      <c r="A286" s="2">
        <v>246</v>
      </c>
      <c r="B286" s="349"/>
      <c r="C286" s="350"/>
      <c r="D286" s="351"/>
      <c r="E286" s="351"/>
      <c r="F286" s="336"/>
      <c r="G286" s="327"/>
      <c r="H286" s="327"/>
      <c r="I286" s="325">
        <f t="shared" si="27"/>
        <v>0</v>
      </c>
      <c r="J286" s="540" t="s">
        <v>281</v>
      </c>
      <c r="K286" s="540"/>
      <c r="L286" s="337">
        <f>IFERROR(IF(F286="Sem projeto",VLOOKUP(C286,$B$32:$H$34,7,FALSE)*1.5,G286*VLOOKUP(J286,Aux_Lista!$AG:$AH,2,FALSE)+H286)*E286,0)</f>
        <v>0</v>
      </c>
      <c r="M286" s="346" t="s">
        <v>90</v>
      </c>
      <c r="N286" s="347" t="s">
        <v>90</v>
      </c>
      <c r="O286" s="348" t="s">
        <v>90</v>
      </c>
      <c r="P286" s="386">
        <f t="shared" si="28"/>
        <v>0</v>
      </c>
      <c r="R286" s="94">
        <v>255</v>
      </c>
      <c r="S286" s="383"/>
      <c r="T286" s="214"/>
      <c r="U286" s="214"/>
      <c r="V286" s="217"/>
      <c r="W286" s="215"/>
      <c r="X286" s="336"/>
      <c r="Y286" s="68" t="str">
        <f>IF(V286="","",VLOOKUP(V286,Aux_Lista!A:K,11,FALSE))</f>
        <v/>
      </c>
      <c r="Z286" s="68" t="str">
        <f>IF(V286="","",VLOOKUP(V286,Aux_Lista!A:L,12,FALSE))</f>
        <v/>
      </c>
      <c r="AA286" s="68" t="str">
        <f>IF(W286="","",VLOOKUP(W286,Aux_Lista!AN:AP,3,FALSE))</f>
        <v/>
      </c>
      <c r="AB286" s="68" t="str">
        <f>IF(W286="","",VLOOKUP(W286,Aux_Lista!AN:AP,2,FALSE))</f>
        <v/>
      </c>
      <c r="AC286" s="69"/>
      <c r="AD286" s="69"/>
      <c r="AE286" s="325">
        <f t="shared" si="22"/>
        <v>0</v>
      </c>
      <c r="AF286" s="540" t="s">
        <v>281</v>
      </c>
      <c r="AG286" s="540"/>
      <c r="AH286" s="337">
        <f>IFERROR(IF(X286="Sem projeto",1.5*AA286,AC286*VLOOKUP(AF286,Aux_Lista!AG:AH,2,FALSE)+AD286)*U286,0)</f>
        <v>0</v>
      </c>
      <c r="AI286" s="343" t="s">
        <v>90</v>
      </c>
      <c r="AJ286" s="343" t="s">
        <v>90</v>
      </c>
      <c r="AK286" s="343" t="s">
        <v>90</v>
      </c>
      <c r="AL286" s="333" t="str">
        <f t="shared" si="23"/>
        <v/>
      </c>
      <c r="AM286" s="334" t="str">
        <f t="shared" si="24"/>
        <v/>
      </c>
      <c r="AN286" s="333" t="str">
        <f t="shared" si="25"/>
        <v/>
      </c>
      <c r="AO286" s="334" t="str">
        <f t="shared" si="26"/>
        <v/>
      </c>
      <c r="AP286" s="44"/>
      <c r="AQ286" s="2"/>
    </row>
    <row r="287" spans="1:43" ht="24.95" customHeight="1" x14ac:dyDescent="0.25">
      <c r="A287" s="2">
        <v>247</v>
      </c>
      <c r="B287" s="349"/>
      <c r="C287" s="350"/>
      <c r="D287" s="351"/>
      <c r="E287" s="351"/>
      <c r="F287" s="336"/>
      <c r="G287" s="327"/>
      <c r="H287" s="327"/>
      <c r="I287" s="325">
        <f t="shared" si="27"/>
        <v>0</v>
      </c>
      <c r="J287" s="540" t="s">
        <v>281</v>
      </c>
      <c r="K287" s="540"/>
      <c r="L287" s="337">
        <f>IFERROR(IF(F287="Sem projeto",VLOOKUP(C287,$B$32:$H$34,7,FALSE)*1.5,G287*VLOOKUP(J287,Aux_Lista!$AG:$AH,2,FALSE)+H287)*E287,0)</f>
        <v>0</v>
      </c>
      <c r="M287" s="346" t="s">
        <v>90</v>
      </c>
      <c r="N287" s="347" t="s">
        <v>90</v>
      </c>
      <c r="O287" s="348" t="s">
        <v>90</v>
      </c>
      <c r="P287" s="386">
        <f t="shared" si="28"/>
        <v>0</v>
      </c>
      <c r="R287" s="94">
        <v>256</v>
      </c>
      <c r="S287" s="383"/>
      <c r="T287" s="214"/>
      <c r="U287" s="214"/>
      <c r="V287" s="217"/>
      <c r="W287" s="215"/>
      <c r="X287" s="336"/>
      <c r="Y287" s="68" t="str">
        <f>IF(V287="","",VLOOKUP(V287,Aux_Lista!A:K,11,FALSE))</f>
        <v/>
      </c>
      <c r="Z287" s="68" t="str">
        <f>IF(V287="","",VLOOKUP(V287,Aux_Lista!A:L,12,FALSE))</f>
        <v/>
      </c>
      <c r="AA287" s="68" t="str">
        <f>IF(W287="","",VLOOKUP(W287,Aux_Lista!AN:AP,3,FALSE))</f>
        <v/>
      </c>
      <c r="AB287" s="68" t="str">
        <f>IF(W287="","",VLOOKUP(W287,Aux_Lista!AN:AP,2,FALSE))</f>
        <v/>
      </c>
      <c r="AC287" s="69"/>
      <c r="AD287" s="69"/>
      <c r="AE287" s="325">
        <f t="shared" si="22"/>
        <v>0</v>
      </c>
      <c r="AF287" s="540" t="s">
        <v>281</v>
      </c>
      <c r="AG287" s="540"/>
      <c r="AH287" s="337">
        <f>IFERROR(IF(X287="Sem projeto",1.5*AA287,AC287*VLOOKUP(AF287,Aux_Lista!AG:AH,2,FALSE)+AD287)*U287,0)</f>
        <v>0</v>
      </c>
      <c r="AI287" s="343" t="s">
        <v>90</v>
      </c>
      <c r="AJ287" s="343" t="s">
        <v>90</v>
      </c>
      <c r="AK287" s="343" t="s">
        <v>90</v>
      </c>
      <c r="AL287" s="333" t="str">
        <f t="shared" si="23"/>
        <v/>
      </c>
      <c r="AM287" s="334" t="str">
        <f t="shared" si="24"/>
        <v/>
      </c>
      <c r="AN287" s="333" t="str">
        <f t="shared" si="25"/>
        <v/>
      </c>
      <c r="AO287" s="334" t="str">
        <f t="shared" si="26"/>
        <v/>
      </c>
      <c r="AP287" s="44"/>
      <c r="AQ287" s="2"/>
    </row>
    <row r="288" spans="1:43" ht="24.95" customHeight="1" x14ac:dyDescent="0.25">
      <c r="A288" s="2">
        <v>248</v>
      </c>
      <c r="B288" s="349"/>
      <c r="C288" s="350"/>
      <c r="D288" s="351"/>
      <c r="E288" s="351"/>
      <c r="F288" s="336"/>
      <c r="G288" s="327"/>
      <c r="H288" s="327"/>
      <c r="I288" s="325">
        <f t="shared" si="27"/>
        <v>0</v>
      </c>
      <c r="J288" s="540" t="s">
        <v>281</v>
      </c>
      <c r="K288" s="540"/>
      <c r="L288" s="337">
        <f>IFERROR(IF(F288="Sem projeto",VLOOKUP(C288,$B$32:$H$34,7,FALSE)*1.5,G288*VLOOKUP(J288,Aux_Lista!$AG:$AH,2,FALSE)+H288)*E288,0)</f>
        <v>0</v>
      </c>
      <c r="M288" s="346" t="s">
        <v>90</v>
      </c>
      <c r="N288" s="347" t="s">
        <v>90</v>
      </c>
      <c r="O288" s="348" t="s">
        <v>90</v>
      </c>
      <c r="P288" s="386">
        <f t="shared" si="28"/>
        <v>0</v>
      </c>
      <c r="R288" s="94">
        <v>257</v>
      </c>
      <c r="S288" s="383"/>
      <c r="T288" s="214"/>
      <c r="U288" s="214"/>
      <c r="V288" s="217"/>
      <c r="W288" s="215"/>
      <c r="X288" s="336"/>
      <c r="Y288" s="68" t="str">
        <f>IF(V288="","",VLOOKUP(V288,Aux_Lista!A:K,11,FALSE))</f>
        <v/>
      </c>
      <c r="Z288" s="68" t="str">
        <f>IF(V288="","",VLOOKUP(V288,Aux_Lista!A:L,12,FALSE))</f>
        <v/>
      </c>
      <c r="AA288" s="68" t="str">
        <f>IF(W288="","",VLOOKUP(W288,Aux_Lista!AN:AP,3,FALSE))</f>
        <v/>
      </c>
      <c r="AB288" s="68" t="str">
        <f>IF(W288="","",VLOOKUP(W288,Aux_Lista!AN:AP,2,FALSE))</f>
        <v/>
      </c>
      <c r="AC288" s="69"/>
      <c r="AD288" s="69"/>
      <c r="AE288" s="325">
        <f t="shared" si="22"/>
        <v>0</v>
      </c>
      <c r="AF288" s="540" t="s">
        <v>281</v>
      </c>
      <c r="AG288" s="540"/>
      <c r="AH288" s="337">
        <f>IFERROR(IF(X288="Sem projeto",1.5*AA288,AC288*VLOOKUP(AF288,Aux_Lista!AG:AH,2,FALSE)+AD288)*U288,0)</f>
        <v>0</v>
      </c>
      <c r="AI288" s="343" t="s">
        <v>90</v>
      </c>
      <c r="AJ288" s="343" t="s">
        <v>90</v>
      </c>
      <c r="AK288" s="343" t="s">
        <v>90</v>
      </c>
      <c r="AL288" s="333" t="str">
        <f t="shared" si="23"/>
        <v/>
      </c>
      <c r="AM288" s="334" t="str">
        <f t="shared" si="24"/>
        <v/>
      </c>
      <c r="AN288" s="333" t="str">
        <f t="shared" si="25"/>
        <v/>
      </c>
      <c r="AO288" s="334" t="str">
        <f t="shared" si="26"/>
        <v/>
      </c>
      <c r="AP288" s="44"/>
      <c r="AQ288" s="2"/>
    </row>
    <row r="289" spans="1:43" ht="24.95" customHeight="1" x14ac:dyDescent="0.25">
      <c r="A289" s="2">
        <v>249</v>
      </c>
      <c r="B289" s="349"/>
      <c r="C289" s="350"/>
      <c r="D289" s="351"/>
      <c r="E289" s="351"/>
      <c r="F289" s="336"/>
      <c r="G289" s="327"/>
      <c r="H289" s="327"/>
      <c r="I289" s="325">
        <f t="shared" si="27"/>
        <v>0</v>
      </c>
      <c r="J289" s="540" t="s">
        <v>281</v>
      </c>
      <c r="K289" s="540"/>
      <c r="L289" s="337">
        <f>IFERROR(IF(F289="Sem projeto",VLOOKUP(C289,$B$32:$H$34,7,FALSE)*1.5,G289*VLOOKUP(J289,Aux_Lista!$AG:$AH,2,FALSE)+H289)*E289,0)</f>
        <v>0</v>
      </c>
      <c r="M289" s="346" t="s">
        <v>90</v>
      </c>
      <c r="N289" s="347" t="s">
        <v>90</v>
      </c>
      <c r="O289" s="348" t="s">
        <v>90</v>
      </c>
      <c r="P289" s="386">
        <f t="shared" si="28"/>
        <v>0</v>
      </c>
      <c r="R289" s="94">
        <v>258</v>
      </c>
      <c r="S289" s="383"/>
      <c r="T289" s="214"/>
      <c r="U289" s="214"/>
      <c r="V289" s="217"/>
      <c r="W289" s="215"/>
      <c r="X289" s="336"/>
      <c r="Y289" s="68" t="str">
        <f>IF(V289="","",VLOOKUP(V289,Aux_Lista!A:K,11,FALSE))</f>
        <v/>
      </c>
      <c r="Z289" s="68" t="str">
        <f>IF(V289="","",VLOOKUP(V289,Aux_Lista!A:L,12,FALSE))</f>
        <v/>
      </c>
      <c r="AA289" s="68" t="str">
        <f>IF(W289="","",VLOOKUP(W289,Aux_Lista!AN:AP,3,FALSE))</f>
        <v/>
      </c>
      <c r="AB289" s="68" t="str">
        <f>IF(W289="","",VLOOKUP(W289,Aux_Lista!AN:AP,2,FALSE))</f>
        <v/>
      </c>
      <c r="AC289" s="69"/>
      <c r="AD289" s="69"/>
      <c r="AE289" s="325">
        <f t="shared" ref="AE289:AE352" si="29">(AC289+AD289)*U289</f>
        <v>0</v>
      </c>
      <c r="AF289" s="540" t="s">
        <v>281</v>
      </c>
      <c r="AG289" s="540"/>
      <c r="AH289" s="337">
        <f>IFERROR(IF(X289="Sem projeto",1.5*AA289,AC289*VLOOKUP(AF289,Aux_Lista!AG:AH,2,FALSE)+AD289)*U289,0)</f>
        <v>0</v>
      </c>
      <c r="AI289" s="343" t="s">
        <v>90</v>
      </c>
      <c r="AJ289" s="343" t="s">
        <v>90</v>
      </c>
      <c r="AK289" s="343" t="s">
        <v>90</v>
      </c>
      <c r="AL289" s="333" t="str">
        <f t="shared" ref="AL289:AL352" si="30">IF(ISERROR((T289*U289*Y289*Z289*AA289)/1000),"",(T289*U289*Y289*Z289*AA289)/1000)</f>
        <v/>
      </c>
      <c r="AM289" s="334" t="str">
        <f t="shared" ref="AM289:AM352" si="31">IF(ISERROR((Y289*Z289*AH289)/1000),"",(Y289*Z289*AH289)/1000)</f>
        <v/>
      </c>
      <c r="AN289" s="333" t="str">
        <f t="shared" ref="AN289:AN352" si="32">IFERROR(AA289*T289*U289*Y289*Z289/1000,"")</f>
        <v/>
      </c>
      <c r="AO289" s="334" t="str">
        <f t="shared" ref="AO289:AO352" si="33">IFERROR(AB289*T289*U289*Y289*Z289/1000,"")</f>
        <v/>
      </c>
      <c r="AP289" s="44"/>
      <c r="AQ289" s="2"/>
    </row>
    <row r="290" spans="1:43" ht="24.95" customHeight="1" x14ac:dyDescent="0.25">
      <c r="A290" s="2">
        <v>250</v>
      </c>
      <c r="B290" s="349"/>
      <c r="C290" s="350"/>
      <c r="D290" s="351"/>
      <c r="E290" s="351"/>
      <c r="F290" s="336"/>
      <c r="G290" s="327"/>
      <c r="H290" s="327"/>
      <c r="I290" s="325">
        <f t="shared" si="27"/>
        <v>0</v>
      </c>
      <c r="J290" s="540" t="s">
        <v>281</v>
      </c>
      <c r="K290" s="540"/>
      <c r="L290" s="337">
        <f>IFERROR(IF(F290="Sem projeto",VLOOKUP(C290,$B$32:$H$34,7,FALSE)*1.5,G290*VLOOKUP(J290,Aux_Lista!$AG:$AH,2,FALSE)+H290)*E290,0)</f>
        <v>0</v>
      </c>
      <c r="M290" s="346" t="s">
        <v>90</v>
      </c>
      <c r="N290" s="347" t="s">
        <v>90</v>
      </c>
      <c r="O290" s="348" t="s">
        <v>90</v>
      </c>
      <c r="P290" s="386">
        <f t="shared" si="28"/>
        <v>0</v>
      </c>
      <c r="R290" s="94">
        <v>259</v>
      </c>
      <c r="S290" s="383"/>
      <c r="T290" s="214"/>
      <c r="U290" s="214"/>
      <c r="V290" s="217"/>
      <c r="W290" s="215"/>
      <c r="X290" s="336"/>
      <c r="Y290" s="68" t="str">
        <f>IF(V290="","",VLOOKUP(V290,Aux_Lista!A:K,11,FALSE))</f>
        <v/>
      </c>
      <c r="Z290" s="68" t="str">
        <f>IF(V290="","",VLOOKUP(V290,Aux_Lista!A:L,12,FALSE))</f>
        <v/>
      </c>
      <c r="AA290" s="68" t="str">
        <f>IF(W290="","",VLOOKUP(W290,Aux_Lista!AN:AP,3,FALSE))</f>
        <v/>
      </c>
      <c r="AB290" s="68" t="str">
        <f>IF(W290="","",VLOOKUP(W290,Aux_Lista!AN:AP,2,FALSE))</f>
        <v/>
      </c>
      <c r="AC290" s="69"/>
      <c r="AD290" s="69"/>
      <c r="AE290" s="325">
        <f t="shared" si="29"/>
        <v>0</v>
      </c>
      <c r="AF290" s="540" t="s">
        <v>281</v>
      </c>
      <c r="AG290" s="540"/>
      <c r="AH290" s="337">
        <f>IFERROR(IF(X290="Sem projeto",1.5*AA290,AC290*VLOOKUP(AF290,Aux_Lista!AG:AH,2,FALSE)+AD290)*U290,0)</f>
        <v>0</v>
      </c>
      <c r="AI290" s="343" t="s">
        <v>90</v>
      </c>
      <c r="AJ290" s="343" t="s">
        <v>90</v>
      </c>
      <c r="AK290" s="343" t="s">
        <v>90</v>
      </c>
      <c r="AL290" s="333" t="str">
        <f t="shared" si="30"/>
        <v/>
      </c>
      <c r="AM290" s="334" t="str">
        <f t="shared" si="31"/>
        <v/>
      </c>
      <c r="AN290" s="333" t="str">
        <f t="shared" si="32"/>
        <v/>
      </c>
      <c r="AO290" s="334" t="str">
        <f t="shared" si="33"/>
        <v/>
      </c>
      <c r="AP290" s="44"/>
      <c r="AQ290" s="2"/>
    </row>
    <row r="291" spans="1:43" ht="24.95" customHeight="1" x14ac:dyDescent="0.25">
      <c r="A291" s="2">
        <v>251</v>
      </c>
      <c r="B291" s="349"/>
      <c r="C291" s="350"/>
      <c r="D291" s="351"/>
      <c r="E291" s="351"/>
      <c r="F291" s="336"/>
      <c r="G291" s="327"/>
      <c r="H291" s="327"/>
      <c r="I291" s="325">
        <f t="shared" si="27"/>
        <v>0</v>
      </c>
      <c r="J291" s="540" t="s">
        <v>281</v>
      </c>
      <c r="K291" s="540"/>
      <c r="L291" s="337">
        <f>IFERROR(IF(F291="Sem projeto",VLOOKUP(C291,$B$32:$H$34,7,FALSE)*1.5,G291*VLOOKUP(J291,Aux_Lista!$AG:$AH,2,FALSE)+H291)*E291,0)</f>
        <v>0</v>
      </c>
      <c r="M291" s="346" t="s">
        <v>90</v>
      </c>
      <c r="N291" s="347" t="s">
        <v>90</v>
      </c>
      <c r="O291" s="348" t="s">
        <v>90</v>
      </c>
      <c r="P291" s="386">
        <f t="shared" si="28"/>
        <v>0</v>
      </c>
      <c r="R291" s="94">
        <v>260</v>
      </c>
      <c r="S291" s="383"/>
      <c r="T291" s="214"/>
      <c r="U291" s="214"/>
      <c r="V291" s="217"/>
      <c r="W291" s="215"/>
      <c r="X291" s="336"/>
      <c r="Y291" s="68" t="str">
        <f>IF(V291="","",VLOOKUP(V291,Aux_Lista!A:K,11,FALSE))</f>
        <v/>
      </c>
      <c r="Z291" s="68" t="str">
        <f>IF(V291="","",VLOOKUP(V291,Aux_Lista!A:L,12,FALSE))</f>
        <v/>
      </c>
      <c r="AA291" s="68" t="str">
        <f>IF(W291="","",VLOOKUP(W291,Aux_Lista!AN:AP,3,FALSE))</f>
        <v/>
      </c>
      <c r="AB291" s="68" t="str">
        <f>IF(W291="","",VLOOKUP(W291,Aux_Lista!AN:AP,2,FALSE))</f>
        <v/>
      </c>
      <c r="AC291" s="69"/>
      <c r="AD291" s="69"/>
      <c r="AE291" s="325">
        <f t="shared" si="29"/>
        <v>0</v>
      </c>
      <c r="AF291" s="540" t="s">
        <v>281</v>
      </c>
      <c r="AG291" s="540"/>
      <c r="AH291" s="337">
        <f>IFERROR(IF(X291="Sem projeto",1.5*AA291,AC291*VLOOKUP(AF291,Aux_Lista!AG:AH,2,FALSE)+AD291)*U291,0)</f>
        <v>0</v>
      </c>
      <c r="AI291" s="343" t="s">
        <v>90</v>
      </c>
      <c r="AJ291" s="343" t="s">
        <v>90</v>
      </c>
      <c r="AK291" s="343" t="s">
        <v>90</v>
      </c>
      <c r="AL291" s="333" t="str">
        <f t="shared" si="30"/>
        <v/>
      </c>
      <c r="AM291" s="334" t="str">
        <f t="shared" si="31"/>
        <v/>
      </c>
      <c r="AN291" s="333" t="str">
        <f t="shared" si="32"/>
        <v/>
      </c>
      <c r="AO291" s="334" t="str">
        <f t="shared" si="33"/>
        <v/>
      </c>
      <c r="AP291" s="44"/>
      <c r="AQ291" s="2"/>
    </row>
    <row r="292" spans="1:43" ht="24.95" customHeight="1" x14ac:dyDescent="0.25">
      <c r="A292" s="2">
        <v>252</v>
      </c>
      <c r="B292" s="349"/>
      <c r="C292" s="350"/>
      <c r="D292" s="351"/>
      <c r="E292" s="351"/>
      <c r="F292" s="336"/>
      <c r="G292" s="327"/>
      <c r="H292" s="327"/>
      <c r="I292" s="325">
        <f t="shared" si="27"/>
        <v>0</v>
      </c>
      <c r="J292" s="540" t="s">
        <v>281</v>
      </c>
      <c r="K292" s="540"/>
      <c r="L292" s="337">
        <f>IFERROR(IF(F292="Sem projeto",VLOOKUP(C292,$B$32:$H$34,7,FALSE)*1.5,G292*VLOOKUP(J292,Aux_Lista!$AG:$AH,2,FALSE)+H292)*E292,0)</f>
        <v>0</v>
      </c>
      <c r="M292" s="346" t="s">
        <v>90</v>
      </c>
      <c r="N292" s="347" t="s">
        <v>90</v>
      </c>
      <c r="O292" s="348" t="s">
        <v>90</v>
      </c>
      <c r="P292" s="386">
        <f t="shared" si="28"/>
        <v>0</v>
      </c>
      <c r="R292" s="94">
        <v>261</v>
      </c>
      <c r="S292" s="383"/>
      <c r="T292" s="214"/>
      <c r="U292" s="214"/>
      <c r="V292" s="217"/>
      <c r="W292" s="215"/>
      <c r="X292" s="336"/>
      <c r="Y292" s="68" t="str">
        <f>IF(V292="","",VLOOKUP(V292,Aux_Lista!A:K,11,FALSE))</f>
        <v/>
      </c>
      <c r="Z292" s="68" t="str">
        <f>IF(V292="","",VLOOKUP(V292,Aux_Lista!A:L,12,FALSE))</f>
        <v/>
      </c>
      <c r="AA292" s="68" t="str">
        <f>IF(W292="","",VLOOKUP(W292,Aux_Lista!AN:AP,3,FALSE))</f>
        <v/>
      </c>
      <c r="AB292" s="68" t="str">
        <f>IF(W292="","",VLOOKUP(W292,Aux_Lista!AN:AP,2,FALSE))</f>
        <v/>
      </c>
      <c r="AC292" s="69"/>
      <c r="AD292" s="69"/>
      <c r="AE292" s="325">
        <f t="shared" si="29"/>
        <v>0</v>
      </c>
      <c r="AF292" s="540" t="s">
        <v>281</v>
      </c>
      <c r="AG292" s="540"/>
      <c r="AH292" s="337">
        <f>IFERROR(IF(X292="Sem projeto",1.5*AA292,AC292*VLOOKUP(AF292,Aux_Lista!AG:AH,2,FALSE)+AD292)*U292,0)</f>
        <v>0</v>
      </c>
      <c r="AI292" s="343" t="s">
        <v>90</v>
      </c>
      <c r="AJ292" s="343" t="s">
        <v>90</v>
      </c>
      <c r="AK292" s="343" t="s">
        <v>90</v>
      </c>
      <c r="AL292" s="333" t="str">
        <f t="shared" si="30"/>
        <v/>
      </c>
      <c r="AM292" s="334" t="str">
        <f t="shared" si="31"/>
        <v/>
      </c>
      <c r="AN292" s="333" t="str">
        <f t="shared" si="32"/>
        <v/>
      </c>
      <c r="AO292" s="334" t="str">
        <f t="shared" si="33"/>
        <v/>
      </c>
      <c r="AP292" s="44"/>
      <c r="AQ292" s="2"/>
    </row>
    <row r="293" spans="1:43" ht="24.95" customHeight="1" x14ac:dyDescent="0.25">
      <c r="A293" s="2">
        <v>253</v>
      </c>
      <c r="B293" s="349"/>
      <c r="C293" s="350"/>
      <c r="D293" s="351"/>
      <c r="E293" s="351"/>
      <c r="F293" s="336"/>
      <c r="G293" s="327"/>
      <c r="H293" s="327"/>
      <c r="I293" s="325">
        <f t="shared" si="27"/>
        <v>0</v>
      </c>
      <c r="J293" s="540" t="s">
        <v>281</v>
      </c>
      <c r="K293" s="540"/>
      <c r="L293" s="337">
        <f>IFERROR(IF(F293="Sem projeto",VLOOKUP(C293,$B$32:$H$34,7,FALSE)*1.5,G293*VLOOKUP(J293,Aux_Lista!$AG:$AH,2,FALSE)+H293)*E293,0)</f>
        <v>0</v>
      </c>
      <c r="M293" s="346" t="s">
        <v>90</v>
      </c>
      <c r="N293" s="347" t="s">
        <v>90</v>
      </c>
      <c r="O293" s="348" t="s">
        <v>90</v>
      </c>
      <c r="P293" s="386">
        <f t="shared" si="28"/>
        <v>0</v>
      </c>
      <c r="R293" s="94">
        <v>262</v>
      </c>
      <c r="S293" s="383"/>
      <c r="T293" s="214"/>
      <c r="U293" s="214"/>
      <c r="V293" s="217"/>
      <c r="W293" s="215"/>
      <c r="X293" s="336"/>
      <c r="Y293" s="68" t="str">
        <f>IF(V293="","",VLOOKUP(V293,Aux_Lista!A:K,11,FALSE))</f>
        <v/>
      </c>
      <c r="Z293" s="68" t="str">
        <f>IF(V293="","",VLOOKUP(V293,Aux_Lista!A:L,12,FALSE))</f>
        <v/>
      </c>
      <c r="AA293" s="68" t="str">
        <f>IF(W293="","",VLOOKUP(W293,Aux_Lista!AN:AP,3,FALSE))</f>
        <v/>
      </c>
      <c r="AB293" s="68" t="str">
        <f>IF(W293="","",VLOOKUP(W293,Aux_Lista!AN:AP,2,FALSE))</f>
        <v/>
      </c>
      <c r="AC293" s="69"/>
      <c r="AD293" s="69"/>
      <c r="AE293" s="325">
        <f t="shared" si="29"/>
        <v>0</v>
      </c>
      <c r="AF293" s="540" t="s">
        <v>281</v>
      </c>
      <c r="AG293" s="540"/>
      <c r="AH293" s="337">
        <f>IFERROR(IF(X293="Sem projeto",1.5*AA293,AC293*VLOOKUP(AF293,Aux_Lista!AG:AH,2,FALSE)+AD293)*U293,0)</f>
        <v>0</v>
      </c>
      <c r="AI293" s="343" t="s">
        <v>90</v>
      </c>
      <c r="AJ293" s="343" t="s">
        <v>90</v>
      </c>
      <c r="AK293" s="343" t="s">
        <v>90</v>
      </c>
      <c r="AL293" s="333" t="str">
        <f t="shared" si="30"/>
        <v/>
      </c>
      <c r="AM293" s="334" t="str">
        <f t="shared" si="31"/>
        <v/>
      </c>
      <c r="AN293" s="333" t="str">
        <f t="shared" si="32"/>
        <v/>
      </c>
      <c r="AO293" s="334" t="str">
        <f t="shared" si="33"/>
        <v/>
      </c>
      <c r="AP293" s="44"/>
      <c r="AQ293" s="2"/>
    </row>
    <row r="294" spans="1:43" ht="24.95" customHeight="1" x14ac:dyDescent="0.25">
      <c r="A294" s="2">
        <v>254</v>
      </c>
      <c r="B294" s="349"/>
      <c r="C294" s="350"/>
      <c r="D294" s="351"/>
      <c r="E294" s="351"/>
      <c r="F294" s="336"/>
      <c r="G294" s="327"/>
      <c r="H294" s="327"/>
      <c r="I294" s="325">
        <f t="shared" si="27"/>
        <v>0</v>
      </c>
      <c r="J294" s="540" t="s">
        <v>281</v>
      </c>
      <c r="K294" s="540"/>
      <c r="L294" s="337">
        <f>IFERROR(IF(F294="Sem projeto",VLOOKUP(C294,$B$32:$H$34,7,FALSE)*1.5,G294*VLOOKUP(J294,Aux_Lista!$AG:$AH,2,FALSE)+H294)*E294,0)</f>
        <v>0</v>
      </c>
      <c r="M294" s="346" t="s">
        <v>90</v>
      </c>
      <c r="N294" s="347" t="s">
        <v>90</v>
      </c>
      <c r="O294" s="348" t="s">
        <v>90</v>
      </c>
      <c r="P294" s="386">
        <f t="shared" si="28"/>
        <v>0</v>
      </c>
      <c r="R294" s="94">
        <v>263</v>
      </c>
      <c r="S294" s="383"/>
      <c r="T294" s="214"/>
      <c r="U294" s="214"/>
      <c r="V294" s="217"/>
      <c r="W294" s="215"/>
      <c r="X294" s="336"/>
      <c r="Y294" s="68" t="str">
        <f>IF(V294="","",VLOOKUP(V294,Aux_Lista!A:K,11,FALSE))</f>
        <v/>
      </c>
      <c r="Z294" s="68" t="str">
        <f>IF(V294="","",VLOOKUP(V294,Aux_Lista!A:L,12,FALSE))</f>
        <v/>
      </c>
      <c r="AA294" s="68" t="str">
        <f>IF(W294="","",VLOOKUP(W294,Aux_Lista!AN:AP,3,FALSE))</f>
        <v/>
      </c>
      <c r="AB294" s="68" t="str">
        <f>IF(W294="","",VLOOKUP(W294,Aux_Lista!AN:AP,2,FALSE))</f>
        <v/>
      </c>
      <c r="AC294" s="69"/>
      <c r="AD294" s="69"/>
      <c r="AE294" s="325">
        <f t="shared" si="29"/>
        <v>0</v>
      </c>
      <c r="AF294" s="540" t="s">
        <v>281</v>
      </c>
      <c r="AG294" s="540"/>
      <c r="AH294" s="337">
        <f>IFERROR(IF(X294="Sem projeto",1.5*AA294,AC294*VLOOKUP(AF294,Aux_Lista!AG:AH,2,FALSE)+AD294)*U294,0)</f>
        <v>0</v>
      </c>
      <c r="AI294" s="343" t="s">
        <v>90</v>
      </c>
      <c r="AJ294" s="343" t="s">
        <v>90</v>
      </c>
      <c r="AK294" s="343" t="s">
        <v>90</v>
      </c>
      <c r="AL294" s="333" t="str">
        <f t="shared" si="30"/>
        <v/>
      </c>
      <c r="AM294" s="334" t="str">
        <f t="shared" si="31"/>
        <v/>
      </c>
      <c r="AN294" s="333" t="str">
        <f t="shared" si="32"/>
        <v/>
      </c>
      <c r="AO294" s="334" t="str">
        <f t="shared" si="33"/>
        <v/>
      </c>
      <c r="AP294" s="44"/>
      <c r="AQ294" s="2"/>
    </row>
    <row r="295" spans="1:43" ht="24.95" customHeight="1" x14ac:dyDescent="0.25">
      <c r="A295" s="2">
        <v>255</v>
      </c>
      <c r="B295" s="349"/>
      <c r="C295" s="350"/>
      <c r="D295" s="351"/>
      <c r="E295" s="351"/>
      <c r="F295" s="336"/>
      <c r="G295" s="327"/>
      <c r="H295" s="327"/>
      <c r="I295" s="325">
        <f t="shared" si="27"/>
        <v>0</v>
      </c>
      <c r="J295" s="540" t="s">
        <v>281</v>
      </c>
      <c r="K295" s="540"/>
      <c r="L295" s="337">
        <f>IFERROR(IF(F295="Sem projeto",VLOOKUP(C295,$B$32:$H$34,7,FALSE)*1.5,G295*VLOOKUP(J295,Aux_Lista!$AG:$AH,2,FALSE)+H295)*E295,0)</f>
        <v>0</v>
      </c>
      <c r="M295" s="346" t="s">
        <v>90</v>
      </c>
      <c r="N295" s="347" t="s">
        <v>90</v>
      </c>
      <c r="O295" s="348" t="s">
        <v>90</v>
      </c>
      <c r="P295" s="386">
        <f t="shared" si="28"/>
        <v>0</v>
      </c>
      <c r="R295" s="94">
        <v>264</v>
      </c>
      <c r="S295" s="383"/>
      <c r="T295" s="214"/>
      <c r="U295" s="214"/>
      <c r="V295" s="217"/>
      <c r="W295" s="215"/>
      <c r="X295" s="336"/>
      <c r="Y295" s="68" t="str">
        <f>IF(V295="","",VLOOKUP(V295,Aux_Lista!A:K,11,FALSE))</f>
        <v/>
      </c>
      <c r="Z295" s="68" t="str">
        <f>IF(V295="","",VLOOKUP(V295,Aux_Lista!A:L,12,FALSE))</f>
        <v/>
      </c>
      <c r="AA295" s="68" t="str">
        <f>IF(W295="","",VLOOKUP(W295,Aux_Lista!AN:AP,3,FALSE))</f>
        <v/>
      </c>
      <c r="AB295" s="68" t="str">
        <f>IF(W295="","",VLOOKUP(W295,Aux_Lista!AN:AP,2,FALSE))</f>
        <v/>
      </c>
      <c r="AC295" s="69"/>
      <c r="AD295" s="69"/>
      <c r="AE295" s="325">
        <f t="shared" si="29"/>
        <v>0</v>
      </c>
      <c r="AF295" s="540" t="s">
        <v>281</v>
      </c>
      <c r="AG295" s="540"/>
      <c r="AH295" s="337">
        <f>IFERROR(IF(X295="Sem projeto",1.5*AA295,AC295*VLOOKUP(AF295,Aux_Lista!AG:AH,2,FALSE)+AD295)*U295,0)</f>
        <v>0</v>
      </c>
      <c r="AI295" s="343" t="s">
        <v>90</v>
      </c>
      <c r="AJ295" s="343" t="s">
        <v>90</v>
      </c>
      <c r="AK295" s="343" t="s">
        <v>90</v>
      </c>
      <c r="AL295" s="333" t="str">
        <f t="shared" si="30"/>
        <v/>
      </c>
      <c r="AM295" s="334" t="str">
        <f t="shared" si="31"/>
        <v/>
      </c>
      <c r="AN295" s="333" t="str">
        <f t="shared" si="32"/>
        <v/>
      </c>
      <c r="AO295" s="334" t="str">
        <f t="shared" si="33"/>
        <v/>
      </c>
      <c r="AP295" s="44"/>
      <c r="AQ295" s="2"/>
    </row>
    <row r="296" spans="1:43" ht="24.95" customHeight="1" x14ac:dyDescent="0.25">
      <c r="A296" s="2">
        <v>256</v>
      </c>
      <c r="B296" s="349"/>
      <c r="C296" s="350"/>
      <c r="D296" s="351"/>
      <c r="E296" s="351"/>
      <c r="F296" s="336"/>
      <c r="G296" s="327"/>
      <c r="H296" s="327"/>
      <c r="I296" s="325">
        <f t="shared" si="27"/>
        <v>0</v>
      </c>
      <c r="J296" s="540" t="s">
        <v>281</v>
      </c>
      <c r="K296" s="540"/>
      <c r="L296" s="337">
        <f>IFERROR(IF(F296="Sem projeto",VLOOKUP(C296,$B$32:$H$34,7,FALSE)*1.5,G296*VLOOKUP(J296,Aux_Lista!$AG:$AH,2,FALSE)+H296)*E296,0)</f>
        <v>0</v>
      </c>
      <c r="M296" s="346" t="s">
        <v>90</v>
      </c>
      <c r="N296" s="347" t="s">
        <v>90</v>
      </c>
      <c r="O296" s="348" t="s">
        <v>90</v>
      </c>
      <c r="P296" s="386">
        <f t="shared" si="28"/>
        <v>0</v>
      </c>
      <c r="R296" s="94">
        <v>265</v>
      </c>
      <c r="S296" s="383"/>
      <c r="T296" s="214"/>
      <c r="U296" s="214"/>
      <c r="V296" s="217"/>
      <c r="W296" s="215"/>
      <c r="X296" s="336"/>
      <c r="Y296" s="68" t="str">
        <f>IF(V296="","",VLOOKUP(V296,Aux_Lista!A:K,11,FALSE))</f>
        <v/>
      </c>
      <c r="Z296" s="68" t="str">
        <f>IF(V296="","",VLOOKUP(V296,Aux_Lista!A:L,12,FALSE))</f>
        <v/>
      </c>
      <c r="AA296" s="68" t="str">
        <f>IF(W296="","",VLOOKUP(W296,Aux_Lista!AN:AP,3,FALSE))</f>
        <v/>
      </c>
      <c r="AB296" s="68" t="str">
        <f>IF(W296="","",VLOOKUP(W296,Aux_Lista!AN:AP,2,FALSE))</f>
        <v/>
      </c>
      <c r="AC296" s="69"/>
      <c r="AD296" s="69"/>
      <c r="AE296" s="325">
        <f t="shared" si="29"/>
        <v>0</v>
      </c>
      <c r="AF296" s="540" t="s">
        <v>281</v>
      </c>
      <c r="AG296" s="540"/>
      <c r="AH296" s="337">
        <f>IFERROR(IF(X296="Sem projeto",1.5*AA296,AC296*VLOOKUP(AF296,Aux_Lista!AG:AH,2,FALSE)+AD296)*U296,0)</f>
        <v>0</v>
      </c>
      <c r="AI296" s="343" t="s">
        <v>90</v>
      </c>
      <c r="AJ296" s="343" t="s">
        <v>90</v>
      </c>
      <c r="AK296" s="343" t="s">
        <v>90</v>
      </c>
      <c r="AL296" s="333" t="str">
        <f t="shared" si="30"/>
        <v/>
      </c>
      <c r="AM296" s="334" t="str">
        <f t="shared" si="31"/>
        <v/>
      </c>
      <c r="AN296" s="333" t="str">
        <f t="shared" si="32"/>
        <v/>
      </c>
      <c r="AO296" s="334" t="str">
        <f t="shared" si="33"/>
        <v/>
      </c>
      <c r="AP296" s="44"/>
      <c r="AQ296" s="2"/>
    </row>
    <row r="297" spans="1:43" ht="24.95" customHeight="1" x14ac:dyDescent="0.25">
      <c r="A297" s="2">
        <v>257</v>
      </c>
      <c r="B297" s="349"/>
      <c r="C297" s="350"/>
      <c r="D297" s="351"/>
      <c r="E297" s="351"/>
      <c r="F297" s="336"/>
      <c r="G297" s="327"/>
      <c r="H297" s="327"/>
      <c r="I297" s="325">
        <f t="shared" ref="I297:I360" si="34">IFERROR((G297+H297+IF(F297="Sem projeto",VLOOKUP(C297,$B$32:$H$34,7,FALSE),0)*1.5)*E297,"")</f>
        <v>0</v>
      </c>
      <c r="J297" s="540" t="s">
        <v>281</v>
      </c>
      <c r="K297" s="540"/>
      <c r="L297" s="337">
        <f>IFERROR(IF(F297="Sem projeto",VLOOKUP(C297,$B$32:$H$34,7,FALSE)*1.5,G297*VLOOKUP(J297,Aux_Lista!$AG:$AH,2,FALSE)+H297)*E297,0)</f>
        <v>0</v>
      </c>
      <c r="M297" s="346" t="s">
        <v>90</v>
      </c>
      <c r="N297" s="347" t="s">
        <v>90</v>
      </c>
      <c r="O297" s="348" t="s">
        <v>90</v>
      </c>
      <c r="P297" s="386">
        <f t="shared" si="28"/>
        <v>0</v>
      </c>
      <c r="R297" s="94">
        <v>266</v>
      </c>
      <c r="S297" s="383"/>
      <c r="T297" s="214"/>
      <c r="U297" s="214"/>
      <c r="V297" s="217"/>
      <c r="W297" s="215"/>
      <c r="X297" s="336"/>
      <c r="Y297" s="68" t="str">
        <f>IF(V297="","",VLOOKUP(V297,Aux_Lista!A:K,11,FALSE))</f>
        <v/>
      </c>
      <c r="Z297" s="68" t="str">
        <f>IF(V297="","",VLOOKUP(V297,Aux_Lista!A:L,12,FALSE))</f>
        <v/>
      </c>
      <c r="AA297" s="68" t="str">
        <f>IF(W297="","",VLOOKUP(W297,Aux_Lista!AN:AP,3,FALSE))</f>
        <v/>
      </c>
      <c r="AB297" s="68" t="str">
        <f>IF(W297="","",VLOOKUP(W297,Aux_Lista!AN:AP,2,FALSE))</f>
        <v/>
      </c>
      <c r="AC297" s="69"/>
      <c r="AD297" s="69"/>
      <c r="AE297" s="325">
        <f t="shared" si="29"/>
        <v>0</v>
      </c>
      <c r="AF297" s="540" t="s">
        <v>281</v>
      </c>
      <c r="AG297" s="540"/>
      <c r="AH297" s="337">
        <f>IFERROR(IF(X297="Sem projeto",1.5*AA297,AC297*VLOOKUP(AF297,Aux_Lista!AG:AH,2,FALSE)+AD297)*U297,0)</f>
        <v>0</v>
      </c>
      <c r="AI297" s="343" t="s">
        <v>90</v>
      </c>
      <c r="AJ297" s="343" t="s">
        <v>90</v>
      </c>
      <c r="AK297" s="343" t="s">
        <v>90</v>
      </c>
      <c r="AL297" s="333" t="str">
        <f t="shared" si="30"/>
        <v/>
      </c>
      <c r="AM297" s="334" t="str">
        <f t="shared" si="31"/>
        <v/>
      </c>
      <c r="AN297" s="333" t="str">
        <f t="shared" si="32"/>
        <v/>
      </c>
      <c r="AO297" s="334" t="str">
        <f t="shared" si="33"/>
        <v/>
      </c>
      <c r="AP297" s="44"/>
      <c r="AQ297" s="2"/>
    </row>
    <row r="298" spans="1:43" ht="24.95" customHeight="1" x14ac:dyDescent="0.25">
      <c r="A298" s="2">
        <v>258</v>
      </c>
      <c r="B298" s="349"/>
      <c r="C298" s="350"/>
      <c r="D298" s="351"/>
      <c r="E298" s="351"/>
      <c r="F298" s="336"/>
      <c r="G298" s="327"/>
      <c r="H298" s="327"/>
      <c r="I298" s="325">
        <f t="shared" si="34"/>
        <v>0</v>
      </c>
      <c r="J298" s="540" t="s">
        <v>281</v>
      </c>
      <c r="K298" s="540"/>
      <c r="L298" s="337">
        <f>IFERROR(IF(F298="Sem projeto",VLOOKUP(C298,$B$32:$H$34,7,FALSE)*1.5,G298*VLOOKUP(J298,Aux_Lista!$AG:$AH,2,FALSE)+H298)*E298,0)</f>
        <v>0</v>
      </c>
      <c r="M298" s="346" t="s">
        <v>90</v>
      </c>
      <c r="N298" s="347" t="s">
        <v>90</v>
      </c>
      <c r="O298" s="348" t="s">
        <v>90</v>
      </c>
      <c r="P298" s="386">
        <f t="shared" ref="P298:P361" si="35">D298*E298</f>
        <v>0</v>
      </c>
      <c r="R298" s="94">
        <v>267</v>
      </c>
      <c r="S298" s="383"/>
      <c r="T298" s="214"/>
      <c r="U298" s="214"/>
      <c r="V298" s="217"/>
      <c r="W298" s="215"/>
      <c r="X298" s="336"/>
      <c r="Y298" s="68" t="str">
        <f>IF(V298="","",VLOOKUP(V298,Aux_Lista!A:K,11,FALSE))</f>
        <v/>
      </c>
      <c r="Z298" s="68" t="str">
        <f>IF(V298="","",VLOOKUP(V298,Aux_Lista!A:L,12,FALSE))</f>
        <v/>
      </c>
      <c r="AA298" s="68" t="str">
        <f>IF(W298="","",VLOOKUP(W298,Aux_Lista!AN:AP,3,FALSE))</f>
        <v/>
      </c>
      <c r="AB298" s="68" t="str">
        <f>IF(W298="","",VLOOKUP(W298,Aux_Lista!AN:AP,2,FALSE))</f>
        <v/>
      </c>
      <c r="AC298" s="69"/>
      <c r="AD298" s="69"/>
      <c r="AE298" s="325">
        <f t="shared" si="29"/>
        <v>0</v>
      </c>
      <c r="AF298" s="540" t="s">
        <v>281</v>
      </c>
      <c r="AG298" s="540"/>
      <c r="AH298" s="337">
        <f>IFERROR(IF(X298="Sem projeto",1.5*AA298,AC298*VLOOKUP(AF298,Aux_Lista!AG:AH,2,FALSE)+AD298)*U298,0)</f>
        <v>0</v>
      </c>
      <c r="AI298" s="343" t="s">
        <v>90</v>
      </c>
      <c r="AJ298" s="343" t="s">
        <v>90</v>
      </c>
      <c r="AK298" s="343" t="s">
        <v>90</v>
      </c>
      <c r="AL298" s="333" t="str">
        <f t="shared" si="30"/>
        <v/>
      </c>
      <c r="AM298" s="334" t="str">
        <f t="shared" si="31"/>
        <v/>
      </c>
      <c r="AN298" s="333" t="str">
        <f t="shared" si="32"/>
        <v/>
      </c>
      <c r="AO298" s="334" t="str">
        <f t="shared" si="33"/>
        <v/>
      </c>
      <c r="AP298" s="44"/>
      <c r="AQ298" s="2"/>
    </row>
    <row r="299" spans="1:43" ht="24.95" customHeight="1" x14ac:dyDescent="0.25">
      <c r="A299" s="2">
        <v>259</v>
      </c>
      <c r="B299" s="349"/>
      <c r="C299" s="350"/>
      <c r="D299" s="351"/>
      <c r="E299" s="351"/>
      <c r="F299" s="336"/>
      <c r="G299" s="327"/>
      <c r="H299" s="327"/>
      <c r="I299" s="325">
        <f t="shared" si="34"/>
        <v>0</v>
      </c>
      <c r="J299" s="540" t="s">
        <v>281</v>
      </c>
      <c r="K299" s="540"/>
      <c r="L299" s="337">
        <f>IFERROR(IF(F299="Sem projeto",VLOOKUP(C299,$B$32:$H$34,7,FALSE)*1.5,G299*VLOOKUP(J299,Aux_Lista!$AG:$AH,2,FALSE)+H299)*E299,0)</f>
        <v>0</v>
      </c>
      <c r="M299" s="346" t="s">
        <v>90</v>
      </c>
      <c r="N299" s="347" t="s">
        <v>90</v>
      </c>
      <c r="O299" s="348" t="s">
        <v>90</v>
      </c>
      <c r="P299" s="386">
        <f t="shared" si="35"/>
        <v>0</v>
      </c>
      <c r="R299" s="94">
        <v>268</v>
      </c>
      <c r="S299" s="383"/>
      <c r="T299" s="214"/>
      <c r="U299" s="214"/>
      <c r="V299" s="217"/>
      <c r="W299" s="215"/>
      <c r="X299" s="336"/>
      <c r="Y299" s="68" t="str">
        <f>IF(V299="","",VLOOKUP(V299,Aux_Lista!A:K,11,FALSE))</f>
        <v/>
      </c>
      <c r="Z299" s="68" t="str">
        <f>IF(V299="","",VLOOKUP(V299,Aux_Lista!A:L,12,FALSE))</f>
        <v/>
      </c>
      <c r="AA299" s="68" t="str">
        <f>IF(W299="","",VLOOKUP(W299,Aux_Lista!AN:AP,3,FALSE))</f>
        <v/>
      </c>
      <c r="AB299" s="68" t="str">
        <f>IF(W299="","",VLOOKUP(W299,Aux_Lista!AN:AP,2,FALSE))</f>
        <v/>
      </c>
      <c r="AC299" s="69"/>
      <c r="AD299" s="69"/>
      <c r="AE299" s="325">
        <f t="shared" si="29"/>
        <v>0</v>
      </c>
      <c r="AF299" s="540" t="s">
        <v>281</v>
      </c>
      <c r="AG299" s="540"/>
      <c r="AH299" s="337">
        <f>IFERROR(IF(X299="Sem projeto",1.5*AA299,AC299*VLOOKUP(AF299,Aux_Lista!AG:AH,2,FALSE)+AD299)*U299,0)</f>
        <v>0</v>
      </c>
      <c r="AI299" s="343" t="s">
        <v>90</v>
      </c>
      <c r="AJ299" s="343" t="s">
        <v>90</v>
      </c>
      <c r="AK299" s="343" t="s">
        <v>90</v>
      </c>
      <c r="AL299" s="333" t="str">
        <f t="shared" si="30"/>
        <v/>
      </c>
      <c r="AM299" s="334" t="str">
        <f t="shared" si="31"/>
        <v/>
      </c>
      <c r="AN299" s="333" t="str">
        <f t="shared" si="32"/>
        <v/>
      </c>
      <c r="AO299" s="334" t="str">
        <f t="shared" si="33"/>
        <v/>
      </c>
      <c r="AP299" s="44"/>
      <c r="AQ299" s="2"/>
    </row>
    <row r="300" spans="1:43" ht="24.95" customHeight="1" x14ac:dyDescent="0.25">
      <c r="A300" s="2">
        <v>260</v>
      </c>
      <c r="B300" s="349"/>
      <c r="C300" s="350"/>
      <c r="D300" s="351"/>
      <c r="E300" s="351"/>
      <c r="F300" s="336"/>
      <c r="G300" s="327"/>
      <c r="H300" s="327"/>
      <c r="I300" s="325">
        <f t="shared" si="34"/>
        <v>0</v>
      </c>
      <c r="J300" s="540" t="s">
        <v>281</v>
      </c>
      <c r="K300" s="540"/>
      <c r="L300" s="337">
        <f>IFERROR(IF(F300="Sem projeto",VLOOKUP(C300,$B$32:$H$34,7,FALSE)*1.5,G300*VLOOKUP(J300,Aux_Lista!$AG:$AH,2,FALSE)+H300)*E300,0)</f>
        <v>0</v>
      </c>
      <c r="M300" s="346" t="s">
        <v>90</v>
      </c>
      <c r="N300" s="347" t="s">
        <v>90</v>
      </c>
      <c r="O300" s="348" t="s">
        <v>90</v>
      </c>
      <c r="P300" s="386">
        <f t="shared" si="35"/>
        <v>0</v>
      </c>
      <c r="R300" s="94">
        <v>269</v>
      </c>
      <c r="S300" s="383"/>
      <c r="T300" s="214"/>
      <c r="U300" s="214"/>
      <c r="V300" s="217"/>
      <c r="W300" s="215"/>
      <c r="X300" s="336"/>
      <c r="Y300" s="68" t="str">
        <f>IF(V300="","",VLOOKUP(V300,Aux_Lista!A:K,11,FALSE))</f>
        <v/>
      </c>
      <c r="Z300" s="68" t="str">
        <f>IF(V300="","",VLOOKUP(V300,Aux_Lista!A:L,12,FALSE))</f>
        <v/>
      </c>
      <c r="AA300" s="68" t="str">
        <f>IF(W300="","",VLOOKUP(W300,Aux_Lista!AN:AP,3,FALSE))</f>
        <v/>
      </c>
      <c r="AB300" s="68" t="str">
        <f>IF(W300="","",VLOOKUP(W300,Aux_Lista!AN:AP,2,FALSE))</f>
        <v/>
      </c>
      <c r="AC300" s="69"/>
      <c r="AD300" s="69"/>
      <c r="AE300" s="325">
        <f t="shared" si="29"/>
        <v>0</v>
      </c>
      <c r="AF300" s="540" t="s">
        <v>281</v>
      </c>
      <c r="AG300" s="540"/>
      <c r="AH300" s="337">
        <f>IFERROR(IF(X300="Sem projeto",1.5*AA300,AC300*VLOOKUP(AF300,Aux_Lista!AG:AH,2,FALSE)+AD300)*U300,0)</f>
        <v>0</v>
      </c>
      <c r="AI300" s="343" t="s">
        <v>90</v>
      </c>
      <c r="AJ300" s="343" t="s">
        <v>90</v>
      </c>
      <c r="AK300" s="343" t="s">
        <v>90</v>
      </c>
      <c r="AL300" s="333" t="str">
        <f t="shared" si="30"/>
        <v/>
      </c>
      <c r="AM300" s="334" t="str">
        <f t="shared" si="31"/>
        <v/>
      </c>
      <c r="AN300" s="333" t="str">
        <f t="shared" si="32"/>
        <v/>
      </c>
      <c r="AO300" s="334" t="str">
        <f t="shared" si="33"/>
        <v/>
      </c>
      <c r="AP300" s="44"/>
      <c r="AQ300" s="2"/>
    </row>
    <row r="301" spans="1:43" ht="24.95" customHeight="1" x14ac:dyDescent="0.25">
      <c r="A301" s="2">
        <v>261</v>
      </c>
      <c r="B301" s="349"/>
      <c r="C301" s="350"/>
      <c r="D301" s="351"/>
      <c r="E301" s="351"/>
      <c r="F301" s="336"/>
      <c r="G301" s="327"/>
      <c r="H301" s="327"/>
      <c r="I301" s="325">
        <f t="shared" si="34"/>
        <v>0</v>
      </c>
      <c r="J301" s="540" t="s">
        <v>281</v>
      </c>
      <c r="K301" s="540"/>
      <c r="L301" s="337">
        <f>IFERROR(IF(F301="Sem projeto",VLOOKUP(C301,$B$32:$H$34,7,FALSE)*1.5,G301*VLOOKUP(J301,Aux_Lista!$AG:$AH,2,FALSE)+H301)*E301,0)</f>
        <v>0</v>
      </c>
      <c r="M301" s="346" t="s">
        <v>90</v>
      </c>
      <c r="N301" s="347" t="s">
        <v>90</v>
      </c>
      <c r="O301" s="348" t="s">
        <v>90</v>
      </c>
      <c r="P301" s="386">
        <f t="shared" si="35"/>
        <v>0</v>
      </c>
      <c r="R301" s="94">
        <v>270</v>
      </c>
      <c r="S301" s="383"/>
      <c r="T301" s="214"/>
      <c r="U301" s="214"/>
      <c r="V301" s="217"/>
      <c r="W301" s="215"/>
      <c r="X301" s="336"/>
      <c r="Y301" s="68" t="str">
        <f>IF(V301="","",VLOOKUP(V301,Aux_Lista!A:K,11,FALSE))</f>
        <v/>
      </c>
      <c r="Z301" s="68" t="str">
        <f>IF(V301="","",VLOOKUP(V301,Aux_Lista!A:L,12,FALSE))</f>
        <v/>
      </c>
      <c r="AA301" s="68" t="str">
        <f>IF(W301="","",VLOOKUP(W301,Aux_Lista!AN:AP,3,FALSE))</f>
        <v/>
      </c>
      <c r="AB301" s="68" t="str">
        <f>IF(W301="","",VLOOKUP(W301,Aux_Lista!AN:AP,2,FALSE))</f>
        <v/>
      </c>
      <c r="AC301" s="69"/>
      <c r="AD301" s="69"/>
      <c r="AE301" s="325">
        <f t="shared" si="29"/>
        <v>0</v>
      </c>
      <c r="AF301" s="540" t="s">
        <v>281</v>
      </c>
      <c r="AG301" s="540"/>
      <c r="AH301" s="337">
        <f>IFERROR(IF(X301="Sem projeto",1.5*AA301,AC301*VLOOKUP(AF301,Aux_Lista!AG:AH,2,FALSE)+AD301)*U301,0)</f>
        <v>0</v>
      </c>
      <c r="AI301" s="343" t="s">
        <v>90</v>
      </c>
      <c r="AJ301" s="343" t="s">
        <v>90</v>
      </c>
      <c r="AK301" s="343" t="s">
        <v>90</v>
      </c>
      <c r="AL301" s="333" t="str">
        <f t="shared" si="30"/>
        <v/>
      </c>
      <c r="AM301" s="334" t="str">
        <f t="shared" si="31"/>
        <v/>
      </c>
      <c r="AN301" s="333" t="str">
        <f t="shared" si="32"/>
        <v/>
      </c>
      <c r="AO301" s="334" t="str">
        <f t="shared" si="33"/>
        <v/>
      </c>
      <c r="AP301" s="44"/>
      <c r="AQ301" s="2"/>
    </row>
    <row r="302" spans="1:43" ht="24.95" customHeight="1" x14ac:dyDescent="0.25">
      <c r="A302" s="2">
        <v>262</v>
      </c>
      <c r="B302" s="349"/>
      <c r="C302" s="350"/>
      <c r="D302" s="351"/>
      <c r="E302" s="351"/>
      <c r="F302" s="336"/>
      <c r="G302" s="327"/>
      <c r="H302" s="327"/>
      <c r="I302" s="325">
        <f t="shared" si="34"/>
        <v>0</v>
      </c>
      <c r="J302" s="540" t="s">
        <v>281</v>
      </c>
      <c r="K302" s="540"/>
      <c r="L302" s="337">
        <f>IFERROR(IF(F302="Sem projeto",VLOOKUP(C302,$B$32:$H$34,7,FALSE)*1.5,G302*VLOOKUP(J302,Aux_Lista!$AG:$AH,2,FALSE)+H302)*E302,0)</f>
        <v>0</v>
      </c>
      <c r="M302" s="346" t="s">
        <v>90</v>
      </c>
      <c r="N302" s="347" t="s">
        <v>90</v>
      </c>
      <c r="O302" s="348" t="s">
        <v>90</v>
      </c>
      <c r="P302" s="386">
        <f t="shared" si="35"/>
        <v>0</v>
      </c>
      <c r="R302" s="94">
        <v>271</v>
      </c>
      <c r="S302" s="383"/>
      <c r="T302" s="214"/>
      <c r="U302" s="214"/>
      <c r="V302" s="217"/>
      <c r="W302" s="215"/>
      <c r="X302" s="336"/>
      <c r="Y302" s="68" t="str">
        <f>IF(V302="","",VLOOKUP(V302,Aux_Lista!A:K,11,FALSE))</f>
        <v/>
      </c>
      <c r="Z302" s="68" t="str">
        <f>IF(V302="","",VLOOKUP(V302,Aux_Lista!A:L,12,FALSE))</f>
        <v/>
      </c>
      <c r="AA302" s="68" t="str">
        <f>IF(W302="","",VLOOKUP(W302,Aux_Lista!AN:AP,3,FALSE))</f>
        <v/>
      </c>
      <c r="AB302" s="68" t="str">
        <f>IF(W302="","",VLOOKUP(W302,Aux_Lista!AN:AP,2,FALSE))</f>
        <v/>
      </c>
      <c r="AC302" s="69"/>
      <c r="AD302" s="69"/>
      <c r="AE302" s="325">
        <f t="shared" si="29"/>
        <v>0</v>
      </c>
      <c r="AF302" s="540" t="s">
        <v>281</v>
      </c>
      <c r="AG302" s="540"/>
      <c r="AH302" s="337">
        <f>IFERROR(IF(X302="Sem projeto",1.5*AA302,AC302*VLOOKUP(AF302,Aux_Lista!AG:AH,2,FALSE)+AD302)*U302,0)</f>
        <v>0</v>
      </c>
      <c r="AI302" s="343" t="s">
        <v>90</v>
      </c>
      <c r="AJ302" s="343" t="s">
        <v>90</v>
      </c>
      <c r="AK302" s="343" t="s">
        <v>90</v>
      </c>
      <c r="AL302" s="333" t="str">
        <f t="shared" si="30"/>
        <v/>
      </c>
      <c r="AM302" s="334" t="str">
        <f t="shared" si="31"/>
        <v/>
      </c>
      <c r="AN302" s="333" t="str">
        <f t="shared" si="32"/>
        <v/>
      </c>
      <c r="AO302" s="334" t="str">
        <f t="shared" si="33"/>
        <v/>
      </c>
      <c r="AP302" s="44"/>
      <c r="AQ302" s="2"/>
    </row>
    <row r="303" spans="1:43" ht="24.95" customHeight="1" x14ac:dyDescent="0.25">
      <c r="A303" s="2">
        <v>263</v>
      </c>
      <c r="B303" s="349"/>
      <c r="C303" s="350"/>
      <c r="D303" s="351"/>
      <c r="E303" s="351"/>
      <c r="F303" s="336"/>
      <c r="G303" s="327"/>
      <c r="H303" s="327"/>
      <c r="I303" s="325">
        <f t="shared" si="34"/>
        <v>0</v>
      </c>
      <c r="J303" s="540" t="s">
        <v>281</v>
      </c>
      <c r="K303" s="540"/>
      <c r="L303" s="337">
        <f>IFERROR(IF(F303="Sem projeto",VLOOKUP(C303,$B$32:$H$34,7,FALSE)*1.5,G303*VLOOKUP(J303,Aux_Lista!$AG:$AH,2,FALSE)+H303)*E303,0)</f>
        <v>0</v>
      </c>
      <c r="M303" s="346" t="s">
        <v>90</v>
      </c>
      <c r="N303" s="347" t="s">
        <v>90</v>
      </c>
      <c r="O303" s="348" t="s">
        <v>90</v>
      </c>
      <c r="P303" s="386">
        <f t="shared" si="35"/>
        <v>0</v>
      </c>
      <c r="R303" s="94">
        <v>272</v>
      </c>
      <c r="S303" s="383"/>
      <c r="T303" s="214"/>
      <c r="U303" s="214"/>
      <c r="V303" s="217"/>
      <c r="W303" s="215"/>
      <c r="X303" s="336"/>
      <c r="Y303" s="68" t="str">
        <f>IF(V303="","",VLOOKUP(V303,Aux_Lista!A:K,11,FALSE))</f>
        <v/>
      </c>
      <c r="Z303" s="68" t="str">
        <f>IF(V303="","",VLOOKUP(V303,Aux_Lista!A:L,12,FALSE))</f>
        <v/>
      </c>
      <c r="AA303" s="68" t="str">
        <f>IF(W303="","",VLOOKUP(W303,Aux_Lista!AN:AP,3,FALSE))</f>
        <v/>
      </c>
      <c r="AB303" s="68" t="str">
        <f>IF(W303="","",VLOOKUP(W303,Aux_Lista!AN:AP,2,FALSE))</f>
        <v/>
      </c>
      <c r="AC303" s="69"/>
      <c r="AD303" s="69"/>
      <c r="AE303" s="325">
        <f t="shared" si="29"/>
        <v>0</v>
      </c>
      <c r="AF303" s="540" t="s">
        <v>281</v>
      </c>
      <c r="AG303" s="540"/>
      <c r="AH303" s="337">
        <f>IFERROR(IF(X303="Sem projeto",1.5*AA303,AC303*VLOOKUP(AF303,Aux_Lista!AG:AH,2,FALSE)+AD303)*U303,0)</f>
        <v>0</v>
      </c>
      <c r="AI303" s="343" t="s">
        <v>90</v>
      </c>
      <c r="AJ303" s="343" t="s">
        <v>90</v>
      </c>
      <c r="AK303" s="343" t="s">
        <v>90</v>
      </c>
      <c r="AL303" s="333" t="str">
        <f t="shared" si="30"/>
        <v/>
      </c>
      <c r="AM303" s="334" t="str">
        <f t="shared" si="31"/>
        <v/>
      </c>
      <c r="AN303" s="333" t="str">
        <f t="shared" si="32"/>
        <v/>
      </c>
      <c r="AO303" s="334" t="str">
        <f t="shared" si="33"/>
        <v/>
      </c>
      <c r="AP303" s="44"/>
      <c r="AQ303" s="2"/>
    </row>
    <row r="304" spans="1:43" ht="24.95" customHeight="1" x14ac:dyDescent="0.25">
      <c r="A304" s="2">
        <v>264</v>
      </c>
      <c r="B304" s="349"/>
      <c r="C304" s="350"/>
      <c r="D304" s="351"/>
      <c r="E304" s="351"/>
      <c r="F304" s="336"/>
      <c r="G304" s="327"/>
      <c r="H304" s="327"/>
      <c r="I304" s="325">
        <f t="shared" si="34"/>
        <v>0</v>
      </c>
      <c r="J304" s="540" t="s">
        <v>281</v>
      </c>
      <c r="K304" s="540"/>
      <c r="L304" s="337">
        <f>IFERROR(IF(F304="Sem projeto",VLOOKUP(C304,$B$32:$H$34,7,FALSE)*1.5,G304*VLOOKUP(J304,Aux_Lista!$AG:$AH,2,FALSE)+H304)*E304,0)</f>
        <v>0</v>
      </c>
      <c r="M304" s="346" t="s">
        <v>90</v>
      </c>
      <c r="N304" s="347" t="s">
        <v>90</v>
      </c>
      <c r="O304" s="348" t="s">
        <v>90</v>
      </c>
      <c r="P304" s="386">
        <f t="shared" si="35"/>
        <v>0</v>
      </c>
      <c r="R304" s="94">
        <v>273</v>
      </c>
      <c r="S304" s="383"/>
      <c r="T304" s="214"/>
      <c r="U304" s="214"/>
      <c r="V304" s="217"/>
      <c r="W304" s="215"/>
      <c r="X304" s="336"/>
      <c r="Y304" s="68" t="str">
        <f>IF(V304="","",VLOOKUP(V304,Aux_Lista!A:K,11,FALSE))</f>
        <v/>
      </c>
      <c r="Z304" s="68" t="str">
        <f>IF(V304="","",VLOOKUP(V304,Aux_Lista!A:L,12,FALSE))</f>
        <v/>
      </c>
      <c r="AA304" s="68" t="str">
        <f>IF(W304="","",VLOOKUP(W304,Aux_Lista!AN:AP,3,FALSE))</f>
        <v/>
      </c>
      <c r="AB304" s="68" t="str">
        <f>IF(W304="","",VLOOKUP(W304,Aux_Lista!AN:AP,2,FALSE))</f>
        <v/>
      </c>
      <c r="AC304" s="69"/>
      <c r="AD304" s="69"/>
      <c r="AE304" s="325">
        <f t="shared" si="29"/>
        <v>0</v>
      </c>
      <c r="AF304" s="540" t="s">
        <v>281</v>
      </c>
      <c r="AG304" s="540"/>
      <c r="AH304" s="337">
        <f>IFERROR(IF(X304="Sem projeto",1.5*AA304,AC304*VLOOKUP(AF304,Aux_Lista!AG:AH,2,FALSE)+AD304)*U304,0)</f>
        <v>0</v>
      </c>
      <c r="AI304" s="343" t="s">
        <v>90</v>
      </c>
      <c r="AJ304" s="343" t="s">
        <v>90</v>
      </c>
      <c r="AK304" s="343" t="s">
        <v>90</v>
      </c>
      <c r="AL304" s="333" t="str">
        <f t="shared" si="30"/>
        <v/>
      </c>
      <c r="AM304" s="334" t="str">
        <f t="shared" si="31"/>
        <v/>
      </c>
      <c r="AN304" s="333" t="str">
        <f t="shared" si="32"/>
        <v/>
      </c>
      <c r="AO304" s="334" t="str">
        <f t="shared" si="33"/>
        <v/>
      </c>
      <c r="AP304" s="44"/>
      <c r="AQ304" s="2"/>
    </row>
    <row r="305" spans="1:43" ht="24.95" customHeight="1" x14ac:dyDescent="0.25">
      <c r="A305" s="2">
        <v>265</v>
      </c>
      <c r="B305" s="349"/>
      <c r="C305" s="350"/>
      <c r="D305" s="351"/>
      <c r="E305" s="351"/>
      <c r="F305" s="336"/>
      <c r="G305" s="327"/>
      <c r="H305" s="327"/>
      <c r="I305" s="325">
        <f t="shared" si="34"/>
        <v>0</v>
      </c>
      <c r="J305" s="540" t="s">
        <v>281</v>
      </c>
      <c r="K305" s="540"/>
      <c r="L305" s="337">
        <f>IFERROR(IF(F305="Sem projeto",VLOOKUP(C305,$B$32:$H$34,7,FALSE)*1.5,G305*VLOOKUP(J305,Aux_Lista!$AG:$AH,2,FALSE)+H305)*E305,0)</f>
        <v>0</v>
      </c>
      <c r="M305" s="346" t="s">
        <v>90</v>
      </c>
      <c r="N305" s="347" t="s">
        <v>90</v>
      </c>
      <c r="O305" s="348" t="s">
        <v>90</v>
      </c>
      <c r="P305" s="386">
        <f t="shared" si="35"/>
        <v>0</v>
      </c>
      <c r="R305" s="94">
        <v>274</v>
      </c>
      <c r="S305" s="383"/>
      <c r="T305" s="214"/>
      <c r="U305" s="214"/>
      <c r="V305" s="217"/>
      <c r="W305" s="215"/>
      <c r="X305" s="336"/>
      <c r="Y305" s="68" t="str">
        <f>IF(V305="","",VLOOKUP(V305,Aux_Lista!A:K,11,FALSE))</f>
        <v/>
      </c>
      <c r="Z305" s="68" t="str">
        <f>IF(V305="","",VLOOKUP(V305,Aux_Lista!A:L,12,FALSE))</f>
        <v/>
      </c>
      <c r="AA305" s="68" t="str">
        <f>IF(W305="","",VLOOKUP(W305,Aux_Lista!AN:AP,3,FALSE))</f>
        <v/>
      </c>
      <c r="AB305" s="68" t="str">
        <f>IF(W305="","",VLOOKUP(W305,Aux_Lista!AN:AP,2,FALSE))</f>
        <v/>
      </c>
      <c r="AC305" s="69"/>
      <c r="AD305" s="69"/>
      <c r="AE305" s="325">
        <f t="shared" si="29"/>
        <v>0</v>
      </c>
      <c r="AF305" s="540" t="s">
        <v>281</v>
      </c>
      <c r="AG305" s="540"/>
      <c r="AH305" s="337">
        <f>IFERROR(IF(X305="Sem projeto",1.5*AA305,AC305*VLOOKUP(AF305,Aux_Lista!AG:AH,2,FALSE)+AD305)*U305,0)</f>
        <v>0</v>
      </c>
      <c r="AI305" s="343" t="s">
        <v>90</v>
      </c>
      <c r="AJ305" s="343" t="s">
        <v>90</v>
      </c>
      <c r="AK305" s="343" t="s">
        <v>90</v>
      </c>
      <c r="AL305" s="333" t="str">
        <f t="shared" si="30"/>
        <v/>
      </c>
      <c r="AM305" s="334" t="str">
        <f t="shared" si="31"/>
        <v/>
      </c>
      <c r="AN305" s="333" t="str">
        <f t="shared" si="32"/>
        <v/>
      </c>
      <c r="AO305" s="334" t="str">
        <f t="shared" si="33"/>
        <v/>
      </c>
      <c r="AP305" s="44"/>
      <c r="AQ305" s="2"/>
    </row>
    <row r="306" spans="1:43" ht="24.95" customHeight="1" x14ac:dyDescent="0.25">
      <c r="A306" s="2">
        <v>266</v>
      </c>
      <c r="B306" s="349"/>
      <c r="C306" s="350"/>
      <c r="D306" s="351"/>
      <c r="E306" s="351"/>
      <c r="F306" s="336"/>
      <c r="G306" s="327"/>
      <c r="H306" s="327"/>
      <c r="I306" s="325">
        <f t="shared" si="34"/>
        <v>0</v>
      </c>
      <c r="J306" s="540" t="s">
        <v>281</v>
      </c>
      <c r="K306" s="540"/>
      <c r="L306" s="337">
        <f>IFERROR(IF(F306="Sem projeto",VLOOKUP(C306,$B$32:$H$34,7,FALSE)*1.5,G306*VLOOKUP(J306,Aux_Lista!$AG:$AH,2,FALSE)+H306)*E306,0)</f>
        <v>0</v>
      </c>
      <c r="M306" s="346" t="s">
        <v>90</v>
      </c>
      <c r="N306" s="347" t="s">
        <v>90</v>
      </c>
      <c r="O306" s="348" t="s">
        <v>90</v>
      </c>
      <c r="P306" s="386">
        <f t="shared" si="35"/>
        <v>0</v>
      </c>
      <c r="R306" s="94">
        <v>275</v>
      </c>
      <c r="S306" s="383"/>
      <c r="T306" s="214"/>
      <c r="U306" s="214"/>
      <c r="V306" s="217"/>
      <c r="W306" s="215"/>
      <c r="X306" s="336"/>
      <c r="Y306" s="68" t="str">
        <f>IF(V306="","",VLOOKUP(V306,Aux_Lista!A:K,11,FALSE))</f>
        <v/>
      </c>
      <c r="Z306" s="68" t="str">
        <f>IF(V306="","",VLOOKUP(V306,Aux_Lista!A:L,12,FALSE))</f>
        <v/>
      </c>
      <c r="AA306" s="68" t="str">
        <f>IF(W306="","",VLOOKUP(W306,Aux_Lista!AN:AP,3,FALSE))</f>
        <v/>
      </c>
      <c r="AB306" s="68" t="str">
        <f>IF(W306="","",VLOOKUP(W306,Aux_Lista!AN:AP,2,FALSE))</f>
        <v/>
      </c>
      <c r="AC306" s="69"/>
      <c r="AD306" s="69"/>
      <c r="AE306" s="325">
        <f t="shared" si="29"/>
        <v>0</v>
      </c>
      <c r="AF306" s="540" t="s">
        <v>281</v>
      </c>
      <c r="AG306" s="540"/>
      <c r="AH306" s="337">
        <f>IFERROR(IF(X306="Sem projeto",1.5*AA306,AC306*VLOOKUP(AF306,Aux_Lista!AG:AH,2,FALSE)+AD306)*U306,0)</f>
        <v>0</v>
      </c>
      <c r="AI306" s="343" t="s">
        <v>90</v>
      </c>
      <c r="AJ306" s="343" t="s">
        <v>90</v>
      </c>
      <c r="AK306" s="343" t="s">
        <v>90</v>
      </c>
      <c r="AL306" s="333" t="str">
        <f t="shared" si="30"/>
        <v/>
      </c>
      <c r="AM306" s="334" t="str">
        <f t="shared" si="31"/>
        <v/>
      </c>
      <c r="AN306" s="333" t="str">
        <f t="shared" si="32"/>
        <v/>
      </c>
      <c r="AO306" s="334" t="str">
        <f t="shared" si="33"/>
        <v/>
      </c>
      <c r="AP306" s="44"/>
      <c r="AQ306" s="2"/>
    </row>
    <row r="307" spans="1:43" ht="24.95" customHeight="1" x14ac:dyDescent="0.25">
      <c r="A307" s="2">
        <v>267</v>
      </c>
      <c r="B307" s="349"/>
      <c r="C307" s="350"/>
      <c r="D307" s="351"/>
      <c r="E307" s="351"/>
      <c r="F307" s="336"/>
      <c r="G307" s="327"/>
      <c r="H307" s="327"/>
      <c r="I307" s="325">
        <f t="shared" si="34"/>
        <v>0</v>
      </c>
      <c r="J307" s="540" t="s">
        <v>281</v>
      </c>
      <c r="K307" s="540"/>
      <c r="L307" s="337">
        <f>IFERROR(IF(F307="Sem projeto",VLOOKUP(C307,$B$32:$H$34,7,FALSE)*1.5,G307*VLOOKUP(J307,Aux_Lista!$AG:$AH,2,FALSE)+H307)*E307,0)</f>
        <v>0</v>
      </c>
      <c r="M307" s="346" t="s">
        <v>90</v>
      </c>
      <c r="N307" s="347" t="s">
        <v>90</v>
      </c>
      <c r="O307" s="348" t="s">
        <v>90</v>
      </c>
      <c r="P307" s="386">
        <f t="shared" si="35"/>
        <v>0</v>
      </c>
      <c r="R307" s="94">
        <v>276</v>
      </c>
      <c r="S307" s="383"/>
      <c r="T307" s="214"/>
      <c r="U307" s="214"/>
      <c r="V307" s="217"/>
      <c r="W307" s="215"/>
      <c r="X307" s="336"/>
      <c r="Y307" s="68" t="str">
        <f>IF(V307="","",VLOOKUP(V307,Aux_Lista!A:K,11,FALSE))</f>
        <v/>
      </c>
      <c r="Z307" s="68" t="str">
        <f>IF(V307="","",VLOOKUP(V307,Aux_Lista!A:L,12,FALSE))</f>
        <v/>
      </c>
      <c r="AA307" s="68" t="str">
        <f>IF(W307="","",VLOOKUP(W307,Aux_Lista!AN:AP,3,FALSE))</f>
        <v/>
      </c>
      <c r="AB307" s="68" t="str">
        <f>IF(W307="","",VLOOKUP(W307,Aux_Lista!AN:AP,2,FALSE))</f>
        <v/>
      </c>
      <c r="AC307" s="69"/>
      <c r="AD307" s="69"/>
      <c r="AE307" s="325">
        <f t="shared" si="29"/>
        <v>0</v>
      </c>
      <c r="AF307" s="540" t="s">
        <v>281</v>
      </c>
      <c r="AG307" s="540"/>
      <c r="AH307" s="337">
        <f>IFERROR(IF(X307="Sem projeto",1.5*AA307,AC307*VLOOKUP(AF307,Aux_Lista!AG:AH,2,FALSE)+AD307)*U307,0)</f>
        <v>0</v>
      </c>
      <c r="AI307" s="343" t="s">
        <v>90</v>
      </c>
      <c r="AJ307" s="343" t="s">
        <v>90</v>
      </c>
      <c r="AK307" s="343" t="s">
        <v>90</v>
      </c>
      <c r="AL307" s="333" t="str">
        <f t="shared" si="30"/>
        <v/>
      </c>
      <c r="AM307" s="334" t="str">
        <f t="shared" si="31"/>
        <v/>
      </c>
      <c r="AN307" s="333" t="str">
        <f t="shared" si="32"/>
        <v/>
      </c>
      <c r="AO307" s="334" t="str">
        <f t="shared" si="33"/>
        <v/>
      </c>
      <c r="AP307" s="44"/>
      <c r="AQ307" s="2"/>
    </row>
    <row r="308" spans="1:43" ht="24.95" customHeight="1" x14ac:dyDescent="0.25">
      <c r="A308" s="2">
        <v>268</v>
      </c>
      <c r="B308" s="349"/>
      <c r="C308" s="350"/>
      <c r="D308" s="351"/>
      <c r="E308" s="351"/>
      <c r="F308" s="336"/>
      <c r="G308" s="327"/>
      <c r="H308" s="327"/>
      <c r="I308" s="325">
        <f t="shared" si="34"/>
        <v>0</v>
      </c>
      <c r="J308" s="540" t="s">
        <v>281</v>
      </c>
      <c r="K308" s="540"/>
      <c r="L308" s="337">
        <f>IFERROR(IF(F308="Sem projeto",VLOOKUP(C308,$B$32:$H$34,7,FALSE)*1.5,G308*VLOOKUP(J308,Aux_Lista!$AG:$AH,2,FALSE)+H308)*E308,0)</f>
        <v>0</v>
      </c>
      <c r="M308" s="346" t="s">
        <v>90</v>
      </c>
      <c r="N308" s="347" t="s">
        <v>90</v>
      </c>
      <c r="O308" s="348" t="s">
        <v>90</v>
      </c>
      <c r="P308" s="386">
        <f t="shared" si="35"/>
        <v>0</v>
      </c>
      <c r="R308" s="94">
        <v>277</v>
      </c>
      <c r="S308" s="383"/>
      <c r="T308" s="214"/>
      <c r="U308" s="214"/>
      <c r="V308" s="217"/>
      <c r="W308" s="215"/>
      <c r="X308" s="336"/>
      <c r="Y308" s="68" t="str">
        <f>IF(V308="","",VLOOKUP(V308,Aux_Lista!A:K,11,FALSE))</f>
        <v/>
      </c>
      <c r="Z308" s="68" t="str">
        <f>IF(V308="","",VLOOKUP(V308,Aux_Lista!A:L,12,FALSE))</f>
        <v/>
      </c>
      <c r="AA308" s="68" t="str">
        <f>IF(W308="","",VLOOKUP(W308,Aux_Lista!AN:AP,3,FALSE))</f>
        <v/>
      </c>
      <c r="AB308" s="68" t="str">
        <f>IF(W308="","",VLOOKUP(W308,Aux_Lista!AN:AP,2,FALSE))</f>
        <v/>
      </c>
      <c r="AC308" s="69"/>
      <c r="AD308" s="69"/>
      <c r="AE308" s="325">
        <f t="shared" si="29"/>
        <v>0</v>
      </c>
      <c r="AF308" s="540" t="s">
        <v>281</v>
      </c>
      <c r="AG308" s="540"/>
      <c r="AH308" s="337">
        <f>IFERROR(IF(X308="Sem projeto",1.5*AA308,AC308*VLOOKUP(AF308,Aux_Lista!AG:AH,2,FALSE)+AD308)*U308,0)</f>
        <v>0</v>
      </c>
      <c r="AI308" s="343" t="s">
        <v>90</v>
      </c>
      <c r="AJ308" s="343" t="s">
        <v>90</v>
      </c>
      <c r="AK308" s="343" t="s">
        <v>90</v>
      </c>
      <c r="AL308" s="333" t="str">
        <f t="shared" si="30"/>
        <v/>
      </c>
      <c r="AM308" s="334" t="str">
        <f t="shared" si="31"/>
        <v/>
      </c>
      <c r="AN308" s="333" t="str">
        <f t="shared" si="32"/>
        <v/>
      </c>
      <c r="AO308" s="334" t="str">
        <f t="shared" si="33"/>
        <v/>
      </c>
      <c r="AP308" s="44"/>
      <c r="AQ308" s="2"/>
    </row>
    <row r="309" spans="1:43" ht="24.95" customHeight="1" x14ac:dyDescent="0.25">
      <c r="A309" s="2">
        <v>269</v>
      </c>
      <c r="B309" s="349"/>
      <c r="C309" s="350"/>
      <c r="D309" s="351"/>
      <c r="E309" s="351"/>
      <c r="F309" s="336"/>
      <c r="G309" s="327"/>
      <c r="H309" s="327"/>
      <c r="I309" s="325">
        <f t="shared" si="34"/>
        <v>0</v>
      </c>
      <c r="J309" s="540" t="s">
        <v>281</v>
      </c>
      <c r="K309" s="540"/>
      <c r="L309" s="337">
        <f>IFERROR(IF(F309="Sem projeto",VLOOKUP(C309,$B$32:$H$34,7,FALSE)*1.5,G309*VLOOKUP(J309,Aux_Lista!$AG:$AH,2,FALSE)+H309)*E309,0)</f>
        <v>0</v>
      </c>
      <c r="M309" s="346" t="s">
        <v>90</v>
      </c>
      <c r="N309" s="347" t="s">
        <v>90</v>
      </c>
      <c r="O309" s="348" t="s">
        <v>90</v>
      </c>
      <c r="P309" s="386">
        <f t="shared" si="35"/>
        <v>0</v>
      </c>
      <c r="R309" s="94">
        <v>278</v>
      </c>
      <c r="S309" s="383"/>
      <c r="T309" s="214"/>
      <c r="U309" s="214"/>
      <c r="V309" s="217"/>
      <c r="W309" s="215"/>
      <c r="X309" s="336"/>
      <c r="Y309" s="68" t="str">
        <f>IF(V309="","",VLOOKUP(V309,Aux_Lista!A:K,11,FALSE))</f>
        <v/>
      </c>
      <c r="Z309" s="68" t="str">
        <f>IF(V309="","",VLOOKUP(V309,Aux_Lista!A:L,12,FALSE))</f>
        <v/>
      </c>
      <c r="AA309" s="68" t="str">
        <f>IF(W309="","",VLOOKUP(W309,Aux_Lista!AN:AP,3,FALSE))</f>
        <v/>
      </c>
      <c r="AB309" s="68" t="str">
        <f>IF(W309="","",VLOOKUP(W309,Aux_Lista!AN:AP,2,FALSE))</f>
        <v/>
      </c>
      <c r="AC309" s="69"/>
      <c r="AD309" s="69"/>
      <c r="AE309" s="325">
        <f t="shared" si="29"/>
        <v>0</v>
      </c>
      <c r="AF309" s="540" t="s">
        <v>281</v>
      </c>
      <c r="AG309" s="540"/>
      <c r="AH309" s="337">
        <f>IFERROR(IF(X309="Sem projeto",1.5*AA309,AC309*VLOOKUP(AF309,Aux_Lista!AG:AH,2,FALSE)+AD309)*U309,0)</f>
        <v>0</v>
      </c>
      <c r="AI309" s="343" t="s">
        <v>90</v>
      </c>
      <c r="AJ309" s="343" t="s">
        <v>90</v>
      </c>
      <c r="AK309" s="343" t="s">
        <v>90</v>
      </c>
      <c r="AL309" s="333" t="str">
        <f t="shared" si="30"/>
        <v/>
      </c>
      <c r="AM309" s="334" t="str">
        <f t="shared" si="31"/>
        <v/>
      </c>
      <c r="AN309" s="333" t="str">
        <f t="shared" si="32"/>
        <v/>
      </c>
      <c r="AO309" s="334" t="str">
        <f t="shared" si="33"/>
        <v/>
      </c>
      <c r="AP309" s="44"/>
      <c r="AQ309" s="2"/>
    </row>
    <row r="310" spans="1:43" ht="24.95" customHeight="1" x14ac:dyDescent="0.25">
      <c r="A310" s="2">
        <v>270</v>
      </c>
      <c r="B310" s="349"/>
      <c r="C310" s="350"/>
      <c r="D310" s="351"/>
      <c r="E310" s="351"/>
      <c r="F310" s="336"/>
      <c r="G310" s="327"/>
      <c r="H310" s="327"/>
      <c r="I310" s="325">
        <f t="shared" si="34"/>
        <v>0</v>
      </c>
      <c r="J310" s="540" t="s">
        <v>281</v>
      </c>
      <c r="K310" s="540"/>
      <c r="L310" s="337">
        <f>IFERROR(IF(F310="Sem projeto",VLOOKUP(C310,$B$32:$H$34,7,FALSE)*1.5,G310*VLOOKUP(J310,Aux_Lista!$AG:$AH,2,FALSE)+H310)*E310,0)</f>
        <v>0</v>
      </c>
      <c r="M310" s="346" t="s">
        <v>90</v>
      </c>
      <c r="N310" s="347" t="s">
        <v>90</v>
      </c>
      <c r="O310" s="348" t="s">
        <v>90</v>
      </c>
      <c r="P310" s="386">
        <f t="shared" si="35"/>
        <v>0</v>
      </c>
      <c r="R310" s="94">
        <v>279</v>
      </c>
      <c r="S310" s="383"/>
      <c r="T310" s="214"/>
      <c r="U310" s="214"/>
      <c r="V310" s="217"/>
      <c r="W310" s="215"/>
      <c r="X310" s="336"/>
      <c r="Y310" s="68" t="str">
        <f>IF(V310="","",VLOOKUP(V310,Aux_Lista!A:K,11,FALSE))</f>
        <v/>
      </c>
      <c r="Z310" s="68" t="str">
        <f>IF(V310="","",VLOOKUP(V310,Aux_Lista!A:L,12,FALSE))</f>
        <v/>
      </c>
      <c r="AA310" s="68" t="str">
        <f>IF(W310="","",VLOOKUP(W310,Aux_Lista!AN:AP,3,FALSE))</f>
        <v/>
      </c>
      <c r="AB310" s="68" t="str">
        <f>IF(W310="","",VLOOKUP(W310,Aux_Lista!AN:AP,2,FALSE))</f>
        <v/>
      </c>
      <c r="AC310" s="69"/>
      <c r="AD310" s="69"/>
      <c r="AE310" s="325">
        <f t="shared" si="29"/>
        <v>0</v>
      </c>
      <c r="AF310" s="540" t="s">
        <v>281</v>
      </c>
      <c r="AG310" s="540"/>
      <c r="AH310" s="337">
        <f>IFERROR(IF(X310="Sem projeto",1.5*AA310,AC310*VLOOKUP(AF310,Aux_Lista!AG:AH,2,FALSE)+AD310)*U310,0)</f>
        <v>0</v>
      </c>
      <c r="AI310" s="343" t="s">
        <v>90</v>
      </c>
      <c r="AJ310" s="343" t="s">
        <v>90</v>
      </c>
      <c r="AK310" s="343" t="s">
        <v>90</v>
      </c>
      <c r="AL310" s="333" t="str">
        <f t="shared" si="30"/>
        <v/>
      </c>
      <c r="AM310" s="334" t="str">
        <f t="shared" si="31"/>
        <v/>
      </c>
      <c r="AN310" s="333" t="str">
        <f t="shared" si="32"/>
        <v/>
      </c>
      <c r="AO310" s="334" t="str">
        <f t="shared" si="33"/>
        <v/>
      </c>
      <c r="AP310" s="44"/>
      <c r="AQ310" s="2"/>
    </row>
    <row r="311" spans="1:43" ht="24.95" customHeight="1" x14ac:dyDescent="0.25">
      <c r="A311" s="2">
        <v>271</v>
      </c>
      <c r="B311" s="349"/>
      <c r="C311" s="350"/>
      <c r="D311" s="351"/>
      <c r="E311" s="351"/>
      <c r="F311" s="336"/>
      <c r="G311" s="327"/>
      <c r="H311" s="327"/>
      <c r="I311" s="325">
        <f t="shared" si="34"/>
        <v>0</v>
      </c>
      <c r="J311" s="540" t="s">
        <v>281</v>
      </c>
      <c r="K311" s="540"/>
      <c r="L311" s="337">
        <f>IFERROR(IF(F311="Sem projeto",VLOOKUP(C311,$B$32:$H$34,7,FALSE)*1.5,G311*VLOOKUP(J311,Aux_Lista!$AG:$AH,2,FALSE)+H311)*E311,0)</f>
        <v>0</v>
      </c>
      <c r="M311" s="346" t="s">
        <v>90</v>
      </c>
      <c r="N311" s="347" t="s">
        <v>90</v>
      </c>
      <c r="O311" s="348" t="s">
        <v>90</v>
      </c>
      <c r="P311" s="386">
        <f t="shared" si="35"/>
        <v>0</v>
      </c>
      <c r="R311" s="94">
        <v>280</v>
      </c>
      <c r="S311" s="383"/>
      <c r="T311" s="214"/>
      <c r="U311" s="214"/>
      <c r="V311" s="217"/>
      <c r="W311" s="215"/>
      <c r="X311" s="336"/>
      <c r="Y311" s="68" t="str">
        <f>IF(V311="","",VLOOKUP(V311,Aux_Lista!A:K,11,FALSE))</f>
        <v/>
      </c>
      <c r="Z311" s="68" t="str">
        <f>IF(V311="","",VLOOKUP(V311,Aux_Lista!A:L,12,FALSE))</f>
        <v/>
      </c>
      <c r="AA311" s="68" t="str">
        <f>IF(W311="","",VLOOKUP(W311,Aux_Lista!AN:AP,3,FALSE))</f>
        <v/>
      </c>
      <c r="AB311" s="68" t="str">
        <f>IF(W311="","",VLOOKUP(W311,Aux_Lista!AN:AP,2,FALSE))</f>
        <v/>
      </c>
      <c r="AC311" s="69"/>
      <c r="AD311" s="69"/>
      <c r="AE311" s="325">
        <f t="shared" si="29"/>
        <v>0</v>
      </c>
      <c r="AF311" s="540" t="s">
        <v>281</v>
      </c>
      <c r="AG311" s="540"/>
      <c r="AH311" s="337">
        <f>IFERROR(IF(X311="Sem projeto",1.5*AA311,AC311*VLOOKUP(AF311,Aux_Lista!AG:AH,2,FALSE)+AD311)*U311,0)</f>
        <v>0</v>
      </c>
      <c r="AI311" s="343" t="s">
        <v>90</v>
      </c>
      <c r="AJ311" s="343" t="s">
        <v>90</v>
      </c>
      <c r="AK311" s="343" t="s">
        <v>90</v>
      </c>
      <c r="AL311" s="333" t="str">
        <f t="shared" si="30"/>
        <v/>
      </c>
      <c r="AM311" s="334" t="str">
        <f t="shared" si="31"/>
        <v/>
      </c>
      <c r="AN311" s="333" t="str">
        <f t="shared" si="32"/>
        <v/>
      </c>
      <c r="AO311" s="334" t="str">
        <f t="shared" si="33"/>
        <v/>
      </c>
      <c r="AP311" s="44"/>
      <c r="AQ311" s="2"/>
    </row>
    <row r="312" spans="1:43" ht="24.95" customHeight="1" x14ac:dyDescent="0.25">
      <c r="A312" s="2">
        <v>272</v>
      </c>
      <c r="B312" s="349"/>
      <c r="C312" s="350"/>
      <c r="D312" s="351"/>
      <c r="E312" s="351"/>
      <c r="F312" s="336"/>
      <c r="G312" s="327"/>
      <c r="H312" s="327"/>
      <c r="I312" s="325">
        <f t="shared" si="34"/>
        <v>0</v>
      </c>
      <c r="J312" s="540" t="s">
        <v>281</v>
      </c>
      <c r="K312" s="540"/>
      <c r="L312" s="337">
        <f>IFERROR(IF(F312="Sem projeto",VLOOKUP(C312,$B$32:$H$34,7,FALSE)*1.5,G312*VLOOKUP(J312,Aux_Lista!$AG:$AH,2,FALSE)+H312)*E312,0)</f>
        <v>0</v>
      </c>
      <c r="M312" s="346" t="s">
        <v>90</v>
      </c>
      <c r="N312" s="347" t="s">
        <v>90</v>
      </c>
      <c r="O312" s="348" t="s">
        <v>90</v>
      </c>
      <c r="P312" s="386">
        <f t="shared" si="35"/>
        <v>0</v>
      </c>
      <c r="R312" s="94">
        <v>281</v>
      </c>
      <c r="S312" s="383"/>
      <c r="T312" s="214"/>
      <c r="U312" s="214"/>
      <c r="V312" s="217"/>
      <c r="W312" s="215"/>
      <c r="X312" s="336"/>
      <c r="Y312" s="68" t="str">
        <f>IF(V312="","",VLOOKUP(V312,Aux_Lista!A:K,11,FALSE))</f>
        <v/>
      </c>
      <c r="Z312" s="68" t="str">
        <f>IF(V312="","",VLOOKUP(V312,Aux_Lista!A:L,12,FALSE))</f>
        <v/>
      </c>
      <c r="AA312" s="68" t="str">
        <f>IF(W312="","",VLOOKUP(W312,Aux_Lista!AN:AP,3,FALSE))</f>
        <v/>
      </c>
      <c r="AB312" s="68" t="str">
        <f>IF(W312="","",VLOOKUP(W312,Aux_Lista!AN:AP,2,FALSE))</f>
        <v/>
      </c>
      <c r="AC312" s="69"/>
      <c r="AD312" s="69"/>
      <c r="AE312" s="325">
        <f t="shared" si="29"/>
        <v>0</v>
      </c>
      <c r="AF312" s="540" t="s">
        <v>281</v>
      </c>
      <c r="AG312" s="540"/>
      <c r="AH312" s="337">
        <f>IFERROR(IF(X312="Sem projeto",1.5*AA312,AC312*VLOOKUP(AF312,Aux_Lista!AG:AH,2,FALSE)+AD312)*U312,0)</f>
        <v>0</v>
      </c>
      <c r="AI312" s="343" t="s">
        <v>90</v>
      </c>
      <c r="AJ312" s="343" t="s">
        <v>90</v>
      </c>
      <c r="AK312" s="343" t="s">
        <v>90</v>
      </c>
      <c r="AL312" s="333" t="str">
        <f t="shared" si="30"/>
        <v/>
      </c>
      <c r="AM312" s="334" t="str">
        <f t="shared" si="31"/>
        <v/>
      </c>
      <c r="AN312" s="333" t="str">
        <f t="shared" si="32"/>
        <v/>
      </c>
      <c r="AO312" s="334" t="str">
        <f t="shared" si="33"/>
        <v/>
      </c>
      <c r="AP312" s="44"/>
      <c r="AQ312" s="2"/>
    </row>
    <row r="313" spans="1:43" ht="24.95" customHeight="1" x14ac:dyDescent="0.25">
      <c r="A313" s="2">
        <v>273</v>
      </c>
      <c r="B313" s="349"/>
      <c r="C313" s="350"/>
      <c r="D313" s="351"/>
      <c r="E313" s="351"/>
      <c r="F313" s="336"/>
      <c r="G313" s="327"/>
      <c r="H313" s="327"/>
      <c r="I313" s="325">
        <f t="shared" si="34"/>
        <v>0</v>
      </c>
      <c r="J313" s="540" t="s">
        <v>281</v>
      </c>
      <c r="K313" s="540"/>
      <c r="L313" s="337">
        <f>IFERROR(IF(F313="Sem projeto",VLOOKUP(C313,$B$32:$H$34,7,FALSE)*1.5,G313*VLOOKUP(J313,Aux_Lista!$AG:$AH,2,FALSE)+H313)*E313,0)</f>
        <v>0</v>
      </c>
      <c r="M313" s="346" t="s">
        <v>90</v>
      </c>
      <c r="N313" s="347" t="s">
        <v>90</v>
      </c>
      <c r="O313" s="348" t="s">
        <v>90</v>
      </c>
      <c r="P313" s="386">
        <f t="shared" si="35"/>
        <v>0</v>
      </c>
      <c r="R313" s="94">
        <v>282</v>
      </c>
      <c r="S313" s="383"/>
      <c r="T313" s="214"/>
      <c r="U313" s="214"/>
      <c r="V313" s="217"/>
      <c r="W313" s="215"/>
      <c r="X313" s="336"/>
      <c r="Y313" s="68" t="str">
        <f>IF(V313="","",VLOOKUP(V313,Aux_Lista!A:K,11,FALSE))</f>
        <v/>
      </c>
      <c r="Z313" s="68" t="str">
        <f>IF(V313="","",VLOOKUP(V313,Aux_Lista!A:L,12,FALSE))</f>
        <v/>
      </c>
      <c r="AA313" s="68" t="str">
        <f>IF(W313="","",VLOOKUP(W313,Aux_Lista!AN:AP,3,FALSE))</f>
        <v/>
      </c>
      <c r="AB313" s="68" t="str">
        <f>IF(W313="","",VLOOKUP(W313,Aux_Lista!AN:AP,2,FALSE))</f>
        <v/>
      </c>
      <c r="AC313" s="69"/>
      <c r="AD313" s="69"/>
      <c r="AE313" s="325">
        <f t="shared" si="29"/>
        <v>0</v>
      </c>
      <c r="AF313" s="540" t="s">
        <v>281</v>
      </c>
      <c r="AG313" s="540"/>
      <c r="AH313" s="337">
        <f>IFERROR(IF(X313="Sem projeto",1.5*AA313,AC313*VLOOKUP(AF313,Aux_Lista!AG:AH,2,FALSE)+AD313)*U313,0)</f>
        <v>0</v>
      </c>
      <c r="AI313" s="343" t="s">
        <v>90</v>
      </c>
      <c r="AJ313" s="343" t="s">
        <v>90</v>
      </c>
      <c r="AK313" s="343" t="s">
        <v>90</v>
      </c>
      <c r="AL313" s="333" t="str">
        <f t="shared" si="30"/>
        <v/>
      </c>
      <c r="AM313" s="334" t="str">
        <f t="shared" si="31"/>
        <v/>
      </c>
      <c r="AN313" s="333" t="str">
        <f t="shared" si="32"/>
        <v/>
      </c>
      <c r="AO313" s="334" t="str">
        <f t="shared" si="33"/>
        <v/>
      </c>
      <c r="AP313" s="44"/>
      <c r="AQ313" s="2"/>
    </row>
    <row r="314" spans="1:43" ht="24.95" customHeight="1" x14ac:dyDescent="0.25">
      <c r="A314" s="2">
        <v>274</v>
      </c>
      <c r="B314" s="349"/>
      <c r="C314" s="350"/>
      <c r="D314" s="351"/>
      <c r="E314" s="351"/>
      <c r="F314" s="336"/>
      <c r="G314" s="327"/>
      <c r="H314" s="327"/>
      <c r="I314" s="325">
        <f t="shared" si="34"/>
        <v>0</v>
      </c>
      <c r="J314" s="540" t="s">
        <v>281</v>
      </c>
      <c r="K314" s="540"/>
      <c r="L314" s="337">
        <f>IFERROR(IF(F314="Sem projeto",VLOOKUP(C314,$B$32:$H$34,7,FALSE)*1.5,G314*VLOOKUP(J314,Aux_Lista!$AG:$AH,2,FALSE)+H314)*E314,0)</f>
        <v>0</v>
      </c>
      <c r="M314" s="346" t="s">
        <v>90</v>
      </c>
      <c r="N314" s="347" t="s">
        <v>90</v>
      </c>
      <c r="O314" s="348" t="s">
        <v>90</v>
      </c>
      <c r="P314" s="386">
        <f t="shared" si="35"/>
        <v>0</v>
      </c>
      <c r="R314" s="94">
        <v>283</v>
      </c>
      <c r="S314" s="383"/>
      <c r="T314" s="214"/>
      <c r="U314" s="214"/>
      <c r="V314" s="217"/>
      <c r="W314" s="215"/>
      <c r="X314" s="336"/>
      <c r="Y314" s="68" t="str">
        <f>IF(V314="","",VLOOKUP(V314,Aux_Lista!A:K,11,FALSE))</f>
        <v/>
      </c>
      <c r="Z314" s="68" t="str">
        <f>IF(V314="","",VLOOKUP(V314,Aux_Lista!A:L,12,FALSE))</f>
        <v/>
      </c>
      <c r="AA314" s="68" t="str">
        <f>IF(W314="","",VLOOKUP(W314,Aux_Lista!AN:AP,3,FALSE))</f>
        <v/>
      </c>
      <c r="AB314" s="68" t="str">
        <f>IF(W314="","",VLOOKUP(W314,Aux_Lista!AN:AP,2,FALSE))</f>
        <v/>
      </c>
      <c r="AC314" s="69"/>
      <c r="AD314" s="69"/>
      <c r="AE314" s="325">
        <f t="shared" si="29"/>
        <v>0</v>
      </c>
      <c r="AF314" s="540" t="s">
        <v>281</v>
      </c>
      <c r="AG314" s="540"/>
      <c r="AH314" s="337">
        <f>IFERROR(IF(X314="Sem projeto",1.5*AA314,AC314*VLOOKUP(AF314,Aux_Lista!AG:AH,2,FALSE)+AD314)*U314,0)</f>
        <v>0</v>
      </c>
      <c r="AI314" s="343" t="s">
        <v>90</v>
      </c>
      <c r="AJ314" s="343" t="s">
        <v>90</v>
      </c>
      <c r="AK314" s="343" t="s">
        <v>90</v>
      </c>
      <c r="AL314" s="333" t="str">
        <f t="shared" si="30"/>
        <v/>
      </c>
      <c r="AM314" s="334" t="str">
        <f t="shared" si="31"/>
        <v/>
      </c>
      <c r="AN314" s="333" t="str">
        <f t="shared" si="32"/>
        <v/>
      </c>
      <c r="AO314" s="334" t="str">
        <f t="shared" si="33"/>
        <v/>
      </c>
      <c r="AP314" s="44"/>
      <c r="AQ314" s="2"/>
    </row>
    <row r="315" spans="1:43" ht="24.95" customHeight="1" x14ac:dyDescent="0.25">
      <c r="A315" s="2">
        <v>275</v>
      </c>
      <c r="B315" s="349"/>
      <c r="C315" s="350"/>
      <c r="D315" s="351"/>
      <c r="E315" s="351"/>
      <c r="F315" s="336"/>
      <c r="G315" s="327"/>
      <c r="H315" s="327"/>
      <c r="I315" s="325">
        <f t="shared" si="34"/>
        <v>0</v>
      </c>
      <c r="J315" s="540" t="s">
        <v>281</v>
      </c>
      <c r="K315" s="540"/>
      <c r="L315" s="337">
        <f>IFERROR(IF(F315="Sem projeto",VLOOKUP(C315,$B$32:$H$34,7,FALSE)*1.5,G315*VLOOKUP(J315,Aux_Lista!$AG:$AH,2,FALSE)+H315)*E315,0)</f>
        <v>0</v>
      </c>
      <c r="M315" s="346" t="s">
        <v>90</v>
      </c>
      <c r="N315" s="347" t="s">
        <v>90</v>
      </c>
      <c r="O315" s="348" t="s">
        <v>90</v>
      </c>
      <c r="P315" s="386">
        <f t="shared" si="35"/>
        <v>0</v>
      </c>
      <c r="R315" s="94">
        <v>284</v>
      </c>
      <c r="S315" s="383"/>
      <c r="T315" s="214"/>
      <c r="U315" s="214"/>
      <c r="V315" s="217"/>
      <c r="W315" s="215"/>
      <c r="X315" s="336"/>
      <c r="Y315" s="68" t="str">
        <f>IF(V315="","",VLOOKUP(V315,Aux_Lista!A:K,11,FALSE))</f>
        <v/>
      </c>
      <c r="Z315" s="68" t="str">
        <f>IF(V315="","",VLOOKUP(V315,Aux_Lista!A:L,12,FALSE))</f>
        <v/>
      </c>
      <c r="AA315" s="68" t="str">
        <f>IF(W315="","",VLOOKUP(W315,Aux_Lista!AN:AP,3,FALSE))</f>
        <v/>
      </c>
      <c r="AB315" s="68" t="str">
        <f>IF(W315="","",VLOOKUP(W315,Aux_Lista!AN:AP,2,FALSE))</f>
        <v/>
      </c>
      <c r="AC315" s="69"/>
      <c r="AD315" s="69"/>
      <c r="AE315" s="325">
        <f t="shared" si="29"/>
        <v>0</v>
      </c>
      <c r="AF315" s="540" t="s">
        <v>281</v>
      </c>
      <c r="AG315" s="540"/>
      <c r="AH315" s="337">
        <f>IFERROR(IF(X315="Sem projeto",1.5*AA315,AC315*VLOOKUP(AF315,Aux_Lista!AG:AH,2,FALSE)+AD315)*U315,0)</f>
        <v>0</v>
      </c>
      <c r="AI315" s="343" t="s">
        <v>90</v>
      </c>
      <c r="AJ315" s="343" t="s">
        <v>90</v>
      </c>
      <c r="AK315" s="343" t="s">
        <v>90</v>
      </c>
      <c r="AL315" s="333" t="str">
        <f t="shared" si="30"/>
        <v/>
      </c>
      <c r="AM315" s="334" t="str">
        <f t="shared" si="31"/>
        <v/>
      </c>
      <c r="AN315" s="333" t="str">
        <f t="shared" si="32"/>
        <v/>
      </c>
      <c r="AO315" s="334" t="str">
        <f t="shared" si="33"/>
        <v/>
      </c>
      <c r="AP315" s="44"/>
      <c r="AQ315" s="2"/>
    </row>
    <row r="316" spans="1:43" ht="24.95" customHeight="1" x14ac:dyDescent="0.25">
      <c r="A316" s="2">
        <v>276</v>
      </c>
      <c r="B316" s="349"/>
      <c r="C316" s="350"/>
      <c r="D316" s="351"/>
      <c r="E316" s="351"/>
      <c r="F316" s="336"/>
      <c r="G316" s="327"/>
      <c r="H316" s="327"/>
      <c r="I316" s="325">
        <f t="shared" si="34"/>
        <v>0</v>
      </c>
      <c r="J316" s="540" t="s">
        <v>281</v>
      </c>
      <c r="K316" s="540"/>
      <c r="L316" s="337">
        <f>IFERROR(IF(F316="Sem projeto",VLOOKUP(C316,$B$32:$H$34,7,FALSE)*1.5,G316*VLOOKUP(J316,Aux_Lista!$AG:$AH,2,FALSE)+H316)*E316,0)</f>
        <v>0</v>
      </c>
      <c r="M316" s="346" t="s">
        <v>90</v>
      </c>
      <c r="N316" s="347" t="s">
        <v>90</v>
      </c>
      <c r="O316" s="348" t="s">
        <v>90</v>
      </c>
      <c r="P316" s="386">
        <f t="shared" si="35"/>
        <v>0</v>
      </c>
      <c r="R316" s="94">
        <v>285</v>
      </c>
      <c r="S316" s="383"/>
      <c r="T316" s="214"/>
      <c r="U316" s="214"/>
      <c r="V316" s="217"/>
      <c r="W316" s="215"/>
      <c r="X316" s="336"/>
      <c r="Y316" s="68" t="str">
        <f>IF(V316="","",VLOOKUP(V316,Aux_Lista!A:K,11,FALSE))</f>
        <v/>
      </c>
      <c r="Z316" s="68" t="str">
        <f>IF(V316="","",VLOOKUP(V316,Aux_Lista!A:L,12,FALSE))</f>
        <v/>
      </c>
      <c r="AA316" s="68" t="str">
        <f>IF(W316="","",VLOOKUP(W316,Aux_Lista!AN:AP,3,FALSE))</f>
        <v/>
      </c>
      <c r="AB316" s="68" t="str">
        <f>IF(W316="","",VLOOKUP(W316,Aux_Lista!AN:AP,2,FALSE))</f>
        <v/>
      </c>
      <c r="AC316" s="69"/>
      <c r="AD316" s="69"/>
      <c r="AE316" s="325">
        <f t="shared" si="29"/>
        <v>0</v>
      </c>
      <c r="AF316" s="540" t="s">
        <v>281</v>
      </c>
      <c r="AG316" s="540"/>
      <c r="AH316" s="337">
        <f>IFERROR(IF(X316="Sem projeto",1.5*AA316,AC316*VLOOKUP(AF316,Aux_Lista!AG:AH,2,FALSE)+AD316)*U316,0)</f>
        <v>0</v>
      </c>
      <c r="AI316" s="343" t="s">
        <v>90</v>
      </c>
      <c r="AJ316" s="343" t="s">
        <v>90</v>
      </c>
      <c r="AK316" s="343" t="s">
        <v>90</v>
      </c>
      <c r="AL316" s="333" t="str">
        <f t="shared" si="30"/>
        <v/>
      </c>
      <c r="AM316" s="334" t="str">
        <f t="shared" si="31"/>
        <v/>
      </c>
      <c r="AN316" s="333" t="str">
        <f t="shared" si="32"/>
        <v/>
      </c>
      <c r="AO316" s="334" t="str">
        <f t="shared" si="33"/>
        <v/>
      </c>
      <c r="AP316" s="44"/>
      <c r="AQ316" s="2"/>
    </row>
    <row r="317" spans="1:43" ht="24.95" customHeight="1" x14ac:dyDescent="0.25">
      <c r="A317" s="2">
        <v>277</v>
      </c>
      <c r="B317" s="349"/>
      <c r="C317" s="350"/>
      <c r="D317" s="351"/>
      <c r="E317" s="351"/>
      <c r="F317" s="336"/>
      <c r="G317" s="327"/>
      <c r="H317" s="327"/>
      <c r="I317" s="325">
        <f t="shared" si="34"/>
        <v>0</v>
      </c>
      <c r="J317" s="540" t="s">
        <v>281</v>
      </c>
      <c r="K317" s="540"/>
      <c r="L317" s="337">
        <f>IFERROR(IF(F317="Sem projeto",VLOOKUP(C317,$B$32:$H$34,7,FALSE)*1.5,G317*VLOOKUP(J317,Aux_Lista!$AG:$AH,2,FALSE)+H317)*E317,0)</f>
        <v>0</v>
      </c>
      <c r="M317" s="346" t="s">
        <v>90</v>
      </c>
      <c r="N317" s="347" t="s">
        <v>90</v>
      </c>
      <c r="O317" s="348" t="s">
        <v>90</v>
      </c>
      <c r="P317" s="386">
        <f t="shared" si="35"/>
        <v>0</v>
      </c>
      <c r="R317" s="94">
        <v>286</v>
      </c>
      <c r="S317" s="383"/>
      <c r="T317" s="214"/>
      <c r="U317" s="214"/>
      <c r="V317" s="217"/>
      <c r="W317" s="215"/>
      <c r="X317" s="336"/>
      <c r="Y317" s="68" t="str">
        <f>IF(V317="","",VLOOKUP(V317,Aux_Lista!A:K,11,FALSE))</f>
        <v/>
      </c>
      <c r="Z317" s="68" t="str">
        <f>IF(V317="","",VLOOKUP(V317,Aux_Lista!A:L,12,FALSE))</f>
        <v/>
      </c>
      <c r="AA317" s="68" t="str">
        <f>IF(W317="","",VLOOKUP(W317,Aux_Lista!AN:AP,3,FALSE))</f>
        <v/>
      </c>
      <c r="AB317" s="68" t="str">
        <f>IF(W317="","",VLOOKUP(W317,Aux_Lista!AN:AP,2,FALSE))</f>
        <v/>
      </c>
      <c r="AC317" s="69"/>
      <c r="AD317" s="69"/>
      <c r="AE317" s="325">
        <f t="shared" si="29"/>
        <v>0</v>
      </c>
      <c r="AF317" s="540" t="s">
        <v>281</v>
      </c>
      <c r="AG317" s="540"/>
      <c r="AH317" s="337">
        <f>IFERROR(IF(X317="Sem projeto",1.5*AA317,AC317*VLOOKUP(AF317,Aux_Lista!AG:AH,2,FALSE)+AD317)*U317,0)</f>
        <v>0</v>
      </c>
      <c r="AI317" s="343" t="s">
        <v>90</v>
      </c>
      <c r="AJ317" s="343" t="s">
        <v>90</v>
      </c>
      <c r="AK317" s="343" t="s">
        <v>90</v>
      </c>
      <c r="AL317" s="333" t="str">
        <f t="shared" si="30"/>
        <v/>
      </c>
      <c r="AM317" s="334" t="str">
        <f t="shared" si="31"/>
        <v/>
      </c>
      <c r="AN317" s="333" t="str">
        <f t="shared" si="32"/>
        <v/>
      </c>
      <c r="AO317" s="334" t="str">
        <f t="shared" si="33"/>
        <v/>
      </c>
      <c r="AP317" s="44"/>
      <c r="AQ317" s="2"/>
    </row>
    <row r="318" spans="1:43" ht="24.95" customHeight="1" x14ac:dyDescent="0.25">
      <c r="A318" s="2">
        <v>278</v>
      </c>
      <c r="B318" s="349"/>
      <c r="C318" s="350"/>
      <c r="D318" s="351"/>
      <c r="E318" s="351"/>
      <c r="F318" s="336"/>
      <c r="G318" s="327"/>
      <c r="H318" s="327"/>
      <c r="I318" s="325">
        <f t="shared" si="34"/>
        <v>0</v>
      </c>
      <c r="J318" s="540" t="s">
        <v>281</v>
      </c>
      <c r="K318" s="540"/>
      <c r="L318" s="337">
        <f>IFERROR(IF(F318="Sem projeto",VLOOKUP(C318,$B$32:$H$34,7,FALSE)*1.5,G318*VLOOKUP(J318,Aux_Lista!$AG:$AH,2,FALSE)+H318)*E318,0)</f>
        <v>0</v>
      </c>
      <c r="M318" s="346" t="s">
        <v>90</v>
      </c>
      <c r="N318" s="347" t="s">
        <v>90</v>
      </c>
      <c r="O318" s="348" t="s">
        <v>90</v>
      </c>
      <c r="P318" s="386">
        <f t="shared" si="35"/>
        <v>0</v>
      </c>
      <c r="R318" s="94">
        <v>287</v>
      </c>
      <c r="S318" s="383"/>
      <c r="T318" s="214"/>
      <c r="U318" s="214"/>
      <c r="V318" s="217"/>
      <c r="W318" s="215"/>
      <c r="X318" s="336"/>
      <c r="Y318" s="68" t="str">
        <f>IF(V318="","",VLOOKUP(V318,Aux_Lista!A:K,11,FALSE))</f>
        <v/>
      </c>
      <c r="Z318" s="68" t="str">
        <f>IF(V318="","",VLOOKUP(V318,Aux_Lista!A:L,12,FALSE))</f>
        <v/>
      </c>
      <c r="AA318" s="68" t="str">
        <f>IF(W318="","",VLOOKUP(W318,Aux_Lista!AN:AP,3,FALSE))</f>
        <v/>
      </c>
      <c r="AB318" s="68" t="str">
        <f>IF(W318="","",VLOOKUP(W318,Aux_Lista!AN:AP,2,FALSE))</f>
        <v/>
      </c>
      <c r="AC318" s="69"/>
      <c r="AD318" s="69"/>
      <c r="AE318" s="325">
        <f t="shared" si="29"/>
        <v>0</v>
      </c>
      <c r="AF318" s="540" t="s">
        <v>281</v>
      </c>
      <c r="AG318" s="540"/>
      <c r="AH318" s="337">
        <f>IFERROR(IF(X318="Sem projeto",1.5*AA318,AC318*VLOOKUP(AF318,Aux_Lista!AG:AH,2,FALSE)+AD318)*U318,0)</f>
        <v>0</v>
      </c>
      <c r="AI318" s="343" t="s">
        <v>90</v>
      </c>
      <c r="AJ318" s="343" t="s">
        <v>90</v>
      </c>
      <c r="AK318" s="343" t="s">
        <v>90</v>
      </c>
      <c r="AL318" s="333" t="str">
        <f t="shared" si="30"/>
        <v/>
      </c>
      <c r="AM318" s="334" t="str">
        <f t="shared" si="31"/>
        <v/>
      </c>
      <c r="AN318" s="333" t="str">
        <f t="shared" si="32"/>
        <v/>
      </c>
      <c r="AO318" s="334" t="str">
        <f t="shared" si="33"/>
        <v/>
      </c>
      <c r="AP318" s="44"/>
      <c r="AQ318" s="2"/>
    </row>
    <row r="319" spans="1:43" ht="24.95" customHeight="1" x14ac:dyDescent="0.25">
      <c r="A319" s="2">
        <v>279</v>
      </c>
      <c r="B319" s="349"/>
      <c r="C319" s="350"/>
      <c r="D319" s="351"/>
      <c r="E319" s="351"/>
      <c r="F319" s="336"/>
      <c r="G319" s="327"/>
      <c r="H319" s="327"/>
      <c r="I319" s="325">
        <f t="shared" si="34"/>
        <v>0</v>
      </c>
      <c r="J319" s="540" t="s">
        <v>281</v>
      </c>
      <c r="K319" s="540"/>
      <c r="L319" s="337">
        <f>IFERROR(IF(F319="Sem projeto",VLOOKUP(C319,$B$32:$H$34,7,FALSE)*1.5,G319*VLOOKUP(J319,Aux_Lista!$AG:$AH,2,FALSE)+H319)*E319,0)</f>
        <v>0</v>
      </c>
      <c r="M319" s="346" t="s">
        <v>90</v>
      </c>
      <c r="N319" s="347" t="s">
        <v>90</v>
      </c>
      <c r="O319" s="348" t="s">
        <v>90</v>
      </c>
      <c r="P319" s="386">
        <f t="shared" si="35"/>
        <v>0</v>
      </c>
      <c r="R319" s="94">
        <v>288</v>
      </c>
      <c r="S319" s="383"/>
      <c r="T319" s="214"/>
      <c r="U319" s="214"/>
      <c r="V319" s="217"/>
      <c r="W319" s="215"/>
      <c r="X319" s="336"/>
      <c r="Y319" s="68" t="str">
        <f>IF(V319="","",VLOOKUP(V319,Aux_Lista!A:K,11,FALSE))</f>
        <v/>
      </c>
      <c r="Z319" s="68" t="str">
        <f>IF(V319="","",VLOOKUP(V319,Aux_Lista!A:L,12,FALSE))</f>
        <v/>
      </c>
      <c r="AA319" s="68" t="str">
        <f>IF(W319="","",VLOOKUP(W319,Aux_Lista!AN:AP,3,FALSE))</f>
        <v/>
      </c>
      <c r="AB319" s="68" t="str">
        <f>IF(W319="","",VLOOKUP(W319,Aux_Lista!AN:AP,2,FALSE))</f>
        <v/>
      </c>
      <c r="AC319" s="69"/>
      <c r="AD319" s="69"/>
      <c r="AE319" s="325">
        <f t="shared" si="29"/>
        <v>0</v>
      </c>
      <c r="AF319" s="540" t="s">
        <v>281</v>
      </c>
      <c r="AG319" s="540"/>
      <c r="AH319" s="337">
        <f>IFERROR(IF(X319="Sem projeto",1.5*AA319,AC319*VLOOKUP(AF319,Aux_Lista!AG:AH,2,FALSE)+AD319)*U319,0)</f>
        <v>0</v>
      </c>
      <c r="AI319" s="343" t="s">
        <v>90</v>
      </c>
      <c r="AJ319" s="343" t="s">
        <v>90</v>
      </c>
      <c r="AK319" s="343" t="s">
        <v>90</v>
      </c>
      <c r="AL319" s="333" t="str">
        <f t="shared" si="30"/>
        <v/>
      </c>
      <c r="AM319" s="334" t="str">
        <f t="shared" si="31"/>
        <v/>
      </c>
      <c r="AN319" s="333" t="str">
        <f t="shared" si="32"/>
        <v/>
      </c>
      <c r="AO319" s="334" t="str">
        <f t="shared" si="33"/>
        <v/>
      </c>
      <c r="AP319" s="44"/>
      <c r="AQ319" s="2"/>
    </row>
    <row r="320" spans="1:43" ht="24.95" customHeight="1" x14ac:dyDescent="0.25">
      <c r="A320" s="2">
        <v>280</v>
      </c>
      <c r="B320" s="349"/>
      <c r="C320" s="350"/>
      <c r="D320" s="351"/>
      <c r="E320" s="351"/>
      <c r="F320" s="336"/>
      <c r="G320" s="327"/>
      <c r="H320" s="327"/>
      <c r="I320" s="325">
        <f t="shared" si="34"/>
        <v>0</v>
      </c>
      <c r="J320" s="540" t="s">
        <v>281</v>
      </c>
      <c r="K320" s="540"/>
      <c r="L320" s="337">
        <f>IFERROR(IF(F320="Sem projeto",VLOOKUP(C320,$B$32:$H$34,7,FALSE)*1.5,G320*VLOOKUP(J320,Aux_Lista!$AG:$AH,2,FALSE)+H320)*E320,0)</f>
        <v>0</v>
      </c>
      <c r="M320" s="346" t="s">
        <v>90</v>
      </c>
      <c r="N320" s="347" t="s">
        <v>90</v>
      </c>
      <c r="O320" s="348" t="s">
        <v>90</v>
      </c>
      <c r="P320" s="386">
        <f t="shared" si="35"/>
        <v>0</v>
      </c>
      <c r="R320" s="94">
        <v>289</v>
      </c>
      <c r="S320" s="383"/>
      <c r="T320" s="214"/>
      <c r="U320" s="214"/>
      <c r="V320" s="217"/>
      <c r="W320" s="215"/>
      <c r="X320" s="336"/>
      <c r="Y320" s="68" t="str">
        <f>IF(V320="","",VLOOKUP(V320,Aux_Lista!A:K,11,FALSE))</f>
        <v/>
      </c>
      <c r="Z320" s="68" t="str">
        <f>IF(V320="","",VLOOKUP(V320,Aux_Lista!A:L,12,FALSE))</f>
        <v/>
      </c>
      <c r="AA320" s="68" t="str">
        <f>IF(W320="","",VLOOKUP(W320,Aux_Lista!AN:AP,3,FALSE))</f>
        <v/>
      </c>
      <c r="AB320" s="68" t="str">
        <f>IF(W320="","",VLOOKUP(W320,Aux_Lista!AN:AP,2,FALSE))</f>
        <v/>
      </c>
      <c r="AC320" s="69"/>
      <c r="AD320" s="69"/>
      <c r="AE320" s="325">
        <f t="shared" si="29"/>
        <v>0</v>
      </c>
      <c r="AF320" s="540" t="s">
        <v>281</v>
      </c>
      <c r="AG320" s="540"/>
      <c r="AH320" s="337">
        <f>IFERROR(IF(X320="Sem projeto",1.5*AA320,AC320*VLOOKUP(AF320,Aux_Lista!AG:AH,2,FALSE)+AD320)*U320,0)</f>
        <v>0</v>
      </c>
      <c r="AI320" s="343" t="s">
        <v>90</v>
      </c>
      <c r="AJ320" s="343" t="s">
        <v>90</v>
      </c>
      <c r="AK320" s="343" t="s">
        <v>90</v>
      </c>
      <c r="AL320" s="333" t="str">
        <f t="shared" si="30"/>
        <v/>
      </c>
      <c r="AM320" s="334" t="str">
        <f t="shared" si="31"/>
        <v/>
      </c>
      <c r="AN320" s="333" t="str">
        <f t="shared" si="32"/>
        <v/>
      </c>
      <c r="AO320" s="334" t="str">
        <f t="shared" si="33"/>
        <v/>
      </c>
      <c r="AP320" s="44"/>
      <c r="AQ320" s="2"/>
    </row>
    <row r="321" spans="1:43" ht="24.95" customHeight="1" x14ac:dyDescent="0.25">
      <c r="A321" s="2">
        <v>281</v>
      </c>
      <c r="B321" s="349"/>
      <c r="C321" s="350"/>
      <c r="D321" s="351"/>
      <c r="E321" s="351"/>
      <c r="F321" s="336"/>
      <c r="G321" s="327"/>
      <c r="H321" s="327"/>
      <c r="I321" s="325">
        <f t="shared" si="34"/>
        <v>0</v>
      </c>
      <c r="J321" s="540" t="s">
        <v>281</v>
      </c>
      <c r="K321" s="540"/>
      <c r="L321" s="337">
        <f>IFERROR(IF(F321="Sem projeto",VLOOKUP(C321,$B$32:$H$34,7,FALSE)*1.5,G321*VLOOKUP(J321,Aux_Lista!$AG:$AH,2,FALSE)+H321)*E321,0)</f>
        <v>0</v>
      </c>
      <c r="M321" s="346" t="s">
        <v>90</v>
      </c>
      <c r="N321" s="347" t="s">
        <v>90</v>
      </c>
      <c r="O321" s="348" t="s">
        <v>90</v>
      </c>
      <c r="P321" s="386">
        <f t="shared" si="35"/>
        <v>0</v>
      </c>
      <c r="R321" s="94">
        <v>290</v>
      </c>
      <c r="S321" s="383"/>
      <c r="T321" s="214"/>
      <c r="U321" s="214"/>
      <c r="V321" s="217"/>
      <c r="W321" s="215"/>
      <c r="X321" s="336"/>
      <c r="Y321" s="68" t="str">
        <f>IF(V321="","",VLOOKUP(V321,Aux_Lista!A:K,11,FALSE))</f>
        <v/>
      </c>
      <c r="Z321" s="68" t="str">
        <f>IF(V321="","",VLOOKUP(V321,Aux_Lista!A:L,12,FALSE))</f>
        <v/>
      </c>
      <c r="AA321" s="68" t="str">
        <f>IF(W321="","",VLOOKUP(W321,Aux_Lista!AN:AP,3,FALSE))</f>
        <v/>
      </c>
      <c r="AB321" s="68" t="str">
        <f>IF(W321="","",VLOOKUP(W321,Aux_Lista!AN:AP,2,FALSE))</f>
        <v/>
      </c>
      <c r="AC321" s="69"/>
      <c r="AD321" s="69"/>
      <c r="AE321" s="325">
        <f t="shared" si="29"/>
        <v>0</v>
      </c>
      <c r="AF321" s="540" t="s">
        <v>281</v>
      </c>
      <c r="AG321" s="540"/>
      <c r="AH321" s="337">
        <f>IFERROR(IF(X321="Sem projeto",1.5*AA321,AC321*VLOOKUP(AF321,Aux_Lista!AG:AH,2,FALSE)+AD321)*U321,0)</f>
        <v>0</v>
      </c>
      <c r="AI321" s="343" t="s">
        <v>90</v>
      </c>
      <c r="AJ321" s="343" t="s">
        <v>90</v>
      </c>
      <c r="AK321" s="343" t="s">
        <v>90</v>
      </c>
      <c r="AL321" s="333" t="str">
        <f t="shared" si="30"/>
        <v/>
      </c>
      <c r="AM321" s="334" t="str">
        <f t="shared" si="31"/>
        <v/>
      </c>
      <c r="AN321" s="333" t="str">
        <f t="shared" si="32"/>
        <v/>
      </c>
      <c r="AO321" s="334" t="str">
        <f t="shared" si="33"/>
        <v/>
      </c>
      <c r="AP321" s="44"/>
      <c r="AQ321" s="2"/>
    </row>
    <row r="322" spans="1:43" ht="24.95" customHeight="1" x14ac:dyDescent="0.25">
      <c r="A322" s="2">
        <v>282</v>
      </c>
      <c r="B322" s="349"/>
      <c r="C322" s="350"/>
      <c r="D322" s="351"/>
      <c r="E322" s="351"/>
      <c r="F322" s="336"/>
      <c r="G322" s="327"/>
      <c r="H322" s="327"/>
      <c r="I322" s="325">
        <f t="shared" si="34"/>
        <v>0</v>
      </c>
      <c r="J322" s="540" t="s">
        <v>281</v>
      </c>
      <c r="K322" s="540"/>
      <c r="L322" s="337">
        <f>IFERROR(IF(F322="Sem projeto",VLOOKUP(C322,$B$32:$H$34,7,FALSE)*1.5,G322*VLOOKUP(J322,Aux_Lista!$AG:$AH,2,FALSE)+H322)*E322,0)</f>
        <v>0</v>
      </c>
      <c r="M322" s="346" t="s">
        <v>90</v>
      </c>
      <c r="N322" s="347" t="s">
        <v>90</v>
      </c>
      <c r="O322" s="348" t="s">
        <v>90</v>
      </c>
      <c r="P322" s="386">
        <f t="shared" si="35"/>
        <v>0</v>
      </c>
      <c r="R322" s="94">
        <v>291</v>
      </c>
      <c r="S322" s="383"/>
      <c r="T322" s="214"/>
      <c r="U322" s="214"/>
      <c r="V322" s="217"/>
      <c r="W322" s="215"/>
      <c r="X322" s="336"/>
      <c r="Y322" s="68" t="str">
        <f>IF(V322="","",VLOOKUP(V322,Aux_Lista!A:K,11,FALSE))</f>
        <v/>
      </c>
      <c r="Z322" s="68" t="str">
        <f>IF(V322="","",VLOOKUP(V322,Aux_Lista!A:L,12,FALSE))</f>
        <v/>
      </c>
      <c r="AA322" s="68" t="str">
        <f>IF(W322="","",VLOOKUP(W322,Aux_Lista!AN:AP,3,FALSE))</f>
        <v/>
      </c>
      <c r="AB322" s="68" t="str">
        <f>IF(W322="","",VLOOKUP(W322,Aux_Lista!AN:AP,2,FALSE))</f>
        <v/>
      </c>
      <c r="AC322" s="69"/>
      <c r="AD322" s="69"/>
      <c r="AE322" s="325">
        <f t="shared" si="29"/>
        <v>0</v>
      </c>
      <c r="AF322" s="540" t="s">
        <v>281</v>
      </c>
      <c r="AG322" s="540"/>
      <c r="AH322" s="337">
        <f>IFERROR(IF(X322="Sem projeto",1.5*AA322,AC322*VLOOKUP(AF322,Aux_Lista!AG:AH,2,FALSE)+AD322)*U322,0)</f>
        <v>0</v>
      </c>
      <c r="AI322" s="343" t="s">
        <v>90</v>
      </c>
      <c r="AJ322" s="343" t="s">
        <v>90</v>
      </c>
      <c r="AK322" s="343" t="s">
        <v>90</v>
      </c>
      <c r="AL322" s="333" t="str">
        <f t="shared" si="30"/>
        <v/>
      </c>
      <c r="AM322" s="334" t="str">
        <f t="shared" si="31"/>
        <v/>
      </c>
      <c r="AN322" s="333" t="str">
        <f t="shared" si="32"/>
        <v/>
      </c>
      <c r="AO322" s="334" t="str">
        <f t="shared" si="33"/>
        <v/>
      </c>
      <c r="AP322" s="44"/>
      <c r="AQ322" s="2"/>
    </row>
    <row r="323" spans="1:43" ht="24.95" customHeight="1" x14ac:dyDescent="0.25">
      <c r="A323" s="2">
        <v>283</v>
      </c>
      <c r="B323" s="349"/>
      <c r="C323" s="350"/>
      <c r="D323" s="351"/>
      <c r="E323" s="351"/>
      <c r="F323" s="336"/>
      <c r="G323" s="327"/>
      <c r="H323" s="327"/>
      <c r="I323" s="325">
        <f t="shared" si="34"/>
        <v>0</v>
      </c>
      <c r="J323" s="540" t="s">
        <v>281</v>
      </c>
      <c r="K323" s="540"/>
      <c r="L323" s="337">
        <f>IFERROR(IF(F323="Sem projeto",VLOOKUP(C323,$B$32:$H$34,7,FALSE)*1.5,G323*VLOOKUP(J323,Aux_Lista!$AG:$AH,2,FALSE)+H323)*E323,0)</f>
        <v>0</v>
      </c>
      <c r="M323" s="346" t="s">
        <v>90</v>
      </c>
      <c r="N323" s="347" t="s">
        <v>90</v>
      </c>
      <c r="O323" s="348" t="s">
        <v>90</v>
      </c>
      <c r="P323" s="386">
        <f t="shared" si="35"/>
        <v>0</v>
      </c>
      <c r="R323" s="94">
        <v>292</v>
      </c>
      <c r="S323" s="383"/>
      <c r="T323" s="214"/>
      <c r="U323" s="214"/>
      <c r="V323" s="217"/>
      <c r="W323" s="215"/>
      <c r="X323" s="336"/>
      <c r="Y323" s="68" t="str">
        <f>IF(V323="","",VLOOKUP(V323,Aux_Lista!A:K,11,FALSE))</f>
        <v/>
      </c>
      <c r="Z323" s="68" t="str">
        <f>IF(V323="","",VLOOKUP(V323,Aux_Lista!A:L,12,FALSE))</f>
        <v/>
      </c>
      <c r="AA323" s="68" t="str">
        <f>IF(W323="","",VLOOKUP(W323,Aux_Lista!AN:AP,3,FALSE))</f>
        <v/>
      </c>
      <c r="AB323" s="68" t="str">
        <f>IF(W323="","",VLOOKUP(W323,Aux_Lista!AN:AP,2,FALSE))</f>
        <v/>
      </c>
      <c r="AC323" s="69"/>
      <c r="AD323" s="69"/>
      <c r="AE323" s="325">
        <f t="shared" si="29"/>
        <v>0</v>
      </c>
      <c r="AF323" s="540" t="s">
        <v>281</v>
      </c>
      <c r="AG323" s="540"/>
      <c r="AH323" s="337">
        <f>IFERROR(IF(X323="Sem projeto",1.5*AA323,AC323*VLOOKUP(AF323,Aux_Lista!AG:AH,2,FALSE)+AD323)*U323,0)</f>
        <v>0</v>
      </c>
      <c r="AI323" s="343" t="s">
        <v>90</v>
      </c>
      <c r="AJ323" s="343" t="s">
        <v>90</v>
      </c>
      <c r="AK323" s="343" t="s">
        <v>90</v>
      </c>
      <c r="AL323" s="333" t="str">
        <f t="shared" si="30"/>
        <v/>
      </c>
      <c r="AM323" s="334" t="str">
        <f t="shared" si="31"/>
        <v/>
      </c>
      <c r="AN323" s="333" t="str">
        <f t="shared" si="32"/>
        <v/>
      </c>
      <c r="AO323" s="334" t="str">
        <f t="shared" si="33"/>
        <v/>
      </c>
      <c r="AP323" s="44"/>
      <c r="AQ323" s="2"/>
    </row>
    <row r="324" spans="1:43" ht="24.95" customHeight="1" x14ac:dyDescent="0.25">
      <c r="A324" s="2">
        <v>284</v>
      </c>
      <c r="B324" s="349"/>
      <c r="C324" s="350"/>
      <c r="D324" s="351"/>
      <c r="E324" s="351"/>
      <c r="F324" s="336"/>
      <c r="G324" s="327"/>
      <c r="H324" s="327"/>
      <c r="I324" s="325">
        <f t="shared" si="34"/>
        <v>0</v>
      </c>
      <c r="J324" s="540" t="s">
        <v>281</v>
      </c>
      <c r="K324" s="540"/>
      <c r="L324" s="337">
        <f>IFERROR(IF(F324="Sem projeto",VLOOKUP(C324,$B$32:$H$34,7,FALSE)*1.5,G324*VLOOKUP(J324,Aux_Lista!$AG:$AH,2,FALSE)+H324)*E324,0)</f>
        <v>0</v>
      </c>
      <c r="M324" s="346" t="s">
        <v>90</v>
      </c>
      <c r="N324" s="347" t="s">
        <v>90</v>
      </c>
      <c r="O324" s="348" t="s">
        <v>90</v>
      </c>
      <c r="P324" s="386">
        <f t="shared" si="35"/>
        <v>0</v>
      </c>
      <c r="R324" s="94">
        <v>293</v>
      </c>
      <c r="S324" s="383"/>
      <c r="T324" s="214"/>
      <c r="U324" s="214"/>
      <c r="V324" s="217"/>
      <c r="W324" s="215"/>
      <c r="X324" s="336"/>
      <c r="Y324" s="68" t="str">
        <f>IF(V324="","",VLOOKUP(V324,Aux_Lista!A:K,11,FALSE))</f>
        <v/>
      </c>
      <c r="Z324" s="68" t="str">
        <f>IF(V324="","",VLOOKUP(V324,Aux_Lista!A:L,12,FALSE))</f>
        <v/>
      </c>
      <c r="AA324" s="68" t="str">
        <f>IF(W324="","",VLOOKUP(W324,Aux_Lista!AN:AP,3,FALSE))</f>
        <v/>
      </c>
      <c r="AB324" s="68" t="str">
        <f>IF(W324="","",VLOOKUP(W324,Aux_Lista!AN:AP,2,FALSE))</f>
        <v/>
      </c>
      <c r="AC324" s="69"/>
      <c r="AD324" s="69"/>
      <c r="AE324" s="325">
        <f t="shared" si="29"/>
        <v>0</v>
      </c>
      <c r="AF324" s="540" t="s">
        <v>281</v>
      </c>
      <c r="AG324" s="540"/>
      <c r="AH324" s="337">
        <f>IFERROR(IF(X324="Sem projeto",1.5*AA324,AC324*VLOOKUP(AF324,Aux_Lista!AG:AH,2,FALSE)+AD324)*U324,0)</f>
        <v>0</v>
      </c>
      <c r="AI324" s="343" t="s">
        <v>90</v>
      </c>
      <c r="AJ324" s="343" t="s">
        <v>90</v>
      </c>
      <c r="AK324" s="343" t="s">
        <v>90</v>
      </c>
      <c r="AL324" s="333" t="str">
        <f t="shared" si="30"/>
        <v/>
      </c>
      <c r="AM324" s="334" t="str">
        <f t="shared" si="31"/>
        <v/>
      </c>
      <c r="AN324" s="333" t="str">
        <f t="shared" si="32"/>
        <v/>
      </c>
      <c r="AO324" s="334" t="str">
        <f t="shared" si="33"/>
        <v/>
      </c>
      <c r="AP324" s="44"/>
      <c r="AQ324" s="2"/>
    </row>
    <row r="325" spans="1:43" ht="24.95" customHeight="1" x14ac:dyDescent="0.25">
      <c r="A325" s="2">
        <v>285</v>
      </c>
      <c r="B325" s="349"/>
      <c r="C325" s="350"/>
      <c r="D325" s="351"/>
      <c r="E325" s="351"/>
      <c r="F325" s="336"/>
      <c r="G325" s="327"/>
      <c r="H325" s="327"/>
      <c r="I325" s="325">
        <f t="shared" si="34"/>
        <v>0</v>
      </c>
      <c r="J325" s="540" t="s">
        <v>281</v>
      </c>
      <c r="K325" s="540"/>
      <c r="L325" s="337">
        <f>IFERROR(IF(F325="Sem projeto",VLOOKUP(C325,$B$32:$H$34,7,FALSE)*1.5,G325*VLOOKUP(J325,Aux_Lista!$AG:$AH,2,FALSE)+H325)*E325,0)</f>
        <v>0</v>
      </c>
      <c r="M325" s="346" t="s">
        <v>90</v>
      </c>
      <c r="N325" s="347" t="s">
        <v>90</v>
      </c>
      <c r="O325" s="348" t="s">
        <v>90</v>
      </c>
      <c r="P325" s="386">
        <f t="shared" si="35"/>
        <v>0</v>
      </c>
      <c r="R325" s="94">
        <v>294</v>
      </c>
      <c r="S325" s="383"/>
      <c r="T325" s="214"/>
      <c r="U325" s="214"/>
      <c r="V325" s="217"/>
      <c r="W325" s="215"/>
      <c r="X325" s="336"/>
      <c r="Y325" s="68" t="str">
        <f>IF(V325="","",VLOOKUP(V325,Aux_Lista!A:K,11,FALSE))</f>
        <v/>
      </c>
      <c r="Z325" s="68" t="str">
        <f>IF(V325="","",VLOOKUP(V325,Aux_Lista!A:L,12,FALSE))</f>
        <v/>
      </c>
      <c r="AA325" s="68" t="str">
        <f>IF(W325="","",VLOOKUP(W325,Aux_Lista!AN:AP,3,FALSE))</f>
        <v/>
      </c>
      <c r="AB325" s="68" t="str">
        <f>IF(W325="","",VLOOKUP(W325,Aux_Lista!AN:AP,2,FALSE))</f>
        <v/>
      </c>
      <c r="AC325" s="69"/>
      <c r="AD325" s="69"/>
      <c r="AE325" s="325">
        <f t="shared" si="29"/>
        <v>0</v>
      </c>
      <c r="AF325" s="540" t="s">
        <v>281</v>
      </c>
      <c r="AG325" s="540"/>
      <c r="AH325" s="337">
        <f>IFERROR(IF(X325="Sem projeto",1.5*AA325,AC325*VLOOKUP(AF325,Aux_Lista!AG:AH,2,FALSE)+AD325)*U325,0)</f>
        <v>0</v>
      </c>
      <c r="AI325" s="343" t="s">
        <v>90</v>
      </c>
      <c r="AJ325" s="343" t="s">
        <v>90</v>
      </c>
      <c r="AK325" s="343" t="s">
        <v>90</v>
      </c>
      <c r="AL325" s="333" t="str">
        <f t="shared" si="30"/>
        <v/>
      </c>
      <c r="AM325" s="334" t="str">
        <f t="shared" si="31"/>
        <v/>
      </c>
      <c r="AN325" s="333" t="str">
        <f t="shared" si="32"/>
        <v/>
      </c>
      <c r="AO325" s="334" t="str">
        <f t="shared" si="33"/>
        <v/>
      </c>
      <c r="AP325" s="44"/>
      <c r="AQ325" s="2"/>
    </row>
    <row r="326" spans="1:43" ht="24.95" customHeight="1" x14ac:dyDescent="0.25">
      <c r="A326" s="2">
        <v>286</v>
      </c>
      <c r="B326" s="349"/>
      <c r="C326" s="350"/>
      <c r="D326" s="351"/>
      <c r="E326" s="351"/>
      <c r="F326" s="336"/>
      <c r="G326" s="327"/>
      <c r="H326" s="327"/>
      <c r="I326" s="325">
        <f t="shared" si="34"/>
        <v>0</v>
      </c>
      <c r="J326" s="540" t="s">
        <v>281</v>
      </c>
      <c r="K326" s="540"/>
      <c r="L326" s="337">
        <f>IFERROR(IF(F326="Sem projeto",VLOOKUP(C326,$B$32:$H$34,7,FALSE)*1.5,G326*VLOOKUP(J326,Aux_Lista!$AG:$AH,2,FALSE)+H326)*E326,0)</f>
        <v>0</v>
      </c>
      <c r="M326" s="346" t="s">
        <v>90</v>
      </c>
      <c r="N326" s="347" t="s">
        <v>90</v>
      </c>
      <c r="O326" s="348" t="s">
        <v>90</v>
      </c>
      <c r="P326" s="386">
        <f t="shared" si="35"/>
        <v>0</v>
      </c>
      <c r="R326" s="94">
        <v>295</v>
      </c>
      <c r="S326" s="383"/>
      <c r="T326" s="214"/>
      <c r="U326" s="214"/>
      <c r="V326" s="217"/>
      <c r="W326" s="215"/>
      <c r="X326" s="336"/>
      <c r="Y326" s="68" t="str">
        <f>IF(V326="","",VLOOKUP(V326,Aux_Lista!A:K,11,FALSE))</f>
        <v/>
      </c>
      <c r="Z326" s="68" t="str">
        <f>IF(V326="","",VLOOKUP(V326,Aux_Lista!A:L,12,FALSE))</f>
        <v/>
      </c>
      <c r="AA326" s="68" t="str">
        <f>IF(W326="","",VLOOKUP(W326,Aux_Lista!AN:AP,3,FALSE))</f>
        <v/>
      </c>
      <c r="AB326" s="68" t="str">
        <f>IF(W326="","",VLOOKUP(W326,Aux_Lista!AN:AP,2,FALSE))</f>
        <v/>
      </c>
      <c r="AC326" s="69"/>
      <c r="AD326" s="69"/>
      <c r="AE326" s="325">
        <f t="shared" si="29"/>
        <v>0</v>
      </c>
      <c r="AF326" s="540" t="s">
        <v>281</v>
      </c>
      <c r="AG326" s="540"/>
      <c r="AH326" s="337">
        <f>IFERROR(IF(X326="Sem projeto",1.5*AA326,AC326*VLOOKUP(AF326,Aux_Lista!AG:AH,2,FALSE)+AD326)*U326,0)</f>
        <v>0</v>
      </c>
      <c r="AI326" s="343" t="s">
        <v>90</v>
      </c>
      <c r="AJ326" s="343" t="s">
        <v>90</v>
      </c>
      <c r="AK326" s="343" t="s">
        <v>90</v>
      </c>
      <c r="AL326" s="333" t="str">
        <f t="shared" si="30"/>
        <v/>
      </c>
      <c r="AM326" s="334" t="str">
        <f t="shared" si="31"/>
        <v/>
      </c>
      <c r="AN326" s="333" t="str">
        <f t="shared" si="32"/>
        <v/>
      </c>
      <c r="AO326" s="334" t="str">
        <f t="shared" si="33"/>
        <v/>
      </c>
      <c r="AP326" s="44"/>
      <c r="AQ326" s="2"/>
    </row>
    <row r="327" spans="1:43" ht="24.95" customHeight="1" x14ac:dyDescent="0.25">
      <c r="A327" s="2">
        <v>287</v>
      </c>
      <c r="B327" s="349"/>
      <c r="C327" s="350"/>
      <c r="D327" s="351"/>
      <c r="E327" s="351"/>
      <c r="F327" s="336"/>
      <c r="G327" s="327"/>
      <c r="H327" s="327"/>
      <c r="I327" s="325">
        <f t="shared" si="34"/>
        <v>0</v>
      </c>
      <c r="J327" s="540" t="s">
        <v>281</v>
      </c>
      <c r="K327" s="540"/>
      <c r="L327" s="337">
        <f>IFERROR(IF(F327="Sem projeto",VLOOKUP(C327,$B$32:$H$34,7,FALSE)*1.5,G327*VLOOKUP(J327,Aux_Lista!$AG:$AH,2,FALSE)+H327)*E327,0)</f>
        <v>0</v>
      </c>
      <c r="M327" s="346" t="s">
        <v>90</v>
      </c>
      <c r="N327" s="347" t="s">
        <v>90</v>
      </c>
      <c r="O327" s="348" t="s">
        <v>90</v>
      </c>
      <c r="P327" s="386">
        <f t="shared" si="35"/>
        <v>0</v>
      </c>
      <c r="R327" s="94">
        <v>296</v>
      </c>
      <c r="S327" s="383"/>
      <c r="T327" s="214"/>
      <c r="U327" s="214"/>
      <c r="V327" s="217"/>
      <c r="W327" s="215"/>
      <c r="X327" s="336"/>
      <c r="Y327" s="68" t="str">
        <f>IF(V327="","",VLOOKUP(V327,Aux_Lista!A:K,11,FALSE))</f>
        <v/>
      </c>
      <c r="Z327" s="68" t="str">
        <f>IF(V327="","",VLOOKUP(V327,Aux_Lista!A:L,12,FALSE))</f>
        <v/>
      </c>
      <c r="AA327" s="68" t="str">
        <f>IF(W327="","",VLOOKUP(W327,Aux_Lista!AN:AP,3,FALSE))</f>
        <v/>
      </c>
      <c r="AB327" s="68" t="str">
        <f>IF(W327="","",VLOOKUP(W327,Aux_Lista!AN:AP,2,FALSE))</f>
        <v/>
      </c>
      <c r="AC327" s="69"/>
      <c r="AD327" s="69"/>
      <c r="AE327" s="325">
        <f t="shared" si="29"/>
        <v>0</v>
      </c>
      <c r="AF327" s="540" t="s">
        <v>281</v>
      </c>
      <c r="AG327" s="540"/>
      <c r="AH327" s="337">
        <f>IFERROR(IF(X327="Sem projeto",1.5*AA327,AC327*VLOOKUP(AF327,Aux_Lista!AG:AH,2,FALSE)+AD327)*U327,0)</f>
        <v>0</v>
      </c>
      <c r="AI327" s="343" t="s">
        <v>90</v>
      </c>
      <c r="AJ327" s="343" t="s">
        <v>90</v>
      </c>
      <c r="AK327" s="343" t="s">
        <v>90</v>
      </c>
      <c r="AL327" s="333" t="str">
        <f t="shared" si="30"/>
        <v/>
      </c>
      <c r="AM327" s="334" t="str">
        <f t="shared" si="31"/>
        <v/>
      </c>
      <c r="AN327" s="333" t="str">
        <f t="shared" si="32"/>
        <v/>
      </c>
      <c r="AO327" s="334" t="str">
        <f t="shared" si="33"/>
        <v/>
      </c>
      <c r="AP327" s="44"/>
      <c r="AQ327" s="2"/>
    </row>
    <row r="328" spans="1:43" ht="24.95" customHeight="1" x14ac:dyDescent="0.25">
      <c r="A328" s="2">
        <v>288</v>
      </c>
      <c r="B328" s="349"/>
      <c r="C328" s="350"/>
      <c r="D328" s="351"/>
      <c r="E328" s="351"/>
      <c r="F328" s="336"/>
      <c r="G328" s="327"/>
      <c r="H328" s="327"/>
      <c r="I328" s="325">
        <f t="shared" si="34"/>
        <v>0</v>
      </c>
      <c r="J328" s="540" t="s">
        <v>281</v>
      </c>
      <c r="K328" s="540"/>
      <c r="L328" s="337">
        <f>IFERROR(IF(F328="Sem projeto",VLOOKUP(C328,$B$32:$H$34,7,FALSE)*1.5,G328*VLOOKUP(J328,Aux_Lista!$AG:$AH,2,FALSE)+H328)*E328,0)</f>
        <v>0</v>
      </c>
      <c r="M328" s="346" t="s">
        <v>90</v>
      </c>
      <c r="N328" s="347" t="s">
        <v>90</v>
      </c>
      <c r="O328" s="348" t="s">
        <v>90</v>
      </c>
      <c r="P328" s="386">
        <f t="shared" si="35"/>
        <v>0</v>
      </c>
      <c r="R328" s="94">
        <v>297</v>
      </c>
      <c r="S328" s="383"/>
      <c r="T328" s="214"/>
      <c r="U328" s="214"/>
      <c r="V328" s="217"/>
      <c r="W328" s="215"/>
      <c r="X328" s="336"/>
      <c r="Y328" s="68" t="str">
        <f>IF(V328="","",VLOOKUP(V328,Aux_Lista!A:K,11,FALSE))</f>
        <v/>
      </c>
      <c r="Z328" s="68" t="str">
        <f>IF(V328="","",VLOOKUP(V328,Aux_Lista!A:L,12,FALSE))</f>
        <v/>
      </c>
      <c r="AA328" s="68" t="str">
        <f>IF(W328="","",VLOOKUP(W328,Aux_Lista!AN:AP,3,FALSE))</f>
        <v/>
      </c>
      <c r="AB328" s="68" t="str">
        <f>IF(W328="","",VLOOKUP(W328,Aux_Lista!AN:AP,2,FALSE))</f>
        <v/>
      </c>
      <c r="AC328" s="69"/>
      <c r="AD328" s="69"/>
      <c r="AE328" s="325">
        <f t="shared" si="29"/>
        <v>0</v>
      </c>
      <c r="AF328" s="540" t="s">
        <v>281</v>
      </c>
      <c r="AG328" s="540"/>
      <c r="AH328" s="337">
        <f>IFERROR(IF(X328="Sem projeto",1.5*AA328,AC328*VLOOKUP(AF328,Aux_Lista!AG:AH,2,FALSE)+AD328)*U328,0)</f>
        <v>0</v>
      </c>
      <c r="AI328" s="343" t="s">
        <v>90</v>
      </c>
      <c r="AJ328" s="343" t="s">
        <v>90</v>
      </c>
      <c r="AK328" s="343" t="s">
        <v>90</v>
      </c>
      <c r="AL328" s="333" t="str">
        <f t="shared" si="30"/>
        <v/>
      </c>
      <c r="AM328" s="334" t="str">
        <f t="shared" si="31"/>
        <v/>
      </c>
      <c r="AN328" s="333" t="str">
        <f t="shared" si="32"/>
        <v/>
      </c>
      <c r="AO328" s="334" t="str">
        <f t="shared" si="33"/>
        <v/>
      </c>
      <c r="AP328" s="44"/>
      <c r="AQ328" s="2"/>
    </row>
    <row r="329" spans="1:43" ht="24.95" customHeight="1" x14ac:dyDescent="0.25">
      <c r="A329" s="2">
        <v>289</v>
      </c>
      <c r="B329" s="349"/>
      <c r="C329" s="350"/>
      <c r="D329" s="351"/>
      <c r="E329" s="351"/>
      <c r="F329" s="336"/>
      <c r="G329" s="327"/>
      <c r="H329" s="327"/>
      <c r="I329" s="325">
        <f t="shared" si="34"/>
        <v>0</v>
      </c>
      <c r="J329" s="540" t="s">
        <v>281</v>
      </c>
      <c r="K329" s="540"/>
      <c r="L329" s="337">
        <f>IFERROR(IF(F329="Sem projeto",VLOOKUP(C329,$B$32:$H$34,7,FALSE)*1.5,G329*VLOOKUP(J329,Aux_Lista!$AG:$AH,2,FALSE)+H329)*E329,0)</f>
        <v>0</v>
      </c>
      <c r="M329" s="346" t="s">
        <v>90</v>
      </c>
      <c r="N329" s="347" t="s">
        <v>90</v>
      </c>
      <c r="O329" s="348" t="s">
        <v>90</v>
      </c>
      <c r="P329" s="386">
        <f t="shared" si="35"/>
        <v>0</v>
      </c>
      <c r="R329" s="94">
        <v>298</v>
      </c>
      <c r="S329" s="383"/>
      <c r="T329" s="214"/>
      <c r="U329" s="214"/>
      <c r="V329" s="217"/>
      <c r="W329" s="215"/>
      <c r="X329" s="336"/>
      <c r="Y329" s="68" t="str">
        <f>IF(V329="","",VLOOKUP(V329,Aux_Lista!A:K,11,FALSE))</f>
        <v/>
      </c>
      <c r="Z329" s="68" t="str">
        <f>IF(V329="","",VLOOKUP(V329,Aux_Lista!A:L,12,FALSE))</f>
        <v/>
      </c>
      <c r="AA329" s="68" t="str">
        <f>IF(W329="","",VLOOKUP(W329,Aux_Lista!AN:AP,3,FALSE))</f>
        <v/>
      </c>
      <c r="AB329" s="68" t="str">
        <f>IF(W329="","",VLOOKUP(W329,Aux_Lista!AN:AP,2,FALSE))</f>
        <v/>
      </c>
      <c r="AC329" s="69"/>
      <c r="AD329" s="69"/>
      <c r="AE329" s="325">
        <f t="shared" si="29"/>
        <v>0</v>
      </c>
      <c r="AF329" s="540" t="s">
        <v>281</v>
      </c>
      <c r="AG329" s="540"/>
      <c r="AH329" s="337">
        <f>IFERROR(IF(X329="Sem projeto",1.5*AA329,AC329*VLOOKUP(AF329,Aux_Lista!AG:AH,2,FALSE)+AD329)*U329,0)</f>
        <v>0</v>
      </c>
      <c r="AI329" s="343" t="s">
        <v>90</v>
      </c>
      <c r="AJ329" s="343" t="s">
        <v>90</v>
      </c>
      <c r="AK329" s="343" t="s">
        <v>90</v>
      </c>
      <c r="AL329" s="333" t="str">
        <f t="shared" si="30"/>
        <v/>
      </c>
      <c r="AM329" s="334" t="str">
        <f t="shared" si="31"/>
        <v/>
      </c>
      <c r="AN329" s="333" t="str">
        <f t="shared" si="32"/>
        <v/>
      </c>
      <c r="AO329" s="334" t="str">
        <f t="shared" si="33"/>
        <v/>
      </c>
      <c r="AP329" s="44"/>
      <c r="AQ329" s="2"/>
    </row>
    <row r="330" spans="1:43" ht="24.95" customHeight="1" x14ac:dyDescent="0.25">
      <c r="A330" s="2">
        <v>290</v>
      </c>
      <c r="B330" s="349"/>
      <c r="C330" s="350"/>
      <c r="D330" s="351"/>
      <c r="E330" s="351"/>
      <c r="F330" s="336"/>
      <c r="G330" s="327"/>
      <c r="H330" s="327"/>
      <c r="I330" s="325">
        <f t="shared" si="34"/>
        <v>0</v>
      </c>
      <c r="J330" s="540" t="s">
        <v>281</v>
      </c>
      <c r="K330" s="540"/>
      <c r="L330" s="337">
        <f>IFERROR(IF(F330="Sem projeto",VLOOKUP(C330,$B$32:$H$34,7,FALSE)*1.5,G330*VLOOKUP(J330,Aux_Lista!$AG:$AH,2,FALSE)+H330)*E330,0)</f>
        <v>0</v>
      </c>
      <c r="M330" s="346" t="s">
        <v>90</v>
      </c>
      <c r="N330" s="347" t="s">
        <v>90</v>
      </c>
      <c r="O330" s="348" t="s">
        <v>90</v>
      </c>
      <c r="P330" s="386">
        <f t="shared" si="35"/>
        <v>0</v>
      </c>
      <c r="R330" s="94">
        <v>299</v>
      </c>
      <c r="S330" s="383"/>
      <c r="T330" s="214"/>
      <c r="U330" s="214"/>
      <c r="V330" s="217"/>
      <c r="W330" s="215"/>
      <c r="X330" s="336"/>
      <c r="Y330" s="68" t="str">
        <f>IF(V330="","",VLOOKUP(V330,Aux_Lista!A:K,11,FALSE))</f>
        <v/>
      </c>
      <c r="Z330" s="68" t="str">
        <f>IF(V330="","",VLOOKUP(V330,Aux_Lista!A:L,12,FALSE))</f>
        <v/>
      </c>
      <c r="AA330" s="68" t="str">
        <f>IF(W330="","",VLOOKUP(W330,Aux_Lista!AN:AP,3,FALSE))</f>
        <v/>
      </c>
      <c r="AB330" s="68" t="str">
        <f>IF(W330="","",VLOOKUP(W330,Aux_Lista!AN:AP,2,FALSE))</f>
        <v/>
      </c>
      <c r="AC330" s="69"/>
      <c r="AD330" s="69"/>
      <c r="AE330" s="325">
        <f t="shared" si="29"/>
        <v>0</v>
      </c>
      <c r="AF330" s="540" t="s">
        <v>281</v>
      </c>
      <c r="AG330" s="540"/>
      <c r="AH330" s="337">
        <f>IFERROR(IF(X330="Sem projeto",1.5*AA330,AC330*VLOOKUP(AF330,Aux_Lista!AG:AH,2,FALSE)+AD330)*U330,0)</f>
        <v>0</v>
      </c>
      <c r="AI330" s="343" t="s">
        <v>90</v>
      </c>
      <c r="AJ330" s="343" t="s">
        <v>90</v>
      </c>
      <c r="AK330" s="343" t="s">
        <v>90</v>
      </c>
      <c r="AL330" s="333" t="str">
        <f t="shared" si="30"/>
        <v/>
      </c>
      <c r="AM330" s="334" t="str">
        <f t="shared" si="31"/>
        <v/>
      </c>
      <c r="AN330" s="333" t="str">
        <f t="shared" si="32"/>
        <v/>
      </c>
      <c r="AO330" s="334" t="str">
        <f t="shared" si="33"/>
        <v/>
      </c>
      <c r="AP330" s="44"/>
      <c r="AQ330" s="2"/>
    </row>
    <row r="331" spans="1:43" ht="24.95" customHeight="1" x14ac:dyDescent="0.25">
      <c r="A331" s="2">
        <v>291</v>
      </c>
      <c r="B331" s="349"/>
      <c r="C331" s="350"/>
      <c r="D331" s="351"/>
      <c r="E331" s="351"/>
      <c r="F331" s="336"/>
      <c r="G331" s="327"/>
      <c r="H331" s="327"/>
      <c r="I331" s="325">
        <f t="shared" si="34"/>
        <v>0</v>
      </c>
      <c r="J331" s="540" t="s">
        <v>281</v>
      </c>
      <c r="K331" s="540"/>
      <c r="L331" s="337">
        <f>IFERROR(IF(F331="Sem projeto",VLOOKUP(C331,$B$32:$H$34,7,FALSE)*1.5,G331*VLOOKUP(J331,Aux_Lista!$AG:$AH,2,FALSE)+H331)*E331,0)</f>
        <v>0</v>
      </c>
      <c r="M331" s="346" t="s">
        <v>90</v>
      </c>
      <c r="N331" s="347" t="s">
        <v>90</v>
      </c>
      <c r="O331" s="348" t="s">
        <v>90</v>
      </c>
      <c r="P331" s="386">
        <f t="shared" si="35"/>
        <v>0</v>
      </c>
      <c r="R331" s="94">
        <v>300</v>
      </c>
      <c r="S331" s="383"/>
      <c r="T331" s="214"/>
      <c r="U331" s="214"/>
      <c r="V331" s="217"/>
      <c r="W331" s="215"/>
      <c r="X331" s="336"/>
      <c r="Y331" s="68" t="str">
        <f>IF(V331="","",VLOOKUP(V331,Aux_Lista!A:K,11,FALSE))</f>
        <v/>
      </c>
      <c r="Z331" s="68" t="str">
        <f>IF(V331="","",VLOOKUP(V331,Aux_Lista!A:L,12,FALSE))</f>
        <v/>
      </c>
      <c r="AA331" s="68" t="str">
        <f>IF(W331="","",VLOOKUP(W331,Aux_Lista!AN:AP,3,FALSE))</f>
        <v/>
      </c>
      <c r="AB331" s="68" t="str">
        <f>IF(W331="","",VLOOKUP(W331,Aux_Lista!AN:AP,2,FALSE))</f>
        <v/>
      </c>
      <c r="AC331" s="69"/>
      <c r="AD331" s="69"/>
      <c r="AE331" s="325">
        <f t="shared" si="29"/>
        <v>0</v>
      </c>
      <c r="AF331" s="540" t="s">
        <v>281</v>
      </c>
      <c r="AG331" s="540"/>
      <c r="AH331" s="337">
        <f>IFERROR(IF(X331="Sem projeto",1.5*AA331,AC331*VLOOKUP(AF331,Aux_Lista!AG:AH,2,FALSE)+AD331)*U331,0)</f>
        <v>0</v>
      </c>
      <c r="AI331" s="343" t="s">
        <v>90</v>
      </c>
      <c r="AJ331" s="343" t="s">
        <v>90</v>
      </c>
      <c r="AK331" s="343" t="s">
        <v>90</v>
      </c>
      <c r="AL331" s="333" t="str">
        <f t="shared" si="30"/>
        <v/>
      </c>
      <c r="AM331" s="334" t="str">
        <f t="shared" si="31"/>
        <v/>
      </c>
      <c r="AN331" s="333" t="str">
        <f t="shared" si="32"/>
        <v/>
      </c>
      <c r="AO331" s="334" t="str">
        <f t="shared" si="33"/>
        <v/>
      </c>
      <c r="AP331" s="44"/>
      <c r="AQ331" s="2"/>
    </row>
    <row r="332" spans="1:43" ht="24.95" customHeight="1" x14ac:dyDescent="0.25">
      <c r="A332" s="2">
        <v>292</v>
      </c>
      <c r="B332" s="349"/>
      <c r="C332" s="350"/>
      <c r="D332" s="351"/>
      <c r="E332" s="351"/>
      <c r="F332" s="336"/>
      <c r="G332" s="327"/>
      <c r="H332" s="327"/>
      <c r="I332" s="325">
        <f t="shared" si="34"/>
        <v>0</v>
      </c>
      <c r="J332" s="540" t="s">
        <v>281</v>
      </c>
      <c r="K332" s="540"/>
      <c r="L332" s="337">
        <f>IFERROR(IF(F332="Sem projeto",VLOOKUP(C332,$B$32:$H$34,7,FALSE)*1.5,G332*VLOOKUP(J332,Aux_Lista!$AG:$AH,2,FALSE)+H332)*E332,0)</f>
        <v>0</v>
      </c>
      <c r="M332" s="346" t="s">
        <v>90</v>
      </c>
      <c r="N332" s="347" t="s">
        <v>90</v>
      </c>
      <c r="O332" s="348" t="s">
        <v>90</v>
      </c>
      <c r="P332" s="386">
        <f t="shared" si="35"/>
        <v>0</v>
      </c>
      <c r="R332" s="94">
        <v>301</v>
      </c>
      <c r="S332" s="383"/>
      <c r="T332" s="214"/>
      <c r="U332" s="214"/>
      <c r="V332" s="217"/>
      <c r="W332" s="215"/>
      <c r="X332" s="336"/>
      <c r="Y332" s="68" t="str">
        <f>IF(V332="","",VLOOKUP(V332,Aux_Lista!A:K,11,FALSE))</f>
        <v/>
      </c>
      <c r="Z332" s="68" t="str">
        <f>IF(V332="","",VLOOKUP(V332,Aux_Lista!A:L,12,FALSE))</f>
        <v/>
      </c>
      <c r="AA332" s="68" t="str">
        <f>IF(W332="","",VLOOKUP(W332,Aux_Lista!AN:AP,3,FALSE))</f>
        <v/>
      </c>
      <c r="AB332" s="68" t="str">
        <f>IF(W332="","",VLOOKUP(W332,Aux_Lista!AN:AP,2,FALSE))</f>
        <v/>
      </c>
      <c r="AC332" s="69"/>
      <c r="AD332" s="69"/>
      <c r="AE332" s="325">
        <f t="shared" si="29"/>
        <v>0</v>
      </c>
      <c r="AF332" s="540" t="s">
        <v>281</v>
      </c>
      <c r="AG332" s="540"/>
      <c r="AH332" s="337">
        <f>IFERROR(IF(X332="Sem projeto",1.5*AA332,AC332*VLOOKUP(AF332,Aux_Lista!AG:AH,2,FALSE)+AD332)*U332,0)</f>
        <v>0</v>
      </c>
      <c r="AI332" s="343" t="s">
        <v>90</v>
      </c>
      <c r="AJ332" s="343" t="s">
        <v>90</v>
      </c>
      <c r="AK332" s="343" t="s">
        <v>90</v>
      </c>
      <c r="AL332" s="333" t="str">
        <f t="shared" si="30"/>
        <v/>
      </c>
      <c r="AM332" s="334" t="str">
        <f t="shared" si="31"/>
        <v/>
      </c>
      <c r="AN332" s="333" t="str">
        <f t="shared" si="32"/>
        <v/>
      </c>
      <c r="AO332" s="334" t="str">
        <f t="shared" si="33"/>
        <v/>
      </c>
      <c r="AP332" s="44"/>
      <c r="AQ332" s="2"/>
    </row>
    <row r="333" spans="1:43" ht="24.95" customHeight="1" x14ac:dyDescent="0.25">
      <c r="A333" s="2">
        <v>293</v>
      </c>
      <c r="B333" s="349"/>
      <c r="C333" s="350"/>
      <c r="D333" s="351"/>
      <c r="E333" s="351"/>
      <c r="F333" s="336"/>
      <c r="G333" s="327"/>
      <c r="H333" s="327"/>
      <c r="I333" s="325">
        <f t="shared" si="34"/>
        <v>0</v>
      </c>
      <c r="J333" s="540" t="s">
        <v>281</v>
      </c>
      <c r="K333" s="540"/>
      <c r="L333" s="337">
        <f>IFERROR(IF(F333="Sem projeto",VLOOKUP(C333,$B$32:$H$34,7,FALSE)*1.5,G333*VLOOKUP(J333,Aux_Lista!$AG:$AH,2,FALSE)+H333)*E333,0)</f>
        <v>0</v>
      </c>
      <c r="M333" s="346" t="s">
        <v>90</v>
      </c>
      <c r="N333" s="347" t="s">
        <v>90</v>
      </c>
      <c r="O333" s="348" t="s">
        <v>90</v>
      </c>
      <c r="P333" s="386">
        <f t="shared" si="35"/>
        <v>0</v>
      </c>
      <c r="R333" s="94">
        <v>302</v>
      </c>
      <c r="S333" s="383"/>
      <c r="T333" s="214"/>
      <c r="U333" s="214"/>
      <c r="V333" s="217"/>
      <c r="W333" s="215"/>
      <c r="X333" s="336"/>
      <c r="Y333" s="68" t="str">
        <f>IF(V333="","",VLOOKUP(V333,Aux_Lista!A:K,11,FALSE))</f>
        <v/>
      </c>
      <c r="Z333" s="68" t="str">
        <f>IF(V333="","",VLOOKUP(V333,Aux_Lista!A:L,12,FALSE))</f>
        <v/>
      </c>
      <c r="AA333" s="68" t="str">
        <f>IF(W333="","",VLOOKUP(W333,Aux_Lista!AN:AP,3,FALSE))</f>
        <v/>
      </c>
      <c r="AB333" s="68" t="str">
        <f>IF(W333="","",VLOOKUP(W333,Aux_Lista!AN:AP,2,FALSE))</f>
        <v/>
      </c>
      <c r="AC333" s="69"/>
      <c r="AD333" s="69"/>
      <c r="AE333" s="325">
        <f t="shared" si="29"/>
        <v>0</v>
      </c>
      <c r="AF333" s="540" t="s">
        <v>281</v>
      </c>
      <c r="AG333" s="540"/>
      <c r="AH333" s="337">
        <f>IFERROR(IF(X333="Sem projeto",1.5*AA333,AC333*VLOOKUP(AF333,Aux_Lista!AG:AH,2,FALSE)+AD333)*U333,0)</f>
        <v>0</v>
      </c>
      <c r="AI333" s="343" t="s">
        <v>90</v>
      </c>
      <c r="AJ333" s="343" t="s">
        <v>90</v>
      </c>
      <c r="AK333" s="343" t="s">
        <v>90</v>
      </c>
      <c r="AL333" s="333" t="str">
        <f t="shared" si="30"/>
        <v/>
      </c>
      <c r="AM333" s="334" t="str">
        <f t="shared" si="31"/>
        <v/>
      </c>
      <c r="AN333" s="333" t="str">
        <f t="shared" si="32"/>
        <v/>
      </c>
      <c r="AO333" s="334" t="str">
        <f t="shared" si="33"/>
        <v/>
      </c>
      <c r="AP333" s="44"/>
      <c r="AQ333" s="2"/>
    </row>
    <row r="334" spans="1:43" ht="24.95" customHeight="1" x14ac:dyDescent="0.25">
      <c r="A334" s="2">
        <v>294</v>
      </c>
      <c r="B334" s="349"/>
      <c r="C334" s="350"/>
      <c r="D334" s="351"/>
      <c r="E334" s="351"/>
      <c r="F334" s="336"/>
      <c r="G334" s="327"/>
      <c r="H334" s="327"/>
      <c r="I334" s="325">
        <f t="shared" si="34"/>
        <v>0</v>
      </c>
      <c r="J334" s="540" t="s">
        <v>281</v>
      </c>
      <c r="K334" s="540"/>
      <c r="L334" s="337">
        <f>IFERROR(IF(F334="Sem projeto",VLOOKUP(C334,$B$32:$H$34,7,FALSE)*1.5,G334*VLOOKUP(J334,Aux_Lista!$AG:$AH,2,FALSE)+H334)*E334,0)</f>
        <v>0</v>
      </c>
      <c r="M334" s="346" t="s">
        <v>90</v>
      </c>
      <c r="N334" s="347" t="s">
        <v>90</v>
      </c>
      <c r="O334" s="348" t="s">
        <v>90</v>
      </c>
      <c r="P334" s="386">
        <f t="shared" si="35"/>
        <v>0</v>
      </c>
      <c r="R334" s="94">
        <v>303</v>
      </c>
      <c r="S334" s="383"/>
      <c r="T334" s="214"/>
      <c r="U334" s="214"/>
      <c r="V334" s="217"/>
      <c r="W334" s="215"/>
      <c r="X334" s="336"/>
      <c r="Y334" s="68" t="str">
        <f>IF(V334="","",VLOOKUP(V334,Aux_Lista!A:K,11,FALSE))</f>
        <v/>
      </c>
      <c r="Z334" s="68" t="str">
        <f>IF(V334="","",VLOOKUP(V334,Aux_Lista!A:L,12,FALSE))</f>
        <v/>
      </c>
      <c r="AA334" s="68" t="str">
        <f>IF(W334="","",VLOOKUP(W334,Aux_Lista!AN:AP,3,FALSE))</f>
        <v/>
      </c>
      <c r="AB334" s="68" t="str">
        <f>IF(W334="","",VLOOKUP(W334,Aux_Lista!AN:AP,2,FALSE))</f>
        <v/>
      </c>
      <c r="AC334" s="69"/>
      <c r="AD334" s="69"/>
      <c r="AE334" s="325">
        <f t="shared" si="29"/>
        <v>0</v>
      </c>
      <c r="AF334" s="540" t="s">
        <v>281</v>
      </c>
      <c r="AG334" s="540"/>
      <c r="AH334" s="337">
        <f>IFERROR(IF(X334="Sem projeto",1.5*AA334,AC334*VLOOKUP(AF334,Aux_Lista!AG:AH,2,FALSE)+AD334)*U334,0)</f>
        <v>0</v>
      </c>
      <c r="AI334" s="343" t="s">
        <v>90</v>
      </c>
      <c r="AJ334" s="343" t="s">
        <v>90</v>
      </c>
      <c r="AK334" s="343" t="s">
        <v>90</v>
      </c>
      <c r="AL334" s="333" t="str">
        <f t="shared" si="30"/>
        <v/>
      </c>
      <c r="AM334" s="334" t="str">
        <f t="shared" si="31"/>
        <v/>
      </c>
      <c r="AN334" s="333" t="str">
        <f t="shared" si="32"/>
        <v/>
      </c>
      <c r="AO334" s="334" t="str">
        <f t="shared" si="33"/>
        <v/>
      </c>
      <c r="AP334" s="44"/>
      <c r="AQ334" s="2"/>
    </row>
    <row r="335" spans="1:43" ht="24.95" customHeight="1" x14ac:dyDescent="0.25">
      <c r="A335" s="2">
        <v>295</v>
      </c>
      <c r="B335" s="349"/>
      <c r="C335" s="350"/>
      <c r="D335" s="351"/>
      <c r="E335" s="351"/>
      <c r="F335" s="336"/>
      <c r="G335" s="327"/>
      <c r="H335" s="327"/>
      <c r="I335" s="325">
        <f t="shared" si="34"/>
        <v>0</v>
      </c>
      <c r="J335" s="540" t="s">
        <v>281</v>
      </c>
      <c r="K335" s="540"/>
      <c r="L335" s="337">
        <f>IFERROR(IF(F335="Sem projeto",VLOOKUP(C335,$B$32:$H$34,7,FALSE)*1.5,G335*VLOOKUP(J335,Aux_Lista!$AG:$AH,2,FALSE)+H335)*E335,0)</f>
        <v>0</v>
      </c>
      <c r="M335" s="346" t="s">
        <v>90</v>
      </c>
      <c r="N335" s="347" t="s">
        <v>90</v>
      </c>
      <c r="O335" s="348" t="s">
        <v>90</v>
      </c>
      <c r="P335" s="386">
        <f t="shared" si="35"/>
        <v>0</v>
      </c>
      <c r="R335" s="94">
        <v>304</v>
      </c>
      <c r="S335" s="383"/>
      <c r="T335" s="214"/>
      <c r="U335" s="214"/>
      <c r="V335" s="217"/>
      <c r="W335" s="215"/>
      <c r="X335" s="336"/>
      <c r="Y335" s="68" t="str">
        <f>IF(V335="","",VLOOKUP(V335,Aux_Lista!A:K,11,FALSE))</f>
        <v/>
      </c>
      <c r="Z335" s="68" t="str">
        <f>IF(V335="","",VLOOKUP(V335,Aux_Lista!A:L,12,FALSE))</f>
        <v/>
      </c>
      <c r="AA335" s="68" t="str">
        <f>IF(W335="","",VLOOKUP(W335,Aux_Lista!AN:AP,3,FALSE))</f>
        <v/>
      </c>
      <c r="AB335" s="68" t="str">
        <f>IF(W335="","",VLOOKUP(W335,Aux_Lista!AN:AP,2,FALSE))</f>
        <v/>
      </c>
      <c r="AC335" s="69"/>
      <c r="AD335" s="69"/>
      <c r="AE335" s="325">
        <f t="shared" si="29"/>
        <v>0</v>
      </c>
      <c r="AF335" s="540" t="s">
        <v>281</v>
      </c>
      <c r="AG335" s="540"/>
      <c r="AH335" s="337">
        <f>IFERROR(IF(X335="Sem projeto",1.5*AA335,AC335*VLOOKUP(AF335,Aux_Lista!AG:AH,2,FALSE)+AD335)*U335,0)</f>
        <v>0</v>
      </c>
      <c r="AI335" s="343" t="s">
        <v>90</v>
      </c>
      <c r="AJ335" s="343" t="s">
        <v>90</v>
      </c>
      <c r="AK335" s="343" t="s">
        <v>90</v>
      </c>
      <c r="AL335" s="333" t="str">
        <f t="shared" si="30"/>
        <v/>
      </c>
      <c r="AM335" s="334" t="str">
        <f t="shared" si="31"/>
        <v/>
      </c>
      <c r="AN335" s="333" t="str">
        <f t="shared" si="32"/>
        <v/>
      </c>
      <c r="AO335" s="334" t="str">
        <f t="shared" si="33"/>
        <v/>
      </c>
      <c r="AP335" s="44"/>
      <c r="AQ335" s="2"/>
    </row>
    <row r="336" spans="1:43" ht="24.95" customHeight="1" x14ac:dyDescent="0.25">
      <c r="A336" s="2">
        <v>296</v>
      </c>
      <c r="B336" s="349"/>
      <c r="C336" s="350"/>
      <c r="D336" s="351"/>
      <c r="E336" s="351"/>
      <c r="F336" s="336"/>
      <c r="G336" s="327"/>
      <c r="H336" s="327"/>
      <c r="I336" s="325">
        <f t="shared" si="34"/>
        <v>0</v>
      </c>
      <c r="J336" s="540" t="s">
        <v>281</v>
      </c>
      <c r="K336" s="540"/>
      <c r="L336" s="337">
        <f>IFERROR(IF(F336="Sem projeto",VLOOKUP(C336,$B$32:$H$34,7,FALSE)*1.5,G336*VLOOKUP(J336,Aux_Lista!$AG:$AH,2,FALSE)+H336)*E336,0)</f>
        <v>0</v>
      </c>
      <c r="M336" s="346" t="s">
        <v>90</v>
      </c>
      <c r="N336" s="347" t="s">
        <v>90</v>
      </c>
      <c r="O336" s="348" t="s">
        <v>90</v>
      </c>
      <c r="P336" s="386">
        <f t="shared" si="35"/>
        <v>0</v>
      </c>
      <c r="R336" s="94">
        <v>305</v>
      </c>
      <c r="S336" s="383"/>
      <c r="T336" s="214"/>
      <c r="U336" s="214"/>
      <c r="V336" s="217"/>
      <c r="W336" s="215"/>
      <c r="X336" s="336"/>
      <c r="Y336" s="68" t="str">
        <f>IF(V336="","",VLOOKUP(V336,Aux_Lista!A:K,11,FALSE))</f>
        <v/>
      </c>
      <c r="Z336" s="68" t="str">
        <f>IF(V336="","",VLOOKUP(V336,Aux_Lista!A:L,12,FALSE))</f>
        <v/>
      </c>
      <c r="AA336" s="68" t="str">
        <f>IF(W336="","",VLOOKUP(W336,Aux_Lista!AN:AP,3,FALSE))</f>
        <v/>
      </c>
      <c r="AB336" s="68" t="str">
        <f>IF(W336="","",VLOOKUP(W336,Aux_Lista!AN:AP,2,FALSE))</f>
        <v/>
      </c>
      <c r="AC336" s="69"/>
      <c r="AD336" s="69"/>
      <c r="AE336" s="325">
        <f t="shared" si="29"/>
        <v>0</v>
      </c>
      <c r="AF336" s="540" t="s">
        <v>281</v>
      </c>
      <c r="AG336" s="540"/>
      <c r="AH336" s="337">
        <f>IFERROR(IF(X336="Sem projeto",1.5*AA336,AC336*VLOOKUP(AF336,Aux_Lista!AG:AH,2,FALSE)+AD336)*U336,0)</f>
        <v>0</v>
      </c>
      <c r="AI336" s="343" t="s">
        <v>90</v>
      </c>
      <c r="AJ336" s="343" t="s">
        <v>90</v>
      </c>
      <c r="AK336" s="343" t="s">
        <v>90</v>
      </c>
      <c r="AL336" s="333" t="str">
        <f t="shared" si="30"/>
        <v/>
      </c>
      <c r="AM336" s="334" t="str">
        <f t="shared" si="31"/>
        <v/>
      </c>
      <c r="AN336" s="333" t="str">
        <f t="shared" si="32"/>
        <v/>
      </c>
      <c r="AO336" s="334" t="str">
        <f t="shared" si="33"/>
        <v/>
      </c>
      <c r="AP336" s="44"/>
      <c r="AQ336" s="2"/>
    </row>
    <row r="337" spans="1:43" ht="24.95" customHeight="1" x14ac:dyDescent="0.25">
      <c r="A337" s="2">
        <v>297</v>
      </c>
      <c r="B337" s="349"/>
      <c r="C337" s="350"/>
      <c r="D337" s="351"/>
      <c r="E337" s="351"/>
      <c r="F337" s="336"/>
      <c r="G337" s="327"/>
      <c r="H337" s="327"/>
      <c r="I337" s="325">
        <f t="shared" si="34"/>
        <v>0</v>
      </c>
      <c r="J337" s="540" t="s">
        <v>281</v>
      </c>
      <c r="K337" s="540"/>
      <c r="L337" s="337">
        <f>IFERROR(IF(F337="Sem projeto",VLOOKUP(C337,$B$32:$H$34,7,FALSE)*1.5,G337*VLOOKUP(J337,Aux_Lista!$AG:$AH,2,FALSE)+H337)*E337,0)</f>
        <v>0</v>
      </c>
      <c r="M337" s="346" t="s">
        <v>90</v>
      </c>
      <c r="N337" s="347" t="s">
        <v>90</v>
      </c>
      <c r="O337" s="348" t="s">
        <v>90</v>
      </c>
      <c r="P337" s="386">
        <f t="shared" si="35"/>
        <v>0</v>
      </c>
      <c r="R337" s="94">
        <v>306</v>
      </c>
      <c r="S337" s="383"/>
      <c r="T337" s="214"/>
      <c r="U337" s="214"/>
      <c r="V337" s="217"/>
      <c r="W337" s="215"/>
      <c r="X337" s="336"/>
      <c r="Y337" s="68" t="str">
        <f>IF(V337="","",VLOOKUP(V337,Aux_Lista!A:K,11,FALSE))</f>
        <v/>
      </c>
      <c r="Z337" s="68" t="str">
        <f>IF(V337="","",VLOOKUP(V337,Aux_Lista!A:L,12,FALSE))</f>
        <v/>
      </c>
      <c r="AA337" s="68" t="str">
        <f>IF(W337="","",VLOOKUP(W337,Aux_Lista!AN:AP,3,FALSE))</f>
        <v/>
      </c>
      <c r="AB337" s="68" t="str">
        <f>IF(W337="","",VLOOKUP(W337,Aux_Lista!AN:AP,2,FALSE))</f>
        <v/>
      </c>
      <c r="AC337" s="69"/>
      <c r="AD337" s="69"/>
      <c r="AE337" s="325">
        <f t="shared" si="29"/>
        <v>0</v>
      </c>
      <c r="AF337" s="540" t="s">
        <v>281</v>
      </c>
      <c r="AG337" s="540"/>
      <c r="AH337" s="337">
        <f>IFERROR(IF(X337="Sem projeto",1.5*AA337,AC337*VLOOKUP(AF337,Aux_Lista!AG:AH,2,FALSE)+AD337)*U337,0)</f>
        <v>0</v>
      </c>
      <c r="AI337" s="343" t="s">
        <v>90</v>
      </c>
      <c r="AJ337" s="343" t="s">
        <v>90</v>
      </c>
      <c r="AK337" s="343" t="s">
        <v>90</v>
      </c>
      <c r="AL337" s="333" t="str">
        <f t="shared" si="30"/>
        <v/>
      </c>
      <c r="AM337" s="334" t="str">
        <f t="shared" si="31"/>
        <v/>
      </c>
      <c r="AN337" s="333" t="str">
        <f t="shared" si="32"/>
        <v/>
      </c>
      <c r="AO337" s="334" t="str">
        <f t="shared" si="33"/>
        <v/>
      </c>
      <c r="AP337" s="44"/>
      <c r="AQ337" s="2"/>
    </row>
    <row r="338" spans="1:43" ht="24.95" customHeight="1" x14ac:dyDescent="0.25">
      <c r="A338" s="2">
        <v>298</v>
      </c>
      <c r="B338" s="349"/>
      <c r="C338" s="350"/>
      <c r="D338" s="351"/>
      <c r="E338" s="351"/>
      <c r="F338" s="336"/>
      <c r="G338" s="327"/>
      <c r="H338" s="327"/>
      <c r="I338" s="325">
        <f t="shared" si="34"/>
        <v>0</v>
      </c>
      <c r="J338" s="540" t="s">
        <v>281</v>
      </c>
      <c r="K338" s="540"/>
      <c r="L338" s="337">
        <f>IFERROR(IF(F338="Sem projeto",VLOOKUP(C338,$B$32:$H$34,7,FALSE)*1.5,G338*VLOOKUP(J338,Aux_Lista!$AG:$AH,2,FALSE)+H338)*E338,0)</f>
        <v>0</v>
      </c>
      <c r="M338" s="346" t="s">
        <v>90</v>
      </c>
      <c r="N338" s="347" t="s">
        <v>90</v>
      </c>
      <c r="O338" s="348" t="s">
        <v>90</v>
      </c>
      <c r="P338" s="386">
        <f t="shared" si="35"/>
        <v>0</v>
      </c>
      <c r="R338" s="94">
        <v>307</v>
      </c>
      <c r="S338" s="383"/>
      <c r="T338" s="214"/>
      <c r="U338" s="214"/>
      <c r="V338" s="217"/>
      <c r="W338" s="215"/>
      <c r="X338" s="336"/>
      <c r="Y338" s="68" t="str">
        <f>IF(V338="","",VLOOKUP(V338,Aux_Lista!A:K,11,FALSE))</f>
        <v/>
      </c>
      <c r="Z338" s="68" t="str">
        <f>IF(V338="","",VLOOKUP(V338,Aux_Lista!A:L,12,FALSE))</f>
        <v/>
      </c>
      <c r="AA338" s="68" t="str">
        <f>IF(W338="","",VLOOKUP(W338,Aux_Lista!AN:AP,3,FALSE))</f>
        <v/>
      </c>
      <c r="AB338" s="68" t="str">
        <f>IF(W338="","",VLOOKUP(W338,Aux_Lista!AN:AP,2,FALSE))</f>
        <v/>
      </c>
      <c r="AC338" s="69"/>
      <c r="AD338" s="69"/>
      <c r="AE338" s="325">
        <f t="shared" si="29"/>
        <v>0</v>
      </c>
      <c r="AF338" s="540" t="s">
        <v>281</v>
      </c>
      <c r="AG338" s="540"/>
      <c r="AH338" s="337">
        <f>IFERROR(IF(X338="Sem projeto",1.5*AA338,AC338*VLOOKUP(AF338,Aux_Lista!AG:AH,2,FALSE)+AD338)*U338,0)</f>
        <v>0</v>
      </c>
      <c r="AI338" s="343" t="s">
        <v>90</v>
      </c>
      <c r="AJ338" s="343" t="s">
        <v>90</v>
      </c>
      <c r="AK338" s="343" t="s">
        <v>90</v>
      </c>
      <c r="AL338" s="333" t="str">
        <f t="shared" si="30"/>
        <v/>
      </c>
      <c r="AM338" s="334" t="str">
        <f t="shared" si="31"/>
        <v/>
      </c>
      <c r="AN338" s="333" t="str">
        <f t="shared" si="32"/>
        <v/>
      </c>
      <c r="AO338" s="334" t="str">
        <f t="shared" si="33"/>
        <v/>
      </c>
      <c r="AP338" s="44"/>
      <c r="AQ338" s="2"/>
    </row>
    <row r="339" spans="1:43" ht="24.95" customHeight="1" x14ac:dyDescent="0.25">
      <c r="A339" s="2">
        <v>299</v>
      </c>
      <c r="B339" s="349"/>
      <c r="C339" s="350"/>
      <c r="D339" s="351"/>
      <c r="E339" s="351"/>
      <c r="F339" s="336"/>
      <c r="G339" s="327"/>
      <c r="H339" s="327"/>
      <c r="I339" s="325">
        <f t="shared" si="34"/>
        <v>0</v>
      </c>
      <c r="J339" s="540" t="s">
        <v>281</v>
      </c>
      <c r="K339" s="540"/>
      <c r="L339" s="337">
        <f>IFERROR(IF(F339="Sem projeto",VLOOKUP(C339,$B$32:$H$34,7,FALSE)*1.5,G339*VLOOKUP(J339,Aux_Lista!$AG:$AH,2,FALSE)+H339)*E339,0)</f>
        <v>0</v>
      </c>
      <c r="M339" s="346" t="s">
        <v>90</v>
      </c>
      <c r="N339" s="347" t="s">
        <v>90</v>
      </c>
      <c r="O339" s="348" t="s">
        <v>90</v>
      </c>
      <c r="P339" s="386">
        <f t="shared" si="35"/>
        <v>0</v>
      </c>
      <c r="R339" s="94">
        <v>308</v>
      </c>
      <c r="S339" s="383"/>
      <c r="T339" s="214"/>
      <c r="U339" s="214"/>
      <c r="V339" s="217"/>
      <c r="W339" s="215"/>
      <c r="X339" s="336"/>
      <c r="Y339" s="68" t="str">
        <f>IF(V339="","",VLOOKUP(V339,Aux_Lista!A:K,11,FALSE))</f>
        <v/>
      </c>
      <c r="Z339" s="68" t="str">
        <f>IF(V339="","",VLOOKUP(V339,Aux_Lista!A:L,12,FALSE))</f>
        <v/>
      </c>
      <c r="AA339" s="68" t="str">
        <f>IF(W339="","",VLOOKUP(W339,Aux_Lista!AN:AP,3,FALSE))</f>
        <v/>
      </c>
      <c r="AB339" s="68" t="str">
        <f>IF(W339="","",VLOOKUP(W339,Aux_Lista!AN:AP,2,FALSE))</f>
        <v/>
      </c>
      <c r="AC339" s="69"/>
      <c r="AD339" s="69"/>
      <c r="AE339" s="325">
        <f t="shared" si="29"/>
        <v>0</v>
      </c>
      <c r="AF339" s="540" t="s">
        <v>281</v>
      </c>
      <c r="AG339" s="540"/>
      <c r="AH339" s="337">
        <f>IFERROR(IF(X339="Sem projeto",1.5*AA339,AC339*VLOOKUP(AF339,Aux_Lista!AG:AH,2,FALSE)+AD339)*U339,0)</f>
        <v>0</v>
      </c>
      <c r="AI339" s="343" t="s">
        <v>90</v>
      </c>
      <c r="AJ339" s="343" t="s">
        <v>90</v>
      </c>
      <c r="AK339" s="343" t="s">
        <v>90</v>
      </c>
      <c r="AL339" s="333" t="str">
        <f t="shared" si="30"/>
        <v/>
      </c>
      <c r="AM339" s="334" t="str">
        <f t="shared" si="31"/>
        <v/>
      </c>
      <c r="AN339" s="333" t="str">
        <f t="shared" si="32"/>
        <v/>
      </c>
      <c r="AO339" s="334" t="str">
        <f t="shared" si="33"/>
        <v/>
      </c>
      <c r="AP339" s="44"/>
      <c r="AQ339" s="2"/>
    </row>
    <row r="340" spans="1:43" ht="24.95" customHeight="1" x14ac:dyDescent="0.25">
      <c r="A340" s="2">
        <v>300</v>
      </c>
      <c r="B340" s="349"/>
      <c r="C340" s="350"/>
      <c r="D340" s="351"/>
      <c r="E340" s="351"/>
      <c r="F340" s="336"/>
      <c r="G340" s="327"/>
      <c r="H340" s="327"/>
      <c r="I340" s="325">
        <f t="shared" si="34"/>
        <v>0</v>
      </c>
      <c r="J340" s="540" t="s">
        <v>281</v>
      </c>
      <c r="K340" s="540"/>
      <c r="L340" s="337">
        <f>IFERROR(IF(F340="Sem projeto",VLOOKUP(C340,$B$32:$H$34,7,FALSE)*1.5,G340*VLOOKUP(J340,Aux_Lista!$AG:$AH,2,FALSE)+H340)*E340,0)</f>
        <v>0</v>
      </c>
      <c r="M340" s="346" t="s">
        <v>90</v>
      </c>
      <c r="N340" s="347" t="s">
        <v>90</v>
      </c>
      <c r="O340" s="348" t="s">
        <v>90</v>
      </c>
      <c r="P340" s="386">
        <f t="shared" si="35"/>
        <v>0</v>
      </c>
      <c r="R340" s="94">
        <v>309</v>
      </c>
      <c r="S340" s="383"/>
      <c r="T340" s="214"/>
      <c r="U340" s="214"/>
      <c r="V340" s="217"/>
      <c r="W340" s="215"/>
      <c r="X340" s="336"/>
      <c r="Y340" s="68" t="str">
        <f>IF(V340="","",VLOOKUP(V340,Aux_Lista!A:K,11,FALSE))</f>
        <v/>
      </c>
      <c r="Z340" s="68" t="str">
        <f>IF(V340="","",VLOOKUP(V340,Aux_Lista!A:L,12,FALSE))</f>
        <v/>
      </c>
      <c r="AA340" s="68" t="str">
        <f>IF(W340="","",VLOOKUP(W340,Aux_Lista!AN:AP,3,FALSE))</f>
        <v/>
      </c>
      <c r="AB340" s="68" t="str">
        <f>IF(W340="","",VLOOKUP(W340,Aux_Lista!AN:AP,2,FALSE))</f>
        <v/>
      </c>
      <c r="AC340" s="69"/>
      <c r="AD340" s="69"/>
      <c r="AE340" s="325">
        <f t="shared" si="29"/>
        <v>0</v>
      </c>
      <c r="AF340" s="540" t="s">
        <v>281</v>
      </c>
      <c r="AG340" s="540"/>
      <c r="AH340" s="337">
        <f>IFERROR(IF(X340="Sem projeto",1.5*AA340,AC340*VLOOKUP(AF340,Aux_Lista!AG:AH,2,FALSE)+AD340)*U340,0)</f>
        <v>0</v>
      </c>
      <c r="AI340" s="343" t="s">
        <v>90</v>
      </c>
      <c r="AJ340" s="343" t="s">
        <v>90</v>
      </c>
      <c r="AK340" s="343" t="s">
        <v>90</v>
      </c>
      <c r="AL340" s="333" t="str">
        <f t="shared" si="30"/>
        <v/>
      </c>
      <c r="AM340" s="334" t="str">
        <f t="shared" si="31"/>
        <v/>
      </c>
      <c r="AN340" s="333" t="str">
        <f t="shared" si="32"/>
        <v/>
      </c>
      <c r="AO340" s="334" t="str">
        <f t="shared" si="33"/>
        <v/>
      </c>
      <c r="AP340" s="44"/>
      <c r="AQ340" s="2"/>
    </row>
    <row r="341" spans="1:43" ht="24.95" customHeight="1" x14ac:dyDescent="0.25">
      <c r="A341" s="2">
        <v>301</v>
      </c>
      <c r="B341" s="349"/>
      <c r="C341" s="350"/>
      <c r="D341" s="351"/>
      <c r="E341" s="351"/>
      <c r="F341" s="336"/>
      <c r="G341" s="327"/>
      <c r="H341" s="327"/>
      <c r="I341" s="325">
        <f t="shared" si="34"/>
        <v>0</v>
      </c>
      <c r="J341" s="540" t="s">
        <v>281</v>
      </c>
      <c r="K341" s="540"/>
      <c r="L341" s="337">
        <f>IFERROR(IF(F341="Sem projeto",VLOOKUP(C341,$B$32:$H$34,7,FALSE)*1.5,G341*VLOOKUP(J341,Aux_Lista!$AG:$AH,2,FALSE)+H341)*E341,0)</f>
        <v>0</v>
      </c>
      <c r="M341" s="346" t="s">
        <v>90</v>
      </c>
      <c r="N341" s="347" t="s">
        <v>90</v>
      </c>
      <c r="O341" s="348" t="s">
        <v>90</v>
      </c>
      <c r="P341" s="386">
        <f t="shared" si="35"/>
        <v>0</v>
      </c>
      <c r="R341" s="94">
        <v>310</v>
      </c>
      <c r="S341" s="383"/>
      <c r="T341" s="214"/>
      <c r="U341" s="214"/>
      <c r="V341" s="217"/>
      <c r="W341" s="215"/>
      <c r="X341" s="336"/>
      <c r="Y341" s="68" t="str">
        <f>IF(V341="","",VLOOKUP(V341,Aux_Lista!A:K,11,FALSE))</f>
        <v/>
      </c>
      <c r="Z341" s="68" t="str">
        <f>IF(V341="","",VLOOKUP(V341,Aux_Lista!A:L,12,FALSE))</f>
        <v/>
      </c>
      <c r="AA341" s="68" t="str">
        <f>IF(W341="","",VLOOKUP(W341,Aux_Lista!AN:AP,3,FALSE))</f>
        <v/>
      </c>
      <c r="AB341" s="68" t="str">
        <f>IF(W341="","",VLOOKUP(W341,Aux_Lista!AN:AP,2,FALSE))</f>
        <v/>
      </c>
      <c r="AC341" s="69"/>
      <c r="AD341" s="69"/>
      <c r="AE341" s="325">
        <f t="shared" si="29"/>
        <v>0</v>
      </c>
      <c r="AF341" s="540" t="s">
        <v>281</v>
      </c>
      <c r="AG341" s="540"/>
      <c r="AH341" s="337">
        <f>IFERROR(IF(X341="Sem projeto",1.5*AA341,AC341*VLOOKUP(AF341,Aux_Lista!AG:AH,2,FALSE)+AD341)*U341,0)</f>
        <v>0</v>
      </c>
      <c r="AI341" s="343" t="s">
        <v>90</v>
      </c>
      <c r="AJ341" s="343" t="s">
        <v>90</v>
      </c>
      <c r="AK341" s="343" t="s">
        <v>90</v>
      </c>
      <c r="AL341" s="333" t="str">
        <f t="shared" si="30"/>
        <v/>
      </c>
      <c r="AM341" s="334" t="str">
        <f t="shared" si="31"/>
        <v/>
      </c>
      <c r="AN341" s="333" t="str">
        <f t="shared" si="32"/>
        <v/>
      </c>
      <c r="AO341" s="334" t="str">
        <f t="shared" si="33"/>
        <v/>
      </c>
      <c r="AP341" s="44"/>
      <c r="AQ341" s="2"/>
    </row>
    <row r="342" spans="1:43" ht="24.95" customHeight="1" x14ac:dyDescent="0.25">
      <c r="A342" s="2">
        <v>302</v>
      </c>
      <c r="B342" s="349"/>
      <c r="C342" s="350"/>
      <c r="D342" s="351"/>
      <c r="E342" s="351"/>
      <c r="F342" s="336"/>
      <c r="G342" s="327"/>
      <c r="H342" s="327"/>
      <c r="I342" s="325">
        <f t="shared" si="34"/>
        <v>0</v>
      </c>
      <c r="J342" s="540" t="s">
        <v>281</v>
      </c>
      <c r="K342" s="540"/>
      <c r="L342" s="337">
        <f>IFERROR(IF(F342="Sem projeto",VLOOKUP(C342,$B$32:$H$34,7,FALSE)*1.5,G342*VLOOKUP(J342,Aux_Lista!$AG:$AH,2,FALSE)+H342)*E342,0)</f>
        <v>0</v>
      </c>
      <c r="M342" s="346" t="s">
        <v>90</v>
      </c>
      <c r="N342" s="347" t="s">
        <v>90</v>
      </c>
      <c r="O342" s="348" t="s">
        <v>90</v>
      </c>
      <c r="P342" s="386">
        <f t="shared" si="35"/>
        <v>0</v>
      </c>
      <c r="R342" s="94">
        <v>311</v>
      </c>
      <c r="S342" s="383"/>
      <c r="T342" s="214"/>
      <c r="U342" s="214"/>
      <c r="V342" s="217"/>
      <c r="W342" s="215"/>
      <c r="X342" s="336"/>
      <c r="Y342" s="68" t="str">
        <f>IF(V342="","",VLOOKUP(V342,Aux_Lista!A:K,11,FALSE))</f>
        <v/>
      </c>
      <c r="Z342" s="68" t="str">
        <f>IF(V342="","",VLOOKUP(V342,Aux_Lista!A:L,12,FALSE))</f>
        <v/>
      </c>
      <c r="AA342" s="68" t="str">
        <f>IF(W342="","",VLOOKUP(W342,Aux_Lista!AN:AP,3,FALSE))</f>
        <v/>
      </c>
      <c r="AB342" s="68" t="str">
        <f>IF(W342="","",VLOOKUP(W342,Aux_Lista!AN:AP,2,FALSE))</f>
        <v/>
      </c>
      <c r="AC342" s="69"/>
      <c r="AD342" s="69"/>
      <c r="AE342" s="325">
        <f t="shared" si="29"/>
        <v>0</v>
      </c>
      <c r="AF342" s="540" t="s">
        <v>281</v>
      </c>
      <c r="AG342" s="540"/>
      <c r="AH342" s="337">
        <f>IFERROR(IF(X342="Sem projeto",1.5*AA342,AC342*VLOOKUP(AF342,Aux_Lista!AG:AH,2,FALSE)+AD342)*U342,0)</f>
        <v>0</v>
      </c>
      <c r="AI342" s="343" t="s">
        <v>90</v>
      </c>
      <c r="AJ342" s="343" t="s">
        <v>90</v>
      </c>
      <c r="AK342" s="343" t="s">
        <v>90</v>
      </c>
      <c r="AL342" s="333" t="str">
        <f t="shared" si="30"/>
        <v/>
      </c>
      <c r="AM342" s="334" t="str">
        <f t="shared" si="31"/>
        <v/>
      </c>
      <c r="AN342" s="333" t="str">
        <f t="shared" si="32"/>
        <v/>
      </c>
      <c r="AO342" s="334" t="str">
        <f t="shared" si="33"/>
        <v/>
      </c>
      <c r="AP342" s="44"/>
      <c r="AQ342" s="2"/>
    </row>
    <row r="343" spans="1:43" ht="24.95" customHeight="1" x14ac:dyDescent="0.25">
      <c r="A343" s="2">
        <v>303</v>
      </c>
      <c r="B343" s="349"/>
      <c r="C343" s="350"/>
      <c r="D343" s="351"/>
      <c r="E343" s="351"/>
      <c r="F343" s="336"/>
      <c r="G343" s="327"/>
      <c r="H343" s="327"/>
      <c r="I343" s="325">
        <f t="shared" si="34"/>
        <v>0</v>
      </c>
      <c r="J343" s="540" t="s">
        <v>281</v>
      </c>
      <c r="K343" s="540"/>
      <c r="L343" s="337">
        <f>IFERROR(IF(F343="Sem projeto",VLOOKUP(C343,$B$32:$H$34,7,FALSE)*1.5,G343*VLOOKUP(J343,Aux_Lista!$AG:$AH,2,FALSE)+H343)*E343,0)</f>
        <v>0</v>
      </c>
      <c r="M343" s="346" t="s">
        <v>90</v>
      </c>
      <c r="N343" s="347" t="s">
        <v>90</v>
      </c>
      <c r="O343" s="348" t="s">
        <v>90</v>
      </c>
      <c r="P343" s="386">
        <f t="shared" si="35"/>
        <v>0</v>
      </c>
      <c r="R343" s="94">
        <v>312</v>
      </c>
      <c r="S343" s="383"/>
      <c r="T343" s="214"/>
      <c r="U343" s="214"/>
      <c r="V343" s="217"/>
      <c r="W343" s="215"/>
      <c r="X343" s="336"/>
      <c r="Y343" s="68" t="str">
        <f>IF(V343="","",VLOOKUP(V343,Aux_Lista!A:K,11,FALSE))</f>
        <v/>
      </c>
      <c r="Z343" s="68" t="str">
        <f>IF(V343="","",VLOOKUP(V343,Aux_Lista!A:L,12,FALSE))</f>
        <v/>
      </c>
      <c r="AA343" s="68" t="str">
        <f>IF(W343="","",VLOOKUP(W343,Aux_Lista!AN:AP,3,FALSE))</f>
        <v/>
      </c>
      <c r="AB343" s="68" t="str">
        <f>IF(W343="","",VLOOKUP(W343,Aux_Lista!AN:AP,2,FALSE))</f>
        <v/>
      </c>
      <c r="AC343" s="69"/>
      <c r="AD343" s="69"/>
      <c r="AE343" s="325">
        <f t="shared" si="29"/>
        <v>0</v>
      </c>
      <c r="AF343" s="540" t="s">
        <v>281</v>
      </c>
      <c r="AG343" s="540"/>
      <c r="AH343" s="337">
        <f>IFERROR(IF(X343="Sem projeto",1.5*AA343,AC343*VLOOKUP(AF343,Aux_Lista!AG:AH,2,FALSE)+AD343)*U343,0)</f>
        <v>0</v>
      </c>
      <c r="AI343" s="343" t="s">
        <v>90</v>
      </c>
      <c r="AJ343" s="343" t="s">
        <v>90</v>
      </c>
      <c r="AK343" s="343" t="s">
        <v>90</v>
      </c>
      <c r="AL343" s="333" t="str">
        <f t="shared" si="30"/>
        <v/>
      </c>
      <c r="AM343" s="334" t="str">
        <f t="shared" si="31"/>
        <v/>
      </c>
      <c r="AN343" s="333" t="str">
        <f t="shared" si="32"/>
        <v/>
      </c>
      <c r="AO343" s="334" t="str">
        <f t="shared" si="33"/>
        <v/>
      </c>
      <c r="AP343" s="44"/>
      <c r="AQ343" s="2"/>
    </row>
    <row r="344" spans="1:43" ht="24.95" customHeight="1" x14ac:dyDescent="0.25">
      <c r="A344" s="2">
        <v>304</v>
      </c>
      <c r="B344" s="349"/>
      <c r="C344" s="350"/>
      <c r="D344" s="351"/>
      <c r="E344" s="351"/>
      <c r="F344" s="336"/>
      <c r="G344" s="327"/>
      <c r="H344" s="327"/>
      <c r="I344" s="325">
        <f t="shared" si="34"/>
        <v>0</v>
      </c>
      <c r="J344" s="540" t="s">
        <v>281</v>
      </c>
      <c r="K344" s="540"/>
      <c r="L344" s="337">
        <f>IFERROR(IF(F344="Sem projeto",VLOOKUP(C344,$B$32:$H$34,7,FALSE)*1.5,G344*VLOOKUP(J344,Aux_Lista!$AG:$AH,2,FALSE)+H344)*E344,0)</f>
        <v>0</v>
      </c>
      <c r="M344" s="346" t="s">
        <v>90</v>
      </c>
      <c r="N344" s="347" t="s">
        <v>90</v>
      </c>
      <c r="O344" s="348" t="s">
        <v>90</v>
      </c>
      <c r="P344" s="386">
        <f t="shared" si="35"/>
        <v>0</v>
      </c>
      <c r="R344" s="94">
        <v>313</v>
      </c>
      <c r="S344" s="383"/>
      <c r="T344" s="214"/>
      <c r="U344" s="214"/>
      <c r="V344" s="217"/>
      <c r="W344" s="215"/>
      <c r="X344" s="336"/>
      <c r="Y344" s="68" t="str">
        <f>IF(V344="","",VLOOKUP(V344,Aux_Lista!A:K,11,FALSE))</f>
        <v/>
      </c>
      <c r="Z344" s="68" t="str">
        <f>IF(V344="","",VLOOKUP(V344,Aux_Lista!A:L,12,FALSE))</f>
        <v/>
      </c>
      <c r="AA344" s="68" t="str">
        <f>IF(W344="","",VLOOKUP(W344,Aux_Lista!AN:AP,3,FALSE))</f>
        <v/>
      </c>
      <c r="AB344" s="68" t="str">
        <f>IF(W344="","",VLOOKUP(W344,Aux_Lista!AN:AP,2,FALSE))</f>
        <v/>
      </c>
      <c r="AC344" s="69"/>
      <c r="AD344" s="69"/>
      <c r="AE344" s="325">
        <f t="shared" si="29"/>
        <v>0</v>
      </c>
      <c r="AF344" s="540" t="s">
        <v>281</v>
      </c>
      <c r="AG344" s="540"/>
      <c r="AH344" s="337">
        <f>IFERROR(IF(X344="Sem projeto",1.5*AA344,AC344*VLOOKUP(AF344,Aux_Lista!AG:AH,2,FALSE)+AD344)*U344,0)</f>
        <v>0</v>
      </c>
      <c r="AI344" s="343" t="s">
        <v>90</v>
      </c>
      <c r="AJ344" s="343" t="s">
        <v>90</v>
      </c>
      <c r="AK344" s="343" t="s">
        <v>90</v>
      </c>
      <c r="AL344" s="333" t="str">
        <f t="shared" si="30"/>
        <v/>
      </c>
      <c r="AM344" s="334" t="str">
        <f t="shared" si="31"/>
        <v/>
      </c>
      <c r="AN344" s="333" t="str">
        <f t="shared" si="32"/>
        <v/>
      </c>
      <c r="AO344" s="334" t="str">
        <f t="shared" si="33"/>
        <v/>
      </c>
      <c r="AP344" s="44"/>
      <c r="AQ344" s="2"/>
    </row>
    <row r="345" spans="1:43" ht="24.95" customHeight="1" x14ac:dyDescent="0.25">
      <c r="A345" s="2">
        <v>305</v>
      </c>
      <c r="B345" s="349"/>
      <c r="C345" s="350"/>
      <c r="D345" s="351"/>
      <c r="E345" s="351"/>
      <c r="F345" s="336"/>
      <c r="G345" s="327"/>
      <c r="H345" s="327"/>
      <c r="I345" s="325">
        <f t="shared" si="34"/>
        <v>0</v>
      </c>
      <c r="J345" s="540" t="s">
        <v>281</v>
      </c>
      <c r="K345" s="540"/>
      <c r="L345" s="337">
        <f>IFERROR(IF(F345="Sem projeto",VLOOKUP(C345,$B$32:$H$34,7,FALSE)*1.5,G345*VLOOKUP(J345,Aux_Lista!$AG:$AH,2,FALSE)+H345)*E345,0)</f>
        <v>0</v>
      </c>
      <c r="M345" s="346" t="s">
        <v>90</v>
      </c>
      <c r="N345" s="347" t="s">
        <v>90</v>
      </c>
      <c r="O345" s="348" t="s">
        <v>90</v>
      </c>
      <c r="P345" s="386">
        <f t="shared" si="35"/>
        <v>0</v>
      </c>
      <c r="R345" s="94">
        <v>314</v>
      </c>
      <c r="S345" s="383"/>
      <c r="T345" s="214"/>
      <c r="U345" s="214"/>
      <c r="V345" s="217"/>
      <c r="W345" s="215"/>
      <c r="X345" s="336"/>
      <c r="Y345" s="68" t="str">
        <f>IF(V345="","",VLOOKUP(V345,Aux_Lista!A:K,11,FALSE))</f>
        <v/>
      </c>
      <c r="Z345" s="68" t="str">
        <f>IF(V345="","",VLOOKUP(V345,Aux_Lista!A:L,12,FALSE))</f>
        <v/>
      </c>
      <c r="AA345" s="68" t="str">
        <f>IF(W345="","",VLOOKUP(W345,Aux_Lista!AN:AP,3,FALSE))</f>
        <v/>
      </c>
      <c r="AB345" s="68" t="str">
        <f>IF(W345="","",VLOOKUP(W345,Aux_Lista!AN:AP,2,FALSE))</f>
        <v/>
      </c>
      <c r="AC345" s="69"/>
      <c r="AD345" s="69"/>
      <c r="AE345" s="325">
        <f t="shared" si="29"/>
        <v>0</v>
      </c>
      <c r="AF345" s="540" t="s">
        <v>281</v>
      </c>
      <c r="AG345" s="540"/>
      <c r="AH345" s="337">
        <f>IFERROR(IF(X345="Sem projeto",1.5*AA345,AC345*VLOOKUP(AF345,Aux_Lista!AG:AH,2,FALSE)+AD345)*U345,0)</f>
        <v>0</v>
      </c>
      <c r="AI345" s="343" t="s">
        <v>90</v>
      </c>
      <c r="AJ345" s="343" t="s">
        <v>90</v>
      </c>
      <c r="AK345" s="343" t="s">
        <v>90</v>
      </c>
      <c r="AL345" s="333" t="str">
        <f t="shared" si="30"/>
        <v/>
      </c>
      <c r="AM345" s="334" t="str">
        <f t="shared" si="31"/>
        <v/>
      </c>
      <c r="AN345" s="333" t="str">
        <f t="shared" si="32"/>
        <v/>
      </c>
      <c r="AO345" s="334" t="str">
        <f t="shared" si="33"/>
        <v/>
      </c>
      <c r="AP345" s="44"/>
      <c r="AQ345" s="2"/>
    </row>
    <row r="346" spans="1:43" ht="24.95" customHeight="1" x14ac:dyDescent="0.25">
      <c r="A346" s="2">
        <v>306</v>
      </c>
      <c r="B346" s="349"/>
      <c r="C346" s="350"/>
      <c r="D346" s="351"/>
      <c r="E346" s="351"/>
      <c r="F346" s="336"/>
      <c r="G346" s="327"/>
      <c r="H346" s="327"/>
      <c r="I346" s="325">
        <f t="shared" si="34"/>
        <v>0</v>
      </c>
      <c r="J346" s="540" t="s">
        <v>281</v>
      </c>
      <c r="K346" s="540"/>
      <c r="L346" s="337">
        <f>IFERROR(IF(F346="Sem projeto",VLOOKUP(C346,$B$32:$H$34,7,FALSE)*1.5,G346*VLOOKUP(J346,Aux_Lista!$AG:$AH,2,FALSE)+H346)*E346,0)</f>
        <v>0</v>
      </c>
      <c r="M346" s="346" t="s">
        <v>90</v>
      </c>
      <c r="N346" s="347" t="s">
        <v>90</v>
      </c>
      <c r="O346" s="348" t="s">
        <v>90</v>
      </c>
      <c r="P346" s="386">
        <f t="shared" si="35"/>
        <v>0</v>
      </c>
      <c r="R346" s="94">
        <v>315</v>
      </c>
      <c r="S346" s="383"/>
      <c r="T346" s="214"/>
      <c r="U346" s="214"/>
      <c r="V346" s="217"/>
      <c r="W346" s="215"/>
      <c r="X346" s="336"/>
      <c r="Y346" s="68" t="str">
        <f>IF(V346="","",VLOOKUP(V346,Aux_Lista!A:K,11,FALSE))</f>
        <v/>
      </c>
      <c r="Z346" s="68" t="str">
        <f>IF(V346="","",VLOOKUP(V346,Aux_Lista!A:L,12,FALSE))</f>
        <v/>
      </c>
      <c r="AA346" s="68" t="str">
        <f>IF(W346="","",VLOOKUP(W346,Aux_Lista!AN:AP,3,FALSE))</f>
        <v/>
      </c>
      <c r="AB346" s="68" t="str">
        <f>IF(W346="","",VLOOKUP(W346,Aux_Lista!AN:AP,2,FALSE))</f>
        <v/>
      </c>
      <c r="AC346" s="69"/>
      <c r="AD346" s="69"/>
      <c r="AE346" s="325">
        <f t="shared" si="29"/>
        <v>0</v>
      </c>
      <c r="AF346" s="540" t="s">
        <v>281</v>
      </c>
      <c r="AG346" s="540"/>
      <c r="AH346" s="337">
        <f>IFERROR(IF(X346="Sem projeto",1.5*AA346,AC346*VLOOKUP(AF346,Aux_Lista!AG:AH,2,FALSE)+AD346)*U346,0)</f>
        <v>0</v>
      </c>
      <c r="AI346" s="343" t="s">
        <v>90</v>
      </c>
      <c r="AJ346" s="343" t="s">
        <v>90</v>
      </c>
      <c r="AK346" s="343" t="s">
        <v>90</v>
      </c>
      <c r="AL346" s="333" t="str">
        <f t="shared" si="30"/>
        <v/>
      </c>
      <c r="AM346" s="334" t="str">
        <f t="shared" si="31"/>
        <v/>
      </c>
      <c r="AN346" s="333" t="str">
        <f t="shared" si="32"/>
        <v/>
      </c>
      <c r="AO346" s="334" t="str">
        <f t="shared" si="33"/>
        <v/>
      </c>
      <c r="AP346" s="44"/>
      <c r="AQ346" s="2"/>
    </row>
    <row r="347" spans="1:43" ht="24.95" customHeight="1" x14ac:dyDescent="0.25">
      <c r="A347" s="2">
        <v>307</v>
      </c>
      <c r="B347" s="349"/>
      <c r="C347" s="350"/>
      <c r="D347" s="351"/>
      <c r="E347" s="351"/>
      <c r="F347" s="336"/>
      <c r="G347" s="327"/>
      <c r="H347" s="327"/>
      <c r="I347" s="325">
        <f t="shared" si="34"/>
        <v>0</v>
      </c>
      <c r="J347" s="540" t="s">
        <v>281</v>
      </c>
      <c r="K347" s="540"/>
      <c r="L347" s="337">
        <f>IFERROR(IF(F347="Sem projeto",VLOOKUP(C347,$B$32:$H$34,7,FALSE)*1.5,G347*VLOOKUP(J347,Aux_Lista!$AG:$AH,2,FALSE)+H347)*E347,0)</f>
        <v>0</v>
      </c>
      <c r="M347" s="346" t="s">
        <v>90</v>
      </c>
      <c r="N347" s="347" t="s">
        <v>90</v>
      </c>
      <c r="O347" s="348" t="s">
        <v>90</v>
      </c>
      <c r="P347" s="386">
        <f t="shared" si="35"/>
        <v>0</v>
      </c>
      <c r="R347" s="94">
        <v>316</v>
      </c>
      <c r="S347" s="383"/>
      <c r="T347" s="214"/>
      <c r="U347" s="214"/>
      <c r="V347" s="217"/>
      <c r="W347" s="215"/>
      <c r="X347" s="336"/>
      <c r="Y347" s="68" t="str">
        <f>IF(V347="","",VLOOKUP(V347,Aux_Lista!A:K,11,FALSE))</f>
        <v/>
      </c>
      <c r="Z347" s="68" t="str">
        <f>IF(V347="","",VLOOKUP(V347,Aux_Lista!A:L,12,FALSE))</f>
        <v/>
      </c>
      <c r="AA347" s="68" t="str">
        <f>IF(W347="","",VLOOKUP(W347,Aux_Lista!AN:AP,3,FALSE))</f>
        <v/>
      </c>
      <c r="AB347" s="68" t="str">
        <f>IF(W347="","",VLOOKUP(W347,Aux_Lista!AN:AP,2,FALSE))</f>
        <v/>
      </c>
      <c r="AC347" s="69"/>
      <c r="AD347" s="69"/>
      <c r="AE347" s="325">
        <f t="shared" si="29"/>
        <v>0</v>
      </c>
      <c r="AF347" s="540" t="s">
        <v>281</v>
      </c>
      <c r="AG347" s="540"/>
      <c r="AH347" s="337">
        <f>IFERROR(IF(X347="Sem projeto",1.5*AA347,AC347*VLOOKUP(AF347,Aux_Lista!AG:AH,2,FALSE)+AD347)*U347,0)</f>
        <v>0</v>
      </c>
      <c r="AI347" s="343" t="s">
        <v>90</v>
      </c>
      <c r="AJ347" s="343" t="s">
        <v>90</v>
      </c>
      <c r="AK347" s="343" t="s">
        <v>90</v>
      </c>
      <c r="AL347" s="333" t="str">
        <f t="shared" si="30"/>
        <v/>
      </c>
      <c r="AM347" s="334" t="str">
        <f t="shared" si="31"/>
        <v/>
      </c>
      <c r="AN347" s="333" t="str">
        <f t="shared" si="32"/>
        <v/>
      </c>
      <c r="AO347" s="334" t="str">
        <f t="shared" si="33"/>
        <v/>
      </c>
      <c r="AP347" s="44"/>
      <c r="AQ347" s="2"/>
    </row>
    <row r="348" spans="1:43" ht="24.95" customHeight="1" x14ac:dyDescent="0.25">
      <c r="A348" s="2">
        <v>308</v>
      </c>
      <c r="B348" s="349"/>
      <c r="C348" s="350"/>
      <c r="D348" s="351"/>
      <c r="E348" s="351"/>
      <c r="F348" s="336"/>
      <c r="G348" s="327"/>
      <c r="H348" s="327"/>
      <c r="I348" s="325">
        <f t="shared" si="34"/>
        <v>0</v>
      </c>
      <c r="J348" s="540" t="s">
        <v>281</v>
      </c>
      <c r="K348" s="540"/>
      <c r="L348" s="337">
        <f>IFERROR(IF(F348="Sem projeto",VLOOKUP(C348,$B$32:$H$34,7,FALSE)*1.5,G348*VLOOKUP(J348,Aux_Lista!$AG:$AH,2,FALSE)+H348)*E348,0)</f>
        <v>0</v>
      </c>
      <c r="M348" s="346" t="s">
        <v>90</v>
      </c>
      <c r="N348" s="347" t="s">
        <v>90</v>
      </c>
      <c r="O348" s="348" t="s">
        <v>90</v>
      </c>
      <c r="P348" s="386">
        <f t="shared" si="35"/>
        <v>0</v>
      </c>
      <c r="R348" s="94">
        <v>317</v>
      </c>
      <c r="S348" s="383"/>
      <c r="T348" s="214"/>
      <c r="U348" s="214"/>
      <c r="V348" s="217"/>
      <c r="W348" s="215"/>
      <c r="X348" s="336"/>
      <c r="Y348" s="68" t="str">
        <f>IF(V348="","",VLOOKUP(V348,Aux_Lista!A:K,11,FALSE))</f>
        <v/>
      </c>
      <c r="Z348" s="68" t="str">
        <f>IF(V348="","",VLOOKUP(V348,Aux_Lista!A:L,12,FALSE))</f>
        <v/>
      </c>
      <c r="AA348" s="68" t="str">
        <f>IF(W348="","",VLOOKUP(W348,Aux_Lista!AN:AP,3,FALSE))</f>
        <v/>
      </c>
      <c r="AB348" s="68" t="str">
        <f>IF(W348="","",VLOOKUP(W348,Aux_Lista!AN:AP,2,FALSE))</f>
        <v/>
      </c>
      <c r="AC348" s="69"/>
      <c r="AD348" s="69"/>
      <c r="AE348" s="325">
        <f t="shared" si="29"/>
        <v>0</v>
      </c>
      <c r="AF348" s="540" t="s">
        <v>281</v>
      </c>
      <c r="AG348" s="540"/>
      <c r="AH348" s="337">
        <f>IFERROR(IF(X348="Sem projeto",1.5*AA348,AC348*VLOOKUP(AF348,Aux_Lista!AG:AH,2,FALSE)+AD348)*U348,0)</f>
        <v>0</v>
      </c>
      <c r="AI348" s="343" t="s">
        <v>90</v>
      </c>
      <c r="AJ348" s="343" t="s">
        <v>90</v>
      </c>
      <c r="AK348" s="343" t="s">
        <v>90</v>
      </c>
      <c r="AL348" s="333" t="str">
        <f t="shared" si="30"/>
        <v/>
      </c>
      <c r="AM348" s="334" t="str">
        <f t="shared" si="31"/>
        <v/>
      </c>
      <c r="AN348" s="333" t="str">
        <f t="shared" si="32"/>
        <v/>
      </c>
      <c r="AO348" s="334" t="str">
        <f t="shared" si="33"/>
        <v/>
      </c>
      <c r="AP348" s="44"/>
      <c r="AQ348" s="2"/>
    </row>
    <row r="349" spans="1:43" ht="24.95" customHeight="1" x14ac:dyDescent="0.25">
      <c r="A349" s="2">
        <v>309</v>
      </c>
      <c r="B349" s="349"/>
      <c r="C349" s="350"/>
      <c r="D349" s="351"/>
      <c r="E349" s="351"/>
      <c r="F349" s="336"/>
      <c r="G349" s="327"/>
      <c r="H349" s="327"/>
      <c r="I349" s="325">
        <f t="shared" si="34"/>
        <v>0</v>
      </c>
      <c r="J349" s="540" t="s">
        <v>281</v>
      </c>
      <c r="K349" s="540"/>
      <c r="L349" s="337">
        <f>IFERROR(IF(F349="Sem projeto",VLOOKUP(C349,$B$32:$H$34,7,FALSE)*1.5,G349*VLOOKUP(J349,Aux_Lista!$AG:$AH,2,FALSE)+H349)*E349,0)</f>
        <v>0</v>
      </c>
      <c r="M349" s="346" t="s">
        <v>90</v>
      </c>
      <c r="N349" s="347" t="s">
        <v>90</v>
      </c>
      <c r="O349" s="348" t="s">
        <v>90</v>
      </c>
      <c r="P349" s="386">
        <f t="shared" si="35"/>
        <v>0</v>
      </c>
      <c r="R349" s="94">
        <v>318</v>
      </c>
      <c r="S349" s="383"/>
      <c r="T349" s="214"/>
      <c r="U349" s="214"/>
      <c r="V349" s="217"/>
      <c r="W349" s="215"/>
      <c r="X349" s="336"/>
      <c r="Y349" s="68" t="str">
        <f>IF(V349="","",VLOOKUP(V349,Aux_Lista!A:K,11,FALSE))</f>
        <v/>
      </c>
      <c r="Z349" s="68" t="str">
        <f>IF(V349="","",VLOOKUP(V349,Aux_Lista!A:L,12,FALSE))</f>
        <v/>
      </c>
      <c r="AA349" s="68" t="str">
        <f>IF(W349="","",VLOOKUP(W349,Aux_Lista!AN:AP,3,FALSE))</f>
        <v/>
      </c>
      <c r="AB349" s="68" t="str">
        <f>IF(W349="","",VLOOKUP(W349,Aux_Lista!AN:AP,2,FALSE))</f>
        <v/>
      </c>
      <c r="AC349" s="69"/>
      <c r="AD349" s="69"/>
      <c r="AE349" s="325">
        <f t="shared" si="29"/>
        <v>0</v>
      </c>
      <c r="AF349" s="540" t="s">
        <v>281</v>
      </c>
      <c r="AG349" s="540"/>
      <c r="AH349" s="337">
        <f>IFERROR(IF(X349="Sem projeto",1.5*AA349,AC349*VLOOKUP(AF349,Aux_Lista!AG:AH,2,FALSE)+AD349)*U349,0)</f>
        <v>0</v>
      </c>
      <c r="AI349" s="343" t="s">
        <v>90</v>
      </c>
      <c r="AJ349" s="343" t="s">
        <v>90</v>
      </c>
      <c r="AK349" s="343" t="s">
        <v>90</v>
      </c>
      <c r="AL349" s="333" t="str">
        <f t="shared" si="30"/>
        <v/>
      </c>
      <c r="AM349" s="334" t="str">
        <f t="shared" si="31"/>
        <v/>
      </c>
      <c r="AN349" s="333" t="str">
        <f t="shared" si="32"/>
        <v/>
      </c>
      <c r="AO349" s="334" t="str">
        <f t="shared" si="33"/>
        <v/>
      </c>
      <c r="AP349" s="44"/>
      <c r="AQ349" s="2"/>
    </row>
    <row r="350" spans="1:43" ht="24.95" customHeight="1" x14ac:dyDescent="0.25">
      <c r="A350" s="2">
        <v>310</v>
      </c>
      <c r="B350" s="349"/>
      <c r="C350" s="350"/>
      <c r="D350" s="351"/>
      <c r="E350" s="351"/>
      <c r="F350" s="336"/>
      <c r="G350" s="327"/>
      <c r="H350" s="327"/>
      <c r="I350" s="325">
        <f t="shared" si="34"/>
        <v>0</v>
      </c>
      <c r="J350" s="540" t="s">
        <v>281</v>
      </c>
      <c r="K350" s="540"/>
      <c r="L350" s="337">
        <f>IFERROR(IF(F350="Sem projeto",VLOOKUP(C350,$B$32:$H$34,7,FALSE)*1.5,G350*VLOOKUP(J350,Aux_Lista!$AG:$AH,2,FALSE)+H350)*E350,0)</f>
        <v>0</v>
      </c>
      <c r="M350" s="346" t="s">
        <v>90</v>
      </c>
      <c r="N350" s="347" t="s">
        <v>90</v>
      </c>
      <c r="O350" s="348" t="s">
        <v>90</v>
      </c>
      <c r="P350" s="386">
        <f t="shared" si="35"/>
        <v>0</v>
      </c>
      <c r="R350" s="94">
        <v>319</v>
      </c>
      <c r="S350" s="383"/>
      <c r="T350" s="214"/>
      <c r="U350" s="214"/>
      <c r="V350" s="217"/>
      <c r="W350" s="215"/>
      <c r="X350" s="336"/>
      <c r="Y350" s="68" t="str">
        <f>IF(V350="","",VLOOKUP(V350,Aux_Lista!A:K,11,FALSE))</f>
        <v/>
      </c>
      <c r="Z350" s="68" t="str">
        <f>IF(V350="","",VLOOKUP(V350,Aux_Lista!A:L,12,FALSE))</f>
        <v/>
      </c>
      <c r="AA350" s="68" t="str">
        <f>IF(W350="","",VLOOKUP(W350,Aux_Lista!AN:AP,3,FALSE))</f>
        <v/>
      </c>
      <c r="AB350" s="68" t="str">
        <f>IF(W350="","",VLOOKUP(W350,Aux_Lista!AN:AP,2,FALSE))</f>
        <v/>
      </c>
      <c r="AC350" s="69"/>
      <c r="AD350" s="69"/>
      <c r="AE350" s="325">
        <f t="shared" si="29"/>
        <v>0</v>
      </c>
      <c r="AF350" s="540" t="s">
        <v>281</v>
      </c>
      <c r="AG350" s="540"/>
      <c r="AH350" s="337">
        <f>IFERROR(IF(X350="Sem projeto",1.5*AA350,AC350*VLOOKUP(AF350,Aux_Lista!AG:AH,2,FALSE)+AD350)*U350,0)</f>
        <v>0</v>
      </c>
      <c r="AI350" s="343" t="s">
        <v>90</v>
      </c>
      <c r="AJ350" s="343" t="s">
        <v>90</v>
      </c>
      <c r="AK350" s="343" t="s">
        <v>90</v>
      </c>
      <c r="AL350" s="333" t="str">
        <f t="shared" si="30"/>
        <v/>
      </c>
      <c r="AM350" s="334" t="str">
        <f t="shared" si="31"/>
        <v/>
      </c>
      <c r="AN350" s="333" t="str">
        <f t="shared" si="32"/>
        <v/>
      </c>
      <c r="AO350" s="334" t="str">
        <f t="shared" si="33"/>
        <v/>
      </c>
      <c r="AP350" s="44"/>
      <c r="AQ350" s="2"/>
    </row>
    <row r="351" spans="1:43" ht="24.95" customHeight="1" x14ac:dyDescent="0.25">
      <c r="A351" s="2">
        <v>311</v>
      </c>
      <c r="B351" s="349"/>
      <c r="C351" s="350"/>
      <c r="D351" s="351"/>
      <c r="E351" s="351"/>
      <c r="F351" s="336"/>
      <c r="G351" s="327"/>
      <c r="H351" s="327"/>
      <c r="I351" s="325">
        <f t="shared" si="34"/>
        <v>0</v>
      </c>
      <c r="J351" s="540" t="s">
        <v>281</v>
      </c>
      <c r="K351" s="540"/>
      <c r="L351" s="337">
        <f>IFERROR(IF(F351="Sem projeto",VLOOKUP(C351,$B$32:$H$34,7,FALSE)*1.5,G351*VLOOKUP(J351,Aux_Lista!$AG:$AH,2,FALSE)+H351)*E351,0)</f>
        <v>0</v>
      </c>
      <c r="M351" s="346" t="s">
        <v>90</v>
      </c>
      <c r="N351" s="347" t="s">
        <v>90</v>
      </c>
      <c r="O351" s="348" t="s">
        <v>90</v>
      </c>
      <c r="P351" s="386">
        <f t="shared" si="35"/>
        <v>0</v>
      </c>
      <c r="R351" s="94">
        <v>320</v>
      </c>
      <c r="S351" s="383"/>
      <c r="T351" s="214"/>
      <c r="U351" s="214"/>
      <c r="V351" s="217"/>
      <c r="W351" s="215"/>
      <c r="X351" s="336"/>
      <c r="Y351" s="68" t="str">
        <f>IF(V351="","",VLOOKUP(V351,Aux_Lista!A:K,11,FALSE))</f>
        <v/>
      </c>
      <c r="Z351" s="68" t="str">
        <f>IF(V351="","",VLOOKUP(V351,Aux_Lista!A:L,12,FALSE))</f>
        <v/>
      </c>
      <c r="AA351" s="68" t="str">
        <f>IF(W351="","",VLOOKUP(W351,Aux_Lista!AN:AP,3,FALSE))</f>
        <v/>
      </c>
      <c r="AB351" s="68" t="str">
        <f>IF(W351="","",VLOOKUP(W351,Aux_Lista!AN:AP,2,FALSE))</f>
        <v/>
      </c>
      <c r="AC351" s="69"/>
      <c r="AD351" s="69"/>
      <c r="AE351" s="325">
        <f t="shared" si="29"/>
        <v>0</v>
      </c>
      <c r="AF351" s="540" t="s">
        <v>281</v>
      </c>
      <c r="AG351" s="540"/>
      <c r="AH351" s="337">
        <f>IFERROR(IF(X351="Sem projeto",1.5*AA351,AC351*VLOOKUP(AF351,Aux_Lista!AG:AH,2,FALSE)+AD351)*U351,0)</f>
        <v>0</v>
      </c>
      <c r="AI351" s="343" t="s">
        <v>90</v>
      </c>
      <c r="AJ351" s="343" t="s">
        <v>90</v>
      </c>
      <c r="AK351" s="343" t="s">
        <v>90</v>
      </c>
      <c r="AL351" s="333" t="str">
        <f t="shared" si="30"/>
        <v/>
      </c>
      <c r="AM351" s="334" t="str">
        <f t="shared" si="31"/>
        <v/>
      </c>
      <c r="AN351" s="333" t="str">
        <f t="shared" si="32"/>
        <v/>
      </c>
      <c r="AO351" s="334" t="str">
        <f t="shared" si="33"/>
        <v/>
      </c>
      <c r="AP351" s="44"/>
      <c r="AQ351" s="2"/>
    </row>
    <row r="352" spans="1:43" ht="24.95" customHeight="1" x14ac:dyDescent="0.25">
      <c r="A352" s="2">
        <v>312</v>
      </c>
      <c r="B352" s="349"/>
      <c r="C352" s="350"/>
      <c r="D352" s="351"/>
      <c r="E352" s="351"/>
      <c r="F352" s="336"/>
      <c r="G352" s="327"/>
      <c r="H352" s="327"/>
      <c r="I352" s="325">
        <f t="shared" si="34"/>
        <v>0</v>
      </c>
      <c r="J352" s="540" t="s">
        <v>281</v>
      </c>
      <c r="K352" s="540"/>
      <c r="L352" s="337">
        <f>IFERROR(IF(F352="Sem projeto",VLOOKUP(C352,$B$32:$H$34,7,FALSE)*1.5,G352*VLOOKUP(J352,Aux_Lista!$AG:$AH,2,FALSE)+H352)*E352,0)</f>
        <v>0</v>
      </c>
      <c r="M352" s="346" t="s">
        <v>90</v>
      </c>
      <c r="N352" s="347" t="s">
        <v>90</v>
      </c>
      <c r="O352" s="348" t="s">
        <v>90</v>
      </c>
      <c r="P352" s="386">
        <f t="shared" si="35"/>
        <v>0</v>
      </c>
      <c r="R352" s="94">
        <v>321</v>
      </c>
      <c r="S352" s="383"/>
      <c r="T352" s="214"/>
      <c r="U352" s="214"/>
      <c r="V352" s="217"/>
      <c r="W352" s="215"/>
      <c r="X352" s="336"/>
      <c r="Y352" s="68" t="str">
        <f>IF(V352="","",VLOOKUP(V352,Aux_Lista!A:K,11,FALSE))</f>
        <v/>
      </c>
      <c r="Z352" s="68" t="str">
        <f>IF(V352="","",VLOOKUP(V352,Aux_Lista!A:L,12,FALSE))</f>
        <v/>
      </c>
      <c r="AA352" s="68" t="str">
        <f>IF(W352="","",VLOOKUP(W352,Aux_Lista!AN:AP,3,FALSE))</f>
        <v/>
      </c>
      <c r="AB352" s="68" t="str">
        <f>IF(W352="","",VLOOKUP(W352,Aux_Lista!AN:AP,2,FALSE))</f>
        <v/>
      </c>
      <c r="AC352" s="69"/>
      <c r="AD352" s="69"/>
      <c r="AE352" s="325">
        <f t="shared" si="29"/>
        <v>0</v>
      </c>
      <c r="AF352" s="540" t="s">
        <v>281</v>
      </c>
      <c r="AG352" s="540"/>
      <c r="AH352" s="337">
        <f>IFERROR(IF(X352="Sem projeto",1.5*AA352,AC352*VLOOKUP(AF352,Aux_Lista!AG:AH,2,FALSE)+AD352)*U352,0)</f>
        <v>0</v>
      </c>
      <c r="AI352" s="343" t="s">
        <v>90</v>
      </c>
      <c r="AJ352" s="343" t="s">
        <v>90</v>
      </c>
      <c r="AK352" s="343" t="s">
        <v>90</v>
      </c>
      <c r="AL352" s="333" t="str">
        <f t="shared" si="30"/>
        <v/>
      </c>
      <c r="AM352" s="334" t="str">
        <f t="shared" si="31"/>
        <v/>
      </c>
      <c r="AN352" s="333" t="str">
        <f t="shared" si="32"/>
        <v/>
      </c>
      <c r="AO352" s="334" t="str">
        <f t="shared" si="33"/>
        <v/>
      </c>
      <c r="AP352" s="44"/>
      <c r="AQ352" s="2"/>
    </row>
    <row r="353" spans="1:43" ht="24.95" customHeight="1" x14ac:dyDescent="0.25">
      <c r="A353" s="2">
        <v>313</v>
      </c>
      <c r="B353" s="349"/>
      <c r="C353" s="350"/>
      <c r="D353" s="351"/>
      <c r="E353" s="351"/>
      <c r="F353" s="336"/>
      <c r="G353" s="327"/>
      <c r="H353" s="327"/>
      <c r="I353" s="325">
        <f t="shared" si="34"/>
        <v>0</v>
      </c>
      <c r="J353" s="540" t="s">
        <v>281</v>
      </c>
      <c r="K353" s="540"/>
      <c r="L353" s="337">
        <f>IFERROR(IF(F353="Sem projeto",VLOOKUP(C353,$B$32:$H$34,7,FALSE)*1.5,G353*VLOOKUP(J353,Aux_Lista!$AG:$AH,2,FALSE)+H353)*E353,0)</f>
        <v>0</v>
      </c>
      <c r="M353" s="346" t="s">
        <v>90</v>
      </c>
      <c r="N353" s="347" t="s">
        <v>90</v>
      </c>
      <c r="O353" s="348" t="s">
        <v>90</v>
      </c>
      <c r="P353" s="386">
        <f t="shared" si="35"/>
        <v>0</v>
      </c>
      <c r="R353" s="94">
        <v>322</v>
      </c>
      <c r="S353" s="383"/>
      <c r="T353" s="214"/>
      <c r="U353" s="214"/>
      <c r="V353" s="217"/>
      <c r="W353" s="215"/>
      <c r="X353" s="336"/>
      <c r="Y353" s="68" t="str">
        <f>IF(V353="","",VLOOKUP(V353,Aux_Lista!A:K,11,FALSE))</f>
        <v/>
      </c>
      <c r="Z353" s="68" t="str">
        <f>IF(V353="","",VLOOKUP(V353,Aux_Lista!A:L,12,FALSE))</f>
        <v/>
      </c>
      <c r="AA353" s="68" t="str">
        <f>IF(W353="","",VLOOKUP(W353,Aux_Lista!AN:AP,3,FALSE))</f>
        <v/>
      </c>
      <c r="AB353" s="68" t="str">
        <f>IF(W353="","",VLOOKUP(W353,Aux_Lista!AN:AP,2,FALSE))</f>
        <v/>
      </c>
      <c r="AC353" s="69"/>
      <c r="AD353" s="69"/>
      <c r="AE353" s="325">
        <f t="shared" ref="AE353:AE416" si="36">(AC353+AD353)*U353</f>
        <v>0</v>
      </c>
      <c r="AF353" s="540" t="s">
        <v>281</v>
      </c>
      <c r="AG353" s="540"/>
      <c r="AH353" s="337">
        <f>IFERROR(IF(X353="Sem projeto",1.5*AA353,AC353*VLOOKUP(AF353,Aux_Lista!AG:AH,2,FALSE)+AD353)*U353,0)</f>
        <v>0</v>
      </c>
      <c r="AI353" s="343" t="s">
        <v>90</v>
      </c>
      <c r="AJ353" s="343" t="s">
        <v>90</v>
      </c>
      <c r="AK353" s="343" t="s">
        <v>90</v>
      </c>
      <c r="AL353" s="333" t="str">
        <f t="shared" ref="AL353:AL416" si="37">IF(ISERROR((T353*U353*Y353*Z353*AA353)/1000),"",(T353*U353*Y353*Z353*AA353)/1000)</f>
        <v/>
      </c>
      <c r="AM353" s="334" t="str">
        <f t="shared" ref="AM353:AM416" si="38">IF(ISERROR((Y353*Z353*AH353)/1000),"",(Y353*Z353*AH353)/1000)</f>
        <v/>
      </c>
      <c r="AN353" s="333" t="str">
        <f t="shared" ref="AN353:AN416" si="39">IFERROR(AA353*T353*U353*Y353*Z353/1000,"")</f>
        <v/>
      </c>
      <c r="AO353" s="334" t="str">
        <f t="shared" ref="AO353:AO416" si="40">IFERROR(AB353*T353*U353*Y353*Z353/1000,"")</f>
        <v/>
      </c>
      <c r="AP353" s="44"/>
      <c r="AQ353" s="2"/>
    </row>
    <row r="354" spans="1:43" ht="24.95" customHeight="1" x14ac:dyDescent="0.25">
      <c r="A354" s="2">
        <v>314</v>
      </c>
      <c r="B354" s="349"/>
      <c r="C354" s="350"/>
      <c r="D354" s="351"/>
      <c r="E354" s="351"/>
      <c r="F354" s="336"/>
      <c r="G354" s="327"/>
      <c r="H354" s="327"/>
      <c r="I354" s="325">
        <f t="shared" si="34"/>
        <v>0</v>
      </c>
      <c r="J354" s="540" t="s">
        <v>281</v>
      </c>
      <c r="K354" s="540"/>
      <c r="L354" s="337">
        <f>IFERROR(IF(F354="Sem projeto",VLOOKUP(C354,$B$32:$H$34,7,FALSE)*1.5,G354*VLOOKUP(J354,Aux_Lista!$AG:$AH,2,FALSE)+H354)*E354,0)</f>
        <v>0</v>
      </c>
      <c r="M354" s="346" t="s">
        <v>90</v>
      </c>
      <c r="N354" s="347" t="s">
        <v>90</v>
      </c>
      <c r="O354" s="348" t="s">
        <v>90</v>
      </c>
      <c r="P354" s="386">
        <f t="shared" si="35"/>
        <v>0</v>
      </c>
      <c r="R354" s="94">
        <v>323</v>
      </c>
      <c r="S354" s="383"/>
      <c r="T354" s="214"/>
      <c r="U354" s="214"/>
      <c r="V354" s="217"/>
      <c r="W354" s="215"/>
      <c r="X354" s="336"/>
      <c r="Y354" s="68" t="str">
        <f>IF(V354="","",VLOOKUP(V354,Aux_Lista!A:K,11,FALSE))</f>
        <v/>
      </c>
      <c r="Z354" s="68" t="str">
        <f>IF(V354="","",VLOOKUP(V354,Aux_Lista!A:L,12,FALSE))</f>
        <v/>
      </c>
      <c r="AA354" s="68" t="str">
        <f>IF(W354="","",VLOOKUP(W354,Aux_Lista!AN:AP,3,FALSE))</f>
        <v/>
      </c>
      <c r="AB354" s="68" t="str">
        <f>IF(W354="","",VLOOKUP(W354,Aux_Lista!AN:AP,2,FALSE))</f>
        <v/>
      </c>
      <c r="AC354" s="69"/>
      <c r="AD354" s="69"/>
      <c r="AE354" s="325">
        <f t="shared" si="36"/>
        <v>0</v>
      </c>
      <c r="AF354" s="540" t="s">
        <v>281</v>
      </c>
      <c r="AG354" s="540"/>
      <c r="AH354" s="337">
        <f>IFERROR(IF(X354="Sem projeto",1.5*AA354,AC354*VLOOKUP(AF354,Aux_Lista!AG:AH,2,FALSE)+AD354)*U354,0)</f>
        <v>0</v>
      </c>
      <c r="AI354" s="343" t="s">
        <v>90</v>
      </c>
      <c r="AJ354" s="343" t="s">
        <v>90</v>
      </c>
      <c r="AK354" s="343" t="s">
        <v>90</v>
      </c>
      <c r="AL354" s="333" t="str">
        <f t="shared" si="37"/>
        <v/>
      </c>
      <c r="AM354" s="334" t="str">
        <f t="shared" si="38"/>
        <v/>
      </c>
      <c r="AN354" s="333" t="str">
        <f t="shared" si="39"/>
        <v/>
      </c>
      <c r="AO354" s="334" t="str">
        <f t="shared" si="40"/>
        <v/>
      </c>
      <c r="AP354" s="44"/>
      <c r="AQ354" s="2"/>
    </row>
    <row r="355" spans="1:43" ht="24.95" customHeight="1" x14ac:dyDescent="0.25">
      <c r="A355" s="2">
        <v>315</v>
      </c>
      <c r="B355" s="349"/>
      <c r="C355" s="350"/>
      <c r="D355" s="351"/>
      <c r="E355" s="351"/>
      <c r="F355" s="336"/>
      <c r="G355" s="327"/>
      <c r="H355" s="327"/>
      <c r="I355" s="325">
        <f t="shared" si="34"/>
        <v>0</v>
      </c>
      <c r="J355" s="540" t="s">
        <v>281</v>
      </c>
      <c r="K355" s="540"/>
      <c r="L355" s="337">
        <f>IFERROR(IF(F355="Sem projeto",VLOOKUP(C355,$B$32:$H$34,7,FALSE)*1.5,G355*VLOOKUP(J355,Aux_Lista!$AG:$AH,2,FALSE)+H355)*E355,0)</f>
        <v>0</v>
      </c>
      <c r="M355" s="346" t="s">
        <v>90</v>
      </c>
      <c r="N355" s="347" t="s">
        <v>90</v>
      </c>
      <c r="O355" s="348" t="s">
        <v>90</v>
      </c>
      <c r="P355" s="386">
        <f t="shared" si="35"/>
        <v>0</v>
      </c>
      <c r="R355" s="94">
        <v>324</v>
      </c>
      <c r="S355" s="383"/>
      <c r="T355" s="214"/>
      <c r="U355" s="214"/>
      <c r="V355" s="217"/>
      <c r="W355" s="215"/>
      <c r="X355" s="336"/>
      <c r="Y355" s="68" t="str">
        <f>IF(V355="","",VLOOKUP(V355,Aux_Lista!A:K,11,FALSE))</f>
        <v/>
      </c>
      <c r="Z355" s="68" t="str">
        <f>IF(V355="","",VLOOKUP(V355,Aux_Lista!A:L,12,FALSE))</f>
        <v/>
      </c>
      <c r="AA355" s="68" t="str">
        <f>IF(W355="","",VLOOKUP(W355,Aux_Lista!AN:AP,3,FALSE))</f>
        <v/>
      </c>
      <c r="AB355" s="68" t="str">
        <f>IF(W355="","",VLOOKUP(W355,Aux_Lista!AN:AP,2,FALSE))</f>
        <v/>
      </c>
      <c r="AC355" s="69"/>
      <c r="AD355" s="69"/>
      <c r="AE355" s="325">
        <f t="shared" si="36"/>
        <v>0</v>
      </c>
      <c r="AF355" s="540" t="s">
        <v>281</v>
      </c>
      <c r="AG355" s="540"/>
      <c r="AH355" s="337">
        <f>IFERROR(IF(X355="Sem projeto",1.5*AA355,AC355*VLOOKUP(AF355,Aux_Lista!AG:AH,2,FALSE)+AD355)*U355,0)</f>
        <v>0</v>
      </c>
      <c r="AI355" s="343" t="s">
        <v>90</v>
      </c>
      <c r="AJ355" s="343" t="s">
        <v>90</v>
      </c>
      <c r="AK355" s="343" t="s">
        <v>90</v>
      </c>
      <c r="AL355" s="333" t="str">
        <f t="shared" si="37"/>
        <v/>
      </c>
      <c r="AM355" s="334" t="str">
        <f t="shared" si="38"/>
        <v/>
      </c>
      <c r="AN355" s="333" t="str">
        <f t="shared" si="39"/>
        <v/>
      </c>
      <c r="AO355" s="334" t="str">
        <f t="shared" si="40"/>
        <v/>
      </c>
      <c r="AP355" s="44"/>
      <c r="AQ355" s="2"/>
    </row>
    <row r="356" spans="1:43" ht="24.95" customHeight="1" x14ac:dyDescent="0.25">
      <c r="A356" s="2">
        <v>316</v>
      </c>
      <c r="B356" s="349"/>
      <c r="C356" s="350"/>
      <c r="D356" s="351"/>
      <c r="E356" s="351"/>
      <c r="F356" s="336"/>
      <c r="G356" s="327"/>
      <c r="H356" s="327"/>
      <c r="I356" s="325">
        <f t="shared" si="34"/>
        <v>0</v>
      </c>
      <c r="J356" s="540" t="s">
        <v>281</v>
      </c>
      <c r="K356" s="540"/>
      <c r="L356" s="337">
        <f>IFERROR(IF(F356="Sem projeto",VLOOKUP(C356,$B$32:$H$34,7,FALSE)*1.5,G356*VLOOKUP(J356,Aux_Lista!$AG:$AH,2,FALSE)+H356)*E356,0)</f>
        <v>0</v>
      </c>
      <c r="M356" s="346" t="s">
        <v>90</v>
      </c>
      <c r="N356" s="347" t="s">
        <v>90</v>
      </c>
      <c r="O356" s="348" t="s">
        <v>90</v>
      </c>
      <c r="P356" s="386">
        <f t="shared" si="35"/>
        <v>0</v>
      </c>
      <c r="R356" s="94">
        <v>325</v>
      </c>
      <c r="S356" s="383"/>
      <c r="T356" s="214"/>
      <c r="U356" s="214"/>
      <c r="V356" s="217"/>
      <c r="W356" s="215"/>
      <c r="X356" s="336"/>
      <c r="Y356" s="68" t="str">
        <f>IF(V356="","",VLOOKUP(V356,Aux_Lista!A:K,11,FALSE))</f>
        <v/>
      </c>
      <c r="Z356" s="68" t="str">
        <f>IF(V356="","",VLOOKUP(V356,Aux_Lista!A:L,12,FALSE))</f>
        <v/>
      </c>
      <c r="AA356" s="68" t="str">
        <f>IF(W356="","",VLOOKUP(W356,Aux_Lista!AN:AP,3,FALSE))</f>
        <v/>
      </c>
      <c r="AB356" s="68" t="str">
        <f>IF(W356="","",VLOOKUP(W356,Aux_Lista!AN:AP,2,FALSE))</f>
        <v/>
      </c>
      <c r="AC356" s="69"/>
      <c r="AD356" s="69"/>
      <c r="AE356" s="325">
        <f t="shared" si="36"/>
        <v>0</v>
      </c>
      <c r="AF356" s="540" t="s">
        <v>281</v>
      </c>
      <c r="AG356" s="540"/>
      <c r="AH356" s="337">
        <f>IFERROR(IF(X356="Sem projeto",1.5*AA356,AC356*VLOOKUP(AF356,Aux_Lista!AG:AH,2,FALSE)+AD356)*U356,0)</f>
        <v>0</v>
      </c>
      <c r="AI356" s="343" t="s">
        <v>90</v>
      </c>
      <c r="AJ356" s="343" t="s">
        <v>90</v>
      </c>
      <c r="AK356" s="343" t="s">
        <v>90</v>
      </c>
      <c r="AL356" s="333" t="str">
        <f t="shared" si="37"/>
        <v/>
      </c>
      <c r="AM356" s="334" t="str">
        <f t="shared" si="38"/>
        <v/>
      </c>
      <c r="AN356" s="333" t="str">
        <f t="shared" si="39"/>
        <v/>
      </c>
      <c r="AO356" s="334" t="str">
        <f t="shared" si="40"/>
        <v/>
      </c>
      <c r="AP356" s="44"/>
      <c r="AQ356" s="2"/>
    </row>
    <row r="357" spans="1:43" ht="24.95" customHeight="1" x14ac:dyDescent="0.25">
      <c r="A357" s="2">
        <v>317</v>
      </c>
      <c r="B357" s="349"/>
      <c r="C357" s="350"/>
      <c r="D357" s="351"/>
      <c r="E357" s="351"/>
      <c r="F357" s="336"/>
      <c r="G357" s="327"/>
      <c r="H357" s="327"/>
      <c r="I357" s="325">
        <f t="shared" si="34"/>
        <v>0</v>
      </c>
      <c r="J357" s="540" t="s">
        <v>281</v>
      </c>
      <c r="K357" s="540"/>
      <c r="L357" s="337">
        <f>IFERROR(IF(F357="Sem projeto",VLOOKUP(C357,$B$32:$H$34,7,FALSE)*1.5,G357*VLOOKUP(J357,Aux_Lista!$AG:$AH,2,FALSE)+H357)*E357,0)</f>
        <v>0</v>
      </c>
      <c r="M357" s="346" t="s">
        <v>90</v>
      </c>
      <c r="N357" s="347" t="s">
        <v>90</v>
      </c>
      <c r="O357" s="348" t="s">
        <v>90</v>
      </c>
      <c r="P357" s="386">
        <f t="shared" si="35"/>
        <v>0</v>
      </c>
      <c r="R357" s="94">
        <v>326</v>
      </c>
      <c r="S357" s="383"/>
      <c r="T357" s="214"/>
      <c r="U357" s="214"/>
      <c r="V357" s="217"/>
      <c r="W357" s="215"/>
      <c r="X357" s="336"/>
      <c r="Y357" s="68" t="str">
        <f>IF(V357="","",VLOOKUP(V357,Aux_Lista!A:K,11,FALSE))</f>
        <v/>
      </c>
      <c r="Z357" s="68" t="str">
        <f>IF(V357="","",VLOOKUP(V357,Aux_Lista!A:L,12,FALSE))</f>
        <v/>
      </c>
      <c r="AA357" s="68" t="str">
        <f>IF(W357="","",VLOOKUP(W357,Aux_Lista!AN:AP,3,FALSE))</f>
        <v/>
      </c>
      <c r="AB357" s="68" t="str">
        <f>IF(W357="","",VLOOKUP(W357,Aux_Lista!AN:AP,2,FALSE))</f>
        <v/>
      </c>
      <c r="AC357" s="69"/>
      <c r="AD357" s="69"/>
      <c r="AE357" s="325">
        <f t="shared" si="36"/>
        <v>0</v>
      </c>
      <c r="AF357" s="540" t="s">
        <v>281</v>
      </c>
      <c r="AG357" s="540"/>
      <c r="AH357" s="337">
        <f>IFERROR(IF(X357="Sem projeto",1.5*AA357,AC357*VLOOKUP(AF357,Aux_Lista!AG:AH,2,FALSE)+AD357)*U357,0)</f>
        <v>0</v>
      </c>
      <c r="AI357" s="343" t="s">
        <v>90</v>
      </c>
      <c r="AJ357" s="343" t="s">
        <v>90</v>
      </c>
      <c r="AK357" s="343" t="s">
        <v>90</v>
      </c>
      <c r="AL357" s="333" t="str">
        <f t="shared" si="37"/>
        <v/>
      </c>
      <c r="AM357" s="334" t="str">
        <f t="shared" si="38"/>
        <v/>
      </c>
      <c r="AN357" s="333" t="str">
        <f t="shared" si="39"/>
        <v/>
      </c>
      <c r="AO357" s="334" t="str">
        <f t="shared" si="40"/>
        <v/>
      </c>
      <c r="AP357" s="44"/>
      <c r="AQ357" s="2"/>
    </row>
    <row r="358" spans="1:43" ht="24.95" customHeight="1" x14ac:dyDescent="0.25">
      <c r="A358" s="2">
        <v>318</v>
      </c>
      <c r="B358" s="349"/>
      <c r="C358" s="350"/>
      <c r="D358" s="351"/>
      <c r="E358" s="351"/>
      <c r="F358" s="336"/>
      <c r="G358" s="327"/>
      <c r="H358" s="327"/>
      <c r="I358" s="325">
        <f t="shared" si="34"/>
        <v>0</v>
      </c>
      <c r="J358" s="540" t="s">
        <v>281</v>
      </c>
      <c r="K358" s="540"/>
      <c r="L358" s="337">
        <f>IFERROR(IF(F358="Sem projeto",VLOOKUP(C358,$B$32:$H$34,7,FALSE)*1.5,G358*VLOOKUP(J358,Aux_Lista!$AG:$AH,2,FALSE)+H358)*E358,0)</f>
        <v>0</v>
      </c>
      <c r="M358" s="346" t="s">
        <v>90</v>
      </c>
      <c r="N358" s="347" t="s">
        <v>90</v>
      </c>
      <c r="O358" s="348" t="s">
        <v>90</v>
      </c>
      <c r="P358" s="386">
        <f t="shared" si="35"/>
        <v>0</v>
      </c>
      <c r="R358" s="94">
        <v>327</v>
      </c>
      <c r="S358" s="383"/>
      <c r="T358" s="214"/>
      <c r="U358" s="214"/>
      <c r="V358" s="217"/>
      <c r="W358" s="215"/>
      <c r="X358" s="336"/>
      <c r="Y358" s="68" t="str">
        <f>IF(V358="","",VLOOKUP(V358,Aux_Lista!A:K,11,FALSE))</f>
        <v/>
      </c>
      <c r="Z358" s="68" t="str">
        <f>IF(V358="","",VLOOKUP(V358,Aux_Lista!A:L,12,FALSE))</f>
        <v/>
      </c>
      <c r="AA358" s="68" t="str">
        <f>IF(W358="","",VLOOKUP(W358,Aux_Lista!AN:AP,3,FALSE))</f>
        <v/>
      </c>
      <c r="AB358" s="68" t="str">
        <f>IF(W358="","",VLOOKUP(W358,Aux_Lista!AN:AP,2,FALSE))</f>
        <v/>
      </c>
      <c r="AC358" s="69"/>
      <c r="AD358" s="69"/>
      <c r="AE358" s="325">
        <f t="shared" si="36"/>
        <v>0</v>
      </c>
      <c r="AF358" s="540" t="s">
        <v>281</v>
      </c>
      <c r="AG358" s="540"/>
      <c r="AH358" s="337">
        <f>IFERROR(IF(X358="Sem projeto",1.5*AA358,AC358*VLOOKUP(AF358,Aux_Lista!AG:AH,2,FALSE)+AD358)*U358,0)</f>
        <v>0</v>
      </c>
      <c r="AI358" s="343" t="s">
        <v>90</v>
      </c>
      <c r="AJ358" s="343" t="s">
        <v>90</v>
      </c>
      <c r="AK358" s="343" t="s">
        <v>90</v>
      </c>
      <c r="AL358" s="333" t="str">
        <f t="shared" si="37"/>
        <v/>
      </c>
      <c r="AM358" s="334" t="str">
        <f t="shared" si="38"/>
        <v/>
      </c>
      <c r="AN358" s="333" t="str">
        <f t="shared" si="39"/>
        <v/>
      </c>
      <c r="AO358" s="334" t="str">
        <f t="shared" si="40"/>
        <v/>
      </c>
      <c r="AP358" s="44"/>
      <c r="AQ358" s="2"/>
    </row>
    <row r="359" spans="1:43" ht="24.95" customHeight="1" x14ac:dyDescent="0.25">
      <c r="A359" s="2">
        <v>319</v>
      </c>
      <c r="B359" s="349"/>
      <c r="C359" s="350"/>
      <c r="D359" s="351"/>
      <c r="E359" s="351"/>
      <c r="F359" s="336"/>
      <c r="G359" s="327"/>
      <c r="H359" s="327"/>
      <c r="I359" s="325">
        <f t="shared" si="34"/>
        <v>0</v>
      </c>
      <c r="J359" s="540" t="s">
        <v>281</v>
      </c>
      <c r="K359" s="540"/>
      <c r="L359" s="337">
        <f>IFERROR(IF(F359="Sem projeto",VLOOKUP(C359,$B$32:$H$34,7,FALSE)*1.5,G359*VLOOKUP(J359,Aux_Lista!$AG:$AH,2,FALSE)+H359)*E359,0)</f>
        <v>0</v>
      </c>
      <c r="M359" s="346" t="s">
        <v>90</v>
      </c>
      <c r="N359" s="347" t="s">
        <v>90</v>
      </c>
      <c r="O359" s="348" t="s">
        <v>90</v>
      </c>
      <c r="P359" s="386">
        <f t="shared" si="35"/>
        <v>0</v>
      </c>
      <c r="R359" s="94">
        <v>328</v>
      </c>
      <c r="S359" s="383"/>
      <c r="T359" s="214"/>
      <c r="U359" s="214"/>
      <c r="V359" s="217"/>
      <c r="W359" s="215"/>
      <c r="X359" s="336"/>
      <c r="Y359" s="68" t="str">
        <f>IF(V359="","",VLOOKUP(V359,Aux_Lista!A:K,11,FALSE))</f>
        <v/>
      </c>
      <c r="Z359" s="68" t="str">
        <f>IF(V359="","",VLOOKUP(V359,Aux_Lista!A:L,12,FALSE))</f>
        <v/>
      </c>
      <c r="AA359" s="68" t="str">
        <f>IF(W359="","",VLOOKUP(W359,Aux_Lista!AN:AP,3,FALSE))</f>
        <v/>
      </c>
      <c r="AB359" s="68" t="str">
        <f>IF(W359="","",VLOOKUP(W359,Aux_Lista!AN:AP,2,FALSE))</f>
        <v/>
      </c>
      <c r="AC359" s="69"/>
      <c r="AD359" s="69"/>
      <c r="AE359" s="325">
        <f t="shared" si="36"/>
        <v>0</v>
      </c>
      <c r="AF359" s="540" t="s">
        <v>281</v>
      </c>
      <c r="AG359" s="540"/>
      <c r="AH359" s="337">
        <f>IFERROR(IF(X359="Sem projeto",1.5*AA359,AC359*VLOOKUP(AF359,Aux_Lista!AG:AH,2,FALSE)+AD359)*U359,0)</f>
        <v>0</v>
      </c>
      <c r="AI359" s="343" t="s">
        <v>90</v>
      </c>
      <c r="AJ359" s="343" t="s">
        <v>90</v>
      </c>
      <c r="AK359" s="343" t="s">
        <v>90</v>
      </c>
      <c r="AL359" s="333" t="str">
        <f t="shared" si="37"/>
        <v/>
      </c>
      <c r="AM359" s="334" t="str">
        <f t="shared" si="38"/>
        <v/>
      </c>
      <c r="AN359" s="333" t="str">
        <f t="shared" si="39"/>
        <v/>
      </c>
      <c r="AO359" s="334" t="str">
        <f t="shared" si="40"/>
        <v/>
      </c>
      <c r="AP359" s="44"/>
      <c r="AQ359" s="2"/>
    </row>
    <row r="360" spans="1:43" ht="24.95" customHeight="1" x14ac:dyDescent="0.25">
      <c r="A360" s="2">
        <v>320</v>
      </c>
      <c r="B360" s="349"/>
      <c r="C360" s="350"/>
      <c r="D360" s="351"/>
      <c r="E360" s="351"/>
      <c r="F360" s="336"/>
      <c r="G360" s="327"/>
      <c r="H360" s="327"/>
      <c r="I360" s="325">
        <f t="shared" si="34"/>
        <v>0</v>
      </c>
      <c r="J360" s="540" t="s">
        <v>281</v>
      </c>
      <c r="K360" s="540"/>
      <c r="L360" s="337">
        <f>IFERROR(IF(F360="Sem projeto",VLOOKUP(C360,$B$32:$H$34,7,FALSE)*1.5,G360*VLOOKUP(J360,Aux_Lista!$AG:$AH,2,FALSE)+H360)*E360,0)</f>
        <v>0</v>
      </c>
      <c r="M360" s="346" t="s">
        <v>90</v>
      </c>
      <c r="N360" s="347" t="s">
        <v>90</v>
      </c>
      <c r="O360" s="348" t="s">
        <v>90</v>
      </c>
      <c r="P360" s="386">
        <f t="shared" si="35"/>
        <v>0</v>
      </c>
      <c r="R360" s="94">
        <v>329</v>
      </c>
      <c r="S360" s="383"/>
      <c r="T360" s="214"/>
      <c r="U360" s="214"/>
      <c r="V360" s="217"/>
      <c r="W360" s="215"/>
      <c r="X360" s="336"/>
      <c r="Y360" s="68" t="str">
        <f>IF(V360="","",VLOOKUP(V360,Aux_Lista!A:K,11,FALSE))</f>
        <v/>
      </c>
      <c r="Z360" s="68" t="str">
        <f>IF(V360="","",VLOOKUP(V360,Aux_Lista!A:L,12,FALSE))</f>
        <v/>
      </c>
      <c r="AA360" s="68" t="str">
        <f>IF(W360="","",VLOOKUP(W360,Aux_Lista!AN:AP,3,FALSE))</f>
        <v/>
      </c>
      <c r="AB360" s="68" t="str">
        <f>IF(W360="","",VLOOKUP(W360,Aux_Lista!AN:AP,2,FALSE))</f>
        <v/>
      </c>
      <c r="AC360" s="69"/>
      <c r="AD360" s="69"/>
      <c r="AE360" s="325">
        <f t="shared" si="36"/>
        <v>0</v>
      </c>
      <c r="AF360" s="540" t="s">
        <v>281</v>
      </c>
      <c r="AG360" s="540"/>
      <c r="AH360" s="337">
        <f>IFERROR(IF(X360="Sem projeto",1.5*AA360,AC360*VLOOKUP(AF360,Aux_Lista!AG:AH,2,FALSE)+AD360)*U360,0)</f>
        <v>0</v>
      </c>
      <c r="AI360" s="343" t="s">
        <v>90</v>
      </c>
      <c r="AJ360" s="343" t="s">
        <v>90</v>
      </c>
      <c r="AK360" s="343" t="s">
        <v>90</v>
      </c>
      <c r="AL360" s="333" t="str">
        <f t="shared" si="37"/>
        <v/>
      </c>
      <c r="AM360" s="334" t="str">
        <f t="shared" si="38"/>
        <v/>
      </c>
      <c r="AN360" s="333" t="str">
        <f t="shared" si="39"/>
        <v/>
      </c>
      <c r="AO360" s="334" t="str">
        <f t="shared" si="40"/>
        <v/>
      </c>
      <c r="AP360" s="44"/>
      <c r="AQ360" s="2"/>
    </row>
    <row r="361" spans="1:43" ht="24.95" customHeight="1" x14ac:dyDescent="0.25">
      <c r="A361" s="2">
        <v>321</v>
      </c>
      <c r="B361" s="349"/>
      <c r="C361" s="350"/>
      <c r="D361" s="351"/>
      <c r="E361" s="351"/>
      <c r="F361" s="336"/>
      <c r="G361" s="327"/>
      <c r="H361" s="327"/>
      <c r="I361" s="325">
        <f t="shared" ref="I361:I424" si="41">IFERROR((G361+H361+IF(F361="Sem projeto",VLOOKUP(C361,$B$32:$H$34,7,FALSE),0)*1.5)*E361,"")</f>
        <v>0</v>
      </c>
      <c r="J361" s="540" t="s">
        <v>281</v>
      </c>
      <c r="K361" s="540"/>
      <c r="L361" s="337">
        <f>IFERROR(IF(F361="Sem projeto",VLOOKUP(C361,$B$32:$H$34,7,FALSE)*1.5,G361*VLOOKUP(J361,Aux_Lista!$AG:$AH,2,FALSE)+H361)*E361,0)</f>
        <v>0</v>
      </c>
      <c r="M361" s="346" t="s">
        <v>90</v>
      </c>
      <c r="N361" s="347" t="s">
        <v>90</v>
      </c>
      <c r="O361" s="348" t="s">
        <v>90</v>
      </c>
      <c r="P361" s="386">
        <f t="shared" si="35"/>
        <v>0</v>
      </c>
      <c r="R361" s="94">
        <v>330</v>
      </c>
      <c r="S361" s="383"/>
      <c r="T361" s="214"/>
      <c r="U361" s="214"/>
      <c r="V361" s="217"/>
      <c r="W361" s="215"/>
      <c r="X361" s="336"/>
      <c r="Y361" s="68" t="str">
        <f>IF(V361="","",VLOOKUP(V361,Aux_Lista!A:K,11,FALSE))</f>
        <v/>
      </c>
      <c r="Z361" s="68" t="str">
        <f>IF(V361="","",VLOOKUP(V361,Aux_Lista!A:L,12,FALSE))</f>
        <v/>
      </c>
      <c r="AA361" s="68" t="str">
        <f>IF(W361="","",VLOOKUP(W361,Aux_Lista!AN:AP,3,FALSE))</f>
        <v/>
      </c>
      <c r="AB361" s="68" t="str">
        <f>IF(W361="","",VLOOKUP(W361,Aux_Lista!AN:AP,2,FALSE))</f>
        <v/>
      </c>
      <c r="AC361" s="69"/>
      <c r="AD361" s="69"/>
      <c r="AE361" s="325">
        <f t="shared" si="36"/>
        <v>0</v>
      </c>
      <c r="AF361" s="540" t="s">
        <v>281</v>
      </c>
      <c r="AG361" s="540"/>
      <c r="AH361" s="337">
        <f>IFERROR(IF(X361="Sem projeto",1.5*AA361,AC361*VLOOKUP(AF361,Aux_Lista!AG:AH,2,FALSE)+AD361)*U361,0)</f>
        <v>0</v>
      </c>
      <c r="AI361" s="343" t="s">
        <v>90</v>
      </c>
      <c r="AJ361" s="343" t="s">
        <v>90</v>
      </c>
      <c r="AK361" s="343" t="s">
        <v>90</v>
      </c>
      <c r="AL361" s="333" t="str">
        <f t="shared" si="37"/>
        <v/>
      </c>
      <c r="AM361" s="334" t="str">
        <f t="shared" si="38"/>
        <v/>
      </c>
      <c r="AN361" s="333" t="str">
        <f t="shared" si="39"/>
        <v/>
      </c>
      <c r="AO361" s="334" t="str">
        <f t="shared" si="40"/>
        <v/>
      </c>
      <c r="AP361" s="44"/>
      <c r="AQ361" s="2"/>
    </row>
    <row r="362" spans="1:43" ht="24.95" customHeight="1" x14ac:dyDescent="0.25">
      <c r="A362" s="2">
        <v>322</v>
      </c>
      <c r="B362" s="349"/>
      <c r="C362" s="350"/>
      <c r="D362" s="351"/>
      <c r="E362" s="351"/>
      <c r="F362" s="336"/>
      <c r="G362" s="327"/>
      <c r="H362" s="327"/>
      <c r="I362" s="325">
        <f t="shared" si="41"/>
        <v>0</v>
      </c>
      <c r="J362" s="540" t="s">
        <v>281</v>
      </c>
      <c r="K362" s="540"/>
      <c r="L362" s="337">
        <f>IFERROR(IF(F362="Sem projeto",VLOOKUP(C362,$B$32:$H$34,7,FALSE)*1.5,G362*VLOOKUP(J362,Aux_Lista!$AG:$AH,2,FALSE)+H362)*E362,0)</f>
        <v>0</v>
      </c>
      <c r="M362" s="346" t="s">
        <v>90</v>
      </c>
      <c r="N362" s="347" t="s">
        <v>90</v>
      </c>
      <c r="O362" s="348" t="s">
        <v>90</v>
      </c>
      <c r="P362" s="386">
        <f t="shared" ref="P362:P425" si="42">D362*E362</f>
        <v>0</v>
      </c>
      <c r="R362" s="94">
        <v>331</v>
      </c>
      <c r="S362" s="383"/>
      <c r="T362" s="214"/>
      <c r="U362" s="214"/>
      <c r="V362" s="217"/>
      <c r="W362" s="215"/>
      <c r="X362" s="336"/>
      <c r="Y362" s="68" t="str">
        <f>IF(V362="","",VLOOKUP(V362,Aux_Lista!A:K,11,FALSE))</f>
        <v/>
      </c>
      <c r="Z362" s="68" t="str">
        <f>IF(V362="","",VLOOKUP(V362,Aux_Lista!A:L,12,FALSE))</f>
        <v/>
      </c>
      <c r="AA362" s="68" t="str">
        <f>IF(W362="","",VLOOKUP(W362,Aux_Lista!AN:AP,3,FALSE))</f>
        <v/>
      </c>
      <c r="AB362" s="68" t="str">
        <f>IF(W362="","",VLOOKUP(W362,Aux_Lista!AN:AP,2,FALSE))</f>
        <v/>
      </c>
      <c r="AC362" s="69"/>
      <c r="AD362" s="69"/>
      <c r="AE362" s="325">
        <f t="shared" si="36"/>
        <v>0</v>
      </c>
      <c r="AF362" s="540" t="s">
        <v>281</v>
      </c>
      <c r="AG362" s="540"/>
      <c r="AH362" s="337">
        <f>IFERROR(IF(X362="Sem projeto",1.5*AA362,AC362*VLOOKUP(AF362,Aux_Lista!AG:AH,2,FALSE)+AD362)*U362,0)</f>
        <v>0</v>
      </c>
      <c r="AI362" s="343" t="s">
        <v>90</v>
      </c>
      <c r="AJ362" s="343" t="s">
        <v>90</v>
      </c>
      <c r="AK362" s="343" t="s">
        <v>90</v>
      </c>
      <c r="AL362" s="333" t="str">
        <f t="shared" si="37"/>
        <v/>
      </c>
      <c r="AM362" s="334" t="str">
        <f t="shared" si="38"/>
        <v/>
      </c>
      <c r="AN362" s="333" t="str">
        <f t="shared" si="39"/>
        <v/>
      </c>
      <c r="AO362" s="334" t="str">
        <f t="shared" si="40"/>
        <v/>
      </c>
      <c r="AP362" s="44"/>
      <c r="AQ362" s="2"/>
    </row>
    <row r="363" spans="1:43" ht="24.95" customHeight="1" x14ac:dyDescent="0.25">
      <c r="A363" s="2">
        <v>323</v>
      </c>
      <c r="B363" s="349"/>
      <c r="C363" s="350"/>
      <c r="D363" s="351"/>
      <c r="E363" s="351"/>
      <c r="F363" s="336"/>
      <c r="G363" s="327"/>
      <c r="H363" s="327"/>
      <c r="I363" s="325">
        <f t="shared" si="41"/>
        <v>0</v>
      </c>
      <c r="J363" s="540" t="s">
        <v>281</v>
      </c>
      <c r="K363" s="540"/>
      <c r="L363" s="337">
        <f>IFERROR(IF(F363="Sem projeto",VLOOKUP(C363,$B$32:$H$34,7,FALSE)*1.5,G363*VLOOKUP(J363,Aux_Lista!$AG:$AH,2,FALSE)+H363)*E363,0)</f>
        <v>0</v>
      </c>
      <c r="M363" s="346" t="s">
        <v>90</v>
      </c>
      <c r="N363" s="347" t="s">
        <v>90</v>
      </c>
      <c r="O363" s="348" t="s">
        <v>90</v>
      </c>
      <c r="P363" s="386">
        <f t="shared" si="42"/>
        <v>0</v>
      </c>
      <c r="R363" s="94">
        <v>332</v>
      </c>
      <c r="S363" s="383"/>
      <c r="T363" s="214"/>
      <c r="U363" s="214"/>
      <c r="V363" s="217"/>
      <c r="W363" s="215"/>
      <c r="X363" s="336"/>
      <c r="Y363" s="68" t="str">
        <f>IF(V363="","",VLOOKUP(V363,Aux_Lista!A:K,11,FALSE))</f>
        <v/>
      </c>
      <c r="Z363" s="68" t="str">
        <f>IF(V363="","",VLOOKUP(V363,Aux_Lista!A:L,12,FALSE))</f>
        <v/>
      </c>
      <c r="AA363" s="68" t="str">
        <f>IF(W363="","",VLOOKUP(W363,Aux_Lista!AN:AP,3,FALSE))</f>
        <v/>
      </c>
      <c r="AB363" s="68" t="str">
        <f>IF(W363="","",VLOOKUP(W363,Aux_Lista!AN:AP,2,FALSE))</f>
        <v/>
      </c>
      <c r="AC363" s="69"/>
      <c r="AD363" s="69"/>
      <c r="AE363" s="325">
        <f t="shared" si="36"/>
        <v>0</v>
      </c>
      <c r="AF363" s="540" t="s">
        <v>281</v>
      </c>
      <c r="AG363" s="540"/>
      <c r="AH363" s="337">
        <f>IFERROR(IF(X363="Sem projeto",1.5*AA363,AC363*VLOOKUP(AF363,Aux_Lista!AG:AH,2,FALSE)+AD363)*U363,0)</f>
        <v>0</v>
      </c>
      <c r="AI363" s="343" t="s">
        <v>90</v>
      </c>
      <c r="AJ363" s="343" t="s">
        <v>90</v>
      </c>
      <c r="AK363" s="343" t="s">
        <v>90</v>
      </c>
      <c r="AL363" s="333" t="str">
        <f t="shared" si="37"/>
        <v/>
      </c>
      <c r="AM363" s="334" t="str">
        <f t="shared" si="38"/>
        <v/>
      </c>
      <c r="AN363" s="333" t="str">
        <f t="shared" si="39"/>
        <v/>
      </c>
      <c r="AO363" s="334" t="str">
        <f t="shared" si="40"/>
        <v/>
      </c>
      <c r="AP363" s="44"/>
      <c r="AQ363" s="2"/>
    </row>
    <row r="364" spans="1:43" ht="24.95" customHeight="1" x14ac:dyDescent="0.25">
      <c r="A364" s="2">
        <v>324</v>
      </c>
      <c r="B364" s="349"/>
      <c r="C364" s="350"/>
      <c r="D364" s="351"/>
      <c r="E364" s="351"/>
      <c r="F364" s="336"/>
      <c r="G364" s="327"/>
      <c r="H364" s="327"/>
      <c r="I364" s="325">
        <f t="shared" si="41"/>
        <v>0</v>
      </c>
      <c r="J364" s="540" t="s">
        <v>281</v>
      </c>
      <c r="K364" s="540"/>
      <c r="L364" s="337">
        <f>IFERROR(IF(F364="Sem projeto",VLOOKUP(C364,$B$32:$H$34,7,FALSE)*1.5,G364*VLOOKUP(J364,Aux_Lista!$AG:$AH,2,FALSE)+H364)*E364,0)</f>
        <v>0</v>
      </c>
      <c r="M364" s="346" t="s">
        <v>90</v>
      </c>
      <c r="N364" s="347" t="s">
        <v>90</v>
      </c>
      <c r="O364" s="348" t="s">
        <v>90</v>
      </c>
      <c r="P364" s="386">
        <f t="shared" si="42"/>
        <v>0</v>
      </c>
      <c r="R364" s="94">
        <v>333</v>
      </c>
      <c r="S364" s="383"/>
      <c r="T364" s="214"/>
      <c r="U364" s="214"/>
      <c r="V364" s="217"/>
      <c r="W364" s="215"/>
      <c r="X364" s="336"/>
      <c r="Y364" s="68" t="str">
        <f>IF(V364="","",VLOOKUP(V364,Aux_Lista!A:K,11,FALSE))</f>
        <v/>
      </c>
      <c r="Z364" s="68" t="str">
        <f>IF(V364="","",VLOOKUP(V364,Aux_Lista!A:L,12,FALSE))</f>
        <v/>
      </c>
      <c r="AA364" s="68" t="str">
        <f>IF(W364="","",VLOOKUP(W364,Aux_Lista!AN:AP,3,FALSE))</f>
        <v/>
      </c>
      <c r="AB364" s="68" t="str">
        <f>IF(W364="","",VLOOKUP(W364,Aux_Lista!AN:AP,2,FALSE))</f>
        <v/>
      </c>
      <c r="AC364" s="69"/>
      <c r="AD364" s="69"/>
      <c r="AE364" s="325">
        <f t="shared" si="36"/>
        <v>0</v>
      </c>
      <c r="AF364" s="540" t="s">
        <v>281</v>
      </c>
      <c r="AG364" s="540"/>
      <c r="AH364" s="337">
        <f>IFERROR(IF(X364="Sem projeto",1.5*AA364,AC364*VLOOKUP(AF364,Aux_Lista!AG:AH,2,FALSE)+AD364)*U364,0)</f>
        <v>0</v>
      </c>
      <c r="AI364" s="343" t="s">
        <v>90</v>
      </c>
      <c r="AJ364" s="343" t="s">
        <v>90</v>
      </c>
      <c r="AK364" s="343" t="s">
        <v>90</v>
      </c>
      <c r="AL364" s="333" t="str">
        <f t="shared" si="37"/>
        <v/>
      </c>
      <c r="AM364" s="334" t="str">
        <f t="shared" si="38"/>
        <v/>
      </c>
      <c r="AN364" s="333" t="str">
        <f t="shared" si="39"/>
        <v/>
      </c>
      <c r="AO364" s="334" t="str">
        <f t="shared" si="40"/>
        <v/>
      </c>
      <c r="AP364" s="44"/>
      <c r="AQ364" s="2"/>
    </row>
    <row r="365" spans="1:43" ht="24.95" customHeight="1" x14ac:dyDescent="0.25">
      <c r="A365" s="2">
        <v>325</v>
      </c>
      <c r="B365" s="349"/>
      <c r="C365" s="350"/>
      <c r="D365" s="351"/>
      <c r="E365" s="351"/>
      <c r="F365" s="336"/>
      <c r="G365" s="327"/>
      <c r="H365" s="327"/>
      <c r="I365" s="325">
        <f t="shared" si="41"/>
        <v>0</v>
      </c>
      <c r="J365" s="540" t="s">
        <v>281</v>
      </c>
      <c r="K365" s="540"/>
      <c r="L365" s="337">
        <f>IFERROR(IF(F365="Sem projeto",VLOOKUP(C365,$B$32:$H$34,7,FALSE)*1.5,G365*VLOOKUP(J365,Aux_Lista!$AG:$AH,2,FALSE)+H365)*E365,0)</f>
        <v>0</v>
      </c>
      <c r="M365" s="346" t="s">
        <v>90</v>
      </c>
      <c r="N365" s="347" t="s">
        <v>90</v>
      </c>
      <c r="O365" s="348" t="s">
        <v>90</v>
      </c>
      <c r="P365" s="386">
        <f t="shared" si="42"/>
        <v>0</v>
      </c>
      <c r="R365" s="94">
        <v>334</v>
      </c>
      <c r="S365" s="383"/>
      <c r="T365" s="214"/>
      <c r="U365" s="214"/>
      <c r="V365" s="217"/>
      <c r="W365" s="215"/>
      <c r="X365" s="336"/>
      <c r="Y365" s="68" t="str">
        <f>IF(V365="","",VLOOKUP(V365,Aux_Lista!A:K,11,FALSE))</f>
        <v/>
      </c>
      <c r="Z365" s="68" t="str">
        <f>IF(V365="","",VLOOKUP(V365,Aux_Lista!A:L,12,FALSE))</f>
        <v/>
      </c>
      <c r="AA365" s="68" t="str">
        <f>IF(W365="","",VLOOKUP(W365,Aux_Lista!AN:AP,3,FALSE))</f>
        <v/>
      </c>
      <c r="AB365" s="68" t="str">
        <f>IF(W365="","",VLOOKUP(W365,Aux_Lista!AN:AP,2,FALSE))</f>
        <v/>
      </c>
      <c r="AC365" s="69"/>
      <c r="AD365" s="69"/>
      <c r="AE365" s="325">
        <f t="shared" si="36"/>
        <v>0</v>
      </c>
      <c r="AF365" s="540" t="s">
        <v>281</v>
      </c>
      <c r="AG365" s="540"/>
      <c r="AH365" s="337">
        <f>IFERROR(IF(X365="Sem projeto",1.5*AA365,AC365*VLOOKUP(AF365,Aux_Lista!AG:AH,2,FALSE)+AD365)*U365,0)</f>
        <v>0</v>
      </c>
      <c r="AI365" s="343" t="s">
        <v>90</v>
      </c>
      <c r="AJ365" s="343" t="s">
        <v>90</v>
      </c>
      <c r="AK365" s="343" t="s">
        <v>90</v>
      </c>
      <c r="AL365" s="333" t="str">
        <f t="shared" si="37"/>
        <v/>
      </c>
      <c r="AM365" s="334" t="str">
        <f t="shared" si="38"/>
        <v/>
      </c>
      <c r="AN365" s="333" t="str">
        <f t="shared" si="39"/>
        <v/>
      </c>
      <c r="AO365" s="334" t="str">
        <f t="shared" si="40"/>
        <v/>
      </c>
      <c r="AP365" s="44"/>
      <c r="AQ365" s="2"/>
    </row>
    <row r="366" spans="1:43" ht="24.95" customHeight="1" x14ac:dyDescent="0.25">
      <c r="A366" s="2">
        <v>326</v>
      </c>
      <c r="B366" s="349"/>
      <c r="C366" s="350"/>
      <c r="D366" s="351"/>
      <c r="E366" s="351"/>
      <c r="F366" s="336"/>
      <c r="G366" s="327"/>
      <c r="H366" s="327"/>
      <c r="I366" s="325">
        <f t="shared" si="41"/>
        <v>0</v>
      </c>
      <c r="J366" s="540" t="s">
        <v>281</v>
      </c>
      <c r="K366" s="540"/>
      <c r="L366" s="337">
        <f>IFERROR(IF(F366="Sem projeto",VLOOKUP(C366,$B$32:$H$34,7,FALSE)*1.5,G366*VLOOKUP(J366,Aux_Lista!$AG:$AH,2,FALSE)+H366)*E366,0)</f>
        <v>0</v>
      </c>
      <c r="M366" s="346" t="s">
        <v>90</v>
      </c>
      <c r="N366" s="347" t="s">
        <v>90</v>
      </c>
      <c r="O366" s="348" t="s">
        <v>90</v>
      </c>
      <c r="P366" s="386">
        <f t="shared" si="42"/>
        <v>0</v>
      </c>
      <c r="R366" s="94">
        <v>335</v>
      </c>
      <c r="S366" s="383"/>
      <c r="T366" s="214"/>
      <c r="U366" s="214"/>
      <c r="V366" s="217"/>
      <c r="W366" s="215"/>
      <c r="X366" s="336"/>
      <c r="Y366" s="68" t="str">
        <f>IF(V366="","",VLOOKUP(V366,Aux_Lista!A:K,11,FALSE))</f>
        <v/>
      </c>
      <c r="Z366" s="68" t="str">
        <f>IF(V366="","",VLOOKUP(V366,Aux_Lista!A:L,12,FALSE))</f>
        <v/>
      </c>
      <c r="AA366" s="68" t="str">
        <f>IF(W366="","",VLOOKUP(W366,Aux_Lista!AN:AP,3,FALSE))</f>
        <v/>
      </c>
      <c r="AB366" s="68" t="str">
        <f>IF(W366="","",VLOOKUP(W366,Aux_Lista!AN:AP,2,FALSE))</f>
        <v/>
      </c>
      <c r="AC366" s="69"/>
      <c r="AD366" s="69"/>
      <c r="AE366" s="325">
        <f t="shared" si="36"/>
        <v>0</v>
      </c>
      <c r="AF366" s="540" t="s">
        <v>281</v>
      </c>
      <c r="AG366" s="540"/>
      <c r="AH366" s="337">
        <f>IFERROR(IF(X366="Sem projeto",1.5*AA366,AC366*VLOOKUP(AF366,Aux_Lista!AG:AH,2,FALSE)+AD366)*U366,0)</f>
        <v>0</v>
      </c>
      <c r="AI366" s="343" t="s">
        <v>90</v>
      </c>
      <c r="AJ366" s="343" t="s">
        <v>90</v>
      </c>
      <c r="AK366" s="343" t="s">
        <v>90</v>
      </c>
      <c r="AL366" s="333" t="str">
        <f t="shared" si="37"/>
        <v/>
      </c>
      <c r="AM366" s="334" t="str">
        <f t="shared" si="38"/>
        <v/>
      </c>
      <c r="AN366" s="333" t="str">
        <f t="shared" si="39"/>
        <v/>
      </c>
      <c r="AO366" s="334" t="str">
        <f t="shared" si="40"/>
        <v/>
      </c>
      <c r="AP366" s="44"/>
      <c r="AQ366" s="2"/>
    </row>
    <row r="367" spans="1:43" ht="24.95" customHeight="1" x14ac:dyDescent="0.25">
      <c r="A367" s="2">
        <v>327</v>
      </c>
      <c r="B367" s="349"/>
      <c r="C367" s="350"/>
      <c r="D367" s="351"/>
      <c r="E367" s="351"/>
      <c r="F367" s="336"/>
      <c r="G367" s="327"/>
      <c r="H367" s="327"/>
      <c r="I367" s="325">
        <f t="shared" si="41"/>
        <v>0</v>
      </c>
      <c r="J367" s="540" t="s">
        <v>281</v>
      </c>
      <c r="K367" s="540"/>
      <c r="L367" s="337">
        <f>IFERROR(IF(F367="Sem projeto",VLOOKUP(C367,$B$32:$H$34,7,FALSE)*1.5,G367*VLOOKUP(J367,Aux_Lista!$AG:$AH,2,FALSE)+H367)*E367,0)</f>
        <v>0</v>
      </c>
      <c r="M367" s="346" t="s">
        <v>90</v>
      </c>
      <c r="N367" s="347" t="s">
        <v>90</v>
      </c>
      <c r="O367" s="348" t="s">
        <v>90</v>
      </c>
      <c r="P367" s="386">
        <f t="shared" si="42"/>
        <v>0</v>
      </c>
      <c r="R367" s="94">
        <v>336</v>
      </c>
      <c r="S367" s="383"/>
      <c r="T367" s="214"/>
      <c r="U367" s="214"/>
      <c r="V367" s="217"/>
      <c r="W367" s="215"/>
      <c r="X367" s="336"/>
      <c r="Y367" s="68" t="str">
        <f>IF(V367="","",VLOOKUP(V367,Aux_Lista!A:K,11,FALSE))</f>
        <v/>
      </c>
      <c r="Z367" s="68" t="str">
        <f>IF(V367="","",VLOOKUP(V367,Aux_Lista!A:L,12,FALSE))</f>
        <v/>
      </c>
      <c r="AA367" s="68" t="str">
        <f>IF(W367="","",VLOOKUP(W367,Aux_Lista!AN:AP,3,FALSE))</f>
        <v/>
      </c>
      <c r="AB367" s="68" t="str">
        <f>IF(W367="","",VLOOKUP(W367,Aux_Lista!AN:AP,2,FALSE))</f>
        <v/>
      </c>
      <c r="AC367" s="69"/>
      <c r="AD367" s="69"/>
      <c r="AE367" s="325">
        <f t="shared" si="36"/>
        <v>0</v>
      </c>
      <c r="AF367" s="540" t="s">
        <v>281</v>
      </c>
      <c r="AG367" s="540"/>
      <c r="AH367" s="337">
        <f>IFERROR(IF(X367="Sem projeto",1.5*AA367,AC367*VLOOKUP(AF367,Aux_Lista!AG:AH,2,FALSE)+AD367)*U367,0)</f>
        <v>0</v>
      </c>
      <c r="AI367" s="343" t="s">
        <v>90</v>
      </c>
      <c r="AJ367" s="343" t="s">
        <v>90</v>
      </c>
      <c r="AK367" s="343" t="s">
        <v>90</v>
      </c>
      <c r="AL367" s="333" t="str">
        <f t="shared" si="37"/>
        <v/>
      </c>
      <c r="AM367" s="334" t="str">
        <f t="shared" si="38"/>
        <v/>
      </c>
      <c r="AN367" s="333" t="str">
        <f t="shared" si="39"/>
        <v/>
      </c>
      <c r="AO367" s="334" t="str">
        <f t="shared" si="40"/>
        <v/>
      </c>
      <c r="AP367" s="44"/>
      <c r="AQ367" s="2"/>
    </row>
    <row r="368" spans="1:43" ht="24.95" customHeight="1" x14ac:dyDescent="0.25">
      <c r="A368" s="2">
        <v>328</v>
      </c>
      <c r="B368" s="349"/>
      <c r="C368" s="350"/>
      <c r="D368" s="351"/>
      <c r="E368" s="351"/>
      <c r="F368" s="336"/>
      <c r="G368" s="327"/>
      <c r="H368" s="327"/>
      <c r="I368" s="325">
        <f t="shared" si="41"/>
        <v>0</v>
      </c>
      <c r="J368" s="540" t="s">
        <v>281</v>
      </c>
      <c r="K368" s="540"/>
      <c r="L368" s="337">
        <f>IFERROR(IF(F368="Sem projeto",VLOOKUP(C368,$B$32:$H$34,7,FALSE)*1.5,G368*VLOOKUP(J368,Aux_Lista!$AG:$AH,2,FALSE)+H368)*E368,0)</f>
        <v>0</v>
      </c>
      <c r="M368" s="346" t="s">
        <v>90</v>
      </c>
      <c r="N368" s="347" t="s">
        <v>90</v>
      </c>
      <c r="O368" s="348" t="s">
        <v>90</v>
      </c>
      <c r="P368" s="386">
        <f t="shared" si="42"/>
        <v>0</v>
      </c>
      <c r="R368" s="94">
        <v>337</v>
      </c>
      <c r="S368" s="383"/>
      <c r="T368" s="214"/>
      <c r="U368" s="214"/>
      <c r="V368" s="217"/>
      <c r="W368" s="215"/>
      <c r="X368" s="336"/>
      <c r="Y368" s="68" t="str">
        <f>IF(V368="","",VLOOKUP(V368,Aux_Lista!A:K,11,FALSE))</f>
        <v/>
      </c>
      <c r="Z368" s="68" t="str">
        <f>IF(V368="","",VLOOKUP(V368,Aux_Lista!A:L,12,FALSE))</f>
        <v/>
      </c>
      <c r="AA368" s="68" t="str">
        <f>IF(W368="","",VLOOKUP(W368,Aux_Lista!AN:AP,3,FALSE))</f>
        <v/>
      </c>
      <c r="AB368" s="68" t="str">
        <f>IF(W368="","",VLOOKUP(W368,Aux_Lista!AN:AP,2,FALSE))</f>
        <v/>
      </c>
      <c r="AC368" s="69"/>
      <c r="AD368" s="69"/>
      <c r="AE368" s="325">
        <f t="shared" si="36"/>
        <v>0</v>
      </c>
      <c r="AF368" s="540" t="s">
        <v>281</v>
      </c>
      <c r="AG368" s="540"/>
      <c r="AH368" s="337">
        <f>IFERROR(IF(X368="Sem projeto",1.5*AA368,AC368*VLOOKUP(AF368,Aux_Lista!AG:AH,2,FALSE)+AD368)*U368,0)</f>
        <v>0</v>
      </c>
      <c r="AI368" s="343" t="s">
        <v>90</v>
      </c>
      <c r="AJ368" s="343" t="s">
        <v>90</v>
      </c>
      <c r="AK368" s="343" t="s">
        <v>90</v>
      </c>
      <c r="AL368" s="333" t="str">
        <f t="shared" si="37"/>
        <v/>
      </c>
      <c r="AM368" s="334" t="str">
        <f t="shared" si="38"/>
        <v/>
      </c>
      <c r="AN368" s="333" t="str">
        <f t="shared" si="39"/>
        <v/>
      </c>
      <c r="AO368" s="334" t="str">
        <f t="shared" si="40"/>
        <v/>
      </c>
      <c r="AP368" s="44"/>
      <c r="AQ368" s="2"/>
    </row>
    <row r="369" spans="1:43" ht="24.95" customHeight="1" x14ac:dyDescent="0.25">
      <c r="A369" s="2">
        <v>329</v>
      </c>
      <c r="B369" s="349"/>
      <c r="C369" s="350"/>
      <c r="D369" s="351"/>
      <c r="E369" s="351"/>
      <c r="F369" s="336"/>
      <c r="G369" s="327"/>
      <c r="H369" s="327"/>
      <c r="I369" s="325">
        <f t="shared" si="41"/>
        <v>0</v>
      </c>
      <c r="J369" s="540" t="s">
        <v>281</v>
      </c>
      <c r="K369" s="540"/>
      <c r="L369" s="337">
        <f>IFERROR(IF(F369="Sem projeto",VLOOKUP(C369,$B$32:$H$34,7,FALSE)*1.5,G369*VLOOKUP(J369,Aux_Lista!$AG:$AH,2,FALSE)+H369)*E369,0)</f>
        <v>0</v>
      </c>
      <c r="M369" s="346" t="s">
        <v>90</v>
      </c>
      <c r="N369" s="347" t="s">
        <v>90</v>
      </c>
      <c r="O369" s="348" t="s">
        <v>90</v>
      </c>
      <c r="P369" s="386">
        <f t="shared" si="42"/>
        <v>0</v>
      </c>
      <c r="R369" s="94">
        <v>338</v>
      </c>
      <c r="S369" s="383"/>
      <c r="T369" s="214"/>
      <c r="U369" s="214"/>
      <c r="V369" s="217"/>
      <c r="W369" s="215"/>
      <c r="X369" s="336"/>
      <c r="Y369" s="68" t="str">
        <f>IF(V369="","",VLOOKUP(V369,Aux_Lista!A:K,11,FALSE))</f>
        <v/>
      </c>
      <c r="Z369" s="68" t="str">
        <f>IF(V369="","",VLOOKUP(V369,Aux_Lista!A:L,12,FALSE))</f>
        <v/>
      </c>
      <c r="AA369" s="68" t="str">
        <f>IF(W369="","",VLOOKUP(W369,Aux_Lista!AN:AP,3,FALSE))</f>
        <v/>
      </c>
      <c r="AB369" s="68" t="str">
        <f>IF(W369="","",VLOOKUP(W369,Aux_Lista!AN:AP,2,FALSE))</f>
        <v/>
      </c>
      <c r="AC369" s="69"/>
      <c r="AD369" s="69"/>
      <c r="AE369" s="325">
        <f t="shared" si="36"/>
        <v>0</v>
      </c>
      <c r="AF369" s="540" t="s">
        <v>281</v>
      </c>
      <c r="AG369" s="540"/>
      <c r="AH369" s="337">
        <f>IFERROR(IF(X369="Sem projeto",1.5*AA369,AC369*VLOOKUP(AF369,Aux_Lista!AG:AH,2,FALSE)+AD369)*U369,0)</f>
        <v>0</v>
      </c>
      <c r="AI369" s="343" t="s">
        <v>90</v>
      </c>
      <c r="AJ369" s="343" t="s">
        <v>90</v>
      </c>
      <c r="AK369" s="343" t="s">
        <v>90</v>
      </c>
      <c r="AL369" s="333" t="str">
        <f t="shared" si="37"/>
        <v/>
      </c>
      <c r="AM369" s="334" t="str">
        <f t="shared" si="38"/>
        <v/>
      </c>
      <c r="AN369" s="333" t="str">
        <f t="shared" si="39"/>
        <v/>
      </c>
      <c r="AO369" s="334" t="str">
        <f t="shared" si="40"/>
        <v/>
      </c>
      <c r="AP369" s="44"/>
      <c r="AQ369" s="2"/>
    </row>
    <row r="370" spans="1:43" ht="24.95" customHeight="1" x14ac:dyDescent="0.25">
      <c r="A370" s="2">
        <v>330</v>
      </c>
      <c r="B370" s="349"/>
      <c r="C370" s="350"/>
      <c r="D370" s="351"/>
      <c r="E370" s="351"/>
      <c r="F370" s="336"/>
      <c r="G370" s="327"/>
      <c r="H370" s="327"/>
      <c r="I370" s="325">
        <f t="shared" si="41"/>
        <v>0</v>
      </c>
      <c r="J370" s="540" t="s">
        <v>281</v>
      </c>
      <c r="K370" s="540"/>
      <c r="L370" s="337">
        <f>IFERROR(IF(F370="Sem projeto",VLOOKUP(C370,$B$32:$H$34,7,FALSE)*1.5,G370*VLOOKUP(J370,Aux_Lista!$AG:$AH,2,FALSE)+H370)*E370,0)</f>
        <v>0</v>
      </c>
      <c r="M370" s="346" t="s">
        <v>90</v>
      </c>
      <c r="N370" s="347" t="s">
        <v>90</v>
      </c>
      <c r="O370" s="348" t="s">
        <v>90</v>
      </c>
      <c r="P370" s="386">
        <f t="shared" si="42"/>
        <v>0</v>
      </c>
      <c r="R370" s="94">
        <v>339</v>
      </c>
      <c r="S370" s="383"/>
      <c r="T370" s="214"/>
      <c r="U370" s="214"/>
      <c r="V370" s="217"/>
      <c r="W370" s="215"/>
      <c r="X370" s="336"/>
      <c r="Y370" s="68" t="str">
        <f>IF(V370="","",VLOOKUP(V370,Aux_Lista!A:K,11,FALSE))</f>
        <v/>
      </c>
      <c r="Z370" s="68" t="str">
        <f>IF(V370="","",VLOOKUP(V370,Aux_Lista!A:L,12,FALSE))</f>
        <v/>
      </c>
      <c r="AA370" s="68" t="str">
        <f>IF(W370="","",VLOOKUP(W370,Aux_Lista!AN:AP,3,FALSE))</f>
        <v/>
      </c>
      <c r="AB370" s="68" t="str">
        <f>IF(W370="","",VLOOKUP(W370,Aux_Lista!AN:AP,2,FALSE))</f>
        <v/>
      </c>
      <c r="AC370" s="69"/>
      <c r="AD370" s="69"/>
      <c r="AE370" s="325">
        <f t="shared" si="36"/>
        <v>0</v>
      </c>
      <c r="AF370" s="540" t="s">
        <v>281</v>
      </c>
      <c r="AG370" s="540"/>
      <c r="AH370" s="337">
        <f>IFERROR(IF(X370="Sem projeto",1.5*AA370,AC370*VLOOKUP(AF370,Aux_Lista!AG:AH,2,FALSE)+AD370)*U370,0)</f>
        <v>0</v>
      </c>
      <c r="AI370" s="343" t="s">
        <v>90</v>
      </c>
      <c r="AJ370" s="343" t="s">
        <v>90</v>
      </c>
      <c r="AK370" s="343" t="s">
        <v>90</v>
      </c>
      <c r="AL370" s="333" t="str">
        <f t="shared" si="37"/>
        <v/>
      </c>
      <c r="AM370" s="334" t="str">
        <f t="shared" si="38"/>
        <v/>
      </c>
      <c r="AN370" s="333" t="str">
        <f t="shared" si="39"/>
        <v/>
      </c>
      <c r="AO370" s="334" t="str">
        <f t="shared" si="40"/>
        <v/>
      </c>
      <c r="AP370" s="44"/>
      <c r="AQ370" s="2"/>
    </row>
    <row r="371" spans="1:43" ht="24.95" customHeight="1" x14ac:dyDescent="0.25">
      <c r="A371" s="2">
        <v>331</v>
      </c>
      <c r="B371" s="349"/>
      <c r="C371" s="350"/>
      <c r="D371" s="351"/>
      <c r="E371" s="351"/>
      <c r="F371" s="336"/>
      <c r="G371" s="327"/>
      <c r="H371" s="327"/>
      <c r="I371" s="325">
        <f t="shared" si="41"/>
        <v>0</v>
      </c>
      <c r="J371" s="540" t="s">
        <v>281</v>
      </c>
      <c r="K371" s="540"/>
      <c r="L371" s="337">
        <f>IFERROR(IF(F371="Sem projeto",VLOOKUP(C371,$B$32:$H$34,7,FALSE)*1.5,G371*VLOOKUP(J371,Aux_Lista!$AG:$AH,2,FALSE)+H371)*E371,0)</f>
        <v>0</v>
      </c>
      <c r="M371" s="346" t="s">
        <v>90</v>
      </c>
      <c r="N371" s="347" t="s">
        <v>90</v>
      </c>
      <c r="O371" s="348" t="s">
        <v>90</v>
      </c>
      <c r="P371" s="386">
        <f t="shared" si="42"/>
        <v>0</v>
      </c>
      <c r="R371" s="94">
        <v>340</v>
      </c>
      <c r="S371" s="383"/>
      <c r="T371" s="214"/>
      <c r="U371" s="214"/>
      <c r="V371" s="217"/>
      <c r="W371" s="215"/>
      <c r="X371" s="336"/>
      <c r="Y371" s="68" t="str">
        <f>IF(V371="","",VLOOKUP(V371,Aux_Lista!A:K,11,FALSE))</f>
        <v/>
      </c>
      <c r="Z371" s="68" t="str">
        <f>IF(V371="","",VLOOKUP(V371,Aux_Lista!A:L,12,FALSE))</f>
        <v/>
      </c>
      <c r="AA371" s="68" t="str">
        <f>IF(W371="","",VLOOKUP(W371,Aux_Lista!AN:AP,3,FALSE))</f>
        <v/>
      </c>
      <c r="AB371" s="68" t="str">
        <f>IF(W371="","",VLOOKUP(W371,Aux_Lista!AN:AP,2,FALSE))</f>
        <v/>
      </c>
      <c r="AC371" s="69"/>
      <c r="AD371" s="69"/>
      <c r="AE371" s="325">
        <f t="shared" si="36"/>
        <v>0</v>
      </c>
      <c r="AF371" s="540" t="s">
        <v>281</v>
      </c>
      <c r="AG371" s="540"/>
      <c r="AH371" s="337">
        <f>IFERROR(IF(X371="Sem projeto",1.5*AA371,AC371*VLOOKUP(AF371,Aux_Lista!AG:AH,2,FALSE)+AD371)*U371,0)</f>
        <v>0</v>
      </c>
      <c r="AI371" s="343" t="s">
        <v>90</v>
      </c>
      <c r="AJ371" s="343" t="s">
        <v>90</v>
      </c>
      <c r="AK371" s="343" t="s">
        <v>90</v>
      </c>
      <c r="AL371" s="333" t="str">
        <f t="shared" si="37"/>
        <v/>
      </c>
      <c r="AM371" s="334" t="str">
        <f t="shared" si="38"/>
        <v/>
      </c>
      <c r="AN371" s="333" t="str">
        <f t="shared" si="39"/>
        <v/>
      </c>
      <c r="AO371" s="334" t="str">
        <f t="shared" si="40"/>
        <v/>
      </c>
      <c r="AP371" s="44"/>
      <c r="AQ371" s="2"/>
    </row>
    <row r="372" spans="1:43" ht="24.95" customHeight="1" x14ac:dyDescent="0.25">
      <c r="A372" s="2">
        <v>332</v>
      </c>
      <c r="B372" s="349"/>
      <c r="C372" s="350"/>
      <c r="D372" s="351"/>
      <c r="E372" s="351"/>
      <c r="F372" s="336"/>
      <c r="G372" s="327"/>
      <c r="H372" s="327"/>
      <c r="I372" s="325">
        <f t="shared" si="41"/>
        <v>0</v>
      </c>
      <c r="J372" s="540" t="s">
        <v>281</v>
      </c>
      <c r="K372" s="540"/>
      <c r="L372" s="337">
        <f>IFERROR(IF(F372="Sem projeto",VLOOKUP(C372,$B$32:$H$34,7,FALSE)*1.5,G372*VLOOKUP(J372,Aux_Lista!$AG:$AH,2,FALSE)+H372)*E372,0)</f>
        <v>0</v>
      </c>
      <c r="M372" s="346" t="s">
        <v>90</v>
      </c>
      <c r="N372" s="347" t="s">
        <v>90</v>
      </c>
      <c r="O372" s="348" t="s">
        <v>90</v>
      </c>
      <c r="P372" s="386">
        <f t="shared" si="42"/>
        <v>0</v>
      </c>
      <c r="R372" s="94">
        <v>341</v>
      </c>
      <c r="S372" s="383"/>
      <c r="T372" s="214"/>
      <c r="U372" s="214"/>
      <c r="V372" s="217"/>
      <c r="W372" s="215"/>
      <c r="X372" s="336"/>
      <c r="Y372" s="68" t="str">
        <f>IF(V372="","",VLOOKUP(V372,Aux_Lista!A:K,11,FALSE))</f>
        <v/>
      </c>
      <c r="Z372" s="68" t="str">
        <f>IF(V372="","",VLOOKUP(V372,Aux_Lista!A:L,12,FALSE))</f>
        <v/>
      </c>
      <c r="AA372" s="68" t="str">
        <f>IF(W372="","",VLOOKUP(W372,Aux_Lista!AN:AP,3,FALSE))</f>
        <v/>
      </c>
      <c r="AB372" s="68" t="str">
        <f>IF(W372="","",VLOOKUP(W372,Aux_Lista!AN:AP,2,FALSE))</f>
        <v/>
      </c>
      <c r="AC372" s="69"/>
      <c r="AD372" s="69"/>
      <c r="AE372" s="325">
        <f t="shared" si="36"/>
        <v>0</v>
      </c>
      <c r="AF372" s="540" t="s">
        <v>281</v>
      </c>
      <c r="AG372" s="540"/>
      <c r="AH372" s="337">
        <f>IFERROR(IF(X372="Sem projeto",1.5*AA372,AC372*VLOOKUP(AF372,Aux_Lista!AG:AH,2,FALSE)+AD372)*U372,0)</f>
        <v>0</v>
      </c>
      <c r="AI372" s="343" t="s">
        <v>90</v>
      </c>
      <c r="AJ372" s="343" t="s">
        <v>90</v>
      </c>
      <c r="AK372" s="343" t="s">
        <v>90</v>
      </c>
      <c r="AL372" s="333" t="str">
        <f t="shared" si="37"/>
        <v/>
      </c>
      <c r="AM372" s="334" t="str">
        <f t="shared" si="38"/>
        <v/>
      </c>
      <c r="AN372" s="333" t="str">
        <f t="shared" si="39"/>
        <v/>
      </c>
      <c r="AO372" s="334" t="str">
        <f t="shared" si="40"/>
        <v/>
      </c>
      <c r="AP372" s="44"/>
      <c r="AQ372" s="2"/>
    </row>
    <row r="373" spans="1:43" ht="24.95" customHeight="1" x14ac:dyDescent="0.25">
      <c r="A373" s="2">
        <v>333</v>
      </c>
      <c r="B373" s="349"/>
      <c r="C373" s="350"/>
      <c r="D373" s="351"/>
      <c r="E373" s="351"/>
      <c r="F373" s="336"/>
      <c r="G373" s="327"/>
      <c r="H373" s="327"/>
      <c r="I373" s="325">
        <f t="shared" si="41"/>
        <v>0</v>
      </c>
      <c r="J373" s="540" t="s">
        <v>281</v>
      </c>
      <c r="K373" s="540"/>
      <c r="L373" s="337">
        <f>IFERROR(IF(F373="Sem projeto",VLOOKUP(C373,$B$32:$H$34,7,FALSE)*1.5,G373*VLOOKUP(J373,Aux_Lista!$AG:$AH,2,FALSE)+H373)*E373,0)</f>
        <v>0</v>
      </c>
      <c r="M373" s="346" t="s">
        <v>90</v>
      </c>
      <c r="N373" s="347" t="s">
        <v>90</v>
      </c>
      <c r="O373" s="348" t="s">
        <v>90</v>
      </c>
      <c r="P373" s="386">
        <f t="shared" si="42"/>
        <v>0</v>
      </c>
      <c r="R373" s="94">
        <v>342</v>
      </c>
      <c r="S373" s="383"/>
      <c r="T373" s="214"/>
      <c r="U373" s="214"/>
      <c r="V373" s="217"/>
      <c r="W373" s="215"/>
      <c r="X373" s="336"/>
      <c r="Y373" s="68" t="str">
        <f>IF(V373="","",VLOOKUP(V373,Aux_Lista!A:K,11,FALSE))</f>
        <v/>
      </c>
      <c r="Z373" s="68" t="str">
        <f>IF(V373="","",VLOOKUP(V373,Aux_Lista!A:L,12,FALSE))</f>
        <v/>
      </c>
      <c r="AA373" s="68" t="str">
        <f>IF(W373="","",VLOOKUP(W373,Aux_Lista!AN:AP,3,FALSE))</f>
        <v/>
      </c>
      <c r="AB373" s="68" t="str">
        <f>IF(W373="","",VLOOKUP(W373,Aux_Lista!AN:AP,2,FALSE))</f>
        <v/>
      </c>
      <c r="AC373" s="69"/>
      <c r="AD373" s="69"/>
      <c r="AE373" s="325">
        <f t="shared" si="36"/>
        <v>0</v>
      </c>
      <c r="AF373" s="540" t="s">
        <v>281</v>
      </c>
      <c r="AG373" s="540"/>
      <c r="AH373" s="337">
        <f>IFERROR(IF(X373="Sem projeto",1.5*AA373,AC373*VLOOKUP(AF373,Aux_Lista!AG:AH,2,FALSE)+AD373)*U373,0)</f>
        <v>0</v>
      </c>
      <c r="AI373" s="343" t="s">
        <v>90</v>
      </c>
      <c r="AJ373" s="343" t="s">
        <v>90</v>
      </c>
      <c r="AK373" s="343" t="s">
        <v>90</v>
      </c>
      <c r="AL373" s="333" t="str">
        <f t="shared" si="37"/>
        <v/>
      </c>
      <c r="AM373" s="334" t="str">
        <f t="shared" si="38"/>
        <v/>
      </c>
      <c r="AN373" s="333" t="str">
        <f t="shared" si="39"/>
        <v/>
      </c>
      <c r="AO373" s="334" t="str">
        <f t="shared" si="40"/>
        <v/>
      </c>
      <c r="AP373" s="44"/>
      <c r="AQ373" s="2"/>
    </row>
    <row r="374" spans="1:43" ht="24.95" customHeight="1" x14ac:dyDescent="0.25">
      <c r="A374" s="2">
        <v>334</v>
      </c>
      <c r="B374" s="349"/>
      <c r="C374" s="350"/>
      <c r="D374" s="351"/>
      <c r="E374" s="351"/>
      <c r="F374" s="336"/>
      <c r="G374" s="327"/>
      <c r="H374" s="327"/>
      <c r="I374" s="325">
        <f t="shared" si="41"/>
        <v>0</v>
      </c>
      <c r="J374" s="540" t="s">
        <v>281</v>
      </c>
      <c r="K374" s="540"/>
      <c r="L374" s="337">
        <f>IFERROR(IF(F374="Sem projeto",VLOOKUP(C374,$B$32:$H$34,7,FALSE)*1.5,G374*VLOOKUP(J374,Aux_Lista!$AG:$AH,2,FALSE)+H374)*E374,0)</f>
        <v>0</v>
      </c>
      <c r="M374" s="346" t="s">
        <v>90</v>
      </c>
      <c r="N374" s="347" t="s">
        <v>90</v>
      </c>
      <c r="O374" s="348" t="s">
        <v>90</v>
      </c>
      <c r="P374" s="386">
        <f t="shared" si="42"/>
        <v>0</v>
      </c>
      <c r="R374" s="94">
        <v>343</v>
      </c>
      <c r="S374" s="383"/>
      <c r="T374" s="214"/>
      <c r="U374" s="214"/>
      <c r="V374" s="217"/>
      <c r="W374" s="215"/>
      <c r="X374" s="336"/>
      <c r="Y374" s="68" t="str">
        <f>IF(V374="","",VLOOKUP(V374,Aux_Lista!A:K,11,FALSE))</f>
        <v/>
      </c>
      <c r="Z374" s="68" t="str">
        <f>IF(V374="","",VLOOKUP(V374,Aux_Lista!A:L,12,FALSE))</f>
        <v/>
      </c>
      <c r="AA374" s="68" t="str">
        <f>IF(W374="","",VLOOKUP(W374,Aux_Lista!AN:AP,3,FALSE))</f>
        <v/>
      </c>
      <c r="AB374" s="68" t="str">
        <f>IF(W374="","",VLOOKUP(W374,Aux_Lista!AN:AP,2,FALSE))</f>
        <v/>
      </c>
      <c r="AC374" s="69"/>
      <c r="AD374" s="69"/>
      <c r="AE374" s="325">
        <f t="shared" si="36"/>
        <v>0</v>
      </c>
      <c r="AF374" s="540" t="s">
        <v>281</v>
      </c>
      <c r="AG374" s="540"/>
      <c r="AH374" s="337">
        <f>IFERROR(IF(X374="Sem projeto",1.5*AA374,AC374*VLOOKUP(AF374,Aux_Lista!AG:AH,2,FALSE)+AD374)*U374,0)</f>
        <v>0</v>
      </c>
      <c r="AI374" s="343" t="s">
        <v>90</v>
      </c>
      <c r="AJ374" s="343" t="s">
        <v>90</v>
      </c>
      <c r="AK374" s="343" t="s">
        <v>90</v>
      </c>
      <c r="AL374" s="333" t="str">
        <f t="shared" si="37"/>
        <v/>
      </c>
      <c r="AM374" s="334" t="str">
        <f t="shared" si="38"/>
        <v/>
      </c>
      <c r="AN374" s="333" t="str">
        <f t="shared" si="39"/>
        <v/>
      </c>
      <c r="AO374" s="334" t="str">
        <f t="shared" si="40"/>
        <v/>
      </c>
      <c r="AP374" s="44"/>
      <c r="AQ374" s="2"/>
    </row>
    <row r="375" spans="1:43" ht="24.95" customHeight="1" x14ac:dyDescent="0.25">
      <c r="A375" s="2">
        <v>335</v>
      </c>
      <c r="B375" s="349"/>
      <c r="C375" s="350"/>
      <c r="D375" s="351"/>
      <c r="E375" s="351"/>
      <c r="F375" s="336"/>
      <c r="G375" s="327"/>
      <c r="H375" s="327"/>
      <c r="I375" s="325">
        <f t="shared" si="41"/>
        <v>0</v>
      </c>
      <c r="J375" s="540" t="s">
        <v>281</v>
      </c>
      <c r="K375" s="540"/>
      <c r="L375" s="337">
        <f>IFERROR(IF(F375="Sem projeto",VLOOKUP(C375,$B$32:$H$34,7,FALSE)*1.5,G375*VLOOKUP(J375,Aux_Lista!$AG:$AH,2,FALSE)+H375)*E375,0)</f>
        <v>0</v>
      </c>
      <c r="M375" s="346" t="s">
        <v>90</v>
      </c>
      <c r="N375" s="347" t="s">
        <v>90</v>
      </c>
      <c r="O375" s="348" t="s">
        <v>90</v>
      </c>
      <c r="P375" s="386">
        <f t="shared" si="42"/>
        <v>0</v>
      </c>
      <c r="R375" s="94">
        <v>344</v>
      </c>
      <c r="S375" s="383"/>
      <c r="T375" s="214"/>
      <c r="U375" s="214"/>
      <c r="V375" s="217"/>
      <c r="W375" s="215"/>
      <c r="X375" s="336"/>
      <c r="Y375" s="68" t="str">
        <f>IF(V375="","",VLOOKUP(V375,Aux_Lista!A:K,11,FALSE))</f>
        <v/>
      </c>
      <c r="Z375" s="68" t="str">
        <f>IF(V375="","",VLOOKUP(V375,Aux_Lista!A:L,12,FALSE))</f>
        <v/>
      </c>
      <c r="AA375" s="68" t="str">
        <f>IF(W375="","",VLOOKUP(W375,Aux_Lista!AN:AP,3,FALSE))</f>
        <v/>
      </c>
      <c r="AB375" s="68" t="str">
        <f>IF(W375="","",VLOOKUP(W375,Aux_Lista!AN:AP,2,FALSE))</f>
        <v/>
      </c>
      <c r="AC375" s="69"/>
      <c r="AD375" s="69"/>
      <c r="AE375" s="325">
        <f t="shared" si="36"/>
        <v>0</v>
      </c>
      <c r="AF375" s="540" t="s">
        <v>281</v>
      </c>
      <c r="AG375" s="540"/>
      <c r="AH375" s="337">
        <f>IFERROR(IF(X375="Sem projeto",1.5*AA375,AC375*VLOOKUP(AF375,Aux_Lista!AG:AH,2,FALSE)+AD375)*U375,0)</f>
        <v>0</v>
      </c>
      <c r="AI375" s="343" t="s">
        <v>90</v>
      </c>
      <c r="AJ375" s="343" t="s">
        <v>90</v>
      </c>
      <c r="AK375" s="343" t="s">
        <v>90</v>
      </c>
      <c r="AL375" s="333" t="str">
        <f t="shared" si="37"/>
        <v/>
      </c>
      <c r="AM375" s="334" t="str">
        <f t="shared" si="38"/>
        <v/>
      </c>
      <c r="AN375" s="333" t="str">
        <f t="shared" si="39"/>
        <v/>
      </c>
      <c r="AO375" s="334" t="str">
        <f t="shared" si="40"/>
        <v/>
      </c>
      <c r="AP375" s="44"/>
      <c r="AQ375" s="2"/>
    </row>
    <row r="376" spans="1:43" ht="24.95" customHeight="1" x14ac:dyDescent="0.25">
      <c r="A376" s="2">
        <v>336</v>
      </c>
      <c r="B376" s="349"/>
      <c r="C376" s="350"/>
      <c r="D376" s="351"/>
      <c r="E376" s="351"/>
      <c r="F376" s="336"/>
      <c r="G376" s="327"/>
      <c r="H376" s="327"/>
      <c r="I376" s="325">
        <f t="shared" si="41"/>
        <v>0</v>
      </c>
      <c r="J376" s="540" t="s">
        <v>281</v>
      </c>
      <c r="K376" s="540"/>
      <c r="L376" s="337">
        <f>IFERROR(IF(F376="Sem projeto",VLOOKUP(C376,$B$32:$H$34,7,FALSE)*1.5,G376*VLOOKUP(J376,Aux_Lista!$AG:$AH,2,FALSE)+H376)*E376,0)</f>
        <v>0</v>
      </c>
      <c r="M376" s="346" t="s">
        <v>90</v>
      </c>
      <c r="N376" s="347" t="s">
        <v>90</v>
      </c>
      <c r="O376" s="348" t="s">
        <v>90</v>
      </c>
      <c r="P376" s="386">
        <f t="shared" si="42"/>
        <v>0</v>
      </c>
      <c r="R376" s="94">
        <v>345</v>
      </c>
      <c r="S376" s="383"/>
      <c r="T376" s="214"/>
      <c r="U376" s="214"/>
      <c r="V376" s="217"/>
      <c r="W376" s="215"/>
      <c r="X376" s="336"/>
      <c r="Y376" s="68" t="str">
        <f>IF(V376="","",VLOOKUP(V376,Aux_Lista!A:K,11,FALSE))</f>
        <v/>
      </c>
      <c r="Z376" s="68" t="str">
        <f>IF(V376="","",VLOOKUP(V376,Aux_Lista!A:L,12,FALSE))</f>
        <v/>
      </c>
      <c r="AA376" s="68" t="str">
        <f>IF(W376="","",VLOOKUP(W376,Aux_Lista!AN:AP,3,FALSE))</f>
        <v/>
      </c>
      <c r="AB376" s="68" t="str">
        <f>IF(W376="","",VLOOKUP(W376,Aux_Lista!AN:AP,2,FALSE))</f>
        <v/>
      </c>
      <c r="AC376" s="69"/>
      <c r="AD376" s="69"/>
      <c r="AE376" s="325">
        <f t="shared" si="36"/>
        <v>0</v>
      </c>
      <c r="AF376" s="540" t="s">
        <v>281</v>
      </c>
      <c r="AG376" s="540"/>
      <c r="AH376" s="337">
        <f>IFERROR(IF(X376="Sem projeto",1.5*AA376,AC376*VLOOKUP(AF376,Aux_Lista!AG:AH,2,FALSE)+AD376)*U376,0)</f>
        <v>0</v>
      </c>
      <c r="AI376" s="343" t="s">
        <v>90</v>
      </c>
      <c r="AJ376" s="343" t="s">
        <v>90</v>
      </c>
      <c r="AK376" s="343" t="s">
        <v>90</v>
      </c>
      <c r="AL376" s="333" t="str">
        <f t="shared" si="37"/>
        <v/>
      </c>
      <c r="AM376" s="334" t="str">
        <f t="shared" si="38"/>
        <v/>
      </c>
      <c r="AN376" s="333" t="str">
        <f t="shared" si="39"/>
        <v/>
      </c>
      <c r="AO376" s="334" t="str">
        <f t="shared" si="40"/>
        <v/>
      </c>
      <c r="AP376" s="44"/>
      <c r="AQ376" s="2"/>
    </row>
    <row r="377" spans="1:43" ht="24.95" customHeight="1" x14ac:dyDescent="0.25">
      <c r="A377" s="2">
        <v>337</v>
      </c>
      <c r="B377" s="349"/>
      <c r="C377" s="350"/>
      <c r="D377" s="351"/>
      <c r="E377" s="351"/>
      <c r="F377" s="336"/>
      <c r="G377" s="327"/>
      <c r="H377" s="327"/>
      <c r="I377" s="325">
        <f t="shared" si="41"/>
        <v>0</v>
      </c>
      <c r="J377" s="540" t="s">
        <v>281</v>
      </c>
      <c r="K377" s="540"/>
      <c r="L377" s="337">
        <f>IFERROR(IF(F377="Sem projeto",VLOOKUP(C377,$B$32:$H$34,7,FALSE)*1.5,G377*VLOOKUP(J377,Aux_Lista!$AG:$AH,2,FALSE)+H377)*E377,0)</f>
        <v>0</v>
      </c>
      <c r="M377" s="346" t="s">
        <v>90</v>
      </c>
      <c r="N377" s="347" t="s">
        <v>90</v>
      </c>
      <c r="O377" s="348" t="s">
        <v>90</v>
      </c>
      <c r="P377" s="386">
        <f t="shared" si="42"/>
        <v>0</v>
      </c>
      <c r="R377" s="94">
        <v>346</v>
      </c>
      <c r="S377" s="383"/>
      <c r="T377" s="214"/>
      <c r="U377" s="214"/>
      <c r="V377" s="217"/>
      <c r="W377" s="215"/>
      <c r="X377" s="336"/>
      <c r="Y377" s="68" t="str">
        <f>IF(V377="","",VLOOKUP(V377,Aux_Lista!A:K,11,FALSE))</f>
        <v/>
      </c>
      <c r="Z377" s="68" t="str">
        <f>IF(V377="","",VLOOKUP(V377,Aux_Lista!A:L,12,FALSE))</f>
        <v/>
      </c>
      <c r="AA377" s="68" t="str">
        <f>IF(W377="","",VLOOKUP(W377,Aux_Lista!AN:AP,3,FALSE))</f>
        <v/>
      </c>
      <c r="AB377" s="68" t="str">
        <f>IF(W377="","",VLOOKUP(W377,Aux_Lista!AN:AP,2,FALSE))</f>
        <v/>
      </c>
      <c r="AC377" s="69"/>
      <c r="AD377" s="69"/>
      <c r="AE377" s="325">
        <f t="shared" si="36"/>
        <v>0</v>
      </c>
      <c r="AF377" s="540" t="s">
        <v>281</v>
      </c>
      <c r="AG377" s="540"/>
      <c r="AH377" s="337">
        <f>IFERROR(IF(X377="Sem projeto",1.5*AA377,AC377*VLOOKUP(AF377,Aux_Lista!AG:AH,2,FALSE)+AD377)*U377,0)</f>
        <v>0</v>
      </c>
      <c r="AI377" s="343" t="s">
        <v>90</v>
      </c>
      <c r="AJ377" s="343" t="s">
        <v>90</v>
      </c>
      <c r="AK377" s="343" t="s">
        <v>90</v>
      </c>
      <c r="AL377" s="333" t="str">
        <f t="shared" si="37"/>
        <v/>
      </c>
      <c r="AM377" s="334" t="str">
        <f t="shared" si="38"/>
        <v/>
      </c>
      <c r="AN377" s="333" t="str">
        <f t="shared" si="39"/>
        <v/>
      </c>
      <c r="AO377" s="334" t="str">
        <f t="shared" si="40"/>
        <v/>
      </c>
      <c r="AP377" s="44"/>
      <c r="AQ377" s="2"/>
    </row>
    <row r="378" spans="1:43" ht="24.95" customHeight="1" x14ac:dyDescent="0.25">
      <c r="A378" s="2">
        <v>338</v>
      </c>
      <c r="B378" s="349"/>
      <c r="C378" s="350"/>
      <c r="D378" s="351"/>
      <c r="E378" s="351"/>
      <c r="F378" s="336"/>
      <c r="G378" s="327"/>
      <c r="H378" s="327"/>
      <c r="I378" s="325">
        <f t="shared" si="41"/>
        <v>0</v>
      </c>
      <c r="J378" s="540" t="s">
        <v>281</v>
      </c>
      <c r="K378" s="540"/>
      <c r="L378" s="337">
        <f>IFERROR(IF(F378="Sem projeto",VLOOKUP(C378,$B$32:$H$34,7,FALSE)*1.5,G378*VLOOKUP(J378,Aux_Lista!$AG:$AH,2,FALSE)+H378)*E378,0)</f>
        <v>0</v>
      </c>
      <c r="M378" s="346" t="s">
        <v>90</v>
      </c>
      <c r="N378" s="347" t="s">
        <v>90</v>
      </c>
      <c r="O378" s="348" t="s">
        <v>90</v>
      </c>
      <c r="P378" s="386">
        <f t="shared" si="42"/>
        <v>0</v>
      </c>
      <c r="R378" s="94">
        <v>347</v>
      </c>
      <c r="S378" s="383"/>
      <c r="T378" s="214"/>
      <c r="U378" s="214"/>
      <c r="V378" s="217"/>
      <c r="W378" s="215"/>
      <c r="X378" s="336"/>
      <c r="Y378" s="68" t="str">
        <f>IF(V378="","",VLOOKUP(V378,Aux_Lista!A:K,11,FALSE))</f>
        <v/>
      </c>
      <c r="Z378" s="68" t="str">
        <f>IF(V378="","",VLOOKUP(V378,Aux_Lista!A:L,12,FALSE))</f>
        <v/>
      </c>
      <c r="AA378" s="68" t="str">
        <f>IF(W378="","",VLOOKUP(W378,Aux_Lista!AN:AP,3,FALSE))</f>
        <v/>
      </c>
      <c r="AB378" s="68" t="str">
        <f>IF(W378="","",VLOOKUP(W378,Aux_Lista!AN:AP,2,FALSE))</f>
        <v/>
      </c>
      <c r="AC378" s="69"/>
      <c r="AD378" s="69"/>
      <c r="AE378" s="325">
        <f t="shared" si="36"/>
        <v>0</v>
      </c>
      <c r="AF378" s="540" t="s">
        <v>281</v>
      </c>
      <c r="AG378" s="540"/>
      <c r="AH378" s="337">
        <f>IFERROR(IF(X378="Sem projeto",1.5*AA378,AC378*VLOOKUP(AF378,Aux_Lista!AG:AH,2,FALSE)+AD378)*U378,0)</f>
        <v>0</v>
      </c>
      <c r="AI378" s="343" t="s">
        <v>90</v>
      </c>
      <c r="AJ378" s="343" t="s">
        <v>90</v>
      </c>
      <c r="AK378" s="343" t="s">
        <v>90</v>
      </c>
      <c r="AL378" s="333" t="str">
        <f t="shared" si="37"/>
        <v/>
      </c>
      <c r="AM378" s="334" t="str">
        <f t="shared" si="38"/>
        <v/>
      </c>
      <c r="AN378" s="333" t="str">
        <f t="shared" si="39"/>
        <v/>
      </c>
      <c r="AO378" s="334" t="str">
        <f t="shared" si="40"/>
        <v/>
      </c>
      <c r="AP378" s="44"/>
      <c r="AQ378" s="2"/>
    </row>
    <row r="379" spans="1:43" ht="24.95" customHeight="1" x14ac:dyDescent="0.25">
      <c r="A379" s="2">
        <v>339</v>
      </c>
      <c r="B379" s="349"/>
      <c r="C379" s="350"/>
      <c r="D379" s="351"/>
      <c r="E379" s="351"/>
      <c r="F379" s="336"/>
      <c r="G379" s="327"/>
      <c r="H379" s="327"/>
      <c r="I379" s="325">
        <f t="shared" si="41"/>
        <v>0</v>
      </c>
      <c r="J379" s="540" t="s">
        <v>281</v>
      </c>
      <c r="K379" s="540"/>
      <c r="L379" s="337">
        <f>IFERROR(IF(F379="Sem projeto",VLOOKUP(C379,$B$32:$H$34,7,FALSE)*1.5,G379*VLOOKUP(J379,Aux_Lista!$AG:$AH,2,FALSE)+H379)*E379,0)</f>
        <v>0</v>
      </c>
      <c r="M379" s="346" t="s">
        <v>90</v>
      </c>
      <c r="N379" s="347" t="s">
        <v>90</v>
      </c>
      <c r="O379" s="348" t="s">
        <v>90</v>
      </c>
      <c r="P379" s="386">
        <f t="shared" si="42"/>
        <v>0</v>
      </c>
      <c r="R379" s="94">
        <v>348</v>
      </c>
      <c r="S379" s="383"/>
      <c r="T379" s="214"/>
      <c r="U379" s="214"/>
      <c r="V379" s="217"/>
      <c r="W379" s="215"/>
      <c r="X379" s="336"/>
      <c r="Y379" s="68" t="str">
        <f>IF(V379="","",VLOOKUP(V379,Aux_Lista!A:K,11,FALSE))</f>
        <v/>
      </c>
      <c r="Z379" s="68" t="str">
        <f>IF(V379="","",VLOOKUP(V379,Aux_Lista!A:L,12,FALSE))</f>
        <v/>
      </c>
      <c r="AA379" s="68" t="str">
        <f>IF(W379="","",VLOOKUP(W379,Aux_Lista!AN:AP,3,FALSE))</f>
        <v/>
      </c>
      <c r="AB379" s="68" t="str">
        <f>IF(W379="","",VLOOKUP(W379,Aux_Lista!AN:AP,2,FALSE))</f>
        <v/>
      </c>
      <c r="AC379" s="69"/>
      <c r="AD379" s="69"/>
      <c r="AE379" s="325">
        <f t="shared" si="36"/>
        <v>0</v>
      </c>
      <c r="AF379" s="540" t="s">
        <v>281</v>
      </c>
      <c r="AG379" s="540"/>
      <c r="AH379" s="337">
        <f>IFERROR(IF(X379="Sem projeto",1.5*AA379,AC379*VLOOKUP(AF379,Aux_Lista!AG:AH,2,FALSE)+AD379)*U379,0)</f>
        <v>0</v>
      </c>
      <c r="AI379" s="343" t="s">
        <v>90</v>
      </c>
      <c r="AJ379" s="343" t="s">
        <v>90</v>
      </c>
      <c r="AK379" s="343" t="s">
        <v>90</v>
      </c>
      <c r="AL379" s="333" t="str">
        <f t="shared" si="37"/>
        <v/>
      </c>
      <c r="AM379" s="334" t="str">
        <f t="shared" si="38"/>
        <v/>
      </c>
      <c r="AN379" s="333" t="str">
        <f t="shared" si="39"/>
        <v/>
      </c>
      <c r="AO379" s="334" t="str">
        <f t="shared" si="40"/>
        <v/>
      </c>
      <c r="AP379" s="44"/>
      <c r="AQ379" s="2"/>
    </row>
    <row r="380" spans="1:43" ht="24.95" customHeight="1" x14ac:dyDescent="0.25">
      <c r="A380" s="2">
        <v>340</v>
      </c>
      <c r="B380" s="349"/>
      <c r="C380" s="350"/>
      <c r="D380" s="351"/>
      <c r="E380" s="351"/>
      <c r="F380" s="336"/>
      <c r="G380" s="327"/>
      <c r="H380" s="327"/>
      <c r="I380" s="325">
        <f t="shared" si="41"/>
        <v>0</v>
      </c>
      <c r="J380" s="540" t="s">
        <v>281</v>
      </c>
      <c r="K380" s="540"/>
      <c r="L380" s="337">
        <f>IFERROR(IF(F380="Sem projeto",VLOOKUP(C380,$B$32:$H$34,7,FALSE)*1.5,G380*VLOOKUP(J380,Aux_Lista!$AG:$AH,2,FALSE)+H380)*E380,0)</f>
        <v>0</v>
      </c>
      <c r="M380" s="346" t="s">
        <v>90</v>
      </c>
      <c r="N380" s="347" t="s">
        <v>90</v>
      </c>
      <c r="O380" s="348" t="s">
        <v>90</v>
      </c>
      <c r="P380" s="386">
        <f t="shared" si="42"/>
        <v>0</v>
      </c>
      <c r="R380" s="94">
        <v>349</v>
      </c>
      <c r="S380" s="383"/>
      <c r="T380" s="214"/>
      <c r="U380" s="214"/>
      <c r="V380" s="217"/>
      <c r="W380" s="215"/>
      <c r="X380" s="336"/>
      <c r="Y380" s="68" t="str">
        <f>IF(V380="","",VLOOKUP(V380,Aux_Lista!A:K,11,FALSE))</f>
        <v/>
      </c>
      <c r="Z380" s="68" t="str">
        <f>IF(V380="","",VLOOKUP(V380,Aux_Lista!A:L,12,FALSE))</f>
        <v/>
      </c>
      <c r="AA380" s="68" t="str">
        <f>IF(W380="","",VLOOKUP(W380,Aux_Lista!AN:AP,3,FALSE))</f>
        <v/>
      </c>
      <c r="AB380" s="68" t="str">
        <f>IF(W380="","",VLOOKUP(W380,Aux_Lista!AN:AP,2,FALSE))</f>
        <v/>
      </c>
      <c r="AC380" s="69"/>
      <c r="AD380" s="69"/>
      <c r="AE380" s="325">
        <f t="shared" si="36"/>
        <v>0</v>
      </c>
      <c r="AF380" s="540" t="s">
        <v>281</v>
      </c>
      <c r="AG380" s="540"/>
      <c r="AH380" s="337">
        <f>IFERROR(IF(X380="Sem projeto",1.5*AA380,AC380*VLOOKUP(AF380,Aux_Lista!AG:AH,2,FALSE)+AD380)*U380,0)</f>
        <v>0</v>
      </c>
      <c r="AI380" s="343" t="s">
        <v>90</v>
      </c>
      <c r="AJ380" s="343" t="s">
        <v>90</v>
      </c>
      <c r="AK380" s="343" t="s">
        <v>90</v>
      </c>
      <c r="AL380" s="333" t="str">
        <f t="shared" si="37"/>
        <v/>
      </c>
      <c r="AM380" s="334" t="str">
        <f t="shared" si="38"/>
        <v/>
      </c>
      <c r="AN380" s="333" t="str">
        <f t="shared" si="39"/>
        <v/>
      </c>
      <c r="AO380" s="334" t="str">
        <f t="shared" si="40"/>
        <v/>
      </c>
      <c r="AP380" s="44"/>
      <c r="AQ380" s="2"/>
    </row>
    <row r="381" spans="1:43" ht="24.95" customHeight="1" x14ac:dyDescent="0.25">
      <c r="A381" s="2">
        <v>341</v>
      </c>
      <c r="B381" s="349"/>
      <c r="C381" s="350"/>
      <c r="D381" s="351"/>
      <c r="E381" s="351"/>
      <c r="F381" s="336"/>
      <c r="G381" s="327"/>
      <c r="H381" s="327"/>
      <c r="I381" s="325">
        <f t="shared" si="41"/>
        <v>0</v>
      </c>
      <c r="J381" s="540" t="s">
        <v>281</v>
      </c>
      <c r="K381" s="540"/>
      <c r="L381" s="337">
        <f>IFERROR(IF(F381="Sem projeto",VLOOKUP(C381,$B$32:$H$34,7,FALSE)*1.5,G381*VLOOKUP(J381,Aux_Lista!$AG:$AH,2,FALSE)+H381)*E381,0)</f>
        <v>0</v>
      </c>
      <c r="M381" s="346" t="s">
        <v>90</v>
      </c>
      <c r="N381" s="347" t="s">
        <v>90</v>
      </c>
      <c r="O381" s="348" t="s">
        <v>90</v>
      </c>
      <c r="P381" s="386">
        <f t="shared" si="42"/>
        <v>0</v>
      </c>
      <c r="R381" s="94">
        <v>350</v>
      </c>
      <c r="S381" s="383"/>
      <c r="T381" s="214"/>
      <c r="U381" s="214"/>
      <c r="V381" s="217"/>
      <c r="W381" s="215"/>
      <c r="X381" s="336"/>
      <c r="Y381" s="68" t="str">
        <f>IF(V381="","",VLOOKUP(V381,Aux_Lista!A:K,11,FALSE))</f>
        <v/>
      </c>
      <c r="Z381" s="68" t="str">
        <f>IF(V381="","",VLOOKUP(V381,Aux_Lista!A:L,12,FALSE))</f>
        <v/>
      </c>
      <c r="AA381" s="68" t="str">
        <f>IF(W381="","",VLOOKUP(W381,Aux_Lista!AN:AP,3,FALSE))</f>
        <v/>
      </c>
      <c r="AB381" s="68" t="str">
        <f>IF(W381="","",VLOOKUP(W381,Aux_Lista!AN:AP,2,FALSE))</f>
        <v/>
      </c>
      <c r="AC381" s="69"/>
      <c r="AD381" s="69"/>
      <c r="AE381" s="325">
        <f t="shared" si="36"/>
        <v>0</v>
      </c>
      <c r="AF381" s="540" t="s">
        <v>281</v>
      </c>
      <c r="AG381" s="540"/>
      <c r="AH381" s="337">
        <f>IFERROR(IF(X381="Sem projeto",1.5*AA381,AC381*VLOOKUP(AF381,Aux_Lista!AG:AH,2,FALSE)+AD381)*U381,0)</f>
        <v>0</v>
      </c>
      <c r="AI381" s="343" t="s">
        <v>90</v>
      </c>
      <c r="AJ381" s="343" t="s">
        <v>90</v>
      </c>
      <c r="AK381" s="343" t="s">
        <v>90</v>
      </c>
      <c r="AL381" s="333" t="str">
        <f t="shared" si="37"/>
        <v/>
      </c>
      <c r="AM381" s="334" t="str">
        <f t="shared" si="38"/>
        <v/>
      </c>
      <c r="AN381" s="333" t="str">
        <f t="shared" si="39"/>
        <v/>
      </c>
      <c r="AO381" s="334" t="str">
        <f t="shared" si="40"/>
        <v/>
      </c>
      <c r="AP381" s="44"/>
      <c r="AQ381" s="2"/>
    </row>
    <row r="382" spans="1:43" ht="24.95" customHeight="1" x14ac:dyDescent="0.25">
      <c r="A382" s="2">
        <v>342</v>
      </c>
      <c r="B382" s="349"/>
      <c r="C382" s="350"/>
      <c r="D382" s="351"/>
      <c r="E382" s="351"/>
      <c r="F382" s="336"/>
      <c r="G382" s="327"/>
      <c r="H382" s="327"/>
      <c r="I382" s="325">
        <f t="shared" si="41"/>
        <v>0</v>
      </c>
      <c r="J382" s="540" t="s">
        <v>281</v>
      </c>
      <c r="K382" s="540"/>
      <c r="L382" s="337">
        <f>IFERROR(IF(F382="Sem projeto",VLOOKUP(C382,$B$32:$H$34,7,FALSE)*1.5,G382*VLOOKUP(J382,Aux_Lista!$AG:$AH,2,FALSE)+H382)*E382,0)</f>
        <v>0</v>
      </c>
      <c r="M382" s="346" t="s">
        <v>90</v>
      </c>
      <c r="N382" s="347" t="s">
        <v>90</v>
      </c>
      <c r="O382" s="348" t="s">
        <v>90</v>
      </c>
      <c r="P382" s="386">
        <f t="shared" si="42"/>
        <v>0</v>
      </c>
      <c r="R382" s="94">
        <v>351</v>
      </c>
      <c r="S382" s="383"/>
      <c r="T382" s="214"/>
      <c r="U382" s="214"/>
      <c r="V382" s="217"/>
      <c r="W382" s="215"/>
      <c r="X382" s="336"/>
      <c r="Y382" s="68" t="str">
        <f>IF(V382="","",VLOOKUP(V382,Aux_Lista!A:K,11,FALSE))</f>
        <v/>
      </c>
      <c r="Z382" s="68" t="str">
        <f>IF(V382="","",VLOOKUP(V382,Aux_Lista!A:L,12,FALSE))</f>
        <v/>
      </c>
      <c r="AA382" s="68" t="str">
        <f>IF(W382="","",VLOOKUP(W382,Aux_Lista!AN:AP,3,FALSE))</f>
        <v/>
      </c>
      <c r="AB382" s="68" t="str">
        <f>IF(W382="","",VLOOKUP(W382,Aux_Lista!AN:AP,2,FALSE))</f>
        <v/>
      </c>
      <c r="AC382" s="69"/>
      <c r="AD382" s="69"/>
      <c r="AE382" s="325">
        <f t="shared" si="36"/>
        <v>0</v>
      </c>
      <c r="AF382" s="540" t="s">
        <v>281</v>
      </c>
      <c r="AG382" s="540"/>
      <c r="AH382" s="337">
        <f>IFERROR(IF(X382="Sem projeto",1.5*AA382,AC382*VLOOKUP(AF382,Aux_Lista!AG:AH,2,FALSE)+AD382)*U382,0)</f>
        <v>0</v>
      </c>
      <c r="AI382" s="343" t="s">
        <v>90</v>
      </c>
      <c r="AJ382" s="343" t="s">
        <v>90</v>
      </c>
      <c r="AK382" s="343" t="s">
        <v>90</v>
      </c>
      <c r="AL382" s="333" t="str">
        <f t="shared" si="37"/>
        <v/>
      </c>
      <c r="AM382" s="334" t="str">
        <f t="shared" si="38"/>
        <v/>
      </c>
      <c r="AN382" s="333" t="str">
        <f t="shared" si="39"/>
        <v/>
      </c>
      <c r="AO382" s="334" t="str">
        <f t="shared" si="40"/>
        <v/>
      </c>
      <c r="AP382" s="44"/>
      <c r="AQ382" s="2"/>
    </row>
    <row r="383" spans="1:43" ht="24.95" customHeight="1" x14ac:dyDescent="0.25">
      <c r="A383" s="2">
        <v>343</v>
      </c>
      <c r="B383" s="349"/>
      <c r="C383" s="350"/>
      <c r="D383" s="351"/>
      <c r="E383" s="351"/>
      <c r="F383" s="336"/>
      <c r="G383" s="327"/>
      <c r="H383" s="327"/>
      <c r="I383" s="325">
        <f t="shared" si="41"/>
        <v>0</v>
      </c>
      <c r="J383" s="540" t="s">
        <v>281</v>
      </c>
      <c r="K383" s="540"/>
      <c r="L383" s="337">
        <f>IFERROR(IF(F383="Sem projeto",VLOOKUP(C383,$B$32:$H$34,7,FALSE)*1.5,G383*VLOOKUP(J383,Aux_Lista!$AG:$AH,2,FALSE)+H383)*E383,0)</f>
        <v>0</v>
      </c>
      <c r="M383" s="346" t="s">
        <v>90</v>
      </c>
      <c r="N383" s="347" t="s">
        <v>90</v>
      </c>
      <c r="O383" s="348" t="s">
        <v>90</v>
      </c>
      <c r="P383" s="386">
        <f t="shared" si="42"/>
        <v>0</v>
      </c>
      <c r="R383" s="94">
        <v>352</v>
      </c>
      <c r="S383" s="383"/>
      <c r="T383" s="214"/>
      <c r="U383" s="214"/>
      <c r="V383" s="217"/>
      <c r="W383" s="215"/>
      <c r="X383" s="336"/>
      <c r="Y383" s="68" t="str">
        <f>IF(V383="","",VLOOKUP(V383,Aux_Lista!A:K,11,FALSE))</f>
        <v/>
      </c>
      <c r="Z383" s="68" t="str">
        <f>IF(V383="","",VLOOKUP(V383,Aux_Lista!A:L,12,FALSE))</f>
        <v/>
      </c>
      <c r="AA383" s="68" t="str">
        <f>IF(W383="","",VLOOKUP(W383,Aux_Lista!AN:AP,3,FALSE))</f>
        <v/>
      </c>
      <c r="AB383" s="68" t="str">
        <f>IF(W383="","",VLOOKUP(W383,Aux_Lista!AN:AP,2,FALSE))</f>
        <v/>
      </c>
      <c r="AC383" s="69"/>
      <c r="AD383" s="69"/>
      <c r="AE383" s="325">
        <f t="shared" si="36"/>
        <v>0</v>
      </c>
      <c r="AF383" s="540" t="s">
        <v>281</v>
      </c>
      <c r="AG383" s="540"/>
      <c r="AH383" s="337">
        <f>IFERROR(IF(X383="Sem projeto",1.5*AA383,AC383*VLOOKUP(AF383,Aux_Lista!AG:AH,2,FALSE)+AD383)*U383,0)</f>
        <v>0</v>
      </c>
      <c r="AI383" s="343" t="s">
        <v>90</v>
      </c>
      <c r="AJ383" s="343" t="s">
        <v>90</v>
      </c>
      <c r="AK383" s="343" t="s">
        <v>90</v>
      </c>
      <c r="AL383" s="333" t="str">
        <f t="shared" si="37"/>
        <v/>
      </c>
      <c r="AM383" s="334" t="str">
        <f t="shared" si="38"/>
        <v/>
      </c>
      <c r="AN383" s="333" t="str">
        <f t="shared" si="39"/>
        <v/>
      </c>
      <c r="AO383" s="334" t="str">
        <f t="shared" si="40"/>
        <v/>
      </c>
      <c r="AP383" s="44"/>
      <c r="AQ383" s="2"/>
    </row>
    <row r="384" spans="1:43" ht="24.95" customHeight="1" x14ac:dyDescent="0.25">
      <c r="A384" s="2">
        <v>344</v>
      </c>
      <c r="B384" s="349"/>
      <c r="C384" s="350"/>
      <c r="D384" s="351"/>
      <c r="E384" s="351"/>
      <c r="F384" s="336"/>
      <c r="G384" s="327"/>
      <c r="H384" s="327"/>
      <c r="I384" s="325">
        <f t="shared" si="41"/>
        <v>0</v>
      </c>
      <c r="J384" s="540" t="s">
        <v>281</v>
      </c>
      <c r="K384" s="540"/>
      <c r="L384" s="337">
        <f>IFERROR(IF(F384="Sem projeto",VLOOKUP(C384,$B$32:$H$34,7,FALSE)*1.5,G384*VLOOKUP(J384,Aux_Lista!$AG:$AH,2,FALSE)+H384)*E384,0)</f>
        <v>0</v>
      </c>
      <c r="M384" s="346" t="s">
        <v>90</v>
      </c>
      <c r="N384" s="347" t="s">
        <v>90</v>
      </c>
      <c r="O384" s="348" t="s">
        <v>90</v>
      </c>
      <c r="P384" s="386">
        <f t="shared" si="42"/>
        <v>0</v>
      </c>
      <c r="R384" s="94">
        <v>353</v>
      </c>
      <c r="S384" s="383"/>
      <c r="T384" s="214"/>
      <c r="U384" s="214"/>
      <c r="V384" s="217"/>
      <c r="W384" s="215"/>
      <c r="X384" s="336"/>
      <c r="Y384" s="68" t="str">
        <f>IF(V384="","",VLOOKUP(V384,Aux_Lista!A:K,11,FALSE))</f>
        <v/>
      </c>
      <c r="Z384" s="68" t="str">
        <f>IF(V384="","",VLOOKUP(V384,Aux_Lista!A:L,12,FALSE))</f>
        <v/>
      </c>
      <c r="AA384" s="68" t="str">
        <f>IF(W384="","",VLOOKUP(W384,Aux_Lista!AN:AP,3,FALSE))</f>
        <v/>
      </c>
      <c r="AB384" s="68" t="str">
        <f>IF(W384="","",VLOOKUP(W384,Aux_Lista!AN:AP,2,FALSE))</f>
        <v/>
      </c>
      <c r="AC384" s="69"/>
      <c r="AD384" s="69"/>
      <c r="AE384" s="325">
        <f t="shared" si="36"/>
        <v>0</v>
      </c>
      <c r="AF384" s="540" t="s">
        <v>281</v>
      </c>
      <c r="AG384" s="540"/>
      <c r="AH384" s="337">
        <f>IFERROR(IF(X384="Sem projeto",1.5*AA384,AC384*VLOOKUP(AF384,Aux_Lista!AG:AH,2,FALSE)+AD384)*U384,0)</f>
        <v>0</v>
      </c>
      <c r="AI384" s="343" t="s">
        <v>90</v>
      </c>
      <c r="AJ384" s="343" t="s">
        <v>90</v>
      </c>
      <c r="AK384" s="343" t="s">
        <v>90</v>
      </c>
      <c r="AL384" s="333" t="str">
        <f t="shared" si="37"/>
        <v/>
      </c>
      <c r="AM384" s="334" t="str">
        <f t="shared" si="38"/>
        <v/>
      </c>
      <c r="AN384" s="333" t="str">
        <f t="shared" si="39"/>
        <v/>
      </c>
      <c r="AO384" s="334" t="str">
        <f t="shared" si="40"/>
        <v/>
      </c>
      <c r="AP384" s="44"/>
      <c r="AQ384" s="2"/>
    </row>
    <row r="385" spans="1:43" ht="24.95" customHeight="1" x14ac:dyDescent="0.25">
      <c r="A385" s="2">
        <v>345</v>
      </c>
      <c r="B385" s="349"/>
      <c r="C385" s="350"/>
      <c r="D385" s="351"/>
      <c r="E385" s="351"/>
      <c r="F385" s="336"/>
      <c r="G385" s="327"/>
      <c r="H385" s="327"/>
      <c r="I385" s="325">
        <f t="shared" si="41"/>
        <v>0</v>
      </c>
      <c r="J385" s="540" t="s">
        <v>281</v>
      </c>
      <c r="K385" s="540"/>
      <c r="L385" s="337">
        <f>IFERROR(IF(F385="Sem projeto",VLOOKUP(C385,$B$32:$H$34,7,FALSE)*1.5,G385*VLOOKUP(J385,Aux_Lista!$AG:$AH,2,FALSE)+H385)*E385,0)</f>
        <v>0</v>
      </c>
      <c r="M385" s="346" t="s">
        <v>90</v>
      </c>
      <c r="N385" s="347" t="s">
        <v>90</v>
      </c>
      <c r="O385" s="348" t="s">
        <v>90</v>
      </c>
      <c r="P385" s="386">
        <f t="shared" si="42"/>
        <v>0</v>
      </c>
      <c r="R385" s="94">
        <v>354</v>
      </c>
      <c r="S385" s="383"/>
      <c r="T385" s="214"/>
      <c r="U385" s="214"/>
      <c r="V385" s="217"/>
      <c r="W385" s="215"/>
      <c r="X385" s="336"/>
      <c r="Y385" s="68" t="str">
        <f>IF(V385="","",VLOOKUP(V385,Aux_Lista!A:K,11,FALSE))</f>
        <v/>
      </c>
      <c r="Z385" s="68" t="str">
        <f>IF(V385="","",VLOOKUP(V385,Aux_Lista!A:L,12,FALSE))</f>
        <v/>
      </c>
      <c r="AA385" s="68" t="str">
        <f>IF(W385="","",VLOOKUP(W385,Aux_Lista!AN:AP,3,FALSE))</f>
        <v/>
      </c>
      <c r="AB385" s="68" t="str">
        <f>IF(W385="","",VLOOKUP(W385,Aux_Lista!AN:AP,2,FALSE))</f>
        <v/>
      </c>
      <c r="AC385" s="69"/>
      <c r="AD385" s="69"/>
      <c r="AE385" s="325">
        <f t="shared" si="36"/>
        <v>0</v>
      </c>
      <c r="AF385" s="540" t="s">
        <v>281</v>
      </c>
      <c r="AG385" s="540"/>
      <c r="AH385" s="337">
        <f>IFERROR(IF(X385="Sem projeto",1.5*AA385,AC385*VLOOKUP(AF385,Aux_Lista!AG:AH,2,FALSE)+AD385)*U385,0)</f>
        <v>0</v>
      </c>
      <c r="AI385" s="343" t="s">
        <v>90</v>
      </c>
      <c r="AJ385" s="343" t="s">
        <v>90</v>
      </c>
      <c r="AK385" s="343" t="s">
        <v>90</v>
      </c>
      <c r="AL385" s="333" t="str">
        <f t="shared" si="37"/>
        <v/>
      </c>
      <c r="AM385" s="334" t="str">
        <f t="shared" si="38"/>
        <v/>
      </c>
      <c r="AN385" s="333" t="str">
        <f t="shared" si="39"/>
        <v/>
      </c>
      <c r="AO385" s="334" t="str">
        <f t="shared" si="40"/>
        <v/>
      </c>
      <c r="AP385" s="44"/>
      <c r="AQ385" s="2"/>
    </row>
    <row r="386" spans="1:43" ht="24.95" customHeight="1" x14ac:dyDescent="0.25">
      <c r="A386" s="2">
        <v>346</v>
      </c>
      <c r="B386" s="349"/>
      <c r="C386" s="350"/>
      <c r="D386" s="351"/>
      <c r="E386" s="351"/>
      <c r="F386" s="336"/>
      <c r="G386" s="327"/>
      <c r="H386" s="327"/>
      <c r="I386" s="325">
        <f t="shared" si="41"/>
        <v>0</v>
      </c>
      <c r="J386" s="540" t="s">
        <v>281</v>
      </c>
      <c r="K386" s="540"/>
      <c r="L386" s="337">
        <f>IFERROR(IF(F386="Sem projeto",VLOOKUP(C386,$B$32:$H$34,7,FALSE)*1.5,G386*VLOOKUP(J386,Aux_Lista!$AG:$AH,2,FALSE)+H386)*E386,0)</f>
        <v>0</v>
      </c>
      <c r="M386" s="346" t="s">
        <v>90</v>
      </c>
      <c r="N386" s="347" t="s">
        <v>90</v>
      </c>
      <c r="O386" s="348" t="s">
        <v>90</v>
      </c>
      <c r="P386" s="386">
        <f t="shared" si="42"/>
        <v>0</v>
      </c>
      <c r="R386" s="94">
        <v>355</v>
      </c>
      <c r="S386" s="383"/>
      <c r="T386" s="214"/>
      <c r="U386" s="214"/>
      <c r="V386" s="217"/>
      <c r="W386" s="215"/>
      <c r="X386" s="336"/>
      <c r="Y386" s="68" t="str">
        <f>IF(V386="","",VLOOKUP(V386,Aux_Lista!A:K,11,FALSE))</f>
        <v/>
      </c>
      <c r="Z386" s="68" t="str">
        <f>IF(V386="","",VLOOKUP(V386,Aux_Lista!A:L,12,FALSE))</f>
        <v/>
      </c>
      <c r="AA386" s="68" t="str">
        <f>IF(W386="","",VLOOKUP(W386,Aux_Lista!AN:AP,3,FALSE))</f>
        <v/>
      </c>
      <c r="AB386" s="68" t="str">
        <f>IF(W386="","",VLOOKUP(W386,Aux_Lista!AN:AP,2,FALSE))</f>
        <v/>
      </c>
      <c r="AC386" s="69"/>
      <c r="AD386" s="69"/>
      <c r="AE386" s="325">
        <f t="shared" si="36"/>
        <v>0</v>
      </c>
      <c r="AF386" s="540" t="s">
        <v>281</v>
      </c>
      <c r="AG386" s="540"/>
      <c r="AH386" s="337">
        <f>IFERROR(IF(X386="Sem projeto",1.5*AA386,AC386*VLOOKUP(AF386,Aux_Lista!AG:AH,2,FALSE)+AD386)*U386,0)</f>
        <v>0</v>
      </c>
      <c r="AI386" s="343" t="s">
        <v>90</v>
      </c>
      <c r="AJ386" s="343" t="s">
        <v>90</v>
      </c>
      <c r="AK386" s="343" t="s">
        <v>90</v>
      </c>
      <c r="AL386" s="333" t="str">
        <f t="shared" si="37"/>
        <v/>
      </c>
      <c r="AM386" s="334" t="str">
        <f t="shared" si="38"/>
        <v/>
      </c>
      <c r="AN386" s="333" t="str">
        <f t="shared" si="39"/>
        <v/>
      </c>
      <c r="AO386" s="334" t="str">
        <f t="shared" si="40"/>
        <v/>
      </c>
      <c r="AP386" s="44"/>
      <c r="AQ386" s="2"/>
    </row>
    <row r="387" spans="1:43" ht="24.95" customHeight="1" x14ac:dyDescent="0.25">
      <c r="A387" s="2">
        <v>347</v>
      </c>
      <c r="B387" s="349"/>
      <c r="C387" s="350"/>
      <c r="D387" s="351"/>
      <c r="E387" s="351"/>
      <c r="F387" s="336"/>
      <c r="G387" s="327"/>
      <c r="H387" s="327"/>
      <c r="I387" s="325">
        <f t="shared" si="41"/>
        <v>0</v>
      </c>
      <c r="J387" s="540" t="s">
        <v>281</v>
      </c>
      <c r="K387" s="540"/>
      <c r="L387" s="337">
        <f>IFERROR(IF(F387="Sem projeto",VLOOKUP(C387,$B$32:$H$34,7,FALSE)*1.5,G387*VLOOKUP(J387,Aux_Lista!$AG:$AH,2,FALSE)+H387)*E387,0)</f>
        <v>0</v>
      </c>
      <c r="M387" s="346" t="s">
        <v>90</v>
      </c>
      <c r="N387" s="347" t="s">
        <v>90</v>
      </c>
      <c r="O387" s="348" t="s">
        <v>90</v>
      </c>
      <c r="P387" s="386">
        <f t="shared" si="42"/>
        <v>0</v>
      </c>
      <c r="R387" s="94">
        <v>356</v>
      </c>
      <c r="S387" s="383"/>
      <c r="T387" s="214"/>
      <c r="U387" s="214"/>
      <c r="V387" s="217"/>
      <c r="W387" s="215"/>
      <c r="X387" s="336"/>
      <c r="Y387" s="68" t="str">
        <f>IF(V387="","",VLOOKUP(V387,Aux_Lista!A:K,11,FALSE))</f>
        <v/>
      </c>
      <c r="Z387" s="68" t="str">
        <f>IF(V387="","",VLOOKUP(V387,Aux_Lista!A:L,12,FALSE))</f>
        <v/>
      </c>
      <c r="AA387" s="68" t="str">
        <f>IF(W387="","",VLOOKUP(W387,Aux_Lista!AN:AP,3,FALSE))</f>
        <v/>
      </c>
      <c r="AB387" s="68" t="str">
        <f>IF(W387="","",VLOOKUP(W387,Aux_Lista!AN:AP,2,FALSE))</f>
        <v/>
      </c>
      <c r="AC387" s="69"/>
      <c r="AD387" s="69"/>
      <c r="AE387" s="325">
        <f t="shared" si="36"/>
        <v>0</v>
      </c>
      <c r="AF387" s="540" t="s">
        <v>281</v>
      </c>
      <c r="AG387" s="540"/>
      <c r="AH387" s="337">
        <f>IFERROR(IF(X387="Sem projeto",1.5*AA387,AC387*VLOOKUP(AF387,Aux_Lista!AG:AH,2,FALSE)+AD387)*U387,0)</f>
        <v>0</v>
      </c>
      <c r="AI387" s="343" t="s">
        <v>90</v>
      </c>
      <c r="AJ387" s="343" t="s">
        <v>90</v>
      </c>
      <c r="AK387" s="343" t="s">
        <v>90</v>
      </c>
      <c r="AL387" s="333" t="str">
        <f t="shared" si="37"/>
        <v/>
      </c>
      <c r="AM387" s="334" t="str">
        <f t="shared" si="38"/>
        <v/>
      </c>
      <c r="AN387" s="333" t="str">
        <f t="shared" si="39"/>
        <v/>
      </c>
      <c r="AO387" s="334" t="str">
        <f t="shared" si="40"/>
        <v/>
      </c>
      <c r="AP387" s="44"/>
      <c r="AQ387" s="2"/>
    </row>
    <row r="388" spans="1:43" ht="24.95" customHeight="1" x14ac:dyDescent="0.25">
      <c r="A388" s="2">
        <v>348</v>
      </c>
      <c r="B388" s="349"/>
      <c r="C388" s="350"/>
      <c r="D388" s="351"/>
      <c r="E388" s="351"/>
      <c r="F388" s="336"/>
      <c r="G388" s="327"/>
      <c r="H388" s="327"/>
      <c r="I388" s="325">
        <f t="shared" si="41"/>
        <v>0</v>
      </c>
      <c r="J388" s="540" t="s">
        <v>281</v>
      </c>
      <c r="K388" s="540"/>
      <c r="L388" s="337">
        <f>IFERROR(IF(F388="Sem projeto",VLOOKUP(C388,$B$32:$H$34,7,FALSE)*1.5,G388*VLOOKUP(J388,Aux_Lista!$AG:$AH,2,FALSE)+H388)*E388,0)</f>
        <v>0</v>
      </c>
      <c r="M388" s="346" t="s">
        <v>90</v>
      </c>
      <c r="N388" s="347" t="s">
        <v>90</v>
      </c>
      <c r="O388" s="348" t="s">
        <v>90</v>
      </c>
      <c r="P388" s="386">
        <f t="shared" si="42"/>
        <v>0</v>
      </c>
      <c r="R388" s="94">
        <v>357</v>
      </c>
      <c r="S388" s="383"/>
      <c r="T388" s="214"/>
      <c r="U388" s="214"/>
      <c r="V388" s="217"/>
      <c r="W388" s="215"/>
      <c r="X388" s="336"/>
      <c r="Y388" s="68" t="str">
        <f>IF(V388="","",VLOOKUP(V388,Aux_Lista!A:K,11,FALSE))</f>
        <v/>
      </c>
      <c r="Z388" s="68" t="str">
        <f>IF(V388="","",VLOOKUP(V388,Aux_Lista!A:L,12,FALSE))</f>
        <v/>
      </c>
      <c r="AA388" s="68" t="str">
        <f>IF(W388="","",VLOOKUP(W388,Aux_Lista!AN:AP,3,FALSE))</f>
        <v/>
      </c>
      <c r="AB388" s="68" t="str">
        <f>IF(W388="","",VLOOKUP(W388,Aux_Lista!AN:AP,2,FALSE))</f>
        <v/>
      </c>
      <c r="AC388" s="69"/>
      <c r="AD388" s="69"/>
      <c r="AE388" s="325">
        <f t="shared" si="36"/>
        <v>0</v>
      </c>
      <c r="AF388" s="540" t="s">
        <v>281</v>
      </c>
      <c r="AG388" s="540"/>
      <c r="AH388" s="337">
        <f>IFERROR(IF(X388="Sem projeto",1.5*AA388,AC388*VLOOKUP(AF388,Aux_Lista!AG:AH,2,FALSE)+AD388)*U388,0)</f>
        <v>0</v>
      </c>
      <c r="AI388" s="343" t="s">
        <v>90</v>
      </c>
      <c r="AJ388" s="343" t="s">
        <v>90</v>
      </c>
      <c r="AK388" s="343" t="s">
        <v>90</v>
      </c>
      <c r="AL388" s="333" t="str">
        <f t="shared" si="37"/>
        <v/>
      </c>
      <c r="AM388" s="334" t="str">
        <f t="shared" si="38"/>
        <v/>
      </c>
      <c r="AN388" s="333" t="str">
        <f t="shared" si="39"/>
        <v/>
      </c>
      <c r="AO388" s="334" t="str">
        <f t="shared" si="40"/>
        <v/>
      </c>
      <c r="AP388" s="44"/>
      <c r="AQ388" s="2"/>
    </row>
    <row r="389" spans="1:43" ht="24.95" customHeight="1" x14ac:dyDescent="0.25">
      <c r="A389" s="2">
        <v>349</v>
      </c>
      <c r="B389" s="349"/>
      <c r="C389" s="350"/>
      <c r="D389" s="351"/>
      <c r="E389" s="351"/>
      <c r="F389" s="336"/>
      <c r="G389" s="327"/>
      <c r="H389" s="327"/>
      <c r="I389" s="325">
        <f t="shared" si="41"/>
        <v>0</v>
      </c>
      <c r="J389" s="540" t="s">
        <v>281</v>
      </c>
      <c r="K389" s="540"/>
      <c r="L389" s="337">
        <f>IFERROR(IF(F389="Sem projeto",VLOOKUP(C389,$B$32:$H$34,7,FALSE)*1.5,G389*VLOOKUP(J389,Aux_Lista!$AG:$AH,2,FALSE)+H389)*E389,0)</f>
        <v>0</v>
      </c>
      <c r="M389" s="346" t="s">
        <v>90</v>
      </c>
      <c r="N389" s="347" t="s">
        <v>90</v>
      </c>
      <c r="O389" s="348" t="s">
        <v>90</v>
      </c>
      <c r="P389" s="386">
        <f t="shared" si="42"/>
        <v>0</v>
      </c>
      <c r="R389" s="94">
        <v>358</v>
      </c>
      <c r="S389" s="383"/>
      <c r="T389" s="214"/>
      <c r="U389" s="214"/>
      <c r="V389" s="217"/>
      <c r="W389" s="215"/>
      <c r="X389" s="336"/>
      <c r="Y389" s="68" t="str">
        <f>IF(V389="","",VLOOKUP(V389,Aux_Lista!A:K,11,FALSE))</f>
        <v/>
      </c>
      <c r="Z389" s="68" t="str">
        <f>IF(V389="","",VLOOKUP(V389,Aux_Lista!A:L,12,FALSE))</f>
        <v/>
      </c>
      <c r="AA389" s="68" t="str">
        <f>IF(W389="","",VLOOKUP(W389,Aux_Lista!AN:AP,3,FALSE))</f>
        <v/>
      </c>
      <c r="AB389" s="68" t="str">
        <f>IF(W389="","",VLOOKUP(W389,Aux_Lista!AN:AP,2,FALSE))</f>
        <v/>
      </c>
      <c r="AC389" s="69"/>
      <c r="AD389" s="69"/>
      <c r="AE389" s="325">
        <f t="shared" si="36"/>
        <v>0</v>
      </c>
      <c r="AF389" s="540" t="s">
        <v>281</v>
      </c>
      <c r="AG389" s="540"/>
      <c r="AH389" s="337">
        <f>IFERROR(IF(X389="Sem projeto",1.5*AA389,AC389*VLOOKUP(AF389,Aux_Lista!AG:AH,2,FALSE)+AD389)*U389,0)</f>
        <v>0</v>
      </c>
      <c r="AI389" s="343" t="s">
        <v>90</v>
      </c>
      <c r="AJ389" s="343" t="s">
        <v>90</v>
      </c>
      <c r="AK389" s="343" t="s">
        <v>90</v>
      </c>
      <c r="AL389" s="333" t="str">
        <f t="shared" si="37"/>
        <v/>
      </c>
      <c r="AM389" s="334" t="str">
        <f t="shared" si="38"/>
        <v/>
      </c>
      <c r="AN389" s="333" t="str">
        <f t="shared" si="39"/>
        <v/>
      </c>
      <c r="AO389" s="334" t="str">
        <f t="shared" si="40"/>
        <v/>
      </c>
      <c r="AP389" s="44"/>
      <c r="AQ389" s="2"/>
    </row>
    <row r="390" spans="1:43" ht="24.95" customHeight="1" x14ac:dyDescent="0.25">
      <c r="A390" s="2">
        <v>350</v>
      </c>
      <c r="B390" s="349"/>
      <c r="C390" s="350"/>
      <c r="D390" s="351"/>
      <c r="E390" s="351"/>
      <c r="F390" s="336"/>
      <c r="G390" s="327"/>
      <c r="H390" s="327"/>
      <c r="I390" s="325">
        <f t="shared" si="41"/>
        <v>0</v>
      </c>
      <c r="J390" s="540" t="s">
        <v>281</v>
      </c>
      <c r="K390" s="540"/>
      <c r="L390" s="337">
        <f>IFERROR(IF(F390="Sem projeto",VLOOKUP(C390,$B$32:$H$34,7,FALSE)*1.5,G390*VLOOKUP(J390,Aux_Lista!$AG:$AH,2,FALSE)+H390)*E390,0)</f>
        <v>0</v>
      </c>
      <c r="M390" s="346" t="s">
        <v>90</v>
      </c>
      <c r="N390" s="347" t="s">
        <v>90</v>
      </c>
      <c r="O390" s="348" t="s">
        <v>90</v>
      </c>
      <c r="P390" s="386">
        <f t="shared" si="42"/>
        <v>0</v>
      </c>
      <c r="R390" s="94">
        <v>359</v>
      </c>
      <c r="S390" s="383"/>
      <c r="T390" s="214"/>
      <c r="U390" s="214"/>
      <c r="V390" s="217"/>
      <c r="W390" s="215"/>
      <c r="X390" s="336"/>
      <c r="Y390" s="68" t="str">
        <f>IF(V390="","",VLOOKUP(V390,Aux_Lista!A:K,11,FALSE))</f>
        <v/>
      </c>
      <c r="Z390" s="68" t="str">
        <f>IF(V390="","",VLOOKUP(V390,Aux_Lista!A:L,12,FALSE))</f>
        <v/>
      </c>
      <c r="AA390" s="68" t="str">
        <f>IF(W390="","",VLOOKUP(W390,Aux_Lista!AN:AP,3,FALSE))</f>
        <v/>
      </c>
      <c r="AB390" s="68" t="str">
        <f>IF(W390="","",VLOOKUP(W390,Aux_Lista!AN:AP,2,FALSE))</f>
        <v/>
      </c>
      <c r="AC390" s="69"/>
      <c r="AD390" s="69"/>
      <c r="AE390" s="325">
        <f t="shared" si="36"/>
        <v>0</v>
      </c>
      <c r="AF390" s="540" t="s">
        <v>281</v>
      </c>
      <c r="AG390" s="540"/>
      <c r="AH390" s="337">
        <f>IFERROR(IF(X390="Sem projeto",1.5*AA390,AC390*VLOOKUP(AF390,Aux_Lista!AG:AH,2,FALSE)+AD390)*U390,0)</f>
        <v>0</v>
      </c>
      <c r="AI390" s="343" t="s">
        <v>90</v>
      </c>
      <c r="AJ390" s="343" t="s">
        <v>90</v>
      </c>
      <c r="AK390" s="343" t="s">
        <v>90</v>
      </c>
      <c r="AL390" s="333" t="str">
        <f t="shared" si="37"/>
        <v/>
      </c>
      <c r="AM390" s="334" t="str">
        <f t="shared" si="38"/>
        <v/>
      </c>
      <c r="AN390" s="333" t="str">
        <f t="shared" si="39"/>
        <v/>
      </c>
      <c r="AO390" s="334" t="str">
        <f t="shared" si="40"/>
        <v/>
      </c>
      <c r="AP390" s="44"/>
      <c r="AQ390" s="2"/>
    </row>
    <row r="391" spans="1:43" ht="24.95" customHeight="1" x14ac:dyDescent="0.25">
      <c r="A391" s="2">
        <v>351</v>
      </c>
      <c r="B391" s="349"/>
      <c r="C391" s="350"/>
      <c r="D391" s="351"/>
      <c r="E391" s="351"/>
      <c r="F391" s="336"/>
      <c r="G391" s="327"/>
      <c r="H391" s="327"/>
      <c r="I391" s="325">
        <f t="shared" si="41"/>
        <v>0</v>
      </c>
      <c r="J391" s="540" t="s">
        <v>281</v>
      </c>
      <c r="K391" s="540"/>
      <c r="L391" s="337">
        <f>IFERROR(IF(F391="Sem projeto",VLOOKUP(C391,$B$32:$H$34,7,FALSE)*1.5,G391*VLOOKUP(J391,Aux_Lista!$AG:$AH,2,FALSE)+H391)*E391,0)</f>
        <v>0</v>
      </c>
      <c r="M391" s="346" t="s">
        <v>90</v>
      </c>
      <c r="N391" s="347" t="s">
        <v>90</v>
      </c>
      <c r="O391" s="348" t="s">
        <v>90</v>
      </c>
      <c r="P391" s="386">
        <f t="shared" si="42"/>
        <v>0</v>
      </c>
      <c r="R391" s="94">
        <v>360</v>
      </c>
      <c r="S391" s="383"/>
      <c r="T391" s="214"/>
      <c r="U391" s="214"/>
      <c r="V391" s="217"/>
      <c r="W391" s="215"/>
      <c r="X391" s="336"/>
      <c r="Y391" s="68" t="str">
        <f>IF(V391="","",VLOOKUP(V391,Aux_Lista!A:K,11,FALSE))</f>
        <v/>
      </c>
      <c r="Z391" s="68" t="str">
        <f>IF(V391="","",VLOOKUP(V391,Aux_Lista!A:L,12,FALSE))</f>
        <v/>
      </c>
      <c r="AA391" s="68" t="str">
        <f>IF(W391="","",VLOOKUP(W391,Aux_Lista!AN:AP,3,FALSE))</f>
        <v/>
      </c>
      <c r="AB391" s="68" t="str">
        <f>IF(W391="","",VLOOKUP(W391,Aux_Lista!AN:AP,2,FALSE))</f>
        <v/>
      </c>
      <c r="AC391" s="69"/>
      <c r="AD391" s="69"/>
      <c r="AE391" s="325">
        <f t="shared" si="36"/>
        <v>0</v>
      </c>
      <c r="AF391" s="540" t="s">
        <v>281</v>
      </c>
      <c r="AG391" s="540"/>
      <c r="AH391" s="337">
        <f>IFERROR(IF(X391="Sem projeto",1.5*AA391,AC391*VLOOKUP(AF391,Aux_Lista!AG:AH,2,FALSE)+AD391)*U391,0)</f>
        <v>0</v>
      </c>
      <c r="AI391" s="343" t="s">
        <v>90</v>
      </c>
      <c r="AJ391" s="343" t="s">
        <v>90</v>
      </c>
      <c r="AK391" s="343" t="s">
        <v>90</v>
      </c>
      <c r="AL391" s="333" t="str">
        <f t="shared" si="37"/>
        <v/>
      </c>
      <c r="AM391" s="334" t="str">
        <f t="shared" si="38"/>
        <v/>
      </c>
      <c r="AN391" s="333" t="str">
        <f t="shared" si="39"/>
        <v/>
      </c>
      <c r="AO391" s="334" t="str">
        <f t="shared" si="40"/>
        <v/>
      </c>
      <c r="AP391" s="44"/>
      <c r="AQ391" s="2"/>
    </row>
    <row r="392" spans="1:43" ht="24.95" customHeight="1" x14ac:dyDescent="0.25">
      <c r="A392" s="2">
        <v>352</v>
      </c>
      <c r="B392" s="349"/>
      <c r="C392" s="350"/>
      <c r="D392" s="351"/>
      <c r="E392" s="351"/>
      <c r="F392" s="336"/>
      <c r="G392" s="327"/>
      <c r="H392" s="327"/>
      <c r="I392" s="325">
        <f t="shared" si="41"/>
        <v>0</v>
      </c>
      <c r="J392" s="540" t="s">
        <v>281</v>
      </c>
      <c r="K392" s="540"/>
      <c r="L392" s="337">
        <f>IFERROR(IF(F392="Sem projeto",VLOOKUP(C392,$B$32:$H$34,7,FALSE)*1.5,G392*VLOOKUP(J392,Aux_Lista!$AG:$AH,2,FALSE)+H392)*E392,0)</f>
        <v>0</v>
      </c>
      <c r="M392" s="346" t="s">
        <v>90</v>
      </c>
      <c r="N392" s="347" t="s">
        <v>90</v>
      </c>
      <c r="O392" s="348" t="s">
        <v>90</v>
      </c>
      <c r="P392" s="386">
        <f t="shared" si="42"/>
        <v>0</v>
      </c>
      <c r="R392" s="94">
        <v>361</v>
      </c>
      <c r="S392" s="383"/>
      <c r="T392" s="214"/>
      <c r="U392" s="214"/>
      <c r="V392" s="217"/>
      <c r="W392" s="215"/>
      <c r="X392" s="336"/>
      <c r="Y392" s="68" t="str">
        <f>IF(V392="","",VLOOKUP(V392,Aux_Lista!A:K,11,FALSE))</f>
        <v/>
      </c>
      <c r="Z392" s="68" t="str">
        <f>IF(V392="","",VLOOKUP(V392,Aux_Lista!A:L,12,FALSE))</f>
        <v/>
      </c>
      <c r="AA392" s="68" t="str">
        <f>IF(W392="","",VLOOKUP(W392,Aux_Lista!AN:AP,3,FALSE))</f>
        <v/>
      </c>
      <c r="AB392" s="68" t="str">
        <f>IF(W392="","",VLOOKUP(W392,Aux_Lista!AN:AP,2,FALSE))</f>
        <v/>
      </c>
      <c r="AC392" s="69"/>
      <c r="AD392" s="69"/>
      <c r="AE392" s="325">
        <f t="shared" si="36"/>
        <v>0</v>
      </c>
      <c r="AF392" s="540" t="s">
        <v>281</v>
      </c>
      <c r="AG392" s="540"/>
      <c r="AH392" s="337">
        <f>IFERROR(IF(X392="Sem projeto",1.5*AA392,AC392*VLOOKUP(AF392,Aux_Lista!AG:AH,2,FALSE)+AD392)*U392,0)</f>
        <v>0</v>
      </c>
      <c r="AI392" s="343" t="s">
        <v>90</v>
      </c>
      <c r="AJ392" s="343" t="s">
        <v>90</v>
      </c>
      <c r="AK392" s="343" t="s">
        <v>90</v>
      </c>
      <c r="AL392" s="333" t="str">
        <f t="shared" si="37"/>
        <v/>
      </c>
      <c r="AM392" s="334" t="str">
        <f t="shared" si="38"/>
        <v/>
      </c>
      <c r="AN392" s="333" t="str">
        <f t="shared" si="39"/>
        <v/>
      </c>
      <c r="AO392" s="334" t="str">
        <f t="shared" si="40"/>
        <v/>
      </c>
      <c r="AP392" s="44"/>
      <c r="AQ392" s="2"/>
    </row>
    <row r="393" spans="1:43" ht="24.95" customHeight="1" x14ac:dyDescent="0.25">
      <c r="A393" s="2">
        <v>353</v>
      </c>
      <c r="B393" s="349"/>
      <c r="C393" s="350"/>
      <c r="D393" s="351"/>
      <c r="E393" s="351"/>
      <c r="F393" s="336"/>
      <c r="G393" s="327"/>
      <c r="H393" s="327"/>
      <c r="I393" s="325">
        <f t="shared" si="41"/>
        <v>0</v>
      </c>
      <c r="J393" s="540" t="s">
        <v>281</v>
      </c>
      <c r="K393" s="540"/>
      <c r="L393" s="337">
        <f>IFERROR(IF(F393="Sem projeto",VLOOKUP(C393,$B$32:$H$34,7,FALSE)*1.5,G393*VLOOKUP(J393,Aux_Lista!$AG:$AH,2,FALSE)+H393)*E393,0)</f>
        <v>0</v>
      </c>
      <c r="M393" s="346" t="s">
        <v>90</v>
      </c>
      <c r="N393" s="347" t="s">
        <v>90</v>
      </c>
      <c r="O393" s="348" t="s">
        <v>90</v>
      </c>
      <c r="P393" s="386">
        <f t="shared" si="42"/>
        <v>0</v>
      </c>
      <c r="R393" s="94">
        <v>362</v>
      </c>
      <c r="S393" s="383"/>
      <c r="T393" s="214"/>
      <c r="U393" s="214"/>
      <c r="V393" s="217"/>
      <c r="W393" s="215"/>
      <c r="X393" s="336"/>
      <c r="Y393" s="68" t="str">
        <f>IF(V393="","",VLOOKUP(V393,Aux_Lista!A:K,11,FALSE))</f>
        <v/>
      </c>
      <c r="Z393" s="68" t="str">
        <f>IF(V393="","",VLOOKUP(V393,Aux_Lista!A:L,12,FALSE))</f>
        <v/>
      </c>
      <c r="AA393" s="68" t="str">
        <f>IF(W393="","",VLOOKUP(W393,Aux_Lista!AN:AP,3,FALSE))</f>
        <v/>
      </c>
      <c r="AB393" s="68" t="str">
        <f>IF(W393="","",VLOOKUP(W393,Aux_Lista!AN:AP,2,FALSE))</f>
        <v/>
      </c>
      <c r="AC393" s="69"/>
      <c r="AD393" s="69"/>
      <c r="AE393" s="325">
        <f t="shared" si="36"/>
        <v>0</v>
      </c>
      <c r="AF393" s="540" t="s">
        <v>281</v>
      </c>
      <c r="AG393" s="540"/>
      <c r="AH393" s="337">
        <f>IFERROR(IF(X393="Sem projeto",1.5*AA393,AC393*VLOOKUP(AF393,Aux_Lista!AG:AH,2,FALSE)+AD393)*U393,0)</f>
        <v>0</v>
      </c>
      <c r="AI393" s="343" t="s">
        <v>90</v>
      </c>
      <c r="AJ393" s="343" t="s">
        <v>90</v>
      </c>
      <c r="AK393" s="343" t="s">
        <v>90</v>
      </c>
      <c r="AL393" s="333" t="str">
        <f t="shared" si="37"/>
        <v/>
      </c>
      <c r="AM393" s="334" t="str">
        <f t="shared" si="38"/>
        <v/>
      </c>
      <c r="AN393" s="333" t="str">
        <f t="shared" si="39"/>
        <v/>
      </c>
      <c r="AO393" s="334" t="str">
        <f t="shared" si="40"/>
        <v/>
      </c>
      <c r="AP393" s="44"/>
      <c r="AQ393" s="2"/>
    </row>
    <row r="394" spans="1:43" ht="24.95" customHeight="1" x14ac:dyDescent="0.25">
      <c r="A394" s="2">
        <v>354</v>
      </c>
      <c r="B394" s="349"/>
      <c r="C394" s="350"/>
      <c r="D394" s="351"/>
      <c r="E394" s="351"/>
      <c r="F394" s="336"/>
      <c r="G394" s="327"/>
      <c r="H394" s="327"/>
      <c r="I394" s="325">
        <f t="shared" si="41"/>
        <v>0</v>
      </c>
      <c r="J394" s="540" t="s">
        <v>281</v>
      </c>
      <c r="K394" s="540"/>
      <c r="L394" s="337">
        <f>IFERROR(IF(F394="Sem projeto",VLOOKUP(C394,$B$32:$H$34,7,FALSE)*1.5,G394*VLOOKUP(J394,Aux_Lista!$AG:$AH,2,FALSE)+H394)*E394,0)</f>
        <v>0</v>
      </c>
      <c r="M394" s="346" t="s">
        <v>90</v>
      </c>
      <c r="N394" s="347" t="s">
        <v>90</v>
      </c>
      <c r="O394" s="348" t="s">
        <v>90</v>
      </c>
      <c r="P394" s="386">
        <f t="shared" si="42"/>
        <v>0</v>
      </c>
      <c r="R394" s="94">
        <v>363</v>
      </c>
      <c r="S394" s="383"/>
      <c r="T394" s="214"/>
      <c r="U394" s="214"/>
      <c r="V394" s="217"/>
      <c r="W394" s="215"/>
      <c r="X394" s="336"/>
      <c r="Y394" s="68" t="str">
        <f>IF(V394="","",VLOOKUP(V394,Aux_Lista!A:K,11,FALSE))</f>
        <v/>
      </c>
      <c r="Z394" s="68" t="str">
        <f>IF(V394="","",VLOOKUP(V394,Aux_Lista!A:L,12,FALSE))</f>
        <v/>
      </c>
      <c r="AA394" s="68" t="str">
        <f>IF(W394="","",VLOOKUP(W394,Aux_Lista!AN:AP,3,FALSE))</f>
        <v/>
      </c>
      <c r="AB394" s="68" t="str">
        <f>IF(W394="","",VLOOKUP(W394,Aux_Lista!AN:AP,2,FALSE))</f>
        <v/>
      </c>
      <c r="AC394" s="69"/>
      <c r="AD394" s="69"/>
      <c r="AE394" s="325">
        <f t="shared" si="36"/>
        <v>0</v>
      </c>
      <c r="AF394" s="540" t="s">
        <v>281</v>
      </c>
      <c r="AG394" s="540"/>
      <c r="AH394" s="337">
        <f>IFERROR(IF(X394="Sem projeto",1.5*AA394,AC394*VLOOKUP(AF394,Aux_Lista!AG:AH,2,FALSE)+AD394)*U394,0)</f>
        <v>0</v>
      </c>
      <c r="AI394" s="343" t="s">
        <v>90</v>
      </c>
      <c r="AJ394" s="343" t="s">
        <v>90</v>
      </c>
      <c r="AK394" s="343" t="s">
        <v>90</v>
      </c>
      <c r="AL394" s="333" t="str">
        <f t="shared" si="37"/>
        <v/>
      </c>
      <c r="AM394" s="334" t="str">
        <f t="shared" si="38"/>
        <v/>
      </c>
      <c r="AN394" s="333" t="str">
        <f t="shared" si="39"/>
        <v/>
      </c>
      <c r="AO394" s="334" t="str">
        <f t="shared" si="40"/>
        <v/>
      </c>
      <c r="AP394" s="44"/>
      <c r="AQ394" s="2"/>
    </row>
    <row r="395" spans="1:43" ht="24.95" customHeight="1" x14ac:dyDescent="0.25">
      <c r="A395" s="2">
        <v>355</v>
      </c>
      <c r="B395" s="349"/>
      <c r="C395" s="350"/>
      <c r="D395" s="351"/>
      <c r="E395" s="351"/>
      <c r="F395" s="336"/>
      <c r="G395" s="327"/>
      <c r="H395" s="327"/>
      <c r="I395" s="325">
        <f t="shared" si="41"/>
        <v>0</v>
      </c>
      <c r="J395" s="540" t="s">
        <v>281</v>
      </c>
      <c r="K395" s="540"/>
      <c r="L395" s="337">
        <f>IFERROR(IF(F395="Sem projeto",VLOOKUP(C395,$B$32:$H$34,7,FALSE)*1.5,G395*VLOOKUP(J395,Aux_Lista!$AG:$AH,2,FALSE)+H395)*E395,0)</f>
        <v>0</v>
      </c>
      <c r="M395" s="346" t="s">
        <v>90</v>
      </c>
      <c r="N395" s="347" t="s">
        <v>90</v>
      </c>
      <c r="O395" s="348" t="s">
        <v>90</v>
      </c>
      <c r="P395" s="386">
        <f t="shared" si="42"/>
        <v>0</v>
      </c>
      <c r="R395" s="94">
        <v>364</v>
      </c>
      <c r="S395" s="383"/>
      <c r="T395" s="214"/>
      <c r="U395" s="214"/>
      <c r="V395" s="217"/>
      <c r="W395" s="215"/>
      <c r="X395" s="336"/>
      <c r="Y395" s="68" t="str">
        <f>IF(V395="","",VLOOKUP(V395,Aux_Lista!A:K,11,FALSE))</f>
        <v/>
      </c>
      <c r="Z395" s="68" t="str">
        <f>IF(V395="","",VLOOKUP(V395,Aux_Lista!A:L,12,FALSE))</f>
        <v/>
      </c>
      <c r="AA395" s="68" t="str">
        <f>IF(W395="","",VLOOKUP(W395,Aux_Lista!AN:AP,3,FALSE))</f>
        <v/>
      </c>
      <c r="AB395" s="68" t="str">
        <f>IF(W395="","",VLOOKUP(W395,Aux_Lista!AN:AP,2,FALSE))</f>
        <v/>
      </c>
      <c r="AC395" s="69"/>
      <c r="AD395" s="69"/>
      <c r="AE395" s="325">
        <f t="shared" si="36"/>
        <v>0</v>
      </c>
      <c r="AF395" s="540" t="s">
        <v>281</v>
      </c>
      <c r="AG395" s="540"/>
      <c r="AH395" s="337">
        <f>IFERROR(IF(X395="Sem projeto",1.5*AA395,AC395*VLOOKUP(AF395,Aux_Lista!AG:AH,2,FALSE)+AD395)*U395,0)</f>
        <v>0</v>
      </c>
      <c r="AI395" s="343" t="s">
        <v>90</v>
      </c>
      <c r="AJ395" s="343" t="s">
        <v>90</v>
      </c>
      <c r="AK395" s="343" t="s">
        <v>90</v>
      </c>
      <c r="AL395" s="333" t="str">
        <f t="shared" si="37"/>
        <v/>
      </c>
      <c r="AM395" s="334" t="str">
        <f t="shared" si="38"/>
        <v/>
      </c>
      <c r="AN395" s="333" t="str">
        <f t="shared" si="39"/>
        <v/>
      </c>
      <c r="AO395" s="334" t="str">
        <f t="shared" si="40"/>
        <v/>
      </c>
      <c r="AP395" s="44"/>
      <c r="AQ395" s="2"/>
    </row>
    <row r="396" spans="1:43" ht="24.95" customHeight="1" x14ac:dyDescent="0.25">
      <c r="A396" s="2">
        <v>356</v>
      </c>
      <c r="B396" s="349"/>
      <c r="C396" s="350"/>
      <c r="D396" s="351"/>
      <c r="E396" s="351"/>
      <c r="F396" s="336"/>
      <c r="G396" s="327"/>
      <c r="H396" s="327"/>
      <c r="I396" s="325">
        <f t="shared" si="41"/>
        <v>0</v>
      </c>
      <c r="J396" s="540" t="s">
        <v>281</v>
      </c>
      <c r="K396" s="540"/>
      <c r="L396" s="337">
        <f>IFERROR(IF(F396="Sem projeto",VLOOKUP(C396,$B$32:$H$34,7,FALSE)*1.5,G396*VLOOKUP(J396,Aux_Lista!$AG:$AH,2,FALSE)+H396)*E396,0)</f>
        <v>0</v>
      </c>
      <c r="M396" s="346" t="s">
        <v>90</v>
      </c>
      <c r="N396" s="347" t="s">
        <v>90</v>
      </c>
      <c r="O396" s="348" t="s">
        <v>90</v>
      </c>
      <c r="P396" s="386">
        <f t="shared" si="42"/>
        <v>0</v>
      </c>
      <c r="R396" s="94">
        <v>365</v>
      </c>
      <c r="S396" s="383"/>
      <c r="T396" s="214"/>
      <c r="U396" s="214"/>
      <c r="V396" s="217"/>
      <c r="W396" s="215"/>
      <c r="X396" s="336"/>
      <c r="Y396" s="68" t="str">
        <f>IF(V396="","",VLOOKUP(V396,Aux_Lista!A:K,11,FALSE))</f>
        <v/>
      </c>
      <c r="Z396" s="68" t="str">
        <f>IF(V396="","",VLOOKUP(V396,Aux_Lista!A:L,12,FALSE))</f>
        <v/>
      </c>
      <c r="AA396" s="68" t="str">
        <f>IF(W396="","",VLOOKUP(W396,Aux_Lista!AN:AP,3,FALSE))</f>
        <v/>
      </c>
      <c r="AB396" s="68" t="str">
        <f>IF(W396="","",VLOOKUP(W396,Aux_Lista!AN:AP,2,FALSE))</f>
        <v/>
      </c>
      <c r="AC396" s="69"/>
      <c r="AD396" s="69"/>
      <c r="AE396" s="325">
        <f t="shared" si="36"/>
        <v>0</v>
      </c>
      <c r="AF396" s="540" t="s">
        <v>281</v>
      </c>
      <c r="AG396" s="540"/>
      <c r="AH396" s="337">
        <f>IFERROR(IF(X396="Sem projeto",1.5*AA396,AC396*VLOOKUP(AF396,Aux_Lista!AG:AH,2,FALSE)+AD396)*U396,0)</f>
        <v>0</v>
      </c>
      <c r="AI396" s="343" t="s">
        <v>90</v>
      </c>
      <c r="AJ396" s="343" t="s">
        <v>90</v>
      </c>
      <c r="AK396" s="343" t="s">
        <v>90</v>
      </c>
      <c r="AL396" s="333" t="str">
        <f t="shared" si="37"/>
        <v/>
      </c>
      <c r="AM396" s="334" t="str">
        <f t="shared" si="38"/>
        <v/>
      </c>
      <c r="AN396" s="333" t="str">
        <f t="shared" si="39"/>
        <v/>
      </c>
      <c r="AO396" s="334" t="str">
        <f t="shared" si="40"/>
        <v/>
      </c>
      <c r="AP396" s="44"/>
      <c r="AQ396" s="2"/>
    </row>
    <row r="397" spans="1:43" ht="24.95" customHeight="1" x14ac:dyDescent="0.25">
      <c r="A397" s="2">
        <v>357</v>
      </c>
      <c r="B397" s="349"/>
      <c r="C397" s="350"/>
      <c r="D397" s="351"/>
      <c r="E397" s="351"/>
      <c r="F397" s="336"/>
      <c r="G397" s="327"/>
      <c r="H397" s="327"/>
      <c r="I397" s="325">
        <f t="shared" si="41"/>
        <v>0</v>
      </c>
      <c r="J397" s="540" t="s">
        <v>281</v>
      </c>
      <c r="K397" s="540"/>
      <c r="L397" s="337">
        <f>IFERROR(IF(F397="Sem projeto",VLOOKUP(C397,$B$32:$H$34,7,FALSE)*1.5,G397*VLOOKUP(J397,Aux_Lista!$AG:$AH,2,FALSE)+H397)*E397,0)</f>
        <v>0</v>
      </c>
      <c r="M397" s="346" t="s">
        <v>90</v>
      </c>
      <c r="N397" s="347" t="s">
        <v>90</v>
      </c>
      <c r="O397" s="348" t="s">
        <v>90</v>
      </c>
      <c r="P397" s="386">
        <f t="shared" si="42"/>
        <v>0</v>
      </c>
      <c r="R397" s="94">
        <v>366</v>
      </c>
      <c r="S397" s="383"/>
      <c r="T397" s="214"/>
      <c r="U397" s="214"/>
      <c r="V397" s="217"/>
      <c r="W397" s="215"/>
      <c r="X397" s="336"/>
      <c r="Y397" s="68" t="str">
        <f>IF(V397="","",VLOOKUP(V397,Aux_Lista!A:K,11,FALSE))</f>
        <v/>
      </c>
      <c r="Z397" s="68" t="str">
        <f>IF(V397="","",VLOOKUP(V397,Aux_Lista!A:L,12,FALSE))</f>
        <v/>
      </c>
      <c r="AA397" s="68" t="str">
        <f>IF(W397="","",VLOOKUP(W397,Aux_Lista!AN:AP,3,FALSE))</f>
        <v/>
      </c>
      <c r="AB397" s="68" t="str">
        <f>IF(W397="","",VLOOKUP(W397,Aux_Lista!AN:AP,2,FALSE))</f>
        <v/>
      </c>
      <c r="AC397" s="69"/>
      <c r="AD397" s="69"/>
      <c r="AE397" s="325">
        <f t="shared" si="36"/>
        <v>0</v>
      </c>
      <c r="AF397" s="540" t="s">
        <v>281</v>
      </c>
      <c r="AG397" s="540"/>
      <c r="AH397" s="337">
        <f>IFERROR(IF(X397="Sem projeto",1.5*AA397,AC397*VLOOKUP(AF397,Aux_Lista!AG:AH,2,FALSE)+AD397)*U397,0)</f>
        <v>0</v>
      </c>
      <c r="AI397" s="343" t="s">
        <v>90</v>
      </c>
      <c r="AJ397" s="343" t="s">
        <v>90</v>
      </c>
      <c r="AK397" s="343" t="s">
        <v>90</v>
      </c>
      <c r="AL397" s="333" t="str">
        <f t="shared" si="37"/>
        <v/>
      </c>
      <c r="AM397" s="334" t="str">
        <f t="shared" si="38"/>
        <v/>
      </c>
      <c r="AN397" s="333" t="str">
        <f t="shared" si="39"/>
        <v/>
      </c>
      <c r="AO397" s="334" t="str">
        <f t="shared" si="40"/>
        <v/>
      </c>
      <c r="AP397" s="44"/>
      <c r="AQ397" s="2"/>
    </row>
    <row r="398" spans="1:43" ht="24.95" customHeight="1" x14ac:dyDescent="0.25">
      <c r="A398" s="2">
        <v>358</v>
      </c>
      <c r="B398" s="349"/>
      <c r="C398" s="350"/>
      <c r="D398" s="351"/>
      <c r="E398" s="351"/>
      <c r="F398" s="336"/>
      <c r="G398" s="327"/>
      <c r="H398" s="327"/>
      <c r="I398" s="325">
        <f t="shared" si="41"/>
        <v>0</v>
      </c>
      <c r="J398" s="540" t="s">
        <v>281</v>
      </c>
      <c r="K398" s="540"/>
      <c r="L398" s="337">
        <f>IFERROR(IF(F398="Sem projeto",VLOOKUP(C398,$B$32:$H$34,7,FALSE)*1.5,G398*VLOOKUP(J398,Aux_Lista!$AG:$AH,2,FALSE)+H398)*E398,0)</f>
        <v>0</v>
      </c>
      <c r="M398" s="346" t="s">
        <v>90</v>
      </c>
      <c r="N398" s="347" t="s">
        <v>90</v>
      </c>
      <c r="O398" s="348" t="s">
        <v>90</v>
      </c>
      <c r="P398" s="386">
        <f t="shared" si="42"/>
        <v>0</v>
      </c>
      <c r="R398" s="94">
        <v>367</v>
      </c>
      <c r="S398" s="383"/>
      <c r="T398" s="214"/>
      <c r="U398" s="214"/>
      <c r="V398" s="217"/>
      <c r="W398" s="215"/>
      <c r="X398" s="336"/>
      <c r="Y398" s="68" t="str">
        <f>IF(V398="","",VLOOKUP(V398,Aux_Lista!A:K,11,FALSE))</f>
        <v/>
      </c>
      <c r="Z398" s="68" t="str">
        <f>IF(V398="","",VLOOKUP(V398,Aux_Lista!A:L,12,FALSE))</f>
        <v/>
      </c>
      <c r="AA398" s="68" t="str">
        <f>IF(W398="","",VLOOKUP(W398,Aux_Lista!AN:AP,3,FALSE))</f>
        <v/>
      </c>
      <c r="AB398" s="68" t="str">
        <f>IF(W398="","",VLOOKUP(W398,Aux_Lista!AN:AP,2,FALSE))</f>
        <v/>
      </c>
      <c r="AC398" s="69"/>
      <c r="AD398" s="69"/>
      <c r="AE398" s="325">
        <f t="shared" si="36"/>
        <v>0</v>
      </c>
      <c r="AF398" s="540" t="s">
        <v>281</v>
      </c>
      <c r="AG398" s="540"/>
      <c r="AH398" s="337">
        <f>IFERROR(IF(X398="Sem projeto",1.5*AA398,AC398*VLOOKUP(AF398,Aux_Lista!AG:AH,2,FALSE)+AD398)*U398,0)</f>
        <v>0</v>
      </c>
      <c r="AI398" s="343" t="s">
        <v>90</v>
      </c>
      <c r="AJ398" s="343" t="s">
        <v>90</v>
      </c>
      <c r="AK398" s="343" t="s">
        <v>90</v>
      </c>
      <c r="AL398" s="333" t="str">
        <f t="shared" si="37"/>
        <v/>
      </c>
      <c r="AM398" s="334" t="str">
        <f t="shared" si="38"/>
        <v/>
      </c>
      <c r="AN398" s="333" t="str">
        <f t="shared" si="39"/>
        <v/>
      </c>
      <c r="AO398" s="334" t="str">
        <f t="shared" si="40"/>
        <v/>
      </c>
      <c r="AP398" s="44"/>
      <c r="AQ398" s="2"/>
    </row>
    <row r="399" spans="1:43" ht="24.95" customHeight="1" x14ac:dyDescent="0.25">
      <c r="A399" s="2">
        <v>359</v>
      </c>
      <c r="B399" s="349"/>
      <c r="C399" s="350"/>
      <c r="D399" s="351"/>
      <c r="E399" s="351"/>
      <c r="F399" s="336"/>
      <c r="G399" s="327"/>
      <c r="H399" s="327"/>
      <c r="I399" s="325">
        <f t="shared" si="41"/>
        <v>0</v>
      </c>
      <c r="J399" s="540" t="s">
        <v>281</v>
      </c>
      <c r="K399" s="540"/>
      <c r="L399" s="337">
        <f>IFERROR(IF(F399="Sem projeto",VLOOKUP(C399,$B$32:$H$34,7,FALSE)*1.5,G399*VLOOKUP(J399,Aux_Lista!$AG:$AH,2,FALSE)+H399)*E399,0)</f>
        <v>0</v>
      </c>
      <c r="M399" s="346" t="s">
        <v>90</v>
      </c>
      <c r="N399" s="347" t="s">
        <v>90</v>
      </c>
      <c r="O399" s="348" t="s">
        <v>90</v>
      </c>
      <c r="P399" s="386">
        <f t="shared" si="42"/>
        <v>0</v>
      </c>
      <c r="R399" s="94">
        <v>368</v>
      </c>
      <c r="S399" s="383"/>
      <c r="T399" s="214"/>
      <c r="U399" s="214"/>
      <c r="V399" s="217"/>
      <c r="W399" s="215"/>
      <c r="X399" s="336"/>
      <c r="Y399" s="68" t="str">
        <f>IF(V399="","",VLOOKUP(V399,Aux_Lista!A:K,11,FALSE))</f>
        <v/>
      </c>
      <c r="Z399" s="68" t="str">
        <f>IF(V399="","",VLOOKUP(V399,Aux_Lista!A:L,12,FALSE))</f>
        <v/>
      </c>
      <c r="AA399" s="68" t="str">
        <f>IF(W399="","",VLOOKUP(W399,Aux_Lista!AN:AP,3,FALSE))</f>
        <v/>
      </c>
      <c r="AB399" s="68" t="str">
        <f>IF(W399="","",VLOOKUP(W399,Aux_Lista!AN:AP,2,FALSE))</f>
        <v/>
      </c>
      <c r="AC399" s="69"/>
      <c r="AD399" s="69"/>
      <c r="AE399" s="325">
        <f t="shared" si="36"/>
        <v>0</v>
      </c>
      <c r="AF399" s="540" t="s">
        <v>281</v>
      </c>
      <c r="AG399" s="540"/>
      <c r="AH399" s="337">
        <f>IFERROR(IF(X399="Sem projeto",1.5*AA399,AC399*VLOOKUP(AF399,Aux_Lista!AG:AH,2,FALSE)+AD399)*U399,0)</f>
        <v>0</v>
      </c>
      <c r="AI399" s="343" t="s">
        <v>90</v>
      </c>
      <c r="AJ399" s="343" t="s">
        <v>90</v>
      </c>
      <c r="AK399" s="343" t="s">
        <v>90</v>
      </c>
      <c r="AL399" s="333" t="str">
        <f t="shared" si="37"/>
        <v/>
      </c>
      <c r="AM399" s="334" t="str">
        <f t="shared" si="38"/>
        <v/>
      </c>
      <c r="AN399" s="333" t="str">
        <f t="shared" si="39"/>
        <v/>
      </c>
      <c r="AO399" s="334" t="str">
        <f t="shared" si="40"/>
        <v/>
      </c>
      <c r="AP399" s="44"/>
      <c r="AQ399" s="2"/>
    </row>
    <row r="400" spans="1:43" ht="24.95" customHeight="1" x14ac:dyDescent="0.25">
      <c r="A400" s="2">
        <v>360</v>
      </c>
      <c r="B400" s="349"/>
      <c r="C400" s="350"/>
      <c r="D400" s="351"/>
      <c r="E400" s="351"/>
      <c r="F400" s="336"/>
      <c r="G400" s="327"/>
      <c r="H400" s="327"/>
      <c r="I400" s="325">
        <f t="shared" si="41"/>
        <v>0</v>
      </c>
      <c r="J400" s="540" t="s">
        <v>281</v>
      </c>
      <c r="K400" s="540"/>
      <c r="L400" s="337">
        <f>IFERROR(IF(F400="Sem projeto",VLOOKUP(C400,$B$32:$H$34,7,FALSE)*1.5,G400*VLOOKUP(J400,Aux_Lista!$AG:$AH,2,FALSE)+H400)*E400,0)</f>
        <v>0</v>
      </c>
      <c r="M400" s="346" t="s">
        <v>90</v>
      </c>
      <c r="N400" s="347" t="s">
        <v>90</v>
      </c>
      <c r="O400" s="348" t="s">
        <v>90</v>
      </c>
      <c r="P400" s="386">
        <f t="shared" si="42"/>
        <v>0</v>
      </c>
      <c r="R400" s="94">
        <v>369</v>
      </c>
      <c r="S400" s="383"/>
      <c r="T400" s="214"/>
      <c r="U400" s="214"/>
      <c r="V400" s="217"/>
      <c r="W400" s="215"/>
      <c r="X400" s="336"/>
      <c r="Y400" s="68" t="str">
        <f>IF(V400="","",VLOOKUP(V400,Aux_Lista!A:K,11,FALSE))</f>
        <v/>
      </c>
      <c r="Z400" s="68" t="str">
        <f>IF(V400="","",VLOOKUP(V400,Aux_Lista!A:L,12,FALSE))</f>
        <v/>
      </c>
      <c r="AA400" s="68" t="str">
        <f>IF(W400="","",VLOOKUP(W400,Aux_Lista!AN:AP,3,FALSE))</f>
        <v/>
      </c>
      <c r="AB400" s="68" t="str">
        <f>IF(W400="","",VLOOKUP(W400,Aux_Lista!AN:AP,2,FALSE))</f>
        <v/>
      </c>
      <c r="AC400" s="69"/>
      <c r="AD400" s="69"/>
      <c r="AE400" s="325">
        <f t="shared" si="36"/>
        <v>0</v>
      </c>
      <c r="AF400" s="540" t="s">
        <v>281</v>
      </c>
      <c r="AG400" s="540"/>
      <c r="AH400" s="337">
        <f>IFERROR(IF(X400="Sem projeto",1.5*AA400,AC400*VLOOKUP(AF400,Aux_Lista!AG:AH,2,FALSE)+AD400)*U400,0)</f>
        <v>0</v>
      </c>
      <c r="AI400" s="343" t="s">
        <v>90</v>
      </c>
      <c r="AJ400" s="343" t="s">
        <v>90</v>
      </c>
      <c r="AK400" s="343" t="s">
        <v>90</v>
      </c>
      <c r="AL400" s="333" t="str">
        <f t="shared" si="37"/>
        <v/>
      </c>
      <c r="AM400" s="334" t="str">
        <f t="shared" si="38"/>
        <v/>
      </c>
      <c r="AN400" s="333" t="str">
        <f t="shared" si="39"/>
        <v/>
      </c>
      <c r="AO400" s="334" t="str">
        <f t="shared" si="40"/>
        <v/>
      </c>
      <c r="AP400" s="44"/>
      <c r="AQ400" s="2"/>
    </row>
    <row r="401" spans="1:43" ht="24.95" customHeight="1" x14ac:dyDescent="0.25">
      <c r="A401" s="2">
        <v>361</v>
      </c>
      <c r="B401" s="349"/>
      <c r="C401" s="350"/>
      <c r="D401" s="351"/>
      <c r="E401" s="351"/>
      <c r="F401" s="336"/>
      <c r="G401" s="327"/>
      <c r="H401" s="327"/>
      <c r="I401" s="325">
        <f t="shared" si="41"/>
        <v>0</v>
      </c>
      <c r="J401" s="540" t="s">
        <v>281</v>
      </c>
      <c r="K401" s="540"/>
      <c r="L401" s="337">
        <f>IFERROR(IF(F401="Sem projeto",VLOOKUP(C401,$B$32:$H$34,7,FALSE)*1.5,G401*VLOOKUP(J401,Aux_Lista!$AG:$AH,2,FALSE)+H401)*E401,0)</f>
        <v>0</v>
      </c>
      <c r="M401" s="346" t="s">
        <v>90</v>
      </c>
      <c r="N401" s="347" t="s">
        <v>90</v>
      </c>
      <c r="O401" s="348" t="s">
        <v>90</v>
      </c>
      <c r="P401" s="386">
        <f t="shared" si="42"/>
        <v>0</v>
      </c>
      <c r="R401" s="94">
        <v>370</v>
      </c>
      <c r="S401" s="383"/>
      <c r="T401" s="214"/>
      <c r="U401" s="214"/>
      <c r="V401" s="217"/>
      <c r="W401" s="215"/>
      <c r="X401" s="336"/>
      <c r="Y401" s="68" t="str">
        <f>IF(V401="","",VLOOKUP(V401,Aux_Lista!A:K,11,FALSE))</f>
        <v/>
      </c>
      <c r="Z401" s="68" t="str">
        <f>IF(V401="","",VLOOKUP(V401,Aux_Lista!A:L,12,FALSE))</f>
        <v/>
      </c>
      <c r="AA401" s="68" t="str">
        <f>IF(W401="","",VLOOKUP(W401,Aux_Lista!AN:AP,3,FALSE))</f>
        <v/>
      </c>
      <c r="AB401" s="68" t="str">
        <f>IF(W401="","",VLOOKUP(W401,Aux_Lista!AN:AP,2,FALSE))</f>
        <v/>
      </c>
      <c r="AC401" s="69"/>
      <c r="AD401" s="69"/>
      <c r="AE401" s="325">
        <f t="shared" si="36"/>
        <v>0</v>
      </c>
      <c r="AF401" s="540" t="s">
        <v>281</v>
      </c>
      <c r="AG401" s="540"/>
      <c r="AH401" s="337">
        <f>IFERROR(IF(X401="Sem projeto",1.5*AA401,AC401*VLOOKUP(AF401,Aux_Lista!AG:AH,2,FALSE)+AD401)*U401,0)</f>
        <v>0</v>
      </c>
      <c r="AI401" s="343" t="s">
        <v>90</v>
      </c>
      <c r="AJ401" s="343" t="s">
        <v>90</v>
      </c>
      <c r="AK401" s="343" t="s">
        <v>90</v>
      </c>
      <c r="AL401" s="333" t="str">
        <f t="shared" si="37"/>
        <v/>
      </c>
      <c r="AM401" s="334" t="str">
        <f t="shared" si="38"/>
        <v/>
      </c>
      <c r="AN401" s="333" t="str">
        <f t="shared" si="39"/>
        <v/>
      </c>
      <c r="AO401" s="334" t="str">
        <f t="shared" si="40"/>
        <v/>
      </c>
      <c r="AP401" s="44"/>
      <c r="AQ401" s="2"/>
    </row>
    <row r="402" spans="1:43" ht="24.95" customHeight="1" x14ac:dyDescent="0.25">
      <c r="A402" s="2">
        <v>362</v>
      </c>
      <c r="B402" s="349"/>
      <c r="C402" s="350"/>
      <c r="D402" s="351"/>
      <c r="E402" s="351"/>
      <c r="F402" s="336"/>
      <c r="G402" s="327"/>
      <c r="H402" s="327"/>
      <c r="I402" s="325">
        <f t="shared" si="41"/>
        <v>0</v>
      </c>
      <c r="J402" s="540" t="s">
        <v>281</v>
      </c>
      <c r="K402" s="540"/>
      <c r="L402" s="337">
        <f>IFERROR(IF(F402="Sem projeto",VLOOKUP(C402,$B$32:$H$34,7,FALSE)*1.5,G402*VLOOKUP(J402,Aux_Lista!$AG:$AH,2,FALSE)+H402)*E402,0)</f>
        <v>0</v>
      </c>
      <c r="M402" s="346" t="s">
        <v>90</v>
      </c>
      <c r="N402" s="347" t="s">
        <v>90</v>
      </c>
      <c r="O402" s="348" t="s">
        <v>90</v>
      </c>
      <c r="P402" s="386">
        <f t="shared" si="42"/>
        <v>0</v>
      </c>
      <c r="R402" s="94">
        <v>371</v>
      </c>
      <c r="S402" s="383"/>
      <c r="T402" s="214"/>
      <c r="U402" s="214"/>
      <c r="V402" s="217"/>
      <c r="W402" s="215"/>
      <c r="X402" s="336"/>
      <c r="Y402" s="68" t="str">
        <f>IF(V402="","",VLOOKUP(V402,Aux_Lista!A:K,11,FALSE))</f>
        <v/>
      </c>
      <c r="Z402" s="68" t="str">
        <f>IF(V402="","",VLOOKUP(V402,Aux_Lista!A:L,12,FALSE))</f>
        <v/>
      </c>
      <c r="AA402" s="68" t="str">
        <f>IF(W402="","",VLOOKUP(W402,Aux_Lista!AN:AP,3,FALSE))</f>
        <v/>
      </c>
      <c r="AB402" s="68" t="str">
        <f>IF(W402="","",VLOOKUP(W402,Aux_Lista!AN:AP,2,FALSE))</f>
        <v/>
      </c>
      <c r="AC402" s="69"/>
      <c r="AD402" s="69"/>
      <c r="AE402" s="325">
        <f t="shared" si="36"/>
        <v>0</v>
      </c>
      <c r="AF402" s="540" t="s">
        <v>281</v>
      </c>
      <c r="AG402" s="540"/>
      <c r="AH402" s="337">
        <f>IFERROR(IF(X402="Sem projeto",1.5*AA402,AC402*VLOOKUP(AF402,Aux_Lista!AG:AH,2,FALSE)+AD402)*U402,0)</f>
        <v>0</v>
      </c>
      <c r="AI402" s="343" t="s">
        <v>90</v>
      </c>
      <c r="AJ402" s="343" t="s">
        <v>90</v>
      </c>
      <c r="AK402" s="343" t="s">
        <v>90</v>
      </c>
      <c r="AL402" s="333" t="str">
        <f t="shared" si="37"/>
        <v/>
      </c>
      <c r="AM402" s="334" t="str">
        <f t="shared" si="38"/>
        <v/>
      </c>
      <c r="AN402" s="333" t="str">
        <f t="shared" si="39"/>
        <v/>
      </c>
      <c r="AO402" s="334" t="str">
        <f t="shared" si="40"/>
        <v/>
      </c>
      <c r="AP402" s="44"/>
      <c r="AQ402" s="2"/>
    </row>
    <row r="403" spans="1:43" ht="24.95" customHeight="1" x14ac:dyDescent="0.25">
      <c r="A403" s="2">
        <v>363</v>
      </c>
      <c r="B403" s="349"/>
      <c r="C403" s="350"/>
      <c r="D403" s="351"/>
      <c r="E403" s="351"/>
      <c r="F403" s="336"/>
      <c r="G403" s="327"/>
      <c r="H403" s="327"/>
      <c r="I403" s="325">
        <f t="shared" si="41"/>
        <v>0</v>
      </c>
      <c r="J403" s="540" t="s">
        <v>281</v>
      </c>
      <c r="K403" s="540"/>
      <c r="L403" s="337">
        <f>IFERROR(IF(F403="Sem projeto",VLOOKUP(C403,$B$32:$H$34,7,FALSE)*1.5,G403*VLOOKUP(J403,Aux_Lista!$AG:$AH,2,FALSE)+H403)*E403,0)</f>
        <v>0</v>
      </c>
      <c r="M403" s="346" t="s">
        <v>90</v>
      </c>
      <c r="N403" s="347" t="s">
        <v>90</v>
      </c>
      <c r="O403" s="348" t="s">
        <v>90</v>
      </c>
      <c r="P403" s="386">
        <f t="shared" si="42"/>
        <v>0</v>
      </c>
      <c r="R403" s="94">
        <v>372</v>
      </c>
      <c r="S403" s="383"/>
      <c r="T403" s="214"/>
      <c r="U403" s="214"/>
      <c r="V403" s="217"/>
      <c r="W403" s="215"/>
      <c r="X403" s="336"/>
      <c r="Y403" s="68" t="str">
        <f>IF(V403="","",VLOOKUP(V403,Aux_Lista!A:K,11,FALSE))</f>
        <v/>
      </c>
      <c r="Z403" s="68" t="str">
        <f>IF(V403="","",VLOOKUP(V403,Aux_Lista!A:L,12,FALSE))</f>
        <v/>
      </c>
      <c r="AA403" s="68" t="str">
        <f>IF(W403="","",VLOOKUP(W403,Aux_Lista!AN:AP,3,FALSE))</f>
        <v/>
      </c>
      <c r="AB403" s="68" t="str">
        <f>IF(W403="","",VLOOKUP(W403,Aux_Lista!AN:AP,2,FALSE))</f>
        <v/>
      </c>
      <c r="AC403" s="69"/>
      <c r="AD403" s="69"/>
      <c r="AE403" s="325">
        <f t="shared" si="36"/>
        <v>0</v>
      </c>
      <c r="AF403" s="540" t="s">
        <v>281</v>
      </c>
      <c r="AG403" s="540"/>
      <c r="AH403" s="337">
        <f>IFERROR(IF(X403="Sem projeto",1.5*AA403,AC403*VLOOKUP(AF403,Aux_Lista!AG:AH,2,FALSE)+AD403)*U403,0)</f>
        <v>0</v>
      </c>
      <c r="AI403" s="343" t="s">
        <v>90</v>
      </c>
      <c r="AJ403" s="343" t="s">
        <v>90</v>
      </c>
      <c r="AK403" s="343" t="s">
        <v>90</v>
      </c>
      <c r="AL403" s="333" t="str">
        <f t="shared" si="37"/>
        <v/>
      </c>
      <c r="AM403" s="334" t="str">
        <f t="shared" si="38"/>
        <v/>
      </c>
      <c r="AN403" s="333" t="str">
        <f t="shared" si="39"/>
        <v/>
      </c>
      <c r="AO403" s="334" t="str">
        <f t="shared" si="40"/>
        <v/>
      </c>
      <c r="AP403" s="44"/>
      <c r="AQ403" s="2"/>
    </row>
    <row r="404" spans="1:43" ht="24.95" customHeight="1" x14ac:dyDescent="0.25">
      <c r="A404" s="2">
        <v>364</v>
      </c>
      <c r="B404" s="349"/>
      <c r="C404" s="350"/>
      <c r="D404" s="351"/>
      <c r="E404" s="351"/>
      <c r="F404" s="336"/>
      <c r="G404" s="327"/>
      <c r="H404" s="327"/>
      <c r="I404" s="325">
        <f t="shared" si="41"/>
        <v>0</v>
      </c>
      <c r="J404" s="540" t="s">
        <v>281</v>
      </c>
      <c r="K404" s="540"/>
      <c r="L404" s="337">
        <f>IFERROR(IF(F404="Sem projeto",VLOOKUP(C404,$B$32:$H$34,7,FALSE)*1.5,G404*VLOOKUP(J404,Aux_Lista!$AG:$AH,2,FALSE)+H404)*E404,0)</f>
        <v>0</v>
      </c>
      <c r="M404" s="346" t="s">
        <v>90</v>
      </c>
      <c r="N404" s="347" t="s">
        <v>90</v>
      </c>
      <c r="O404" s="348" t="s">
        <v>90</v>
      </c>
      <c r="P404" s="386">
        <f t="shared" si="42"/>
        <v>0</v>
      </c>
      <c r="R404" s="94">
        <v>373</v>
      </c>
      <c r="S404" s="383"/>
      <c r="T404" s="214"/>
      <c r="U404" s="214"/>
      <c r="V404" s="217"/>
      <c r="W404" s="215"/>
      <c r="X404" s="336"/>
      <c r="Y404" s="68" t="str">
        <f>IF(V404="","",VLOOKUP(V404,Aux_Lista!A:K,11,FALSE))</f>
        <v/>
      </c>
      <c r="Z404" s="68" t="str">
        <f>IF(V404="","",VLOOKUP(V404,Aux_Lista!A:L,12,FALSE))</f>
        <v/>
      </c>
      <c r="AA404" s="68" t="str">
        <f>IF(W404="","",VLOOKUP(W404,Aux_Lista!AN:AP,3,FALSE))</f>
        <v/>
      </c>
      <c r="AB404" s="68" t="str">
        <f>IF(W404="","",VLOOKUP(W404,Aux_Lista!AN:AP,2,FALSE))</f>
        <v/>
      </c>
      <c r="AC404" s="69"/>
      <c r="AD404" s="69"/>
      <c r="AE404" s="325">
        <f t="shared" si="36"/>
        <v>0</v>
      </c>
      <c r="AF404" s="540" t="s">
        <v>281</v>
      </c>
      <c r="AG404" s="540"/>
      <c r="AH404" s="337">
        <f>IFERROR(IF(X404="Sem projeto",1.5*AA404,AC404*VLOOKUP(AF404,Aux_Lista!AG:AH,2,FALSE)+AD404)*U404,0)</f>
        <v>0</v>
      </c>
      <c r="AI404" s="343" t="s">
        <v>90</v>
      </c>
      <c r="AJ404" s="343" t="s">
        <v>90</v>
      </c>
      <c r="AK404" s="343" t="s">
        <v>90</v>
      </c>
      <c r="AL404" s="333" t="str">
        <f t="shared" si="37"/>
        <v/>
      </c>
      <c r="AM404" s="334" t="str">
        <f t="shared" si="38"/>
        <v/>
      </c>
      <c r="AN404" s="333" t="str">
        <f t="shared" si="39"/>
        <v/>
      </c>
      <c r="AO404" s="334" t="str">
        <f t="shared" si="40"/>
        <v/>
      </c>
      <c r="AP404" s="44"/>
      <c r="AQ404" s="2"/>
    </row>
    <row r="405" spans="1:43" ht="24.95" customHeight="1" x14ac:dyDescent="0.25">
      <c r="A405" s="2">
        <v>365</v>
      </c>
      <c r="B405" s="349"/>
      <c r="C405" s="350"/>
      <c r="D405" s="351"/>
      <c r="E405" s="351"/>
      <c r="F405" s="336"/>
      <c r="G405" s="327"/>
      <c r="H405" s="327"/>
      <c r="I405" s="325">
        <f t="shared" si="41"/>
        <v>0</v>
      </c>
      <c r="J405" s="540" t="s">
        <v>281</v>
      </c>
      <c r="K405" s="540"/>
      <c r="L405" s="337">
        <f>IFERROR(IF(F405="Sem projeto",VLOOKUP(C405,$B$32:$H$34,7,FALSE)*1.5,G405*VLOOKUP(J405,Aux_Lista!$AG:$AH,2,FALSE)+H405)*E405,0)</f>
        <v>0</v>
      </c>
      <c r="M405" s="346" t="s">
        <v>90</v>
      </c>
      <c r="N405" s="347" t="s">
        <v>90</v>
      </c>
      <c r="O405" s="348" t="s">
        <v>90</v>
      </c>
      <c r="P405" s="386">
        <f t="shared" si="42"/>
        <v>0</v>
      </c>
      <c r="R405" s="94">
        <v>374</v>
      </c>
      <c r="S405" s="383"/>
      <c r="T405" s="214"/>
      <c r="U405" s="214"/>
      <c r="V405" s="217"/>
      <c r="W405" s="215"/>
      <c r="X405" s="336"/>
      <c r="Y405" s="68" t="str">
        <f>IF(V405="","",VLOOKUP(V405,Aux_Lista!A:K,11,FALSE))</f>
        <v/>
      </c>
      <c r="Z405" s="68" t="str">
        <f>IF(V405="","",VLOOKUP(V405,Aux_Lista!A:L,12,FALSE))</f>
        <v/>
      </c>
      <c r="AA405" s="68" t="str">
        <f>IF(W405="","",VLOOKUP(W405,Aux_Lista!AN:AP,3,FALSE))</f>
        <v/>
      </c>
      <c r="AB405" s="68" t="str">
        <f>IF(W405="","",VLOOKUP(W405,Aux_Lista!AN:AP,2,FALSE))</f>
        <v/>
      </c>
      <c r="AC405" s="69"/>
      <c r="AD405" s="69"/>
      <c r="AE405" s="325">
        <f t="shared" si="36"/>
        <v>0</v>
      </c>
      <c r="AF405" s="540" t="s">
        <v>281</v>
      </c>
      <c r="AG405" s="540"/>
      <c r="AH405" s="337">
        <f>IFERROR(IF(X405="Sem projeto",1.5*AA405,AC405*VLOOKUP(AF405,Aux_Lista!AG:AH,2,FALSE)+AD405)*U405,0)</f>
        <v>0</v>
      </c>
      <c r="AI405" s="343" t="s">
        <v>90</v>
      </c>
      <c r="AJ405" s="343" t="s">
        <v>90</v>
      </c>
      <c r="AK405" s="343" t="s">
        <v>90</v>
      </c>
      <c r="AL405" s="333" t="str">
        <f t="shared" si="37"/>
        <v/>
      </c>
      <c r="AM405" s="334" t="str">
        <f t="shared" si="38"/>
        <v/>
      </c>
      <c r="AN405" s="333" t="str">
        <f t="shared" si="39"/>
        <v/>
      </c>
      <c r="AO405" s="334" t="str">
        <f t="shared" si="40"/>
        <v/>
      </c>
      <c r="AP405" s="44"/>
      <c r="AQ405" s="2"/>
    </row>
    <row r="406" spans="1:43" ht="24.95" customHeight="1" x14ac:dyDescent="0.25">
      <c r="A406" s="2">
        <v>366</v>
      </c>
      <c r="B406" s="349"/>
      <c r="C406" s="350"/>
      <c r="D406" s="351"/>
      <c r="E406" s="351"/>
      <c r="F406" s="336"/>
      <c r="G406" s="327"/>
      <c r="H406" s="327"/>
      <c r="I406" s="325">
        <f t="shared" si="41"/>
        <v>0</v>
      </c>
      <c r="J406" s="540" t="s">
        <v>281</v>
      </c>
      <c r="K406" s="540"/>
      <c r="L406" s="337">
        <f>IFERROR(IF(F406="Sem projeto",VLOOKUP(C406,$B$32:$H$34,7,FALSE)*1.5,G406*VLOOKUP(J406,Aux_Lista!$AG:$AH,2,FALSE)+H406)*E406,0)</f>
        <v>0</v>
      </c>
      <c r="M406" s="346" t="s">
        <v>90</v>
      </c>
      <c r="N406" s="347" t="s">
        <v>90</v>
      </c>
      <c r="O406" s="348" t="s">
        <v>90</v>
      </c>
      <c r="P406" s="386">
        <f t="shared" si="42"/>
        <v>0</v>
      </c>
      <c r="R406" s="94">
        <v>375</v>
      </c>
      <c r="S406" s="383"/>
      <c r="T406" s="214"/>
      <c r="U406" s="214"/>
      <c r="V406" s="217"/>
      <c r="W406" s="215"/>
      <c r="X406" s="336"/>
      <c r="Y406" s="68" t="str">
        <f>IF(V406="","",VLOOKUP(V406,Aux_Lista!A:K,11,FALSE))</f>
        <v/>
      </c>
      <c r="Z406" s="68" t="str">
        <f>IF(V406="","",VLOOKUP(V406,Aux_Lista!A:L,12,FALSE))</f>
        <v/>
      </c>
      <c r="AA406" s="68" t="str">
        <f>IF(W406="","",VLOOKUP(W406,Aux_Lista!AN:AP,3,FALSE))</f>
        <v/>
      </c>
      <c r="AB406" s="68" t="str">
        <f>IF(W406="","",VLOOKUP(W406,Aux_Lista!AN:AP,2,FALSE))</f>
        <v/>
      </c>
      <c r="AC406" s="69"/>
      <c r="AD406" s="69"/>
      <c r="AE406" s="325">
        <f t="shared" si="36"/>
        <v>0</v>
      </c>
      <c r="AF406" s="540" t="s">
        <v>281</v>
      </c>
      <c r="AG406" s="540"/>
      <c r="AH406" s="337">
        <f>IFERROR(IF(X406="Sem projeto",1.5*AA406,AC406*VLOOKUP(AF406,Aux_Lista!AG:AH,2,FALSE)+AD406)*U406,0)</f>
        <v>0</v>
      </c>
      <c r="AI406" s="343" t="s">
        <v>90</v>
      </c>
      <c r="AJ406" s="343" t="s">
        <v>90</v>
      </c>
      <c r="AK406" s="343" t="s">
        <v>90</v>
      </c>
      <c r="AL406" s="333" t="str">
        <f t="shared" si="37"/>
        <v/>
      </c>
      <c r="AM406" s="334" t="str">
        <f t="shared" si="38"/>
        <v/>
      </c>
      <c r="AN406" s="333" t="str">
        <f t="shared" si="39"/>
        <v/>
      </c>
      <c r="AO406" s="334" t="str">
        <f t="shared" si="40"/>
        <v/>
      </c>
      <c r="AP406" s="44"/>
      <c r="AQ406" s="2"/>
    </row>
    <row r="407" spans="1:43" ht="24.95" customHeight="1" x14ac:dyDescent="0.25">
      <c r="A407" s="2">
        <v>367</v>
      </c>
      <c r="B407" s="349"/>
      <c r="C407" s="350"/>
      <c r="D407" s="351"/>
      <c r="E407" s="351"/>
      <c r="F407" s="336"/>
      <c r="G407" s="327"/>
      <c r="H407" s="327"/>
      <c r="I407" s="325">
        <f t="shared" si="41"/>
        <v>0</v>
      </c>
      <c r="J407" s="540" t="s">
        <v>281</v>
      </c>
      <c r="K407" s="540"/>
      <c r="L407" s="337">
        <f>IFERROR(IF(F407="Sem projeto",VLOOKUP(C407,$B$32:$H$34,7,FALSE)*1.5,G407*VLOOKUP(J407,Aux_Lista!$AG:$AH,2,FALSE)+H407)*E407,0)</f>
        <v>0</v>
      </c>
      <c r="M407" s="346" t="s">
        <v>90</v>
      </c>
      <c r="N407" s="347" t="s">
        <v>90</v>
      </c>
      <c r="O407" s="348" t="s">
        <v>90</v>
      </c>
      <c r="P407" s="386">
        <f t="shared" si="42"/>
        <v>0</v>
      </c>
      <c r="R407" s="94">
        <v>376</v>
      </c>
      <c r="S407" s="383"/>
      <c r="T407" s="214"/>
      <c r="U407" s="214"/>
      <c r="V407" s="217"/>
      <c r="W407" s="215"/>
      <c r="X407" s="336"/>
      <c r="Y407" s="68" t="str">
        <f>IF(V407="","",VLOOKUP(V407,Aux_Lista!A:K,11,FALSE))</f>
        <v/>
      </c>
      <c r="Z407" s="68" t="str">
        <f>IF(V407="","",VLOOKUP(V407,Aux_Lista!A:L,12,FALSE))</f>
        <v/>
      </c>
      <c r="AA407" s="68" t="str">
        <f>IF(W407="","",VLOOKUP(W407,Aux_Lista!AN:AP,3,FALSE))</f>
        <v/>
      </c>
      <c r="AB407" s="68" t="str">
        <f>IF(W407="","",VLOOKUP(W407,Aux_Lista!AN:AP,2,FALSE))</f>
        <v/>
      </c>
      <c r="AC407" s="69"/>
      <c r="AD407" s="69"/>
      <c r="AE407" s="325">
        <f t="shared" si="36"/>
        <v>0</v>
      </c>
      <c r="AF407" s="540" t="s">
        <v>281</v>
      </c>
      <c r="AG407" s="540"/>
      <c r="AH407" s="337">
        <f>IFERROR(IF(X407="Sem projeto",1.5*AA407,AC407*VLOOKUP(AF407,Aux_Lista!AG:AH,2,FALSE)+AD407)*U407,0)</f>
        <v>0</v>
      </c>
      <c r="AI407" s="343" t="s">
        <v>90</v>
      </c>
      <c r="AJ407" s="343" t="s">
        <v>90</v>
      </c>
      <c r="AK407" s="343" t="s">
        <v>90</v>
      </c>
      <c r="AL407" s="333" t="str">
        <f t="shared" si="37"/>
        <v/>
      </c>
      <c r="AM407" s="334" t="str">
        <f t="shared" si="38"/>
        <v/>
      </c>
      <c r="AN407" s="333" t="str">
        <f t="shared" si="39"/>
        <v/>
      </c>
      <c r="AO407" s="334" t="str">
        <f t="shared" si="40"/>
        <v/>
      </c>
      <c r="AP407" s="44"/>
      <c r="AQ407" s="2"/>
    </row>
    <row r="408" spans="1:43" ht="24.95" customHeight="1" x14ac:dyDescent="0.25">
      <c r="A408" s="2">
        <v>368</v>
      </c>
      <c r="B408" s="349"/>
      <c r="C408" s="350"/>
      <c r="D408" s="351"/>
      <c r="E408" s="351"/>
      <c r="F408" s="336"/>
      <c r="G408" s="327"/>
      <c r="H408" s="327"/>
      <c r="I408" s="325">
        <f t="shared" si="41"/>
        <v>0</v>
      </c>
      <c r="J408" s="540" t="s">
        <v>281</v>
      </c>
      <c r="K408" s="540"/>
      <c r="L408" s="337">
        <f>IFERROR(IF(F408="Sem projeto",VLOOKUP(C408,$B$32:$H$34,7,FALSE)*1.5,G408*VLOOKUP(J408,Aux_Lista!$AG:$AH,2,FALSE)+H408)*E408,0)</f>
        <v>0</v>
      </c>
      <c r="M408" s="346" t="s">
        <v>90</v>
      </c>
      <c r="N408" s="347" t="s">
        <v>90</v>
      </c>
      <c r="O408" s="348" t="s">
        <v>90</v>
      </c>
      <c r="P408" s="386">
        <f t="shared" si="42"/>
        <v>0</v>
      </c>
      <c r="R408" s="94">
        <v>377</v>
      </c>
      <c r="S408" s="383"/>
      <c r="T408" s="214"/>
      <c r="U408" s="214"/>
      <c r="V408" s="217"/>
      <c r="W408" s="215"/>
      <c r="X408" s="336"/>
      <c r="Y408" s="68" t="str">
        <f>IF(V408="","",VLOOKUP(V408,Aux_Lista!A:K,11,FALSE))</f>
        <v/>
      </c>
      <c r="Z408" s="68" t="str">
        <f>IF(V408="","",VLOOKUP(V408,Aux_Lista!A:L,12,FALSE))</f>
        <v/>
      </c>
      <c r="AA408" s="68" t="str">
        <f>IF(W408="","",VLOOKUP(W408,Aux_Lista!AN:AP,3,FALSE))</f>
        <v/>
      </c>
      <c r="AB408" s="68" t="str">
        <f>IF(W408="","",VLOOKUP(W408,Aux_Lista!AN:AP,2,FALSE))</f>
        <v/>
      </c>
      <c r="AC408" s="69"/>
      <c r="AD408" s="69"/>
      <c r="AE408" s="325">
        <f t="shared" si="36"/>
        <v>0</v>
      </c>
      <c r="AF408" s="540" t="s">
        <v>281</v>
      </c>
      <c r="AG408" s="540"/>
      <c r="AH408" s="337">
        <f>IFERROR(IF(X408="Sem projeto",1.5*AA408,AC408*VLOOKUP(AF408,Aux_Lista!AG:AH,2,FALSE)+AD408)*U408,0)</f>
        <v>0</v>
      </c>
      <c r="AI408" s="343" t="s">
        <v>90</v>
      </c>
      <c r="AJ408" s="343" t="s">
        <v>90</v>
      </c>
      <c r="AK408" s="343" t="s">
        <v>90</v>
      </c>
      <c r="AL408" s="333" t="str">
        <f t="shared" si="37"/>
        <v/>
      </c>
      <c r="AM408" s="334" t="str">
        <f t="shared" si="38"/>
        <v/>
      </c>
      <c r="AN408" s="333" t="str">
        <f t="shared" si="39"/>
        <v/>
      </c>
      <c r="AO408" s="334" t="str">
        <f t="shared" si="40"/>
        <v/>
      </c>
      <c r="AP408" s="44"/>
      <c r="AQ408" s="2"/>
    </row>
    <row r="409" spans="1:43" ht="24.95" customHeight="1" x14ac:dyDescent="0.25">
      <c r="A409" s="2">
        <v>369</v>
      </c>
      <c r="B409" s="349"/>
      <c r="C409" s="350"/>
      <c r="D409" s="351"/>
      <c r="E409" s="351"/>
      <c r="F409" s="336"/>
      <c r="G409" s="327"/>
      <c r="H409" s="327"/>
      <c r="I409" s="325">
        <f t="shared" si="41"/>
        <v>0</v>
      </c>
      <c r="J409" s="540" t="s">
        <v>281</v>
      </c>
      <c r="K409" s="540"/>
      <c r="L409" s="337">
        <f>IFERROR(IF(F409="Sem projeto",VLOOKUP(C409,$B$32:$H$34,7,FALSE)*1.5,G409*VLOOKUP(J409,Aux_Lista!$AG:$AH,2,FALSE)+H409)*E409,0)</f>
        <v>0</v>
      </c>
      <c r="M409" s="346" t="s">
        <v>90</v>
      </c>
      <c r="N409" s="347" t="s">
        <v>90</v>
      </c>
      <c r="O409" s="348" t="s">
        <v>90</v>
      </c>
      <c r="P409" s="386">
        <f t="shared" si="42"/>
        <v>0</v>
      </c>
      <c r="R409" s="94">
        <v>378</v>
      </c>
      <c r="S409" s="383"/>
      <c r="T409" s="214"/>
      <c r="U409" s="214"/>
      <c r="V409" s="217"/>
      <c r="W409" s="215"/>
      <c r="X409" s="336"/>
      <c r="Y409" s="68" t="str">
        <f>IF(V409="","",VLOOKUP(V409,Aux_Lista!A:K,11,FALSE))</f>
        <v/>
      </c>
      <c r="Z409" s="68" t="str">
        <f>IF(V409="","",VLOOKUP(V409,Aux_Lista!A:L,12,FALSE))</f>
        <v/>
      </c>
      <c r="AA409" s="68" t="str">
        <f>IF(W409="","",VLOOKUP(W409,Aux_Lista!AN:AP,3,FALSE))</f>
        <v/>
      </c>
      <c r="AB409" s="68" t="str">
        <f>IF(W409="","",VLOOKUP(W409,Aux_Lista!AN:AP,2,FALSE))</f>
        <v/>
      </c>
      <c r="AC409" s="69"/>
      <c r="AD409" s="69"/>
      <c r="AE409" s="325">
        <f t="shared" si="36"/>
        <v>0</v>
      </c>
      <c r="AF409" s="540" t="s">
        <v>281</v>
      </c>
      <c r="AG409" s="540"/>
      <c r="AH409" s="337">
        <f>IFERROR(IF(X409="Sem projeto",1.5*AA409,AC409*VLOOKUP(AF409,Aux_Lista!AG:AH,2,FALSE)+AD409)*U409,0)</f>
        <v>0</v>
      </c>
      <c r="AI409" s="343" t="s">
        <v>90</v>
      </c>
      <c r="AJ409" s="343" t="s">
        <v>90</v>
      </c>
      <c r="AK409" s="343" t="s">
        <v>90</v>
      </c>
      <c r="AL409" s="333" t="str">
        <f t="shared" si="37"/>
        <v/>
      </c>
      <c r="AM409" s="334" t="str">
        <f t="shared" si="38"/>
        <v/>
      </c>
      <c r="AN409" s="333" t="str">
        <f t="shared" si="39"/>
        <v/>
      </c>
      <c r="AO409" s="334" t="str">
        <f t="shared" si="40"/>
        <v/>
      </c>
      <c r="AP409" s="44"/>
      <c r="AQ409" s="2"/>
    </row>
    <row r="410" spans="1:43" ht="24.95" customHeight="1" x14ac:dyDescent="0.25">
      <c r="A410" s="2">
        <v>370</v>
      </c>
      <c r="B410" s="349"/>
      <c r="C410" s="350"/>
      <c r="D410" s="351"/>
      <c r="E410" s="351"/>
      <c r="F410" s="336"/>
      <c r="G410" s="327"/>
      <c r="H410" s="327"/>
      <c r="I410" s="325">
        <f t="shared" si="41"/>
        <v>0</v>
      </c>
      <c r="J410" s="540" t="s">
        <v>281</v>
      </c>
      <c r="K410" s="540"/>
      <c r="L410" s="337">
        <f>IFERROR(IF(F410="Sem projeto",VLOOKUP(C410,$B$32:$H$34,7,FALSE)*1.5,G410*VLOOKUP(J410,Aux_Lista!$AG:$AH,2,FALSE)+H410)*E410,0)</f>
        <v>0</v>
      </c>
      <c r="M410" s="346" t="s">
        <v>90</v>
      </c>
      <c r="N410" s="347" t="s">
        <v>90</v>
      </c>
      <c r="O410" s="348" t="s">
        <v>90</v>
      </c>
      <c r="P410" s="386">
        <f t="shared" si="42"/>
        <v>0</v>
      </c>
      <c r="R410" s="94">
        <v>379</v>
      </c>
      <c r="S410" s="383"/>
      <c r="T410" s="214"/>
      <c r="U410" s="214"/>
      <c r="V410" s="217"/>
      <c r="W410" s="215"/>
      <c r="X410" s="336"/>
      <c r="Y410" s="68" t="str">
        <f>IF(V410="","",VLOOKUP(V410,Aux_Lista!A:K,11,FALSE))</f>
        <v/>
      </c>
      <c r="Z410" s="68" t="str">
        <f>IF(V410="","",VLOOKUP(V410,Aux_Lista!A:L,12,FALSE))</f>
        <v/>
      </c>
      <c r="AA410" s="68" t="str">
        <f>IF(W410="","",VLOOKUP(W410,Aux_Lista!AN:AP,3,FALSE))</f>
        <v/>
      </c>
      <c r="AB410" s="68" t="str">
        <f>IF(W410="","",VLOOKUP(W410,Aux_Lista!AN:AP,2,FALSE))</f>
        <v/>
      </c>
      <c r="AC410" s="69"/>
      <c r="AD410" s="69"/>
      <c r="AE410" s="325">
        <f t="shared" si="36"/>
        <v>0</v>
      </c>
      <c r="AF410" s="540" t="s">
        <v>281</v>
      </c>
      <c r="AG410" s="540"/>
      <c r="AH410" s="337">
        <f>IFERROR(IF(X410="Sem projeto",1.5*AA410,AC410*VLOOKUP(AF410,Aux_Lista!AG:AH,2,FALSE)+AD410)*U410,0)</f>
        <v>0</v>
      </c>
      <c r="AI410" s="343" t="s">
        <v>90</v>
      </c>
      <c r="AJ410" s="343" t="s">
        <v>90</v>
      </c>
      <c r="AK410" s="343" t="s">
        <v>90</v>
      </c>
      <c r="AL410" s="333" t="str">
        <f t="shared" si="37"/>
        <v/>
      </c>
      <c r="AM410" s="334" t="str">
        <f t="shared" si="38"/>
        <v/>
      </c>
      <c r="AN410" s="333" t="str">
        <f t="shared" si="39"/>
        <v/>
      </c>
      <c r="AO410" s="334" t="str">
        <f t="shared" si="40"/>
        <v/>
      </c>
      <c r="AP410" s="44"/>
      <c r="AQ410" s="2"/>
    </row>
    <row r="411" spans="1:43" ht="24.95" customHeight="1" x14ac:dyDescent="0.25">
      <c r="A411" s="2">
        <v>371</v>
      </c>
      <c r="B411" s="349"/>
      <c r="C411" s="350"/>
      <c r="D411" s="351"/>
      <c r="E411" s="351"/>
      <c r="F411" s="336"/>
      <c r="G411" s="327"/>
      <c r="H411" s="327"/>
      <c r="I411" s="325">
        <f t="shared" si="41"/>
        <v>0</v>
      </c>
      <c r="J411" s="540" t="s">
        <v>281</v>
      </c>
      <c r="K411" s="540"/>
      <c r="L411" s="337">
        <f>IFERROR(IF(F411="Sem projeto",VLOOKUP(C411,$B$32:$H$34,7,FALSE)*1.5,G411*VLOOKUP(J411,Aux_Lista!$AG:$AH,2,FALSE)+H411)*E411,0)</f>
        <v>0</v>
      </c>
      <c r="M411" s="346" t="s">
        <v>90</v>
      </c>
      <c r="N411" s="347" t="s">
        <v>90</v>
      </c>
      <c r="O411" s="348" t="s">
        <v>90</v>
      </c>
      <c r="P411" s="386">
        <f t="shared" si="42"/>
        <v>0</v>
      </c>
      <c r="R411" s="94">
        <v>380</v>
      </c>
      <c r="S411" s="383"/>
      <c r="T411" s="214"/>
      <c r="U411" s="214"/>
      <c r="V411" s="217"/>
      <c r="W411" s="215"/>
      <c r="X411" s="336"/>
      <c r="Y411" s="68" t="str">
        <f>IF(V411="","",VLOOKUP(V411,Aux_Lista!A:K,11,FALSE))</f>
        <v/>
      </c>
      <c r="Z411" s="68" t="str">
        <f>IF(V411="","",VLOOKUP(V411,Aux_Lista!A:L,12,FALSE))</f>
        <v/>
      </c>
      <c r="AA411" s="68" t="str">
        <f>IF(W411="","",VLOOKUP(W411,Aux_Lista!AN:AP,3,FALSE))</f>
        <v/>
      </c>
      <c r="AB411" s="68" t="str">
        <f>IF(W411="","",VLOOKUP(W411,Aux_Lista!AN:AP,2,FALSE))</f>
        <v/>
      </c>
      <c r="AC411" s="69"/>
      <c r="AD411" s="69"/>
      <c r="AE411" s="325">
        <f t="shared" si="36"/>
        <v>0</v>
      </c>
      <c r="AF411" s="540" t="s">
        <v>281</v>
      </c>
      <c r="AG411" s="540"/>
      <c r="AH411" s="337">
        <f>IFERROR(IF(X411="Sem projeto",1.5*AA411,AC411*VLOOKUP(AF411,Aux_Lista!AG:AH,2,FALSE)+AD411)*U411,0)</f>
        <v>0</v>
      </c>
      <c r="AI411" s="343" t="s">
        <v>90</v>
      </c>
      <c r="AJ411" s="343" t="s">
        <v>90</v>
      </c>
      <c r="AK411" s="343" t="s">
        <v>90</v>
      </c>
      <c r="AL411" s="333" t="str">
        <f t="shared" si="37"/>
        <v/>
      </c>
      <c r="AM411" s="334" t="str">
        <f t="shared" si="38"/>
        <v/>
      </c>
      <c r="AN411" s="333" t="str">
        <f t="shared" si="39"/>
        <v/>
      </c>
      <c r="AO411" s="334" t="str">
        <f t="shared" si="40"/>
        <v/>
      </c>
      <c r="AP411" s="44"/>
      <c r="AQ411" s="2"/>
    </row>
    <row r="412" spans="1:43" ht="24.95" customHeight="1" x14ac:dyDescent="0.25">
      <c r="A412" s="2">
        <v>372</v>
      </c>
      <c r="B412" s="349"/>
      <c r="C412" s="350"/>
      <c r="D412" s="351"/>
      <c r="E412" s="351"/>
      <c r="F412" s="336"/>
      <c r="G412" s="327"/>
      <c r="H412" s="327"/>
      <c r="I412" s="325">
        <f t="shared" si="41"/>
        <v>0</v>
      </c>
      <c r="J412" s="540" t="s">
        <v>281</v>
      </c>
      <c r="K412" s="540"/>
      <c r="L412" s="337">
        <f>IFERROR(IF(F412="Sem projeto",VLOOKUP(C412,$B$32:$H$34,7,FALSE)*1.5,G412*VLOOKUP(J412,Aux_Lista!$AG:$AH,2,FALSE)+H412)*E412,0)</f>
        <v>0</v>
      </c>
      <c r="M412" s="346" t="s">
        <v>90</v>
      </c>
      <c r="N412" s="347" t="s">
        <v>90</v>
      </c>
      <c r="O412" s="348" t="s">
        <v>90</v>
      </c>
      <c r="P412" s="386">
        <f t="shared" si="42"/>
        <v>0</v>
      </c>
      <c r="R412" s="94">
        <v>381</v>
      </c>
      <c r="S412" s="383"/>
      <c r="T412" s="214"/>
      <c r="U412" s="214"/>
      <c r="V412" s="217"/>
      <c r="W412" s="215"/>
      <c r="X412" s="336"/>
      <c r="Y412" s="68" t="str">
        <f>IF(V412="","",VLOOKUP(V412,Aux_Lista!A:K,11,FALSE))</f>
        <v/>
      </c>
      <c r="Z412" s="68" t="str">
        <f>IF(V412="","",VLOOKUP(V412,Aux_Lista!A:L,12,FALSE))</f>
        <v/>
      </c>
      <c r="AA412" s="68" t="str">
        <f>IF(W412="","",VLOOKUP(W412,Aux_Lista!AN:AP,3,FALSE))</f>
        <v/>
      </c>
      <c r="AB412" s="68" t="str">
        <f>IF(W412="","",VLOOKUP(W412,Aux_Lista!AN:AP,2,FALSE))</f>
        <v/>
      </c>
      <c r="AC412" s="69"/>
      <c r="AD412" s="69"/>
      <c r="AE412" s="325">
        <f t="shared" si="36"/>
        <v>0</v>
      </c>
      <c r="AF412" s="540" t="s">
        <v>281</v>
      </c>
      <c r="AG412" s="540"/>
      <c r="AH412" s="337">
        <f>IFERROR(IF(X412="Sem projeto",1.5*AA412,AC412*VLOOKUP(AF412,Aux_Lista!AG:AH,2,FALSE)+AD412)*U412,0)</f>
        <v>0</v>
      </c>
      <c r="AI412" s="343" t="s">
        <v>90</v>
      </c>
      <c r="AJ412" s="343" t="s">
        <v>90</v>
      </c>
      <c r="AK412" s="343" t="s">
        <v>90</v>
      </c>
      <c r="AL412" s="333" t="str">
        <f t="shared" si="37"/>
        <v/>
      </c>
      <c r="AM412" s="334" t="str">
        <f t="shared" si="38"/>
        <v/>
      </c>
      <c r="AN412" s="333" t="str">
        <f t="shared" si="39"/>
        <v/>
      </c>
      <c r="AO412" s="334" t="str">
        <f t="shared" si="40"/>
        <v/>
      </c>
      <c r="AP412" s="44"/>
      <c r="AQ412" s="2"/>
    </row>
    <row r="413" spans="1:43" ht="24.95" customHeight="1" x14ac:dyDescent="0.25">
      <c r="A413" s="2">
        <v>373</v>
      </c>
      <c r="B413" s="349"/>
      <c r="C413" s="350"/>
      <c r="D413" s="351"/>
      <c r="E413" s="351"/>
      <c r="F413" s="336"/>
      <c r="G413" s="327"/>
      <c r="H413" s="327"/>
      <c r="I413" s="325">
        <f t="shared" si="41"/>
        <v>0</v>
      </c>
      <c r="J413" s="540" t="s">
        <v>281</v>
      </c>
      <c r="K413" s="540"/>
      <c r="L413" s="337">
        <f>IFERROR(IF(F413="Sem projeto",VLOOKUP(C413,$B$32:$H$34,7,FALSE)*1.5,G413*VLOOKUP(J413,Aux_Lista!$AG:$AH,2,FALSE)+H413)*E413,0)</f>
        <v>0</v>
      </c>
      <c r="M413" s="346" t="s">
        <v>90</v>
      </c>
      <c r="N413" s="347" t="s">
        <v>90</v>
      </c>
      <c r="O413" s="348" t="s">
        <v>90</v>
      </c>
      <c r="P413" s="386">
        <f t="shared" si="42"/>
        <v>0</v>
      </c>
      <c r="R413" s="94">
        <v>382</v>
      </c>
      <c r="S413" s="383"/>
      <c r="T413" s="214"/>
      <c r="U413" s="214"/>
      <c r="V413" s="217"/>
      <c r="W413" s="215"/>
      <c r="X413" s="336"/>
      <c r="Y413" s="68" t="str">
        <f>IF(V413="","",VLOOKUP(V413,Aux_Lista!A:K,11,FALSE))</f>
        <v/>
      </c>
      <c r="Z413" s="68" t="str">
        <f>IF(V413="","",VLOOKUP(V413,Aux_Lista!A:L,12,FALSE))</f>
        <v/>
      </c>
      <c r="AA413" s="68" t="str">
        <f>IF(W413="","",VLOOKUP(W413,Aux_Lista!AN:AP,3,FALSE))</f>
        <v/>
      </c>
      <c r="AB413" s="68" t="str">
        <f>IF(W413="","",VLOOKUP(W413,Aux_Lista!AN:AP,2,FALSE))</f>
        <v/>
      </c>
      <c r="AC413" s="69"/>
      <c r="AD413" s="69"/>
      <c r="AE413" s="325">
        <f t="shared" si="36"/>
        <v>0</v>
      </c>
      <c r="AF413" s="540" t="s">
        <v>281</v>
      </c>
      <c r="AG413" s="540"/>
      <c r="AH413" s="337">
        <f>IFERROR(IF(X413="Sem projeto",1.5*AA413,AC413*VLOOKUP(AF413,Aux_Lista!AG:AH,2,FALSE)+AD413)*U413,0)</f>
        <v>0</v>
      </c>
      <c r="AI413" s="343" t="s">
        <v>90</v>
      </c>
      <c r="AJ413" s="343" t="s">
        <v>90</v>
      </c>
      <c r="AK413" s="343" t="s">
        <v>90</v>
      </c>
      <c r="AL413" s="333" t="str">
        <f t="shared" si="37"/>
        <v/>
      </c>
      <c r="AM413" s="334" t="str">
        <f t="shared" si="38"/>
        <v/>
      </c>
      <c r="AN413" s="333" t="str">
        <f t="shared" si="39"/>
        <v/>
      </c>
      <c r="AO413" s="334" t="str">
        <f t="shared" si="40"/>
        <v/>
      </c>
      <c r="AP413" s="44"/>
      <c r="AQ413" s="2"/>
    </row>
    <row r="414" spans="1:43" ht="24.95" customHeight="1" x14ac:dyDescent="0.25">
      <c r="A414" s="2">
        <v>374</v>
      </c>
      <c r="B414" s="349"/>
      <c r="C414" s="350"/>
      <c r="D414" s="351"/>
      <c r="E414" s="351"/>
      <c r="F414" s="336"/>
      <c r="G414" s="327"/>
      <c r="H414" s="327"/>
      <c r="I414" s="325">
        <f t="shared" si="41"/>
        <v>0</v>
      </c>
      <c r="J414" s="540" t="s">
        <v>281</v>
      </c>
      <c r="K414" s="540"/>
      <c r="L414" s="337">
        <f>IFERROR(IF(F414="Sem projeto",VLOOKUP(C414,$B$32:$H$34,7,FALSE)*1.5,G414*VLOOKUP(J414,Aux_Lista!$AG:$AH,2,FALSE)+H414)*E414,0)</f>
        <v>0</v>
      </c>
      <c r="M414" s="346" t="s">
        <v>90</v>
      </c>
      <c r="N414" s="347" t="s">
        <v>90</v>
      </c>
      <c r="O414" s="348" t="s">
        <v>90</v>
      </c>
      <c r="P414" s="386">
        <f t="shared" si="42"/>
        <v>0</v>
      </c>
      <c r="R414" s="94">
        <v>383</v>
      </c>
      <c r="S414" s="383"/>
      <c r="T414" s="214"/>
      <c r="U414" s="214"/>
      <c r="V414" s="217"/>
      <c r="W414" s="215"/>
      <c r="X414" s="336"/>
      <c r="Y414" s="68" t="str">
        <f>IF(V414="","",VLOOKUP(V414,Aux_Lista!A:K,11,FALSE))</f>
        <v/>
      </c>
      <c r="Z414" s="68" t="str">
        <f>IF(V414="","",VLOOKUP(V414,Aux_Lista!A:L,12,FALSE))</f>
        <v/>
      </c>
      <c r="AA414" s="68" t="str">
        <f>IF(W414="","",VLOOKUP(W414,Aux_Lista!AN:AP,3,FALSE))</f>
        <v/>
      </c>
      <c r="AB414" s="68" t="str">
        <f>IF(W414="","",VLOOKUP(W414,Aux_Lista!AN:AP,2,FALSE))</f>
        <v/>
      </c>
      <c r="AC414" s="69"/>
      <c r="AD414" s="69"/>
      <c r="AE414" s="325">
        <f t="shared" si="36"/>
        <v>0</v>
      </c>
      <c r="AF414" s="540" t="s">
        <v>281</v>
      </c>
      <c r="AG414" s="540"/>
      <c r="AH414" s="337">
        <f>IFERROR(IF(X414="Sem projeto",1.5*AA414,AC414*VLOOKUP(AF414,Aux_Lista!AG:AH,2,FALSE)+AD414)*U414,0)</f>
        <v>0</v>
      </c>
      <c r="AI414" s="343" t="s">
        <v>90</v>
      </c>
      <c r="AJ414" s="343" t="s">
        <v>90</v>
      </c>
      <c r="AK414" s="343" t="s">
        <v>90</v>
      </c>
      <c r="AL414" s="333" t="str">
        <f t="shared" si="37"/>
        <v/>
      </c>
      <c r="AM414" s="334" t="str">
        <f t="shared" si="38"/>
        <v/>
      </c>
      <c r="AN414" s="333" t="str">
        <f t="shared" si="39"/>
        <v/>
      </c>
      <c r="AO414" s="334" t="str">
        <f t="shared" si="40"/>
        <v/>
      </c>
      <c r="AP414" s="44"/>
      <c r="AQ414" s="2"/>
    </row>
    <row r="415" spans="1:43" ht="24.95" customHeight="1" x14ac:dyDescent="0.25">
      <c r="A415" s="2">
        <v>375</v>
      </c>
      <c r="B415" s="349"/>
      <c r="C415" s="350"/>
      <c r="D415" s="351"/>
      <c r="E415" s="351"/>
      <c r="F415" s="336"/>
      <c r="G415" s="327"/>
      <c r="H415" s="327"/>
      <c r="I415" s="325">
        <f t="shared" si="41"/>
        <v>0</v>
      </c>
      <c r="J415" s="540" t="s">
        <v>281</v>
      </c>
      <c r="K415" s="540"/>
      <c r="L415" s="337">
        <f>IFERROR(IF(F415="Sem projeto",VLOOKUP(C415,$B$32:$H$34,7,FALSE)*1.5,G415*VLOOKUP(J415,Aux_Lista!$AG:$AH,2,FALSE)+H415)*E415,0)</f>
        <v>0</v>
      </c>
      <c r="M415" s="346" t="s">
        <v>90</v>
      </c>
      <c r="N415" s="347" t="s">
        <v>90</v>
      </c>
      <c r="O415" s="348" t="s">
        <v>90</v>
      </c>
      <c r="P415" s="386">
        <f t="shared" si="42"/>
        <v>0</v>
      </c>
      <c r="R415" s="94">
        <v>384</v>
      </c>
      <c r="S415" s="383"/>
      <c r="T415" s="214"/>
      <c r="U415" s="214"/>
      <c r="V415" s="217"/>
      <c r="W415" s="215"/>
      <c r="X415" s="336"/>
      <c r="Y415" s="68" t="str">
        <f>IF(V415="","",VLOOKUP(V415,Aux_Lista!A:K,11,FALSE))</f>
        <v/>
      </c>
      <c r="Z415" s="68" t="str">
        <f>IF(V415="","",VLOOKUP(V415,Aux_Lista!A:L,12,FALSE))</f>
        <v/>
      </c>
      <c r="AA415" s="68" t="str">
        <f>IF(W415="","",VLOOKUP(W415,Aux_Lista!AN:AP,3,FALSE))</f>
        <v/>
      </c>
      <c r="AB415" s="68" t="str">
        <f>IF(W415="","",VLOOKUP(W415,Aux_Lista!AN:AP,2,FALSE))</f>
        <v/>
      </c>
      <c r="AC415" s="69"/>
      <c r="AD415" s="69"/>
      <c r="AE415" s="325">
        <f t="shared" si="36"/>
        <v>0</v>
      </c>
      <c r="AF415" s="540" t="s">
        <v>281</v>
      </c>
      <c r="AG415" s="540"/>
      <c r="AH415" s="337">
        <f>IFERROR(IF(X415="Sem projeto",1.5*AA415,AC415*VLOOKUP(AF415,Aux_Lista!AG:AH,2,FALSE)+AD415)*U415,0)</f>
        <v>0</v>
      </c>
      <c r="AI415" s="343" t="s">
        <v>90</v>
      </c>
      <c r="AJ415" s="343" t="s">
        <v>90</v>
      </c>
      <c r="AK415" s="343" t="s">
        <v>90</v>
      </c>
      <c r="AL415" s="333" t="str">
        <f t="shared" si="37"/>
        <v/>
      </c>
      <c r="AM415" s="334" t="str">
        <f t="shared" si="38"/>
        <v/>
      </c>
      <c r="AN415" s="333" t="str">
        <f t="shared" si="39"/>
        <v/>
      </c>
      <c r="AO415" s="334" t="str">
        <f t="shared" si="40"/>
        <v/>
      </c>
      <c r="AP415" s="44"/>
      <c r="AQ415" s="2"/>
    </row>
    <row r="416" spans="1:43" ht="24.95" customHeight="1" x14ac:dyDescent="0.25">
      <c r="A416" s="2">
        <v>376</v>
      </c>
      <c r="B416" s="349"/>
      <c r="C416" s="350"/>
      <c r="D416" s="351"/>
      <c r="E416" s="351"/>
      <c r="F416" s="336"/>
      <c r="G416" s="327"/>
      <c r="H416" s="327"/>
      <c r="I416" s="325">
        <f t="shared" si="41"/>
        <v>0</v>
      </c>
      <c r="J416" s="540" t="s">
        <v>281</v>
      </c>
      <c r="K416" s="540"/>
      <c r="L416" s="337">
        <f>IFERROR(IF(F416="Sem projeto",VLOOKUP(C416,$B$32:$H$34,7,FALSE)*1.5,G416*VLOOKUP(J416,Aux_Lista!$AG:$AH,2,FALSE)+H416)*E416,0)</f>
        <v>0</v>
      </c>
      <c r="M416" s="346" t="s">
        <v>90</v>
      </c>
      <c r="N416" s="347" t="s">
        <v>90</v>
      </c>
      <c r="O416" s="348" t="s">
        <v>90</v>
      </c>
      <c r="P416" s="386">
        <f t="shared" si="42"/>
        <v>0</v>
      </c>
      <c r="R416" s="94">
        <v>385</v>
      </c>
      <c r="S416" s="383"/>
      <c r="T416" s="214"/>
      <c r="U416" s="214"/>
      <c r="V416" s="217"/>
      <c r="W416" s="215"/>
      <c r="X416" s="336"/>
      <c r="Y416" s="68" t="str">
        <f>IF(V416="","",VLOOKUP(V416,Aux_Lista!A:K,11,FALSE))</f>
        <v/>
      </c>
      <c r="Z416" s="68" t="str">
        <f>IF(V416="","",VLOOKUP(V416,Aux_Lista!A:L,12,FALSE))</f>
        <v/>
      </c>
      <c r="AA416" s="68" t="str">
        <f>IF(W416="","",VLOOKUP(W416,Aux_Lista!AN:AP,3,FALSE))</f>
        <v/>
      </c>
      <c r="AB416" s="68" t="str">
        <f>IF(W416="","",VLOOKUP(W416,Aux_Lista!AN:AP,2,FALSE))</f>
        <v/>
      </c>
      <c r="AC416" s="69"/>
      <c r="AD416" s="69"/>
      <c r="AE416" s="325">
        <f t="shared" si="36"/>
        <v>0</v>
      </c>
      <c r="AF416" s="540" t="s">
        <v>281</v>
      </c>
      <c r="AG416" s="540"/>
      <c r="AH416" s="337">
        <f>IFERROR(IF(X416="Sem projeto",1.5*AA416,AC416*VLOOKUP(AF416,Aux_Lista!AG:AH,2,FALSE)+AD416)*U416,0)</f>
        <v>0</v>
      </c>
      <c r="AI416" s="343" t="s">
        <v>90</v>
      </c>
      <c r="AJ416" s="343" t="s">
        <v>90</v>
      </c>
      <c r="AK416" s="343" t="s">
        <v>90</v>
      </c>
      <c r="AL416" s="333" t="str">
        <f t="shared" si="37"/>
        <v/>
      </c>
      <c r="AM416" s="334" t="str">
        <f t="shared" si="38"/>
        <v/>
      </c>
      <c r="AN416" s="333" t="str">
        <f t="shared" si="39"/>
        <v/>
      </c>
      <c r="AO416" s="334" t="str">
        <f t="shared" si="40"/>
        <v/>
      </c>
      <c r="AP416" s="44"/>
      <c r="AQ416" s="2"/>
    </row>
    <row r="417" spans="1:43" ht="24.95" customHeight="1" x14ac:dyDescent="0.25">
      <c r="A417" s="2">
        <v>377</v>
      </c>
      <c r="B417" s="349"/>
      <c r="C417" s="350"/>
      <c r="D417" s="351"/>
      <c r="E417" s="351"/>
      <c r="F417" s="336"/>
      <c r="G417" s="327"/>
      <c r="H417" s="327"/>
      <c r="I417" s="325">
        <f t="shared" si="41"/>
        <v>0</v>
      </c>
      <c r="J417" s="540" t="s">
        <v>281</v>
      </c>
      <c r="K417" s="540"/>
      <c r="L417" s="337">
        <f>IFERROR(IF(F417="Sem projeto",VLOOKUP(C417,$B$32:$H$34,7,FALSE)*1.5,G417*VLOOKUP(J417,Aux_Lista!$AG:$AH,2,FALSE)+H417)*E417,0)</f>
        <v>0</v>
      </c>
      <c r="M417" s="346" t="s">
        <v>90</v>
      </c>
      <c r="N417" s="347" t="s">
        <v>90</v>
      </c>
      <c r="O417" s="348" t="s">
        <v>90</v>
      </c>
      <c r="P417" s="386">
        <f t="shared" si="42"/>
        <v>0</v>
      </c>
      <c r="R417" s="94">
        <v>386</v>
      </c>
      <c r="S417" s="383"/>
      <c r="T417" s="214"/>
      <c r="U417" s="214"/>
      <c r="V417" s="217"/>
      <c r="W417" s="215"/>
      <c r="X417" s="336"/>
      <c r="Y417" s="68" t="str">
        <f>IF(V417="","",VLOOKUP(V417,Aux_Lista!A:K,11,FALSE))</f>
        <v/>
      </c>
      <c r="Z417" s="68" t="str">
        <f>IF(V417="","",VLOOKUP(V417,Aux_Lista!A:L,12,FALSE))</f>
        <v/>
      </c>
      <c r="AA417" s="68" t="str">
        <f>IF(W417="","",VLOOKUP(W417,Aux_Lista!AN:AP,3,FALSE))</f>
        <v/>
      </c>
      <c r="AB417" s="68" t="str">
        <f>IF(W417="","",VLOOKUP(W417,Aux_Lista!AN:AP,2,FALSE))</f>
        <v/>
      </c>
      <c r="AC417" s="69"/>
      <c r="AD417" s="69"/>
      <c r="AE417" s="325">
        <f t="shared" ref="AE417:AE480" si="43">(AC417+AD417)*U417</f>
        <v>0</v>
      </c>
      <c r="AF417" s="540" t="s">
        <v>281</v>
      </c>
      <c r="AG417" s="540"/>
      <c r="AH417" s="337">
        <f>IFERROR(IF(X417="Sem projeto",1.5*AA417,AC417*VLOOKUP(AF417,Aux_Lista!AG:AH,2,FALSE)+AD417)*U417,0)</f>
        <v>0</v>
      </c>
      <c r="AI417" s="343" t="s">
        <v>90</v>
      </c>
      <c r="AJ417" s="343" t="s">
        <v>90</v>
      </c>
      <c r="AK417" s="343" t="s">
        <v>90</v>
      </c>
      <c r="AL417" s="333" t="str">
        <f t="shared" ref="AL417:AL480" si="44">IF(ISERROR((T417*U417*Y417*Z417*AA417)/1000),"",(T417*U417*Y417*Z417*AA417)/1000)</f>
        <v/>
      </c>
      <c r="AM417" s="334" t="str">
        <f t="shared" ref="AM417:AM480" si="45">IF(ISERROR((Y417*Z417*AH417)/1000),"",(Y417*Z417*AH417)/1000)</f>
        <v/>
      </c>
      <c r="AN417" s="333" t="str">
        <f t="shared" ref="AN417:AN480" si="46">IFERROR(AA417*T417*U417*Y417*Z417/1000,"")</f>
        <v/>
      </c>
      <c r="AO417" s="334" t="str">
        <f t="shared" ref="AO417:AO480" si="47">IFERROR(AB417*T417*U417*Y417*Z417/1000,"")</f>
        <v/>
      </c>
      <c r="AP417" s="44"/>
      <c r="AQ417" s="2"/>
    </row>
    <row r="418" spans="1:43" ht="24.95" customHeight="1" x14ac:dyDescent="0.25">
      <c r="A418" s="2">
        <v>378</v>
      </c>
      <c r="B418" s="349"/>
      <c r="C418" s="350"/>
      <c r="D418" s="351"/>
      <c r="E418" s="351"/>
      <c r="F418" s="336"/>
      <c r="G418" s="327"/>
      <c r="H418" s="327"/>
      <c r="I418" s="325">
        <f t="shared" si="41"/>
        <v>0</v>
      </c>
      <c r="J418" s="540" t="s">
        <v>281</v>
      </c>
      <c r="K418" s="540"/>
      <c r="L418" s="337">
        <f>IFERROR(IF(F418="Sem projeto",VLOOKUP(C418,$B$32:$H$34,7,FALSE)*1.5,G418*VLOOKUP(J418,Aux_Lista!$AG:$AH,2,FALSE)+H418)*E418,0)</f>
        <v>0</v>
      </c>
      <c r="M418" s="346" t="s">
        <v>90</v>
      </c>
      <c r="N418" s="347" t="s">
        <v>90</v>
      </c>
      <c r="O418" s="348" t="s">
        <v>90</v>
      </c>
      <c r="P418" s="386">
        <f t="shared" si="42"/>
        <v>0</v>
      </c>
      <c r="R418" s="94">
        <v>387</v>
      </c>
      <c r="S418" s="383"/>
      <c r="T418" s="214"/>
      <c r="U418" s="214"/>
      <c r="V418" s="217"/>
      <c r="W418" s="215"/>
      <c r="X418" s="336"/>
      <c r="Y418" s="68" t="str">
        <f>IF(V418="","",VLOOKUP(V418,Aux_Lista!A:K,11,FALSE))</f>
        <v/>
      </c>
      <c r="Z418" s="68" t="str">
        <f>IF(V418="","",VLOOKUP(V418,Aux_Lista!A:L,12,FALSE))</f>
        <v/>
      </c>
      <c r="AA418" s="68" t="str">
        <f>IF(W418="","",VLOOKUP(W418,Aux_Lista!AN:AP,3,FALSE))</f>
        <v/>
      </c>
      <c r="AB418" s="68" t="str">
        <f>IF(W418="","",VLOOKUP(W418,Aux_Lista!AN:AP,2,FALSE))</f>
        <v/>
      </c>
      <c r="AC418" s="69"/>
      <c r="AD418" s="69"/>
      <c r="AE418" s="325">
        <f t="shared" si="43"/>
        <v>0</v>
      </c>
      <c r="AF418" s="540" t="s">
        <v>281</v>
      </c>
      <c r="AG418" s="540"/>
      <c r="AH418" s="337">
        <f>IFERROR(IF(X418="Sem projeto",1.5*AA418,AC418*VLOOKUP(AF418,Aux_Lista!AG:AH,2,FALSE)+AD418)*U418,0)</f>
        <v>0</v>
      </c>
      <c r="AI418" s="343" t="s">
        <v>90</v>
      </c>
      <c r="AJ418" s="343" t="s">
        <v>90</v>
      </c>
      <c r="AK418" s="343" t="s">
        <v>90</v>
      </c>
      <c r="AL418" s="333" t="str">
        <f t="shared" si="44"/>
        <v/>
      </c>
      <c r="AM418" s="334" t="str">
        <f t="shared" si="45"/>
        <v/>
      </c>
      <c r="AN418" s="333" t="str">
        <f t="shared" si="46"/>
        <v/>
      </c>
      <c r="AO418" s="334" t="str">
        <f t="shared" si="47"/>
        <v/>
      </c>
      <c r="AP418" s="44"/>
      <c r="AQ418" s="2"/>
    </row>
    <row r="419" spans="1:43" ht="24.95" customHeight="1" x14ac:dyDescent="0.25">
      <c r="A419" s="2">
        <v>379</v>
      </c>
      <c r="B419" s="349"/>
      <c r="C419" s="350"/>
      <c r="D419" s="351"/>
      <c r="E419" s="351"/>
      <c r="F419" s="336"/>
      <c r="G419" s="327"/>
      <c r="H419" s="327"/>
      <c r="I419" s="325">
        <f t="shared" si="41"/>
        <v>0</v>
      </c>
      <c r="J419" s="540" t="s">
        <v>281</v>
      </c>
      <c r="K419" s="540"/>
      <c r="L419" s="337">
        <f>IFERROR(IF(F419="Sem projeto",VLOOKUP(C419,$B$32:$H$34,7,FALSE)*1.5,G419*VLOOKUP(J419,Aux_Lista!$AG:$AH,2,FALSE)+H419)*E419,0)</f>
        <v>0</v>
      </c>
      <c r="M419" s="346" t="s">
        <v>90</v>
      </c>
      <c r="N419" s="347" t="s">
        <v>90</v>
      </c>
      <c r="O419" s="348" t="s">
        <v>90</v>
      </c>
      <c r="P419" s="386">
        <f t="shared" si="42"/>
        <v>0</v>
      </c>
      <c r="R419" s="94">
        <v>388</v>
      </c>
      <c r="S419" s="383"/>
      <c r="T419" s="214"/>
      <c r="U419" s="214"/>
      <c r="V419" s="217"/>
      <c r="W419" s="215"/>
      <c r="X419" s="336"/>
      <c r="Y419" s="68" t="str">
        <f>IF(V419="","",VLOOKUP(V419,Aux_Lista!A:K,11,FALSE))</f>
        <v/>
      </c>
      <c r="Z419" s="68" t="str">
        <f>IF(V419="","",VLOOKUP(V419,Aux_Lista!A:L,12,FALSE))</f>
        <v/>
      </c>
      <c r="AA419" s="68" t="str">
        <f>IF(W419="","",VLOOKUP(W419,Aux_Lista!AN:AP,3,FALSE))</f>
        <v/>
      </c>
      <c r="AB419" s="68" t="str">
        <f>IF(W419="","",VLOOKUP(W419,Aux_Lista!AN:AP,2,FALSE))</f>
        <v/>
      </c>
      <c r="AC419" s="69"/>
      <c r="AD419" s="69"/>
      <c r="AE419" s="325">
        <f t="shared" si="43"/>
        <v>0</v>
      </c>
      <c r="AF419" s="540" t="s">
        <v>281</v>
      </c>
      <c r="AG419" s="540"/>
      <c r="AH419" s="337">
        <f>IFERROR(IF(X419="Sem projeto",1.5*AA419,AC419*VLOOKUP(AF419,Aux_Lista!AG:AH,2,FALSE)+AD419)*U419,0)</f>
        <v>0</v>
      </c>
      <c r="AI419" s="343" t="s">
        <v>90</v>
      </c>
      <c r="AJ419" s="343" t="s">
        <v>90</v>
      </c>
      <c r="AK419" s="343" t="s">
        <v>90</v>
      </c>
      <c r="AL419" s="333" t="str">
        <f t="shared" si="44"/>
        <v/>
      </c>
      <c r="AM419" s="334" t="str">
        <f t="shared" si="45"/>
        <v/>
      </c>
      <c r="AN419" s="333" t="str">
        <f t="shared" si="46"/>
        <v/>
      </c>
      <c r="AO419" s="334" t="str">
        <f t="shared" si="47"/>
        <v/>
      </c>
      <c r="AP419" s="44"/>
      <c r="AQ419" s="2"/>
    </row>
    <row r="420" spans="1:43" ht="24.95" customHeight="1" x14ac:dyDescent="0.25">
      <c r="A420" s="2">
        <v>380</v>
      </c>
      <c r="B420" s="349"/>
      <c r="C420" s="350"/>
      <c r="D420" s="351"/>
      <c r="E420" s="351"/>
      <c r="F420" s="336"/>
      <c r="G420" s="327"/>
      <c r="H420" s="327"/>
      <c r="I420" s="325">
        <f t="shared" si="41"/>
        <v>0</v>
      </c>
      <c r="J420" s="540" t="s">
        <v>281</v>
      </c>
      <c r="K420" s="540"/>
      <c r="L420" s="337">
        <f>IFERROR(IF(F420="Sem projeto",VLOOKUP(C420,$B$32:$H$34,7,FALSE)*1.5,G420*VLOOKUP(J420,Aux_Lista!$AG:$AH,2,FALSE)+H420)*E420,0)</f>
        <v>0</v>
      </c>
      <c r="M420" s="346" t="s">
        <v>90</v>
      </c>
      <c r="N420" s="347" t="s">
        <v>90</v>
      </c>
      <c r="O420" s="348" t="s">
        <v>90</v>
      </c>
      <c r="P420" s="386">
        <f t="shared" si="42"/>
        <v>0</v>
      </c>
      <c r="R420" s="94">
        <v>389</v>
      </c>
      <c r="S420" s="383"/>
      <c r="T420" s="214"/>
      <c r="U420" s="214"/>
      <c r="V420" s="217"/>
      <c r="W420" s="215"/>
      <c r="X420" s="336"/>
      <c r="Y420" s="68" t="str">
        <f>IF(V420="","",VLOOKUP(V420,Aux_Lista!A:K,11,FALSE))</f>
        <v/>
      </c>
      <c r="Z420" s="68" t="str">
        <f>IF(V420="","",VLOOKUP(V420,Aux_Lista!A:L,12,FALSE))</f>
        <v/>
      </c>
      <c r="AA420" s="68" t="str">
        <f>IF(W420="","",VLOOKUP(W420,Aux_Lista!AN:AP,3,FALSE))</f>
        <v/>
      </c>
      <c r="AB420" s="68" t="str">
        <f>IF(W420="","",VLOOKUP(W420,Aux_Lista!AN:AP,2,FALSE))</f>
        <v/>
      </c>
      <c r="AC420" s="69"/>
      <c r="AD420" s="69"/>
      <c r="AE420" s="325">
        <f t="shared" si="43"/>
        <v>0</v>
      </c>
      <c r="AF420" s="540" t="s">
        <v>281</v>
      </c>
      <c r="AG420" s="540"/>
      <c r="AH420" s="337">
        <f>IFERROR(IF(X420="Sem projeto",1.5*AA420,AC420*VLOOKUP(AF420,Aux_Lista!AG:AH,2,FALSE)+AD420)*U420,0)</f>
        <v>0</v>
      </c>
      <c r="AI420" s="343" t="s">
        <v>90</v>
      </c>
      <c r="AJ420" s="343" t="s">
        <v>90</v>
      </c>
      <c r="AK420" s="343" t="s">
        <v>90</v>
      </c>
      <c r="AL420" s="333" t="str">
        <f t="shared" si="44"/>
        <v/>
      </c>
      <c r="AM420" s="334" t="str">
        <f t="shared" si="45"/>
        <v/>
      </c>
      <c r="AN420" s="333" t="str">
        <f t="shared" si="46"/>
        <v/>
      </c>
      <c r="AO420" s="334" t="str">
        <f t="shared" si="47"/>
        <v/>
      </c>
      <c r="AP420" s="44"/>
      <c r="AQ420" s="2"/>
    </row>
    <row r="421" spans="1:43" ht="24.95" customHeight="1" x14ac:dyDescent="0.25">
      <c r="A421" s="2">
        <v>381</v>
      </c>
      <c r="B421" s="349"/>
      <c r="C421" s="350"/>
      <c r="D421" s="351"/>
      <c r="E421" s="351"/>
      <c r="F421" s="336"/>
      <c r="G421" s="327"/>
      <c r="H421" s="327"/>
      <c r="I421" s="325">
        <f t="shared" si="41"/>
        <v>0</v>
      </c>
      <c r="J421" s="540" t="s">
        <v>281</v>
      </c>
      <c r="K421" s="540"/>
      <c r="L421" s="337">
        <f>IFERROR(IF(F421="Sem projeto",VLOOKUP(C421,$B$32:$H$34,7,FALSE)*1.5,G421*VLOOKUP(J421,Aux_Lista!$AG:$AH,2,FALSE)+H421)*E421,0)</f>
        <v>0</v>
      </c>
      <c r="M421" s="346" t="s">
        <v>90</v>
      </c>
      <c r="N421" s="347" t="s">
        <v>90</v>
      </c>
      <c r="O421" s="348" t="s">
        <v>90</v>
      </c>
      <c r="P421" s="386">
        <f t="shared" si="42"/>
        <v>0</v>
      </c>
      <c r="R421" s="94">
        <v>390</v>
      </c>
      <c r="S421" s="383"/>
      <c r="T421" s="214"/>
      <c r="U421" s="214"/>
      <c r="V421" s="217"/>
      <c r="W421" s="215"/>
      <c r="X421" s="336"/>
      <c r="Y421" s="68" t="str">
        <f>IF(V421="","",VLOOKUP(V421,Aux_Lista!A:K,11,FALSE))</f>
        <v/>
      </c>
      <c r="Z421" s="68" t="str">
        <f>IF(V421="","",VLOOKUP(V421,Aux_Lista!A:L,12,FALSE))</f>
        <v/>
      </c>
      <c r="AA421" s="68" t="str">
        <f>IF(W421="","",VLOOKUP(W421,Aux_Lista!AN:AP,3,FALSE))</f>
        <v/>
      </c>
      <c r="AB421" s="68" t="str">
        <f>IF(W421="","",VLOOKUP(W421,Aux_Lista!AN:AP,2,FALSE))</f>
        <v/>
      </c>
      <c r="AC421" s="69"/>
      <c r="AD421" s="69"/>
      <c r="AE421" s="325">
        <f t="shared" si="43"/>
        <v>0</v>
      </c>
      <c r="AF421" s="540" t="s">
        <v>281</v>
      </c>
      <c r="AG421" s="540"/>
      <c r="AH421" s="337">
        <f>IFERROR(IF(X421="Sem projeto",1.5*AA421,AC421*VLOOKUP(AF421,Aux_Lista!AG:AH,2,FALSE)+AD421)*U421,0)</f>
        <v>0</v>
      </c>
      <c r="AI421" s="343" t="s">
        <v>90</v>
      </c>
      <c r="AJ421" s="343" t="s">
        <v>90</v>
      </c>
      <c r="AK421" s="343" t="s">
        <v>90</v>
      </c>
      <c r="AL421" s="333" t="str">
        <f t="shared" si="44"/>
        <v/>
      </c>
      <c r="AM421" s="334" t="str">
        <f t="shared" si="45"/>
        <v/>
      </c>
      <c r="AN421" s="333" t="str">
        <f t="shared" si="46"/>
        <v/>
      </c>
      <c r="AO421" s="334" t="str">
        <f t="shared" si="47"/>
        <v/>
      </c>
      <c r="AP421" s="44"/>
      <c r="AQ421" s="2"/>
    </row>
    <row r="422" spans="1:43" ht="24.95" customHeight="1" x14ac:dyDescent="0.25">
      <c r="A422" s="2">
        <v>382</v>
      </c>
      <c r="B422" s="349"/>
      <c r="C422" s="350"/>
      <c r="D422" s="351"/>
      <c r="E422" s="351"/>
      <c r="F422" s="336"/>
      <c r="G422" s="327"/>
      <c r="H422" s="327"/>
      <c r="I422" s="325">
        <f t="shared" si="41"/>
        <v>0</v>
      </c>
      <c r="J422" s="540" t="s">
        <v>281</v>
      </c>
      <c r="K422" s="540"/>
      <c r="L422" s="337">
        <f>IFERROR(IF(F422="Sem projeto",VLOOKUP(C422,$B$32:$H$34,7,FALSE)*1.5,G422*VLOOKUP(J422,Aux_Lista!$AG:$AH,2,FALSE)+H422)*E422,0)</f>
        <v>0</v>
      </c>
      <c r="M422" s="346" t="s">
        <v>90</v>
      </c>
      <c r="N422" s="347" t="s">
        <v>90</v>
      </c>
      <c r="O422" s="348" t="s">
        <v>90</v>
      </c>
      <c r="P422" s="386">
        <f t="shared" si="42"/>
        <v>0</v>
      </c>
      <c r="R422" s="94">
        <v>391</v>
      </c>
      <c r="S422" s="383"/>
      <c r="T422" s="214"/>
      <c r="U422" s="214"/>
      <c r="V422" s="217"/>
      <c r="W422" s="215"/>
      <c r="X422" s="336"/>
      <c r="Y422" s="68" t="str">
        <f>IF(V422="","",VLOOKUP(V422,Aux_Lista!A:K,11,FALSE))</f>
        <v/>
      </c>
      <c r="Z422" s="68" t="str">
        <f>IF(V422="","",VLOOKUP(V422,Aux_Lista!A:L,12,FALSE))</f>
        <v/>
      </c>
      <c r="AA422" s="68" t="str">
        <f>IF(W422="","",VLOOKUP(W422,Aux_Lista!AN:AP,3,FALSE))</f>
        <v/>
      </c>
      <c r="AB422" s="68" t="str">
        <f>IF(W422="","",VLOOKUP(W422,Aux_Lista!AN:AP,2,FALSE))</f>
        <v/>
      </c>
      <c r="AC422" s="69"/>
      <c r="AD422" s="69"/>
      <c r="AE422" s="325">
        <f t="shared" si="43"/>
        <v>0</v>
      </c>
      <c r="AF422" s="540" t="s">
        <v>281</v>
      </c>
      <c r="AG422" s="540"/>
      <c r="AH422" s="337">
        <f>IFERROR(IF(X422="Sem projeto",1.5*AA422,AC422*VLOOKUP(AF422,Aux_Lista!AG:AH,2,FALSE)+AD422)*U422,0)</f>
        <v>0</v>
      </c>
      <c r="AI422" s="343" t="s">
        <v>90</v>
      </c>
      <c r="AJ422" s="343" t="s">
        <v>90</v>
      </c>
      <c r="AK422" s="343" t="s">
        <v>90</v>
      </c>
      <c r="AL422" s="333" t="str">
        <f t="shared" si="44"/>
        <v/>
      </c>
      <c r="AM422" s="334" t="str">
        <f t="shared" si="45"/>
        <v/>
      </c>
      <c r="AN422" s="333" t="str">
        <f t="shared" si="46"/>
        <v/>
      </c>
      <c r="AO422" s="334" t="str">
        <f t="shared" si="47"/>
        <v/>
      </c>
      <c r="AP422" s="44"/>
      <c r="AQ422" s="2"/>
    </row>
    <row r="423" spans="1:43" ht="24.95" customHeight="1" x14ac:dyDescent="0.25">
      <c r="A423" s="2">
        <v>383</v>
      </c>
      <c r="B423" s="349"/>
      <c r="C423" s="350"/>
      <c r="D423" s="351"/>
      <c r="E423" s="351"/>
      <c r="F423" s="336"/>
      <c r="G423" s="327"/>
      <c r="H423" s="327"/>
      <c r="I423" s="325">
        <f t="shared" si="41"/>
        <v>0</v>
      </c>
      <c r="J423" s="540" t="s">
        <v>281</v>
      </c>
      <c r="K423" s="540"/>
      <c r="L423" s="337">
        <f>IFERROR(IF(F423="Sem projeto",VLOOKUP(C423,$B$32:$H$34,7,FALSE)*1.5,G423*VLOOKUP(J423,Aux_Lista!$AG:$AH,2,FALSE)+H423)*E423,0)</f>
        <v>0</v>
      </c>
      <c r="M423" s="346" t="s">
        <v>90</v>
      </c>
      <c r="N423" s="347" t="s">
        <v>90</v>
      </c>
      <c r="O423" s="348" t="s">
        <v>90</v>
      </c>
      <c r="P423" s="386">
        <f t="shared" si="42"/>
        <v>0</v>
      </c>
      <c r="R423" s="94">
        <v>392</v>
      </c>
      <c r="S423" s="383"/>
      <c r="T423" s="214"/>
      <c r="U423" s="214"/>
      <c r="V423" s="217"/>
      <c r="W423" s="215"/>
      <c r="X423" s="336"/>
      <c r="Y423" s="68" t="str">
        <f>IF(V423="","",VLOOKUP(V423,Aux_Lista!A:K,11,FALSE))</f>
        <v/>
      </c>
      <c r="Z423" s="68" t="str">
        <f>IF(V423="","",VLOOKUP(V423,Aux_Lista!A:L,12,FALSE))</f>
        <v/>
      </c>
      <c r="AA423" s="68" t="str">
        <f>IF(W423="","",VLOOKUP(W423,Aux_Lista!AN:AP,3,FALSE))</f>
        <v/>
      </c>
      <c r="AB423" s="68" t="str">
        <f>IF(W423="","",VLOOKUP(W423,Aux_Lista!AN:AP,2,FALSE))</f>
        <v/>
      </c>
      <c r="AC423" s="69"/>
      <c r="AD423" s="69"/>
      <c r="AE423" s="325">
        <f t="shared" si="43"/>
        <v>0</v>
      </c>
      <c r="AF423" s="540" t="s">
        <v>281</v>
      </c>
      <c r="AG423" s="540"/>
      <c r="AH423" s="337">
        <f>IFERROR(IF(X423="Sem projeto",1.5*AA423,AC423*VLOOKUP(AF423,Aux_Lista!AG:AH,2,FALSE)+AD423)*U423,0)</f>
        <v>0</v>
      </c>
      <c r="AI423" s="343" t="s">
        <v>90</v>
      </c>
      <c r="AJ423" s="343" t="s">
        <v>90</v>
      </c>
      <c r="AK423" s="343" t="s">
        <v>90</v>
      </c>
      <c r="AL423" s="333" t="str">
        <f t="shared" si="44"/>
        <v/>
      </c>
      <c r="AM423" s="334" t="str">
        <f t="shared" si="45"/>
        <v/>
      </c>
      <c r="AN423" s="333" t="str">
        <f t="shared" si="46"/>
        <v/>
      </c>
      <c r="AO423" s="334" t="str">
        <f t="shared" si="47"/>
        <v/>
      </c>
      <c r="AP423" s="44"/>
      <c r="AQ423" s="2"/>
    </row>
    <row r="424" spans="1:43" ht="24.95" customHeight="1" x14ac:dyDescent="0.25">
      <c r="A424" s="2">
        <v>384</v>
      </c>
      <c r="B424" s="349"/>
      <c r="C424" s="350"/>
      <c r="D424" s="351"/>
      <c r="E424" s="351"/>
      <c r="F424" s="336"/>
      <c r="G424" s="327"/>
      <c r="H424" s="327"/>
      <c r="I424" s="325">
        <f t="shared" si="41"/>
        <v>0</v>
      </c>
      <c r="J424" s="540" t="s">
        <v>281</v>
      </c>
      <c r="K424" s="540"/>
      <c r="L424" s="337">
        <f>IFERROR(IF(F424="Sem projeto",VLOOKUP(C424,$B$32:$H$34,7,FALSE)*1.5,G424*VLOOKUP(J424,Aux_Lista!$AG:$AH,2,FALSE)+H424)*E424,0)</f>
        <v>0</v>
      </c>
      <c r="M424" s="346" t="s">
        <v>90</v>
      </c>
      <c r="N424" s="347" t="s">
        <v>90</v>
      </c>
      <c r="O424" s="348" t="s">
        <v>90</v>
      </c>
      <c r="P424" s="386">
        <f t="shared" si="42"/>
        <v>0</v>
      </c>
      <c r="R424" s="94">
        <v>393</v>
      </c>
      <c r="S424" s="383"/>
      <c r="T424" s="214"/>
      <c r="U424" s="214"/>
      <c r="V424" s="217"/>
      <c r="W424" s="215"/>
      <c r="X424" s="336"/>
      <c r="Y424" s="68" t="str">
        <f>IF(V424="","",VLOOKUP(V424,Aux_Lista!A:K,11,FALSE))</f>
        <v/>
      </c>
      <c r="Z424" s="68" t="str">
        <f>IF(V424="","",VLOOKUP(V424,Aux_Lista!A:L,12,FALSE))</f>
        <v/>
      </c>
      <c r="AA424" s="68" t="str">
        <f>IF(W424="","",VLOOKUP(W424,Aux_Lista!AN:AP,3,FALSE))</f>
        <v/>
      </c>
      <c r="AB424" s="68" t="str">
        <f>IF(W424="","",VLOOKUP(W424,Aux_Lista!AN:AP,2,FALSE))</f>
        <v/>
      </c>
      <c r="AC424" s="69"/>
      <c r="AD424" s="69"/>
      <c r="AE424" s="325">
        <f t="shared" si="43"/>
        <v>0</v>
      </c>
      <c r="AF424" s="540" t="s">
        <v>281</v>
      </c>
      <c r="AG424" s="540"/>
      <c r="AH424" s="337">
        <f>IFERROR(IF(X424="Sem projeto",1.5*AA424,AC424*VLOOKUP(AF424,Aux_Lista!AG:AH,2,FALSE)+AD424)*U424,0)</f>
        <v>0</v>
      </c>
      <c r="AI424" s="343" t="s">
        <v>90</v>
      </c>
      <c r="AJ424" s="343" t="s">
        <v>90</v>
      </c>
      <c r="AK424" s="343" t="s">
        <v>90</v>
      </c>
      <c r="AL424" s="333" t="str">
        <f t="shared" si="44"/>
        <v/>
      </c>
      <c r="AM424" s="334" t="str">
        <f t="shared" si="45"/>
        <v/>
      </c>
      <c r="AN424" s="333" t="str">
        <f t="shared" si="46"/>
        <v/>
      </c>
      <c r="AO424" s="334" t="str">
        <f t="shared" si="47"/>
        <v/>
      </c>
      <c r="AP424" s="44"/>
      <c r="AQ424" s="2"/>
    </row>
    <row r="425" spans="1:43" ht="24.95" customHeight="1" x14ac:dyDescent="0.25">
      <c r="A425" s="2">
        <v>385</v>
      </c>
      <c r="B425" s="349"/>
      <c r="C425" s="350"/>
      <c r="D425" s="351"/>
      <c r="E425" s="351"/>
      <c r="F425" s="336"/>
      <c r="G425" s="327"/>
      <c r="H425" s="327"/>
      <c r="I425" s="325">
        <f t="shared" ref="I425:I488" si="48">IFERROR((G425+H425+IF(F425="Sem projeto",VLOOKUP(C425,$B$32:$H$34,7,FALSE),0)*1.5)*E425,"")</f>
        <v>0</v>
      </c>
      <c r="J425" s="540" t="s">
        <v>281</v>
      </c>
      <c r="K425" s="540"/>
      <c r="L425" s="337">
        <f>IFERROR(IF(F425="Sem projeto",VLOOKUP(C425,$B$32:$H$34,7,FALSE)*1.5,G425*VLOOKUP(J425,Aux_Lista!$AG:$AH,2,FALSE)+H425)*E425,0)</f>
        <v>0</v>
      </c>
      <c r="M425" s="346" t="s">
        <v>90</v>
      </c>
      <c r="N425" s="347" t="s">
        <v>90</v>
      </c>
      <c r="O425" s="348" t="s">
        <v>90</v>
      </c>
      <c r="P425" s="386">
        <f t="shared" si="42"/>
        <v>0</v>
      </c>
      <c r="R425" s="94">
        <v>394</v>
      </c>
      <c r="S425" s="383"/>
      <c r="T425" s="214"/>
      <c r="U425" s="214"/>
      <c r="V425" s="217"/>
      <c r="W425" s="215"/>
      <c r="X425" s="336"/>
      <c r="Y425" s="68" t="str">
        <f>IF(V425="","",VLOOKUP(V425,Aux_Lista!A:K,11,FALSE))</f>
        <v/>
      </c>
      <c r="Z425" s="68" t="str">
        <f>IF(V425="","",VLOOKUP(V425,Aux_Lista!A:L,12,FALSE))</f>
        <v/>
      </c>
      <c r="AA425" s="68" t="str">
        <f>IF(W425="","",VLOOKUP(W425,Aux_Lista!AN:AP,3,FALSE))</f>
        <v/>
      </c>
      <c r="AB425" s="68" t="str">
        <f>IF(W425="","",VLOOKUP(W425,Aux_Lista!AN:AP,2,FALSE))</f>
        <v/>
      </c>
      <c r="AC425" s="69"/>
      <c r="AD425" s="69"/>
      <c r="AE425" s="325">
        <f t="shared" si="43"/>
        <v>0</v>
      </c>
      <c r="AF425" s="540" t="s">
        <v>281</v>
      </c>
      <c r="AG425" s="540"/>
      <c r="AH425" s="337">
        <f>IFERROR(IF(X425="Sem projeto",1.5*AA425,AC425*VLOOKUP(AF425,Aux_Lista!AG:AH,2,FALSE)+AD425)*U425,0)</f>
        <v>0</v>
      </c>
      <c r="AI425" s="343" t="s">
        <v>90</v>
      </c>
      <c r="AJ425" s="343" t="s">
        <v>90</v>
      </c>
      <c r="AK425" s="343" t="s">
        <v>90</v>
      </c>
      <c r="AL425" s="333" t="str">
        <f t="shared" si="44"/>
        <v/>
      </c>
      <c r="AM425" s="334" t="str">
        <f t="shared" si="45"/>
        <v/>
      </c>
      <c r="AN425" s="333" t="str">
        <f t="shared" si="46"/>
        <v/>
      </c>
      <c r="AO425" s="334" t="str">
        <f t="shared" si="47"/>
        <v/>
      </c>
      <c r="AP425" s="44"/>
      <c r="AQ425" s="2"/>
    </row>
    <row r="426" spans="1:43" ht="24.95" customHeight="1" x14ac:dyDescent="0.25">
      <c r="A426" s="2">
        <v>386</v>
      </c>
      <c r="B426" s="349"/>
      <c r="C426" s="350"/>
      <c r="D426" s="351"/>
      <c r="E426" s="351"/>
      <c r="F426" s="336"/>
      <c r="G426" s="327"/>
      <c r="H426" s="327"/>
      <c r="I426" s="325">
        <f t="shared" si="48"/>
        <v>0</v>
      </c>
      <c r="J426" s="540" t="s">
        <v>281</v>
      </c>
      <c r="K426" s="540"/>
      <c r="L426" s="337">
        <f>IFERROR(IF(F426="Sem projeto",VLOOKUP(C426,$B$32:$H$34,7,FALSE)*1.5,G426*VLOOKUP(J426,Aux_Lista!$AG:$AH,2,FALSE)+H426)*E426,0)</f>
        <v>0</v>
      </c>
      <c r="M426" s="346" t="s">
        <v>90</v>
      </c>
      <c r="N426" s="347" t="s">
        <v>90</v>
      </c>
      <c r="O426" s="348" t="s">
        <v>90</v>
      </c>
      <c r="P426" s="386">
        <f t="shared" ref="P426:P489" si="49">D426*E426</f>
        <v>0</v>
      </c>
      <c r="R426" s="94">
        <v>395</v>
      </c>
      <c r="S426" s="383"/>
      <c r="T426" s="214"/>
      <c r="U426" s="214"/>
      <c r="V426" s="217"/>
      <c r="W426" s="215"/>
      <c r="X426" s="336"/>
      <c r="Y426" s="68" t="str">
        <f>IF(V426="","",VLOOKUP(V426,Aux_Lista!A:K,11,FALSE))</f>
        <v/>
      </c>
      <c r="Z426" s="68" t="str">
        <f>IF(V426="","",VLOOKUP(V426,Aux_Lista!A:L,12,FALSE))</f>
        <v/>
      </c>
      <c r="AA426" s="68" t="str">
        <f>IF(W426="","",VLOOKUP(W426,Aux_Lista!AN:AP,3,FALSE))</f>
        <v/>
      </c>
      <c r="AB426" s="68" t="str">
        <f>IF(W426="","",VLOOKUP(W426,Aux_Lista!AN:AP,2,FALSE))</f>
        <v/>
      </c>
      <c r="AC426" s="69"/>
      <c r="AD426" s="69"/>
      <c r="AE426" s="325">
        <f t="shared" si="43"/>
        <v>0</v>
      </c>
      <c r="AF426" s="540" t="s">
        <v>281</v>
      </c>
      <c r="AG426" s="540"/>
      <c r="AH426" s="337">
        <f>IFERROR(IF(X426="Sem projeto",1.5*AA426,AC426*VLOOKUP(AF426,Aux_Lista!AG:AH,2,FALSE)+AD426)*U426,0)</f>
        <v>0</v>
      </c>
      <c r="AI426" s="343" t="s">
        <v>90</v>
      </c>
      <c r="AJ426" s="343" t="s">
        <v>90</v>
      </c>
      <c r="AK426" s="343" t="s">
        <v>90</v>
      </c>
      <c r="AL426" s="333" t="str">
        <f t="shared" si="44"/>
        <v/>
      </c>
      <c r="AM426" s="334" t="str">
        <f t="shared" si="45"/>
        <v/>
      </c>
      <c r="AN426" s="333" t="str">
        <f t="shared" si="46"/>
        <v/>
      </c>
      <c r="AO426" s="334" t="str">
        <f t="shared" si="47"/>
        <v/>
      </c>
      <c r="AP426" s="44"/>
      <c r="AQ426" s="2"/>
    </row>
    <row r="427" spans="1:43" ht="24.95" customHeight="1" x14ac:dyDescent="0.25">
      <c r="A427" s="2">
        <v>387</v>
      </c>
      <c r="B427" s="349"/>
      <c r="C427" s="350"/>
      <c r="D427" s="351"/>
      <c r="E427" s="351"/>
      <c r="F427" s="336"/>
      <c r="G427" s="327"/>
      <c r="H427" s="327"/>
      <c r="I427" s="325">
        <f t="shared" si="48"/>
        <v>0</v>
      </c>
      <c r="J427" s="540" t="s">
        <v>281</v>
      </c>
      <c r="K427" s="540"/>
      <c r="L427" s="337">
        <f>IFERROR(IF(F427="Sem projeto",VLOOKUP(C427,$B$32:$H$34,7,FALSE)*1.5,G427*VLOOKUP(J427,Aux_Lista!$AG:$AH,2,FALSE)+H427)*E427,0)</f>
        <v>0</v>
      </c>
      <c r="M427" s="346" t="s">
        <v>90</v>
      </c>
      <c r="N427" s="347" t="s">
        <v>90</v>
      </c>
      <c r="O427" s="348" t="s">
        <v>90</v>
      </c>
      <c r="P427" s="386">
        <f t="shared" si="49"/>
        <v>0</v>
      </c>
      <c r="R427" s="94">
        <v>396</v>
      </c>
      <c r="S427" s="383"/>
      <c r="T427" s="214"/>
      <c r="U427" s="214"/>
      <c r="V427" s="217"/>
      <c r="W427" s="215"/>
      <c r="X427" s="336"/>
      <c r="Y427" s="68" t="str">
        <f>IF(V427="","",VLOOKUP(V427,Aux_Lista!A:K,11,FALSE))</f>
        <v/>
      </c>
      <c r="Z427" s="68" t="str">
        <f>IF(V427="","",VLOOKUP(V427,Aux_Lista!A:L,12,FALSE))</f>
        <v/>
      </c>
      <c r="AA427" s="68" t="str">
        <f>IF(W427="","",VLOOKUP(W427,Aux_Lista!AN:AP,3,FALSE))</f>
        <v/>
      </c>
      <c r="AB427" s="68" t="str">
        <f>IF(W427="","",VLOOKUP(W427,Aux_Lista!AN:AP,2,FALSE))</f>
        <v/>
      </c>
      <c r="AC427" s="69"/>
      <c r="AD427" s="69"/>
      <c r="AE427" s="325">
        <f t="shared" si="43"/>
        <v>0</v>
      </c>
      <c r="AF427" s="540" t="s">
        <v>281</v>
      </c>
      <c r="AG427" s="540"/>
      <c r="AH427" s="337">
        <f>IFERROR(IF(X427="Sem projeto",1.5*AA427,AC427*VLOOKUP(AF427,Aux_Lista!AG:AH,2,FALSE)+AD427)*U427,0)</f>
        <v>0</v>
      </c>
      <c r="AI427" s="343" t="s">
        <v>90</v>
      </c>
      <c r="AJ427" s="343" t="s">
        <v>90</v>
      </c>
      <c r="AK427" s="343" t="s">
        <v>90</v>
      </c>
      <c r="AL427" s="333" t="str">
        <f t="shared" si="44"/>
        <v/>
      </c>
      <c r="AM427" s="334" t="str">
        <f t="shared" si="45"/>
        <v/>
      </c>
      <c r="AN427" s="333" t="str">
        <f t="shared" si="46"/>
        <v/>
      </c>
      <c r="AO427" s="334" t="str">
        <f t="shared" si="47"/>
        <v/>
      </c>
      <c r="AP427" s="44"/>
      <c r="AQ427" s="2"/>
    </row>
    <row r="428" spans="1:43" ht="24.95" customHeight="1" x14ac:dyDescent="0.25">
      <c r="A428" s="2">
        <v>388</v>
      </c>
      <c r="B428" s="349"/>
      <c r="C428" s="350"/>
      <c r="D428" s="351"/>
      <c r="E428" s="351"/>
      <c r="F428" s="336"/>
      <c r="G428" s="327"/>
      <c r="H428" s="327"/>
      <c r="I428" s="325">
        <f t="shared" si="48"/>
        <v>0</v>
      </c>
      <c r="J428" s="540" t="s">
        <v>281</v>
      </c>
      <c r="K428" s="540"/>
      <c r="L428" s="337">
        <f>IFERROR(IF(F428="Sem projeto",VLOOKUP(C428,$B$32:$H$34,7,FALSE)*1.5,G428*VLOOKUP(J428,Aux_Lista!$AG:$AH,2,FALSE)+H428)*E428,0)</f>
        <v>0</v>
      </c>
      <c r="M428" s="346" t="s">
        <v>90</v>
      </c>
      <c r="N428" s="347" t="s">
        <v>90</v>
      </c>
      <c r="O428" s="348" t="s">
        <v>90</v>
      </c>
      <c r="P428" s="386">
        <f t="shared" si="49"/>
        <v>0</v>
      </c>
      <c r="R428" s="94">
        <v>397</v>
      </c>
      <c r="S428" s="383"/>
      <c r="T428" s="214"/>
      <c r="U428" s="214"/>
      <c r="V428" s="217"/>
      <c r="W428" s="215"/>
      <c r="X428" s="336"/>
      <c r="Y428" s="68" t="str">
        <f>IF(V428="","",VLOOKUP(V428,Aux_Lista!A:K,11,FALSE))</f>
        <v/>
      </c>
      <c r="Z428" s="68" t="str">
        <f>IF(V428="","",VLOOKUP(V428,Aux_Lista!A:L,12,FALSE))</f>
        <v/>
      </c>
      <c r="AA428" s="68" t="str">
        <f>IF(W428="","",VLOOKUP(W428,Aux_Lista!AN:AP,3,FALSE))</f>
        <v/>
      </c>
      <c r="AB428" s="68" t="str">
        <f>IF(W428="","",VLOOKUP(W428,Aux_Lista!AN:AP,2,FALSE))</f>
        <v/>
      </c>
      <c r="AC428" s="69"/>
      <c r="AD428" s="69"/>
      <c r="AE428" s="325">
        <f t="shared" si="43"/>
        <v>0</v>
      </c>
      <c r="AF428" s="540" t="s">
        <v>281</v>
      </c>
      <c r="AG428" s="540"/>
      <c r="AH428" s="337">
        <f>IFERROR(IF(X428="Sem projeto",1.5*AA428,AC428*VLOOKUP(AF428,Aux_Lista!AG:AH,2,FALSE)+AD428)*U428,0)</f>
        <v>0</v>
      </c>
      <c r="AI428" s="343" t="s">
        <v>90</v>
      </c>
      <c r="AJ428" s="343" t="s">
        <v>90</v>
      </c>
      <c r="AK428" s="343" t="s">
        <v>90</v>
      </c>
      <c r="AL428" s="333" t="str">
        <f t="shared" si="44"/>
        <v/>
      </c>
      <c r="AM428" s="334" t="str">
        <f t="shared" si="45"/>
        <v/>
      </c>
      <c r="AN428" s="333" t="str">
        <f t="shared" si="46"/>
        <v/>
      </c>
      <c r="AO428" s="334" t="str">
        <f t="shared" si="47"/>
        <v/>
      </c>
      <c r="AP428" s="44"/>
      <c r="AQ428" s="2"/>
    </row>
    <row r="429" spans="1:43" ht="24.95" customHeight="1" x14ac:dyDescent="0.25">
      <c r="A429" s="2">
        <v>389</v>
      </c>
      <c r="B429" s="349"/>
      <c r="C429" s="350"/>
      <c r="D429" s="351"/>
      <c r="E429" s="351"/>
      <c r="F429" s="336"/>
      <c r="G429" s="327"/>
      <c r="H429" s="327"/>
      <c r="I429" s="325">
        <f t="shared" si="48"/>
        <v>0</v>
      </c>
      <c r="J429" s="540" t="s">
        <v>281</v>
      </c>
      <c r="K429" s="540"/>
      <c r="L429" s="337">
        <f>IFERROR(IF(F429="Sem projeto",VLOOKUP(C429,$B$32:$H$34,7,FALSE)*1.5,G429*VLOOKUP(J429,Aux_Lista!$AG:$AH,2,FALSE)+H429)*E429,0)</f>
        <v>0</v>
      </c>
      <c r="M429" s="346" t="s">
        <v>90</v>
      </c>
      <c r="N429" s="347" t="s">
        <v>90</v>
      </c>
      <c r="O429" s="348" t="s">
        <v>90</v>
      </c>
      <c r="P429" s="386">
        <f t="shared" si="49"/>
        <v>0</v>
      </c>
      <c r="R429" s="94">
        <v>398</v>
      </c>
      <c r="S429" s="383"/>
      <c r="T429" s="214"/>
      <c r="U429" s="214"/>
      <c r="V429" s="217"/>
      <c r="W429" s="215"/>
      <c r="X429" s="336"/>
      <c r="Y429" s="68" t="str">
        <f>IF(V429="","",VLOOKUP(V429,Aux_Lista!A:K,11,FALSE))</f>
        <v/>
      </c>
      <c r="Z429" s="68" t="str">
        <f>IF(V429="","",VLOOKUP(V429,Aux_Lista!A:L,12,FALSE))</f>
        <v/>
      </c>
      <c r="AA429" s="68" t="str">
        <f>IF(W429="","",VLOOKUP(W429,Aux_Lista!AN:AP,3,FALSE))</f>
        <v/>
      </c>
      <c r="AB429" s="68" t="str">
        <f>IF(W429="","",VLOOKUP(W429,Aux_Lista!AN:AP,2,FALSE))</f>
        <v/>
      </c>
      <c r="AC429" s="69"/>
      <c r="AD429" s="69"/>
      <c r="AE429" s="325">
        <f t="shared" si="43"/>
        <v>0</v>
      </c>
      <c r="AF429" s="540" t="s">
        <v>281</v>
      </c>
      <c r="AG429" s="540"/>
      <c r="AH429" s="337">
        <f>IFERROR(IF(X429="Sem projeto",1.5*AA429,AC429*VLOOKUP(AF429,Aux_Lista!AG:AH,2,FALSE)+AD429)*U429,0)</f>
        <v>0</v>
      </c>
      <c r="AI429" s="343" t="s">
        <v>90</v>
      </c>
      <c r="AJ429" s="343" t="s">
        <v>90</v>
      </c>
      <c r="AK429" s="343" t="s">
        <v>90</v>
      </c>
      <c r="AL429" s="333" t="str">
        <f t="shared" si="44"/>
        <v/>
      </c>
      <c r="AM429" s="334" t="str">
        <f t="shared" si="45"/>
        <v/>
      </c>
      <c r="AN429" s="333" t="str">
        <f t="shared" si="46"/>
        <v/>
      </c>
      <c r="AO429" s="334" t="str">
        <f t="shared" si="47"/>
        <v/>
      </c>
      <c r="AP429" s="44"/>
      <c r="AQ429" s="2"/>
    </row>
    <row r="430" spans="1:43" ht="24.95" customHeight="1" x14ac:dyDescent="0.25">
      <c r="A430" s="2">
        <v>390</v>
      </c>
      <c r="B430" s="349"/>
      <c r="C430" s="350"/>
      <c r="D430" s="351"/>
      <c r="E430" s="351"/>
      <c r="F430" s="336"/>
      <c r="G430" s="327"/>
      <c r="H430" s="327"/>
      <c r="I430" s="325">
        <f t="shared" si="48"/>
        <v>0</v>
      </c>
      <c r="J430" s="540" t="s">
        <v>281</v>
      </c>
      <c r="K430" s="540"/>
      <c r="L430" s="337">
        <f>IFERROR(IF(F430="Sem projeto",VLOOKUP(C430,$B$32:$H$34,7,FALSE)*1.5,G430*VLOOKUP(J430,Aux_Lista!$AG:$AH,2,FALSE)+H430)*E430,0)</f>
        <v>0</v>
      </c>
      <c r="M430" s="346" t="s">
        <v>90</v>
      </c>
      <c r="N430" s="347" t="s">
        <v>90</v>
      </c>
      <c r="O430" s="348" t="s">
        <v>90</v>
      </c>
      <c r="P430" s="386">
        <f t="shared" si="49"/>
        <v>0</v>
      </c>
      <c r="R430" s="94">
        <v>399</v>
      </c>
      <c r="S430" s="383"/>
      <c r="T430" s="214"/>
      <c r="U430" s="214"/>
      <c r="V430" s="217"/>
      <c r="W430" s="215"/>
      <c r="X430" s="336"/>
      <c r="Y430" s="68" t="str">
        <f>IF(V430="","",VLOOKUP(V430,Aux_Lista!A:K,11,FALSE))</f>
        <v/>
      </c>
      <c r="Z430" s="68" t="str">
        <f>IF(V430="","",VLOOKUP(V430,Aux_Lista!A:L,12,FALSE))</f>
        <v/>
      </c>
      <c r="AA430" s="68" t="str">
        <f>IF(W430="","",VLOOKUP(W430,Aux_Lista!AN:AP,3,FALSE))</f>
        <v/>
      </c>
      <c r="AB430" s="68" t="str">
        <f>IF(W430="","",VLOOKUP(W430,Aux_Lista!AN:AP,2,FALSE))</f>
        <v/>
      </c>
      <c r="AC430" s="69"/>
      <c r="AD430" s="69"/>
      <c r="AE430" s="325">
        <f t="shared" si="43"/>
        <v>0</v>
      </c>
      <c r="AF430" s="540" t="s">
        <v>281</v>
      </c>
      <c r="AG430" s="540"/>
      <c r="AH430" s="337">
        <f>IFERROR(IF(X430="Sem projeto",1.5*AA430,AC430*VLOOKUP(AF430,Aux_Lista!AG:AH,2,FALSE)+AD430)*U430,0)</f>
        <v>0</v>
      </c>
      <c r="AI430" s="343" t="s">
        <v>90</v>
      </c>
      <c r="AJ430" s="343" t="s">
        <v>90</v>
      </c>
      <c r="AK430" s="343" t="s">
        <v>90</v>
      </c>
      <c r="AL430" s="333" t="str">
        <f t="shared" si="44"/>
        <v/>
      </c>
      <c r="AM430" s="334" t="str">
        <f t="shared" si="45"/>
        <v/>
      </c>
      <c r="AN430" s="333" t="str">
        <f t="shared" si="46"/>
        <v/>
      </c>
      <c r="AO430" s="334" t="str">
        <f t="shared" si="47"/>
        <v/>
      </c>
      <c r="AP430" s="44"/>
      <c r="AQ430" s="2"/>
    </row>
    <row r="431" spans="1:43" ht="24.95" customHeight="1" x14ac:dyDescent="0.25">
      <c r="A431" s="2">
        <v>391</v>
      </c>
      <c r="B431" s="349"/>
      <c r="C431" s="350"/>
      <c r="D431" s="351"/>
      <c r="E431" s="351"/>
      <c r="F431" s="336"/>
      <c r="G431" s="327"/>
      <c r="H431" s="327"/>
      <c r="I431" s="325">
        <f t="shared" si="48"/>
        <v>0</v>
      </c>
      <c r="J431" s="540" t="s">
        <v>281</v>
      </c>
      <c r="K431" s="540"/>
      <c r="L431" s="337">
        <f>IFERROR(IF(F431="Sem projeto",VLOOKUP(C431,$B$32:$H$34,7,FALSE)*1.5,G431*VLOOKUP(J431,Aux_Lista!$AG:$AH,2,FALSE)+H431)*E431,0)</f>
        <v>0</v>
      </c>
      <c r="M431" s="346" t="s">
        <v>90</v>
      </c>
      <c r="N431" s="347" t="s">
        <v>90</v>
      </c>
      <c r="O431" s="348" t="s">
        <v>90</v>
      </c>
      <c r="P431" s="386">
        <f t="shared" si="49"/>
        <v>0</v>
      </c>
      <c r="R431" s="94">
        <v>400</v>
      </c>
      <c r="S431" s="383"/>
      <c r="T431" s="214"/>
      <c r="U431" s="214"/>
      <c r="V431" s="217"/>
      <c r="W431" s="215"/>
      <c r="X431" s="336"/>
      <c r="Y431" s="68" t="str">
        <f>IF(V431="","",VLOOKUP(V431,Aux_Lista!A:K,11,FALSE))</f>
        <v/>
      </c>
      <c r="Z431" s="68" t="str">
        <f>IF(V431="","",VLOOKUP(V431,Aux_Lista!A:L,12,FALSE))</f>
        <v/>
      </c>
      <c r="AA431" s="68" t="str">
        <f>IF(W431="","",VLOOKUP(W431,Aux_Lista!AN:AP,3,FALSE))</f>
        <v/>
      </c>
      <c r="AB431" s="68" t="str">
        <f>IF(W431="","",VLOOKUP(W431,Aux_Lista!AN:AP,2,FALSE))</f>
        <v/>
      </c>
      <c r="AC431" s="69"/>
      <c r="AD431" s="69"/>
      <c r="AE431" s="325">
        <f t="shared" si="43"/>
        <v>0</v>
      </c>
      <c r="AF431" s="540" t="s">
        <v>281</v>
      </c>
      <c r="AG431" s="540"/>
      <c r="AH431" s="337">
        <f>IFERROR(IF(X431="Sem projeto",1.5*AA431,AC431*VLOOKUP(AF431,Aux_Lista!AG:AH,2,FALSE)+AD431)*U431,0)</f>
        <v>0</v>
      </c>
      <c r="AI431" s="343" t="s">
        <v>90</v>
      </c>
      <c r="AJ431" s="343" t="s">
        <v>90</v>
      </c>
      <c r="AK431" s="343" t="s">
        <v>90</v>
      </c>
      <c r="AL431" s="333" t="str">
        <f t="shared" si="44"/>
        <v/>
      </c>
      <c r="AM431" s="334" t="str">
        <f t="shared" si="45"/>
        <v/>
      </c>
      <c r="AN431" s="333" t="str">
        <f t="shared" si="46"/>
        <v/>
      </c>
      <c r="AO431" s="334" t="str">
        <f t="shared" si="47"/>
        <v/>
      </c>
      <c r="AP431" s="44"/>
      <c r="AQ431" s="2"/>
    </row>
    <row r="432" spans="1:43" ht="24.95" customHeight="1" x14ac:dyDescent="0.25">
      <c r="A432" s="2">
        <v>392</v>
      </c>
      <c r="B432" s="349"/>
      <c r="C432" s="350"/>
      <c r="D432" s="351"/>
      <c r="E432" s="351"/>
      <c r="F432" s="336"/>
      <c r="G432" s="327"/>
      <c r="H432" s="327"/>
      <c r="I432" s="325">
        <f t="shared" si="48"/>
        <v>0</v>
      </c>
      <c r="J432" s="540" t="s">
        <v>281</v>
      </c>
      <c r="K432" s="540"/>
      <c r="L432" s="337">
        <f>IFERROR(IF(F432="Sem projeto",VLOOKUP(C432,$B$32:$H$34,7,FALSE)*1.5,G432*VLOOKUP(J432,Aux_Lista!$AG:$AH,2,FALSE)+H432)*E432,0)</f>
        <v>0</v>
      </c>
      <c r="M432" s="346" t="s">
        <v>90</v>
      </c>
      <c r="N432" s="347" t="s">
        <v>90</v>
      </c>
      <c r="O432" s="348" t="s">
        <v>90</v>
      </c>
      <c r="P432" s="386">
        <f t="shared" si="49"/>
        <v>0</v>
      </c>
      <c r="R432" s="94">
        <v>401</v>
      </c>
      <c r="S432" s="383"/>
      <c r="T432" s="214"/>
      <c r="U432" s="214"/>
      <c r="V432" s="217"/>
      <c r="W432" s="215"/>
      <c r="X432" s="336"/>
      <c r="Y432" s="68" t="str">
        <f>IF(V432="","",VLOOKUP(V432,Aux_Lista!A:K,11,FALSE))</f>
        <v/>
      </c>
      <c r="Z432" s="68" t="str">
        <f>IF(V432="","",VLOOKUP(V432,Aux_Lista!A:L,12,FALSE))</f>
        <v/>
      </c>
      <c r="AA432" s="68" t="str">
        <f>IF(W432="","",VLOOKUP(W432,Aux_Lista!AN:AP,3,FALSE))</f>
        <v/>
      </c>
      <c r="AB432" s="68" t="str">
        <f>IF(W432="","",VLOOKUP(W432,Aux_Lista!AN:AP,2,FALSE))</f>
        <v/>
      </c>
      <c r="AC432" s="69"/>
      <c r="AD432" s="69"/>
      <c r="AE432" s="325">
        <f t="shared" si="43"/>
        <v>0</v>
      </c>
      <c r="AF432" s="540" t="s">
        <v>281</v>
      </c>
      <c r="AG432" s="540"/>
      <c r="AH432" s="337">
        <f>IFERROR(IF(X432="Sem projeto",1.5*AA432,AC432*VLOOKUP(AF432,Aux_Lista!AG:AH,2,FALSE)+AD432)*U432,0)</f>
        <v>0</v>
      </c>
      <c r="AI432" s="343" t="s">
        <v>90</v>
      </c>
      <c r="AJ432" s="343" t="s">
        <v>90</v>
      </c>
      <c r="AK432" s="343" t="s">
        <v>90</v>
      </c>
      <c r="AL432" s="333" t="str">
        <f t="shared" si="44"/>
        <v/>
      </c>
      <c r="AM432" s="334" t="str">
        <f t="shared" si="45"/>
        <v/>
      </c>
      <c r="AN432" s="333" t="str">
        <f t="shared" si="46"/>
        <v/>
      </c>
      <c r="AO432" s="334" t="str">
        <f t="shared" si="47"/>
        <v/>
      </c>
      <c r="AP432" s="44"/>
      <c r="AQ432" s="2"/>
    </row>
    <row r="433" spans="1:43" ht="24.95" customHeight="1" x14ac:dyDescent="0.25">
      <c r="A433" s="2">
        <v>393</v>
      </c>
      <c r="B433" s="349"/>
      <c r="C433" s="350"/>
      <c r="D433" s="351"/>
      <c r="E433" s="351"/>
      <c r="F433" s="336"/>
      <c r="G433" s="327"/>
      <c r="H433" s="327"/>
      <c r="I433" s="325">
        <f t="shared" si="48"/>
        <v>0</v>
      </c>
      <c r="J433" s="540" t="s">
        <v>281</v>
      </c>
      <c r="K433" s="540"/>
      <c r="L433" s="337">
        <f>IFERROR(IF(F433="Sem projeto",VLOOKUP(C433,$B$32:$H$34,7,FALSE)*1.5,G433*VLOOKUP(J433,Aux_Lista!$AG:$AH,2,FALSE)+H433)*E433,0)</f>
        <v>0</v>
      </c>
      <c r="M433" s="346" t="s">
        <v>90</v>
      </c>
      <c r="N433" s="347" t="s">
        <v>90</v>
      </c>
      <c r="O433" s="348" t="s">
        <v>90</v>
      </c>
      <c r="P433" s="386">
        <f t="shared" si="49"/>
        <v>0</v>
      </c>
      <c r="R433" s="94">
        <v>402</v>
      </c>
      <c r="S433" s="383"/>
      <c r="T433" s="214"/>
      <c r="U433" s="214"/>
      <c r="V433" s="217"/>
      <c r="W433" s="215"/>
      <c r="X433" s="336"/>
      <c r="Y433" s="68" t="str">
        <f>IF(V433="","",VLOOKUP(V433,Aux_Lista!A:K,11,FALSE))</f>
        <v/>
      </c>
      <c r="Z433" s="68" t="str">
        <f>IF(V433="","",VLOOKUP(V433,Aux_Lista!A:L,12,FALSE))</f>
        <v/>
      </c>
      <c r="AA433" s="68" t="str">
        <f>IF(W433="","",VLOOKUP(W433,Aux_Lista!AN:AP,3,FALSE))</f>
        <v/>
      </c>
      <c r="AB433" s="68" t="str">
        <f>IF(W433="","",VLOOKUP(W433,Aux_Lista!AN:AP,2,FALSE))</f>
        <v/>
      </c>
      <c r="AC433" s="69"/>
      <c r="AD433" s="69"/>
      <c r="AE433" s="325">
        <f t="shared" si="43"/>
        <v>0</v>
      </c>
      <c r="AF433" s="540" t="s">
        <v>281</v>
      </c>
      <c r="AG433" s="540"/>
      <c r="AH433" s="337">
        <f>IFERROR(IF(X433="Sem projeto",1.5*AA433,AC433*VLOOKUP(AF433,Aux_Lista!AG:AH,2,FALSE)+AD433)*U433,0)</f>
        <v>0</v>
      </c>
      <c r="AI433" s="343" t="s">
        <v>90</v>
      </c>
      <c r="AJ433" s="343" t="s">
        <v>90</v>
      </c>
      <c r="AK433" s="343" t="s">
        <v>90</v>
      </c>
      <c r="AL433" s="333" t="str">
        <f t="shared" si="44"/>
        <v/>
      </c>
      <c r="AM433" s="334" t="str">
        <f t="shared" si="45"/>
        <v/>
      </c>
      <c r="AN433" s="333" t="str">
        <f t="shared" si="46"/>
        <v/>
      </c>
      <c r="AO433" s="334" t="str">
        <f t="shared" si="47"/>
        <v/>
      </c>
      <c r="AP433" s="44"/>
      <c r="AQ433" s="2"/>
    </row>
    <row r="434" spans="1:43" ht="24.95" customHeight="1" x14ac:dyDescent="0.25">
      <c r="A434" s="2">
        <v>394</v>
      </c>
      <c r="B434" s="349"/>
      <c r="C434" s="350"/>
      <c r="D434" s="351"/>
      <c r="E434" s="351"/>
      <c r="F434" s="336"/>
      <c r="G434" s="327"/>
      <c r="H434" s="327"/>
      <c r="I434" s="325">
        <f t="shared" si="48"/>
        <v>0</v>
      </c>
      <c r="J434" s="540" t="s">
        <v>281</v>
      </c>
      <c r="K434" s="540"/>
      <c r="L434" s="337">
        <f>IFERROR(IF(F434="Sem projeto",VLOOKUP(C434,$B$32:$H$34,7,FALSE)*1.5,G434*VLOOKUP(J434,Aux_Lista!$AG:$AH,2,FALSE)+H434)*E434,0)</f>
        <v>0</v>
      </c>
      <c r="M434" s="346" t="s">
        <v>90</v>
      </c>
      <c r="N434" s="347" t="s">
        <v>90</v>
      </c>
      <c r="O434" s="348" t="s">
        <v>90</v>
      </c>
      <c r="P434" s="386">
        <f t="shared" si="49"/>
        <v>0</v>
      </c>
      <c r="R434" s="94">
        <v>403</v>
      </c>
      <c r="S434" s="383"/>
      <c r="T434" s="214"/>
      <c r="U434" s="214"/>
      <c r="V434" s="217"/>
      <c r="W434" s="215"/>
      <c r="X434" s="336"/>
      <c r="Y434" s="68" t="str">
        <f>IF(V434="","",VLOOKUP(V434,Aux_Lista!A:K,11,FALSE))</f>
        <v/>
      </c>
      <c r="Z434" s="68" t="str">
        <f>IF(V434="","",VLOOKUP(V434,Aux_Lista!A:L,12,FALSE))</f>
        <v/>
      </c>
      <c r="AA434" s="68" t="str">
        <f>IF(W434="","",VLOOKUP(W434,Aux_Lista!AN:AP,3,FALSE))</f>
        <v/>
      </c>
      <c r="AB434" s="68" t="str">
        <f>IF(W434="","",VLOOKUP(W434,Aux_Lista!AN:AP,2,FALSE))</f>
        <v/>
      </c>
      <c r="AC434" s="69"/>
      <c r="AD434" s="69"/>
      <c r="AE434" s="325">
        <f t="shared" si="43"/>
        <v>0</v>
      </c>
      <c r="AF434" s="540" t="s">
        <v>281</v>
      </c>
      <c r="AG434" s="540"/>
      <c r="AH434" s="337">
        <f>IFERROR(IF(X434="Sem projeto",1.5*AA434,AC434*VLOOKUP(AF434,Aux_Lista!AG:AH,2,FALSE)+AD434)*U434,0)</f>
        <v>0</v>
      </c>
      <c r="AI434" s="343" t="s">
        <v>90</v>
      </c>
      <c r="AJ434" s="343" t="s">
        <v>90</v>
      </c>
      <c r="AK434" s="343" t="s">
        <v>90</v>
      </c>
      <c r="AL434" s="333" t="str">
        <f t="shared" si="44"/>
        <v/>
      </c>
      <c r="AM434" s="334" t="str">
        <f t="shared" si="45"/>
        <v/>
      </c>
      <c r="AN434" s="333" t="str">
        <f t="shared" si="46"/>
        <v/>
      </c>
      <c r="AO434" s="334" t="str">
        <f t="shared" si="47"/>
        <v/>
      </c>
      <c r="AP434" s="44"/>
      <c r="AQ434" s="2"/>
    </row>
    <row r="435" spans="1:43" ht="24.95" customHeight="1" x14ac:dyDescent="0.25">
      <c r="A435" s="2">
        <v>395</v>
      </c>
      <c r="B435" s="349"/>
      <c r="C435" s="350"/>
      <c r="D435" s="351"/>
      <c r="E435" s="351"/>
      <c r="F435" s="336"/>
      <c r="G435" s="327"/>
      <c r="H435" s="327"/>
      <c r="I435" s="325">
        <f t="shared" si="48"/>
        <v>0</v>
      </c>
      <c r="J435" s="540" t="s">
        <v>281</v>
      </c>
      <c r="K435" s="540"/>
      <c r="L435" s="337">
        <f>IFERROR(IF(F435="Sem projeto",VLOOKUP(C435,$B$32:$H$34,7,FALSE)*1.5,G435*VLOOKUP(J435,Aux_Lista!$AG:$AH,2,FALSE)+H435)*E435,0)</f>
        <v>0</v>
      </c>
      <c r="M435" s="346" t="s">
        <v>90</v>
      </c>
      <c r="N435" s="347" t="s">
        <v>90</v>
      </c>
      <c r="O435" s="348" t="s">
        <v>90</v>
      </c>
      <c r="P435" s="386">
        <f t="shared" si="49"/>
        <v>0</v>
      </c>
      <c r="R435" s="94">
        <v>404</v>
      </c>
      <c r="S435" s="383"/>
      <c r="T435" s="214"/>
      <c r="U435" s="214"/>
      <c r="V435" s="217"/>
      <c r="W435" s="215"/>
      <c r="X435" s="336"/>
      <c r="Y435" s="68" t="str">
        <f>IF(V435="","",VLOOKUP(V435,Aux_Lista!A:K,11,FALSE))</f>
        <v/>
      </c>
      <c r="Z435" s="68" t="str">
        <f>IF(V435="","",VLOOKUP(V435,Aux_Lista!A:L,12,FALSE))</f>
        <v/>
      </c>
      <c r="AA435" s="68" t="str">
        <f>IF(W435="","",VLOOKUP(W435,Aux_Lista!AN:AP,3,FALSE))</f>
        <v/>
      </c>
      <c r="AB435" s="68" t="str">
        <f>IF(W435="","",VLOOKUP(W435,Aux_Lista!AN:AP,2,FALSE))</f>
        <v/>
      </c>
      <c r="AC435" s="69"/>
      <c r="AD435" s="69"/>
      <c r="AE435" s="325">
        <f t="shared" si="43"/>
        <v>0</v>
      </c>
      <c r="AF435" s="540" t="s">
        <v>281</v>
      </c>
      <c r="AG435" s="540"/>
      <c r="AH435" s="337">
        <f>IFERROR(IF(X435="Sem projeto",1.5*AA435,AC435*VLOOKUP(AF435,Aux_Lista!AG:AH,2,FALSE)+AD435)*U435,0)</f>
        <v>0</v>
      </c>
      <c r="AI435" s="343" t="s">
        <v>90</v>
      </c>
      <c r="AJ435" s="343" t="s">
        <v>90</v>
      </c>
      <c r="AK435" s="343" t="s">
        <v>90</v>
      </c>
      <c r="AL435" s="333" t="str">
        <f t="shared" si="44"/>
        <v/>
      </c>
      <c r="AM435" s="334" t="str">
        <f t="shared" si="45"/>
        <v/>
      </c>
      <c r="AN435" s="333" t="str">
        <f t="shared" si="46"/>
        <v/>
      </c>
      <c r="AO435" s="334" t="str">
        <f t="shared" si="47"/>
        <v/>
      </c>
      <c r="AP435" s="44"/>
      <c r="AQ435" s="2"/>
    </row>
    <row r="436" spans="1:43" ht="24.95" customHeight="1" x14ac:dyDescent="0.25">
      <c r="A436" s="2">
        <v>396</v>
      </c>
      <c r="B436" s="349"/>
      <c r="C436" s="350"/>
      <c r="D436" s="351"/>
      <c r="E436" s="351"/>
      <c r="F436" s="336"/>
      <c r="G436" s="327"/>
      <c r="H436" s="327"/>
      <c r="I436" s="325">
        <f t="shared" si="48"/>
        <v>0</v>
      </c>
      <c r="J436" s="540" t="s">
        <v>281</v>
      </c>
      <c r="K436" s="540"/>
      <c r="L436" s="337">
        <f>IFERROR(IF(F436="Sem projeto",VLOOKUP(C436,$B$32:$H$34,7,FALSE)*1.5,G436*VLOOKUP(J436,Aux_Lista!$AG:$AH,2,FALSE)+H436)*E436,0)</f>
        <v>0</v>
      </c>
      <c r="M436" s="346" t="s">
        <v>90</v>
      </c>
      <c r="N436" s="347" t="s">
        <v>90</v>
      </c>
      <c r="O436" s="348" t="s">
        <v>90</v>
      </c>
      <c r="P436" s="386">
        <f t="shared" si="49"/>
        <v>0</v>
      </c>
      <c r="R436" s="94">
        <v>405</v>
      </c>
      <c r="S436" s="383"/>
      <c r="T436" s="214"/>
      <c r="U436" s="214"/>
      <c r="V436" s="217"/>
      <c r="W436" s="215"/>
      <c r="X436" s="336"/>
      <c r="Y436" s="68" t="str">
        <f>IF(V436="","",VLOOKUP(V436,Aux_Lista!A:K,11,FALSE))</f>
        <v/>
      </c>
      <c r="Z436" s="68" t="str">
        <f>IF(V436="","",VLOOKUP(V436,Aux_Lista!A:L,12,FALSE))</f>
        <v/>
      </c>
      <c r="AA436" s="68" t="str">
        <f>IF(W436="","",VLOOKUP(W436,Aux_Lista!AN:AP,3,FALSE))</f>
        <v/>
      </c>
      <c r="AB436" s="68" t="str">
        <f>IF(W436="","",VLOOKUP(W436,Aux_Lista!AN:AP,2,FALSE))</f>
        <v/>
      </c>
      <c r="AC436" s="69"/>
      <c r="AD436" s="69"/>
      <c r="AE436" s="325">
        <f t="shared" si="43"/>
        <v>0</v>
      </c>
      <c r="AF436" s="540" t="s">
        <v>281</v>
      </c>
      <c r="AG436" s="540"/>
      <c r="AH436" s="337">
        <f>IFERROR(IF(X436="Sem projeto",1.5*AA436,AC436*VLOOKUP(AF436,Aux_Lista!AG:AH,2,FALSE)+AD436)*U436,0)</f>
        <v>0</v>
      </c>
      <c r="AI436" s="343" t="s">
        <v>90</v>
      </c>
      <c r="AJ436" s="343" t="s">
        <v>90</v>
      </c>
      <c r="AK436" s="343" t="s">
        <v>90</v>
      </c>
      <c r="AL436" s="333" t="str">
        <f t="shared" si="44"/>
        <v/>
      </c>
      <c r="AM436" s="334" t="str">
        <f t="shared" si="45"/>
        <v/>
      </c>
      <c r="AN436" s="333" t="str">
        <f t="shared" si="46"/>
        <v/>
      </c>
      <c r="AO436" s="334" t="str">
        <f t="shared" si="47"/>
        <v/>
      </c>
      <c r="AP436" s="44"/>
      <c r="AQ436" s="2"/>
    </row>
    <row r="437" spans="1:43" ht="24.95" customHeight="1" x14ac:dyDescent="0.25">
      <c r="A437" s="2">
        <v>397</v>
      </c>
      <c r="B437" s="349"/>
      <c r="C437" s="350"/>
      <c r="D437" s="351"/>
      <c r="E437" s="351"/>
      <c r="F437" s="336"/>
      <c r="G437" s="327"/>
      <c r="H437" s="327"/>
      <c r="I437" s="325">
        <f t="shared" si="48"/>
        <v>0</v>
      </c>
      <c r="J437" s="540" t="s">
        <v>281</v>
      </c>
      <c r="K437" s="540"/>
      <c r="L437" s="337">
        <f>IFERROR(IF(F437="Sem projeto",VLOOKUP(C437,$B$32:$H$34,7,FALSE)*1.5,G437*VLOOKUP(J437,Aux_Lista!$AG:$AH,2,FALSE)+H437)*E437,0)</f>
        <v>0</v>
      </c>
      <c r="M437" s="346" t="s">
        <v>90</v>
      </c>
      <c r="N437" s="347" t="s">
        <v>90</v>
      </c>
      <c r="O437" s="348" t="s">
        <v>90</v>
      </c>
      <c r="P437" s="386">
        <f t="shared" si="49"/>
        <v>0</v>
      </c>
      <c r="R437" s="94">
        <v>406</v>
      </c>
      <c r="S437" s="383"/>
      <c r="T437" s="214"/>
      <c r="U437" s="214"/>
      <c r="V437" s="217"/>
      <c r="W437" s="215"/>
      <c r="X437" s="336"/>
      <c r="Y437" s="68" t="str">
        <f>IF(V437="","",VLOOKUP(V437,Aux_Lista!A:K,11,FALSE))</f>
        <v/>
      </c>
      <c r="Z437" s="68" t="str">
        <f>IF(V437="","",VLOOKUP(V437,Aux_Lista!A:L,12,FALSE))</f>
        <v/>
      </c>
      <c r="AA437" s="68" t="str">
        <f>IF(W437="","",VLOOKUP(W437,Aux_Lista!AN:AP,3,FALSE))</f>
        <v/>
      </c>
      <c r="AB437" s="68" t="str">
        <f>IF(W437="","",VLOOKUP(W437,Aux_Lista!AN:AP,2,FALSE))</f>
        <v/>
      </c>
      <c r="AC437" s="69"/>
      <c r="AD437" s="69"/>
      <c r="AE437" s="325">
        <f t="shared" si="43"/>
        <v>0</v>
      </c>
      <c r="AF437" s="540" t="s">
        <v>281</v>
      </c>
      <c r="AG437" s="540"/>
      <c r="AH437" s="337">
        <f>IFERROR(IF(X437="Sem projeto",1.5*AA437,AC437*VLOOKUP(AF437,Aux_Lista!AG:AH,2,FALSE)+AD437)*U437,0)</f>
        <v>0</v>
      </c>
      <c r="AI437" s="343" t="s">
        <v>90</v>
      </c>
      <c r="AJ437" s="343" t="s">
        <v>90</v>
      </c>
      <c r="AK437" s="343" t="s">
        <v>90</v>
      </c>
      <c r="AL437" s="333" t="str">
        <f t="shared" si="44"/>
        <v/>
      </c>
      <c r="AM437" s="334" t="str">
        <f t="shared" si="45"/>
        <v/>
      </c>
      <c r="AN437" s="333" t="str">
        <f t="shared" si="46"/>
        <v/>
      </c>
      <c r="AO437" s="334" t="str">
        <f t="shared" si="47"/>
        <v/>
      </c>
      <c r="AP437" s="44"/>
      <c r="AQ437" s="2"/>
    </row>
    <row r="438" spans="1:43" ht="24.95" customHeight="1" x14ac:dyDescent="0.25">
      <c r="A438" s="2">
        <v>398</v>
      </c>
      <c r="B438" s="349"/>
      <c r="C438" s="350"/>
      <c r="D438" s="351"/>
      <c r="E438" s="351"/>
      <c r="F438" s="336"/>
      <c r="G438" s="327"/>
      <c r="H438" s="327"/>
      <c r="I438" s="325">
        <f t="shared" si="48"/>
        <v>0</v>
      </c>
      <c r="J438" s="540" t="s">
        <v>281</v>
      </c>
      <c r="K438" s="540"/>
      <c r="L438" s="337">
        <f>IFERROR(IF(F438="Sem projeto",VLOOKUP(C438,$B$32:$H$34,7,FALSE)*1.5,G438*VLOOKUP(J438,Aux_Lista!$AG:$AH,2,FALSE)+H438)*E438,0)</f>
        <v>0</v>
      </c>
      <c r="M438" s="346" t="s">
        <v>90</v>
      </c>
      <c r="N438" s="347" t="s">
        <v>90</v>
      </c>
      <c r="O438" s="348" t="s">
        <v>90</v>
      </c>
      <c r="P438" s="386">
        <f t="shared" si="49"/>
        <v>0</v>
      </c>
      <c r="R438" s="94">
        <v>407</v>
      </c>
      <c r="S438" s="383"/>
      <c r="T438" s="214"/>
      <c r="U438" s="214"/>
      <c r="V438" s="217"/>
      <c r="W438" s="215"/>
      <c r="X438" s="336"/>
      <c r="Y438" s="68" t="str">
        <f>IF(V438="","",VLOOKUP(V438,Aux_Lista!A:K,11,FALSE))</f>
        <v/>
      </c>
      <c r="Z438" s="68" t="str">
        <f>IF(V438="","",VLOOKUP(V438,Aux_Lista!A:L,12,FALSE))</f>
        <v/>
      </c>
      <c r="AA438" s="68" t="str">
        <f>IF(W438="","",VLOOKUP(W438,Aux_Lista!AN:AP,3,FALSE))</f>
        <v/>
      </c>
      <c r="AB438" s="68" t="str">
        <f>IF(W438="","",VLOOKUP(W438,Aux_Lista!AN:AP,2,FALSE))</f>
        <v/>
      </c>
      <c r="AC438" s="69"/>
      <c r="AD438" s="69"/>
      <c r="AE438" s="325">
        <f t="shared" si="43"/>
        <v>0</v>
      </c>
      <c r="AF438" s="540" t="s">
        <v>281</v>
      </c>
      <c r="AG438" s="540"/>
      <c r="AH438" s="337">
        <f>IFERROR(IF(X438="Sem projeto",1.5*AA438,AC438*VLOOKUP(AF438,Aux_Lista!AG:AH,2,FALSE)+AD438)*U438,0)</f>
        <v>0</v>
      </c>
      <c r="AI438" s="343" t="s">
        <v>90</v>
      </c>
      <c r="AJ438" s="343" t="s">
        <v>90</v>
      </c>
      <c r="AK438" s="343" t="s">
        <v>90</v>
      </c>
      <c r="AL438" s="333" t="str">
        <f t="shared" si="44"/>
        <v/>
      </c>
      <c r="AM438" s="334" t="str">
        <f t="shared" si="45"/>
        <v/>
      </c>
      <c r="AN438" s="333" t="str">
        <f t="shared" si="46"/>
        <v/>
      </c>
      <c r="AO438" s="334" t="str">
        <f t="shared" si="47"/>
        <v/>
      </c>
      <c r="AP438" s="44"/>
      <c r="AQ438" s="2"/>
    </row>
    <row r="439" spans="1:43" ht="24.95" customHeight="1" x14ac:dyDescent="0.25">
      <c r="A439" s="2">
        <v>399</v>
      </c>
      <c r="B439" s="349"/>
      <c r="C439" s="350"/>
      <c r="D439" s="351"/>
      <c r="E439" s="351"/>
      <c r="F439" s="336"/>
      <c r="G439" s="327"/>
      <c r="H439" s="327"/>
      <c r="I439" s="325">
        <f t="shared" si="48"/>
        <v>0</v>
      </c>
      <c r="J439" s="540" t="s">
        <v>281</v>
      </c>
      <c r="K439" s="540"/>
      <c r="L439" s="337">
        <f>IFERROR(IF(F439="Sem projeto",VLOOKUP(C439,$B$32:$H$34,7,FALSE)*1.5,G439*VLOOKUP(J439,Aux_Lista!$AG:$AH,2,FALSE)+H439)*E439,0)</f>
        <v>0</v>
      </c>
      <c r="M439" s="346" t="s">
        <v>90</v>
      </c>
      <c r="N439" s="347" t="s">
        <v>90</v>
      </c>
      <c r="O439" s="348" t="s">
        <v>90</v>
      </c>
      <c r="P439" s="386">
        <f t="shared" si="49"/>
        <v>0</v>
      </c>
      <c r="R439" s="94">
        <v>408</v>
      </c>
      <c r="S439" s="383"/>
      <c r="T439" s="214"/>
      <c r="U439" s="214"/>
      <c r="V439" s="217"/>
      <c r="W439" s="215"/>
      <c r="X439" s="336"/>
      <c r="Y439" s="68" t="str">
        <f>IF(V439="","",VLOOKUP(V439,Aux_Lista!A:K,11,FALSE))</f>
        <v/>
      </c>
      <c r="Z439" s="68" t="str">
        <f>IF(V439="","",VLOOKUP(V439,Aux_Lista!A:L,12,FALSE))</f>
        <v/>
      </c>
      <c r="AA439" s="68" t="str">
        <f>IF(W439="","",VLOOKUP(W439,Aux_Lista!AN:AP,3,FALSE))</f>
        <v/>
      </c>
      <c r="AB439" s="68" t="str">
        <f>IF(W439="","",VLOOKUP(W439,Aux_Lista!AN:AP,2,FALSE))</f>
        <v/>
      </c>
      <c r="AC439" s="69"/>
      <c r="AD439" s="69"/>
      <c r="AE439" s="325">
        <f t="shared" si="43"/>
        <v>0</v>
      </c>
      <c r="AF439" s="540" t="s">
        <v>281</v>
      </c>
      <c r="AG439" s="540"/>
      <c r="AH439" s="337">
        <f>IFERROR(IF(X439="Sem projeto",1.5*AA439,AC439*VLOOKUP(AF439,Aux_Lista!AG:AH,2,FALSE)+AD439)*U439,0)</f>
        <v>0</v>
      </c>
      <c r="AI439" s="343" t="s">
        <v>90</v>
      </c>
      <c r="AJ439" s="343" t="s">
        <v>90</v>
      </c>
      <c r="AK439" s="343" t="s">
        <v>90</v>
      </c>
      <c r="AL439" s="333" t="str">
        <f t="shared" si="44"/>
        <v/>
      </c>
      <c r="AM439" s="334" t="str">
        <f t="shared" si="45"/>
        <v/>
      </c>
      <c r="AN439" s="333" t="str">
        <f t="shared" si="46"/>
        <v/>
      </c>
      <c r="AO439" s="334" t="str">
        <f t="shared" si="47"/>
        <v/>
      </c>
      <c r="AP439" s="44"/>
      <c r="AQ439" s="2"/>
    </row>
    <row r="440" spans="1:43" ht="24.95" customHeight="1" x14ac:dyDescent="0.25">
      <c r="A440" s="2">
        <v>400</v>
      </c>
      <c r="B440" s="349"/>
      <c r="C440" s="350"/>
      <c r="D440" s="351"/>
      <c r="E440" s="351"/>
      <c r="F440" s="336"/>
      <c r="G440" s="327"/>
      <c r="H440" s="327"/>
      <c r="I440" s="325">
        <f t="shared" si="48"/>
        <v>0</v>
      </c>
      <c r="J440" s="540" t="s">
        <v>281</v>
      </c>
      <c r="K440" s="540"/>
      <c r="L440" s="337">
        <f>IFERROR(IF(F440="Sem projeto",VLOOKUP(C440,$B$32:$H$34,7,FALSE)*1.5,G440*VLOOKUP(J440,Aux_Lista!$AG:$AH,2,FALSE)+H440)*E440,0)</f>
        <v>0</v>
      </c>
      <c r="M440" s="346" t="s">
        <v>90</v>
      </c>
      <c r="N440" s="347" t="s">
        <v>90</v>
      </c>
      <c r="O440" s="348" t="s">
        <v>90</v>
      </c>
      <c r="P440" s="386">
        <f t="shared" si="49"/>
        <v>0</v>
      </c>
      <c r="R440" s="94">
        <v>409</v>
      </c>
      <c r="S440" s="383"/>
      <c r="T440" s="214"/>
      <c r="U440" s="214"/>
      <c r="V440" s="217"/>
      <c r="W440" s="215"/>
      <c r="X440" s="336"/>
      <c r="Y440" s="68" t="str">
        <f>IF(V440="","",VLOOKUP(V440,Aux_Lista!A:K,11,FALSE))</f>
        <v/>
      </c>
      <c r="Z440" s="68" t="str">
        <f>IF(V440="","",VLOOKUP(V440,Aux_Lista!A:L,12,FALSE))</f>
        <v/>
      </c>
      <c r="AA440" s="68" t="str">
        <f>IF(W440="","",VLOOKUP(W440,Aux_Lista!AN:AP,3,FALSE))</f>
        <v/>
      </c>
      <c r="AB440" s="68" t="str">
        <f>IF(W440="","",VLOOKUP(W440,Aux_Lista!AN:AP,2,FALSE))</f>
        <v/>
      </c>
      <c r="AC440" s="69"/>
      <c r="AD440" s="69"/>
      <c r="AE440" s="325">
        <f t="shared" si="43"/>
        <v>0</v>
      </c>
      <c r="AF440" s="540" t="s">
        <v>281</v>
      </c>
      <c r="AG440" s="540"/>
      <c r="AH440" s="337">
        <f>IFERROR(IF(X440="Sem projeto",1.5*AA440,AC440*VLOOKUP(AF440,Aux_Lista!AG:AH,2,FALSE)+AD440)*U440,0)</f>
        <v>0</v>
      </c>
      <c r="AI440" s="343" t="s">
        <v>90</v>
      </c>
      <c r="AJ440" s="343" t="s">
        <v>90</v>
      </c>
      <c r="AK440" s="343" t="s">
        <v>90</v>
      </c>
      <c r="AL440" s="333" t="str">
        <f t="shared" si="44"/>
        <v/>
      </c>
      <c r="AM440" s="334" t="str">
        <f t="shared" si="45"/>
        <v/>
      </c>
      <c r="AN440" s="333" t="str">
        <f t="shared" si="46"/>
        <v/>
      </c>
      <c r="AO440" s="334" t="str">
        <f t="shared" si="47"/>
        <v/>
      </c>
      <c r="AP440" s="44"/>
      <c r="AQ440" s="2"/>
    </row>
    <row r="441" spans="1:43" ht="24.95" customHeight="1" x14ac:dyDescent="0.25">
      <c r="A441" s="2">
        <v>401</v>
      </c>
      <c r="B441" s="349"/>
      <c r="C441" s="350"/>
      <c r="D441" s="351"/>
      <c r="E441" s="351"/>
      <c r="F441" s="336"/>
      <c r="G441" s="327"/>
      <c r="H441" s="327"/>
      <c r="I441" s="325">
        <f t="shared" si="48"/>
        <v>0</v>
      </c>
      <c r="J441" s="540" t="s">
        <v>281</v>
      </c>
      <c r="K441" s="540"/>
      <c r="L441" s="337">
        <f>IFERROR(IF(F441="Sem projeto",VLOOKUP(C441,$B$32:$H$34,7,FALSE)*1.5,G441*VLOOKUP(J441,Aux_Lista!$AG:$AH,2,FALSE)+H441)*E441,0)</f>
        <v>0</v>
      </c>
      <c r="M441" s="346" t="s">
        <v>90</v>
      </c>
      <c r="N441" s="347" t="s">
        <v>90</v>
      </c>
      <c r="O441" s="348" t="s">
        <v>90</v>
      </c>
      <c r="P441" s="386">
        <f t="shared" si="49"/>
        <v>0</v>
      </c>
      <c r="R441" s="94">
        <v>410</v>
      </c>
      <c r="S441" s="383"/>
      <c r="T441" s="214"/>
      <c r="U441" s="214"/>
      <c r="V441" s="217"/>
      <c r="W441" s="215"/>
      <c r="X441" s="336"/>
      <c r="Y441" s="68" t="str">
        <f>IF(V441="","",VLOOKUP(V441,Aux_Lista!A:K,11,FALSE))</f>
        <v/>
      </c>
      <c r="Z441" s="68" t="str">
        <f>IF(V441="","",VLOOKUP(V441,Aux_Lista!A:L,12,FALSE))</f>
        <v/>
      </c>
      <c r="AA441" s="68" t="str">
        <f>IF(W441="","",VLOOKUP(W441,Aux_Lista!AN:AP,3,FALSE))</f>
        <v/>
      </c>
      <c r="AB441" s="68" t="str">
        <f>IF(W441="","",VLOOKUP(W441,Aux_Lista!AN:AP,2,FALSE))</f>
        <v/>
      </c>
      <c r="AC441" s="69"/>
      <c r="AD441" s="69"/>
      <c r="AE441" s="325">
        <f t="shared" si="43"/>
        <v>0</v>
      </c>
      <c r="AF441" s="540" t="s">
        <v>281</v>
      </c>
      <c r="AG441" s="540"/>
      <c r="AH441" s="337">
        <f>IFERROR(IF(X441="Sem projeto",1.5*AA441,AC441*VLOOKUP(AF441,Aux_Lista!AG:AH,2,FALSE)+AD441)*U441,0)</f>
        <v>0</v>
      </c>
      <c r="AI441" s="343" t="s">
        <v>90</v>
      </c>
      <c r="AJ441" s="343" t="s">
        <v>90</v>
      </c>
      <c r="AK441" s="343" t="s">
        <v>90</v>
      </c>
      <c r="AL441" s="333" t="str">
        <f t="shared" si="44"/>
        <v/>
      </c>
      <c r="AM441" s="334" t="str">
        <f t="shared" si="45"/>
        <v/>
      </c>
      <c r="AN441" s="333" t="str">
        <f t="shared" si="46"/>
        <v/>
      </c>
      <c r="AO441" s="334" t="str">
        <f t="shared" si="47"/>
        <v/>
      </c>
      <c r="AP441" s="44"/>
      <c r="AQ441" s="2"/>
    </row>
    <row r="442" spans="1:43" ht="24.95" customHeight="1" x14ac:dyDescent="0.25">
      <c r="A442" s="2">
        <v>402</v>
      </c>
      <c r="B442" s="349"/>
      <c r="C442" s="350"/>
      <c r="D442" s="351"/>
      <c r="E442" s="351"/>
      <c r="F442" s="336"/>
      <c r="G442" s="327"/>
      <c r="H442" s="327"/>
      <c r="I442" s="325">
        <f t="shared" si="48"/>
        <v>0</v>
      </c>
      <c r="J442" s="540" t="s">
        <v>281</v>
      </c>
      <c r="K442" s="540"/>
      <c r="L442" s="337">
        <f>IFERROR(IF(F442="Sem projeto",VLOOKUP(C442,$B$32:$H$34,7,FALSE)*1.5,G442*VLOOKUP(J442,Aux_Lista!$AG:$AH,2,FALSE)+H442)*E442,0)</f>
        <v>0</v>
      </c>
      <c r="M442" s="346" t="s">
        <v>90</v>
      </c>
      <c r="N442" s="347" t="s">
        <v>90</v>
      </c>
      <c r="O442" s="348" t="s">
        <v>90</v>
      </c>
      <c r="P442" s="386">
        <f t="shared" si="49"/>
        <v>0</v>
      </c>
      <c r="R442" s="94">
        <v>411</v>
      </c>
      <c r="S442" s="383"/>
      <c r="T442" s="214"/>
      <c r="U442" s="214"/>
      <c r="V442" s="217"/>
      <c r="W442" s="215"/>
      <c r="X442" s="336"/>
      <c r="Y442" s="68" t="str">
        <f>IF(V442="","",VLOOKUP(V442,Aux_Lista!A:K,11,FALSE))</f>
        <v/>
      </c>
      <c r="Z442" s="68" t="str">
        <f>IF(V442="","",VLOOKUP(V442,Aux_Lista!A:L,12,FALSE))</f>
        <v/>
      </c>
      <c r="AA442" s="68" t="str">
        <f>IF(W442="","",VLOOKUP(W442,Aux_Lista!AN:AP,3,FALSE))</f>
        <v/>
      </c>
      <c r="AB442" s="68" t="str">
        <f>IF(W442="","",VLOOKUP(W442,Aux_Lista!AN:AP,2,FALSE))</f>
        <v/>
      </c>
      <c r="AC442" s="69"/>
      <c r="AD442" s="69"/>
      <c r="AE442" s="325">
        <f t="shared" si="43"/>
        <v>0</v>
      </c>
      <c r="AF442" s="540" t="s">
        <v>281</v>
      </c>
      <c r="AG442" s="540"/>
      <c r="AH442" s="337">
        <f>IFERROR(IF(X442="Sem projeto",1.5*AA442,AC442*VLOOKUP(AF442,Aux_Lista!AG:AH,2,FALSE)+AD442)*U442,0)</f>
        <v>0</v>
      </c>
      <c r="AI442" s="343" t="s">
        <v>90</v>
      </c>
      <c r="AJ442" s="343" t="s">
        <v>90</v>
      </c>
      <c r="AK442" s="343" t="s">
        <v>90</v>
      </c>
      <c r="AL442" s="333" t="str">
        <f t="shared" si="44"/>
        <v/>
      </c>
      <c r="AM442" s="334" t="str">
        <f t="shared" si="45"/>
        <v/>
      </c>
      <c r="AN442" s="333" t="str">
        <f t="shared" si="46"/>
        <v/>
      </c>
      <c r="AO442" s="334" t="str">
        <f t="shared" si="47"/>
        <v/>
      </c>
      <c r="AP442" s="44"/>
      <c r="AQ442" s="2"/>
    </row>
    <row r="443" spans="1:43" ht="24.95" customHeight="1" x14ac:dyDescent="0.25">
      <c r="A443" s="2">
        <v>403</v>
      </c>
      <c r="B443" s="349"/>
      <c r="C443" s="350"/>
      <c r="D443" s="351"/>
      <c r="E443" s="351"/>
      <c r="F443" s="336"/>
      <c r="G443" s="327"/>
      <c r="H443" s="327"/>
      <c r="I443" s="325">
        <f t="shared" si="48"/>
        <v>0</v>
      </c>
      <c r="J443" s="540" t="s">
        <v>281</v>
      </c>
      <c r="K443" s="540"/>
      <c r="L443" s="337">
        <f>IFERROR(IF(F443="Sem projeto",VLOOKUP(C443,$B$32:$H$34,7,FALSE)*1.5,G443*VLOOKUP(J443,Aux_Lista!$AG:$AH,2,FALSE)+H443)*E443,0)</f>
        <v>0</v>
      </c>
      <c r="M443" s="346" t="s">
        <v>90</v>
      </c>
      <c r="N443" s="347" t="s">
        <v>90</v>
      </c>
      <c r="O443" s="348" t="s">
        <v>90</v>
      </c>
      <c r="P443" s="386">
        <f t="shared" si="49"/>
        <v>0</v>
      </c>
      <c r="R443" s="94">
        <v>412</v>
      </c>
      <c r="S443" s="383"/>
      <c r="T443" s="214"/>
      <c r="U443" s="214"/>
      <c r="V443" s="217"/>
      <c r="W443" s="215"/>
      <c r="X443" s="336"/>
      <c r="Y443" s="68" t="str">
        <f>IF(V443="","",VLOOKUP(V443,Aux_Lista!A:K,11,FALSE))</f>
        <v/>
      </c>
      <c r="Z443" s="68" t="str">
        <f>IF(V443="","",VLOOKUP(V443,Aux_Lista!A:L,12,FALSE))</f>
        <v/>
      </c>
      <c r="AA443" s="68" t="str">
        <f>IF(W443="","",VLOOKUP(W443,Aux_Lista!AN:AP,3,FALSE))</f>
        <v/>
      </c>
      <c r="AB443" s="68" t="str">
        <f>IF(W443="","",VLOOKUP(W443,Aux_Lista!AN:AP,2,FALSE))</f>
        <v/>
      </c>
      <c r="AC443" s="69"/>
      <c r="AD443" s="69"/>
      <c r="AE443" s="325">
        <f t="shared" si="43"/>
        <v>0</v>
      </c>
      <c r="AF443" s="540" t="s">
        <v>281</v>
      </c>
      <c r="AG443" s="540"/>
      <c r="AH443" s="337">
        <f>IFERROR(IF(X443="Sem projeto",1.5*AA443,AC443*VLOOKUP(AF443,Aux_Lista!AG:AH,2,FALSE)+AD443)*U443,0)</f>
        <v>0</v>
      </c>
      <c r="AI443" s="343" t="s">
        <v>90</v>
      </c>
      <c r="AJ443" s="343" t="s">
        <v>90</v>
      </c>
      <c r="AK443" s="343" t="s">
        <v>90</v>
      </c>
      <c r="AL443" s="333" t="str">
        <f t="shared" si="44"/>
        <v/>
      </c>
      <c r="AM443" s="334" t="str">
        <f t="shared" si="45"/>
        <v/>
      </c>
      <c r="AN443" s="333" t="str">
        <f t="shared" si="46"/>
        <v/>
      </c>
      <c r="AO443" s="334" t="str">
        <f t="shared" si="47"/>
        <v/>
      </c>
      <c r="AP443" s="44"/>
      <c r="AQ443" s="2"/>
    </row>
    <row r="444" spans="1:43" ht="24.95" customHeight="1" x14ac:dyDescent="0.25">
      <c r="A444" s="2">
        <v>404</v>
      </c>
      <c r="B444" s="349"/>
      <c r="C444" s="350"/>
      <c r="D444" s="351"/>
      <c r="E444" s="351"/>
      <c r="F444" s="336"/>
      <c r="G444" s="327"/>
      <c r="H444" s="327"/>
      <c r="I444" s="325">
        <f t="shared" si="48"/>
        <v>0</v>
      </c>
      <c r="J444" s="540" t="s">
        <v>281</v>
      </c>
      <c r="K444" s="540"/>
      <c r="L444" s="337">
        <f>IFERROR(IF(F444="Sem projeto",VLOOKUP(C444,$B$32:$H$34,7,FALSE)*1.5,G444*VLOOKUP(J444,Aux_Lista!$AG:$AH,2,FALSE)+H444)*E444,0)</f>
        <v>0</v>
      </c>
      <c r="M444" s="346" t="s">
        <v>90</v>
      </c>
      <c r="N444" s="347" t="s">
        <v>90</v>
      </c>
      <c r="O444" s="348" t="s">
        <v>90</v>
      </c>
      <c r="P444" s="386">
        <f t="shared" si="49"/>
        <v>0</v>
      </c>
      <c r="R444" s="94">
        <v>413</v>
      </c>
      <c r="S444" s="383"/>
      <c r="T444" s="214"/>
      <c r="U444" s="214"/>
      <c r="V444" s="217"/>
      <c r="W444" s="215"/>
      <c r="X444" s="336"/>
      <c r="Y444" s="68" t="str">
        <f>IF(V444="","",VLOOKUP(V444,Aux_Lista!A:K,11,FALSE))</f>
        <v/>
      </c>
      <c r="Z444" s="68" t="str">
        <f>IF(V444="","",VLOOKUP(V444,Aux_Lista!A:L,12,FALSE))</f>
        <v/>
      </c>
      <c r="AA444" s="68" t="str">
        <f>IF(W444="","",VLOOKUP(W444,Aux_Lista!AN:AP,3,FALSE))</f>
        <v/>
      </c>
      <c r="AB444" s="68" t="str">
        <f>IF(W444="","",VLOOKUP(W444,Aux_Lista!AN:AP,2,FALSE))</f>
        <v/>
      </c>
      <c r="AC444" s="69"/>
      <c r="AD444" s="69"/>
      <c r="AE444" s="325">
        <f t="shared" si="43"/>
        <v>0</v>
      </c>
      <c r="AF444" s="540" t="s">
        <v>281</v>
      </c>
      <c r="AG444" s="540"/>
      <c r="AH444" s="337">
        <f>IFERROR(IF(X444="Sem projeto",1.5*AA444,AC444*VLOOKUP(AF444,Aux_Lista!AG:AH,2,FALSE)+AD444)*U444,0)</f>
        <v>0</v>
      </c>
      <c r="AI444" s="343" t="s">
        <v>90</v>
      </c>
      <c r="AJ444" s="343" t="s">
        <v>90</v>
      </c>
      <c r="AK444" s="343" t="s">
        <v>90</v>
      </c>
      <c r="AL444" s="333" t="str">
        <f t="shared" si="44"/>
        <v/>
      </c>
      <c r="AM444" s="334" t="str">
        <f t="shared" si="45"/>
        <v/>
      </c>
      <c r="AN444" s="333" t="str">
        <f t="shared" si="46"/>
        <v/>
      </c>
      <c r="AO444" s="334" t="str">
        <f t="shared" si="47"/>
        <v/>
      </c>
      <c r="AP444" s="44"/>
      <c r="AQ444" s="2"/>
    </row>
    <row r="445" spans="1:43" ht="24.95" customHeight="1" x14ac:dyDescent="0.25">
      <c r="A445" s="2">
        <v>405</v>
      </c>
      <c r="B445" s="349"/>
      <c r="C445" s="350"/>
      <c r="D445" s="351"/>
      <c r="E445" s="351"/>
      <c r="F445" s="336"/>
      <c r="G445" s="327"/>
      <c r="H445" s="327"/>
      <c r="I445" s="325">
        <f t="shared" si="48"/>
        <v>0</v>
      </c>
      <c r="J445" s="540" t="s">
        <v>281</v>
      </c>
      <c r="K445" s="540"/>
      <c r="L445" s="337">
        <f>IFERROR(IF(F445="Sem projeto",VLOOKUP(C445,$B$32:$H$34,7,FALSE)*1.5,G445*VLOOKUP(J445,Aux_Lista!$AG:$AH,2,FALSE)+H445)*E445,0)</f>
        <v>0</v>
      </c>
      <c r="M445" s="346" t="s">
        <v>90</v>
      </c>
      <c r="N445" s="347" t="s">
        <v>90</v>
      </c>
      <c r="O445" s="348" t="s">
        <v>90</v>
      </c>
      <c r="P445" s="386">
        <f t="shared" si="49"/>
        <v>0</v>
      </c>
      <c r="R445" s="94">
        <v>414</v>
      </c>
      <c r="S445" s="383"/>
      <c r="T445" s="214"/>
      <c r="U445" s="214"/>
      <c r="V445" s="217"/>
      <c r="W445" s="215"/>
      <c r="X445" s="336"/>
      <c r="Y445" s="68" t="str">
        <f>IF(V445="","",VLOOKUP(V445,Aux_Lista!A:K,11,FALSE))</f>
        <v/>
      </c>
      <c r="Z445" s="68" t="str">
        <f>IF(V445="","",VLOOKUP(V445,Aux_Lista!A:L,12,FALSE))</f>
        <v/>
      </c>
      <c r="AA445" s="68" t="str">
        <f>IF(W445="","",VLOOKUP(W445,Aux_Lista!AN:AP,3,FALSE))</f>
        <v/>
      </c>
      <c r="AB445" s="68" t="str">
        <f>IF(W445="","",VLOOKUP(W445,Aux_Lista!AN:AP,2,FALSE))</f>
        <v/>
      </c>
      <c r="AC445" s="69"/>
      <c r="AD445" s="69"/>
      <c r="AE445" s="325">
        <f t="shared" si="43"/>
        <v>0</v>
      </c>
      <c r="AF445" s="540" t="s">
        <v>281</v>
      </c>
      <c r="AG445" s="540"/>
      <c r="AH445" s="337">
        <f>IFERROR(IF(X445="Sem projeto",1.5*AA445,AC445*VLOOKUP(AF445,Aux_Lista!AG:AH,2,FALSE)+AD445)*U445,0)</f>
        <v>0</v>
      </c>
      <c r="AI445" s="343" t="s">
        <v>90</v>
      </c>
      <c r="AJ445" s="343" t="s">
        <v>90</v>
      </c>
      <c r="AK445" s="343" t="s">
        <v>90</v>
      </c>
      <c r="AL445" s="333" t="str">
        <f t="shared" si="44"/>
        <v/>
      </c>
      <c r="AM445" s="334" t="str">
        <f t="shared" si="45"/>
        <v/>
      </c>
      <c r="AN445" s="333" t="str">
        <f t="shared" si="46"/>
        <v/>
      </c>
      <c r="AO445" s="334" t="str">
        <f t="shared" si="47"/>
        <v/>
      </c>
      <c r="AP445" s="44"/>
      <c r="AQ445" s="2"/>
    </row>
    <row r="446" spans="1:43" ht="24.95" customHeight="1" x14ac:dyDescent="0.25">
      <c r="A446" s="2">
        <v>406</v>
      </c>
      <c r="B446" s="349"/>
      <c r="C446" s="350"/>
      <c r="D446" s="351"/>
      <c r="E446" s="351"/>
      <c r="F446" s="336"/>
      <c r="G446" s="327"/>
      <c r="H446" s="327"/>
      <c r="I446" s="325">
        <f t="shared" si="48"/>
        <v>0</v>
      </c>
      <c r="J446" s="540" t="s">
        <v>281</v>
      </c>
      <c r="K446" s="540"/>
      <c r="L446" s="337">
        <f>IFERROR(IF(F446="Sem projeto",VLOOKUP(C446,$B$32:$H$34,7,FALSE)*1.5,G446*VLOOKUP(J446,Aux_Lista!$AG:$AH,2,FALSE)+H446)*E446,0)</f>
        <v>0</v>
      </c>
      <c r="M446" s="346" t="s">
        <v>90</v>
      </c>
      <c r="N446" s="347" t="s">
        <v>90</v>
      </c>
      <c r="O446" s="348" t="s">
        <v>90</v>
      </c>
      <c r="P446" s="386">
        <f t="shared" si="49"/>
        <v>0</v>
      </c>
      <c r="R446" s="94">
        <v>415</v>
      </c>
      <c r="S446" s="383"/>
      <c r="T446" s="214"/>
      <c r="U446" s="214"/>
      <c r="V446" s="217"/>
      <c r="W446" s="215"/>
      <c r="X446" s="336"/>
      <c r="Y446" s="68" t="str">
        <f>IF(V446="","",VLOOKUP(V446,Aux_Lista!A:K,11,FALSE))</f>
        <v/>
      </c>
      <c r="Z446" s="68" t="str">
        <f>IF(V446="","",VLOOKUP(V446,Aux_Lista!A:L,12,FALSE))</f>
        <v/>
      </c>
      <c r="AA446" s="68" t="str">
        <f>IF(W446="","",VLOOKUP(W446,Aux_Lista!AN:AP,3,FALSE))</f>
        <v/>
      </c>
      <c r="AB446" s="68" t="str">
        <f>IF(W446="","",VLOOKUP(W446,Aux_Lista!AN:AP,2,FALSE))</f>
        <v/>
      </c>
      <c r="AC446" s="69"/>
      <c r="AD446" s="69"/>
      <c r="AE446" s="325">
        <f t="shared" si="43"/>
        <v>0</v>
      </c>
      <c r="AF446" s="540" t="s">
        <v>281</v>
      </c>
      <c r="AG446" s="540"/>
      <c r="AH446" s="337">
        <f>IFERROR(IF(X446="Sem projeto",1.5*AA446,AC446*VLOOKUP(AF446,Aux_Lista!AG:AH,2,FALSE)+AD446)*U446,0)</f>
        <v>0</v>
      </c>
      <c r="AI446" s="343" t="s">
        <v>90</v>
      </c>
      <c r="AJ446" s="343" t="s">
        <v>90</v>
      </c>
      <c r="AK446" s="343" t="s">
        <v>90</v>
      </c>
      <c r="AL446" s="333" t="str">
        <f t="shared" si="44"/>
        <v/>
      </c>
      <c r="AM446" s="334" t="str">
        <f t="shared" si="45"/>
        <v/>
      </c>
      <c r="AN446" s="333" t="str">
        <f t="shared" si="46"/>
        <v/>
      </c>
      <c r="AO446" s="334" t="str">
        <f t="shared" si="47"/>
        <v/>
      </c>
      <c r="AP446" s="44"/>
      <c r="AQ446" s="2"/>
    </row>
    <row r="447" spans="1:43" ht="24.95" customHeight="1" x14ac:dyDescent="0.25">
      <c r="A447" s="2">
        <v>407</v>
      </c>
      <c r="B447" s="349"/>
      <c r="C447" s="350"/>
      <c r="D447" s="351"/>
      <c r="E447" s="351"/>
      <c r="F447" s="336"/>
      <c r="G447" s="327"/>
      <c r="H447" s="327"/>
      <c r="I447" s="325">
        <f t="shared" si="48"/>
        <v>0</v>
      </c>
      <c r="J447" s="540" t="s">
        <v>281</v>
      </c>
      <c r="K447" s="540"/>
      <c r="L447" s="337">
        <f>IFERROR(IF(F447="Sem projeto",VLOOKUP(C447,$B$32:$H$34,7,FALSE)*1.5,G447*VLOOKUP(J447,Aux_Lista!$AG:$AH,2,FALSE)+H447)*E447,0)</f>
        <v>0</v>
      </c>
      <c r="M447" s="346" t="s">
        <v>90</v>
      </c>
      <c r="N447" s="347" t="s">
        <v>90</v>
      </c>
      <c r="O447" s="348" t="s">
        <v>90</v>
      </c>
      <c r="P447" s="386">
        <f t="shared" si="49"/>
        <v>0</v>
      </c>
      <c r="R447" s="94">
        <v>416</v>
      </c>
      <c r="S447" s="383"/>
      <c r="T447" s="214"/>
      <c r="U447" s="214"/>
      <c r="V447" s="217"/>
      <c r="W447" s="215"/>
      <c r="X447" s="336"/>
      <c r="Y447" s="68" t="str">
        <f>IF(V447="","",VLOOKUP(V447,Aux_Lista!A:K,11,FALSE))</f>
        <v/>
      </c>
      <c r="Z447" s="68" t="str">
        <f>IF(V447="","",VLOOKUP(V447,Aux_Lista!A:L,12,FALSE))</f>
        <v/>
      </c>
      <c r="AA447" s="68" t="str">
        <f>IF(W447="","",VLOOKUP(W447,Aux_Lista!AN:AP,3,FALSE))</f>
        <v/>
      </c>
      <c r="AB447" s="68" t="str">
        <f>IF(W447="","",VLOOKUP(W447,Aux_Lista!AN:AP,2,FALSE))</f>
        <v/>
      </c>
      <c r="AC447" s="69"/>
      <c r="AD447" s="69"/>
      <c r="AE447" s="325">
        <f t="shared" si="43"/>
        <v>0</v>
      </c>
      <c r="AF447" s="540" t="s">
        <v>281</v>
      </c>
      <c r="AG447" s="540"/>
      <c r="AH447" s="337">
        <f>IFERROR(IF(X447="Sem projeto",1.5*AA447,AC447*VLOOKUP(AF447,Aux_Lista!AG:AH,2,FALSE)+AD447)*U447,0)</f>
        <v>0</v>
      </c>
      <c r="AI447" s="343" t="s">
        <v>90</v>
      </c>
      <c r="AJ447" s="343" t="s">
        <v>90</v>
      </c>
      <c r="AK447" s="343" t="s">
        <v>90</v>
      </c>
      <c r="AL447" s="333" t="str">
        <f t="shared" si="44"/>
        <v/>
      </c>
      <c r="AM447" s="334" t="str">
        <f t="shared" si="45"/>
        <v/>
      </c>
      <c r="AN447" s="333" t="str">
        <f t="shared" si="46"/>
        <v/>
      </c>
      <c r="AO447" s="334" t="str">
        <f t="shared" si="47"/>
        <v/>
      </c>
      <c r="AP447" s="44"/>
      <c r="AQ447" s="2"/>
    </row>
    <row r="448" spans="1:43" ht="24.95" customHeight="1" x14ac:dyDescent="0.25">
      <c r="A448" s="2">
        <v>408</v>
      </c>
      <c r="B448" s="349"/>
      <c r="C448" s="350"/>
      <c r="D448" s="351"/>
      <c r="E448" s="351"/>
      <c r="F448" s="336"/>
      <c r="G448" s="327"/>
      <c r="H448" s="327"/>
      <c r="I448" s="325">
        <f t="shared" si="48"/>
        <v>0</v>
      </c>
      <c r="J448" s="540" t="s">
        <v>281</v>
      </c>
      <c r="K448" s="540"/>
      <c r="L448" s="337">
        <f>IFERROR(IF(F448="Sem projeto",VLOOKUP(C448,$B$32:$H$34,7,FALSE)*1.5,G448*VLOOKUP(J448,Aux_Lista!$AG:$AH,2,FALSE)+H448)*E448,0)</f>
        <v>0</v>
      </c>
      <c r="M448" s="346" t="s">
        <v>90</v>
      </c>
      <c r="N448" s="347" t="s">
        <v>90</v>
      </c>
      <c r="O448" s="348" t="s">
        <v>90</v>
      </c>
      <c r="P448" s="386">
        <f t="shared" si="49"/>
        <v>0</v>
      </c>
      <c r="R448" s="94">
        <v>417</v>
      </c>
      <c r="S448" s="383"/>
      <c r="T448" s="214"/>
      <c r="U448" s="214"/>
      <c r="V448" s="217"/>
      <c r="W448" s="215"/>
      <c r="X448" s="336"/>
      <c r="Y448" s="68" t="str">
        <f>IF(V448="","",VLOOKUP(V448,Aux_Lista!A:K,11,FALSE))</f>
        <v/>
      </c>
      <c r="Z448" s="68" t="str">
        <f>IF(V448="","",VLOOKUP(V448,Aux_Lista!A:L,12,FALSE))</f>
        <v/>
      </c>
      <c r="AA448" s="68" t="str">
        <f>IF(W448="","",VLOOKUP(W448,Aux_Lista!AN:AP,3,FALSE))</f>
        <v/>
      </c>
      <c r="AB448" s="68" t="str">
        <f>IF(W448="","",VLOOKUP(W448,Aux_Lista!AN:AP,2,FALSE))</f>
        <v/>
      </c>
      <c r="AC448" s="69"/>
      <c r="AD448" s="69"/>
      <c r="AE448" s="325">
        <f t="shared" si="43"/>
        <v>0</v>
      </c>
      <c r="AF448" s="540" t="s">
        <v>281</v>
      </c>
      <c r="AG448" s="540"/>
      <c r="AH448" s="337">
        <f>IFERROR(IF(X448="Sem projeto",1.5*AA448,AC448*VLOOKUP(AF448,Aux_Lista!AG:AH,2,FALSE)+AD448)*U448,0)</f>
        <v>0</v>
      </c>
      <c r="AI448" s="343" t="s">
        <v>90</v>
      </c>
      <c r="AJ448" s="343" t="s">
        <v>90</v>
      </c>
      <c r="AK448" s="343" t="s">
        <v>90</v>
      </c>
      <c r="AL448" s="333" t="str">
        <f t="shared" si="44"/>
        <v/>
      </c>
      <c r="AM448" s="334" t="str">
        <f t="shared" si="45"/>
        <v/>
      </c>
      <c r="AN448" s="333" t="str">
        <f t="shared" si="46"/>
        <v/>
      </c>
      <c r="AO448" s="334" t="str">
        <f t="shared" si="47"/>
        <v/>
      </c>
      <c r="AP448" s="44"/>
      <c r="AQ448" s="2"/>
    </row>
    <row r="449" spans="1:43" ht="24.95" customHeight="1" x14ac:dyDescent="0.25">
      <c r="A449" s="2">
        <v>409</v>
      </c>
      <c r="B449" s="349"/>
      <c r="C449" s="350"/>
      <c r="D449" s="351"/>
      <c r="E449" s="351"/>
      <c r="F449" s="336"/>
      <c r="G449" s="327"/>
      <c r="H449" s="327"/>
      <c r="I449" s="325">
        <f t="shared" si="48"/>
        <v>0</v>
      </c>
      <c r="J449" s="540" t="s">
        <v>281</v>
      </c>
      <c r="K449" s="540"/>
      <c r="L449" s="337">
        <f>IFERROR(IF(F449="Sem projeto",VLOOKUP(C449,$B$32:$H$34,7,FALSE)*1.5,G449*VLOOKUP(J449,Aux_Lista!$AG:$AH,2,FALSE)+H449)*E449,0)</f>
        <v>0</v>
      </c>
      <c r="M449" s="346" t="s">
        <v>90</v>
      </c>
      <c r="N449" s="347" t="s">
        <v>90</v>
      </c>
      <c r="O449" s="348" t="s">
        <v>90</v>
      </c>
      <c r="P449" s="386">
        <f t="shared" si="49"/>
        <v>0</v>
      </c>
      <c r="R449" s="94">
        <v>418</v>
      </c>
      <c r="S449" s="383"/>
      <c r="T449" s="214"/>
      <c r="U449" s="214"/>
      <c r="V449" s="217"/>
      <c r="W449" s="215"/>
      <c r="X449" s="336"/>
      <c r="Y449" s="68" t="str">
        <f>IF(V449="","",VLOOKUP(V449,Aux_Lista!A:K,11,FALSE))</f>
        <v/>
      </c>
      <c r="Z449" s="68" t="str">
        <f>IF(V449="","",VLOOKUP(V449,Aux_Lista!A:L,12,FALSE))</f>
        <v/>
      </c>
      <c r="AA449" s="68" t="str">
        <f>IF(W449="","",VLOOKUP(W449,Aux_Lista!AN:AP,3,FALSE))</f>
        <v/>
      </c>
      <c r="AB449" s="68" t="str">
        <f>IF(W449="","",VLOOKUP(W449,Aux_Lista!AN:AP,2,FALSE))</f>
        <v/>
      </c>
      <c r="AC449" s="69"/>
      <c r="AD449" s="69"/>
      <c r="AE449" s="325">
        <f t="shared" si="43"/>
        <v>0</v>
      </c>
      <c r="AF449" s="540" t="s">
        <v>281</v>
      </c>
      <c r="AG449" s="540"/>
      <c r="AH449" s="337">
        <f>IFERROR(IF(X449="Sem projeto",1.5*AA449,AC449*VLOOKUP(AF449,Aux_Lista!AG:AH,2,FALSE)+AD449)*U449,0)</f>
        <v>0</v>
      </c>
      <c r="AI449" s="343" t="s">
        <v>90</v>
      </c>
      <c r="AJ449" s="343" t="s">
        <v>90</v>
      </c>
      <c r="AK449" s="343" t="s">
        <v>90</v>
      </c>
      <c r="AL449" s="333" t="str">
        <f t="shared" si="44"/>
        <v/>
      </c>
      <c r="AM449" s="334" t="str">
        <f t="shared" si="45"/>
        <v/>
      </c>
      <c r="AN449" s="333" t="str">
        <f t="shared" si="46"/>
        <v/>
      </c>
      <c r="AO449" s="334" t="str">
        <f t="shared" si="47"/>
        <v/>
      </c>
      <c r="AP449" s="44"/>
      <c r="AQ449" s="2"/>
    </row>
    <row r="450" spans="1:43" ht="24.95" customHeight="1" x14ac:dyDescent="0.25">
      <c r="A450" s="2">
        <v>410</v>
      </c>
      <c r="B450" s="349"/>
      <c r="C450" s="350"/>
      <c r="D450" s="351"/>
      <c r="E450" s="351"/>
      <c r="F450" s="336"/>
      <c r="G450" s="327"/>
      <c r="H450" s="327"/>
      <c r="I450" s="325">
        <f t="shared" si="48"/>
        <v>0</v>
      </c>
      <c r="J450" s="540" t="s">
        <v>281</v>
      </c>
      <c r="K450" s="540"/>
      <c r="L450" s="337">
        <f>IFERROR(IF(F450="Sem projeto",VLOOKUP(C450,$B$32:$H$34,7,FALSE)*1.5,G450*VLOOKUP(J450,Aux_Lista!$AG:$AH,2,FALSE)+H450)*E450,0)</f>
        <v>0</v>
      </c>
      <c r="M450" s="346" t="s">
        <v>90</v>
      </c>
      <c r="N450" s="347" t="s">
        <v>90</v>
      </c>
      <c r="O450" s="348" t="s">
        <v>90</v>
      </c>
      <c r="P450" s="386">
        <f t="shared" si="49"/>
        <v>0</v>
      </c>
      <c r="R450" s="94">
        <v>419</v>
      </c>
      <c r="S450" s="383"/>
      <c r="T450" s="214"/>
      <c r="U450" s="214"/>
      <c r="V450" s="217"/>
      <c r="W450" s="215"/>
      <c r="X450" s="336"/>
      <c r="Y450" s="68" t="str">
        <f>IF(V450="","",VLOOKUP(V450,Aux_Lista!A:K,11,FALSE))</f>
        <v/>
      </c>
      <c r="Z450" s="68" t="str">
        <f>IF(V450="","",VLOOKUP(V450,Aux_Lista!A:L,12,FALSE))</f>
        <v/>
      </c>
      <c r="AA450" s="68" t="str">
        <f>IF(W450="","",VLOOKUP(W450,Aux_Lista!AN:AP,3,FALSE))</f>
        <v/>
      </c>
      <c r="AB450" s="68" t="str">
        <f>IF(W450="","",VLOOKUP(W450,Aux_Lista!AN:AP,2,FALSE))</f>
        <v/>
      </c>
      <c r="AC450" s="69"/>
      <c r="AD450" s="69"/>
      <c r="AE450" s="325">
        <f t="shared" si="43"/>
        <v>0</v>
      </c>
      <c r="AF450" s="540" t="s">
        <v>281</v>
      </c>
      <c r="AG450" s="540"/>
      <c r="AH450" s="337">
        <f>IFERROR(IF(X450="Sem projeto",1.5*AA450,AC450*VLOOKUP(AF450,Aux_Lista!AG:AH,2,FALSE)+AD450)*U450,0)</f>
        <v>0</v>
      </c>
      <c r="AI450" s="343" t="s">
        <v>90</v>
      </c>
      <c r="AJ450" s="343" t="s">
        <v>90</v>
      </c>
      <c r="AK450" s="343" t="s">
        <v>90</v>
      </c>
      <c r="AL450" s="333" t="str">
        <f t="shared" si="44"/>
        <v/>
      </c>
      <c r="AM450" s="334" t="str">
        <f t="shared" si="45"/>
        <v/>
      </c>
      <c r="AN450" s="333" t="str">
        <f t="shared" si="46"/>
        <v/>
      </c>
      <c r="AO450" s="334" t="str">
        <f t="shared" si="47"/>
        <v/>
      </c>
      <c r="AP450" s="44"/>
      <c r="AQ450" s="2"/>
    </row>
    <row r="451" spans="1:43" ht="24.95" customHeight="1" x14ac:dyDescent="0.25">
      <c r="A451" s="2">
        <v>411</v>
      </c>
      <c r="B451" s="349"/>
      <c r="C451" s="350"/>
      <c r="D451" s="351"/>
      <c r="E451" s="351"/>
      <c r="F451" s="336"/>
      <c r="G451" s="327"/>
      <c r="H451" s="327"/>
      <c r="I451" s="325">
        <f t="shared" si="48"/>
        <v>0</v>
      </c>
      <c r="J451" s="540" t="s">
        <v>281</v>
      </c>
      <c r="K451" s="540"/>
      <c r="L451" s="337">
        <f>IFERROR(IF(F451="Sem projeto",VLOOKUP(C451,$B$32:$H$34,7,FALSE)*1.5,G451*VLOOKUP(J451,Aux_Lista!$AG:$AH,2,FALSE)+H451)*E451,0)</f>
        <v>0</v>
      </c>
      <c r="M451" s="346" t="s">
        <v>90</v>
      </c>
      <c r="N451" s="347" t="s">
        <v>90</v>
      </c>
      <c r="O451" s="348" t="s">
        <v>90</v>
      </c>
      <c r="P451" s="386">
        <f t="shared" si="49"/>
        <v>0</v>
      </c>
      <c r="R451" s="94">
        <v>420</v>
      </c>
      <c r="S451" s="383"/>
      <c r="T451" s="214"/>
      <c r="U451" s="214"/>
      <c r="V451" s="217"/>
      <c r="W451" s="215"/>
      <c r="X451" s="336"/>
      <c r="Y451" s="68" t="str">
        <f>IF(V451="","",VLOOKUP(V451,Aux_Lista!A:K,11,FALSE))</f>
        <v/>
      </c>
      <c r="Z451" s="68" t="str">
        <f>IF(V451="","",VLOOKUP(V451,Aux_Lista!A:L,12,FALSE))</f>
        <v/>
      </c>
      <c r="AA451" s="68" t="str">
        <f>IF(W451="","",VLOOKUP(W451,Aux_Lista!AN:AP,3,FALSE))</f>
        <v/>
      </c>
      <c r="AB451" s="68" t="str">
        <f>IF(W451="","",VLOOKUP(W451,Aux_Lista!AN:AP,2,FALSE))</f>
        <v/>
      </c>
      <c r="AC451" s="69"/>
      <c r="AD451" s="69"/>
      <c r="AE451" s="325">
        <f t="shared" si="43"/>
        <v>0</v>
      </c>
      <c r="AF451" s="540" t="s">
        <v>281</v>
      </c>
      <c r="AG451" s="540"/>
      <c r="AH451" s="337">
        <f>IFERROR(IF(X451="Sem projeto",1.5*AA451,AC451*VLOOKUP(AF451,Aux_Lista!AG:AH,2,FALSE)+AD451)*U451,0)</f>
        <v>0</v>
      </c>
      <c r="AI451" s="343" t="s">
        <v>90</v>
      </c>
      <c r="AJ451" s="343" t="s">
        <v>90</v>
      </c>
      <c r="AK451" s="343" t="s">
        <v>90</v>
      </c>
      <c r="AL451" s="333" t="str">
        <f t="shared" si="44"/>
        <v/>
      </c>
      <c r="AM451" s="334" t="str">
        <f t="shared" si="45"/>
        <v/>
      </c>
      <c r="AN451" s="333" t="str">
        <f t="shared" si="46"/>
        <v/>
      </c>
      <c r="AO451" s="334" t="str">
        <f t="shared" si="47"/>
        <v/>
      </c>
      <c r="AP451" s="44"/>
      <c r="AQ451" s="2"/>
    </row>
    <row r="452" spans="1:43" ht="24.95" customHeight="1" x14ac:dyDescent="0.25">
      <c r="A452" s="2">
        <v>412</v>
      </c>
      <c r="B452" s="349"/>
      <c r="C452" s="350"/>
      <c r="D452" s="351"/>
      <c r="E452" s="351"/>
      <c r="F452" s="336"/>
      <c r="G452" s="327"/>
      <c r="H452" s="327"/>
      <c r="I452" s="325">
        <f t="shared" si="48"/>
        <v>0</v>
      </c>
      <c r="J452" s="540" t="s">
        <v>281</v>
      </c>
      <c r="K452" s="540"/>
      <c r="L452" s="337">
        <f>IFERROR(IF(F452="Sem projeto",VLOOKUP(C452,$B$32:$H$34,7,FALSE)*1.5,G452*VLOOKUP(J452,Aux_Lista!$AG:$AH,2,FALSE)+H452)*E452,0)</f>
        <v>0</v>
      </c>
      <c r="M452" s="346" t="s">
        <v>90</v>
      </c>
      <c r="N452" s="347" t="s">
        <v>90</v>
      </c>
      <c r="O452" s="348" t="s">
        <v>90</v>
      </c>
      <c r="P452" s="386">
        <f t="shared" si="49"/>
        <v>0</v>
      </c>
      <c r="R452" s="94">
        <v>421</v>
      </c>
      <c r="S452" s="383"/>
      <c r="T452" s="214"/>
      <c r="U452" s="214"/>
      <c r="V452" s="217"/>
      <c r="W452" s="215"/>
      <c r="X452" s="336"/>
      <c r="Y452" s="68" t="str">
        <f>IF(V452="","",VLOOKUP(V452,Aux_Lista!A:K,11,FALSE))</f>
        <v/>
      </c>
      <c r="Z452" s="68" t="str">
        <f>IF(V452="","",VLOOKUP(V452,Aux_Lista!A:L,12,FALSE))</f>
        <v/>
      </c>
      <c r="AA452" s="68" t="str">
        <f>IF(W452="","",VLOOKUP(W452,Aux_Lista!AN:AP,3,FALSE))</f>
        <v/>
      </c>
      <c r="AB452" s="68" t="str">
        <f>IF(W452="","",VLOOKUP(W452,Aux_Lista!AN:AP,2,FALSE))</f>
        <v/>
      </c>
      <c r="AC452" s="69"/>
      <c r="AD452" s="69"/>
      <c r="AE452" s="325">
        <f t="shared" si="43"/>
        <v>0</v>
      </c>
      <c r="AF452" s="540" t="s">
        <v>281</v>
      </c>
      <c r="AG452" s="540"/>
      <c r="AH452" s="337">
        <f>IFERROR(IF(X452="Sem projeto",1.5*AA452,AC452*VLOOKUP(AF452,Aux_Lista!AG:AH,2,FALSE)+AD452)*U452,0)</f>
        <v>0</v>
      </c>
      <c r="AI452" s="343" t="s">
        <v>90</v>
      </c>
      <c r="AJ452" s="343" t="s">
        <v>90</v>
      </c>
      <c r="AK452" s="343" t="s">
        <v>90</v>
      </c>
      <c r="AL452" s="333" t="str">
        <f t="shared" si="44"/>
        <v/>
      </c>
      <c r="AM452" s="334" t="str">
        <f t="shared" si="45"/>
        <v/>
      </c>
      <c r="AN452" s="333" t="str">
        <f t="shared" si="46"/>
        <v/>
      </c>
      <c r="AO452" s="334" t="str">
        <f t="shared" si="47"/>
        <v/>
      </c>
      <c r="AP452" s="44"/>
      <c r="AQ452" s="2"/>
    </row>
    <row r="453" spans="1:43" ht="24.95" customHeight="1" x14ac:dyDescent="0.25">
      <c r="A453" s="2">
        <v>413</v>
      </c>
      <c r="B453" s="349"/>
      <c r="C453" s="350"/>
      <c r="D453" s="351"/>
      <c r="E453" s="351"/>
      <c r="F453" s="336"/>
      <c r="G453" s="327"/>
      <c r="H453" s="327"/>
      <c r="I453" s="325">
        <f t="shared" si="48"/>
        <v>0</v>
      </c>
      <c r="J453" s="540" t="s">
        <v>281</v>
      </c>
      <c r="K453" s="540"/>
      <c r="L453" s="337">
        <f>IFERROR(IF(F453="Sem projeto",VLOOKUP(C453,$B$32:$H$34,7,FALSE)*1.5,G453*VLOOKUP(J453,Aux_Lista!$AG:$AH,2,FALSE)+H453)*E453,0)</f>
        <v>0</v>
      </c>
      <c r="M453" s="346" t="s">
        <v>90</v>
      </c>
      <c r="N453" s="347" t="s">
        <v>90</v>
      </c>
      <c r="O453" s="348" t="s">
        <v>90</v>
      </c>
      <c r="P453" s="386">
        <f t="shared" si="49"/>
        <v>0</v>
      </c>
      <c r="R453" s="94">
        <v>422</v>
      </c>
      <c r="S453" s="383"/>
      <c r="T453" s="214"/>
      <c r="U453" s="214"/>
      <c r="V453" s="217"/>
      <c r="W453" s="215"/>
      <c r="X453" s="336"/>
      <c r="Y453" s="68" t="str">
        <f>IF(V453="","",VLOOKUP(V453,Aux_Lista!A:K,11,FALSE))</f>
        <v/>
      </c>
      <c r="Z453" s="68" t="str">
        <f>IF(V453="","",VLOOKUP(V453,Aux_Lista!A:L,12,FALSE))</f>
        <v/>
      </c>
      <c r="AA453" s="68" t="str">
        <f>IF(W453="","",VLOOKUP(W453,Aux_Lista!AN:AP,3,FALSE))</f>
        <v/>
      </c>
      <c r="AB453" s="68" t="str">
        <f>IF(W453="","",VLOOKUP(W453,Aux_Lista!AN:AP,2,FALSE))</f>
        <v/>
      </c>
      <c r="AC453" s="69"/>
      <c r="AD453" s="69"/>
      <c r="AE453" s="325">
        <f t="shared" si="43"/>
        <v>0</v>
      </c>
      <c r="AF453" s="540" t="s">
        <v>281</v>
      </c>
      <c r="AG453" s="540"/>
      <c r="AH453" s="337">
        <f>IFERROR(IF(X453="Sem projeto",1.5*AA453,AC453*VLOOKUP(AF453,Aux_Lista!AG:AH,2,FALSE)+AD453)*U453,0)</f>
        <v>0</v>
      </c>
      <c r="AI453" s="343" t="s">
        <v>90</v>
      </c>
      <c r="AJ453" s="343" t="s">
        <v>90</v>
      </c>
      <c r="AK453" s="343" t="s">
        <v>90</v>
      </c>
      <c r="AL453" s="333" t="str">
        <f t="shared" si="44"/>
        <v/>
      </c>
      <c r="AM453" s="334" t="str">
        <f t="shared" si="45"/>
        <v/>
      </c>
      <c r="AN453" s="333" t="str">
        <f t="shared" si="46"/>
        <v/>
      </c>
      <c r="AO453" s="334" t="str">
        <f t="shared" si="47"/>
        <v/>
      </c>
      <c r="AP453" s="44"/>
      <c r="AQ453" s="2"/>
    </row>
    <row r="454" spans="1:43" ht="24.95" customHeight="1" x14ac:dyDescent="0.25">
      <c r="A454" s="2">
        <v>414</v>
      </c>
      <c r="B454" s="349"/>
      <c r="C454" s="350"/>
      <c r="D454" s="351"/>
      <c r="E454" s="351"/>
      <c r="F454" s="336"/>
      <c r="G454" s="327"/>
      <c r="H454" s="327"/>
      <c r="I454" s="325">
        <f t="shared" si="48"/>
        <v>0</v>
      </c>
      <c r="J454" s="540" t="s">
        <v>281</v>
      </c>
      <c r="K454" s="540"/>
      <c r="L454" s="337">
        <f>IFERROR(IF(F454="Sem projeto",VLOOKUP(C454,$B$32:$H$34,7,FALSE)*1.5,G454*VLOOKUP(J454,Aux_Lista!$AG:$AH,2,FALSE)+H454)*E454,0)</f>
        <v>0</v>
      </c>
      <c r="M454" s="346" t="s">
        <v>90</v>
      </c>
      <c r="N454" s="347" t="s">
        <v>90</v>
      </c>
      <c r="O454" s="348" t="s">
        <v>90</v>
      </c>
      <c r="P454" s="386">
        <f t="shared" si="49"/>
        <v>0</v>
      </c>
      <c r="R454" s="94">
        <v>423</v>
      </c>
      <c r="S454" s="383"/>
      <c r="T454" s="214"/>
      <c r="U454" s="214"/>
      <c r="V454" s="217"/>
      <c r="W454" s="215"/>
      <c r="X454" s="336"/>
      <c r="Y454" s="68" t="str">
        <f>IF(V454="","",VLOOKUP(V454,Aux_Lista!A:K,11,FALSE))</f>
        <v/>
      </c>
      <c r="Z454" s="68" t="str">
        <f>IF(V454="","",VLOOKUP(V454,Aux_Lista!A:L,12,FALSE))</f>
        <v/>
      </c>
      <c r="AA454" s="68" t="str">
        <f>IF(W454="","",VLOOKUP(W454,Aux_Lista!AN:AP,3,FALSE))</f>
        <v/>
      </c>
      <c r="AB454" s="68" t="str">
        <f>IF(W454="","",VLOOKUP(W454,Aux_Lista!AN:AP,2,FALSE))</f>
        <v/>
      </c>
      <c r="AC454" s="69"/>
      <c r="AD454" s="69"/>
      <c r="AE454" s="325">
        <f t="shared" si="43"/>
        <v>0</v>
      </c>
      <c r="AF454" s="540" t="s">
        <v>281</v>
      </c>
      <c r="AG454" s="540"/>
      <c r="AH454" s="337">
        <f>IFERROR(IF(X454="Sem projeto",1.5*AA454,AC454*VLOOKUP(AF454,Aux_Lista!AG:AH,2,FALSE)+AD454)*U454,0)</f>
        <v>0</v>
      </c>
      <c r="AI454" s="343" t="s">
        <v>90</v>
      </c>
      <c r="AJ454" s="343" t="s">
        <v>90</v>
      </c>
      <c r="AK454" s="343" t="s">
        <v>90</v>
      </c>
      <c r="AL454" s="333" t="str">
        <f t="shared" si="44"/>
        <v/>
      </c>
      <c r="AM454" s="334" t="str">
        <f t="shared" si="45"/>
        <v/>
      </c>
      <c r="AN454" s="333" t="str">
        <f t="shared" si="46"/>
        <v/>
      </c>
      <c r="AO454" s="334" t="str">
        <f t="shared" si="47"/>
        <v/>
      </c>
      <c r="AP454" s="44"/>
      <c r="AQ454" s="2"/>
    </row>
    <row r="455" spans="1:43" ht="24.95" customHeight="1" x14ac:dyDescent="0.25">
      <c r="A455" s="2">
        <v>415</v>
      </c>
      <c r="B455" s="349"/>
      <c r="C455" s="350"/>
      <c r="D455" s="351"/>
      <c r="E455" s="351"/>
      <c r="F455" s="336"/>
      <c r="G455" s="327"/>
      <c r="H455" s="327"/>
      <c r="I455" s="325">
        <f t="shared" si="48"/>
        <v>0</v>
      </c>
      <c r="J455" s="540" t="s">
        <v>281</v>
      </c>
      <c r="K455" s="540"/>
      <c r="L455" s="337">
        <f>IFERROR(IF(F455="Sem projeto",VLOOKUP(C455,$B$32:$H$34,7,FALSE)*1.5,G455*VLOOKUP(J455,Aux_Lista!$AG:$AH,2,FALSE)+H455)*E455,0)</f>
        <v>0</v>
      </c>
      <c r="M455" s="346" t="s">
        <v>90</v>
      </c>
      <c r="N455" s="347" t="s">
        <v>90</v>
      </c>
      <c r="O455" s="348" t="s">
        <v>90</v>
      </c>
      <c r="P455" s="386">
        <f t="shared" si="49"/>
        <v>0</v>
      </c>
      <c r="R455" s="94">
        <v>424</v>
      </c>
      <c r="S455" s="383"/>
      <c r="T455" s="214"/>
      <c r="U455" s="214"/>
      <c r="V455" s="217"/>
      <c r="W455" s="215"/>
      <c r="X455" s="336"/>
      <c r="Y455" s="68" t="str">
        <f>IF(V455="","",VLOOKUP(V455,Aux_Lista!A:K,11,FALSE))</f>
        <v/>
      </c>
      <c r="Z455" s="68" t="str">
        <f>IF(V455="","",VLOOKUP(V455,Aux_Lista!A:L,12,FALSE))</f>
        <v/>
      </c>
      <c r="AA455" s="68" t="str">
        <f>IF(W455="","",VLOOKUP(W455,Aux_Lista!AN:AP,3,FALSE))</f>
        <v/>
      </c>
      <c r="AB455" s="68" t="str">
        <f>IF(W455="","",VLOOKUP(W455,Aux_Lista!AN:AP,2,FALSE))</f>
        <v/>
      </c>
      <c r="AC455" s="69"/>
      <c r="AD455" s="69"/>
      <c r="AE455" s="325">
        <f t="shared" si="43"/>
        <v>0</v>
      </c>
      <c r="AF455" s="540" t="s">
        <v>281</v>
      </c>
      <c r="AG455" s="540"/>
      <c r="AH455" s="337">
        <f>IFERROR(IF(X455="Sem projeto",1.5*AA455,AC455*VLOOKUP(AF455,Aux_Lista!AG:AH,2,FALSE)+AD455)*U455,0)</f>
        <v>0</v>
      </c>
      <c r="AI455" s="343" t="s">
        <v>90</v>
      </c>
      <c r="AJ455" s="343" t="s">
        <v>90</v>
      </c>
      <c r="AK455" s="343" t="s">
        <v>90</v>
      </c>
      <c r="AL455" s="333" t="str">
        <f t="shared" si="44"/>
        <v/>
      </c>
      <c r="AM455" s="334" t="str">
        <f t="shared" si="45"/>
        <v/>
      </c>
      <c r="AN455" s="333" t="str">
        <f t="shared" si="46"/>
        <v/>
      </c>
      <c r="AO455" s="334" t="str">
        <f t="shared" si="47"/>
        <v/>
      </c>
      <c r="AP455" s="44"/>
      <c r="AQ455" s="2"/>
    </row>
    <row r="456" spans="1:43" ht="24.95" customHeight="1" x14ac:dyDescent="0.25">
      <c r="A456" s="2">
        <v>416</v>
      </c>
      <c r="B456" s="349"/>
      <c r="C456" s="350"/>
      <c r="D456" s="351"/>
      <c r="E456" s="351"/>
      <c r="F456" s="336"/>
      <c r="G456" s="327"/>
      <c r="H456" s="327"/>
      <c r="I456" s="325">
        <f t="shared" si="48"/>
        <v>0</v>
      </c>
      <c r="J456" s="540" t="s">
        <v>281</v>
      </c>
      <c r="K456" s="540"/>
      <c r="L456" s="337">
        <f>IFERROR(IF(F456="Sem projeto",VLOOKUP(C456,$B$32:$H$34,7,FALSE)*1.5,G456*VLOOKUP(J456,Aux_Lista!$AG:$AH,2,FALSE)+H456)*E456,0)</f>
        <v>0</v>
      </c>
      <c r="M456" s="346" t="s">
        <v>90</v>
      </c>
      <c r="N456" s="347" t="s">
        <v>90</v>
      </c>
      <c r="O456" s="348" t="s">
        <v>90</v>
      </c>
      <c r="P456" s="386">
        <f t="shared" si="49"/>
        <v>0</v>
      </c>
      <c r="R456" s="94">
        <v>425</v>
      </c>
      <c r="S456" s="383"/>
      <c r="T456" s="214"/>
      <c r="U456" s="214"/>
      <c r="V456" s="217"/>
      <c r="W456" s="215"/>
      <c r="X456" s="336"/>
      <c r="Y456" s="68" t="str">
        <f>IF(V456="","",VLOOKUP(V456,Aux_Lista!A:K,11,FALSE))</f>
        <v/>
      </c>
      <c r="Z456" s="68" t="str">
        <f>IF(V456="","",VLOOKUP(V456,Aux_Lista!A:L,12,FALSE))</f>
        <v/>
      </c>
      <c r="AA456" s="68" t="str">
        <f>IF(W456="","",VLOOKUP(W456,Aux_Lista!AN:AP,3,FALSE))</f>
        <v/>
      </c>
      <c r="AB456" s="68" t="str">
        <f>IF(W456="","",VLOOKUP(W456,Aux_Lista!AN:AP,2,FALSE))</f>
        <v/>
      </c>
      <c r="AC456" s="69"/>
      <c r="AD456" s="69"/>
      <c r="AE456" s="325">
        <f t="shared" si="43"/>
        <v>0</v>
      </c>
      <c r="AF456" s="540" t="s">
        <v>281</v>
      </c>
      <c r="AG456" s="540"/>
      <c r="AH456" s="337">
        <f>IFERROR(IF(X456="Sem projeto",1.5*AA456,AC456*VLOOKUP(AF456,Aux_Lista!AG:AH,2,FALSE)+AD456)*U456,0)</f>
        <v>0</v>
      </c>
      <c r="AI456" s="343" t="s">
        <v>90</v>
      </c>
      <c r="AJ456" s="343" t="s">
        <v>90</v>
      </c>
      <c r="AK456" s="343" t="s">
        <v>90</v>
      </c>
      <c r="AL456" s="333" t="str">
        <f t="shared" si="44"/>
        <v/>
      </c>
      <c r="AM456" s="334" t="str">
        <f t="shared" si="45"/>
        <v/>
      </c>
      <c r="AN456" s="333" t="str">
        <f t="shared" si="46"/>
        <v/>
      </c>
      <c r="AO456" s="334" t="str">
        <f t="shared" si="47"/>
        <v/>
      </c>
      <c r="AP456" s="44"/>
      <c r="AQ456" s="2"/>
    </row>
    <row r="457" spans="1:43" ht="24.95" customHeight="1" x14ac:dyDescent="0.25">
      <c r="A457" s="2">
        <v>417</v>
      </c>
      <c r="B457" s="349"/>
      <c r="C457" s="350"/>
      <c r="D457" s="351"/>
      <c r="E457" s="351"/>
      <c r="F457" s="336"/>
      <c r="G457" s="327"/>
      <c r="H457" s="327"/>
      <c r="I457" s="325">
        <f t="shared" si="48"/>
        <v>0</v>
      </c>
      <c r="J457" s="540" t="s">
        <v>281</v>
      </c>
      <c r="K457" s="540"/>
      <c r="L457" s="337">
        <f>IFERROR(IF(F457="Sem projeto",VLOOKUP(C457,$B$32:$H$34,7,FALSE)*1.5,G457*VLOOKUP(J457,Aux_Lista!$AG:$AH,2,FALSE)+H457)*E457,0)</f>
        <v>0</v>
      </c>
      <c r="M457" s="346" t="s">
        <v>90</v>
      </c>
      <c r="N457" s="347" t="s">
        <v>90</v>
      </c>
      <c r="O457" s="348" t="s">
        <v>90</v>
      </c>
      <c r="P457" s="386">
        <f t="shared" si="49"/>
        <v>0</v>
      </c>
      <c r="R457" s="94">
        <v>426</v>
      </c>
      <c r="S457" s="383"/>
      <c r="T457" s="214"/>
      <c r="U457" s="214"/>
      <c r="V457" s="217"/>
      <c r="W457" s="215"/>
      <c r="X457" s="336"/>
      <c r="Y457" s="68" t="str">
        <f>IF(V457="","",VLOOKUP(V457,Aux_Lista!A:K,11,FALSE))</f>
        <v/>
      </c>
      <c r="Z457" s="68" t="str">
        <f>IF(V457="","",VLOOKUP(V457,Aux_Lista!A:L,12,FALSE))</f>
        <v/>
      </c>
      <c r="AA457" s="68" t="str">
        <f>IF(W457="","",VLOOKUP(W457,Aux_Lista!AN:AP,3,FALSE))</f>
        <v/>
      </c>
      <c r="AB457" s="68" t="str">
        <f>IF(W457="","",VLOOKUP(W457,Aux_Lista!AN:AP,2,FALSE))</f>
        <v/>
      </c>
      <c r="AC457" s="69"/>
      <c r="AD457" s="69"/>
      <c r="AE457" s="325">
        <f t="shared" si="43"/>
        <v>0</v>
      </c>
      <c r="AF457" s="540" t="s">
        <v>281</v>
      </c>
      <c r="AG457" s="540"/>
      <c r="AH457" s="337">
        <f>IFERROR(IF(X457="Sem projeto",1.5*AA457,AC457*VLOOKUP(AF457,Aux_Lista!AG:AH,2,FALSE)+AD457)*U457,0)</f>
        <v>0</v>
      </c>
      <c r="AI457" s="343" t="s">
        <v>90</v>
      </c>
      <c r="AJ457" s="343" t="s">
        <v>90</v>
      </c>
      <c r="AK457" s="343" t="s">
        <v>90</v>
      </c>
      <c r="AL457" s="333" t="str">
        <f t="shared" si="44"/>
        <v/>
      </c>
      <c r="AM457" s="334" t="str">
        <f t="shared" si="45"/>
        <v/>
      </c>
      <c r="AN457" s="333" t="str">
        <f t="shared" si="46"/>
        <v/>
      </c>
      <c r="AO457" s="334" t="str">
        <f t="shared" si="47"/>
        <v/>
      </c>
      <c r="AP457" s="44"/>
      <c r="AQ457" s="2"/>
    </row>
    <row r="458" spans="1:43" ht="24.95" customHeight="1" x14ac:dyDescent="0.25">
      <c r="A458" s="2">
        <v>418</v>
      </c>
      <c r="B458" s="349"/>
      <c r="C458" s="350"/>
      <c r="D458" s="351"/>
      <c r="E458" s="351"/>
      <c r="F458" s="336"/>
      <c r="G458" s="327"/>
      <c r="H458" s="327"/>
      <c r="I458" s="325">
        <f t="shared" si="48"/>
        <v>0</v>
      </c>
      <c r="J458" s="540" t="s">
        <v>281</v>
      </c>
      <c r="K458" s="540"/>
      <c r="L458" s="337">
        <f>IFERROR(IF(F458="Sem projeto",VLOOKUP(C458,$B$32:$H$34,7,FALSE)*1.5,G458*VLOOKUP(J458,Aux_Lista!$AG:$AH,2,FALSE)+H458)*E458,0)</f>
        <v>0</v>
      </c>
      <c r="M458" s="346" t="s">
        <v>90</v>
      </c>
      <c r="N458" s="347" t="s">
        <v>90</v>
      </c>
      <c r="O458" s="348" t="s">
        <v>90</v>
      </c>
      <c r="P458" s="386">
        <f t="shared" si="49"/>
        <v>0</v>
      </c>
      <c r="R458" s="94">
        <v>427</v>
      </c>
      <c r="S458" s="383"/>
      <c r="T458" s="214"/>
      <c r="U458" s="214"/>
      <c r="V458" s="217"/>
      <c r="W458" s="215"/>
      <c r="X458" s="336"/>
      <c r="Y458" s="68" t="str">
        <f>IF(V458="","",VLOOKUP(V458,Aux_Lista!A:K,11,FALSE))</f>
        <v/>
      </c>
      <c r="Z458" s="68" t="str">
        <f>IF(V458="","",VLOOKUP(V458,Aux_Lista!A:L,12,FALSE))</f>
        <v/>
      </c>
      <c r="AA458" s="68" t="str">
        <f>IF(W458="","",VLOOKUP(W458,Aux_Lista!AN:AP,3,FALSE))</f>
        <v/>
      </c>
      <c r="AB458" s="68" t="str">
        <f>IF(W458="","",VLOOKUP(W458,Aux_Lista!AN:AP,2,FALSE))</f>
        <v/>
      </c>
      <c r="AC458" s="69"/>
      <c r="AD458" s="69"/>
      <c r="AE458" s="325">
        <f t="shared" si="43"/>
        <v>0</v>
      </c>
      <c r="AF458" s="540" t="s">
        <v>281</v>
      </c>
      <c r="AG458" s="540"/>
      <c r="AH458" s="337">
        <f>IFERROR(IF(X458="Sem projeto",1.5*AA458,AC458*VLOOKUP(AF458,Aux_Lista!AG:AH,2,FALSE)+AD458)*U458,0)</f>
        <v>0</v>
      </c>
      <c r="AI458" s="343" t="s">
        <v>90</v>
      </c>
      <c r="AJ458" s="343" t="s">
        <v>90</v>
      </c>
      <c r="AK458" s="343" t="s">
        <v>90</v>
      </c>
      <c r="AL458" s="333" t="str">
        <f t="shared" si="44"/>
        <v/>
      </c>
      <c r="AM458" s="334" t="str">
        <f t="shared" si="45"/>
        <v/>
      </c>
      <c r="AN458" s="333" t="str">
        <f t="shared" si="46"/>
        <v/>
      </c>
      <c r="AO458" s="334" t="str">
        <f t="shared" si="47"/>
        <v/>
      </c>
      <c r="AP458" s="44"/>
      <c r="AQ458" s="2"/>
    </row>
    <row r="459" spans="1:43" ht="24.95" customHeight="1" x14ac:dyDescent="0.25">
      <c r="A459" s="2">
        <v>419</v>
      </c>
      <c r="B459" s="349"/>
      <c r="C459" s="350"/>
      <c r="D459" s="351"/>
      <c r="E459" s="351"/>
      <c r="F459" s="336"/>
      <c r="G459" s="327"/>
      <c r="H459" s="327"/>
      <c r="I459" s="325">
        <f t="shared" si="48"/>
        <v>0</v>
      </c>
      <c r="J459" s="540" t="s">
        <v>281</v>
      </c>
      <c r="K459" s="540"/>
      <c r="L459" s="337">
        <f>IFERROR(IF(F459="Sem projeto",VLOOKUP(C459,$B$32:$H$34,7,FALSE)*1.5,G459*VLOOKUP(J459,Aux_Lista!$AG:$AH,2,FALSE)+H459)*E459,0)</f>
        <v>0</v>
      </c>
      <c r="M459" s="346" t="s">
        <v>90</v>
      </c>
      <c r="N459" s="347" t="s">
        <v>90</v>
      </c>
      <c r="O459" s="348" t="s">
        <v>90</v>
      </c>
      <c r="P459" s="386">
        <f t="shared" si="49"/>
        <v>0</v>
      </c>
      <c r="R459" s="94">
        <v>428</v>
      </c>
      <c r="S459" s="383"/>
      <c r="T459" s="214"/>
      <c r="U459" s="214"/>
      <c r="V459" s="217"/>
      <c r="W459" s="215"/>
      <c r="X459" s="336"/>
      <c r="Y459" s="68" t="str">
        <f>IF(V459="","",VLOOKUP(V459,Aux_Lista!A:K,11,FALSE))</f>
        <v/>
      </c>
      <c r="Z459" s="68" t="str">
        <f>IF(V459="","",VLOOKUP(V459,Aux_Lista!A:L,12,FALSE))</f>
        <v/>
      </c>
      <c r="AA459" s="68" t="str">
        <f>IF(W459="","",VLOOKUP(W459,Aux_Lista!AN:AP,3,FALSE))</f>
        <v/>
      </c>
      <c r="AB459" s="68" t="str">
        <f>IF(W459="","",VLOOKUP(W459,Aux_Lista!AN:AP,2,FALSE))</f>
        <v/>
      </c>
      <c r="AC459" s="69"/>
      <c r="AD459" s="69"/>
      <c r="AE459" s="325">
        <f t="shared" si="43"/>
        <v>0</v>
      </c>
      <c r="AF459" s="540" t="s">
        <v>281</v>
      </c>
      <c r="AG459" s="540"/>
      <c r="AH459" s="337">
        <f>IFERROR(IF(X459="Sem projeto",1.5*AA459,AC459*VLOOKUP(AF459,Aux_Lista!AG:AH,2,FALSE)+AD459)*U459,0)</f>
        <v>0</v>
      </c>
      <c r="AI459" s="343" t="s">
        <v>90</v>
      </c>
      <c r="AJ459" s="343" t="s">
        <v>90</v>
      </c>
      <c r="AK459" s="343" t="s">
        <v>90</v>
      </c>
      <c r="AL459" s="333" t="str">
        <f t="shared" si="44"/>
        <v/>
      </c>
      <c r="AM459" s="334" t="str">
        <f t="shared" si="45"/>
        <v/>
      </c>
      <c r="AN459" s="333" t="str">
        <f t="shared" si="46"/>
        <v/>
      </c>
      <c r="AO459" s="334" t="str">
        <f t="shared" si="47"/>
        <v/>
      </c>
      <c r="AP459" s="44"/>
      <c r="AQ459" s="2"/>
    </row>
    <row r="460" spans="1:43" ht="24.95" customHeight="1" x14ac:dyDescent="0.25">
      <c r="A460" s="2">
        <v>420</v>
      </c>
      <c r="B460" s="349"/>
      <c r="C460" s="350"/>
      <c r="D460" s="351"/>
      <c r="E460" s="351"/>
      <c r="F460" s="336"/>
      <c r="G460" s="327"/>
      <c r="H460" s="327"/>
      <c r="I460" s="325">
        <f t="shared" si="48"/>
        <v>0</v>
      </c>
      <c r="J460" s="540" t="s">
        <v>281</v>
      </c>
      <c r="K460" s="540"/>
      <c r="L460" s="337">
        <f>IFERROR(IF(F460="Sem projeto",VLOOKUP(C460,$B$32:$H$34,7,FALSE)*1.5,G460*VLOOKUP(J460,Aux_Lista!$AG:$AH,2,FALSE)+H460)*E460,0)</f>
        <v>0</v>
      </c>
      <c r="M460" s="346" t="s">
        <v>90</v>
      </c>
      <c r="N460" s="347" t="s">
        <v>90</v>
      </c>
      <c r="O460" s="348" t="s">
        <v>90</v>
      </c>
      <c r="P460" s="386">
        <f t="shared" si="49"/>
        <v>0</v>
      </c>
      <c r="R460" s="94">
        <v>429</v>
      </c>
      <c r="S460" s="383"/>
      <c r="T460" s="214"/>
      <c r="U460" s="214"/>
      <c r="V460" s="217"/>
      <c r="W460" s="215"/>
      <c r="X460" s="336"/>
      <c r="Y460" s="68" t="str">
        <f>IF(V460="","",VLOOKUP(V460,Aux_Lista!A:K,11,FALSE))</f>
        <v/>
      </c>
      <c r="Z460" s="68" t="str">
        <f>IF(V460="","",VLOOKUP(V460,Aux_Lista!A:L,12,FALSE))</f>
        <v/>
      </c>
      <c r="AA460" s="68" t="str">
        <f>IF(W460="","",VLOOKUP(W460,Aux_Lista!AN:AP,3,FALSE))</f>
        <v/>
      </c>
      <c r="AB460" s="68" t="str">
        <f>IF(W460="","",VLOOKUP(W460,Aux_Lista!AN:AP,2,FALSE))</f>
        <v/>
      </c>
      <c r="AC460" s="69"/>
      <c r="AD460" s="69"/>
      <c r="AE460" s="325">
        <f t="shared" si="43"/>
        <v>0</v>
      </c>
      <c r="AF460" s="540" t="s">
        <v>281</v>
      </c>
      <c r="AG460" s="540"/>
      <c r="AH460" s="337">
        <f>IFERROR(IF(X460="Sem projeto",1.5*AA460,AC460*VLOOKUP(AF460,Aux_Lista!AG:AH,2,FALSE)+AD460)*U460,0)</f>
        <v>0</v>
      </c>
      <c r="AI460" s="343" t="s">
        <v>90</v>
      </c>
      <c r="AJ460" s="343" t="s">
        <v>90</v>
      </c>
      <c r="AK460" s="343" t="s">
        <v>90</v>
      </c>
      <c r="AL460" s="333" t="str">
        <f t="shared" si="44"/>
        <v/>
      </c>
      <c r="AM460" s="334" t="str">
        <f t="shared" si="45"/>
        <v/>
      </c>
      <c r="AN460" s="333" t="str">
        <f t="shared" si="46"/>
        <v/>
      </c>
      <c r="AO460" s="334" t="str">
        <f t="shared" si="47"/>
        <v/>
      </c>
      <c r="AP460" s="44"/>
      <c r="AQ460" s="2"/>
    </row>
    <row r="461" spans="1:43" ht="24.95" customHeight="1" x14ac:dyDescent="0.25">
      <c r="A461" s="2">
        <v>421</v>
      </c>
      <c r="B461" s="349"/>
      <c r="C461" s="350"/>
      <c r="D461" s="351"/>
      <c r="E461" s="351"/>
      <c r="F461" s="336"/>
      <c r="G461" s="327"/>
      <c r="H461" s="327"/>
      <c r="I461" s="325">
        <f t="shared" si="48"/>
        <v>0</v>
      </c>
      <c r="J461" s="540" t="s">
        <v>281</v>
      </c>
      <c r="K461" s="540"/>
      <c r="L461" s="337">
        <f>IFERROR(IF(F461="Sem projeto",VLOOKUP(C461,$B$32:$H$34,7,FALSE)*1.5,G461*VLOOKUP(J461,Aux_Lista!$AG:$AH,2,FALSE)+H461)*E461,0)</f>
        <v>0</v>
      </c>
      <c r="M461" s="346" t="s">
        <v>90</v>
      </c>
      <c r="N461" s="347" t="s">
        <v>90</v>
      </c>
      <c r="O461" s="348" t="s">
        <v>90</v>
      </c>
      <c r="P461" s="386">
        <f t="shared" si="49"/>
        <v>0</v>
      </c>
      <c r="R461" s="94">
        <v>430</v>
      </c>
      <c r="S461" s="383"/>
      <c r="T461" s="214"/>
      <c r="U461" s="214"/>
      <c r="V461" s="217"/>
      <c r="W461" s="215"/>
      <c r="X461" s="336"/>
      <c r="Y461" s="68" t="str">
        <f>IF(V461="","",VLOOKUP(V461,Aux_Lista!A:K,11,FALSE))</f>
        <v/>
      </c>
      <c r="Z461" s="68" t="str">
        <f>IF(V461="","",VLOOKUP(V461,Aux_Lista!A:L,12,FALSE))</f>
        <v/>
      </c>
      <c r="AA461" s="68" t="str">
        <f>IF(W461="","",VLOOKUP(W461,Aux_Lista!AN:AP,3,FALSE))</f>
        <v/>
      </c>
      <c r="AB461" s="68" t="str">
        <f>IF(W461="","",VLOOKUP(W461,Aux_Lista!AN:AP,2,FALSE))</f>
        <v/>
      </c>
      <c r="AC461" s="69"/>
      <c r="AD461" s="69"/>
      <c r="AE461" s="325">
        <f t="shared" si="43"/>
        <v>0</v>
      </c>
      <c r="AF461" s="540" t="s">
        <v>281</v>
      </c>
      <c r="AG461" s="540"/>
      <c r="AH461" s="337">
        <f>IFERROR(IF(X461="Sem projeto",1.5*AA461,AC461*VLOOKUP(AF461,Aux_Lista!AG:AH,2,FALSE)+AD461)*U461,0)</f>
        <v>0</v>
      </c>
      <c r="AI461" s="343" t="s">
        <v>90</v>
      </c>
      <c r="AJ461" s="343" t="s">
        <v>90</v>
      </c>
      <c r="AK461" s="343" t="s">
        <v>90</v>
      </c>
      <c r="AL461" s="333" t="str">
        <f t="shared" si="44"/>
        <v/>
      </c>
      <c r="AM461" s="334" t="str">
        <f t="shared" si="45"/>
        <v/>
      </c>
      <c r="AN461" s="333" t="str">
        <f t="shared" si="46"/>
        <v/>
      </c>
      <c r="AO461" s="334" t="str">
        <f t="shared" si="47"/>
        <v/>
      </c>
      <c r="AP461" s="44"/>
      <c r="AQ461" s="2"/>
    </row>
    <row r="462" spans="1:43" ht="24.95" customHeight="1" x14ac:dyDescent="0.25">
      <c r="A462" s="2">
        <v>422</v>
      </c>
      <c r="B462" s="349"/>
      <c r="C462" s="350"/>
      <c r="D462" s="351"/>
      <c r="E462" s="351"/>
      <c r="F462" s="336"/>
      <c r="G462" s="327"/>
      <c r="H462" s="327"/>
      <c r="I462" s="325">
        <f t="shared" si="48"/>
        <v>0</v>
      </c>
      <c r="J462" s="540" t="s">
        <v>281</v>
      </c>
      <c r="K462" s="540"/>
      <c r="L462" s="337">
        <f>IFERROR(IF(F462="Sem projeto",VLOOKUP(C462,$B$32:$H$34,7,FALSE)*1.5,G462*VLOOKUP(J462,Aux_Lista!$AG:$AH,2,FALSE)+H462)*E462,0)</f>
        <v>0</v>
      </c>
      <c r="M462" s="346" t="s">
        <v>90</v>
      </c>
      <c r="N462" s="347" t="s">
        <v>90</v>
      </c>
      <c r="O462" s="348" t="s">
        <v>90</v>
      </c>
      <c r="P462" s="386">
        <f t="shared" si="49"/>
        <v>0</v>
      </c>
      <c r="R462" s="94">
        <v>431</v>
      </c>
      <c r="S462" s="383"/>
      <c r="T462" s="214"/>
      <c r="U462" s="214"/>
      <c r="V462" s="217"/>
      <c r="W462" s="215"/>
      <c r="X462" s="336"/>
      <c r="Y462" s="68" t="str">
        <f>IF(V462="","",VLOOKUP(V462,Aux_Lista!A:K,11,FALSE))</f>
        <v/>
      </c>
      <c r="Z462" s="68" t="str">
        <f>IF(V462="","",VLOOKUP(V462,Aux_Lista!A:L,12,FALSE))</f>
        <v/>
      </c>
      <c r="AA462" s="68" t="str">
        <f>IF(W462="","",VLOOKUP(W462,Aux_Lista!AN:AP,3,FALSE))</f>
        <v/>
      </c>
      <c r="AB462" s="68" t="str">
        <f>IF(W462="","",VLOOKUP(W462,Aux_Lista!AN:AP,2,FALSE))</f>
        <v/>
      </c>
      <c r="AC462" s="69"/>
      <c r="AD462" s="69"/>
      <c r="AE462" s="325">
        <f t="shared" si="43"/>
        <v>0</v>
      </c>
      <c r="AF462" s="540" t="s">
        <v>281</v>
      </c>
      <c r="AG462" s="540"/>
      <c r="AH462" s="337">
        <f>IFERROR(IF(X462="Sem projeto",1.5*AA462,AC462*VLOOKUP(AF462,Aux_Lista!AG:AH,2,FALSE)+AD462)*U462,0)</f>
        <v>0</v>
      </c>
      <c r="AI462" s="343" t="s">
        <v>90</v>
      </c>
      <c r="AJ462" s="343" t="s">
        <v>90</v>
      </c>
      <c r="AK462" s="343" t="s">
        <v>90</v>
      </c>
      <c r="AL462" s="333" t="str">
        <f t="shared" si="44"/>
        <v/>
      </c>
      <c r="AM462" s="334" t="str">
        <f t="shared" si="45"/>
        <v/>
      </c>
      <c r="AN462" s="333" t="str">
        <f t="shared" si="46"/>
        <v/>
      </c>
      <c r="AO462" s="334" t="str">
        <f t="shared" si="47"/>
        <v/>
      </c>
      <c r="AP462" s="44"/>
      <c r="AQ462" s="2"/>
    </row>
    <row r="463" spans="1:43" ht="24.95" customHeight="1" x14ac:dyDescent="0.25">
      <c r="A463" s="2">
        <v>423</v>
      </c>
      <c r="B463" s="349"/>
      <c r="C463" s="350"/>
      <c r="D463" s="351"/>
      <c r="E463" s="351"/>
      <c r="F463" s="336"/>
      <c r="G463" s="327"/>
      <c r="H463" s="327"/>
      <c r="I463" s="325">
        <f t="shared" si="48"/>
        <v>0</v>
      </c>
      <c r="J463" s="540" t="s">
        <v>281</v>
      </c>
      <c r="K463" s="540"/>
      <c r="L463" s="337">
        <f>IFERROR(IF(F463="Sem projeto",VLOOKUP(C463,$B$32:$H$34,7,FALSE)*1.5,G463*VLOOKUP(J463,Aux_Lista!$AG:$AH,2,FALSE)+H463)*E463,0)</f>
        <v>0</v>
      </c>
      <c r="M463" s="346" t="s">
        <v>90</v>
      </c>
      <c r="N463" s="347" t="s">
        <v>90</v>
      </c>
      <c r="O463" s="348" t="s">
        <v>90</v>
      </c>
      <c r="P463" s="386">
        <f t="shared" si="49"/>
        <v>0</v>
      </c>
      <c r="R463" s="94">
        <v>432</v>
      </c>
      <c r="S463" s="383"/>
      <c r="T463" s="214"/>
      <c r="U463" s="214"/>
      <c r="V463" s="217"/>
      <c r="W463" s="215"/>
      <c r="X463" s="336"/>
      <c r="Y463" s="68" t="str">
        <f>IF(V463="","",VLOOKUP(V463,Aux_Lista!A:K,11,FALSE))</f>
        <v/>
      </c>
      <c r="Z463" s="68" t="str">
        <f>IF(V463="","",VLOOKUP(V463,Aux_Lista!A:L,12,FALSE))</f>
        <v/>
      </c>
      <c r="AA463" s="68" t="str">
        <f>IF(W463="","",VLOOKUP(W463,Aux_Lista!AN:AP,3,FALSE))</f>
        <v/>
      </c>
      <c r="AB463" s="68" t="str">
        <f>IF(W463="","",VLOOKUP(W463,Aux_Lista!AN:AP,2,FALSE))</f>
        <v/>
      </c>
      <c r="AC463" s="69"/>
      <c r="AD463" s="69"/>
      <c r="AE463" s="325">
        <f t="shared" si="43"/>
        <v>0</v>
      </c>
      <c r="AF463" s="540" t="s">
        <v>281</v>
      </c>
      <c r="AG463" s="540"/>
      <c r="AH463" s="337">
        <f>IFERROR(IF(X463="Sem projeto",1.5*AA463,AC463*VLOOKUP(AF463,Aux_Lista!AG:AH,2,FALSE)+AD463)*U463,0)</f>
        <v>0</v>
      </c>
      <c r="AI463" s="343" t="s">
        <v>90</v>
      </c>
      <c r="AJ463" s="343" t="s">
        <v>90</v>
      </c>
      <c r="AK463" s="343" t="s">
        <v>90</v>
      </c>
      <c r="AL463" s="333" t="str">
        <f t="shared" si="44"/>
        <v/>
      </c>
      <c r="AM463" s="334" t="str">
        <f t="shared" si="45"/>
        <v/>
      </c>
      <c r="AN463" s="333" t="str">
        <f t="shared" si="46"/>
        <v/>
      </c>
      <c r="AO463" s="334" t="str">
        <f t="shared" si="47"/>
        <v/>
      </c>
      <c r="AP463" s="44"/>
      <c r="AQ463" s="2"/>
    </row>
    <row r="464" spans="1:43" ht="24.95" customHeight="1" x14ac:dyDescent="0.25">
      <c r="A464" s="2">
        <v>424</v>
      </c>
      <c r="B464" s="349"/>
      <c r="C464" s="350"/>
      <c r="D464" s="351"/>
      <c r="E464" s="351"/>
      <c r="F464" s="336"/>
      <c r="G464" s="327"/>
      <c r="H464" s="327"/>
      <c r="I464" s="325">
        <f t="shared" si="48"/>
        <v>0</v>
      </c>
      <c r="J464" s="540" t="s">
        <v>281</v>
      </c>
      <c r="K464" s="540"/>
      <c r="L464" s="337">
        <f>IFERROR(IF(F464="Sem projeto",VLOOKUP(C464,$B$32:$H$34,7,FALSE)*1.5,G464*VLOOKUP(J464,Aux_Lista!$AG:$AH,2,FALSE)+H464)*E464,0)</f>
        <v>0</v>
      </c>
      <c r="M464" s="346" t="s">
        <v>90</v>
      </c>
      <c r="N464" s="347" t="s">
        <v>90</v>
      </c>
      <c r="O464" s="348" t="s">
        <v>90</v>
      </c>
      <c r="P464" s="386">
        <f t="shared" si="49"/>
        <v>0</v>
      </c>
      <c r="R464" s="94">
        <v>433</v>
      </c>
      <c r="S464" s="383"/>
      <c r="T464" s="214"/>
      <c r="U464" s="214"/>
      <c r="V464" s="217"/>
      <c r="W464" s="215"/>
      <c r="X464" s="336"/>
      <c r="Y464" s="68" t="str">
        <f>IF(V464="","",VLOOKUP(V464,Aux_Lista!A:K,11,FALSE))</f>
        <v/>
      </c>
      <c r="Z464" s="68" t="str">
        <f>IF(V464="","",VLOOKUP(V464,Aux_Lista!A:L,12,FALSE))</f>
        <v/>
      </c>
      <c r="AA464" s="68" t="str">
        <f>IF(W464="","",VLOOKUP(W464,Aux_Lista!AN:AP,3,FALSE))</f>
        <v/>
      </c>
      <c r="AB464" s="68" t="str">
        <f>IF(W464="","",VLOOKUP(W464,Aux_Lista!AN:AP,2,FALSE))</f>
        <v/>
      </c>
      <c r="AC464" s="69"/>
      <c r="AD464" s="69"/>
      <c r="AE464" s="325">
        <f t="shared" si="43"/>
        <v>0</v>
      </c>
      <c r="AF464" s="540" t="s">
        <v>281</v>
      </c>
      <c r="AG464" s="540"/>
      <c r="AH464" s="337">
        <f>IFERROR(IF(X464="Sem projeto",1.5*AA464,AC464*VLOOKUP(AF464,Aux_Lista!AG:AH,2,FALSE)+AD464)*U464,0)</f>
        <v>0</v>
      </c>
      <c r="AI464" s="343" t="s">
        <v>90</v>
      </c>
      <c r="AJ464" s="343" t="s">
        <v>90</v>
      </c>
      <c r="AK464" s="343" t="s">
        <v>90</v>
      </c>
      <c r="AL464" s="333" t="str">
        <f t="shared" si="44"/>
        <v/>
      </c>
      <c r="AM464" s="334" t="str">
        <f t="shared" si="45"/>
        <v/>
      </c>
      <c r="AN464" s="333" t="str">
        <f t="shared" si="46"/>
        <v/>
      </c>
      <c r="AO464" s="334" t="str">
        <f t="shared" si="47"/>
        <v/>
      </c>
      <c r="AP464" s="44"/>
      <c r="AQ464" s="2"/>
    </row>
    <row r="465" spans="1:43" ht="24.95" customHeight="1" x14ac:dyDescent="0.25">
      <c r="A465" s="2">
        <v>425</v>
      </c>
      <c r="B465" s="349"/>
      <c r="C465" s="350"/>
      <c r="D465" s="351"/>
      <c r="E465" s="351"/>
      <c r="F465" s="336"/>
      <c r="G465" s="327"/>
      <c r="H465" s="327"/>
      <c r="I465" s="325">
        <f t="shared" si="48"/>
        <v>0</v>
      </c>
      <c r="J465" s="540" t="s">
        <v>281</v>
      </c>
      <c r="K465" s="540"/>
      <c r="L465" s="337">
        <f>IFERROR(IF(F465="Sem projeto",VLOOKUP(C465,$B$32:$H$34,7,FALSE)*1.5,G465*VLOOKUP(J465,Aux_Lista!$AG:$AH,2,FALSE)+H465)*E465,0)</f>
        <v>0</v>
      </c>
      <c r="M465" s="346" t="s">
        <v>90</v>
      </c>
      <c r="N465" s="347" t="s">
        <v>90</v>
      </c>
      <c r="O465" s="348" t="s">
        <v>90</v>
      </c>
      <c r="P465" s="386">
        <f t="shared" si="49"/>
        <v>0</v>
      </c>
      <c r="R465" s="94">
        <v>434</v>
      </c>
      <c r="S465" s="383"/>
      <c r="T465" s="214"/>
      <c r="U465" s="214"/>
      <c r="V465" s="217"/>
      <c r="W465" s="215"/>
      <c r="X465" s="336"/>
      <c r="Y465" s="68" t="str">
        <f>IF(V465="","",VLOOKUP(V465,Aux_Lista!A:K,11,FALSE))</f>
        <v/>
      </c>
      <c r="Z465" s="68" t="str">
        <f>IF(V465="","",VLOOKUP(V465,Aux_Lista!A:L,12,FALSE))</f>
        <v/>
      </c>
      <c r="AA465" s="68" t="str">
        <f>IF(W465="","",VLOOKUP(W465,Aux_Lista!AN:AP,3,FALSE))</f>
        <v/>
      </c>
      <c r="AB465" s="68" t="str">
        <f>IF(W465="","",VLOOKUP(W465,Aux_Lista!AN:AP,2,FALSE))</f>
        <v/>
      </c>
      <c r="AC465" s="69"/>
      <c r="AD465" s="69"/>
      <c r="AE465" s="325">
        <f t="shared" si="43"/>
        <v>0</v>
      </c>
      <c r="AF465" s="540" t="s">
        <v>281</v>
      </c>
      <c r="AG465" s="540"/>
      <c r="AH465" s="337">
        <f>IFERROR(IF(X465="Sem projeto",1.5*AA465,AC465*VLOOKUP(AF465,Aux_Lista!AG:AH,2,FALSE)+AD465)*U465,0)</f>
        <v>0</v>
      </c>
      <c r="AI465" s="343" t="s">
        <v>90</v>
      </c>
      <c r="AJ465" s="343" t="s">
        <v>90</v>
      </c>
      <c r="AK465" s="343" t="s">
        <v>90</v>
      </c>
      <c r="AL465" s="333" t="str">
        <f t="shared" si="44"/>
        <v/>
      </c>
      <c r="AM465" s="334" t="str">
        <f t="shared" si="45"/>
        <v/>
      </c>
      <c r="AN465" s="333" t="str">
        <f t="shared" si="46"/>
        <v/>
      </c>
      <c r="AO465" s="334" t="str">
        <f t="shared" si="47"/>
        <v/>
      </c>
      <c r="AP465" s="44"/>
      <c r="AQ465" s="2"/>
    </row>
    <row r="466" spans="1:43" ht="24.95" customHeight="1" x14ac:dyDescent="0.25">
      <c r="A466" s="2">
        <v>426</v>
      </c>
      <c r="B466" s="349"/>
      <c r="C466" s="350"/>
      <c r="D466" s="351"/>
      <c r="E466" s="351"/>
      <c r="F466" s="336"/>
      <c r="G466" s="327"/>
      <c r="H466" s="327"/>
      <c r="I466" s="325">
        <f t="shared" si="48"/>
        <v>0</v>
      </c>
      <c r="J466" s="540" t="s">
        <v>281</v>
      </c>
      <c r="K466" s="540"/>
      <c r="L466" s="337">
        <f>IFERROR(IF(F466="Sem projeto",VLOOKUP(C466,$B$32:$H$34,7,FALSE)*1.5,G466*VLOOKUP(J466,Aux_Lista!$AG:$AH,2,FALSE)+H466)*E466,0)</f>
        <v>0</v>
      </c>
      <c r="M466" s="346" t="s">
        <v>90</v>
      </c>
      <c r="N466" s="347" t="s">
        <v>90</v>
      </c>
      <c r="O466" s="348" t="s">
        <v>90</v>
      </c>
      <c r="P466" s="386">
        <f t="shared" si="49"/>
        <v>0</v>
      </c>
      <c r="R466" s="94">
        <v>435</v>
      </c>
      <c r="S466" s="383"/>
      <c r="T466" s="214"/>
      <c r="U466" s="214"/>
      <c r="V466" s="217"/>
      <c r="W466" s="215"/>
      <c r="X466" s="336"/>
      <c r="Y466" s="68" t="str">
        <f>IF(V466="","",VLOOKUP(V466,Aux_Lista!A:K,11,FALSE))</f>
        <v/>
      </c>
      <c r="Z466" s="68" t="str">
        <f>IF(V466="","",VLOOKUP(V466,Aux_Lista!A:L,12,FALSE))</f>
        <v/>
      </c>
      <c r="AA466" s="68" t="str">
        <f>IF(W466="","",VLOOKUP(W466,Aux_Lista!AN:AP,3,FALSE))</f>
        <v/>
      </c>
      <c r="AB466" s="68" t="str">
        <f>IF(W466="","",VLOOKUP(W466,Aux_Lista!AN:AP,2,FALSE))</f>
        <v/>
      </c>
      <c r="AC466" s="69"/>
      <c r="AD466" s="69"/>
      <c r="AE466" s="325">
        <f t="shared" si="43"/>
        <v>0</v>
      </c>
      <c r="AF466" s="540" t="s">
        <v>281</v>
      </c>
      <c r="AG466" s="540"/>
      <c r="AH466" s="337">
        <f>IFERROR(IF(X466="Sem projeto",1.5*AA466,AC466*VLOOKUP(AF466,Aux_Lista!AG:AH,2,FALSE)+AD466)*U466,0)</f>
        <v>0</v>
      </c>
      <c r="AI466" s="343" t="s">
        <v>90</v>
      </c>
      <c r="AJ466" s="343" t="s">
        <v>90</v>
      </c>
      <c r="AK466" s="343" t="s">
        <v>90</v>
      </c>
      <c r="AL466" s="333" t="str">
        <f t="shared" si="44"/>
        <v/>
      </c>
      <c r="AM466" s="334" t="str">
        <f t="shared" si="45"/>
        <v/>
      </c>
      <c r="AN466" s="333" t="str">
        <f t="shared" si="46"/>
        <v/>
      </c>
      <c r="AO466" s="334" t="str">
        <f t="shared" si="47"/>
        <v/>
      </c>
      <c r="AP466" s="44"/>
      <c r="AQ466" s="2"/>
    </row>
    <row r="467" spans="1:43" ht="24.95" customHeight="1" x14ac:dyDescent="0.25">
      <c r="A467" s="2">
        <v>427</v>
      </c>
      <c r="B467" s="349"/>
      <c r="C467" s="350"/>
      <c r="D467" s="351"/>
      <c r="E467" s="351"/>
      <c r="F467" s="336"/>
      <c r="G467" s="327"/>
      <c r="H467" s="327"/>
      <c r="I467" s="325">
        <f t="shared" si="48"/>
        <v>0</v>
      </c>
      <c r="J467" s="540" t="s">
        <v>281</v>
      </c>
      <c r="K467" s="540"/>
      <c r="L467" s="337">
        <f>IFERROR(IF(F467="Sem projeto",VLOOKUP(C467,$B$32:$H$34,7,FALSE)*1.5,G467*VLOOKUP(J467,Aux_Lista!$AG:$AH,2,FALSE)+H467)*E467,0)</f>
        <v>0</v>
      </c>
      <c r="M467" s="346" t="s">
        <v>90</v>
      </c>
      <c r="N467" s="347" t="s">
        <v>90</v>
      </c>
      <c r="O467" s="348" t="s">
        <v>90</v>
      </c>
      <c r="P467" s="386">
        <f t="shared" si="49"/>
        <v>0</v>
      </c>
      <c r="R467" s="94">
        <v>436</v>
      </c>
      <c r="S467" s="383"/>
      <c r="T467" s="214"/>
      <c r="U467" s="214"/>
      <c r="V467" s="217"/>
      <c r="W467" s="215"/>
      <c r="X467" s="336"/>
      <c r="Y467" s="68" t="str">
        <f>IF(V467="","",VLOOKUP(V467,Aux_Lista!A:K,11,FALSE))</f>
        <v/>
      </c>
      <c r="Z467" s="68" t="str">
        <f>IF(V467="","",VLOOKUP(V467,Aux_Lista!A:L,12,FALSE))</f>
        <v/>
      </c>
      <c r="AA467" s="68" t="str">
        <f>IF(W467="","",VLOOKUP(W467,Aux_Lista!AN:AP,3,FALSE))</f>
        <v/>
      </c>
      <c r="AB467" s="68" t="str">
        <f>IF(W467="","",VLOOKUP(W467,Aux_Lista!AN:AP,2,FALSE))</f>
        <v/>
      </c>
      <c r="AC467" s="69"/>
      <c r="AD467" s="69"/>
      <c r="AE467" s="325">
        <f t="shared" si="43"/>
        <v>0</v>
      </c>
      <c r="AF467" s="540" t="s">
        <v>281</v>
      </c>
      <c r="AG467" s="540"/>
      <c r="AH467" s="337">
        <f>IFERROR(IF(X467="Sem projeto",1.5*AA467,AC467*VLOOKUP(AF467,Aux_Lista!AG:AH,2,FALSE)+AD467)*U467,0)</f>
        <v>0</v>
      </c>
      <c r="AI467" s="343" t="s">
        <v>90</v>
      </c>
      <c r="AJ467" s="343" t="s">
        <v>90</v>
      </c>
      <c r="AK467" s="343" t="s">
        <v>90</v>
      </c>
      <c r="AL467" s="333" t="str">
        <f t="shared" si="44"/>
        <v/>
      </c>
      <c r="AM467" s="334" t="str">
        <f t="shared" si="45"/>
        <v/>
      </c>
      <c r="AN467" s="333" t="str">
        <f t="shared" si="46"/>
        <v/>
      </c>
      <c r="AO467" s="334" t="str">
        <f t="shared" si="47"/>
        <v/>
      </c>
      <c r="AP467" s="44"/>
      <c r="AQ467" s="2"/>
    </row>
    <row r="468" spans="1:43" ht="24.95" customHeight="1" x14ac:dyDescent="0.25">
      <c r="A468" s="2">
        <v>428</v>
      </c>
      <c r="B468" s="349"/>
      <c r="C468" s="350"/>
      <c r="D468" s="351"/>
      <c r="E468" s="351"/>
      <c r="F468" s="336"/>
      <c r="G468" s="327"/>
      <c r="H468" s="327"/>
      <c r="I468" s="325">
        <f t="shared" si="48"/>
        <v>0</v>
      </c>
      <c r="J468" s="540" t="s">
        <v>281</v>
      </c>
      <c r="K468" s="540"/>
      <c r="L468" s="337">
        <f>IFERROR(IF(F468="Sem projeto",VLOOKUP(C468,$B$32:$H$34,7,FALSE)*1.5,G468*VLOOKUP(J468,Aux_Lista!$AG:$AH,2,FALSE)+H468)*E468,0)</f>
        <v>0</v>
      </c>
      <c r="M468" s="346" t="s">
        <v>90</v>
      </c>
      <c r="N468" s="347" t="s">
        <v>90</v>
      </c>
      <c r="O468" s="348" t="s">
        <v>90</v>
      </c>
      <c r="P468" s="386">
        <f t="shared" si="49"/>
        <v>0</v>
      </c>
      <c r="R468" s="94">
        <v>437</v>
      </c>
      <c r="S468" s="383"/>
      <c r="T468" s="214"/>
      <c r="U468" s="214"/>
      <c r="V468" s="217"/>
      <c r="W468" s="215"/>
      <c r="X468" s="336"/>
      <c r="Y468" s="68" t="str">
        <f>IF(V468="","",VLOOKUP(V468,Aux_Lista!A:K,11,FALSE))</f>
        <v/>
      </c>
      <c r="Z468" s="68" t="str">
        <f>IF(V468="","",VLOOKUP(V468,Aux_Lista!A:L,12,FALSE))</f>
        <v/>
      </c>
      <c r="AA468" s="68" t="str">
        <f>IF(W468="","",VLOOKUP(W468,Aux_Lista!AN:AP,3,FALSE))</f>
        <v/>
      </c>
      <c r="AB468" s="68" t="str">
        <f>IF(W468="","",VLOOKUP(W468,Aux_Lista!AN:AP,2,FALSE))</f>
        <v/>
      </c>
      <c r="AC468" s="69"/>
      <c r="AD468" s="69"/>
      <c r="AE468" s="325">
        <f t="shared" si="43"/>
        <v>0</v>
      </c>
      <c r="AF468" s="540" t="s">
        <v>281</v>
      </c>
      <c r="AG468" s="540"/>
      <c r="AH468" s="337">
        <f>IFERROR(IF(X468="Sem projeto",1.5*AA468,AC468*VLOOKUP(AF468,Aux_Lista!AG:AH,2,FALSE)+AD468)*U468,0)</f>
        <v>0</v>
      </c>
      <c r="AI468" s="343" t="s">
        <v>90</v>
      </c>
      <c r="AJ468" s="343" t="s">
        <v>90</v>
      </c>
      <c r="AK468" s="343" t="s">
        <v>90</v>
      </c>
      <c r="AL468" s="333" t="str">
        <f t="shared" si="44"/>
        <v/>
      </c>
      <c r="AM468" s="334" t="str">
        <f t="shared" si="45"/>
        <v/>
      </c>
      <c r="AN468" s="333" t="str">
        <f t="shared" si="46"/>
        <v/>
      </c>
      <c r="AO468" s="334" t="str">
        <f t="shared" si="47"/>
        <v/>
      </c>
      <c r="AP468" s="44"/>
      <c r="AQ468" s="2"/>
    </row>
    <row r="469" spans="1:43" ht="24.95" customHeight="1" x14ac:dyDescent="0.25">
      <c r="A469" s="2">
        <v>429</v>
      </c>
      <c r="B469" s="349"/>
      <c r="C469" s="350"/>
      <c r="D469" s="351"/>
      <c r="E469" s="351"/>
      <c r="F469" s="336"/>
      <c r="G469" s="327"/>
      <c r="H469" s="327"/>
      <c r="I469" s="325">
        <f t="shared" si="48"/>
        <v>0</v>
      </c>
      <c r="J469" s="540" t="s">
        <v>281</v>
      </c>
      <c r="K469" s="540"/>
      <c r="L469" s="337">
        <f>IFERROR(IF(F469="Sem projeto",VLOOKUP(C469,$B$32:$H$34,7,FALSE)*1.5,G469*VLOOKUP(J469,Aux_Lista!$AG:$AH,2,FALSE)+H469)*E469,0)</f>
        <v>0</v>
      </c>
      <c r="M469" s="346" t="s">
        <v>90</v>
      </c>
      <c r="N469" s="347" t="s">
        <v>90</v>
      </c>
      <c r="O469" s="348" t="s">
        <v>90</v>
      </c>
      <c r="P469" s="386">
        <f t="shared" si="49"/>
        <v>0</v>
      </c>
      <c r="R469" s="94">
        <v>438</v>
      </c>
      <c r="S469" s="383"/>
      <c r="T469" s="214"/>
      <c r="U469" s="214"/>
      <c r="V469" s="217"/>
      <c r="W469" s="215"/>
      <c r="X469" s="336"/>
      <c r="Y469" s="68" t="str">
        <f>IF(V469="","",VLOOKUP(V469,Aux_Lista!A:K,11,FALSE))</f>
        <v/>
      </c>
      <c r="Z469" s="68" t="str">
        <f>IF(V469="","",VLOOKUP(V469,Aux_Lista!A:L,12,FALSE))</f>
        <v/>
      </c>
      <c r="AA469" s="68" t="str">
        <f>IF(W469="","",VLOOKUP(W469,Aux_Lista!AN:AP,3,FALSE))</f>
        <v/>
      </c>
      <c r="AB469" s="68" t="str">
        <f>IF(W469="","",VLOOKUP(W469,Aux_Lista!AN:AP,2,FALSE))</f>
        <v/>
      </c>
      <c r="AC469" s="69"/>
      <c r="AD469" s="69"/>
      <c r="AE469" s="325">
        <f t="shared" si="43"/>
        <v>0</v>
      </c>
      <c r="AF469" s="540" t="s">
        <v>281</v>
      </c>
      <c r="AG469" s="540"/>
      <c r="AH469" s="337">
        <f>IFERROR(IF(X469="Sem projeto",1.5*AA469,AC469*VLOOKUP(AF469,Aux_Lista!AG:AH,2,FALSE)+AD469)*U469,0)</f>
        <v>0</v>
      </c>
      <c r="AI469" s="343" t="s">
        <v>90</v>
      </c>
      <c r="AJ469" s="343" t="s">
        <v>90</v>
      </c>
      <c r="AK469" s="343" t="s">
        <v>90</v>
      </c>
      <c r="AL469" s="333" t="str">
        <f t="shared" si="44"/>
        <v/>
      </c>
      <c r="AM469" s="334" t="str">
        <f t="shared" si="45"/>
        <v/>
      </c>
      <c r="AN469" s="333" t="str">
        <f t="shared" si="46"/>
        <v/>
      </c>
      <c r="AO469" s="334" t="str">
        <f t="shared" si="47"/>
        <v/>
      </c>
      <c r="AP469" s="44"/>
      <c r="AQ469" s="2"/>
    </row>
    <row r="470" spans="1:43" ht="24.95" customHeight="1" x14ac:dyDescent="0.25">
      <c r="A470" s="2">
        <v>430</v>
      </c>
      <c r="B470" s="349"/>
      <c r="C470" s="350"/>
      <c r="D470" s="351"/>
      <c r="E470" s="351"/>
      <c r="F470" s="336"/>
      <c r="G470" s="327"/>
      <c r="H470" s="327"/>
      <c r="I470" s="325">
        <f t="shared" si="48"/>
        <v>0</v>
      </c>
      <c r="J470" s="540" t="s">
        <v>281</v>
      </c>
      <c r="K470" s="540"/>
      <c r="L470" s="337">
        <f>IFERROR(IF(F470="Sem projeto",VLOOKUP(C470,$B$32:$H$34,7,FALSE)*1.5,G470*VLOOKUP(J470,Aux_Lista!$AG:$AH,2,FALSE)+H470)*E470,0)</f>
        <v>0</v>
      </c>
      <c r="M470" s="346" t="s">
        <v>90</v>
      </c>
      <c r="N470" s="347" t="s">
        <v>90</v>
      </c>
      <c r="O470" s="348" t="s">
        <v>90</v>
      </c>
      <c r="P470" s="386">
        <f t="shared" si="49"/>
        <v>0</v>
      </c>
      <c r="R470" s="94">
        <v>439</v>
      </c>
      <c r="S470" s="383"/>
      <c r="T470" s="214"/>
      <c r="U470" s="214"/>
      <c r="V470" s="217"/>
      <c r="W470" s="215"/>
      <c r="X470" s="336"/>
      <c r="Y470" s="68" t="str">
        <f>IF(V470="","",VLOOKUP(V470,Aux_Lista!A:K,11,FALSE))</f>
        <v/>
      </c>
      <c r="Z470" s="68" t="str">
        <f>IF(V470="","",VLOOKUP(V470,Aux_Lista!A:L,12,FALSE))</f>
        <v/>
      </c>
      <c r="AA470" s="68" t="str">
        <f>IF(W470="","",VLOOKUP(W470,Aux_Lista!AN:AP,3,FALSE))</f>
        <v/>
      </c>
      <c r="AB470" s="68" t="str">
        <f>IF(W470="","",VLOOKUP(W470,Aux_Lista!AN:AP,2,FALSE))</f>
        <v/>
      </c>
      <c r="AC470" s="69"/>
      <c r="AD470" s="69"/>
      <c r="AE470" s="325">
        <f t="shared" si="43"/>
        <v>0</v>
      </c>
      <c r="AF470" s="540" t="s">
        <v>281</v>
      </c>
      <c r="AG470" s="540"/>
      <c r="AH470" s="337">
        <f>IFERROR(IF(X470="Sem projeto",1.5*AA470,AC470*VLOOKUP(AF470,Aux_Lista!AG:AH,2,FALSE)+AD470)*U470,0)</f>
        <v>0</v>
      </c>
      <c r="AI470" s="343" t="s">
        <v>90</v>
      </c>
      <c r="AJ470" s="343" t="s">
        <v>90</v>
      </c>
      <c r="AK470" s="343" t="s">
        <v>90</v>
      </c>
      <c r="AL470" s="333" t="str">
        <f t="shared" si="44"/>
        <v/>
      </c>
      <c r="AM470" s="334" t="str">
        <f t="shared" si="45"/>
        <v/>
      </c>
      <c r="AN470" s="333" t="str">
        <f t="shared" si="46"/>
        <v/>
      </c>
      <c r="AO470" s="334" t="str">
        <f t="shared" si="47"/>
        <v/>
      </c>
      <c r="AP470" s="44"/>
      <c r="AQ470" s="2"/>
    </row>
    <row r="471" spans="1:43" ht="24.95" customHeight="1" x14ac:dyDescent="0.25">
      <c r="A471" s="2">
        <v>431</v>
      </c>
      <c r="B471" s="349"/>
      <c r="C471" s="350"/>
      <c r="D471" s="351"/>
      <c r="E471" s="351"/>
      <c r="F471" s="336"/>
      <c r="G471" s="327"/>
      <c r="H471" s="327"/>
      <c r="I471" s="325">
        <f t="shared" si="48"/>
        <v>0</v>
      </c>
      <c r="J471" s="540" t="s">
        <v>281</v>
      </c>
      <c r="K471" s="540"/>
      <c r="L471" s="337">
        <f>IFERROR(IF(F471="Sem projeto",VLOOKUP(C471,$B$32:$H$34,7,FALSE)*1.5,G471*VLOOKUP(J471,Aux_Lista!$AG:$AH,2,FALSE)+H471)*E471,0)</f>
        <v>0</v>
      </c>
      <c r="M471" s="346" t="s">
        <v>90</v>
      </c>
      <c r="N471" s="347" t="s">
        <v>90</v>
      </c>
      <c r="O471" s="348" t="s">
        <v>90</v>
      </c>
      <c r="P471" s="386">
        <f t="shared" si="49"/>
        <v>0</v>
      </c>
      <c r="R471" s="94">
        <v>440</v>
      </c>
      <c r="S471" s="383"/>
      <c r="T471" s="214"/>
      <c r="U471" s="214"/>
      <c r="V471" s="217"/>
      <c r="W471" s="215"/>
      <c r="X471" s="336"/>
      <c r="Y471" s="68" t="str">
        <f>IF(V471="","",VLOOKUP(V471,Aux_Lista!A:K,11,FALSE))</f>
        <v/>
      </c>
      <c r="Z471" s="68" t="str">
        <f>IF(V471="","",VLOOKUP(V471,Aux_Lista!A:L,12,FALSE))</f>
        <v/>
      </c>
      <c r="AA471" s="68" t="str">
        <f>IF(W471="","",VLOOKUP(W471,Aux_Lista!AN:AP,3,FALSE))</f>
        <v/>
      </c>
      <c r="AB471" s="68" t="str">
        <f>IF(W471="","",VLOOKUP(W471,Aux_Lista!AN:AP,2,FALSE))</f>
        <v/>
      </c>
      <c r="AC471" s="69"/>
      <c r="AD471" s="69"/>
      <c r="AE471" s="325">
        <f t="shared" si="43"/>
        <v>0</v>
      </c>
      <c r="AF471" s="540" t="s">
        <v>281</v>
      </c>
      <c r="AG471" s="540"/>
      <c r="AH471" s="337">
        <f>IFERROR(IF(X471="Sem projeto",1.5*AA471,AC471*VLOOKUP(AF471,Aux_Lista!AG:AH,2,FALSE)+AD471)*U471,0)</f>
        <v>0</v>
      </c>
      <c r="AI471" s="343" t="s">
        <v>90</v>
      </c>
      <c r="AJ471" s="343" t="s">
        <v>90</v>
      </c>
      <c r="AK471" s="343" t="s">
        <v>90</v>
      </c>
      <c r="AL471" s="333" t="str">
        <f t="shared" si="44"/>
        <v/>
      </c>
      <c r="AM471" s="334" t="str">
        <f t="shared" si="45"/>
        <v/>
      </c>
      <c r="AN471" s="333" t="str">
        <f t="shared" si="46"/>
        <v/>
      </c>
      <c r="AO471" s="334" t="str">
        <f t="shared" si="47"/>
        <v/>
      </c>
      <c r="AP471" s="44"/>
      <c r="AQ471" s="2"/>
    </row>
    <row r="472" spans="1:43" ht="24.95" customHeight="1" x14ac:dyDescent="0.25">
      <c r="A472" s="2">
        <v>432</v>
      </c>
      <c r="B472" s="349"/>
      <c r="C472" s="350"/>
      <c r="D472" s="351"/>
      <c r="E472" s="351"/>
      <c r="F472" s="336"/>
      <c r="G472" s="327"/>
      <c r="H472" s="327"/>
      <c r="I472" s="325">
        <f t="shared" si="48"/>
        <v>0</v>
      </c>
      <c r="J472" s="540" t="s">
        <v>281</v>
      </c>
      <c r="K472" s="540"/>
      <c r="L472" s="337">
        <f>IFERROR(IF(F472="Sem projeto",VLOOKUP(C472,$B$32:$H$34,7,FALSE)*1.5,G472*VLOOKUP(J472,Aux_Lista!$AG:$AH,2,FALSE)+H472)*E472,0)</f>
        <v>0</v>
      </c>
      <c r="M472" s="346" t="s">
        <v>90</v>
      </c>
      <c r="N472" s="347" t="s">
        <v>90</v>
      </c>
      <c r="O472" s="348" t="s">
        <v>90</v>
      </c>
      <c r="P472" s="386">
        <f t="shared" si="49"/>
        <v>0</v>
      </c>
      <c r="R472" s="94">
        <v>441</v>
      </c>
      <c r="S472" s="383"/>
      <c r="T472" s="214"/>
      <c r="U472" s="214"/>
      <c r="V472" s="217"/>
      <c r="W472" s="215"/>
      <c r="X472" s="336"/>
      <c r="Y472" s="68" t="str">
        <f>IF(V472="","",VLOOKUP(V472,Aux_Lista!A:K,11,FALSE))</f>
        <v/>
      </c>
      <c r="Z472" s="68" t="str">
        <f>IF(V472="","",VLOOKUP(V472,Aux_Lista!A:L,12,FALSE))</f>
        <v/>
      </c>
      <c r="AA472" s="68" t="str">
        <f>IF(W472="","",VLOOKUP(W472,Aux_Lista!AN:AP,3,FALSE))</f>
        <v/>
      </c>
      <c r="AB472" s="68" t="str">
        <f>IF(W472="","",VLOOKUP(W472,Aux_Lista!AN:AP,2,FALSE))</f>
        <v/>
      </c>
      <c r="AC472" s="69"/>
      <c r="AD472" s="69"/>
      <c r="AE472" s="325">
        <f t="shared" si="43"/>
        <v>0</v>
      </c>
      <c r="AF472" s="540" t="s">
        <v>281</v>
      </c>
      <c r="AG472" s="540"/>
      <c r="AH472" s="337">
        <f>IFERROR(IF(X472="Sem projeto",1.5*AA472,AC472*VLOOKUP(AF472,Aux_Lista!AG:AH,2,FALSE)+AD472)*U472,0)</f>
        <v>0</v>
      </c>
      <c r="AI472" s="343" t="s">
        <v>90</v>
      </c>
      <c r="AJ472" s="343" t="s">
        <v>90</v>
      </c>
      <c r="AK472" s="343" t="s">
        <v>90</v>
      </c>
      <c r="AL472" s="333" t="str">
        <f t="shared" si="44"/>
        <v/>
      </c>
      <c r="AM472" s="334" t="str">
        <f t="shared" si="45"/>
        <v/>
      </c>
      <c r="AN472" s="333" t="str">
        <f t="shared" si="46"/>
        <v/>
      </c>
      <c r="AO472" s="334" t="str">
        <f t="shared" si="47"/>
        <v/>
      </c>
      <c r="AP472" s="44"/>
      <c r="AQ472" s="2"/>
    </row>
    <row r="473" spans="1:43" ht="24.95" customHeight="1" x14ac:dyDescent="0.25">
      <c r="A473" s="2">
        <v>433</v>
      </c>
      <c r="B473" s="349"/>
      <c r="C473" s="350"/>
      <c r="D473" s="351"/>
      <c r="E473" s="351"/>
      <c r="F473" s="336"/>
      <c r="G473" s="327"/>
      <c r="H473" s="327"/>
      <c r="I473" s="325">
        <f t="shared" si="48"/>
        <v>0</v>
      </c>
      <c r="J473" s="540" t="s">
        <v>281</v>
      </c>
      <c r="K473" s="540"/>
      <c r="L473" s="337">
        <f>IFERROR(IF(F473="Sem projeto",VLOOKUP(C473,$B$32:$H$34,7,FALSE)*1.5,G473*VLOOKUP(J473,Aux_Lista!$AG:$AH,2,FALSE)+H473)*E473,0)</f>
        <v>0</v>
      </c>
      <c r="M473" s="346" t="s">
        <v>90</v>
      </c>
      <c r="N473" s="347" t="s">
        <v>90</v>
      </c>
      <c r="O473" s="348" t="s">
        <v>90</v>
      </c>
      <c r="P473" s="386">
        <f t="shared" si="49"/>
        <v>0</v>
      </c>
      <c r="R473" s="94">
        <v>442</v>
      </c>
      <c r="S473" s="383"/>
      <c r="T473" s="214"/>
      <c r="U473" s="214"/>
      <c r="V473" s="217"/>
      <c r="W473" s="215"/>
      <c r="X473" s="336"/>
      <c r="Y473" s="68" t="str">
        <f>IF(V473="","",VLOOKUP(V473,Aux_Lista!A:K,11,FALSE))</f>
        <v/>
      </c>
      <c r="Z473" s="68" t="str">
        <f>IF(V473="","",VLOOKUP(V473,Aux_Lista!A:L,12,FALSE))</f>
        <v/>
      </c>
      <c r="AA473" s="68" t="str">
        <f>IF(W473="","",VLOOKUP(W473,Aux_Lista!AN:AP,3,FALSE))</f>
        <v/>
      </c>
      <c r="AB473" s="68" t="str">
        <f>IF(W473="","",VLOOKUP(W473,Aux_Lista!AN:AP,2,FALSE))</f>
        <v/>
      </c>
      <c r="AC473" s="69"/>
      <c r="AD473" s="69"/>
      <c r="AE473" s="325">
        <f t="shared" si="43"/>
        <v>0</v>
      </c>
      <c r="AF473" s="540" t="s">
        <v>281</v>
      </c>
      <c r="AG473" s="540"/>
      <c r="AH473" s="337">
        <f>IFERROR(IF(X473="Sem projeto",1.5*AA473,AC473*VLOOKUP(AF473,Aux_Lista!AG:AH,2,FALSE)+AD473)*U473,0)</f>
        <v>0</v>
      </c>
      <c r="AI473" s="343" t="s">
        <v>90</v>
      </c>
      <c r="AJ473" s="343" t="s">
        <v>90</v>
      </c>
      <c r="AK473" s="343" t="s">
        <v>90</v>
      </c>
      <c r="AL473" s="333" t="str">
        <f t="shared" si="44"/>
        <v/>
      </c>
      <c r="AM473" s="334" t="str">
        <f t="shared" si="45"/>
        <v/>
      </c>
      <c r="AN473" s="333" t="str">
        <f t="shared" si="46"/>
        <v/>
      </c>
      <c r="AO473" s="334" t="str">
        <f t="shared" si="47"/>
        <v/>
      </c>
      <c r="AP473" s="44"/>
      <c r="AQ473" s="2"/>
    </row>
    <row r="474" spans="1:43" ht="24.95" customHeight="1" x14ac:dyDescent="0.25">
      <c r="A474" s="2">
        <v>434</v>
      </c>
      <c r="B474" s="349"/>
      <c r="C474" s="350"/>
      <c r="D474" s="351"/>
      <c r="E474" s="351"/>
      <c r="F474" s="336"/>
      <c r="G474" s="327"/>
      <c r="H474" s="327"/>
      <c r="I474" s="325">
        <f t="shared" si="48"/>
        <v>0</v>
      </c>
      <c r="J474" s="540" t="s">
        <v>281</v>
      </c>
      <c r="K474" s="540"/>
      <c r="L474" s="337">
        <f>IFERROR(IF(F474="Sem projeto",VLOOKUP(C474,$B$32:$H$34,7,FALSE)*1.5,G474*VLOOKUP(J474,Aux_Lista!$AG:$AH,2,FALSE)+H474)*E474,0)</f>
        <v>0</v>
      </c>
      <c r="M474" s="346" t="s">
        <v>90</v>
      </c>
      <c r="N474" s="347" t="s">
        <v>90</v>
      </c>
      <c r="O474" s="348" t="s">
        <v>90</v>
      </c>
      <c r="P474" s="386">
        <f t="shared" si="49"/>
        <v>0</v>
      </c>
      <c r="R474" s="94">
        <v>443</v>
      </c>
      <c r="S474" s="383"/>
      <c r="T474" s="214"/>
      <c r="U474" s="214"/>
      <c r="V474" s="217"/>
      <c r="W474" s="215"/>
      <c r="X474" s="336"/>
      <c r="Y474" s="68" t="str">
        <f>IF(V474="","",VLOOKUP(V474,Aux_Lista!A:K,11,FALSE))</f>
        <v/>
      </c>
      <c r="Z474" s="68" t="str">
        <f>IF(V474="","",VLOOKUP(V474,Aux_Lista!A:L,12,FALSE))</f>
        <v/>
      </c>
      <c r="AA474" s="68" t="str">
        <f>IF(W474="","",VLOOKUP(W474,Aux_Lista!AN:AP,3,FALSE))</f>
        <v/>
      </c>
      <c r="AB474" s="68" t="str">
        <f>IF(W474="","",VLOOKUP(W474,Aux_Lista!AN:AP,2,FALSE))</f>
        <v/>
      </c>
      <c r="AC474" s="69"/>
      <c r="AD474" s="69"/>
      <c r="AE474" s="325">
        <f t="shared" si="43"/>
        <v>0</v>
      </c>
      <c r="AF474" s="540" t="s">
        <v>281</v>
      </c>
      <c r="AG474" s="540"/>
      <c r="AH474" s="337">
        <f>IFERROR(IF(X474="Sem projeto",1.5*AA474,AC474*VLOOKUP(AF474,Aux_Lista!AG:AH,2,FALSE)+AD474)*U474,0)</f>
        <v>0</v>
      </c>
      <c r="AI474" s="343" t="s">
        <v>90</v>
      </c>
      <c r="AJ474" s="343" t="s">
        <v>90</v>
      </c>
      <c r="AK474" s="343" t="s">
        <v>90</v>
      </c>
      <c r="AL474" s="333" t="str">
        <f t="shared" si="44"/>
        <v/>
      </c>
      <c r="AM474" s="334" t="str">
        <f t="shared" si="45"/>
        <v/>
      </c>
      <c r="AN474" s="333" t="str">
        <f t="shared" si="46"/>
        <v/>
      </c>
      <c r="AO474" s="334" t="str">
        <f t="shared" si="47"/>
        <v/>
      </c>
      <c r="AP474" s="44"/>
      <c r="AQ474" s="2"/>
    </row>
    <row r="475" spans="1:43" ht="24.95" customHeight="1" x14ac:dyDescent="0.25">
      <c r="A475" s="2">
        <v>435</v>
      </c>
      <c r="B475" s="349"/>
      <c r="C475" s="350"/>
      <c r="D475" s="351"/>
      <c r="E475" s="351"/>
      <c r="F475" s="336"/>
      <c r="G475" s="327"/>
      <c r="H475" s="327"/>
      <c r="I475" s="325">
        <f t="shared" si="48"/>
        <v>0</v>
      </c>
      <c r="J475" s="540" t="s">
        <v>281</v>
      </c>
      <c r="K475" s="540"/>
      <c r="L475" s="337">
        <f>IFERROR(IF(F475="Sem projeto",VLOOKUP(C475,$B$32:$H$34,7,FALSE)*1.5,G475*VLOOKUP(J475,Aux_Lista!$AG:$AH,2,FALSE)+H475)*E475,0)</f>
        <v>0</v>
      </c>
      <c r="M475" s="346" t="s">
        <v>90</v>
      </c>
      <c r="N475" s="347" t="s">
        <v>90</v>
      </c>
      <c r="O475" s="348" t="s">
        <v>90</v>
      </c>
      <c r="P475" s="386">
        <f t="shared" si="49"/>
        <v>0</v>
      </c>
      <c r="R475" s="94">
        <v>444</v>
      </c>
      <c r="S475" s="383"/>
      <c r="T475" s="214"/>
      <c r="U475" s="214"/>
      <c r="V475" s="217"/>
      <c r="W475" s="215"/>
      <c r="X475" s="336"/>
      <c r="Y475" s="68" t="str">
        <f>IF(V475="","",VLOOKUP(V475,Aux_Lista!A:K,11,FALSE))</f>
        <v/>
      </c>
      <c r="Z475" s="68" t="str">
        <f>IF(V475="","",VLOOKUP(V475,Aux_Lista!A:L,12,FALSE))</f>
        <v/>
      </c>
      <c r="AA475" s="68" t="str">
        <f>IF(W475="","",VLOOKUP(W475,Aux_Lista!AN:AP,3,FALSE))</f>
        <v/>
      </c>
      <c r="AB475" s="68" t="str">
        <f>IF(W475="","",VLOOKUP(W475,Aux_Lista!AN:AP,2,FALSE))</f>
        <v/>
      </c>
      <c r="AC475" s="69"/>
      <c r="AD475" s="69"/>
      <c r="AE475" s="325">
        <f t="shared" si="43"/>
        <v>0</v>
      </c>
      <c r="AF475" s="540" t="s">
        <v>281</v>
      </c>
      <c r="AG475" s="540"/>
      <c r="AH475" s="337">
        <f>IFERROR(IF(X475="Sem projeto",1.5*AA475,AC475*VLOOKUP(AF475,Aux_Lista!AG:AH,2,FALSE)+AD475)*U475,0)</f>
        <v>0</v>
      </c>
      <c r="AI475" s="343" t="s">
        <v>90</v>
      </c>
      <c r="AJ475" s="343" t="s">
        <v>90</v>
      </c>
      <c r="AK475" s="343" t="s">
        <v>90</v>
      </c>
      <c r="AL475" s="333" t="str">
        <f t="shared" si="44"/>
        <v/>
      </c>
      <c r="AM475" s="334" t="str">
        <f t="shared" si="45"/>
        <v/>
      </c>
      <c r="AN475" s="333" t="str">
        <f t="shared" si="46"/>
        <v/>
      </c>
      <c r="AO475" s="334" t="str">
        <f t="shared" si="47"/>
        <v/>
      </c>
      <c r="AP475" s="44"/>
      <c r="AQ475" s="2"/>
    </row>
    <row r="476" spans="1:43" ht="24.95" customHeight="1" x14ac:dyDescent="0.25">
      <c r="A476" s="2">
        <v>436</v>
      </c>
      <c r="B476" s="349"/>
      <c r="C476" s="350"/>
      <c r="D476" s="351"/>
      <c r="E476" s="351"/>
      <c r="F476" s="336"/>
      <c r="G476" s="327"/>
      <c r="H476" s="327"/>
      <c r="I476" s="325">
        <f t="shared" si="48"/>
        <v>0</v>
      </c>
      <c r="J476" s="540" t="s">
        <v>281</v>
      </c>
      <c r="K476" s="540"/>
      <c r="L476" s="337">
        <f>IFERROR(IF(F476="Sem projeto",VLOOKUP(C476,$B$32:$H$34,7,FALSE)*1.5,G476*VLOOKUP(J476,Aux_Lista!$AG:$AH,2,FALSE)+H476)*E476,0)</f>
        <v>0</v>
      </c>
      <c r="M476" s="346" t="s">
        <v>90</v>
      </c>
      <c r="N476" s="347" t="s">
        <v>90</v>
      </c>
      <c r="O476" s="348" t="s">
        <v>90</v>
      </c>
      <c r="P476" s="386">
        <f t="shared" si="49"/>
        <v>0</v>
      </c>
      <c r="R476" s="94">
        <v>445</v>
      </c>
      <c r="S476" s="383"/>
      <c r="T476" s="214"/>
      <c r="U476" s="214"/>
      <c r="V476" s="217"/>
      <c r="W476" s="215"/>
      <c r="X476" s="336"/>
      <c r="Y476" s="68" t="str">
        <f>IF(V476="","",VLOOKUP(V476,Aux_Lista!A:K,11,FALSE))</f>
        <v/>
      </c>
      <c r="Z476" s="68" t="str">
        <f>IF(V476="","",VLOOKUP(V476,Aux_Lista!A:L,12,FALSE))</f>
        <v/>
      </c>
      <c r="AA476" s="68" t="str">
        <f>IF(W476="","",VLOOKUP(W476,Aux_Lista!AN:AP,3,FALSE))</f>
        <v/>
      </c>
      <c r="AB476" s="68" t="str">
        <f>IF(W476="","",VLOOKUP(W476,Aux_Lista!AN:AP,2,FALSE))</f>
        <v/>
      </c>
      <c r="AC476" s="69"/>
      <c r="AD476" s="69"/>
      <c r="AE476" s="325">
        <f t="shared" si="43"/>
        <v>0</v>
      </c>
      <c r="AF476" s="540" t="s">
        <v>281</v>
      </c>
      <c r="AG476" s="540"/>
      <c r="AH476" s="337">
        <f>IFERROR(IF(X476="Sem projeto",1.5*AA476,AC476*VLOOKUP(AF476,Aux_Lista!AG:AH,2,FALSE)+AD476)*U476,0)</f>
        <v>0</v>
      </c>
      <c r="AI476" s="343" t="s">
        <v>90</v>
      </c>
      <c r="AJ476" s="343" t="s">
        <v>90</v>
      </c>
      <c r="AK476" s="343" t="s">
        <v>90</v>
      </c>
      <c r="AL476" s="333" t="str">
        <f t="shared" si="44"/>
        <v/>
      </c>
      <c r="AM476" s="334" t="str">
        <f t="shared" si="45"/>
        <v/>
      </c>
      <c r="AN476" s="333" t="str">
        <f t="shared" si="46"/>
        <v/>
      </c>
      <c r="AO476" s="334" t="str">
        <f t="shared" si="47"/>
        <v/>
      </c>
      <c r="AP476" s="44"/>
      <c r="AQ476" s="2"/>
    </row>
    <row r="477" spans="1:43" ht="24.95" customHeight="1" x14ac:dyDescent="0.25">
      <c r="A477" s="2">
        <v>437</v>
      </c>
      <c r="B477" s="349"/>
      <c r="C477" s="350"/>
      <c r="D477" s="351"/>
      <c r="E477" s="351"/>
      <c r="F477" s="336"/>
      <c r="G477" s="327"/>
      <c r="H477" s="327"/>
      <c r="I477" s="325">
        <f t="shared" si="48"/>
        <v>0</v>
      </c>
      <c r="J477" s="540" t="s">
        <v>281</v>
      </c>
      <c r="K477" s="540"/>
      <c r="L477" s="337">
        <f>IFERROR(IF(F477="Sem projeto",VLOOKUP(C477,$B$32:$H$34,7,FALSE)*1.5,G477*VLOOKUP(J477,Aux_Lista!$AG:$AH,2,FALSE)+H477)*E477,0)</f>
        <v>0</v>
      </c>
      <c r="M477" s="346" t="s">
        <v>90</v>
      </c>
      <c r="N477" s="347" t="s">
        <v>90</v>
      </c>
      <c r="O477" s="348" t="s">
        <v>90</v>
      </c>
      <c r="P477" s="386">
        <f t="shared" si="49"/>
        <v>0</v>
      </c>
      <c r="R477" s="94">
        <v>446</v>
      </c>
      <c r="S477" s="383"/>
      <c r="T477" s="214"/>
      <c r="U477" s="214"/>
      <c r="V477" s="217"/>
      <c r="W477" s="215"/>
      <c r="X477" s="336"/>
      <c r="Y477" s="68" t="str">
        <f>IF(V477="","",VLOOKUP(V477,Aux_Lista!A:K,11,FALSE))</f>
        <v/>
      </c>
      <c r="Z477" s="68" t="str">
        <f>IF(V477="","",VLOOKUP(V477,Aux_Lista!A:L,12,FALSE))</f>
        <v/>
      </c>
      <c r="AA477" s="68" t="str">
        <f>IF(W477="","",VLOOKUP(W477,Aux_Lista!AN:AP,3,FALSE))</f>
        <v/>
      </c>
      <c r="AB477" s="68" t="str">
        <f>IF(W477="","",VLOOKUP(W477,Aux_Lista!AN:AP,2,FALSE))</f>
        <v/>
      </c>
      <c r="AC477" s="69"/>
      <c r="AD477" s="69"/>
      <c r="AE477" s="325">
        <f t="shared" si="43"/>
        <v>0</v>
      </c>
      <c r="AF477" s="540" t="s">
        <v>281</v>
      </c>
      <c r="AG477" s="540"/>
      <c r="AH477" s="337">
        <f>IFERROR(IF(X477="Sem projeto",1.5*AA477,AC477*VLOOKUP(AF477,Aux_Lista!AG:AH,2,FALSE)+AD477)*U477,0)</f>
        <v>0</v>
      </c>
      <c r="AI477" s="343" t="s">
        <v>90</v>
      </c>
      <c r="AJ477" s="343" t="s">
        <v>90</v>
      </c>
      <c r="AK477" s="343" t="s">
        <v>90</v>
      </c>
      <c r="AL477" s="333" t="str">
        <f t="shared" si="44"/>
        <v/>
      </c>
      <c r="AM477" s="334" t="str">
        <f t="shared" si="45"/>
        <v/>
      </c>
      <c r="AN477" s="333" t="str">
        <f t="shared" si="46"/>
        <v/>
      </c>
      <c r="AO477" s="334" t="str">
        <f t="shared" si="47"/>
        <v/>
      </c>
      <c r="AP477" s="44"/>
      <c r="AQ477" s="2"/>
    </row>
    <row r="478" spans="1:43" ht="24.95" customHeight="1" x14ac:dyDescent="0.25">
      <c r="A478" s="2">
        <v>438</v>
      </c>
      <c r="B478" s="349"/>
      <c r="C478" s="350"/>
      <c r="D478" s="351"/>
      <c r="E478" s="351"/>
      <c r="F478" s="336"/>
      <c r="G478" s="327"/>
      <c r="H478" s="327"/>
      <c r="I478" s="325">
        <f t="shared" si="48"/>
        <v>0</v>
      </c>
      <c r="J478" s="540" t="s">
        <v>281</v>
      </c>
      <c r="K478" s="540"/>
      <c r="L478" s="337">
        <f>IFERROR(IF(F478="Sem projeto",VLOOKUP(C478,$B$32:$H$34,7,FALSE)*1.5,G478*VLOOKUP(J478,Aux_Lista!$AG:$AH,2,FALSE)+H478)*E478,0)</f>
        <v>0</v>
      </c>
      <c r="M478" s="346" t="s">
        <v>90</v>
      </c>
      <c r="N478" s="347" t="s">
        <v>90</v>
      </c>
      <c r="O478" s="348" t="s">
        <v>90</v>
      </c>
      <c r="P478" s="386">
        <f t="shared" si="49"/>
        <v>0</v>
      </c>
      <c r="R478" s="94">
        <v>447</v>
      </c>
      <c r="S478" s="383"/>
      <c r="T478" s="214"/>
      <c r="U478" s="214"/>
      <c r="V478" s="217"/>
      <c r="W478" s="215"/>
      <c r="X478" s="336"/>
      <c r="Y478" s="68" t="str">
        <f>IF(V478="","",VLOOKUP(V478,Aux_Lista!A:K,11,FALSE))</f>
        <v/>
      </c>
      <c r="Z478" s="68" t="str">
        <f>IF(V478="","",VLOOKUP(V478,Aux_Lista!A:L,12,FALSE))</f>
        <v/>
      </c>
      <c r="AA478" s="68" t="str">
        <f>IF(W478="","",VLOOKUP(W478,Aux_Lista!AN:AP,3,FALSE))</f>
        <v/>
      </c>
      <c r="AB478" s="68" t="str">
        <f>IF(W478="","",VLOOKUP(W478,Aux_Lista!AN:AP,2,FALSE))</f>
        <v/>
      </c>
      <c r="AC478" s="69"/>
      <c r="AD478" s="69"/>
      <c r="AE478" s="325">
        <f t="shared" si="43"/>
        <v>0</v>
      </c>
      <c r="AF478" s="540" t="s">
        <v>281</v>
      </c>
      <c r="AG478" s="540"/>
      <c r="AH478" s="337">
        <f>IFERROR(IF(X478="Sem projeto",1.5*AA478,AC478*VLOOKUP(AF478,Aux_Lista!AG:AH,2,FALSE)+AD478)*U478,0)</f>
        <v>0</v>
      </c>
      <c r="AI478" s="343" t="s">
        <v>90</v>
      </c>
      <c r="AJ478" s="343" t="s">
        <v>90</v>
      </c>
      <c r="AK478" s="343" t="s">
        <v>90</v>
      </c>
      <c r="AL478" s="333" t="str">
        <f t="shared" si="44"/>
        <v/>
      </c>
      <c r="AM478" s="334" t="str">
        <f t="shared" si="45"/>
        <v/>
      </c>
      <c r="AN478" s="333" t="str">
        <f t="shared" si="46"/>
        <v/>
      </c>
      <c r="AO478" s="334" t="str">
        <f t="shared" si="47"/>
        <v/>
      </c>
      <c r="AP478" s="44"/>
      <c r="AQ478" s="2"/>
    </row>
    <row r="479" spans="1:43" ht="24.95" customHeight="1" x14ac:dyDescent="0.25">
      <c r="A479" s="2">
        <v>439</v>
      </c>
      <c r="B479" s="349"/>
      <c r="C479" s="350"/>
      <c r="D479" s="351"/>
      <c r="E479" s="351"/>
      <c r="F479" s="336"/>
      <c r="G479" s="327"/>
      <c r="H479" s="327"/>
      <c r="I479" s="325">
        <f t="shared" si="48"/>
        <v>0</v>
      </c>
      <c r="J479" s="540" t="s">
        <v>281</v>
      </c>
      <c r="K479" s="540"/>
      <c r="L479" s="337">
        <f>IFERROR(IF(F479="Sem projeto",VLOOKUP(C479,$B$32:$H$34,7,FALSE)*1.5,G479*VLOOKUP(J479,Aux_Lista!$AG:$AH,2,FALSE)+H479)*E479,0)</f>
        <v>0</v>
      </c>
      <c r="M479" s="346" t="s">
        <v>90</v>
      </c>
      <c r="N479" s="347" t="s">
        <v>90</v>
      </c>
      <c r="O479" s="348" t="s">
        <v>90</v>
      </c>
      <c r="P479" s="386">
        <f t="shared" si="49"/>
        <v>0</v>
      </c>
      <c r="R479" s="94">
        <v>448</v>
      </c>
      <c r="S479" s="383"/>
      <c r="T479" s="214"/>
      <c r="U479" s="214"/>
      <c r="V479" s="217"/>
      <c r="W479" s="215"/>
      <c r="X479" s="336"/>
      <c r="Y479" s="68" t="str">
        <f>IF(V479="","",VLOOKUP(V479,Aux_Lista!A:K,11,FALSE))</f>
        <v/>
      </c>
      <c r="Z479" s="68" t="str">
        <f>IF(V479="","",VLOOKUP(V479,Aux_Lista!A:L,12,FALSE))</f>
        <v/>
      </c>
      <c r="AA479" s="68" t="str">
        <f>IF(W479="","",VLOOKUP(W479,Aux_Lista!AN:AP,3,FALSE))</f>
        <v/>
      </c>
      <c r="AB479" s="68" t="str">
        <f>IF(W479="","",VLOOKUP(W479,Aux_Lista!AN:AP,2,FALSE))</f>
        <v/>
      </c>
      <c r="AC479" s="69"/>
      <c r="AD479" s="69"/>
      <c r="AE479" s="325">
        <f t="shared" si="43"/>
        <v>0</v>
      </c>
      <c r="AF479" s="540" t="s">
        <v>281</v>
      </c>
      <c r="AG479" s="540"/>
      <c r="AH479" s="337">
        <f>IFERROR(IF(X479="Sem projeto",1.5*AA479,AC479*VLOOKUP(AF479,Aux_Lista!AG:AH,2,FALSE)+AD479)*U479,0)</f>
        <v>0</v>
      </c>
      <c r="AI479" s="343" t="s">
        <v>90</v>
      </c>
      <c r="AJ479" s="343" t="s">
        <v>90</v>
      </c>
      <c r="AK479" s="343" t="s">
        <v>90</v>
      </c>
      <c r="AL479" s="333" t="str">
        <f t="shared" si="44"/>
        <v/>
      </c>
      <c r="AM479" s="334" t="str">
        <f t="shared" si="45"/>
        <v/>
      </c>
      <c r="AN479" s="333" t="str">
        <f t="shared" si="46"/>
        <v/>
      </c>
      <c r="AO479" s="334" t="str">
        <f t="shared" si="47"/>
        <v/>
      </c>
      <c r="AP479" s="44"/>
      <c r="AQ479" s="2"/>
    </row>
    <row r="480" spans="1:43" ht="24.95" customHeight="1" x14ac:dyDescent="0.25">
      <c r="A480" s="2">
        <v>440</v>
      </c>
      <c r="B480" s="349"/>
      <c r="C480" s="350"/>
      <c r="D480" s="351"/>
      <c r="E480" s="351"/>
      <c r="F480" s="336"/>
      <c r="G480" s="327"/>
      <c r="H480" s="327"/>
      <c r="I480" s="325">
        <f t="shared" si="48"/>
        <v>0</v>
      </c>
      <c r="J480" s="540" t="s">
        <v>281</v>
      </c>
      <c r="K480" s="540"/>
      <c r="L480" s="337">
        <f>IFERROR(IF(F480="Sem projeto",VLOOKUP(C480,$B$32:$H$34,7,FALSE)*1.5,G480*VLOOKUP(J480,Aux_Lista!$AG:$AH,2,FALSE)+H480)*E480,0)</f>
        <v>0</v>
      </c>
      <c r="M480" s="346" t="s">
        <v>90</v>
      </c>
      <c r="N480" s="347" t="s">
        <v>90</v>
      </c>
      <c r="O480" s="348" t="s">
        <v>90</v>
      </c>
      <c r="P480" s="386">
        <f t="shared" si="49"/>
        <v>0</v>
      </c>
      <c r="R480" s="94">
        <v>449</v>
      </c>
      <c r="S480" s="383"/>
      <c r="T480" s="214"/>
      <c r="U480" s="214"/>
      <c r="V480" s="217"/>
      <c r="W480" s="215"/>
      <c r="X480" s="336"/>
      <c r="Y480" s="68" t="str">
        <f>IF(V480="","",VLOOKUP(V480,Aux_Lista!A:K,11,FALSE))</f>
        <v/>
      </c>
      <c r="Z480" s="68" t="str">
        <f>IF(V480="","",VLOOKUP(V480,Aux_Lista!A:L,12,FALSE))</f>
        <v/>
      </c>
      <c r="AA480" s="68" t="str">
        <f>IF(W480="","",VLOOKUP(W480,Aux_Lista!AN:AP,3,FALSE))</f>
        <v/>
      </c>
      <c r="AB480" s="68" t="str">
        <f>IF(W480="","",VLOOKUP(W480,Aux_Lista!AN:AP,2,FALSE))</f>
        <v/>
      </c>
      <c r="AC480" s="69"/>
      <c r="AD480" s="69"/>
      <c r="AE480" s="325">
        <f t="shared" si="43"/>
        <v>0</v>
      </c>
      <c r="AF480" s="540" t="s">
        <v>281</v>
      </c>
      <c r="AG480" s="540"/>
      <c r="AH480" s="337">
        <f>IFERROR(IF(X480="Sem projeto",1.5*AA480,AC480*VLOOKUP(AF480,Aux_Lista!AG:AH,2,FALSE)+AD480)*U480,0)</f>
        <v>0</v>
      </c>
      <c r="AI480" s="343" t="s">
        <v>90</v>
      </c>
      <c r="AJ480" s="343" t="s">
        <v>90</v>
      </c>
      <c r="AK480" s="343" t="s">
        <v>90</v>
      </c>
      <c r="AL480" s="333" t="str">
        <f t="shared" si="44"/>
        <v/>
      </c>
      <c r="AM480" s="334" t="str">
        <f t="shared" si="45"/>
        <v/>
      </c>
      <c r="AN480" s="333" t="str">
        <f t="shared" si="46"/>
        <v/>
      </c>
      <c r="AO480" s="334" t="str">
        <f t="shared" si="47"/>
        <v/>
      </c>
      <c r="AP480" s="44"/>
      <c r="AQ480" s="2"/>
    </row>
    <row r="481" spans="1:43" ht="24.95" customHeight="1" x14ac:dyDescent="0.25">
      <c r="A481" s="2">
        <v>441</v>
      </c>
      <c r="B481" s="349"/>
      <c r="C481" s="350"/>
      <c r="D481" s="351"/>
      <c r="E481" s="351"/>
      <c r="F481" s="336"/>
      <c r="G481" s="327"/>
      <c r="H481" s="327"/>
      <c r="I481" s="325">
        <f t="shared" si="48"/>
        <v>0</v>
      </c>
      <c r="J481" s="540" t="s">
        <v>281</v>
      </c>
      <c r="K481" s="540"/>
      <c r="L481" s="337">
        <f>IFERROR(IF(F481="Sem projeto",VLOOKUP(C481,$B$32:$H$34,7,FALSE)*1.5,G481*VLOOKUP(J481,Aux_Lista!$AG:$AH,2,FALSE)+H481)*E481,0)</f>
        <v>0</v>
      </c>
      <c r="M481" s="346" t="s">
        <v>90</v>
      </c>
      <c r="N481" s="347" t="s">
        <v>90</v>
      </c>
      <c r="O481" s="348" t="s">
        <v>90</v>
      </c>
      <c r="P481" s="386">
        <f t="shared" si="49"/>
        <v>0</v>
      </c>
      <c r="R481" s="94">
        <v>450</v>
      </c>
      <c r="S481" s="383"/>
      <c r="T481" s="214"/>
      <c r="U481" s="214"/>
      <c r="V481" s="217"/>
      <c r="W481" s="215"/>
      <c r="X481" s="336"/>
      <c r="Y481" s="68" t="str">
        <f>IF(V481="","",VLOOKUP(V481,Aux_Lista!A:K,11,FALSE))</f>
        <v/>
      </c>
      <c r="Z481" s="68" t="str">
        <f>IF(V481="","",VLOOKUP(V481,Aux_Lista!A:L,12,FALSE))</f>
        <v/>
      </c>
      <c r="AA481" s="68" t="str">
        <f>IF(W481="","",VLOOKUP(W481,Aux_Lista!AN:AP,3,FALSE))</f>
        <v/>
      </c>
      <c r="AB481" s="68" t="str">
        <f>IF(W481="","",VLOOKUP(W481,Aux_Lista!AN:AP,2,FALSE))</f>
        <v/>
      </c>
      <c r="AC481" s="69"/>
      <c r="AD481" s="69"/>
      <c r="AE481" s="325">
        <f t="shared" ref="AE481" si="50">(AC481+AD481)*U481</f>
        <v>0</v>
      </c>
      <c r="AF481" s="540" t="s">
        <v>281</v>
      </c>
      <c r="AG481" s="540"/>
      <c r="AH481" s="337">
        <f>IFERROR(IF(X481="Sem projeto",1.5*AA481,AC481*VLOOKUP(AF481,Aux_Lista!AG:AH,2,FALSE)+AD481)*U481,0)</f>
        <v>0</v>
      </c>
      <c r="AI481" s="343" t="s">
        <v>90</v>
      </c>
      <c r="AJ481" s="343" t="s">
        <v>90</v>
      </c>
      <c r="AK481" s="343" t="s">
        <v>90</v>
      </c>
      <c r="AL481" s="333" t="str">
        <f t="shared" ref="AL481" si="51">IF(ISERROR((T481*U481*Y481*Z481*AA481)/1000),"",(T481*U481*Y481*Z481*AA481)/1000)</f>
        <v/>
      </c>
      <c r="AM481" s="334" t="str">
        <f t="shared" ref="AM481" si="52">IF(ISERROR((Y481*Z481*AH481)/1000),"",(Y481*Z481*AH481)/1000)</f>
        <v/>
      </c>
      <c r="AN481" s="333" t="str">
        <f t="shared" ref="AN481" si="53">IFERROR(AA481*T481*U481*Y481*Z481/1000,"")</f>
        <v/>
      </c>
      <c r="AO481" s="334" t="str">
        <f t="shared" ref="AO481" si="54">IFERROR(AB481*T481*U481*Y481*Z481/1000,"")</f>
        <v/>
      </c>
      <c r="AP481" s="44"/>
      <c r="AQ481" s="2"/>
    </row>
    <row r="482" spans="1:43" ht="24.95" customHeight="1" x14ac:dyDescent="0.25">
      <c r="A482" s="2">
        <v>442</v>
      </c>
      <c r="B482" s="349"/>
      <c r="C482" s="350"/>
      <c r="D482" s="351"/>
      <c r="E482" s="351"/>
      <c r="F482" s="336"/>
      <c r="G482" s="327"/>
      <c r="H482" s="327"/>
      <c r="I482" s="325">
        <f t="shared" si="48"/>
        <v>0</v>
      </c>
      <c r="J482" s="540" t="s">
        <v>281</v>
      </c>
      <c r="K482" s="540"/>
      <c r="L482" s="337">
        <f>IFERROR(IF(F482="Sem projeto",VLOOKUP(C482,$B$32:$H$34,7,FALSE)*1.5,G482*VLOOKUP(J482,Aux_Lista!$AG:$AH,2,FALSE)+H482)*E482,0)</f>
        <v>0</v>
      </c>
      <c r="M482" s="346" t="s">
        <v>90</v>
      </c>
      <c r="N482" s="347" t="s">
        <v>90</v>
      </c>
      <c r="O482" s="348" t="s">
        <v>90</v>
      </c>
      <c r="P482" s="386">
        <f t="shared" si="49"/>
        <v>0</v>
      </c>
      <c r="R482" s="94">
        <v>451</v>
      </c>
      <c r="S482" s="383"/>
      <c r="T482" s="214"/>
      <c r="U482" s="214"/>
      <c r="V482" s="217"/>
      <c r="W482" s="215"/>
      <c r="X482" s="336"/>
      <c r="Y482" s="68" t="str">
        <f>IF(V482="","",VLOOKUP(V482,Aux_Lista!A:K,11,FALSE))</f>
        <v/>
      </c>
      <c r="Z482" s="68" t="str">
        <f>IF(V482="","",VLOOKUP(V482,Aux_Lista!A:L,12,FALSE))</f>
        <v/>
      </c>
      <c r="AA482" s="68" t="str">
        <f>IF(W482="","",VLOOKUP(W482,Aux_Lista!AN:AP,3,FALSE))</f>
        <v/>
      </c>
      <c r="AB482" s="68" t="str">
        <f>IF(W482="","",VLOOKUP(W482,Aux_Lista!AN:AP,2,FALSE))</f>
        <v/>
      </c>
      <c r="AC482" s="69"/>
      <c r="AD482" s="69"/>
      <c r="AE482" s="325">
        <f t="shared" ref="AE482:AE531" si="55">(AC482+AD482)*U482</f>
        <v>0</v>
      </c>
      <c r="AF482" s="540" t="s">
        <v>281</v>
      </c>
      <c r="AG482" s="540"/>
      <c r="AH482" s="337">
        <f>IFERROR(IF(X482="Sem projeto",1.5*AA482,AC482*VLOOKUP(AF482,Aux_Lista!AG:AH,2,FALSE)+AD482)*U482,0)</f>
        <v>0</v>
      </c>
      <c r="AI482" s="343" t="s">
        <v>90</v>
      </c>
      <c r="AJ482" s="343" t="s">
        <v>90</v>
      </c>
      <c r="AK482" s="343" t="s">
        <v>90</v>
      </c>
      <c r="AL482" s="333" t="str">
        <f t="shared" ref="AL482:AL531" si="56">IF(ISERROR((T482*U482*Y482*Z482*AA482)/1000),"",(T482*U482*Y482*Z482*AA482)/1000)</f>
        <v/>
      </c>
      <c r="AM482" s="334" t="str">
        <f t="shared" ref="AM482:AM531" si="57">IF(ISERROR((Y482*Z482*AH482)/1000),"",(Y482*Z482*AH482)/1000)</f>
        <v/>
      </c>
      <c r="AN482" s="333" t="str">
        <f t="shared" ref="AN482:AN531" si="58">IFERROR(AA482*T482*U482*Y482*Z482/1000,"")</f>
        <v/>
      </c>
      <c r="AO482" s="334" t="str">
        <f t="shared" ref="AO482:AO531" si="59">IFERROR(AB482*T482*U482*Y482*Z482/1000,"")</f>
        <v/>
      </c>
    </row>
    <row r="483" spans="1:43" ht="24.95" customHeight="1" x14ac:dyDescent="0.25">
      <c r="A483" s="2">
        <v>443</v>
      </c>
      <c r="B483" s="349"/>
      <c r="C483" s="350"/>
      <c r="D483" s="351"/>
      <c r="E483" s="351"/>
      <c r="F483" s="336"/>
      <c r="G483" s="327"/>
      <c r="H483" s="327"/>
      <c r="I483" s="325">
        <f t="shared" si="48"/>
        <v>0</v>
      </c>
      <c r="J483" s="540" t="s">
        <v>281</v>
      </c>
      <c r="K483" s="540"/>
      <c r="L483" s="337">
        <f>IFERROR(IF(F483="Sem projeto",VLOOKUP(C483,$B$32:$H$34,7,FALSE)*1.5,G483*VLOOKUP(J483,Aux_Lista!$AG:$AH,2,FALSE)+H483)*E483,0)</f>
        <v>0</v>
      </c>
      <c r="M483" s="346" t="s">
        <v>90</v>
      </c>
      <c r="N483" s="347" t="s">
        <v>90</v>
      </c>
      <c r="O483" s="348" t="s">
        <v>90</v>
      </c>
      <c r="P483" s="386">
        <f t="shared" si="49"/>
        <v>0</v>
      </c>
      <c r="R483" s="94">
        <v>452</v>
      </c>
      <c r="S483" s="383"/>
      <c r="T483" s="214"/>
      <c r="U483" s="214"/>
      <c r="V483" s="217"/>
      <c r="W483" s="215"/>
      <c r="X483" s="336"/>
      <c r="Y483" s="68" t="str">
        <f>IF(V483="","",VLOOKUP(V483,Aux_Lista!A:K,11,FALSE))</f>
        <v/>
      </c>
      <c r="Z483" s="68" t="str">
        <f>IF(V483="","",VLOOKUP(V483,Aux_Lista!A:L,12,FALSE))</f>
        <v/>
      </c>
      <c r="AA483" s="68" t="str">
        <f>IF(W483="","",VLOOKUP(W483,Aux_Lista!AN:AP,3,FALSE))</f>
        <v/>
      </c>
      <c r="AB483" s="68" t="str">
        <f>IF(W483="","",VLOOKUP(W483,Aux_Lista!AN:AP,2,FALSE))</f>
        <v/>
      </c>
      <c r="AC483" s="69"/>
      <c r="AD483" s="69"/>
      <c r="AE483" s="325">
        <f t="shared" si="55"/>
        <v>0</v>
      </c>
      <c r="AF483" s="540" t="s">
        <v>281</v>
      </c>
      <c r="AG483" s="540"/>
      <c r="AH483" s="337">
        <f>IFERROR(IF(X483="Sem projeto",1.5*AA483,AC483*VLOOKUP(AF483,Aux_Lista!AG:AH,2,FALSE)+AD483)*U483,0)</f>
        <v>0</v>
      </c>
      <c r="AI483" s="343" t="s">
        <v>90</v>
      </c>
      <c r="AJ483" s="343" t="s">
        <v>90</v>
      </c>
      <c r="AK483" s="343" t="s">
        <v>90</v>
      </c>
      <c r="AL483" s="333" t="str">
        <f t="shared" si="56"/>
        <v/>
      </c>
      <c r="AM483" s="334" t="str">
        <f t="shared" si="57"/>
        <v/>
      </c>
      <c r="AN483" s="333" t="str">
        <f t="shared" si="58"/>
        <v/>
      </c>
      <c r="AO483" s="334" t="str">
        <f t="shared" si="59"/>
        <v/>
      </c>
    </row>
    <row r="484" spans="1:43" ht="24.95" customHeight="1" x14ac:dyDescent="0.25">
      <c r="A484" s="2">
        <v>444</v>
      </c>
      <c r="B484" s="349"/>
      <c r="C484" s="350"/>
      <c r="D484" s="351"/>
      <c r="E484" s="351"/>
      <c r="F484" s="336"/>
      <c r="G484" s="327"/>
      <c r="H484" s="327"/>
      <c r="I484" s="325">
        <f t="shared" si="48"/>
        <v>0</v>
      </c>
      <c r="J484" s="540" t="s">
        <v>281</v>
      </c>
      <c r="K484" s="540"/>
      <c r="L484" s="337">
        <f>IFERROR(IF(F484="Sem projeto",VLOOKUP(C484,$B$32:$H$34,7,FALSE)*1.5,G484*VLOOKUP(J484,Aux_Lista!$AG:$AH,2,FALSE)+H484)*E484,0)</f>
        <v>0</v>
      </c>
      <c r="M484" s="346" t="s">
        <v>90</v>
      </c>
      <c r="N484" s="347" t="s">
        <v>90</v>
      </c>
      <c r="O484" s="348" t="s">
        <v>90</v>
      </c>
      <c r="P484" s="386">
        <f t="shared" si="49"/>
        <v>0</v>
      </c>
      <c r="R484" s="94">
        <v>453</v>
      </c>
      <c r="S484" s="383"/>
      <c r="T484" s="214"/>
      <c r="U484" s="214"/>
      <c r="V484" s="217"/>
      <c r="W484" s="215"/>
      <c r="X484" s="336"/>
      <c r="Y484" s="68" t="str">
        <f>IF(V484="","",VLOOKUP(V484,Aux_Lista!A:K,11,FALSE))</f>
        <v/>
      </c>
      <c r="Z484" s="68" t="str">
        <f>IF(V484="","",VLOOKUP(V484,Aux_Lista!A:L,12,FALSE))</f>
        <v/>
      </c>
      <c r="AA484" s="68" t="str">
        <f>IF(W484="","",VLOOKUP(W484,Aux_Lista!AN:AP,3,FALSE))</f>
        <v/>
      </c>
      <c r="AB484" s="68" t="str">
        <f>IF(W484="","",VLOOKUP(W484,Aux_Lista!AN:AP,2,FALSE))</f>
        <v/>
      </c>
      <c r="AC484" s="69"/>
      <c r="AD484" s="69"/>
      <c r="AE484" s="325">
        <f t="shared" si="55"/>
        <v>0</v>
      </c>
      <c r="AF484" s="540" t="s">
        <v>281</v>
      </c>
      <c r="AG484" s="540"/>
      <c r="AH484" s="337">
        <f>IFERROR(IF(X484="Sem projeto",1.5*AA484,AC484*VLOOKUP(AF484,Aux_Lista!AG:AH,2,FALSE)+AD484)*U484,0)</f>
        <v>0</v>
      </c>
      <c r="AI484" s="343" t="s">
        <v>90</v>
      </c>
      <c r="AJ484" s="343" t="s">
        <v>90</v>
      </c>
      <c r="AK484" s="343" t="s">
        <v>90</v>
      </c>
      <c r="AL484" s="333" t="str">
        <f t="shared" si="56"/>
        <v/>
      </c>
      <c r="AM484" s="334" t="str">
        <f t="shared" si="57"/>
        <v/>
      </c>
      <c r="AN484" s="333" t="str">
        <f t="shared" si="58"/>
        <v/>
      </c>
      <c r="AO484" s="334" t="str">
        <f t="shared" si="59"/>
        <v/>
      </c>
    </row>
    <row r="485" spans="1:43" ht="24.95" customHeight="1" x14ac:dyDescent="0.25">
      <c r="A485" s="2">
        <v>445</v>
      </c>
      <c r="B485" s="349"/>
      <c r="C485" s="350"/>
      <c r="D485" s="351"/>
      <c r="E485" s="351"/>
      <c r="F485" s="336"/>
      <c r="G485" s="327"/>
      <c r="H485" s="327"/>
      <c r="I485" s="325">
        <f t="shared" si="48"/>
        <v>0</v>
      </c>
      <c r="J485" s="540" t="s">
        <v>281</v>
      </c>
      <c r="K485" s="540"/>
      <c r="L485" s="337">
        <f>IFERROR(IF(F485="Sem projeto",VLOOKUP(C485,$B$32:$H$34,7,FALSE)*1.5,G485*VLOOKUP(J485,Aux_Lista!$AG:$AH,2,FALSE)+H485)*E485,0)</f>
        <v>0</v>
      </c>
      <c r="M485" s="346" t="s">
        <v>90</v>
      </c>
      <c r="N485" s="347" t="s">
        <v>90</v>
      </c>
      <c r="O485" s="348" t="s">
        <v>90</v>
      </c>
      <c r="P485" s="386">
        <f t="shared" si="49"/>
        <v>0</v>
      </c>
      <c r="R485" s="94">
        <v>454</v>
      </c>
      <c r="S485" s="383"/>
      <c r="T485" s="214"/>
      <c r="U485" s="214"/>
      <c r="V485" s="217"/>
      <c r="W485" s="215"/>
      <c r="X485" s="336"/>
      <c r="Y485" s="68" t="str">
        <f>IF(V485="","",VLOOKUP(V485,Aux_Lista!A:K,11,FALSE))</f>
        <v/>
      </c>
      <c r="Z485" s="68" t="str">
        <f>IF(V485="","",VLOOKUP(V485,Aux_Lista!A:L,12,FALSE))</f>
        <v/>
      </c>
      <c r="AA485" s="68" t="str">
        <f>IF(W485="","",VLOOKUP(W485,Aux_Lista!AN:AP,3,FALSE))</f>
        <v/>
      </c>
      <c r="AB485" s="68" t="str">
        <f>IF(W485="","",VLOOKUP(W485,Aux_Lista!AN:AP,2,FALSE))</f>
        <v/>
      </c>
      <c r="AC485" s="69"/>
      <c r="AD485" s="69"/>
      <c r="AE485" s="325">
        <f t="shared" si="55"/>
        <v>0</v>
      </c>
      <c r="AF485" s="540" t="s">
        <v>281</v>
      </c>
      <c r="AG485" s="540"/>
      <c r="AH485" s="337">
        <f>IFERROR(IF(X485="Sem projeto",1.5*AA485,AC485*VLOOKUP(AF485,Aux_Lista!AG:AH,2,FALSE)+AD485)*U485,0)</f>
        <v>0</v>
      </c>
      <c r="AI485" s="343" t="s">
        <v>90</v>
      </c>
      <c r="AJ485" s="343" t="s">
        <v>90</v>
      </c>
      <c r="AK485" s="343" t="s">
        <v>90</v>
      </c>
      <c r="AL485" s="333" t="str">
        <f t="shared" si="56"/>
        <v/>
      </c>
      <c r="AM485" s="334" t="str">
        <f t="shared" si="57"/>
        <v/>
      </c>
      <c r="AN485" s="333" t="str">
        <f t="shared" si="58"/>
        <v/>
      </c>
      <c r="AO485" s="334" t="str">
        <f t="shared" si="59"/>
        <v/>
      </c>
    </row>
    <row r="486" spans="1:43" ht="24.95" customHeight="1" x14ac:dyDescent="0.25">
      <c r="A486" s="2">
        <v>446</v>
      </c>
      <c r="B486" s="349"/>
      <c r="C486" s="350"/>
      <c r="D486" s="351"/>
      <c r="E486" s="351"/>
      <c r="F486" s="336"/>
      <c r="G486" s="327"/>
      <c r="H486" s="327"/>
      <c r="I486" s="325">
        <f t="shared" si="48"/>
        <v>0</v>
      </c>
      <c r="J486" s="540" t="s">
        <v>281</v>
      </c>
      <c r="K486" s="540"/>
      <c r="L486" s="337">
        <f>IFERROR(IF(F486="Sem projeto",VLOOKUP(C486,$B$32:$H$34,7,FALSE)*1.5,G486*VLOOKUP(J486,Aux_Lista!$AG:$AH,2,FALSE)+H486)*E486,0)</f>
        <v>0</v>
      </c>
      <c r="M486" s="346" t="s">
        <v>90</v>
      </c>
      <c r="N486" s="347" t="s">
        <v>90</v>
      </c>
      <c r="O486" s="348" t="s">
        <v>90</v>
      </c>
      <c r="P486" s="386">
        <f t="shared" si="49"/>
        <v>0</v>
      </c>
      <c r="R486" s="94">
        <v>455</v>
      </c>
      <c r="S486" s="383"/>
      <c r="T486" s="214"/>
      <c r="U486" s="214"/>
      <c r="V486" s="217"/>
      <c r="W486" s="215"/>
      <c r="X486" s="336"/>
      <c r="Y486" s="68" t="str">
        <f>IF(V486="","",VLOOKUP(V486,Aux_Lista!A:K,11,FALSE))</f>
        <v/>
      </c>
      <c r="Z486" s="68" t="str">
        <f>IF(V486="","",VLOOKUP(V486,Aux_Lista!A:L,12,FALSE))</f>
        <v/>
      </c>
      <c r="AA486" s="68" t="str">
        <f>IF(W486="","",VLOOKUP(W486,Aux_Lista!AN:AP,3,FALSE))</f>
        <v/>
      </c>
      <c r="AB486" s="68" t="str">
        <f>IF(W486="","",VLOOKUP(W486,Aux_Lista!AN:AP,2,FALSE))</f>
        <v/>
      </c>
      <c r="AC486" s="69"/>
      <c r="AD486" s="69"/>
      <c r="AE486" s="325">
        <f t="shared" si="55"/>
        <v>0</v>
      </c>
      <c r="AF486" s="540" t="s">
        <v>281</v>
      </c>
      <c r="AG486" s="540"/>
      <c r="AH486" s="337">
        <f>IFERROR(IF(X486="Sem projeto",1.5*AA486,AC486*VLOOKUP(AF486,Aux_Lista!AG:AH,2,FALSE)+AD486)*U486,0)</f>
        <v>0</v>
      </c>
      <c r="AI486" s="343" t="s">
        <v>90</v>
      </c>
      <c r="AJ486" s="343" t="s">
        <v>90</v>
      </c>
      <c r="AK486" s="343" t="s">
        <v>90</v>
      </c>
      <c r="AL486" s="333" t="str">
        <f t="shared" si="56"/>
        <v/>
      </c>
      <c r="AM486" s="334" t="str">
        <f t="shared" si="57"/>
        <v/>
      </c>
      <c r="AN486" s="333" t="str">
        <f t="shared" si="58"/>
        <v/>
      </c>
      <c r="AO486" s="334" t="str">
        <f t="shared" si="59"/>
        <v/>
      </c>
    </row>
    <row r="487" spans="1:43" ht="24.95" customHeight="1" x14ac:dyDescent="0.25">
      <c r="A487" s="2">
        <v>447</v>
      </c>
      <c r="B487" s="349"/>
      <c r="C487" s="350"/>
      <c r="D487" s="351"/>
      <c r="E487" s="351"/>
      <c r="F487" s="336"/>
      <c r="G487" s="327"/>
      <c r="H487" s="327"/>
      <c r="I487" s="325">
        <f t="shared" si="48"/>
        <v>0</v>
      </c>
      <c r="J487" s="540" t="s">
        <v>281</v>
      </c>
      <c r="K487" s="540"/>
      <c r="L487" s="337">
        <f>IFERROR(IF(F487="Sem projeto",VLOOKUP(C487,$B$32:$H$34,7,FALSE)*1.5,G487*VLOOKUP(J487,Aux_Lista!$AG:$AH,2,FALSE)+H487)*E487,0)</f>
        <v>0</v>
      </c>
      <c r="M487" s="346" t="s">
        <v>90</v>
      </c>
      <c r="N487" s="347" t="s">
        <v>90</v>
      </c>
      <c r="O487" s="348" t="s">
        <v>90</v>
      </c>
      <c r="P487" s="386">
        <f t="shared" si="49"/>
        <v>0</v>
      </c>
      <c r="R487" s="94">
        <v>456</v>
      </c>
      <c r="S487" s="383"/>
      <c r="T487" s="214"/>
      <c r="U487" s="214"/>
      <c r="V487" s="217"/>
      <c r="W487" s="215"/>
      <c r="X487" s="336"/>
      <c r="Y487" s="68" t="str">
        <f>IF(V487="","",VLOOKUP(V487,Aux_Lista!A:K,11,FALSE))</f>
        <v/>
      </c>
      <c r="Z487" s="68" t="str">
        <f>IF(V487="","",VLOOKUP(V487,Aux_Lista!A:L,12,FALSE))</f>
        <v/>
      </c>
      <c r="AA487" s="68" t="str">
        <f>IF(W487="","",VLOOKUP(W487,Aux_Lista!AN:AP,3,FALSE))</f>
        <v/>
      </c>
      <c r="AB487" s="68" t="str">
        <f>IF(W487="","",VLOOKUP(W487,Aux_Lista!AN:AP,2,FALSE))</f>
        <v/>
      </c>
      <c r="AC487" s="69"/>
      <c r="AD487" s="69"/>
      <c r="AE487" s="325">
        <f t="shared" si="55"/>
        <v>0</v>
      </c>
      <c r="AF487" s="540" t="s">
        <v>281</v>
      </c>
      <c r="AG487" s="540"/>
      <c r="AH487" s="337">
        <f>IFERROR(IF(X487="Sem projeto",1.5*AA487,AC487*VLOOKUP(AF487,Aux_Lista!AG:AH,2,FALSE)+AD487)*U487,0)</f>
        <v>0</v>
      </c>
      <c r="AI487" s="343" t="s">
        <v>90</v>
      </c>
      <c r="AJ487" s="343" t="s">
        <v>90</v>
      </c>
      <c r="AK487" s="343" t="s">
        <v>90</v>
      </c>
      <c r="AL487" s="333" t="str">
        <f t="shared" si="56"/>
        <v/>
      </c>
      <c r="AM487" s="334" t="str">
        <f t="shared" si="57"/>
        <v/>
      </c>
      <c r="AN487" s="333" t="str">
        <f t="shared" si="58"/>
        <v/>
      </c>
      <c r="AO487" s="334" t="str">
        <f t="shared" si="59"/>
        <v/>
      </c>
    </row>
    <row r="488" spans="1:43" ht="24.95" customHeight="1" x14ac:dyDescent="0.25">
      <c r="A488" s="2">
        <v>448</v>
      </c>
      <c r="B488" s="349"/>
      <c r="C488" s="350"/>
      <c r="D488" s="351"/>
      <c r="E488" s="351"/>
      <c r="F488" s="336"/>
      <c r="G488" s="327"/>
      <c r="H488" s="327"/>
      <c r="I488" s="325">
        <f t="shared" si="48"/>
        <v>0</v>
      </c>
      <c r="J488" s="540" t="s">
        <v>281</v>
      </c>
      <c r="K488" s="540"/>
      <c r="L488" s="337">
        <f>IFERROR(IF(F488="Sem projeto",VLOOKUP(C488,$B$32:$H$34,7,FALSE)*1.5,G488*VLOOKUP(J488,Aux_Lista!$AG:$AH,2,FALSE)+H488)*E488,0)</f>
        <v>0</v>
      </c>
      <c r="M488" s="346" t="s">
        <v>90</v>
      </c>
      <c r="N488" s="347" t="s">
        <v>90</v>
      </c>
      <c r="O488" s="348" t="s">
        <v>90</v>
      </c>
      <c r="P488" s="386">
        <f t="shared" si="49"/>
        <v>0</v>
      </c>
      <c r="R488" s="94">
        <v>457</v>
      </c>
      <c r="S488" s="383"/>
      <c r="T488" s="214"/>
      <c r="U488" s="214"/>
      <c r="V488" s="217"/>
      <c r="W488" s="215"/>
      <c r="X488" s="336"/>
      <c r="Y488" s="68" t="str">
        <f>IF(V488="","",VLOOKUP(V488,Aux_Lista!A:K,11,FALSE))</f>
        <v/>
      </c>
      <c r="Z488" s="68" t="str">
        <f>IF(V488="","",VLOOKUP(V488,Aux_Lista!A:L,12,FALSE))</f>
        <v/>
      </c>
      <c r="AA488" s="68" t="str">
        <f>IF(W488="","",VLOOKUP(W488,Aux_Lista!AN:AP,3,FALSE))</f>
        <v/>
      </c>
      <c r="AB488" s="68" t="str">
        <f>IF(W488="","",VLOOKUP(W488,Aux_Lista!AN:AP,2,FALSE))</f>
        <v/>
      </c>
      <c r="AC488" s="69"/>
      <c r="AD488" s="69"/>
      <c r="AE488" s="325">
        <f t="shared" si="55"/>
        <v>0</v>
      </c>
      <c r="AF488" s="540" t="s">
        <v>281</v>
      </c>
      <c r="AG488" s="540"/>
      <c r="AH488" s="337">
        <f>IFERROR(IF(X488="Sem projeto",1.5*AA488,AC488*VLOOKUP(AF488,Aux_Lista!AG:AH,2,FALSE)+AD488)*U488,0)</f>
        <v>0</v>
      </c>
      <c r="AI488" s="343" t="s">
        <v>90</v>
      </c>
      <c r="AJ488" s="343" t="s">
        <v>90</v>
      </c>
      <c r="AK488" s="343" t="s">
        <v>90</v>
      </c>
      <c r="AL488" s="333" t="str">
        <f t="shared" si="56"/>
        <v/>
      </c>
      <c r="AM488" s="334" t="str">
        <f t="shared" si="57"/>
        <v/>
      </c>
      <c r="AN488" s="333" t="str">
        <f t="shared" si="58"/>
        <v/>
      </c>
      <c r="AO488" s="334" t="str">
        <f t="shared" si="59"/>
        <v/>
      </c>
    </row>
    <row r="489" spans="1:43" ht="24.95" customHeight="1" x14ac:dyDescent="0.25">
      <c r="A489" s="2">
        <v>449</v>
      </c>
      <c r="B489" s="349"/>
      <c r="C489" s="350"/>
      <c r="D489" s="351"/>
      <c r="E489" s="351"/>
      <c r="F489" s="336"/>
      <c r="G489" s="327"/>
      <c r="H489" s="327"/>
      <c r="I489" s="325">
        <f t="shared" ref="I489:I540" si="60">IFERROR((G489+H489+IF(F489="Sem projeto",VLOOKUP(C489,$B$32:$H$34,7,FALSE),0)*1.5)*E489,"")</f>
        <v>0</v>
      </c>
      <c r="J489" s="540" t="s">
        <v>281</v>
      </c>
      <c r="K489" s="540"/>
      <c r="L489" s="337">
        <f>IFERROR(IF(F489="Sem projeto",VLOOKUP(C489,$B$32:$H$34,7,FALSE)*1.5,G489*VLOOKUP(J489,Aux_Lista!$AG:$AH,2,FALSE)+H489)*E489,0)</f>
        <v>0</v>
      </c>
      <c r="M489" s="346" t="s">
        <v>90</v>
      </c>
      <c r="N489" s="347" t="s">
        <v>90</v>
      </c>
      <c r="O489" s="348" t="s">
        <v>90</v>
      </c>
      <c r="P489" s="386">
        <f t="shared" si="49"/>
        <v>0</v>
      </c>
      <c r="R489" s="94">
        <v>458</v>
      </c>
      <c r="S489" s="383"/>
      <c r="T489" s="214"/>
      <c r="U489" s="214"/>
      <c r="V489" s="217"/>
      <c r="W489" s="215"/>
      <c r="X489" s="336"/>
      <c r="Y489" s="68" t="str">
        <f>IF(V489="","",VLOOKUP(V489,Aux_Lista!A:K,11,FALSE))</f>
        <v/>
      </c>
      <c r="Z489" s="68" t="str">
        <f>IF(V489="","",VLOOKUP(V489,Aux_Lista!A:L,12,FALSE))</f>
        <v/>
      </c>
      <c r="AA489" s="68" t="str">
        <f>IF(W489="","",VLOOKUP(W489,Aux_Lista!AN:AP,3,FALSE))</f>
        <v/>
      </c>
      <c r="AB489" s="68" t="str">
        <f>IF(W489="","",VLOOKUP(W489,Aux_Lista!AN:AP,2,FALSE))</f>
        <v/>
      </c>
      <c r="AC489" s="69"/>
      <c r="AD489" s="69"/>
      <c r="AE489" s="325">
        <f t="shared" si="55"/>
        <v>0</v>
      </c>
      <c r="AF489" s="540" t="s">
        <v>281</v>
      </c>
      <c r="AG489" s="540"/>
      <c r="AH489" s="337">
        <f>IFERROR(IF(X489="Sem projeto",1.5*AA489,AC489*VLOOKUP(AF489,Aux_Lista!AG:AH,2,FALSE)+AD489)*U489,0)</f>
        <v>0</v>
      </c>
      <c r="AI489" s="343" t="s">
        <v>90</v>
      </c>
      <c r="AJ489" s="343" t="s">
        <v>90</v>
      </c>
      <c r="AK489" s="343" t="s">
        <v>90</v>
      </c>
      <c r="AL489" s="333" t="str">
        <f t="shared" si="56"/>
        <v/>
      </c>
      <c r="AM489" s="334" t="str">
        <f t="shared" si="57"/>
        <v/>
      </c>
      <c r="AN489" s="333" t="str">
        <f t="shared" si="58"/>
        <v/>
      </c>
      <c r="AO489" s="334" t="str">
        <f t="shared" si="59"/>
        <v/>
      </c>
    </row>
    <row r="490" spans="1:43" ht="24.95" customHeight="1" x14ac:dyDescent="0.25">
      <c r="A490" s="2">
        <v>450</v>
      </c>
      <c r="B490" s="349"/>
      <c r="C490" s="350"/>
      <c r="D490" s="351"/>
      <c r="E490" s="351"/>
      <c r="F490" s="336"/>
      <c r="G490" s="327"/>
      <c r="H490" s="327"/>
      <c r="I490" s="325">
        <f t="shared" si="60"/>
        <v>0</v>
      </c>
      <c r="J490" s="540" t="s">
        <v>281</v>
      </c>
      <c r="K490" s="540"/>
      <c r="L490" s="337">
        <f>IFERROR(IF(F490="Sem projeto",VLOOKUP(C490,$B$32:$H$34,7,FALSE)*1.5,G490*VLOOKUP(J490,Aux_Lista!$AG:$AH,2,FALSE)+H490)*E490,0)</f>
        <v>0</v>
      </c>
      <c r="M490" s="346" t="s">
        <v>90</v>
      </c>
      <c r="N490" s="347" t="s">
        <v>90</v>
      </c>
      <c r="O490" s="348" t="s">
        <v>90</v>
      </c>
      <c r="P490" s="386">
        <f t="shared" ref="P490:P540" si="61">D490*E490</f>
        <v>0</v>
      </c>
      <c r="R490" s="94">
        <v>459</v>
      </c>
      <c r="S490" s="383"/>
      <c r="T490" s="214"/>
      <c r="U490" s="214"/>
      <c r="V490" s="217"/>
      <c r="W490" s="215"/>
      <c r="X490" s="336"/>
      <c r="Y490" s="68" t="str">
        <f>IF(V490="","",VLOOKUP(V490,Aux_Lista!A:K,11,FALSE))</f>
        <v/>
      </c>
      <c r="Z490" s="68" t="str">
        <f>IF(V490="","",VLOOKUP(V490,Aux_Lista!A:L,12,FALSE))</f>
        <v/>
      </c>
      <c r="AA490" s="68" t="str">
        <f>IF(W490="","",VLOOKUP(W490,Aux_Lista!AN:AP,3,FALSE))</f>
        <v/>
      </c>
      <c r="AB490" s="68" t="str">
        <f>IF(W490="","",VLOOKUP(W490,Aux_Lista!AN:AP,2,FALSE))</f>
        <v/>
      </c>
      <c r="AC490" s="69"/>
      <c r="AD490" s="69"/>
      <c r="AE490" s="325">
        <f t="shared" si="55"/>
        <v>0</v>
      </c>
      <c r="AF490" s="540" t="s">
        <v>281</v>
      </c>
      <c r="AG490" s="540"/>
      <c r="AH490" s="337">
        <f>IFERROR(IF(X490="Sem projeto",1.5*AA490,AC490*VLOOKUP(AF490,Aux_Lista!AG:AH,2,FALSE)+AD490)*U490,0)</f>
        <v>0</v>
      </c>
      <c r="AI490" s="343" t="s">
        <v>90</v>
      </c>
      <c r="AJ490" s="343" t="s">
        <v>90</v>
      </c>
      <c r="AK490" s="343" t="s">
        <v>90</v>
      </c>
      <c r="AL490" s="333" t="str">
        <f t="shared" si="56"/>
        <v/>
      </c>
      <c r="AM490" s="334" t="str">
        <f t="shared" si="57"/>
        <v/>
      </c>
      <c r="AN490" s="333" t="str">
        <f t="shared" si="58"/>
        <v/>
      </c>
      <c r="AO490" s="334" t="str">
        <f t="shared" si="59"/>
        <v/>
      </c>
    </row>
    <row r="491" spans="1:43" ht="24.95" customHeight="1" x14ac:dyDescent="0.25">
      <c r="A491" s="2">
        <v>451</v>
      </c>
      <c r="B491" s="349"/>
      <c r="C491" s="350"/>
      <c r="D491" s="351"/>
      <c r="E491" s="351"/>
      <c r="F491" s="336"/>
      <c r="G491" s="327"/>
      <c r="H491" s="327"/>
      <c r="I491" s="325">
        <f t="shared" si="60"/>
        <v>0</v>
      </c>
      <c r="J491" s="540" t="s">
        <v>281</v>
      </c>
      <c r="K491" s="540"/>
      <c r="L491" s="337">
        <f>IFERROR(IF(F491="Sem projeto",VLOOKUP(C491,$B$32:$H$34,7,FALSE)*1.5,G491*VLOOKUP(J491,Aux_Lista!$AG:$AH,2,FALSE)+H491)*E491,0)</f>
        <v>0</v>
      </c>
      <c r="M491" s="346" t="s">
        <v>90</v>
      </c>
      <c r="N491" s="347" t="s">
        <v>90</v>
      </c>
      <c r="O491" s="348" t="s">
        <v>90</v>
      </c>
      <c r="P491" s="386">
        <f t="shared" si="61"/>
        <v>0</v>
      </c>
      <c r="R491" s="94">
        <v>460</v>
      </c>
      <c r="S491" s="383"/>
      <c r="T491" s="214"/>
      <c r="U491" s="214"/>
      <c r="V491" s="217"/>
      <c r="W491" s="215"/>
      <c r="X491" s="336"/>
      <c r="Y491" s="68" t="str">
        <f>IF(V491="","",VLOOKUP(V491,Aux_Lista!A:K,11,FALSE))</f>
        <v/>
      </c>
      <c r="Z491" s="68" t="str">
        <f>IF(V491="","",VLOOKUP(V491,Aux_Lista!A:L,12,FALSE))</f>
        <v/>
      </c>
      <c r="AA491" s="68" t="str">
        <f>IF(W491="","",VLOOKUP(W491,Aux_Lista!AN:AP,3,FALSE))</f>
        <v/>
      </c>
      <c r="AB491" s="68" t="str">
        <f>IF(W491="","",VLOOKUP(W491,Aux_Lista!AN:AP,2,FALSE))</f>
        <v/>
      </c>
      <c r="AC491" s="69"/>
      <c r="AD491" s="69"/>
      <c r="AE491" s="325">
        <f t="shared" si="55"/>
        <v>0</v>
      </c>
      <c r="AF491" s="540" t="s">
        <v>281</v>
      </c>
      <c r="AG491" s="540"/>
      <c r="AH491" s="337">
        <f>IFERROR(IF(X491="Sem projeto",1.5*AA491,AC491*VLOOKUP(AF491,Aux_Lista!AG:AH,2,FALSE)+AD491)*U491,0)</f>
        <v>0</v>
      </c>
      <c r="AI491" s="343" t="s">
        <v>90</v>
      </c>
      <c r="AJ491" s="343" t="s">
        <v>90</v>
      </c>
      <c r="AK491" s="343" t="s">
        <v>90</v>
      </c>
      <c r="AL491" s="333" t="str">
        <f t="shared" si="56"/>
        <v/>
      </c>
      <c r="AM491" s="334" t="str">
        <f t="shared" si="57"/>
        <v/>
      </c>
      <c r="AN491" s="333" t="str">
        <f t="shared" si="58"/>
        <v/>
      </c>
      <c r="AO491" s="334" t="str">
        <f t="shared" si="59"/>
        <v/>
      </c>
    </row>
    <row r="492" spans="1:43" ht="24.95" customHeight="1" x14ac:dyDescent="0.25">
      <c r="A492" s="2">
        <v>452</v>
      </c>
      <c r="B492" s="349"/>
      <c r="C492" s="350"/>
      <c r="D492" s="351"/>
      <c r="E492" s="351"/>
      <c r="F492" s="336"/>
      <c r="G492" s="327"/>
      <c r="H492" s="327"/>
      <c r="I492" s="325">
        <f t="shared" si="60"/>
        <v>0</v>
      </c>
      <c r="J492" s="540" t="s">
        <v>281</v>
      </c>
      <c r="K492" s="540"/>
      <c r="L492" s="337">
        <f>IFERROR(IF(F492="Sem projeto",VLOOKUP(C492,$B$32:$H$34,7,FALSE)*1.5,G492*VLOOKUP(J492,Aux_Lista!$AG:$AH,2,FALSE)+H492)*E492,0)</f>
        <v>0</v>
      </c>
      <c r="M492" s="346" t="s">
        <v>90</v>
      </c>
      <c r="N492" s="347" t="s">
        <v>90</v>
      </c>
      <c r="O492" s="348" t="s">
        <v>90</v>
      </c>
      <c r="P492" s="386">
        <f t="shared" si="61"/>
        <v>0</v>
      </c>
      <c r="R492" s="94">
        <v>461</v>
      </c>
      <c r="S492" s="383"/>
      <c r="T492" s="214"/>
      <c r="U492" s="214"/>
      <c r="V492" s="217"/>
      <c r="W492" s="215"/>
      <c r="X492" s="336"/>
      <c r="Y492" s="68" t="str">
        <f>IF(V492="","",VLOOKUP(V492,Aux_Lista!A:K,11,FALSE))</f>
        <v/>
      </c>
      <c r="Z492" s="68" t="str">
        <f>IF(V492="","",VLOOKUP(V492,Aux_Lista!A:L,12,FALSE))</f>
        <v/>
      </c>
      <c r="AA492" s="68" t="str">
        <f>IF(W492="","",VLOOKUP(W492,Aux_Lista!AN:AP,3,FALSE))</f>
        <v/>
      </c>
      <c r="AB492" s="68" t="str">
        <f>IF(W492="","",VLOOKUP(W492,Aux_Lista!AN:AP,2,FALSE))</f>
        <v/>
      </c>
      <c r="AC492" s="69"/>
      <c r="AD492" s="69"/>
      <c r="AE492" s="325">
        <f t="shared" si="55"/>
        <v>0</v>
      </c>
      <c r="AF492" s="540" t="s">
        <v>281</v>
      </c>
      <c r="AG492" s="540"/>
      <c r="AH492" s="337">
        <f>IFERROR(IF(X492="Sem projeto",1.5*AA492,AC492*VLOOKUP(AF492,Aux_Lista!AG:AH,2,FALSE)+AD492)*U492,0)</f>
        <v>0</v>
      </c>
      <c r="AI492" s="343" t="s">
        <v>90</v>
      </c>
      <c r="AJ492" s="343" t="s">
        <v>90</v>
      </c>
      <c r="AK492" s="343" t="s">
        <v>90</v>
      </c>
      <c r="AL492" s="333" t="str">
        <f t="shared" si="56"/>
        <v/>
      </c>
      <c r="AM492" s="334" t="str">
        <f t="shared" si="57"/>
        <v/>
      </c>
      <c r="AN492" s="333" t="str">
        <f t="shared" si="58"/>
        <v/>
      </c>
      <c r="AO492" s="334" t="str">
        <f t="shared" si="59"/>
        <v/>
      </c>
    </row>
    <row r="493" spans="1:43" ht="24.95" customHeight="1" x14ac:dyDescent="0.25">
      <c r="A493" s="2">
        <v>453</v>
      </c>
      <c r="B493" s="349"/>
      <c r="C493" s="350"/>
      <c r="D493" s="351"/>
      <c r="E493" s="351"/>
      <c r="F493" s="336"/>
      <c r="G493" s="327"/>
      <c r="H493" s="327"/>
      <c r="I493" s="325">
        <f t="shared" si="60"/>
        <v>0</v>
      </c>
      <c r="J493" s="540" t="s">
        <v>281</v>
      </c>
      <c r="K493" s="540"/>
      <c r="L493" s="337">
        <f>IFERROR(IF(F493="Sem projeto",VLOOKUP(C493,$B$32:$H$34,7,FALSE)*1.5,G493*VLOOKUP(J493,Aux_Lista!$AG:$AH,2,FALSE)+H493)*E493,0)</f>
        <v>0</v>
      </c>
      <c r="M493" s="346" t="s">
        <v>90</v>
      </c>
      <c r="N493" s="347" t="s">
        <v>90</v>
      </c>
      <c r="O493" s="348" t="s">
        <v>90</v>
      </c>
      <c r="P493" s="386">
        <f t="shared" si="61"/>
        <v>0</v>
      </c>
      <c r="R493" s="94">
        <v>462</v>
      </c>
      <c r="S493" s="383"/>
      <c r="T493" s="214"/>
      <c r="U493" s="214"/>
      <c r="V493" s="217"/>
      <c r="W493" s="215"/>
      <c r="X493" s="336"/>
      <c r="Y493" s="68" t="str">
        <f>IF(V493="","",VLOOKUP(V493,Aux_Lista!A:K,11,FALSE))</f>
        <v/>
      </c>
      <c r="Z493" s="68" t="str">
        <f>IF(V493="","",VLOOKUP(V493,Aux_Lista!A:L,12,FALSE))</f>
        <v/>
      </c>
      <c r="AA493" s="68" t="str">
        <f>IF(W493="","",VLOOKUP(W493,Aux_Lista!AN:AP,3,FALSE))</f>
        <v/>
      </c>
      <c r="AB493" s="68" t="str">
        <f>IF(W493="","",VLOOKUP(W493,Aux_Lista!AN:AP,2,FALSE))</f>
        <v/>
      </c>
      <c r="AC493" s="69"/>
      <c r="AD493" s="69"/>
      <c r="AE493" s="325">
        <f t="shared" si="55"/>
        <v>0</v>
      </c>
      <c r="AF493" s="540" t="s">
        <v>281</v>
      </c>
      <c r="AG493" s="540"/>
      <c r="AH493" s="337">
        <f>IFERROR(IF(X493="Sem projeto",1.5*AA493,AC493*VLOOKUP(AF493,Aux_Lista!AG:AH,2,FALSE)+AD493)*U493,0)</f>
        <v>0</v>
      </c>
      <c r="AI493" s="343" t="s">
        <v>90</v>
      </c>
      <c r="AJ493" s="343" t="s">
        <v>90</v>
      </c>
      <c r="AK493" s="343" t="s">
        <v>90</v>
      </c>
      <c r="AL493" s="333" t="str">
        <f t="shared" si="56"/>
        <v/>
      </c>
      <c r="AM493" s="334" t="str">
        <f t="shared" si="57"/>
        <v/>
      </c>
      <c r="AN493" s="333" t="str">
        <f t="shared" si="58"/>
        <v/>
      </c>
      <c r="AO493" s="334" t="str">
        <f t="shared" si="59"/>
        <v/>
      </c>
    </row>
    <row r="494" spans="1:43" ht="24.95" customHeight="1" x14ac:dyDescent="0.25">
      <c r="A494" s="2">
        <v>454</v>
      </c>
      <c r="B494" s="349"/>
      <c r="C494" s="350"/>
      <c r="D494" s="351"/>
      <c r="E494" s="351"/>
      <c r="F494" s="336"/>
      <c r="G494" s="327"/>
      <c r="H494" s="327"/>
      <c r="I494" s="325">
        <f t="shared" si="60"/>
        <v>0</v>
      </c>
      <c r="J494" s="540" t="s">
        <v>281</v>
      </c>
      <c r="K494" s="540"/>
      <c r="L494" s="337">
        <f>IFERROR(IF(F494="Sem projeto",VLOOKUP(C494,$B$32:$H$34,7,FALSE)*1.5,G494*VLOOKUP(J494,Aux_Lista!$AG:$AH,2,FALSE)+H494)*E494,0)</f>
        <v>0</v>
      </c>
      <c r="M494" s="346" t="s">
        <v>90</v>
      </c>
      <c r="N494" s="347" t="s">
        <v>90</v>
      </c>
      <c r="O494" s="348" t="s">
        <v>90</v>
      </c>
      <c r="P494" s="386">
        <f t="shared" si="61"/>
        <v>0</v>
      </c>
      <c r="R494" s="94">
        <v>463</v>
      </c>
      <c r="S494" s="383"/>
      <c r="T494" s="214"/>
      <c r="U494" s="214"/>
      <c r="V494" s="217"/>
      <c r="W494" s="215"/>
      <c r="X494" s="336"/>
      <c r="Y494" s="68" t="str">
        <f>IF(V494="","",VLOOKUP(V494,Aux_Lista!A:K,11,FALSE))</f>
        <v/>
      </c>
      <c r="Z494" s="68" t="str">
        <f>IF(V494="","",VLOOKUP(V494,Aux_Lista!A:L,12,FALSE))</f>
        <v/>
      </c>
      <c r="AA494" s="68" t="str">
        <f>IF(W494="","",VLOOKUP(W494,Aux_Lista!AN:AP,3,FALSE))</f>
        <v/>
      </c>
      <c r="AB494" s="68" t="str">
        <f>IF(W494="","",VLOOKUP(W494,Aux_Lista!AN:AP,2,FALSE))</f>
        <v/>
      </c>
      <c r="AC494" s="69"/>
      <c r="AD494" s="69"/>
      <c r="AE494" s="325">
        <f t="shared" si="55"/>
        <v>0</v>
      </c>
      <c r="AF494" s="540" t="s">
        <v>281</v>
      </c>
      <c r="AG494" s="540"/>
      <c r="AH494" s="337">
        <f>IFERROR(IF(X494="Sem projeto",1.5*AA494,AC494*VLOOKUP(AF494,Aux_Lista!AG:AH,2,FALSE)+AD494)*U494,0)</f>
        <v>0</v>
      </c>
      <c r="AI494" s="343" t="s">
        <v>90</v>
      </c>
      <c r="AJ494" s="343" t="s">
        <v>90</v>
      </c>
      <c r="AK494" s="343" t="s">
        <v>90</v>
      </c>
      <c r="AL494" s="333" t="str">
        <f t="shared" si="56"/>
        <v/>
      </c>
      <c r="AM494" s="334" t="str">
        <f t="shared" si="57"/>
        <v/>
      </c>
      <c r="AN494" s="333" t="str">
        <f t="shared" si="58"/>
        <v/>
      </c>
      <c r="AO494" s="334" t="str">
        <f t="shared" si="59"/>
        <v/>
      </c>
    </row>
    <row r="495" spans="1:43" ht="24.95" customHeight="1" x14ac:dyDescent="0.25">
      <c r="A495" s="2">
        <v>455</v>
      </c>
      <c r="B495" s="349"/>
      <c r="C495" s="350"/>
      <c r="D495" s="351"/>
      <c r="E495" s="351"/>
      <c r="F495" s="336"/>
      <c r="G495" s="327"/>
      <c r="H495" s="327"/>
      <c r="I495" s="325">
        <f t="shared" si="60"/>
        <v>0</v>
      </c>
      <c r="J495" s="540" t="s">
        <v>281</v>
      </c>
      <c r="K495" s="540"/>
      <c r="L495" s="337">
        <f>IFERROR(IF(F495="Sem projeto",VLOOKUP(C495,$B$32:$H$34,7,FALSE)*1.5,G495*VLOOKUP(J495,Aux_Lista!$AG:$AH,2,FALSE)+H495)*E495,0)</f>
        <v>0</v>
      </c>
      <c r="M495" s="346" t="s">
        <v>90</v>
      </c>
      <c r="N495" s="347" t="s">
        <v>90</v>
      </c>
      <c r="O495" s="348" t="s">
        <v>90</v>
      </c>
      <c r="P495" s="386">
        <f t="shared" si="61"/>
        <v>0</v>
      </c>
      <c r="R495" s="94">
        <v>464</v>
      </c>
      <c r="S495" s="383"/>
      <c r="T495" s="214"/>
      <c r="U495" s="214"/>
      <c r="V495" s="217"/>
      <c r="W495" s="215"/>
      <c r="X495" s="336"/>
      <c r="Y495" s="68" t="str">
        <f>IF(V495="","",VLOOKUP(V495,Aux_Lista!A:K,11,FALSE))</f>
        <v/>
      </c>
      <c r="Z495" s="68" t="str">
        <f>IF(V495="","",VLOOKUP(V495,Aux_Lista!A:L,12,FALSE))</f>
        <v/>
      </c>
      <c r="AA495" s="68" t="str">
        <f>IF(W495="","",VLOOKUP(W495,Aux_Lista!AN:AP,3,FALSE))</f>
        <v/>
      </c>
      <c r="AB495" s="68" t="str">
        <f>IF(W495="","",VLOOKUP(W495,Aux_Lista!AN:AP,2,FALSE))</f>
        <v/>
      </c>
      <c r="AC495" s="69"/>
      <c r="AD495" s="69"/>
      <c r="AE495" s="325">
        <f t="shared" si="55"/>
        <v>0</v>
      </c>
      <c r="AF495" s="540" t="s">
        <v>281</v>
      </c>
      <c r="AG495" s="540"/>
      <c r="AH495" s="337">
        <f>IFERROR(IF(X495="Sem projeto",1.5*AA495,AC495*VLOOKUP(AF495,Aux_Lista!AG:AH,2,FALSE)+AD495)*U495,0)</f>
        <v>0</v>
      </c>
      <c r="AI495" s="343" t="s">
        <v>90</v>
      </c>
      <c r="AJ495" s="343" t="s">
        <v>90</v>
      </c>
      <c r="AK495" s="343" t="s">
        <v>90</v>
      </c>
      <c r="AL495" s="333" t="str">
        <f t="shared" si="56"/>
        <v/>
      </c>
      <c r="AM495" s="334" t="str">
        <f t="shared" si="57"/>
        <v/>
      </c>
      <c r="AN495" s="333" t="str">
        <f t="shared" si="58"/>
        <v/>
      </c>
      <c r="AO495" s="334" t="str">
        <f t="shared" si="59"/>
        <v/>
      </c>
    </row>
    <row r="496" spans="1:43" ht="24.95" customHeight="1" x14ac:dyDescent="0.25">
      <c r="A496" s="2">
        <v>456</v>
      </c>
      <c r="B496" s="349"/>
      <c r="C496" s="350"/>
      <c r="D496" s="351"/>
      <c r="E496" s="351"/>
      <c r="F496" s="336"/>
      <c r="G496" s="327"/>
      <c r="H496" s="327"/>
      <c r="I496" s="325">
        <f t="shared" si="60"/>
        <v>0</v>
      </c>
      <c r="J496" s="540" t="s">
        <v>281</v>
      </c>
      <c r="K496" s="540"/>
      <c r="L496" s="337">
        <f>IFERROR(IF(F496="Sem projeto",VLOOKUP(C496,$B$32:$H$34,7,FALSE)*1.5,G496*VLOOKUP(J496,Aux_Lista!$AG:$AH,2,FALSE)+H496)*E496,0)</f>
        <v>0</v>
      </c>
      <c r="M496" s="346" t="s">
        <v>90</v>
      </c>
      <c r="N496" s="347" t="s">
        <v>90</v>
      </c>
      <c r="O496" s="348" t="s">
        <v>90</v>
      </c>
      <c r="P496" s="386">
        <f t="shared" si="61"/>
        <v>0</v>
      </c>
      <c r="R496" s="94">
        <v>465</v>
      </c>
      <c r="S496" s="383"/>
      <c r="T496" s="214"/>
      <c r="U496" s="214"/>
      <c r="V496" s="217"/>
      <c r="W496" s="215"/>
      <c r="X496" s="336"/>
      <c r="Y496" s="68" t="str">
        <f>IF(V496="","",VLOOKUP(V496,Aux_Lista!A:K,11,FALSE))</f>
        <v/>
      </c>
      <c r="Z496" s="68" t="str">
        <f>IF(V496="","",VLOOKUP(V496,Aux_Lista!A:L,12,FALSE))</f>
        <v/>
      </c>
      <c r="AA496" s="68" t="str">
        <f>IF(W496="","",VLOOKUP(W496,Aux_Lista!AN:AP,3,FALSE))</f>
        <v/>
      </c>
      <c r="AB496" s="68" t="str">
        <f>IF(W496="","",VLOOKUP(W496,Aux_Lista!AN:AP,2,FALSE))</f>
        <v/>
      </c>
      <c r="AC496" s="69"/>
      <c r="AD496" s="69"/>
      <c r="AE496" s="325">
        <f t="shared" si="55"/>
        <v>0</v>
      </c>
      <c r="AF496" s="540" t="s">
        <v>281</v>
      </c>
      <c r="AG496" s="540"/>
      <c r="AH496" s="337">
        <f>IFERROR(IF(X496="Sem projeto",1.5*AA496,AC496*VLOOKUP(AF496,Aux_Lista!AG:AH,2,FALSE)+AD496)*U496,0)</f>
        <v>0</v>
      </c>
      <c r="AI496" s="343" t="s">
        <v>90</v>
      </c>
      <c r="AJ496" s="343" t="s">
        <v>90</v>
      </c>
      <c r="AK496" s="343" t="s">
        <v>90</v>
      </c>
      <c r="AL496" s="333" t="str">
        <f t="shared" si="56"/>
        <v/>
      </c>
      <c r="AM496" s="334" t="str">
        <f t="shared" si="57"/>
        <v/>
      </c>
      <c r="AN496" s="333" t="str">
        <f t="shared" si="58"/>
        <v/>
      </c>
      <c r="AO496" s="334" t="str">
        <f t="shared" si="59"/>
        <v/>
      </c>
    </row>
    <row r="497" spans="1:41" ht="24.95" customHeight="1" x14ac:dyDescent="0.25">
      <c r="A497" s="2">
        <v>457</v>
      </c>
      <c r="B497" s="349"/>
      <c r="C497" s="350"/>
      <c r="D497" s="351"/>
      <c r="E497" s="351"/>
      <c r="F497" s="336"/>
      <c r="G497" s="327"/>
      <c r="H497" s="327"/>
      <c r="I497" s="325">
        <f t="shared" si="60"/>
        <v>0</v>
      </c>
      <c r="J497" s="540" t="s">
        <v>281</v>
      </c>
      <c r="K497" s="540"/>
      <c r="L497" s="337">
        <f>IFERROR(IF(F497="Sem projeto",VLOOKUP(C497,$B$32:$H$34,7,FALSE)*1.5,G497*VLOOKUP(J497,Aux_Lista!$AG:$AH,2,FALSE)+H497)*E497,0)</f>
        <v>0</v>
      </c>
      <c r="M497" s="346" t="s">
        <v>90</v>
      </c>
      <c r="N497" s="347" t="s">
        <v>90</v>
      </c>
      <c r="O497" s="348" t="s">
        <v>90</v>
      </c>
      <c r="P497" s="386">
        <f t="shared" si="61"/>
        <v>0</v>
      </c>
      <c r="R497" s="94">
        <v>466</v>
      </c>
      <c r="S497" s="383"/>
      <c r="T497" s="214"/>
      <c r="U497" s="214"/>
      <c r="V497" s="217"/>
      <c r="W497" s="215"/>
      <c r="X497" s="336"/>
      <c r="Y497" s="68" t="str">
        <f>IF(V497="","",VLOOKUP(V497,Aux_Lista!A:K,11,FALSE))</f>
        <v/>
      </c>
      <c r="Z497" s="68" t="str">
        <f>IF(V497="","",VLOOKUP(V497,Aux_Lista!A:L,12,FALSE))</f>
        <v/>
      </c>
      <c r="AA497" s="68" t="str">
        <f>IF(W497="","",VLOOKUP(W497,Aux_Lista!AN:AP,3,FALSE))</f>
        <v/>
      </c>
      <c r="AB497" s="68" t="str">
        <f>IF(W497="","",VLOOKUP(W497,Aux_Lista!AN:AP,2,FALSE))</f>
        <v/>
      </c>
      <c r="AC497" s="69"/>
      <c r="AD497" s="69"/>
      <c r="AE497" s="325">
        <f t="shared" si="55"/>
        <v>0</v>
      </c>
      <c r="AF497" s="540" t="s">
        <v>281</v>
      </c>
      <c r="AG497" s="540"/>
      <c r="AH497" s="337">
        <f>IFERROR(IF(X497="Sem projeto",1.5*AA497,AC497*VLOOKUP(AF497,Aux_Lista!AG:AH,2,FALSE)+AD497)*U497,0)</f>
        <v>0</v>
      </c>
      <c r="AI497" s="343" t="s">
        <v>90</v>
      </c>
      <c r="AJ497" s="343" t="s">
        <v>90</v>
      </c>
      <c r="AK497" s="343" t="s">
        <v>90</v>
      </c>
      <c r="AL497" s="333" t="str">
        <f t="shared" si="56"/>
        <v/>
      </c>
      <c r="AM497" s="334" t="str">
        <f t="shared" si="57"/>
        <v/>
      </c>
      <c r="AN497" s="333" t="str">
        <f t="shared" si="58"/>
        <v/>
      </c>
      <c r="AO497" s="334" t="str">
        <f t="shared" si="59"/>
        <v/>
      </c>
    </row>
    <row r="498" spans="1:41" ht="24.95" customHeight="1" x14ac:dyDescent="0.25">
      <c r="A498" s="2">
        <v>458</v>
      </c>
      <c r="B498" s="349"/>
      <c r="C498" s="350"/>
      <c r="D498" s="351"/>
      <c r="E498" s="351"/>
      <c r="F498" s="336"/>
      <c r="G498" s="327"/>
      <c r="H498" s="327"/>
      <c r="I498" s="325">
        <f t="shared" si="60"/>
        <v>0</v>
      </c>
      <c r="J498" s="540" t="s">
        <v>281</v>
      </c>
      <c r="K498" s="540"/>
      <c r="L498" s="337">
        <f>IFERROR(IF(F498="Sem projeto",VLOOKUP(C498,$B$32:$H$34,7,FALSE)*1.5,G498*VLOOKUP(J498,Aux_Lista!$AG:$AH,2,FALSE)+H498)*E498,0)</f>
        <v>0</v>
      </c>
      <c r="M498" s="346" t="s">
        <v>90</v>
      </c>
      <c r="N498" s="347" t="s">
        <v>90</v>
      </c>
      <c r="O498" s="348" t="s">
        <v>90</v>
      </c>
      <c r="P498" s="386">
        <f t="shared" si="61"/>
        <v>0</v>
      </c>
      <c r="R498" s="94">
        <v>467</v>
      </c>
      <c r="S498" s="383"/>
      <c r="T498" s="214"/>
      <c r="U498" s="214"/>
      <c r="V498" s="217"/>
      <c r="W498" s="215"/>
      <c r="X498" s="336"/>
      <c r="Y498" s="68" t="str">
        <f>IF(V498="","",VLOOKUP(V498,Aux_Lista!A:K,11,FALSE))</f>
        <v/>
      </c>
      <c r="Z498" s="68" t="str">
        <f>IF(V498="","",VLOOKUP(V498,Aux_Lista!A:L,12,FALSE))</f>
        <v/>
      </c>
      <c r="AA498" s="68" t="str">
        <f>IF(W498="","",VLOOKUP(W498,Aux_Lista!AN:AP,3,FALSE))</f>
        <v/>
      </c>
      <c r="AB498" s="68" t="str">
        <f>IF(W498="","",VLOOKUP(W498,Aux_Lista!AN:AP,2,FALSE))</f>
        <v/>
      </c>
      <c r="AC498" s="69"/>
      <c r="AD498" s="69"/>
      <c r="AE498" s="325">
        <f t="shared" si="55"/>
        <v>0</v>
      </c>
      <c r="AF498" s="540" t="s">
        <v>281</v>
      </c>
      <c r="AG498" s="540"/>
      <c r="AH498" s="337">
        <f>IFERROR(IF(X498="Sem projeto",1.5*AA498,AC498*VLOOKUP(AF498,Aux_Lista!AG:AH,2,FALSE)+AD498)*U498,0)</f>
        <v>0</v>
      </c>
      <c r="AI498" s="343" t="s">
        <v>90</v>
      </c>
      <c r="AJ498" s="343" t="s">
        <v>90</v>
      </c>
      <c r="AK498" s="343" t="s">
        <v>90</v>
      </c>
      <c r="AL498" s="333" t="str">
        <f t="shared" si="56"/>
        <v/>
      </c>
      <c r="AM498" s="334" t="str">
        <f t="shared" si="57"/>
        <v/>
      </c>
      <c r="AN498" s="333" t="str">
        <f t="shared" si="58"/>
        <v/>
      </c>
      <c r="AO498" s="334" t="str">
        <f t="shared" si="59"/>
        <v/>
      </c>
    </row>
    <row r="499" spans="1:41" ht="24.95" customHeight="1" x14ac:dyDescent="0.25">
      <c r="A499" s="2">
        <v>459</v>
      </c>
      <c r="B499" s="349"/>
      <c r="C499" s="350"/>
      <c r="D499" s="351"/>
      <c r="E499" s="351"/>
      <c r="F499" s="336"/>
      <c r="G499" s="327"/>
      <c r="H499" s="327"/>
      <c r="I499" s="325">
        <f t="shared" si="60"/>
        <v>0</v>
      </c>
      <c r="J499" s="540" t="s">
        <v>281</v>
      </c>
      <c r="K499" s="540"/>
      <c r="L499" s="337">
        <f>IFERROR(IF(F499="Sem projeto",VLOOKUP(C499,$B$32:$H$34,7,FALSE)*1.5,G499*VLOOKUP(J499,Aux_Lista!$AG:$AH,2,FALSE)+H499)*E499,0)</f>
        <v>0</v>
      </c>
      <c r="M499" s="346" t="s">
        <v>90</v>
      </c>
      <c r="N499" s="347" t="s">
        <v>90</v>
      </c>
      <c r="O499" s="348" t="s">
        <v>90</v>
      </c>
      <c r="P499" s="386">
        <f t="shared" si="61"/>
        <v>0</v>
      </c>
      <c r="R499" s="94">
        <v>468</v>
      </c>
      <c r="S499" s="383"/>
      <c r="T499" s="214"/>
      <c r="U499" s="214"/>
      <c r="V499" s="217"/>
      <c r="W499" s="215"/>
      <c r="X499" s="336"/>
      <c r="Y499" s="68" t="str">
        <f>IF(V499="","",VLOOKUP(V499,Aux_Lista!A:K,11,FALSE))</f>
        <v/>
      </c>
      <c r="Z499" s="68" t="str">
        <f>IF(V499="","",VLOOKUP(V499,Aux_Lista!A:L,12,FALSE))</f>
        <v/>
      </c>
      <c r="AA499" s="68" t="str">
        <f>IF(W499="","",VLOOKUP(W499,Aux_Lista!AN:AP,3,FALSE))</f>
        <v/>
      </c>
      <c r="AB499" s="68" t="str">
        <f>IF(W499="","",VLOOKUP(W499,Aux_Lista!AN:AP,2,FALSE))</f>
        <v/>
      </c>
      <c r="AC499" s="69"/>
      <c r="AD499" s="69"/>
      <c r="AE499" s="325">
        <f t="shared" si="55"/>
        <v>0</v>
      </c>
      <c r="AF499" s="540" t="s">
        <v>281</v>
      </c>
      <c r="AG499" s="540"/>
      <c r="AH499" s="337">
        <f>IFERROR(IF(X499="Sem projeto",1.5*AA499,AC499*VLOOKUP(AF499,Aux_Lista!AG:AH,2,FALSE)+AD499)*U499,0)</f>
        <v>0</v>
      </c>
      <c r="AI499" s="343" t="s">
        <v>90</v>
      </c>
      <c r="AJ499" s="343" t="s">
        <v>90</v>
      </c>
      <c r="AK499" s="343" t="s">
        <v>90</v>
      </c>
      <c r="AL499" s="333" t="str">
        <f t="shared" si="56"/>
        <v/>
      </c>
      <c r="AM499" s="334" t="str">
        <f t="shared" si="57"/>
        <v/>
      </c>
      <c r="AN499" s="333" t="str">
        <f t="shared" si="58"/>
        <v/>
      </c>
      <c r="AO499" s="334" t="str">
        <f t="shared" si="59"/>
        <v/>
      </c>
    </row>
    <row r="500" spans="1:41" ht="24.95" customHeight="1" x14ac:dyDescent="0.25">
      <c r="A500" s="2">
        <v>460</v>
      </c>
      <c r="B500" s="349"/>
      <c r="C500" s="350"/>
      <c r="D500" s="351"/>
      <c r="E500" s="351"/>
      <c r="F500" s="336"/>
      <c r="G500" s="327"/>
      <c r="H500" s="327"/>
      <c r="I500" s="325">
        <f t="shared" si="60"/>
        <v>0</v>
      </c>
      <c r="J500" s="540" t="s">
        <v>281</v>
      </c>
      <c r="K500" s="540"/>
      <c r="L500" s="337">
        <f>IFERROR(IF(F500="Sem projeto",VLOOKUP(C500,$B$32:$H$34,7,FALSE)*1.5,G500*VLOOKUP(J500,Aux_Lista!$AG:$AH,2,FALSE)+H500)*E500,0)</f>
        <v>0</v>
      </c>
      <c r="M500" s="346" t="s">
        <v>90</v>
      </c>
      <c r="N500" s="347" t="s">
        <v>90</v>
      </c>
      <c r="O500" s="348" t="s">
        <v>90</v>
      </c>
      <c r="P500" s="386">
        <f t="shared" si="61"/>
        <v>0</v>
      </c>
      <c r="R500" s="94">
        <v>469</v>
      </c>
      <c r="S500" s="383"/>
      <c r="T500" s="214"/>
      <c r="U500" s="214"/>
      <c r="V500" s="217"/>
      <c r="W500" s="215"/>
      <c r="X500" s="336"/>
      <c r="Y500" s="68" t="str">
        <f>IF(V500="","",VLOOKUP(V500,Aux_Lista!A:K,11,FALSE))</f>
        <v/>
      </c>
      <c r="Z500" s="68" t="str">
        <f>IF(V500="","",VLOOKUP(V500,Aux_Lista!A:L,12,FALSE))</f>
        <v/>
      </c>
      <c r="AA500" s="68" t="str">
        <f>IF(W500="","",VLOOKUP(W500,Aux_Lista!AN:AP,3,FALSE))</f>
        <v/>
      </c>
      <c r="AB500" s="68" t="str">
        <f>IF(W500="","",VLOOKUP(W500,Aux_Lista!AN:AP,2,FALSE))</f>
        <v/>
      </c>
      <c r="AC500" s="69"/>
      <c r="AD500" s="69"/>
      <c r="AE500" s="325">
        <f t="shared" si="55"/>
        <v>0</v>
      </c>
      <c r="AF500" s="540" t="s">
        <v>281</v>
      </c>
      <c r="AG500" s="540"/>
      <c r="AH500" s="337">
        <f>IFERROR(IF(X500="Sem projeto",1.5*AA500,AC500*VLOOKUP(AF500,Aux_Lista!AG:AH,2,FALSE)+AD500)*U500,0)</f>
        <v>0</v>
      </c>
      <c r="AI500" s="343" t="s">
        <v>90</v>
      </c>
      <c r="AJ500" s="343" t="s">
        <v>90</v>
      </c>
      <c r="AK500" s="343" t="s">
        <v>90</v>
      </c>
      <c r="AL500" s="333" t="str">
        <f t="shared" si="56"/>
        <v/>
      </c>
      <c r="AM500" s="334" t="str">
        <f t="shared" si="57"/>
        <v/>
      </c>
      <c r="AN500" s="333" t="str">
        <f t="shared" si="58"/>
        <v/>
      </c>
      <c r="AO500" s="334" t="str">
        <f t="shared" si="59"/>
        <v/>
      </c>
    </row>
    <row r="501" spans="1:41" ht="24.95" customHeight="1" x14ac:dyDescent="0.25">
      <c r="A501" s="2">
        <v>461</v>
      </c>
      <c r="B501" s="349"/>
      <c r="C501" s="350"/>
      <c r="D501" s="351"/>
      <c r="E501" s="351"/>
      <c r="F501" s="336"/>
      <c r="G501" s="327"/>
      <c r="H501" s="327"/>
      <c r="I501" s="325">
        <f t="shared" si="60"/>
        <v>0</v>
      </c>
      <c r="J501" s="540" t="s">
        <v>281</v>
      </c>
      <c r="K501" s="540"/>
      <c r="L501" s="337">
        <f>IFERROR(IF(F501="Sem projeto",VLOOKUP(C501,$B$32:$H$34,7,FALSE)*1.5,G501*VLOOKUP(J501,Aux_Lista!$AG:$AH,2,FALSE)+H501)*E501,0)</f>
        <v>0</v>
      </c>
      <c r="M501" s="346" t="s">
        <v>90</v>
      </c>
      <c r="N501" s="347" t="s">
        <v>90</v>
      </c>
      <c r="O501" s="348" t="s">
        <v>90</v>
      </c>
      <c r="P501" s="386">
        <f t="shared" si="61"/>
        <v>0</v>
      </c>
      <c r="R501" s="94">
        <v>470</v>
      </c>
      <c r="S501" s="383"/>
      <c r="T501" s="214"/>
      <c r="U501" s="214"/>
      <c r="V501" s="217"/>
      <c r="W501" s="215"/>
      <c r="X501" s="336"/>
      <c r="Y501" s="68" t="str">
        <f>IF(V501="","",VLOOKUP(V501,Aux_Lista!A:K,11,FALSE))</f>
        <v/>
      </c>
      <c r="Z501" s="68" t="str">
        <f>IF(V501="","",VLOOKUP(V501,Aux_Lista!A:L,12,FALSE))</f>
        <v/>
      </c>
      <c r="AA501" s="68" t="str">
        <f>IF(W501="","",VLOOKUP(W501,Aux_Lista!AN:AP,3,FALSE))</f>
        <v/>
      </c>
      <c r="AB501" s="68" t="str">
        <f>IF(W501="","",VLOOKUP(W501,Aux_Lista!AN:AP,2,FALSE))</f>
        <v/>
      </c>
      <c r="AC501" s="69"/>
      <c r="AD501" s="69"/>
      <c r="AE501" s="325">
        <f t="shared" si="55"/>
        <v>0</v>
      </c>
      <c r="AF501" s="540" t="s">
        <v>281</v>
      </c>
      <c r="AG501" s="540"/>
      <c r="AH501" s="337">
        <f>IFERROR(IF(X501="Sem projeto",1.5*AA501,AC501*VLOOKUP(AF501,Aux_Lista!AG:AH,2,FALSE)+AD501)*U501,0)</f>
        <v>0</v>
      </c>
      <c r="AI501" s="343" t="s">
        <v>90</v>
      </c>
      <c r="AJ501" s="343" t="s">
        <v>90</v>
      </c>
      <c r="AK501" s="343" t="s">
        <v>90</v>
      </c>
      <c r="AL501" s="333" t="str">
        <f t="shared" si="56"/>
        <v/>
      </c>
      <c r="AM501" s="334" t="str">
        <f t="shared" si="57"/>
        <v/>
      </c>
      <c r="AN501" s="333" t="str">
        <f t="shared" si="58"/>
        <v/>
      </c>
      <c r="AO501" s="334" t="str">
        <f t="shared" si="59"/>
        <v/>
      </c>
    </row>
    <row r="502" spans="1:41" ht="24.95" customHeight="1" x14ac:dyDescent="0.25">
      <c r="A502" s="2">
        <v>462</v>
      </c>
      <c r="B502" s="349"/>
      <c r="C502" s="350"/>
      <c r="D502" s="351"/>
      <c r="E502" s="351"/>
      <c r="F502" s="336"/>
      <c r="G502" s="327"/>
      <c r="H502" s="327"/>
      <c r="I502" s="325">
        <f t="shared" si="60"/>
        <v>0</v>
      </c>
      <c r="J502" s="540" t="s">
        <v>281</v>
      </c>
      <c r="K502" s="540"/>
      <c r="L502" s="337">
        <f>IFERROR(IF(F502="Sem projeto",VLOOKUP(C502,$B$32:$H$34,7,FALSE)*1.5,G502*VLOOKUP(J502,Aux_Lista!$AG:$AH,2,FALSE)+H502)*E502,0)</f>
        <v>0</v>
      </c>
      <c r="M502" s="346" t="s">
        <v>90</v>
      </c>
      <c r="N502" s="347" t="s">
        <v>90</v>
      </c>
      <c r="O502" s="348" t="s">
        <v>90</v>
      </c>
      <c r="P502" s="386">
        <f t="shared" si="61"/>
        <v>0</v>
      </c>
      <c r="R502" s="94">
        <v>471</v>
      </c>
      <c r="S502" s="383"/>
      <c r="T502" s="214"/>
      <c r="U502" s="214"/>
      <c r="V502" s="217"/>
      <c r="W502" s="215"/>
      <c r="X502" s="336"/>
      <c r="Y502" s="68" t="str">
        <f>IF(V502="","",VLOOKUP(V502,Aux_Lista!A:K,11,FALSE))</f>
        <v/>
      </c>
      <c r="Z502" s="68" t="str">
        <f>IF(V502="","",VLOOKUP(V502,Aux_Lista!A:L,12,FALSE))</f>
        <v/>
      </c>
      <c r="AA502" s="68" t="str">
        <f>IF(W502="","",VLOOKUP(W502,Aux_Lista!AN:AP,3,FALSE))</f>
        <v/>
      </c>
      <c r="AB502" s="68" t="str">
        <f>IF(W502="","",VLOOKUP(W502,Aux_Lista!AN:AP,2,FALSE))</f>
        <v/>
      </c>
      <c r="AC502" s="69"/>
      <c r="AD502" s="69"/>
      <c r="AE502" s="325">
        <f t="shared" si="55"/>
        <v>0</v>
      </c>
      <c r="AF502" s="540" t="s">
        <v>281</v>
      </c>
      <c r="AG502" s="540"/>
      <c r="AH502" s="337">
        <f>IFERROR(IF(X502="Sem projeto",1.5*AA502,AC502*VLOOKUP(AF502,Aux_Lista!AG:AH,2,FALSE)+AD502)*U502,0)</f>
        <v>0</v>
      </c>
      <c r="AI502" s="343" t="s">
        <v>90</v>
      </c>
      <c r="AJ502" s="343" t="s">
        <v>90</v>
      </c>
      <c r="AK502" s="343" t="s">
        <v>90</v>
      </c>
      <c r="AL502" s="333" t="str">
        <f t="shared" si="56"/>
        <v/>
      </c>
      <c r="AM502" s="334" t="str">
        <f t="shared" si="57"/>
        <v/>
      </c>
      <c r="AN502" s="333" t="str">
        <f t="shared" si="58"/>
        <v/>
      </c>
      <c r="AO502" s="334" t="str">
        <f t="shared" si="59"/>
        <v/>
      </c>
    </row>
    <row r="503" spans="1:41" ht="24.95" customHeight="1" x14ac:dyDescent="0.25">
      <c r="A503" s="2">
        <v>463</v>
      </c>
      <c r="B503" s="349"/>
      <c r="C503" s="350"/>
      <c r="D503" s="351"/>
      <c r="E503" s="351"/>
      <c r="F503" s="336"/>
      <c r="G503" s="327"/>
      <c r="H503" s="327"/>
      <c r="I503" s="325">
        <f t="shared" si="60"/>
        <v>0</v>
      </c>
      <c r="J503" s="540" t="s">
        <v>281</v>
      </c>
      <c r="K503" s="540"/>
      <c r="L503" s="337">
        <f>IFERROR(IF(F503="Sem projeto",VLOOKUP(C503,$B$32:$H$34,7,FALSE)*1.5,G503*VLOOKUP(J503,Aux_Lista!$AG:$AH,2,FALSE)+H503)*E503,0)</f>
        <v>0</v>
      </c>
      <c r="M503" s="346" t="s">
        <v>90</v>
      </c>
      <c r="N503" s="347" t="s">
        <v>90</v>
      </c>
      <c r="O503" s="348" t="s">
        <v>90</v>
      </c>
      <c r="P503" s="386">
        <f t="shared" si="61"/>
        <v>0</v>
      </c>
      <c r="R503" s="94">
        <v>472</v>
      </c>
      <c r="S503" s="383"/>
      <c r="T503" s="214"/>
      <c r="U503" s="214"/>
      <c r="V503" s="217"/>
      <c r="W503" s="215"/>
      <c r="X503" s="336"/>
      <c r="Y503" s="68" t="str">
        <f>IF(V503="","",VLOOKUP(V503,Aux_Lista!A:K,11,FALSE))</f>
        <v/>
      </c>
      <c r="Z503" s="68" t="str">
        <f>IF(V503="","",VLOOKUP(V503,Aux_Lista!A:L,12,FALSE))</f>
        <v/>
      </c>
      <c r="AA503" s="68" t="str">
        <f>IF(W503="","",VLOOKUP(W503,Aux_Lista!AN:AP,3,FALSE))</f>
        <v/>
      </c>
      <c r="AB503" s="68" t="str">
        <f>IF(W503="","",VLOOKUP(W503,Aux_Lista!AN:AP,2,FALSE))</f>
        <v/>
      </c>
      <c r="AC503" s="69"/>
      <c r="AD503" s="69"/>
      <c r="AE503" s="325">
        <f t="shared" si="55"/>
        <v>0</v>
      </c>
      <c r="AF503" s="540" t="s">
        <v>281</v>
      </c>
      <c r="AG503" s="540"/>
      <c r="AH503" s="337">
        <f>IFERROR(IF(X503="Sem projeto",1.5*AA503,AC503*VLOOKUP(AF503,Aux_Lista!AG:AH,2,FALSE)+AD503)*U503,0)</f>
        <v>0</v>
      </c>
      <c r="AI503" s="343" t="s">
        <v>90</v>
      </c>
      <c r="AJ503" s="343" t="s">
        <v>90</v>
      </c>
      <c r="AK503" s="343" t="s">
        <v>90</v>
      </c>
      <c r="AL503" s="333" t="str">
        <f t="shared" si="56"/>
        <v/>
      </c>
      <c r="AM503" s="334" t="str">
        <f t="shared" si="57"/>
        <v/>
      </c>
      <c r="AN503" s="333" t="str">
        <f t="shared" si="58"/>
        <v/>
      </c>
      <c r="AO503" s="334" t="str">
        <f t="shared" si="59"/>
        <v/>
      </c>
    </row>
    <row r="504" spans="1:41" ht="24.95" customHeight="1" x14ac:dyDescent="0.25">
      <c r="A504" s="2">
        <v>464</v>
      </c>
      <c r="B504" s="349"/>
      <c r="C504" s="350"/>
      <c r="D504" s="351"/>
      <c r="E504" s="351"/>
      <c r="F504" s="336"/>
      <c r="G504" s="327"/>
      <c r="H504" s="327"/>
      <c r="I504" s="325">
        <f t="shared" si="60"/>
        <v>0</v>
      </c>
      <c r="J504" s="540" t="s">
        <v>281</v>
      </c>
      <c r="K504" s="540"/>
      <c r="L504" s="337">
        <f>IFERROR(IF(F504="Sem projeto",VLOOKUP(C504,$B$32:$H$34,7,FALSE)*1.5,G504*VLOOKUP(J504,Aux_Lista!$AG:$AH,2,FALSE)+H504)*E504,0)</f>
        <v>0</v>
      </c>
      <c r="M504" s="346" t="s">
        <v>90</v>
      </c>
      <c r="N504" s="347" t="s">
        <v>90</v>
      </c>
      <c r="O504" s="348" t="s">
        <v>90</v>
      </c>
      <c r="P504" s="386">
        <f t="shared" si="61"/>
        <v>0</v>
      </c>
      <c r="R504" s="94">
        <v>473</v>
      </c>
      <c r="S504" s="383"/>
      <c r="T504" s="214"/>
      <c r="U504" s="214"/>
      <c r="V504" s="217"/>
      <c r="W504" s="215"/>
      <c r="X504" s="336"/>
      <c r="Y504" s="68" t="str">
        <f>IF(V504="","",VLOOKUP(V504,Aux_Lista!A:K,11,FALSE))</f>
        <v/>
      </c>
      <c r="Z504" s="68" t="str">
        <f>IF(V504="","",VLOOKUP(V504,Aux_Lista!A:L,12,FALSE))</f>
        <v/>
      </c>
      <c r="AA504" s="68" t="str">
        <f>IF(W504="","",VLOOKUP(W504,Aux_Lista!AN:AP,3,FALSE))</f>
        <v/>
      </c>
      <c r="AB504" s="68" t="str">
        <f>IF(W504="","",VLOOKUP(W504,Aux_Lista!AN:AP,2,FALSE))</f>
        <v/>
      </c>
      <c r="AC504" s="69"/>
      <c r="AD504" s="69"/>
      <c r="AE504" s="325">
        <f t="shared" si="55"/>
        <v>0</v>
      </c>
      <c r="AF504" s="540" t="s">
        <v>281</v>
      </c>
      <c r="AG504" s="540"/>
      <c r="AH504" s="337">
        <f>IFERROR(IF(X504="Sem projeto",1.5*AA504,AC504*VLOOKUP(AF504,Aux_Lista!AG:AH,2,FALSE)+AD504)*U504,0)</f>
        <v>0</v>
      </c>
      <c r="AI504" s="343" t="s">
        <v>90</v>
      </c>
      <c r="AJ504" s="343" t="s">
        <v>90</v>
      </c>
      <c r="AK504" s="343" t="s">
        <v>90</v>
      </c>
      <c r="AL504" s="333" t="str">
        <f t="shared" si="56"/>
        <v/>
      </c>
      <c r="AM504" s="334" t="str">
        <f t="shared" si="57"/>
        <v/>
      </c>
      <c r="AN504" s="333" t="str">
        <f t="shared" si="58"/>
        <v/>
      </c>
      <c r="AO504" s="334" t="str">
        <f t="shared" si="59"/>
        <v/>
      </c>
    </row>
    <row r="505" spans="1:41" ht="24.95" customHeight="1" x14ac:dyDescent="0.25">
      <c r="A505" s="2">
        <v>465</v>
      </c>
      <c r="B505" s="349"/>
      <c r="C505" s="350"/>
      <c r="D505" s="351"/>
      <c r="E505" s="351"/>
      <c r="F505" s="336"/>
      <c r="G505" s="327"/>
      <c r="H505" s="327"/>
      <c r="I505" s="325">
        <f t="shared" si="60"/>
        <v>0</v>
      </c>
      <c r="J505" s="540" t="s">
        <v>281</v>
      </c>
      <c r="K505" s="540"/>
      <c r="L505" s="337">
        <f>IFERROR(IF(F505="Sem projeto",VLOOKUP(C505,$B$32:$H$34,7,FALSE)*1.5,G505*VLOOKUP(J505,Aux_Lista!$AG:$AH,2,FALSE)+H505)*E505,0)</f>
        <v>0</v>
      </c>
      <c r="M505" s="346" t="s">
        <v>90</v>
      </c>
      <c r="N505" s="347" t="s">
        <v>90</v>
      </c>
      <c r="O505" s="348" t="s">
        <v>90</v>
      </c>
      <c r="P505" s="386">
        <f t="shared" si="61"/>
        <v>0</v>
      </c>
      <c r="R505" s="94">
        <v>474</v>
      </c>
      <c r="S505" s="383"/>
      <c r="T505" s="214"/>
      <c r="U505" s="214"/>
      <c r="V505" s="217"/>
      <c r="W505" s="215"/>
      <c r="X505" s="336"/>
      <c r="Y505" s="68" t="str">
        <f>IF(V505="","",VLOOKUP(V505,Aux_Lista!A:K,11,FALSE))</f>
        <v/>
      </c>
      <c r="Z505" s="68" t="str">
        <f>IF(V505="","",VLOOKUP(V505,Aux_Lista!A:L,12,FALSE))</f>
        <v/>
      </c>
      <c r="AA505" s="68" t="str">
        <f>IF(W505="","",VLOOKUP(W505,Aux_Lista!AN:AP,3,FALSE))</f>
        <v/>
      </c>
      <c r="AB505" s="68" t="str">
        <f>IF(W505="","",VLOOKUP(W505,Aux_Lista!AN:AP,2,FALSE))</f>
        <v/>
      </c>
      <c r="AC505" s="69"/>
      <c r="AD505" s="69"/>
      <c r="AE505" s="325">
        <f t="shared" si="55"/>
        <v>0</v>
      </c>
      <c r="AF505" s="540" t="s">
        <v>281</v>
      </c>
      <c r="AG505" s="540"/>
      <c r="AH505" s="337">
        <f>IFERROR(IF(X505="Sem projeto",1.5*AA505,AC505*VLOOKUP(AF505,Aux_Lista!AG:AH,2,FALSE)+AD505)*U505,0)</f>
        <v>0</v>
      </c>
      <c r="AI505" s="343" t="s">
        <v>90</v>
      </c>
      <c r="AJ505" s="343" t="s">
        <v>90</v>
      </c>
      <c r="AK505" s="343" t="s">
        <v>90</v>
      </c>
      <c r="AL505" s="333" t="str">
        <f t="shared" si="56"/>
        <v/>
      </c>
      <c r="AM505" s="334" t="str">
        <f t="shared" si="57"/>
        <v/>
      </c>
      <c r="AN505" s="333" t="str">
        <f t="shared" si="58"/>
        <v/>
      </c>
      <c r="AO505" s="334" t="str">
        <f t="shared" si="59"/>
        <v/>
      </c>
    </row>
    <row r="506" spans="1:41" ht="24.95" customHeight="1" x14ac:dyDescent="0.25">
      <c r="A506" s="2">
        <v>466</v>
      </c>
      <c r="B506" s="349"/>
      <c r="C506" s="350"/>
      <c r="D506" s="351"/>
      <c r="E506" s="351"/>
      <c r="F506" s="336"/>
      <c r="G506" s="327"/>
      <c r="H506" s="327"/>
      <c r="I506" s="325">
        <f t="shared" si="60"/>
        <v>0</v>
      </c>
      <c r="J506" s="540" t="s">
        <v>281</v>
      </c>
      <c r="K506" s="540"/>
      <c r="L506" s="337">
        <f>IFERROR(IF(F506="Sem projeto",VLOOKUP(C506,$B$32:$H$34,7,FALSE)*1.5,G506*VLOOKUP(J506,Aux_Lista!$AG:$AH,2,FALSE)+H506)*E506,0)</f>
        <v>0</v>
      </c>
      <c r="M506" s="346" t="s">
        <v>90</v>
      </c>
      <c r="N506" s="347" t="s">
        <v>90</v>
      </c>
      <c r="O506" s="348" t="s">
        <v>90</v>
      </c>
      <c r="P506" s="386">
        <f t="shared" si="61"/>
        <v>0</v>
      </c>
      <c r="R506" s="94">
        <v>475</v>
      </c>
      <c r="S506" s="383"/>
      <c r="T506" s="214"/>
      <c r="U506" s="214"/>
      <c r="V506" s="217"/>
      <c r="W506" s="215"/>
      <c r="X506" s="336"/>
      <c r="Y506" s="68" t="str">
        <f>IF(V506="","",VLOOKUP(V506,Aux_Lista!A:K,11,FALSE))</f>
        <v/>
      </c>
      <c r="Z506" s="68" t="str">
        <f>IF(V506="","",VLOOKUP(V506,Aux_Lista!A:L,12,FALSE))</f>
        <v/>
      </c>
      <c r="AA506" s="68" t="str">
        <f>IF(W506="","",VLOOKUP(W506,Aux_Lista!AN:AP,3,FALSE))</f>
        <v/>
      </c>
      <c r="AB506" s="68" t="str">
        <f>IF(W506="","",VLOOKUP(W506,Aux_Lista!AN:AP,2,FALSE))</f>
        <v/>
      </c>
      <c r="AC506" s="69"/>
      <c r="AD506" s="69"/>
      <c r="AE506" s="325">
        <f t="shared" si="55"/>
        <v>0</v>
      </c>
      <c r="AF506" s="540" t="s">
        <v>281</v>
      </c>
      <c r="AG506" s="540"/>
      <c r="AH506" s="337">
        <f>IFERROR(IF(X506="Sem projeto",1.5*AA506,AC506*VLOOKUP(AF506,Aux_Lista!AG:AH,2,FALSE)+AD506)*U506,0)</f>
        <v>0</v>
      </c>
      <c r="AI506" s="343" t="s">
        <v>90</v>
      </c>
      <c r="AJ506" s="343" t="s">
        <v>90</v>
      </c>
      <c r="AK506" s="343" t="s">
        <v>90</v>
      </c>
      <c r="AL506" s="333" t="str">
        <f t="shared" si="56"/>
        <v/>
      </c>
      <c r="AM506" s="334" t="str">
        <f t="shared" si="57"/>
        <v/>
      </c>
      <c r="AN506" s="333" t="str">
        <f t="shared" si="58"/>
        <v/>
      </c>
      <c r="AO506" s="334" t="str">
        <f t="shared" si="59"/>
        <v/>
      </c>
    </row>
    <row r="507" spans="1:41" ht="24.95" customHeight="1" x14ac:dyDescent="0.25">
      <c r="A507" s="2">
        <v>467</v>
      </c>
      <c r="B507" s="349"/>
      <c r="C507" s="350"/>
      <c r="D507" s="351"/>
      <c r="E507" s="351"/>
      <c r="F507" s="336"/>
      <c r="G507" s="327"/>
      <c r="H507" s="327"/>
      <c r="I507" s="325">
        <f t="shared" si="60"/>
        <v>0</v>
      </c>
      <c r="J507" s="540" t="s">
        <v>281</v>
      </c>
      <c r="K507" s="540"/>
      <c r="L507" s="337">
        <f>IFERROR(IF(F507="Sem projeto",VLOOKUP(C507,$B$32:$H$34,7,FALSE)*1.5,G507*VLOOKUP(J507,Aux_Lista!$AG:$AH,2,FALSE)+H507)*E507,0)</f>
        <v>0</v>
      </c>
      <c r="M507" s="346" t="s">
        <v>90</v>
      </c>
      <c r="N507" s="347" t="s">
        <v>90</v>
      </c>
      <c r="O507" s="348" t="s">
        <v>90</v>
      </c>
      <c r="P507" s="386">
        <f t="shared" si="61"/>
        <v>0</v>
      </c>
      <c r="R507" s="94">
        <v>476</v>
      </c>
      <c r="S507" s="383"/>
      <c r="T507" s="214"/>
      <c r="U507" s="214"/>
      <c r="V507" s="217"/>
      <c r="W507" s="215"/>
      <c r="X507" s="336"/>
      <c r="Y507" s="68" t="str">
        <f>IF(V507="","",VLOOKUP(V507,Aux_Lista!A:K,11,FALSE))</f>
        <v/>
      </c>
      <c r="Z507" s="68" t="str">
        <f>IF(V507="","",VLOOKUP(V507,Aux_Lista!A:L,12,FALSE))</f>
        <v/>
      </c>
      <c r="AA507" s="68" t="str">
        <f>IF(W507="","",VLOOKUP(W507,Aux_Lista!AN:AP,3,FALSE))</f>
        <v/>
      </c>
      <c r="AB507" s="68" t="str">
        <f>IF(W507="","",VLOOKUP(W507,Aux_Lista!AN:AP,2,FALSE))</f>
        <v/>
      </c>
      <c r="AC507" s="69"/>
      <c r="AD507" s="69"/>
      <c r="AE507" s="325">
        <f t="shared" si="55"/>
        <v>0</v>
      </c>
      <c r="AF507" s="540" t="s">
        <v>281</v>
      </c>
      <c r="AG507" s="540"/>
      <c r="AH507" s="337">
        <f>IFERROR(IF(X507="Sem projeto",1.5*AA507,AC507*VLOOKUP(AF507,Aux_Lista!AG:AH,2,FALSE)+AD507)*U507,0)</f>
        <v>0</v>
      </c>
      <c r="AI507" s="343" t="s">
        <v>90</v>
      </c>
      <c r="AJ507" s="343" t="s">
        <v>90</v>
      </c>
      <c r="AK507" s="343" t="s">
        <v>90</v>
      </c>
      <c r="AL507" s="333" t="str">
        <f t="shared" si="56"/>
        <v/>
      </c>
      <c r="AM507" s="334" t="str">
        <f t="shared" si="57"/>
        <v/>
      </c>
      <c r="AN507" s="333" t="str">
        <f t="shared" si="58"/>
        <v/>
      </c>
      <c r="AO507" s="334" t="str">
        <f t="shared" si="59"/>
        <v/>
      </c>
    </row>
    <row r="508" spans="1:41" ht="24.95" customHeight="1" x14ac:dyDescent="0.25">
      <c r="A508" s="2">
        <v>468</v>
      </c>
      <c r="B508" s="349"/>
      <c r="C508" s="350"/>
      <c r="D508" s="351"/>
      <c r="E508" s="351"/>
      <c r="F508" s="336"/>
      <c r="G508" s="327"/>
      <c r="H508" s="327"/>
      <c r="I508" s="325">
        <f t="shared" si="60"/>
        <v>0</v>
      </c>
      <c r="J508" s="540" t="s">
        <v>281</v>
      </c>
      <c r="K508" s="540"/>
      <c r="L508" s="337">
        <f>IFERROR(IF(F508="Sem projeto",VLOOKUP(C508,$B$32:$H$34,7,FALSE)*1.5,G508*VLOOKUP(J508,Aux_Lista!$AG:$AH,2,FALSE)+H508)*E508,0)</f>
        <v>0</v>
      </c>
      <c r="M508" s="346" t="s">
        <v>90</v>
      </c>
      <c r="N508" s="347" t="s">
        <v>90</v>
      </c>
      <c r="O508" s="348" t="s">
        <v>90</v>
      </c>
      <c r="P508" s="386">
        <f t="shared" si="61"/>
        <v>0</v>
      </c>
      <c r="R508" s="94">
        <v>477</v>
      </c>
      <c r="S508" s="383"/>
      <c r="T508" s="214"/>
      <c r="U508" s="214"/>
      <c r="V508" s="217"/>
      <c r="W508" s="215"/>
      <c r="X508" s="336"/>
      <c r="Y508" s="68" t="str">
        <f>IF(V508="","",VLOOKUP(V508,Aux_Lista!A:K,11,FALSE))</f>
        <v/>
      </c>
      <c r="Z508" s="68" t="str">
        <f>IF(V508="","",VLOOKUP(V508,Aux_Lista!A:L,12,FALSE))</f>
        <v/>
      </c>
      <c r="AA508" s="68" t="str">
        <f>IF(W508="","",VLOOKUP(W508,Aux_Lista!AN:AP,3,FALSE))</f>
        <v/>
      </c>
      <c r="AB508" s="68" t="str">
        <f>IF(W508="","",VLOOKUP(W508,Aux_Lista!AN:AP,2,FALSE))</f>
        <v/>
      </c>
      <c r="AC508" s="69"/>
      <c r="AD508" s="69"/>
      <c r="AE508" s="325">
        <f t="shared" si="55"/>
        <v>0</v>
      </c>
      <c r="AF508" s="540" t="s">
        <v>281</v>
      </c>
      <c r="AG508" s="540"/>
      <c r="AH508" s="337">
        <f>IFERROR(IF(X508="Sem projeto",1.5*AA508,AC508*VLOOKUP(AF508,Aux_Lista!AG:AH,2,FALSE)+AD508)*U508,0)</f>
        <v>0</v>
      </c>
      <c r="AI508" s="343" t="s">
        <v>90</v>
      </c>
      <c r="AJ508" s="343" t="s">
        <v>90</v>
      </c>
      <c r="AK508" s="343" t="s">
        <v>90</v>
      </c>
      <c r="AL508" s="333" t="str">
        <f t="shared" si="56"/>
        <v/>
      </c>
      <c r="AM508" s="334" t="str">
        <f t="shared" si="57"/>
        <v/>
      </c>
      <c r="AN508" s="333" t="str">
        <f t="shared" si="58"/>
        <v/>
      </c>
      <c r="AO508" s="334" t="str">
        <f t="shared" si="59"/>
        <v/>
      </c>
    </row>
    <row r="509" spans="1:41" ht="24.95" customHeight="1" x14ac:dyDescent="0.25">
      <c r="A509" s="2">
        <v>469</v>
      </c>
      <c r="B509" s="349"/>
      <c r="C509" s="350"/>
      <c r="D509" s="351"/>
      <c r="E509" s="351"/>
      <c r="F509" s="336"/>
      <c r="G509" s="327"/>
      <c r="H509" s="327"/>
      <c r="I509" s="325">
        <f t="shared" si="60"/>
        <v>0</v>
      </c>
      <c r="J509" s="540" t="s">
        <v>281</v>
      </c>
      <c r="K509" s="540"/>
      <c r="L509" s="337">
        <f>IFERROR(IF(F509="Sem projeto",VLOOKUP(C509,$B$32:$H$34,7,FALSE)*1.5,G509*VLOOKUP(J509,Aux_Lista!$AG:$AH,2,FALSE)+H509)*E509,0)</f>
        <v>0</v>
      </c>
      <c r="M509" s="346" t="s">
        <v>90</v>
      </c>
      <c r="N509" s="347" t="s">
        <v>90</v>
      </c>
      <c r="O509" s="348" t="s">
        <v>90</v>
      </c>
      <c r="P509" s="386">
        <f t="shared" si="61"/>
        <v>0</v>
      </c>
      <c r="R509" s="94">
        <v>478</v>
      </c>
      <c r="S509" s="383"/>
      <c r="T509" s="214"/>
      <c r="U509" s="214"/>
      <c r="V509" s="217"/>
      <c r="W509" s="215"/>
      <c r="X509" s="336"/>
      <c r="Y509" s="68" t="str">
        <f>IF(V509="","",VLOOKUP(V509,Aux_Lista!A:K,11,FALSE))</f>
        <v/>
      </c>
      <c r="Z509" s="68" t="str">
        <f>IF(V509="","",VLOOKUP(V509,Aux_Lista!A:L,12,FALSE))</f>
        <v/>
      </c>
      <c r="AA509" s="68" t="str">
        <f>IF(W509="","",VLOOKUP(W509,Aux_Lista!AN:AP,3,FALSE))</f>
        <v/>
      </c>
      <c r="AB509" s="68" t="str">
        <f>IF(W509="","",VLOOKUP(W509,Aux_Lista!AN:AP,2,FALSE))</f>
        <v/>
      </c>
      <c r="AC509" s="69"/>
      <c r="AD509" s="69"/>
      <c r="AE509" s="325">
        <f t="shared" si="55"/>
        <v>0</v>
      </c>
      <c r="AF509" s="540" t="s">
        <v>281</v>
      </c>
      <c r="AG509" s="540"/>
      <c r="AH509" s="337">
        <f>IFERROR(IF(X509="Sem projeto",1.5*AA509,AC509*VLOOKUP(AF509,Aux_Lista!AG:AH,2,FALSE)+AD509)*U509,0)</f>
        <v>0</v>
      </c>
      <c r="AI509" s="343" t="s">
        <v>90</v>
      </c>
      <c r="AJ509" s="343" t="s">
        <v>90</v>
      </c>
      <c r="AK509" s="343" t="s">
        <v>90</v>
      </c>
      <c r="AL509" s="333" t="str">
        <f t="shared" si="56"/>
        <v/>
      </c>
      <c r="AM509" s="334" t="str">
        <f t="shared" si="57"/>
        <v/>
      </c>
      <c r="AN509" s="333" t="str">
        <f t="shared" si="58"/>
        <v/>
      </c>
      <c r="AO509" s="334" t="str">
        <f t="shared" si="59"/>
        <v/>
      </c>
    </row>
    <row r="510" spans="1:41" ht="24.95" customHeight="1" x14ac:dyDescent="0.25">
      <c r="A510" s="2">
        <v>470</v>
      </c>
      <c r="B510" s="349"/>
      <c r="C510" s="350"/>
      <c r="D510" s="351"/>
      <c r="E510" s="351"/>
      <c r="F510" s="336"/>
      <c r="G510" s="327"/>
      <c r="H510" s="327"/>
      <c r="I510" s="325">
        <f t="shared" si="60"/>
        <v>0</v>
      </c>
      <c r="J510" s="540" t="s">
        <v>281</v>
      </c>
      <c r="K510" s="540"/>
      <c r="L510" s="337">
        <f>IFERROR(IF(F510="Sem projeto",VLOOKUP(C510,$B$32:$H$34,7,FALSE)*1.5,G510*VLOOKUP(J510,Aux_Lista!$AG:$AH,2,FALSE)+H510)*E510,0)</f>
        <v>0</v>
      </c>
      <c r="M510" s="346" t="s">
        <v>90</v>
      </c>
      <c r="N510" s="347" t="s">
        <v>90</v>
      </c>
      <c r="O510" s="348" t="s">
        <v>90</v>
      </c>
      <c r="P510" s="386">
        <f t="shared" si="61"/>
        <v>0</v>
      </c>
      <c r="R510" s="94">
        <v>479</v>
      </c>
      <c r="S510" s="383"/>
      <c r="T510" s="214"/>
      <c r="U510" s="214"/>
      <c r="V510" s="217"/>
      <c r="W510" s="215"/>
      <c r="X510" s="336"/>
      <c r="Y510" s="68" t="str">
        <f>IF(V510="","",VLOOKUP(V510,Aux_Lista!A:K,11,FALSE))</f>
        <v/>
      </c>
      <c r="Z510" s="68" t="str">
        <f>IF(V510="","",VLOOKUP(V510,Aux_Lista!A:L,12,FALSE))</f>
        <v/>
      </c>
      <c r="AA510" s="68" t="str">
        <f>IF(W510="","",VLOOKUP(W510,Aux_Lista!AN:AP,3,FALSE))</f>
        <v/>
      </c>
      <c r="AB510" s="68" t="str">
        <f>IF(W510="","",VLOOKUP(W510,Aux_Lista!AN:AP,2,FALSE))</f>
        <v/>
      </c>
      <c r="AC510" s="69"/>
      <c r="AD510" s="69"/>
      <c r="AE510" s="325">
        <f t="shared" si="55"/>
        <v>0</v>
      </c>
      <c r="AF510" s="540" t="s">
        <v>281</v>
      </c>
      <c r="AG510" s="540"/>
      <c r="AH510" s="337">
        <f>IFERROR(IF(X510="Sem projeto",1.5*AA510,AC510*VLOOKUP(AF510,Aux_Lista!AG:AH,2,FALSE)+AD510)*U510,0)</f>
        <v>0</v>
      </c>
      <c r="AI510" s="343" t="s">
        <v>90</v>
      </c>
      <c r="AJ510" s="343" t="s">
        <v>90</v>
      </c>
      <c r="AK510" s="343" t="s">
        <v>90</v>
      </c>
      <c r="AL510" s="333" t="str">
        <f t="shared" si="56"/>
        <v/>
      </c>
      <c r="AM510" s="334" t="str">
        <f t="shared" si="57"/>
        <v/>
      </c>
      <c r="AN510" s="333" t="str">
        <f t="shared" si="58"/>
        <v/>
      </c>
      <c r="AO510" s="334" t="str">
        <f t="shared" si="59"/>
        <v/>
      </c>
    </row>
    <row r="511" spans="1:41" ht="24.95" customHeight="1" x14ac:dyDescent="0.25">
      <c r="A511" s="2">
        <v>471</v>
      </c>
      <c r="B511" s="349"/>
      <c r="C511" s="350"/>
      <c r="D511" s="351"/>
      <c r="E511" s="351"/>
      <c r="F511" s="336"/>
      <c r="G511" s="327"/>
      <c r="H511" s="327"/>
      <c r="I511" s="325">
        <f t="shared" si="60"/>
        <v>0</v>
      </c>
      <c r="J511" s="540" t="s">
        <v>281</v>
      </c>
      <c r="K511" s="540"/>
      <c r="L511" s="337">
        <f>IFERROR(IF(F511="Sem projeto",VLOOKUP(C511,$B$32:$H$34,7,FALSE)*1.5,G511*VLOOKUP(J511,Aux_Lista!$AG:$AH,2,FALSE)+H511)*E511,0)</f>
        <v>0</v>
      </c>
      <c r="M511" s="346" t="s">
        <v>90</v>
      </c>
      <c r="N511" s="347" t="s">
        <v>90</v>
      </c>
      <c r="O511" s="348" t="s">
        <v>90</v>
      </c>
      <c r="P511" s="386">
        <f t="shared" si="61"/>
        <v>0</v>
      </c>
      <c r="R511" s="94">
        <v>480</v>
      </c>
      <c r="S511" s="383"/>
      <c r="T511" s="214"/>
      <c r="U511" s="214"/>
      <c r="V511" s="217"/>
      <c r="W511" s="215"/>
      <c r="X511" s="336"/>
      <c r="Y511" s="68" t="str">
        <f>IF(V511="","",VLOOKUP(V511,Aux_Lista!A:K,11,FALSE))</f>
        <v/>
      </c>
      <c r="Z511" s="68" t="str">
        <f>IF(V511="","",VLOOKUP(V511,Aux_Lista!A:L,12,FALSE))</f>
        <v/>
      </c>
      <c r="AA511" s="68" t="str">
        <f>IF(W511="","",VLOOKUP(W511,Aux_Lista!AN:AP,3,FALSE))</f>
        <v/>
      </c>
      <c r="AB511" s="68" t="str">
        <f>IF(W511="","",VLOOKUP(W511,Aux_Lista!AN:AP,2,FALSE))</f>
        <v/>
      </c>
      <c r="AC511" s="69"/>
      <c r="AD511" s="69"/>
      <c r="AE511" s="325">
        <f t="shared" si="55"/>
        <v>0</v>
      </c>
      <c r="AF511" s="540" t="s">
        <v>281</v>
      </c>
      <c r="AG511" s="540"/>
      <c r="AH511" s="337">
        <f>IFERROR(IF(X511="Sem projeto",1.5*AA511,AC511*VLOOKUP(AF511,Aux_Lista!AG:AH,2,FALSE)+AD511)*U511,0)</f>
        <v>0</v>
      </c>
      <c r="AI511" s="343" t="s">
        <v>90</v>
      </c>
      <c r="AJ511" s="343" t="s">
        <v>90</v>
      </c>
      <c r="AK511" s="343" t="s">
        <v>90</v>
      </c>
      <c r="AL511" s="333" t="str">
        <f t="shared" si="56"/>
        <v/>
      </c>
      <c r="AM511" s="334" t="str">
        <f t="shared" si="57"/>
        <v/>
      </c>
      <c r="AN511" s="333" t="str">
        <f t="shared" si="58"/>
        <v/>
      </c>
      <c r="AO511" s="334" t="str">
        <f t="shared" si="59"/>
        <v/>
      </c>
    </row>
    <row r="512" spans="1:41" ht="24.95" customHeight="1" x14ac:dyDescent="0.25">
      <c r="A512" s="2">
        <v>472</v>
      </c>
      <c r="B512" s="349"/>
      <c r="C512" s="350"/>
      <c r="D512" s="351"/>
      <c r="E512" s="351"/>
      <c r="F512" s="336"/>
      <c r="G512" s="327"/>
      <c r="H512" s="327"/>
      <c r="I512" s="325">
        <f t="shared" si="60"/>
        <v>0</v>
      </c>
      <c r="J512" s="540" t="s">
        <v>281</v>
      </c>
      <c r="K512" s="540"/>
      <c r="L512" s="337">
        <f>IFERROR(IF(F512="Sem projeto",VLOOKUP(C512,$B$32:$H$34,7,FALSE)*1.5,G512*VLOOKUP(J512,Aux_Lista!$AG:$AH,2,FALSE)+H512)*E512,0)</f>
        <v>0</v>
      </c>
      <c r="M512" s="346" t="s">
        <v>90</v>
      </c>
      <c r="N512" s="347" t="s">
        <v>90</v>
      </c>
      <c r="O512" s="348" t="s">
        <v>90</v>
      </c>
      <c r="P512" s="386">
        <f t="shared" si="61"/>
        <v>0</v>
      </c>
      <c r="R512" s="94">
        <v>481</v>
      </c>
      <c r="S512" s="383"/>
      <c r="T512" s="214"/>
      <c r="U512" s="214"/>
      <c r="V512" s="217"/>
      <c r="W512" s="215"/>
      <c r="X512" s="336"/>
      <c r="Y512" s="68" t="str">
        <f>IF(V512="","",VLOOKUP(V512,Aux_Lista!A:K,11,FALSE))</f>
        <v/>
      </c>
      <c r="Z512" s="68" t="str">
        <f>IF(V512="","",VLOOKUP(V512,Aux_Lista!A:L,12,FALSE))</f>
        <v/>
      </c>
      <c r="AA512" s="68" t="str">
        <f>IF(W512="","",VLOOKUP(W512,Aux_Lista!AN:AP,3,FALSE))</f>
        <v/>
      </c>
      <c r="AB512" s="68" t="str">
        <f>IF(W512="","",VLOOKUP(W512,Aux_Lista!AN:AP,2,FALSE))</f>
        <v/>
      </c>
      <c r="AC512" s="69"/>
      <c r="AD512" s="69"/>
      <c r="AE512" s="325">
        <f t="shared" si="55"/>
        <v>0</v>
      </c>
      <c r="AF512" s="540" t="s">
        <v>281</v>
      </c>
      <c r="AG512" s="540"/>
      <c r="AH512" s="337">
        <f>IFERROR(IF(X512="Sem projeto",1.5*AA512,AC512*VLOOKUP(AF512,Aux_Lista!AG:AH,2,FALSE)+AD512)*U512,0)</f>
        <v>0</v>
      </c>
      <c r="AI512" s="343" t="s">
        <v>90</v>
      </c>
      <c r="AJ512" s="343" t="s">
        <v>90</v>
      </c>
      <c r="AK512" s="343" t="s">
        <v>90</v>
      </c>
      <c r="AL512" s="333" t="str">
        <f t="shared" si="56"/>
        <v/>
      </c>
      <c r="AM512" s="334" t="str">
        <f t="shared" si="57"/>
        <v/>
      </c>
      <c r="AN512" s="333" t="str">
        <f t="shared" si="58"/>
        <v/>
      </c>
      <c r="AO512" s="334" t="str">
        <f t="shared" si="59"/>
        <v/>
      </c>
    </row>
    <row r="513" spans="1:41" ht="24.95" customHeight="1" x14ac:dyDescent="0.25">
      <c r="A513" s="2">
        <v>473</v>
      </c>
      <c r="B513" s="349"/>
      <c r="C513" s="350"/>
      <c r="D513" s="351"/>
      <c r="E513" s="351"/>
      <c r="F513" s="336"/>
      <c r="G513" s="327"/>
      <c r="H513" s="327"/>
      <c r="I513" s="325">
        <f t="shared" si="60"/>
        <v>0</v>
      </c>
      <c r="J513" s="540" t="s">
        <v>281</v>
      </c>
      <c r="K513" s="540"/>
      <c r="L513" s="337">
        <f>IFERROR(IF(F513="Sem projeto",VLOOKUP(C513,$B$32:$H$34,7,FALSE)*1.5,G513*VLOOKUP(J513,Aux_Lista!$AG:$AH,2,FALSE)+H513)*E513,0)</f>
        <v>0</v>
      </c>
      <c r="M513" s="346" t="s">
        <v>90</v>
      </c>
      <c r="N513" s="347" t="s">
        <v>90</v>
      </c>
      <c r="O513" s="348" t="s">
        <v>90</v>
      </c>
      <c r="P513" s="386">
        <f t="shared" si="61"/>
        <v>0</v>
      </c>
      <c r="R513" s="94">
        <v>482</v>
      </c>
      <c r="S513" s="383"/>
      <c r="T513" s="214"/>
      <c r="U513" s="214"/>
      <c r="V513" s="217"/>
      <c r="W513" s="215"/>
      <c r="X513" s="336"/>
      <c r="Y513" s="68" t="str">
        <f>IF(V513="","",VLOOKUP(V513,Aux_Lista!A:K,11,FALSE))</f>
        <v/>
      </c>
      <c r="Z513" s="68" t="str">
        <f>IF(V513="","",VLOOKUP(V513,Aux_Lista!A:L,12,FALSE))</f>
        <v/>
      </c>
      <c r="AA513" s="68" t="str">
        <f>IF(W513="","",VLOOKUP(W513,Aux_Lista!AN:AP,3,FALSE))</f>
        <v/>
      </c>
      <c r="AB513" s="68" t="str">
        <f>IF(W513="","",VLOOKUP(W513,Aux_Lista!AN:AP,2,FALSE))</f>
        <v/>
      </c>
      <c r="AC513" s="69"/>
      <c r="AD513" s="69"/>
      <c r="AE513" s="325">
        <f t="shared" si="55"/>
        <v>0</v>
      </c>
      <c r="AF513" s="540" t="s">
        <v>281</v>
      </c>
      <c r="AG513" s="540"/>
      <c r="AH513" s="337">
        <f>IFERROR(IF(X513="Sem projeto",1.5*AA513,AC513*VLOOKUP(AF513,Aux_Lista!AG:AH,2,FALSE)+AD513)*U513,0)</f>
        <v>0</v>
      </c>
      <c r="AI513" s="343" t="s">
        <v>90</v>
      </c>
      <c r="AJ513" s="343" t="s">
        <v>90</v>
      </c>
      <c r="AK513" s="343" t="s">
        <v>90</v>
      </c>
      <c r="AL513" s="333" t="str">
        <f t="shared" si="56"/>
        <v/>
      </c>
      <c r="AM513" s="334" t="str">
        <f t="shared" si="57"/>
        <v/>
      </c>
      <c r="AN513" s="333" t="str">
        <f t="shared" si="58"/>
        <v/>
      </c>
      <c r="AO513" s="334" t="str">
        <f t="shared" si="59"/>
        <v/>
      </c>
    </row>
    <row r="514" spans="1:41" ht="24.95" customHeight="1" x14ac:dyDescent="0.25">
      <c r="A514" s="2">
        <v>474</v>
      </c>
      <c r="B514" s="349"/>
      <c r="C514" s="350"/>
      <c r="D514" s="351"/>
      <c r="E514" s="351"/>
      <c r="F514" s="336"/>
      <c r="G514" s="327"/>
      <c r="H514" s="327"/>
      <c r="I514" s="325">
        <f t="shared" si="60"/>
        <v>0</v>
      </c>
      <c r="J514" s="540" t="s">
        <v>281</v>
      </c>
      <c r="K514" s="540"/>
      <c r="L514" s="337">
        <f>IFERROR(IF(F514="Sem projeto",VLOOKUP(C514,$B$32:$H$34,7,FALSE)*1.5,G514*VLOOKUP(J514,Aux_Lista!$AG:$AH,2,FALSE)+H514)*E514,0)</f>
        <v>0</v>
      </c>
      <c r="M514" s="346" t="s">
        <v>90</v>
      </c>
      <c r="N514" s="347" t="s">
        <v>90</v>
      </c>
      <c r="O514" s="348" t="s">
        <v>90</v>
      </c>
      <c r="P514" s="386">
        <f t="shared" si="61"/>
        <v>0</v>
      </c>
      <c r="R514" s="94">
        <v>483</v>
      </c>
      <c r="S514" s="383"/>
      <c r="T514" s="214"/>
      <c r="U514" s="214"/>
      <c r="V514" s="217"/>
      <c r="W514" s="215"/>
      <c r="X514" s="336"/>
      <c r="Y514" s="68" t="str">
        <f>IF(V514="","",VLOOKUP(V514,Aux_Lista!A:K,11,FALSE))</f>
        <v/>
      </c>
      <c r="Z514" s="68" t="str">
        <f>IF(V514="","",VLOOKUP(V514,Aux_Lista!A:L,12,FALSE))</f>
        <v/>
      </c>
      <c r="AA514" s="68" t="str">
        <f>IF(W514="","",VLOOKUP(W514,Aux_Lista!AN:AP,3,FALSE))</f>
        <v/>
      </c>
      <c r="AB514" s="68" t="str">
        <f>IF(W514="","",VLOOKUP(W514,Aux_Lista!AN:AP,2,FALSE))</f>
        <v/>
      </c>
      <c r="AC514" s="69"/>
      <c r="AD514" s="69"/>
      <c r="AE514" s="325">
        <f t="shared" si="55"/>
        <v>0</v>
      </c>
      <c r="AF514" s="540" t="s">
        <v>281</v>
      </c>
      <c r="AG514" s="540"/>
      <c r="AH514" s="337">
        <f>IFERROR(IF(X514="Sem projeto",1.5*AA514,AC514*VLOOKUP(AF514,Aux_Lista!AG:AH,2,FALSE)+AD514)*U514,0)</f>
        <v>0</v>
      </c>
      <c r="AI514" s="343" t="s">
        <v>90</v>
      </c>
      <c r="AJ514" s="343" t="s">
        <v>90</v>
      </c>
      <c r="AK514" s="343" t="s">
        <v>90</v>
      </c>
      <c r="AL514" s="333" t="str">
        <f t="shared" si="56"/>
        <v/>
      </c>
      <c r="AM514" s="334" t="str">
        <f t="shared" si="57"/>
        <v/>
      </c>
      <c r="AN514" s="333" t="str">
        <f t="shared" si="58"/>
        <v/>
      </c>
      <c r="AO514" s="334" t="str">
        <f t="shared" si="59"/>
        <v/>
      </c>
    </row>
    <row r="515" spans="1:41" ht="24.95" customHeight="1" x14ac:dyDescent="0.25">
      <c r="A515" s="2">
        <v>475</v>
      </c>
      <c r="B515" s="349"/>
      <c r="C515" s="350"/>
      <c r="D515" s="351"/>
      <c r="E515" s="351"/>
      <c r="F515" s="336"/>
      <c r="G515" s="327"/>
      <c r="H515" s="327"/>
      <c r="I515" s="325">
        <f t="shared" si="60"/>
        <v>0</v>
      </c>
      <c r="J515" s="540" t="s">
        <v>281</v>
      </c>
      <c r="K515" s="540"/>
      <c r="L515" s="337">
        <f>IFERROR(IF(F515="Sem projeto",VLOOKUP(C515,$B$32:$H$34,7,FALSE)*1.5,G515*VLOOKUP(J515,Aux_Lista!$AG:$AH,2,FALSE)+H515)*E515,0)</f>
        <v>0</v>
      </c>
      <c r="M515" s="346" t="s">
        <v>90</v>
      </c>
      <c r="N515" s="347" t="s">
        <v>90</v>
      </c>
      <c r="O515" s="348" t="s">
        <v>90</v>
      </c>
      <c r="P515" s="386">
        <f t="shared" si="61"/>
        <v>0</v>
      </c>
      <c r="R515" s="94">
        <v>484</v>
      </c>
      <c r="S515" s="383"/>
      <c r="T515" s="214"/>
      <c r="U515" s="214"/>
      <c r="V515" s="217"/>
      <c r="W515" s="215"/>
      <c r="X515" s="336"/>
      <c r="Y515" s="68" t="str">
        <f>IF(V515="","",VLOOKUP(V515,Aux_Lista!A:K,11,FALSE))</f>
        <v/>
      </c>
      <c r="Z515" s="68" t="str">
        <f>IF(V515="","",VLOOKUP(V515,Aux_Lista!A:L,12,FALSE))</f>
        <v/>
      </c>
      <c r="AA515" s="68" t="str">
        <f>IF(W515="","",VLOOKUP(W515,Aux_Lista!AN:AP,3,FALSE))</f>
        <v/>
      </c>
      <c r="AB515" s="68" t="str">
        <f>IF(W515="","",VLOOKUP(W515,Aux_Lista!AN:AP,2,FALSE))</f>
        <v/>
      </c>
      <c r="AC515" s="69"/>
      <c r="AD515" s="69"/>
      <c r="AE515" s="325">
        <f t="shared" si="55"/>
        <v>0</v>
      </c>
      <c r="AF515" s="540" t="s">
        <v>281</v>
      </c>
      <c r="AG515" s="540"/>
      <c r="AH515" s="337">
        <f>IFERROR(IF(X515="Sem projeto",1.5*AA515,AC515*VLOOKUP(AF515,Aux_Lista!AG:AH,2,FALSE)+AD515)*U515,0)</f>
        <v>0</v>
      </c>
      <c r="AI515" s="343" t="s">
        <v>90</v>
      </c>
      <c r="AJ515" s="343" t="s">
        <v>90</v>
      </c>
      <c r="AK515" s="343" t="s">
        <v>90</v>
      </c>
      <c r="AL515" s="333" t="str">
        <f t="shared" si="56"/>
        <v/>
      </c>
      <c r="AM515" s="334" t="str">
        <f t="shared" si="57"/>
        <v/>
      </c>
      <c r="AN515" s="333" t="str">
        <f t="shared" si="58"/>
        <v/>
      </c>
      <c r="AO515" s="334" t="str">
        <f t="shared" si="59"/>
        <v/>
      </c>
    </row>
    <row r="516" spans="1:41" ht="24.95" customHeight="1" x14ac:dyDescent="0.25">
      <c r="A516" s="2">
        <v>476</v>
      </c>
      <c r="B516" s="349"/>
      <c r="C516" s="350"/>
      <c r="D516" s="351"/>
      <c r="E516" s="351"/>
      <c r="F516" s="336"/>
      <c r="G516" s="327"/>
      <c r="H516" s="327"/>
      <c r="I516" s="325">
        <f t="shared" si="60"/>
        <v>0</v>
      </c>
      <c r="J516" s="540" t="s">
        <v>281</v>
      </c>
      <c r="K516" s="540"/>
      <c r="L516" s="337">
        <f>IFERROR(IF(F516="Sem projeto",VLOOKUP(C516,$B$32:$H$34,7,FALSE)*1.5,G516*VLOOKUP(J516,Aux_Lista!$AG:$AH,2,FALSE)+H516)*E516,0)</f>
        <v>0</v>
      </c>
      <c r="M516" s="346" t="s">
        <v>90</v>
      </c>
      <c r="N516" s="347" t="s">
        <v>90</v>
      </c>
      <c r="O516" s="348" t="s">
        <v>90</v>
      </c>
      <c r="P516" s="386">
        <f t="shared" si="61"/>
        <v>0</v>
      </c>
      <c r="R516" s="94">
        <v>485</v>
      </c>
      <c r="S516" s="383"/>
      <c r="T516" s="214"/>
      <c r="U516" s="214"/>
      <c r="V516" s="217"/>
      <c r="W516" s="215"/>
      <c r="X516" s="336"/>
      <c r="Y516" s="68" t="str">
        <f>IF(V516="","",VLOOKUP(V516,Aux_Lista!A:K,11,FALSE))</f>
        <v/>
      </c>
      <c r="Z516" s="68" t="str">
        <f>IF(V516="","",VLOOKUP(V516,Aux_Lista!A:L,12,FALSE))</f>
        <v/>
      </c>
      <c r="AA516" s="68" t="str">
        <f>IF(W516="","",VLOOKUP(W516,Aux_Lista!AN:AP,3,FALSE))</f>
        <v/>
      </c>
      <c r="AB516" s="68" t="str">
        <f>IF(W516="","",VLOOKUP(W516,Aux_Lista!AN:AP,2,FALSE))</f>
        <v/>
      </c>
      <c r="AC516" s="69"/>
      <c r="AD516" s="69"/>
      <c r="AE516" s="325">
        <f t="shared" si="55"/>
        <v>0</v>
      </c>
      <c r="AF516" s="540" t="s">
        <v>281</v>
      </c>
      <c r="AG516" s="540"/>
      <c r="AH516" s="337">
        <f>IFERROR(IF(X516="Sem projeto",1.5*AA516,AC516*VLOOKUP(AF516,Aux_Lista!AG:AH,2,FALSE)+AD516)*U516,0)</f>
        <v>0</v>
      </c>
      <c r="AI516" s="343" t="s">
        <v>90</v>
      </c>
      <c r="AJ516" s="343" t="s">
        <v>90</v>
      </c>
      <c r="AK516" s="343" t="s">
        <v>90</v>
      </c>
      <c r="AL516" s="333" t="str">
        <f t="shared" si="56"/>
        <v/>
      </c>
      <c r="AM516" s="334" t="str">
        <f t="shared" si="57"/>
        <v/>
      </c>
      <c r="AN516" s="333" t="str">
        <f t="shared" si="58"/>
        <v/>
      </c>
      <c r="AO516" s="334" t="str">
        <f t="shared" si="59"/>
        <v/>
      </c>
    </row>
    <row r="517" spans="1:41" ht="24.95" customHeight="1" x14ac:dyDescent="0.25">
      <c r="A517" s="2">
        <v>477</v>
      </c>
      <c r="B517" s="349"/>
      <c r="C517" s="350"/>
      <c r="D517" s="351"/>
      <c r="E517" s="351"/>
      <c r="F517" s="336"/>
      <c r="G517" s="327"/>
      <c r="H517" s="327"/>
      <c r="I517" s="325">
        <f t="shared" si="60"/>
        <v>0</v>
      </c>
      <c r="J517" s="540" t="s">
        <v>281</v>
      </c>
      <c r="K517" s="540"/>
      <c r="L517" s="337">
        <f>IFERROR(IF(F517="Sem projeto",VLOOKUP(C517,$B$32:$H$34,7,FALSE)*1.5,G517*VLOOKUP(J517,Aux_Lista!$AG:$AH,2,FALSE)+H517)*E517,0)</f>
        <v>0</v>
      </c>
      <c r="M517" s="346" t="s">
        <v>90</v>
      </c>
      <c r="N517" s="347" t="s">
        <v>90</v>
      </c>
      <c r="O517" s="348" t="s">
        <v>90</v>
      </c>
      <c r="P517" s="386">
        <f t="shared" si="61"/>
        <v>0</v>
      </c>
      <c r="R517" s="94">
        <v>486</v>
      </c>
      <c r="S517" s="383"/>
      <c r="T517" s="214"/>
      <c r="U517" s="214"/>
      <c r="V517" s="217"/>
      <c r="W517" s="215"/>
      <c r="X517" s="336"/>
      <c r="Y517" s="68" t="str">
        <f>IF(V517="","",VLOOKUP(V517,Aux_Lista!A:K,11,FALSE))</f>
        <v/>
      </c>
      <c r="Z517" s="68" t="str">
        <f>IF(V517="","",VLOOKUP(V517,Aux_Lista!A:L,12,FALSE))</f>
        <v/>
      </c>
      <c r="AA517" s="68" t="str">
        <f>IF(W517="","",VLOOKUP(W517,Aux_Lista!AN:AP,3,FALSE))</f>
        <v/>
      </c>
      <c r="AB517" s="68" t="str">
        <f>IF(W517="","",VLOOKUP(W517,Aux_Lista!AN:AP,2,FALSE))</f>
        <v/>
      </c>
      <c r="AC517" s="69"/>
      <c r="AD517" s="69"/>
      <c r="AE517" s="325">
        <f t="shared" si="55"/>
        <v>0</v>
      </c>
      <c r="AF517" s="540" t="s">
        <v>281</v>
      </c>
      <c r="AG517" s="540"/>
      <c r="AH517" s="337">
        <f>IFERROR(IF(X517="Sem projeto",1.5*AA517,AC517*VLOOKUP(AF517,Aux_Lista!AG:AH,2,FALSE)+AD517)*U517,0)</f>
        <v>0</v>
      </c>
      <c r="AI517" s="343" t="s">
        <v>90</v>
      </c>
      <c r="AJ517" s="343" t="s">
        <v>90</v>
      </c>
      <c r="AK517" s="343" t="s">
        <v>90</v>
      </c>
      <c r="AL517" s="333" t="str">
        <f t="shared" si="56"/>
        <v/>
      </c>
      <c r="AM517" s="334" t="str">
        <f t="shared" si="57"/>
        <v/>
      </c>
      <c r="AN517" s="333" t="str">
        <f t="shared" si="58"/>
        <v/>
      </c>
      <c r="AO517" s="334" t="str">
        <f t="shared" si="59"/>
        <v/>
      </c>
    </row>
    <row r="518" spans="1:41" ht="24.95" customHeight="1" x14ac:dyDescent="0.25">
      <c r="A518" s="2">
        <v>478</v>
      </c>
      <c r="B518" s="349"/>
      <c r="C518" s="350"/>
      <c r="D518" s="351"/>
      <c r="E518" s="351"/>
      <c r="F518" s="336"/>
      <c r="G518" s="327"/>
      <c r="H518" s="327"/>
      <c r="I518" s="325">
        <f t="shared" si="60"/>
        <v>0</v>
      </c>
      <c r="J518" s="540" t="s">
        <v>281</v>
      </c>
      <c r="K518" s="540"/>
      <c r="L518" s="337">
        <f>IFERROR(IF(F518="Sem projeto",VLOOKUP(C518,$B$32:$H$34,7,FALSE)*1.5,G518*VLOOKUP(J518,Aux_Lista!$AG:$AH,2,FALSE)+H518)*E518,0)</f>
        <v>0</v>
      </c>
      <c r="M518" s="346" t="s">
        <v>90</v>
      </c>
      <c r="N518" s="347" t="s">
        <v>90</v>
      </c>
      <c r="O518" s="348" t="s">
        <v>90</v>
      </c>
      <c r="P518" s="386">
        <f t="shared" si="61"/>
        <v>0</v>
      </c>
      <c r="R518" s="94">
        <v>487</v>
      </c>
      <c r="S518" s="383"/>
      <c r="T518" s="214"/>
      <c r="U518" s="214"/>
      <c r="V518" s="217"/>
      <c r="W518" s="215"/>
      <c r="X518" s="336"/>
      <c r="Y518" s="68" t="str">
        <f>IF(V518="","",VLOOKUP(V518,Aux_Lista!A:K,11,FALSE))</f>
        <v/>
      </c>
      <c r="Z518" s="68" t="str">
        <f>IF(V518="","",VLOOKUP(V518,Aux_Lista!A:L,12,FALSE))</f>
        <v/>
      </c>
      <c r="AA518" s="68" t="str">
        <f>IF(W518="","",VLOOKUP(W518,Aux_Lista!AN:AP,3,FALSE))</f>
        <v/>
      </c>
      <c r="AB518" s="68" t="str">
        <f>IF(W518="","",VLOOKUP(W518,Aux_Lista!AN:AP,2,FALSE))</f>
        <v/>
      </c>
      <c r="AC518" s="69"/>
      <c r="AD518" s="69"/>
      <c r="AE518" s="325">
        <f t="shared" si="55"/>
        <v>0</v>
      </c>
      <c r="AF518" s="540" t="s">
        <v>281</v>
      </c>
      <c r="AG518" s="540"/>
      <c r="AH518" s="337">
        <f>IFERROR(IF(X518="Sem projeto",1.5*AA518,AC518*VLOOKUP(AF518,Aux_Lista!AG:AH,2,FALSE)+AD518)*U518,0)</f>
        <v>0</v>
      </c>
      <c r="AI518" s="343" t="s">
        <v>90</v>
      </c>
      <c r="AJ518" s="343" t="s">
        <v>90</v>
      </c>
      <c r="AK518" s="343" t="s">
        <v>90</v>
      </c>
      <c r="AL518" s="333" t="str">
        <f t="shared" si="56"/>
        <v/>
      </c>
      <c r="AM518" s="334" t="str">
        <f t="shared" si="57"/>
        <v/>
      </c>
      <c r="AN518" s="333" t="str">
        <f t="shared" si="58"/>
        <v/>
      </c>
      <c r="AO518" s="334" t="str">
        <f t="shared" si="59"/>
        <v/>
      </c>
    </row>
    <row r="519" spans="1:41" ht="24.95" customHeight="1" x14ac:dyDescent="0.25">
      <c r="A519" s="2">
        <v>479</v>
      </c>
      <c r="B519" s="349"/>
      <c r="C519" s="350"/>
      <c r="D519" s="351"/>
      <c r="E519" s="351"/>
      <c r="F519" s="336"/>
      <c r="G519" s="327"/>
      <c r="H519" s="327"/>
      <c r="I519" s="325">
        <f t="shared" si="60"/>
        <v>0</v>
      </c>
      <c r="J519" s="540" t="s">
        <v>281</v>
      </c>
      <c r="K519" s="540"/>
      <c r="L519" s="337">
        <f>IFERROR(IF(F519="Sem projeto",VLOOKUP(C519,$B$32:$H$34,7,FALSE)*1.5,G519*VLOOKUP(J519,Aux_Lista!$AG:$AH,2,FALSE)+H519)*E519,0)</f>
        <v>0</v>
      </c>
      <c r="M519" s="346" t="s">
        <v>90</v>
      </c>
      <c r="N519" s="347" t="s">
        <v>90</v>
      </c>
      <c r="O519" s="348" t="s">
        <v>90</v>
      </c>
      <c r="P519" s="386">
        <f t="shared" si="61"/>
        <v>0</v>
      </c>
      <c r="R519" s="94">
        <v>488</v>
      </c>
      <c r="S519" s="383"/>
      <c r="T519" s="214"/>
      <c r="U519" s="214"/>
      <c r="V519" s="217"/>
      <c r="W519" s="215"/>
      <c r="X519" s="336"/>
      <c r="Y519" s="68" t="str">
        <f>IF(V519="","",VLOOKUP(V519,Aux_Lista!A:K,11,FALSE))</f>
        <v/>
      </c>
      <c r="Z519" s="68" t="str">
        <f>IF(V519="","",VLOOKUP(V519,Aux_Lista!A:L,12,FALSE))</f>
        <v/>
      </c>
      <c r="AA519" s="68" t="str">
        <f>IF(W519="","",VLOOKUP(W519,Aux_Lista!AN:AP,3,FALSE))</f>
        <v/>
      </c>
      <c r="AB519" s="68" t="str">
        <f>IF(W519="","",VLOOKUP(W519,Aux_Lista!AN:AP,2,FALSE))</f>
        <v/>
      </c>
      <c r="AC519" s="69"/>
      <c r="AD519" s="69"/>
      <c r="AE519" s="325">
        <f t="shared" si="55"/>
        <v>0</v>
      </c>
      <c r="AF519" s="540" t="s">
        <v>281</v>
      </c>
      <c r="AG519" s="540"/>
      <c r="AH519" s="337">
        <f>IFERROR(IF(X519="Sem projeto",1.5*AA519,AC519*VLOOKUP(AF519,Aux_Lista!AG:AH,2,FALSE)+AD519)*U519,0)</f>
        <v>0</v>
      </c>
      <c r="AI519" s="343" t="s">
        <v>90</v>
      </c>
      <c r="AJ519" s="343" t="s">
        <v>90</v>
      </c>
      <c r="AK519" s="343" t="s">
        <v>90</v>
      </c>
      <c r="AL519" s="333" t="str">
        <f t="shared" si="56"/>
        <v/>
      </c>
      <c r="AM519" s="334" t="str">
        <f t="shared" si="57"/>
        <v/>
      </c>
      <c r="AN519" s="333" t="str">
        <f t="shared" si="58"/>
        <v/>
      </c>
      <c r="AO519" s="334" t="str">
        <f t="shared" si="59"/>
        <v/>
      </c>
    </row>
    <row r="520" spans="1:41" ht="24.95" customHeight="1" x14ac:dyDescent="0.25">
      <c r="A520" s="2">
        <v>480</v>
      </c>
      <c r="B520" s="349"/>
      <c r="C520" s="350"/>
      <c r="D520" s="351"/>
      <c r="E520" s="351"/>
      <c r="F520" s="336"/>
      <c r="G520" s="327"/>
      <c r="H520" s="327"/>
      <c r="I520" s="325">
        <f t="shared" si="60"/>
        <v>0</v>
      </c>
      <c r="J520" s="540" t="s">
        <v>281</v>
      </c>
      <c r="K520" s="540"/>
      <c r="L520" s="337">
        <f>IFERROR(IF(F520="Sem projeto",VLOOKUP(C520,$B$32:$H$34,7,FALSE)*1.5,G520*VLOOKUP(J520,Aux_Lista!$AG:$AH,2,FALSE)+H520)*E520,0)</f>
        <v>0</v>
      </c>
      <c r="M520" s="346" t="s">
        <v>90</v>
      </c>
      <c r="N520" s="347" t="s">
        <v>90</v>
      </c>
      <c r="O520" s="348" t="s">
        <v>90</v>
      </c>
      <c r="P520" s="386">
        <f t="shared" si="61"/>
        <v>0</v>
      </c>
      <c r="R520" s="94">
        <v>489</v>
      </c>
      <c r="S520" s="383"/>
      <c r="T520" s="214"/>
      <c r="U520" s="214"/>
      <c r="V520" s="217"/>
      <c r="W520" s="215"/>
      <c r="X520" s="336"/>
      <c r="Y520" s="68" t="str">
        <f>IF(V520="","",VLOOKUP(V520,Aux_Lista!A:K,11,FALSE))</f>
        <v/>
      </c>
      <c r="Z520" s="68" t="str">
        <f>IF(V520="","",VLOOKUP(V520,Aux_Lista!A:L,12,FALSE))</f>
        <v/>
      </c>
      <c r="AA520" s="68" t="str">
        <f>IF(W520="","",VLOOKUP(W520,Aux_Lista!AN:AP,3,FALSE))</f>
        <v/>
      </c>
      <c r="AB520" s="68" t="str">
        <f>IF(W520="","",VLOOKUP(W520,Aux_Lista!AN:AP,2,FALSE))</f>
        <v/>
      </c>
      <c r="AC520" s="69"/>
      <c r="AD520" s="69"/>
      <c r="AE520" s="325">
        <f t="shared" si="55"/>
        <v>0</v>
      </c>
      <c r="AF520" s="540" t="s">
        <v>281</v>
      </c>
      <c r="AG520" s="540"/>
      <c r="AH520" s="337">
        <f>IFERROR(IF(X520="Sem projeto",1.5*AA520,AC520*VLOOKUP(AF520,Aux_Lista!AG:AH,2,FALSE)+AD520)*U520,0)</f>
        <v>0</v>
      </c>
      <c r="AI520" s="343" t="s">
        <v>90</v>
      </c>
      <c r="AJ520" s="343" t="s">
        <v>90</v>
      </c>
      <c r="AK520" s="343" t="s">
        <v>90</v>
      </c>
      <c r="AL520" s="333" t="str">
        <f t="shared" si="56"/>
        <v/>
      </c>
      <c r="AM520" s="334" t="str">
        <f t="shared" si="57"/>
        <v/>
      </c>
      <c r="AN520" s="333" t="str">
        <f t="shared" si="58"/>
        <v/>
      </c>
      <c r="AO520" s="334" t="str">
        <f t="shared" si="59"/>
        <v/>
      </c>
    </row>
    <row r="521" spans="1:41" ht="24.95" customHeight="1" x14ac:dyDescent="0.25">
      <c r="A521" s="2">
        <v>481</v>
      </c>
      <c r="B521" s="349"/>
      <c r="C521" s="350"/>
      <c r="D521" s="351"/>
      <c r="E521" s="351"/>
      <c r="F521" s="336"/>
      <c r="G521" s="327"/>
      <c r="H521" s="327"/>
      <c r="I521" s="325">
        <f t="shared" si="60"/>
        <v>0</v>
      </c>
      <c r="J521" s="540" t="s">
        <v>281</v>
      </c>
      <c r="K521" s="540"/>
      <c r="L521" s="337">
        <f>IFERROR(IF(F521="Sem projeto",VLOOKUP(C521,$B$32:$H$34,7,FALSE)*1.5,G521*VLOOKUP(J521,Aux_Lista!$AG:$AH,2,FALSE)+H521)*E521,0)</f>
        <v>0</v>
      </c>
      <c r="M521" s="346" t="s">
        <v>90</v>
      </c>
      <c r="N521" s="347" t="s">
        <v>90</v>
      </c>
      <c r="O521" s="348" t="s">
        <v>90</v>
      </c>
      <c r="P521" s="386">
        <f t="shared" si="61"/>
        <v>0</v>
      </c>
      <c r="R521" s="94">
        <v>490</v>
      </c>
      <c r="S521" s="383"/>
      <c r="T521" s="214"/>
      <c r="U521" s="214"/>
      <c r="V521" s="217"/>
      <c r="W521" s="215"/>
      <c r="X521" s="336"/>
      <c r="Y521" s="68" t="str">
        <f>IF(V521="","",VLOOKUP(V521,Aux_Lista!A:K,11,FALSE))</f>
        <v/>
      </c>
      <c r="Z521" s="68" t="str">
        <f>IF(V521="","",VLOOKUP(V521,Aux_Lista!A:L,12,FALSE))</f>
        <v/>
      </c>
      <c r="AA521" s="68" t="str">
        <f>IF(W521="","",VLOOKUP(W521,Aux_Lista!AN:AP,3,FALSE))</f>
        <v/>
      </c>
      <c r="AB521" s="68" t="str">
        <f>IF(W521="","",VLOOKUP(W521,Aux_Lista!AN:AP,2,FALSE))</f>
        <v/>
      </c>
      <c r="AC521" s="69"/>
      <c r="AD521" s="69"/>
      <c r="AE521" s="325">
        <f t="shared" si="55"/>
        <v>0</v>
      </c>
      <c r="AF521" s="540" t="s">
        <v>281</v>
      </c>
      <c r="AG521" s="540"/>
      <c r="AH521" s="337">
        <f>IFERROR(IF(X521="Sem projeto",1.5*AA521,AC521*VLOOKUP(AF521,Aux_Lista!AG:AH,2,FALSE)+AD521)*U521,0)</f>
        <v>0</v>
      </c>
      <c r="AI521" s="343" t="s">
        <v>90</v>
      </c>
      <c r="AJ521" s="343" t="s">
        <v>90</v>
      </c>
      <c r="AK521" s="343" t="s">
        <v>90</v>
      </c>
      <c r="AL521" s="333" t="str">
        <f t="shared" si="56"/>
        <v/>
      </c>
      <c r="AM521" s="334" t="str">
        <f t="shared" si="57"/>
        <v/>
      </c>
      <c r="AN521" s="333" t="str">
        <f t="shared" si="58"/>
        <v/>
      </c>
      <c r="AO521" s="334" t="str">
        <f t="shared" si="59"/>
        <v/>
      </c>
    </row>
    <row r="522" spans="1:41" ht="24.95" customHeight="1" x14ac:dyDescent="0.25">
      <c r="A522" s="2">
        <v>482</v>
      </c>
      <c r="B522" s="349"/>
      <c r="C522" s="350"/>
      <c r="D522" s="351"/>
      <c r="E522" s="351"/>
      <c r="F522" s="336"/>
      <c r="G522" s="327"/>
      <c r="H522" s="327"/>
      <c r="I522" s="325">
        <f t="shared" si="60"/>
        <v>0</v>
      </c>
      <c r="J522" s="540" t="s">
        <v>281</v>
      </c>
      <c r="K522" s="540"/>
      <c r="L522" s="337">
        <f>IFERROR(IF(F522="Sem projeto",VLOOKUP(C522,$B$32:$H$34,7,FALSE)*1.5,G522*VLOOKUP(J522,Aux_Lista!$AG:$AH,2,FALSE)+H522)*E522,0)</f>
        <v>0</v>
      </c>
      <c r="M522" s="346" t="s">
        <v>90</v>
      </c>
      <c r="N522" s="347" t="s">
        <v>90</v>
      </c>
      <c r="O522" s="348" t="s">
        <v>90</v>
      </c>
      <c r="P522" s="386">
        <f t="shared" si="61"/>
        <v>0</v>
      </c>
      <c r="R522" s="94">
        <v>491</v>
      </c>
      <c r="S522" s="383"/>
      <c r="T522" s="214"/>
      <c r="U522" s="214"/>
      <c r="V522" s="217"/>
      <c r="W522" s="215"/>
      <c r="X522" s="336"/>
      <c r="Y522" s="68" t="str">
        <f>IF(V522="","",VLOOKUP(V522,Aux_Lista!A:K,11,FALSE))</f>
        <v/>
      </c>
      <c r="Z522" s="68" t="str">
        <f>IF(V522="","",VLOOKUP(V522,Aux_Lista!A:L,12,FALSE))</f>
        <v/>
      </c>
      <c r="AA522" s="68" t="str">
        <f>IF(W522="","",VLOOKUP(W522,Aux_Lista!AN:AP,3,FALSE))</f>
        <v/>
      </c>
      <c r="AB522" s="68" t="str">
        <f>IF(W522="","",VLOOKUP(W522,Aux_Lista!AN:AP,2,FALSE))</f>
        <v/>
      </c>
      <c r="AC522" s="69"/>
      <c r="AD522" s="69"/>
      <c r="AE522" s="325">
        <f t="shared" si="55"/>
        <v>0</v>
      </c>
      <c r="AF522" s="540" t="s">
        <v>281</v>
      </c>
      <c r="AG522" s="540"/>
      <c r="AH522" s="337">
        <f>IFERROR(IF(X522="Sem projeto",1.5*AA522,AC522*VLOOKUP(AF522,Aux_Lista!AG:AH,2,FALSE)+AD522)*U522,0)</f>
        <v>0</v>
      </c>
      <c r="AI522" s="343" t="s">
        <v>90</v>
      </c>
      <c r="AJ522" s="343" t="s">
        <v>90</v>
      </c>
      <c r="AK522" s="343" t="s">
        <v>90</v>
      </c>
      <c r="AL522" s="333" t="str">
        <f t="shared" si="56"/>
        <v/>
      </c>
      <c r="AM522" s="334" t="str">
        <f t="shared" si="57"/>
        <v/>
      </c>
      <c r="AN522" s="333" t="str">
        <f t="shared" si="58"/>
        <v/>
      </c>
      <c r="AO522" s="334" t="str">
        <f t="shared" si="59"/>
        <v/>
      </c>
    </row>
    <row r="523" spans="1:41" ht="24.95" customHeight="1" x14ac:dyDescent="0.25">
      <c r="A523" s="2">
        <v>483</v>
      </c>
      <c r="B523" s="349"/>
      <c r="C523" s="350"/>
      <c r="D523" s="351"/>
      <c r="E523" s="351"/>
      <c r="F523" s="336"/>
      <c r="G523" s="327"/>
      <c r="H523" s="327"/>
      <c r="I523" s="325">
        <f t="shared" si="60"/>
        <v>0</v>
      </c>
      <c r="J523" s="540" t="s">
        <v>281</v>
      </c>
      <c r="K523" s="540"/>
      <c r="L523" s="337">
        <f>IFERROR(IF(F523="Sem projeto",VLOOKUP(C523,$B$32:$H$34,7,FALSE)*1.5,G523*VLOOKUP(J523,Aux_Lista!$AG:$AH,2,FALSE)+H523)*E523,0)</f>
        <v>0</v>
      </c>
      <c r="M523" s="346" t="s">
        <v>90</v>
      </c>
      <c r="N523" s="347" t="s">
        <v>90</v>
      </c>
      <c r="O523" s="348" t="s">
        <v>90</v>
      </c>
      <c r="P523" s="386">
        <f t="shared" si="61"/>
        <v>0</v>
      </c>
      <c r="R523" s="94">
        <v>492</v>
      </c>
      <c r="S523" s="383"/>
      <c r="T523" s="214"/>
      <c r="U523" s="214"/>
      <c r="V523" s="217"/>
      <c r="W523" s="215"/>
      <c r="X523" s="336"/>
      <c r="Y523" s="68" t="str">
        <f>IF(V523="","",VLOOKUP(V523,Aux_Lista!A:K,11,FALSE))</f>
        <v/>
      </c>
      <c r="Z523" s="68" t="str">
        <f>IF(V523="","",VLOOKUP(V523,Aux_Lista!A:L,12,FALSE))</f>
        <v/>
      </c>
      <c r="AA523" s="68" t="str">
        <f>IF(W523="","",VLOOKUP(W523,Aux_Lista!AN:AP,3,FALSE))</f>
        <v/>
      </c>
      <c r="AB523" s="68" t="str">
        <f>IF(W523="","",VLOOKUP(W523,Aux_Lista!AN:AP,2,FALSE))</f>
        <v/>
      </c>
      <c r="AC523" s="69"/>
      <c r="AD523" s="69"/>
      <c r="AE523" s="325">
        <f t="shared" si="55"/>
        <v>0</v>
      </c>
      <c r="AF523" s="540" t="s">
        <v>281</v>
      </c>
      <c r="AG523" s="540"/>
      <c r="AH523" s="337">
        <f>IFERROR(IF(X523="Sem projeto",1.5*AA523,AC523*VLOOKUP(AF523,Aux_Lista!AG:AH,2,FALSE)+AD523)*U523,0)</f>
        <v>0</v>
      </c>
      <c r="AI523" s="343" t="s">
        <v>90</v>
      </c>
      <c r="AJ523" s="343" t="s">
        <v>90</v>
      </c>
      <c r="AK523" s="343" t="s">
        <v>90</v>
      </c>
      <c r="AL523" s="333" t="str">
        <f t="shared" si="56"/>
        <v/>
      </c>
      <c r="AM523" s="334" t="str">
        <f t="shared" si="57"/>
        <v/>
      </c>
      <c r="AN523" s="333" t="str">
        <f t="shared" si="58"/>
        <v/>
      </c>
      <c r="AO523" s="334" t="str">
        <f t="shared" si="59"/>
        <v/>
      </c>
    </row>
    <row r="524" spans="1:41" ht="24.95" customHeight="1" x14ac:dyDescent="0.25">
      <c r="A524" s="2">
        <v>484</v>
      </c>
      <c r="B524" s="349"/>
      <c r="C524" s="350"/>
      <c r="D524" s="351"/>
      <c r="E524" s="351"/>
      <c r="F524" s="336"/>
      <c r="G524" s="327"/>
      <c r="H524" s="327"/>
      <c r="I524" s="325">
        <f t="shared" si="60"/>
        <v>0</v>
      </c>
      <c r="J524" s="540" t="s">
        <v>281</v>
      </c>
      <c r="K524" s="540"/>
      <c r="L524" s="337">
        <f>IFERROR(IF(F524="Sem projeto",VLOOKUP(C524,$B$32:$H$34,7,FALSE)*1.5,G524*VLOOKUP(J524,Aux_Lista!$AG:$AH,2,FALSE)+H524)*E524,0)</f>
        <v>0</v>
      </c>
      <c r="M524" s="346" t="s">
        <v>90</v>
      </c>
      <c r="N524" s="347" t="s">
        <v>90</v>
      </c>
      <c r="O524" s="348" t="s">
        <v>90</v>
      </c>
      <c r="P524" s="386">
        <f t="shared" si="61"/>
        <v>0</v>
      </c>
      <c r="R524" s="94">
        <v>493</v>
      </c>
      <c r="S524" s="383"/>
      <c r="T524" s="214"/>
      <c r="U524" s="214"/>
      <c r="V524" s="217"/>
      <c r="W524" s="215"/>
      <c r="X524" s="336"/>
      <c r="Y524" s="68" t="str">
        <f>IF(V524="","",VLOOKUP(V524,Aux_Lista!A:K,11,FALSE))</f>
        <v/>
      </c>
      <c r="Z524" s="68" t="str">
        <f>IF(V524="","",VLOOKUP(V524,Aux_Lista!A:L,12,FALSE))</f>
        <v/>
      </c>
      <c r="AA524" s="68" t="str">
        <f>IF(W524="","",VLOOKUP(W524,Aux_Lista!AN:AP,3,FALSE))</f>
        <v/>
      </c>
      <c r="AB524" s="68" t="str">
        <f>IF(W524="","",VLOOKUP(W524,Aux_Lista!AN:AP,2,FALSE))</f>
        <v/>
      </c>
      <c r="AC524" s="69"/>
      <c r="AD524" s="69"/>
      <c r="AE524" s="325">
        <f t="shared" si="55"/>
        <v>0</v>
      </c>
      <c r="AF524" s="540" t="s">
        <v>281</v>
      </c>
      <c r="AG524" s="540"/>
      <c r="AH524" s="337">
        <f>IFERROR(IF(X524="Sem projeto",1.5*AA524,AC524*VLOOKUP(AF524,Aux_Lista!AG:AH,2,FALSE)+AD524)*U524,0)</f>
        <v>0</v>
      </c>
      <c r="AI524" s="343" t="s">
        <v>90</v>
      </c>
      <c r="AJ524" s="343" t="s">
        <v>90</v>
      </c>
      <c r="AK524" s="343" t="s">
        <v>90</v>
      </c>
      <c r="AL524" s="333" t="str">
        <f t="shared" si="56"/>
        <v/>
      </c>
      <c r="AM524" s="334" t="str">
        <f t="shared" si="57"/>
        <v/>
      </c>
      <c r="AN524" s="333" t="str">
        <f t="shared" si="58"/>
        <v/>
      </c>
      <c r="AO524" s="334" t="str">
        <f t="shared" si="59"/>
        <v/>
      </c>
    </row>
    <row r="525" spans="1:41" ht="24.95" customHeight="1" x14ac:dyDescent="0.25">
      <c r="A525" s="2">
        <v>485</v>
      </c>
      <c r="B525" s="349"/>
      <c r="C525" s="350"/>
      <c r="D525" s="351"/>
      <c r="E525" s="351"/>
      <c r="F525" s="336"/>
      <c r="G525" s="327"/>
      <c r="H525" s="327"/>
      <c r="I525" s="325">
        <f t="shared" si="60"/>
        <v>0</v>
      </c>
      <c r="J525" s="540" t="s">
        <v>281</v>
      </c>
      <c r="K525" s="540"/>
      <c r="L525" s="337">
        <f>IFERROR(IF(F525="Sem projeto",VLOOKUP(C525,$B$32:$H$34,7,FALSE)*1.5,G525*VLOOKUP(J525,Aux_Lista!$AG:$AH,2,FALSE)+H525)*E525,0)</f>
        <v>0</v>
      </c>
      <c r="M525" s="346" t="s">
        <v>90</v>
      </c>
      <c r="N525" s="347" t="s">
        <v>90</v>
      </c>
      <c r="O525" s="348" t="s">
        <v>90</v>
      </c>
      <c r="P525" s="386">
        <f t="shared" si="61"/>
        <v>0</v>
      </c>
      <c r="R525" s="94">
        <v>494</v>
      </c>
      <c r="S525" s="383"/>
      <c r="T525" s="214"/>
      <c r="U525" s="214"/>
      <c r="V525" s="217"/>
      <c r="W525" s="215"/>
      <c r="X525" s="336"/>
      <c r="Y525" s="68" t="str">
        <f>IF(V525="","",VLOOKUP(V525,Aux_Lista!A:K,11,FALSE))</f>
        <v/>
      </c>
      <c r="Z525" s="68" t="str">
        <f>IF(V525="","",VLOOKUP(V525,Aux_Lista!A:L,12,FALSE))</f>
        <v/>
      </c>
      <c r="AA525" s="68" t="str">
        <f>IF(W525="","",VLOOKUP(W525,Aux_Lista!AN:AP,3,FALSE))</f>
        <v/>
      </c>
      <c r="AB525" s="68" t="str">
        <f>IF(W525="","",VLOOKUP(W525,Aux_Lista!AN:AP,2,FALSE))</f>
        <v/>
      </c>
      <c r="AC525" s="69"/>
      <c r="AD525" s="69"/>
      <c r="AE525" s="325">
        <f t="shared" si="55"/>
        <v>0</v>
      </c>
      <c r="AF525" s="540" t="s">
        <v>281</v>
      </c>
      <c r="AG525" s="540"/>
      <c r="AH525" s="337">
        <f>IFERROR(IF(X525="Sem projeto",1.5*AA525,AC525*VLOOKUP(AF525,Aux_Lista!AG:AH,2,FALSE)+AD525)*U525,0)</f>
        <v>0</v>
      </c>
      <c r="AI525" s="343" t="s">
        <v>90</v>
      </c>
      <c r="AJ525" s="343" t="s">
        <v>90</v>
      </c>
      <c r="AK525" s="343" t="s">
        <v>90</v>
      </c>
      <c r="AL525" s="333" t="str">
        <f t="shared" si="56"/>
        <v/>
      </c>
      <c r="AM525" s="334" t="str">
        <f t="shared" si="57"/>
        <v/>
      </c>
      <c r="AN525" s="333" t="str">
        <f t="shared" si="58"/>
        <v/>
      </c>
      <c r="AO525" s="334" t="str">
        <f t="shared" si="59"/>
        <v/>
      </c>
    </row>
    <row r="526" spans="1:41" ht="24.95" customHeight="1" x14ac:dyDescent="0.25">
      <c r="A526" s="2">
        <v>486</v>
      </c>
      <c r="B526" s="349"/>
      <c r="C526" s="350"/>
      <c r="D526" s="351"/>
      <c r="E526" s="351"/>
      <c r="F526" s="336"/>
      <c r="G526" s="327"/>
      <c r="H526" s="327"/>
      <c r="I526" s="325">
        <f t="shared" si="60"/>
        <v>0</v>
      </c>
      <c r="J526" s="540" t="s">
        <v>281</v>
      </c>
      <c r="K526" s="540"/>
      <c r="L526" s="337">
        <f>IFERROR(IF(F526="Sem projeto",VLOOKUP(C526,$B$32:$H$34,7,FALSE)*1.5,G526*VLOOKUP(J526,Aux_Lista!$AG:$AH,2,FALSE)+H526)*E526,0)</f>
        <v>0</v>
      </c>
      <c r="M526" s="346" t="s">
        <v>90</v>
      </c>
      <c r="N526" s="347" t="s">
        <v>90</v>
      </c>
      <c r="O526" s="348" t="s">
        <v>90</v>
      </c>
      <c r="P526" s="386">
        <f t="shared" si="61"/>
        <v>0</v>
      </c>
      <c r="R526" s="94">
        <v>495</v>
      </c>
      <c r="S526" s="383"/>
      <c r="T526" s="214"/>
      <c r="U526" s="214"/>
      <c r="V526" s="217"/>
      <c r="W526" s="215"/>
      <c r="X526" s="336"/>
      <c r="Y526" s="68" t="str">
        <f>IF(V526="","",VLOOKUP(V526,Aux_Lista!A:K,11,FALSE))</f>
        <v/>
      </c>
      <c r="Z526" s="68" t="str">
        <f>IF(V526="","",VLOOKUP(V526,Aux_Lista!A:L,12,FALSE))</f>
        <v/>
      </c>
      <c r="AA526" s="68" t="str">
        <f>IF(W526="","",VLOOKUP(W526,Aux_Lista!AN:AP,3,FALSE))</f>
        <v/>
      </c>
      <c r="AB526" s="68" t="str">
        <f>IF(W526="","",VLOOKUP(W526,Aux_Lista!AN:AP,2,FALSE))</f>
        <v/>
      </c>
      <c r="AC526" s="69"/>
      <c r="AD526" s="69"/>
      <c r="AE526" s="325">
        <f t="shared" si="55"/>
        <v>0</v>
      </c>
      <c r="AF526" s="540" t="s">
        <v>281</v>
      </c>
      <c r="AG526" s="540"/>
      <c r="AH526" s="337">
        <f>IFERROR(IF(X526="Sem projeto",1.5*AA526,AC526*VLOOKUP(AF526,Aux_Lista!AG:AH,2,FALSE)+AD526)*U526,0)</f>
        <v>0</v>
      </c>
      <c r="AI526" s="343" t="s">
        <v>90</v>
      </c>
      <c r="AJ526" s="343" t="s">
        <v>90</v>
      </c>
      <c r="AK526" s="343" t="s">
        <v>90</v>
      </c>
      <c r="AL526" s="333" t="str">
        <f t="shared" si="56"/>
        <v/>
      </c>
      <c r="AM526" s="334" t="str">
        <f t="shared" si="57"/>
        <v/>
      </c>
      <c r="AN526" s="333" t="str">
        <f t="shared" si="58"/>
        <v/>
      </c>
      <c r="AO526" s="334" t="str">
        <f t="shared" si="59"/>
        <v/>
      </c>
    </row>
    <row r="527" spans="1:41" ht="24.95" customHeight="1" x14ac:dyDescent="0.25">
      <c r="A527" s="2">
        <v>487</v>
      </c>
      <c r="B527" s="349"/>
      <c r="C527" s="350"/>
      <c r="D527" s="351"/>
      <c r="E527" s="351"/>
      <c r="F527" s="336"/>
      <c r="G527" s="327"/>
      <c r="H527" s="327"/>
      <c r="I527" s="325">
        <f t="shared" si="60"/>
        <v>0</v>
      </c>
      <c r="J527" s="540" t="s">
        <v>281</v>
      </c>
      <c r="K527" s="540"/>
      <c r="L527" s="337">
        <f>IFERROR(IF(F527="Sem projeto",VLOOKUP(C527,$B$32:$H$34,7,FALSE)*1.5,G527*VLOOKUP(J527,Aux_Lista!$AG:$AH,2,FALSE)+H527)*E527,0)</f>
        <v>0</v>
      </c>
      <c r="M527" s="346" t="s">
        <v>90</v>
      </c>
      <c r="N527" s="347" t="s">
        <v>90</v>
      </c>
      <c r="O527" s="348" t="s">
        <v>90</v>
      </c>
      <c r="P527" s="386">
        <f t="shared" si="61"/>
        <v>0</v>
      </c>
      <c r="R527" s="94">
        <v>496</v>
      </c>
      <c r="S527" s="383"/>
      <c r="T527" s="214"/>
      <c r="U527" s="214"/>
      <c r="V527" s="217"/>
      <c r="W527" s="215"/>
      <c r="X527" s="336"/>
      <c r="Y527" s="68" t="str">
        <f>IF(V527="","",VLOOKUP(V527,Aux_Lista!A:K,11,FALSE))</f>
        <v/>
      </c>
      <c r="Z527" s="68" t="str">
        <f>IF(V527="","",VLOOKUP(V527,Aux_Lista!A:L,12,FALSE))</f>
        <v/>
      </c>
      <c r="AA527" s="68" t="str">
        <f>IF(W527="","",VLOOKUP(W527,Aux_Lista!AN:AP,3,FALSE))</f>
        <v/>
      </c>
      <c r="AB527" s="68" t="str">
        <f>IF(W527="","",VLOOKUP(W527,Aux_Lista!AN:AP,2,FALSE))</f>
        <v/>
      </c>
      <c r="AC527" s="69"/>
      <c r="AD527" s="69"/>
      <c r="AE527" s="325">
        <f t="shared" si="55"/>
        <v>0</v>
      </c>
      <c r="AF527" s="540" t="s">
        <v>281</v>
      </c>
      <c r="AG527" s="540"/>
      <c r="AH527" s="337">
        <f>IFERROR(IF(X527="Sem projeto",1.5*AA527,AC527*VLOOKUP(AF527,Aux_Lista!AG:AH,2,FALSE)+AD527)*U527,0)</f>
        <v>0</v>
      </c>
      <c r="AI527" s="343" t="s">
        <v>90</v>
      </c>
      <c r="AJ527" s="343" t="s">
        <v>90</v>
      </c>
      <c r="AK527" s="343" t="s">
        <v>90</v>
      </c>
      <c r="AL527" s="333" t="str">
        <f t="shared" si="56"/>
        <v/>
      </c>
      <c r="AM527" s="334" t="str">
        <f t="shared" si="57"/>
        <v/>
      </c>
      <c r="AN527" s="333" t="str">
        <f t="shared" si="58"/>
        <v/>
      </c>
      <c r="AO527" s="334" t="str">
        <f t="shared" si="59"/>
        <v/>
      </c>
    </row>
    <row r="528" spans="1:41" ht="24.95" customHeight="1" x14ac:dyDescent="0.25">
      <c r="A528" s="2">
        <v>488</v>
      </c>
      <c r="B528" s="349"/>
      <c r="C528" s="350"/>
      <c r="D528" s="351"/>
      <c r="E528" s="351"/>
      <c r="F528" s="336"/>
      <c r="G528" s="327"/>
      <c r="H528" s="327"/>
      <c r="I528" s="325">
        <f t="shared" si="60"/>
        <v>0</v>
      </c>
      <c r="J528" s="540" t="s">
        <v>281</v>
      </c>
      <c r="K528" s="540"/>
      <c r="L528" s="337">
        <f>IFERROR(IF(F528="Sem projeto",VLOOKUP(C528,$B$32:$H$34,7,FALSE)*1.5,G528*VLOOKUP(J528,Aux_Lista!$AG:$AH,2,FALSE)+H528)*E528,0)</f>
        <v>0</v>
      </c>
      <c r="M528" s="346" t="s">
        <v>90</v>
      </c>
      <c r="N528" s="347" t="s">
        <v>90</v>
      </c>
      <c r="O528" s="348" t="s">
        <v>90</v>
      </c>
      <c r="P528" s="386">
        <f t="shared" si="61"/>
        <v>0</v>
      </c>
      <c r="R528" s="94">
        <v>497</v>
      </c>
      <c r="S528" s="383"/>
      <c r="T528" s="214"/>
      <c r="U528" s="214"/>
      <c r="V528" s="217"/>
      <c r="W528" s="215"/>
      <c r="X528" s="336"/>
      <c r="Y528" s="68" t="str">
        <f>IF(V528="","",VLOOKUP(V528,Aux_Lista!A:K,11,FALSE))</f>
        <v/>
      </c>
      <c r="Z528" s="68" t="str">
        <f>IF(V528="","",VLOOKUP(V528,Aux_Lista!A:L,12,FALSE))</f>
        <v/>
      </c>
      <c r="AA528" s="68" t="str">
        <f>IF(W528="","",VLOOKUP(W528,Aux_Lista!AN:AP,3,FALSE))</f>
        <v/>
      </c>
      <c r="AB528" s="68" t="str">
        <f>IF(W528="","",VLOOKUP(W528,Aux_Lista!AN:AP,2,FALSE))</f>
        <v/>
      </c>
      <c r="AC528" s="69"/>
      <c r="AD528" s="69"/>
      <c r="AE528" s="325">
        <f t="shared" si="55"/>
        <v>0</v>
      </c>
      <c r="AF528" s="540" t="s">
        <v>281</v>
      </c>
      <c r="AG528" s="540"/>
      <c r="AH528" s="337">
        <f>IFERROR(IF(X528="Sem projeto",1.5*AA528,AC528*VLOOKUP(AF528,Aux_Lista!AG:AH,2,FALSE)+AD528)*U528,0)</f>
        <v>0</v>
      </c>
      <c r="AI528" s="343" t="s">
        <v>90</v>
      </c>
      <c r="AJ528" s="343" t="s">
        <v>90</v>
      </c>
      <c r="AK528" s="343" t="s">
        <v>90</v>
      </c>
      <c r="AL528" s="333" t="str">
        <f t="shared" si="56"/>
        <v/>
      </c>
      <c r="AM528" s="334" t="str">
        <f t="shared" si="57"/>
        <v/>
      </c>
      <c r="AN528" s="333" t="str">
        <f t="shared" si="58"/>
        <v/>
      </c>
      <c r="AO528" s="334" t="str">
        <f t="shared" si="59"/>
        <v/>
      </c>
    </row>
    <row r="529" spans="1:41" ht="24.95" customHeight="1" x14ac:dyDescent="0.25">
      <c r="A529" s="2">
        <v>489</v>
      </c>
      <c r="B529" s="349"/>
      <c r="C529" s="350"/>
      <c r="D529" s="351"/>
      <c r="E529" s="351"/>
      <c r="F529" s="336"/>
      <c r="G529" s="327"/>
      <c r="H529" s="327"/>
      <c r="I529" s="325">
        <f t="shared" si="60"/>
        <v>0</v>
      </c>
      <c r="J529" s="540" t="s">
        <v>281</v>
      </c>
      <c r="K529" s="540"/>
      <c r="L529" s="337">
        <f>IFERROR(IF(F529="Sem projeto",VLOOKUP(C529,$B$32:$H$34,7,FALSE)*1.5,G529*VLOOKUP(J529,Aux_Lista!$AG:$AH,2,FALSE)+H529)*E529,0)</f>
        <v>0</v>
      </c>
      <c r="M529" s="346" t="s">
        <v>90</v>
      </c>
      <c r="N529" s="347" t="s">
        <v>90</v>
      </c>
      <c r="O529" s="348" t="s">
        <v>90</v>
      </c>
      <c r="P529" s="386">
        <f t="shared" si="61"/>
        <v>0</v>
      </c>
      <c r="R529" s="94">
        <v>498</v>
      </c>
      <c r="S529" s="383"/>
      <c r="T529" s="214"/>
      <c r="U529" s="214"/>
      <c r="V529" s="217"/>
      <c r="W529" s="215"/>
      <c r="X529" s="336"/>
      <c r="Y529" s="68" t="str">
        <f>IF(V529="","",VLOOKUP(V529,Aux_Lista!A:K,11,FALSE))</f>
        <v/>
      </c>
      <c r="Z529" s="68" t="str">
        <f>IF(V529="","",VLOOKUP(V529,Aux_Lista!A:L,12,FALSE))</f>
        <v/>
      </c>
      <c r="AA529" s="68" t="str">
        <f>IF(W529="","",VLOOKUP(W529,Aux_Lista!AN:AP,3,FALSE))</f>
        <v/>
      </c>
      <c r="AB529" s="68" t="str">
        <f>IF(W529="","",VLOOKUP(W529,Aux_Lista!AN:AP,2,FALSE))</f>
        <v/>
      </c>
      <c r="AC529" s="69"/>
      <c r="AD529" s="69"/>
      <c r="AE529" s="325">
        <f t="shared" si="55"/>
        <v>0</v>
      </c>
      <c r="AF529" s="540" t="s">
        <v>281</v>
      </c>
      <c r="AG529" s="540"/>
      <c r="AH529" s="337">
        <f>IFERROR(IF(X529="Sem projeto",1.5*AA529,AC529*VLOOKUP(AF529,Aux_Lista!AG:AH,2,FALSE)+AD529)*U529,0)</f>
        <v>0</v>
      </c>
      <c r="AI529" s="343" t="s">
        <v>90</v>
      </c>
      <c r="AJ529" s="343" t="s">
        <v>90</v>
      </c>
      <c r="AK529" s="343" t="s">
        <v>90</v>
      </c>
      <c r="AL529" s="333" t="str">
        <f t="shared" si="56"/>
        <v/>
      </c>
      <c r="AM529" s="334" t="str">
        <f t="shared" si="57"/>
        <v/>
      </c>
      <c r="AN529" s="333" t="str">
        <f t="shared" si="58"/>
        <v/>
      </c>
      <c r="AO529" s="334" t="str">
        <f t="shared" si="59"/>
        <v/>
      </c>
    </row>
    <row r="530" spans="1:41" ht="24.95" customHeight="1" x14ac:dyDescent="0.25">
      <c r="A530" s="2">
        <v>490</v>
      </c>
      <c r="B530" s="349"/>
      <c r="C530" s="350"/>
      <c r="D530" s="351"/>
      <c r="E530" s="351"/>
      <c r="F530" s="336"/>
      <c r="G530" s="327"/>
      <c r="H530" s="327"/>
      <c r="I530" s="325">
        <f t="shared" si="60"/>
        <v>0</v>
      </c>
      <c r="J530" s="540" t="s">
        <v>281</v>
      </c>
      <c r="K530" s="540"/>
      <c r="L530" s="337">
        <f>IFERROR(IF(F530="Sem projeto",VLOOKUP(C530,$B$32:$H$34,7,FALSE)*1.5,G530*VLOOKUP(J530,Aux_Lista!$AG:$AH,2,FALSE)+H530)*E530,0)</f>
        <v>0</v>
      </c>
      <c r="M530" s="346" t="s">
        <v>90</v>
      </c>
      <c r="N530" s="347" t="s">
        <v>90</v>
      </c>
      <c r="O530" s="348" t="s">
        <v>90</v>
      </c>
      <c r="P530" s="386">
        <f t="shared" si="61"/>
        <v>0</v>
      </c>
      <c r="R530" s="94">
        <v>499</v>
      </c>
      <c r="S530" s="383"/>
      <c r="T530" s="214"/>
      <c r="U530" s="214"/>
      <c r="V530" s="217"/>
      <c r="W530" s="215"/>
      <c r="X530" s="336"/>
      <c r="Y530" s="68" t="str">
        <f>IF(V530="","",VLOOKUP(V530,Aux_Lista!A:K,11,FALSE))</f>
        <v/>
      </c>
      <c r="Z530" s="68" t="str">
        <f>IF(V530="","",VLOOKUP(V530,Aux_Lista!A:L,12,FALSE))</f>
        <v/>
      </c>
      <c r="AA530" s="68" t="str">
        <f>IF(W530="","",VLOOKUP(W530,Aux_Lista!AN:AP,3,FALSE))</f>
        <v/>
      </c>
      <c r="AB530" s="68" t="str">
        <f>IF(W530="","",VLOOKUP(W530,Aux_Lista!AN:AP,2,FALSE))</f>
        <v/>
      </c>
      <c r="AC530" s="69"/>
      <c r="AD530" s="69"/>
      <c r="AE530" s="325">
        <f t="shared" si="55"/>
        <v>0</v>
      </c>
      <c r="AF530" s="540" t="s">
        <v>281</v>
      </c>
      <c r="AG530" s="540"/>
      <c r="AH530" s="337">
        <f>IFERROR(IF(X530="Sem projeto",1.5*AA530,AC530*VLOOKUP(AF530,Aux_Lista!AG:AH,2,FALSE)+AD530)*U530,0)</f>
        <v>0</v>
      </c>
      <c r="AI530" s="343" t="s">
        <v>90</v>
      </c>
      <c r="AJ530" s="343" t="s">
        <v>90</v>
      </c>
      <c r="AK530" s="343" t="s">
        <v>90</v>
      </c>
      <c r="AL530" s="333" t="str">
        <f t="shared" si="56"/>
        <v/>
      </c>
      <c r="AM530" s="334" t="str">
        <f t="shared" si="57"/>
        <v/>
      </c>
      <c r="AN530" s="333" t="str">
        <f t="shared" si="58"/>
        <v/>
      </c>
      <c r="AO530" s="334" t="str">
        <f t="shared" si="59"/>
        <v/>
      </c>
    </row>
    <row r="531" spans="1:41" ht="24.95" customHeight="1" x14ac:dyDescent="0.25">
      <c r="A531" s="2">
        <v>491</v>
      </c>
      <c r="B531" s="349"/>
      <c r="C531" s="350"/>
      <c r="D531" s="351"/>
      <c r="E531" s="351"/>
      <c r="F531" s="336"/>
      <c r="G531" s="327"/>
      <c r="H531" s="327"/>
      <c r="I531" s="325">
        <f t="shared" si="60"/>
        <v>0</v>
      </c>
      <c r="J531" s="540" t="s">
        <v>281</v>
      </c>
      <c r="K531" s="540"/>
      <c r="L531" s="337">
        <f>IFERROR(IF(F531="Sem projeto",VLOOKUP(C531,$B$32:$H$34,7,FALSE)*1.5,G531*VLOOKUP(J531,Aux_Lista!$AG:$AH,2,FALSE)+H531)*E531,0)</f>
        <v>0</v>
      </c>
      <c r="M531" s="346" t="s">
        <v>90</v>
      </c>
      <c r="N531" s="347" t="s">
        <v>90</v>
      </c>
      <c r="O531" s="348" t="s">
        <v>90</v>
      </c>
      <c r="P531" s="386">
        <f t="shared" si="61"/>
        <v>0</v>
      </c>
      <c r="R531" s="94">
        <v>500</v>
      </c>
      <c r="S531" s="385"/>
      <c r="T531" s="352"/>
      <c r="U531" s="214"/>
      <c r="V531" s="217"/>
      <c r="W531" s="215"/>
      <c r="X531" s="336"/>
      <c r="Y531" s="68" t="str">
        <f>IF(V531="","",VLOOKUP(V531,Aux_Lista!A:K,11,FALSE))</f>
        <v/>
      </c>
      <c r="Z531" s="68" t="str">
        <f>IF(V531="","",VLOOKUP(V531,Aux_Lista!A:L,12,FALSE))</f>
        <v/>
      </c>
      <c r="AA531" s="68" t="str">
        <f>IF(W531="","",VLOOKUP(W531,Aux_Lista!AN:AP,3,FALSE))</f>
        <v/>
      </c>
      <c r="AB531" s="68" t="str">
        <f>IF(W531="","",VLOOKUP(W531,Aux_Lista!AN:AP,2,FALSE))</f>
        <v/>
      </c>
      <c r="AC531" s="353"/>
      <c r="AD531" s="353"/>
      <c r="AE531" s="325">
        <f t="shared" si="55"/>
        <v>0</v>
      </c>
      <c r="AF531" s="540" t="s">
        <v>281</v>
      </c>
      <c r="AG531" s="540"/>
      <c r="AH531" s="337">
        <f>IFERROR(IF(X531="Sem projeto",1.5*AA531,AC531*VLOOKUP(AF531,Aux_Lista!AG:AH,2,FALSE)+AD531)*U531,0)</f>
        <v>0</v>
      </c>
      <c r="AI531" s="343" t="s">
        <v>90</v>
      </c>
      <c r="AJ531" s="343" t="s">
        <v>90</v>
      </c>
      <c r="AK531" s="343" t="s">
        <v>90</v>
      </c>
      <c r="AL531" s="354" t="str">
        <f t="shared" si="56"/>
        <v/>
      </c>
      <c r="AM531" s="355" t="str">
        <f t="shared" si="57"/>
        <v/>
      </c>
      <c r="AN531" s="354" t="str">
        <f t="shared" si="58"/>
        <v/>
      </c>
      <c r="AO531" s="355" t="str">
        <f t="shared" si="59"/>
        <v/>
      </c>
    </row>
    <row r="532" spans="1:41" ht="24.95" customHeight="1" x14ac:dyDescent="0.25">
      <c r="A532" s="2">
        <v>492</v>
      </c>
      <c r="B532" s="349"/>
      <c r="C532" s="350"/>
      <c r="D532" s="351"/>
      <c r="E532" s="351"/>
      <c r="F532" s="336"/>
      <c r="G532" s="327"/>
      <c r="H532" s="327"/>
      <c r="I532" s="325">
        <f t="shared" si="60"/>
        <v>0</v>
      </c>
      <c r="J532" s="540" t="s">
        <v>281</v>
      </c>
      <c r="K532" s="540"/>
      <c r="L532" s="337">
        <f>IFERROR(IF(F532="Sem projeto",VLOOKUP(C532,$B$32:$H$34,7,FALSE)*1.5,G532*VLOOKUP(J532,Aux_Lista!$AG:$AH,2,FALSE)+H532)*E532,0)</f>
        <v>0</v>
      </c>
      <c r="M532" s="346" t="s">
        <v>90</v>
      </c>
      <c r="N532" s="347" t="s">
        <v>90</v>
      </c>
      <c r="O532" s="348" t="s">
        <v>90</v>
      </c>
      <c r="P532" s="386">
        <f t="shared" si="61"/>
        <v>0</v>
      </c>
    </row>
    <row r="533" spans="1:41" ht="24.95" customHeight="1" x14ac:dyDescent="0.25">
      <c r="A533" s="2">
        <v>493</v>
      </c>
      <c r="B533" s="349"/>
      <c r="C533" s="350"/>
      <c r="D533" s="351"/>
      <c r="E533" s="351"/>
      <c r="F533" s="336"/>
      <c r="G533" s="327"/>
      <c r="H533" s="327"/>
      <c r="I533" s="325">
        <f t="shared" si="60"/>
        <v>0</v>
      </c>
      <c r="J533" s="540" t="s">
        <v>281</v>
      </c>
      <c r="K533" s="540"/>
      <c r="L533" s="337">
        <f>IFERROR(IF(F533="Sem projeto",VLOOKUP(C533,$B$32:$H$34,7,FALSE)*1.5,G533*VLOOKUP(J533,Aux_Lista!$AG:$AH,2,FALSE)+H533)*E533,0)</f>
        <v>0</v>
      </c>
      <c r="M533" s="346" t="s">
        <v>90</v>
      </c>
      <c r="N533" s="347" t="s">
        <v>90</v>
      </c>
      <c r="O533" s="348" t="s">
        <v>90</v>
      </c>
      <c r="P533" s="386">
        <f t="shared" si="61"/>
        <v>0</v>
      </c>
    </row>
    <row r="534" spans="1:41" ht="24.95" customHeight="1" x14ac:dyDescent="0.25">
      <c r="A534" s="2">
        <v>494</v>
      </c>
      <c r="B534" s="349"/>
      <c r="C534" s="350"/>
      <c r="D534" s="351"/>
      <c r="E534" s="351"/>
      <c r="F534" s="336"/>
      <c r="G534" s="327"/>
      <c r="H534" s="327"/>
      <c r="I534" s="325">
        <f t="shared" si="60"/>
        <v>0</v>
      </c>
      <c r="J534" s="540" t="s">
        <v>281</v>
      </c>
      <c r="K534" s="540"/>
      <c r="L534" s="337">
        <f>IFERROR(IF(F534="Sem projeto",VLOOKUP(C534,$B$32:$H$34,7,FALSE)*1.5,G534*VLOOKUP(J534,Aux_Lista!$AG:$AH,2,FALSE)+H534)*E534,0)</f>
        <v>0</v>
      </c>
      <c r="M534" s="346" t="s">
        <v>90</v>
      </c>
      <c r="N534" s="347" t="s">
        <v>90</v>
      </c>
      <c r="O534" s="348" t="s">
        <v>90</v>
      </c>
      <c r="P534" s="386">
        <f t="shared" si="61"/>
        <v>0</v>
      </c>
    </row>
    <row r="535" spans="1:41" ht="24.95" customHeight="1" x14ac:dyDescent="0.25">
      <c r="A535" s="2">
        <v>495</v>
      </c>
      <c r="B535" s="349"/>
      <c r="C535" s="350"/>
      <c r="D535" s="351"/>
      <c r="E535" s="351"/>
      <c r="F535" s="336"/>
      <c r="G535" s="327"/>
      <c r="H535" s="327"/>
      <c r="I535" s="325">
        <f t="shared" si="60"/>
        <v>0</v>
      </c>
      <c r="J535" s="540" t="s">
        <v>281</v>
      </c>
      <c r="K535" s="540"/>
      <c r="L535" s="337">
        <f>IFERROR(IF(F535="Sem projeto",VLOOKUP(C535,$B$32:$H$34,7,FALSE)*1.5,G535*VLOOKUP(J535,Aux_Lista!$AG:$AH,2,FALSE)+H535)*E535,0)</f>
        <v>0</v>
      </c>
      <c r="M535" s="346" t="s">
        <v>90</v>
      </c>
      <c r="N535" s="347" t="s">
        <v>90</v>
      </c>
      <c r="O535" s="348" t="s">
        <v>90</v>
      </c>
      <c r="P535" s="386">
        <f t="shared" si="61"/>
        <v>0</v>
      </c>
    </row>
    <row r="536" spans="1:41" ht="24.95" customHeight="1" x14ac:dyDescent="0.25">
      <c r="A536" s="2">
        <v>496</v>
      </c>
      <c r="B536" s="349"/>
      <c r="C536" s="350"/>
      <c r="D536" s="351"/>
      <c r="E536" s="351"/>
      <c r="F536" s="336"/>
      <c r="G536" s="327"/>
      <c r="H536" s="327"/>
      <c r="I536" s="325">
        <f t="shared" si="60"/>
        <v>0</v>
      </c>
      <c r="J536" s="540" t="s">
        <v>281</v>
      </c>
      <c r="K536" s="540"/>
      <c r="L536" s="337">
        <f>IFERROR(IF(F536="Sem projeto",VLOOKUP(C536,$B$32:$H$34,7,FALSE)*1.5,G536*VLOOKUP(J536,Aux_Lista!$AG:$AH,2,FALSE)+H536)*E536,0)</f>
        <v>0</v>
      </c>
      <c r="M536" s="346" t="s">
        <v>90</v>
      </c>
      <c r="N536" s="347" t="s">
        <v>90</v>
      </c>
      <c r="O536" s="348" t="s">
        <v>90</v>
      </c>
      <c r="P536" s="386">
        <f t="shared" si="61"/>
        <v>0</v>
      </c>
    </row>
    <row r="537" spans="1:41" ht="24.95" customHeight="1" x14ac:dyDescent="0.25">
      <c r="A537" s="2">
        <v>497</v>
      </c>
      <c r="B537" s="349"/>
      <c r="C537" s="350"/>
      <c r="D537" s="351"/>
      <c r="E537" s="351"/>
      <c r="F537" s="336"/>
      <c r="G537" s="327"/>
      <c r="H537" s="327"/>
      <c r="I537" s="325">
        <f t="shared" si="60"/>
        <v>0</v>
      </c>
      <c r="J537" s="540" t="s">
        <v>281</v>
      </c>
      <c r="K537" s="540"/>
      <c r="L537" s="337">
        <f>IFERROR(IF(F537="Sem projeto",VLOOKUP(C537,$B$32:$H$34,7,FALSE)*1.5,G537*VLOOKUP(J537,Aux_Lista!$AG:$AH,2,FALSE)+H537)*E537,0)</f>
        <v>0</v>
      </c>
      <c r="M537" s="346" t="s">
        <v>90</v>
      </c>
      <c r="N537" s="347" t="s">
        <v>90</v>
      </c>
      <c r="O537" s="348" t="s">
        <v>90</v>
      </c>
      <c r="P537" s="386">
        <f t="shared" si="61"/>
        <v>0</v>
      </c>
    </row>
    <row r="538" spans="1:41" ht="24.95" customHeight="1" x14ac:dyDescent="0.25">
      <c r="A538" s="2">
        <v>498</v>
      </c>
      <c r="B538" s="349"/>
      <c r="C538" s="350"/>
      <c r="D538" s="351"/>
      <c r="E538" s="351"/>
      <c r="F538" s="336"/>
      <c r="G538" s="327"/>
      <c r="H538" s="327"/>
      <c r="I538" s="325">
        <f t="shared" si="60"/>
        <v>0</v>
      </c>
      <c r="J538" s="540" t="s">
        <v>281</v>
      </c>
      <c r="K538" s="540"/>
      <c r="L538" s="337">
        <f>IFERROR(IF(F538="Sem projeto",VLOOKUP(C538,$B$32:$H$34,7,FALSE)*1.5,G538*VLOOKUP(J538,Aux_Lista!$AG:$AH,2,FALSE)+H538)*E538,0)</f>
        <v>0</v>
      </c>
      <c r="M538" s="346" t="s">
        <v>90</v>
      </c>
      <c r="N538" s="347" t="s">
        <v>90</v>
      </c>
      <c r="O538" s="348" t="s">
        <v>90</v>
      </c>
      <c r="P538" s="386">
        <f t="shared" si="61"/>
        <v>0</v>
      </c>
    </row>
    <row r="539" spans="1:41" ht="24.95" customHeight="1" x14ac:dyDescent="0.25">
      <c r="A539" s="2">
        <v>499</v>
      </c>
      <c r="B539" s="349"/>
      <c r="C539" s="350"/>
      <c r="D539" s="351"/>
      <c r="E539" s="351"/>
      <c r="F539" s="336"/>
      <c r="G539" s="327"/>
      <c r="H539" s="327"/>
      <c r="I539" s="325">
        <f t="shared" si="60"/>
        <v>0</v>
      </c>
      <c r="J539" s="540" t="s">
        <v>281</v>
      </c>
      <c r="K539" s="540"/>
      <c r="L539" s="337">
        <f>IFERROR(IF(F539="Sem projeto",VLOOKUP(C539,$B$32:$H$34,7,FALSE)*1.5,G539*VLOOKUP(J539,Aux_Lista!$AG:$AH,2,FALSE)+H539)*E539,0)</f>
        <v>0</v>
      </c>
      <c r="M539" s="346" t="s">
        <v>90</v>
      </c>
      <c r="N539" s="347" t="s">
        <v>90</v>
      </c>
      <c r="O539" s="348" t="s">
        <v>90</v>
      </c>
      <c r="P539" s="386">
        <f t="shared" si="61"/>
        <v>0</v>
      </c>
    </row>
    <row r="540" spans="1:41" ht="24.95" customHeight="1" x14ac:dyDescent="0.25">
      <c r="A540" s="2">
        <v>500</v>
      </c>
      <c r="B540" s="349"/>
      <c r="C540" s="350"/>
      <c r="D540" s="351"/>
      <c r="E540" s="351"/>
      <c r="F540" s="336"/>
      <c r="G540" s="327"/>
      <c r="H540" s="327"/>
      <c r="I540" s="325">
        <f t="shared" si="60"/>
        <v>0</v>
      </c>
      <c r="J540" s="540" t="s">
        <v>281</v>
      </c>
      <c r="K540" s="540"/>
      <c r="L540" s="337">
        <f>IFERROR(IF(F540="Sem projeto",VLOOKUP(C540,$B$32:$H$34,7,FALSE)*1.5,G540*VLOOKUP(J540,Aux_Lista!$AG:$AH,2,FALSE)+H540)*E540,0)</f>
        <v>0</v>
      </c>
      <c r="M540" s="346" t="s">
        <v>90</v>
      </c>
      <c r="N540" s="347" t="s">
        <v>90</v>
      </c>
      <c r="O540" s="348" t="s">
        <v>90</v>
      </c>
      <c r="P540" s="386">
        <f t="shared" si="61"/>
        <v>0</v>
      </c>
    </row>
  </sheetData>
  <sheetProtection algorithmName="SHA-512" hashValue="tG+U6Qf8IEY333n5/MWUe43tGi45Cm4rwmdUGnL+CZGuILxrWiqX2bIOSYzhFnxXuUjrADII3XUA+/g3REcsWQ==" saltValue="9EpU2OZc53x5emrpAbH43w==" spinCount="100000" sheet="1" objects="1" scenarios="1" formatColumns="0" formatRows="0" sort="0"/>
  <protectedRanges>
    <protectedRange sqref="AU27:AU30" name="metodoSimulacao"/>
    <protectedRange sqref="AC32:AD531" name="metodoAtividades2"/>
    <protectedRange sqref="C9" name="metodoIluminacao"/>
    <protectedRange sqref="S32:X531" name="metodoAtividades1"/>
    <protectedRange sqref="B41:H531" name="metodoEdificioCompleto2"/>
    <protectedRange sqref="B32:E34" name="metodoEdificioCompleto1"/>
    <protectedRange sqref="AF32:AG531" name="metodoAtividades3"/>
    <protectedRange sqref="AI32:AK531 M41:O540" name="requisitos"/>
    <protectedRange sqref="J41:K531" name="metodoEdificioCompleto3"/>
    <protectedRange sqref="C17" name="PotencialIntegraçãoIN"/>
  </protectedRanges>
  <mergeCells count="1055">
    <mergeCell ref="J540:K540"/>
    <mergeCell ref="J531:K531"/>
    <mergeCell ref="J532:K532"/>
    <mergeCell ref="J533:K533"/>
    <mergeCell ref="J534:K534"/>
    <mergeCell ref="J535:K535"/>
    <mergeCell ref="J536:K536"/>
    <mergeCell ref="J537:K537"/>
    <mergeCell ref="J538:K538"/>
    <mergeCell ref="J539:K539"/>
    <mergeCell ref="J522:K522"/>
    <mergeCell ref="J523:K523"/>
    <mergeCell ref="J524:K524"/>
    <mergeCell ref="J525:K525"/>
    <mergeCell ref="J526:K526"/>
    <mergeCell ref="J527:K527"/>
    <mergeCell ref="J528:K528"/>
    <mergeCell ref="J529:K529"/>
    <mergeCell ref="J530:K530"/>
    <mergeCell ref="J513:K513"/>
    <mergeCell ref="J514:K514"/>
    <mergeCell ref="J515:K515"/>
    <mergeCell ref="J516:K516"/>
    <mergeCell ref="J517:K517"/>
    <mergeCell ref="J518:K518"/>
    <mergeCell ref="J519:K519"/>
    <mergeCell ref="J520:K520"/>
    <mergeCell ref="J521:K521"/>
    <mergeCell ref="J504:K504"/>
    <mergeCell ref="J505:K505"/>
    <mergeCell ref="J506:K506"/>
    <mergeCell ref="J507:K507"/>
    <mergeCell ref="J508:K508"/>
    <mergeCell ref="J509:K509"/>
    <mergeCell ref="J510:K510"/>
    <mergeCell ref="J511:K511"/>
    <mergeCell ref="J512:K512"/>
    <mergeCell ref="AF530:AG530"/>
    <mergeCell ref="AF531:AG531"/>
    <mergeCell ref="J482:K482"/>
    <mergeCell ref="J483:K483"/>
    <mergeCell ref="J484:K484"/>
    <mergeCell ref="J485:K485"/>
    <mergeCell ref="J486:K486"/>
    <mergeCell ref="J487:K487"/>
    <mergeCell ref="J488:K488"/>
    <mergeCell ref="J489:K489"/>
    <mergeCell ref="J490:K490"/>
    <mergeCell ref="J491:K491"/>
    <mergeCell ref="J492:K492"/>
    <mergeCell ref="J493:K493"/>
    <mergeCell ref="J494:K494"/>
    <mergeCell ref="J495:K495"/>
    <mergeCell ref="J496:K496"/>
    <mergeCell ref="J497:K497"/>
    <mergeCell ref="J498:K498"/>
    <mergeCell ref="J499:K499"/>
    <mergeCell ref="J500:K500"/>
    <mergeCell ref="J501:K501"/>
    <mergeCell ref="J502:K502"/>
    <mergeCell ref="J503:K503"/>
    <mergeCell ref="AF521:AG521"/>
    <mergeCell ref="AF522:AG522"/>
    <mergeCell ref="AF523:AG523"/>
    <mergeCell ref="AF524:AG524"/>
    <mergeCell ref="AF525:AG525"/>
    <mergeCell ref="AF526:AG526"/>
    <mergeCell ref="AF527:AG527"/>
    <mergeCell ref="AF528:AG528"/>
    <mergeCell ref="AF529:AG529"/>
    <mergeCell ref="AF512:AG512"/>
    <mergeCell ref="AF513:AG513"/>
    <mergeCell ref="AF514:AG514"/>
    <mergeCell ref="AF515:AG515"/>
    <mergeCell ref="AF516:AG516"/>
    <mergeCell ref="AF517:AG517"/>
    <mergeCell ref="AF518:AG518"/>
    <mergeCell ref="AF519:AG519"/>
    <mergeCell ref="AF520:AG520"/>
    <mergeCell ref="AF503:AG503"/>
    <mergeCell ref="AF504:AG504"/>
    <mergeCell ref="AF505:AG505"/>
    <mergeCell ref="AF506:AG506"/>
    <mergeCell ref="AF507:AG507"/>
    <mergeCell ref="AF508:AG508"/>
    <mergeCell ref="AF509:AG509"/>
    <mergeCell ref="AF510:AG510"/>
    <mergeCell ref="AF511:AG511"/>
    <mergeCell ref="AF494:AG494"/>
    <mergeCell ref="AF495:AG495"/>
    <mergeCell ref="AF496:AG496"/>
    <mergeCell ref="AF497:AG497"/>
    <mergeCell ref="AF498:AG498"/>
    <mergeCell ref="AF499:AG499"/>
    <mergeCell ref="AF500:AG500"/>
    <mergeCell ref="AF501:AG501"/>
    <mergeCell ref="AF502:AG502"/>
    <mergeCell ref="AF485:AG485"/>
    <mergeCell ref="AF486:AG486"/>
    <mergeCell ref="AF487:AG487"/>
    <mergeCell ref="AF488:AG488"/>
    <mergeCell ref="AF489:AG489"/>
    <mergeCell ref="AF490:AG490"/>
    <mergeCell ref="AF491:AG491"/>
    <mergeCell ref="AF492:AG492"/>
    <mergeCell ref="AF493:AG493"/>
    <mergeCell ref="L39:L40"/>
    <mergeCell ref="I39:I40"/>
    <mergeCell ref="G30:G31"/>
    <mergeCell ref="F30:F31"/>
    <mergeCell ref="E30:E31"/>
    <mergeCell ref="D30:D31"/>
    <mergeCell ref="AF482:AG482"/>
    <mergeCell ref="AF483:AG483"/>
    <mergeCell ref="AF484:AG484"/>
    <mergeCell ref="K29:L29"/>
    <mergeCell ref="AI29:AK29"/>
    <mergeCell ref="AL29:AM29"/>
    <mergeCell ref="AN29:AO29"/>
    <mergeCell ref="M29:N29"/>
    <mergeCell ref="B23:G23"/>
    <mergeCell ref="S23:Y23"/>
    <mergeCell ref="D7:E13"/>
    <mergeCell ref="M38:O38"/>
    <mergeCell ref="B39:B40"/>
    <mergeCell ref="C39:C40"/>
    <mergeCell ref="D39:D40"/>
    <mergeCell ref="E39:E40"/>
    <mergeCell ref="J50:K50"/>
    <mergeCell ref="J41:K41"/>
    <mergeCell ref="J39:K40"/>
    <mergeCell ref="J47:K47"/>
    <mergeCell ref="J48:K48"/>
    <mergeCell ref="J49:K49"/>
    <mergeCell ref="J46:K46"/>
    <mergeCell ref="J45:K45"/>
    <mergeCell ref="J44:K44"/>
    <mergeCell ref="J43:K43"/>
    <mergeCell ref="J42:K42"/>
    <mergeCell ref="G39:G40"/>
    <mergeCell ref="H39:H40"/>
    <mergeCell ref="F39:F40"/>
    <mergeCell ref="J56:K56"/>
    <mergeCell ref="J57:K57"/>
    <mergeCell ref="J58:K58"/>
    <mergeCell ref="J59:K59"/>
    <mergeCell ref="J60:K60"/>
    <mergeCell ref="J51:K51"/>
    <mergeCell ref="J52:K52"/>
    <mergeCell ref="J53:K53"/>
    <mergeCell ref="J54:K54"/>
    <mergeCell ref="J55:K55"/>
    <mergeCell ref="J66:K66"/>
    <mergeCell ref="J67:K67"/>
    <mergeCell ref="J68:K68"/>
    <mergeCell ref="J69:K69"/>
    <mergeCell ref="J70:K70"/>
    <mergeCell ref="J61:K61"/>
    <mergeCell ref="J62:K62"/>
    <mergeCell ref="J63:K63"/>
    <mergeCell ref="J64:K64"/>
    <mergeCell ref="J65:K65"/>
    <mergeCell ref="J76:K76"/>
    <mergeCell ref="J77:K77"/>
    <mergeCell ref="J78:K78"/>
    <mergeCell ref="J79:K79"/>
    <mergeCell ref="J80:K80"/>
    <mergeCell ref="J71:K71"/>
    <mergeCell ref="J72:K72"/>
    <mergeCell ref="J73:K73"/>
    <mergeCell ref="J74:K74"/>
    <mergeCell ref="J75:K75"/>
    <mergeCell ref="J86:K86"/>
    <mergeCell ref="J87:K87"/>
    <mergeCell ref="J88:K88"/>
    <mergeCell ref="J89:K89"/>
    <mergeCell ref="J90:K90"/>
    <mergeCell ref="J81:K81"/>
    <mergeCell ref="J82:K82"/>
    <mergeCell ref="J83:K83"/>
    <mergeCell ref="J84:K84"/>
    <mergeCell ref="J85:K85"/>
    <mergeCell ref="J96:K96"/>
    <mergeCell ref="J97:K97"/>
    <mergeCell ref="J98:K98"/>
    <mergeCell ref="J99:K99"/>
    <mergeCell ref="J100:K100"/>
    <mergeCell ref="J91:K91"/>
    <mergeCell ref="J92:K92"/>
    <mergeCell ref="J93:K93"/>
    <mergeCell ref="J94:K94"/>
    <mergeCell ref="J95:K95"/>
    <mergeCell ref="J106:K106"/>
    <mergeCell ref="J107:K107"/>
    <mergeCell ref="J108:K108"/>
    <mergeCell ref="J109:K109"/>
    <mergeCell ref="J110:K110"/>
    <mergeCell ref="J101:K101"/>
    <mergeCell ref="J102:K102"/>
    <mergeCell ref="J103:K103"/>
    <mergeCell ref="J104:K104"/>
    <mergeCell ref="J105:K105"/>
    <mergeCell ref="J116:K116"/>
    <mergeCell ref="J117:K117"/>
    <mergeCell ref="J118:K118"/>
    <mergeCell ref="J119:K119"/>
    <mergeCell ref="J120:K120"/>
    <mergeCell ref="J111:K111"/>
    <mergeCell ref="J112:K112"/>
    <mergeCell ref="J113:K113"/>
    <mergeCell ref="J114:K114"/>
    <mergeCell ref="J115:K115"/>
    <mergeCell ref="J126:K126"/>
    <mergeCell ref="J127:K127"/>
    <mergeCell ref="J128:K128"/>
    <mergeCell ref="J129:K129"/>
    <mergeCell ref="J130:K130"/>
    <mergeCell ref="J121:K121"/>
    <mergeCell ref="J122:K122"/>
    <mergeCell ref="J123:K123"/>
    <mergeCell ref="J124:K124"/>
    <mergeCell ref="J125:K125"/>
    <mergeCell ref="J136:K136"/>
    <mergeCell ref="J137:K137"/>
    <mergeCell ref="J138:K138"/>
    <mergeCell ref="J139:K139"/>
    <mergeCell ref="J140:K140"/>
    <mergeCell ref="J131:K131"/>
    <mergeCell ref="J132:K132"/>
    <mergeCell ref="J133:K133"/>
    <mergeCell ref="J134:K134"/>
    <mergeCell ref="J135:K135"/>
    <mergeCell ref="J146:K146"/>
    <mergeCell ref="J147:K147"/>
    <mergeCell ref="J148:K148"/>
    <mergeCell ref="J149:K149"/>
    <mergeCell ref="J150:K150"/>
    <mergeCell ref="J141:K141"/>
    <mergeCell ref="J142:K142"/>
    <mergeCell ref="J143:K143"/>
    <mergeCell ref="J144:K144"/>
    <mergeCell ref="J145:K145"/>
    <mergeCell ref="J156:K156"/>
    <mergeCell ref="J157:K157"/>
    <mergeCell ref="J158:K158"/>
    <mergeCell ref="J159:K159"/>
    <mergeCell ref="J160:K160"/>
    <mergeCell ref="J151:K151"/>
    <mergeCell ref="J152:K152"/>
    <mergeCell ref="J153:K153"/>
    <mergeCell ref="J154:K154"/>
    <mergeCell ref="J155:K155"/>
    <mergeCell ref="J166:K166"/>
    <mergeCell ref="J167:K167"/>
    <mergeCell ref="J168:K168"/>
    <mergeCell ref="J169:K169"/>
    <mergeCell ref="J170:K170"/>
    <mergeCell ref="J161:K161"/>
    <mergeCell ref="J162:K162"/>
    <mergeCell ref="J163:K163"/>
    <mergeCell ref="J164:K164"/>
    <mergeCell ref="J165:K165"/>
    <mergeCell ref="J176:K176"/>
    <mergeCell ref="J177:K177"/>
    <mergeCell ref="J178:K178"/>
    <mergeCell ref="J179:K179"/>
    <mergeCell ref="J180:K180"/>
    <mergeCell ref="J171:K171"/>
    <mergeCell ref="J172:K172"/>
    <mergeCell ref="J173:K173"/>
    <mergeCell ref="J174:K174"/>
    <mergeCell ref="J175:K175"/>
    <mergeCell ref="J186:K186"/>
    <mergeCell ref="J187:K187"/>
    <mergeCell ref="J188:K188"/>
    <mergeCell ref="J189:K189"/>
    <mergeCell ref="J190:K190"/>
    <mergeCell ref="J181:K181"/>
    <mergeCell ref="J182:K182"/>
    <mergeCell ref="J183:K183"/>
    <mergeCell ref="J184:K184"/>
    <mergeCell ref="J185:K185"/>
    <mergeCell ref="J196:K196"/>
    <mergeCell ref="J197:K197"/>
    <mergeCell ref="J198:K198"/>
    <mergeCell ref="J199:K199"/>
    <mergeCell ref="J200:K200"/>
    <mergeCell ref="J191:K191"/>
    <mergeCell ref="J192:K192"/>
    <mergeCell ref="J193:K193"/>
    <mergeCell ref="J194:K194"/>
    <mergeCell ref="J195:K195"/>
    <mergeCell ref="J206:K206"/>
    <mergeCell ref="J207:K207"/>
    <mergeCell ref="J208:K208"/>
    <mergeCell ref="J209:K209"/>
    <mergeCell ref="J210:K210"/>
    <mergeCell ref="J201:K201"/>
    <mergeCell ref="J202:K202"/>
    <mergeCell ref="J203:K203"/>
    <mergeCell ref="J204:K204"/>
    <mergeCell ref="J205:K205"/>
    <mergeCell ref="J216:K216"/>
    <mergeCell ref="J217:K217"/>
    <mergeCell ref="J218:K218"/>
    <mergeCell ref="J219:K219"/>
    <mergeCell ref="J220:K220"/>
    <mergeCell ref="J211:K211"/>
    <mergeCell ref="J212:K212"/>
    <mergeCell ref="J213:K213"/>
    <mergeCell ref="J214:K214"/>
    <mergeCell ref="J215:K215"/>
    <mergeCell ref="J226:K226"/>
    <mergeCell ref="J227:K227"/>
    <mergeCell ref="J228:K228"/>
    <mergeCell ref="J229:K229"/>
    <mergeCell ref="J230:K230"/>
    <mergeCell ref="J221:K221"/>
    <mergeCell ref="J222:K222"/>
    <mergeCell ref="J223:K223"/>
    <mergeCell ref="J224:K224"/>
    <mergeCell ref="J225:K225"/>
    <mergeCell ref="J236:K236"/>
    <mergeCell ref="J237:K237"/>
    <mergeCell ref="J238:K238"/>
    <mergeCell ref="J239:K239"/>
    <mergeCell ref="J240:K240"/>
    <mergeCell ref="J231:K231"/>
    <mergeCell ref="J232:K232"/>
    <mergeCell ref="J233:K233"/>
    <mergeCell ref="J234:K234"/>
    <mergeCell ref="J235:K235"/>
    <mergeCell ref="J246:K246"/>
    <mergeCell ref="J247:K247"/>
    <mergeCell ref="J248:K248"/>
    <mergeCell ref="J249:K249"/>
    <mergeCell ref="J250:K250"/>
    <mergeCell ref="J241:K241"/>
    <mergeCell ref="J242:K242"/>
    <mergeCell ref="J243:K243"/>
    <mergeCell ref="J244:K244"/>
    <mergeCell ref="J245:K245"/>
    <mergeCell ref="J256:K256"/>
    <mergeCell ref="J257:K257"/>
    <mergeCell ref="J258:K258"/>
    <mergeCell ref="J259:K259"/>
    <mergeCell ref="J260:K260"/>
    <mergeCell ref="J251:K251"/>
    <mergeCell ref="J252:K252"/>
    <mergeCell ref="J253:K253"/>
    <mergeCell ref="J254:K254"/>
    <mergeCell ref="J255:K255"/>
    <mergeCell ref="J266:K266"/>
    <mergeCell ref="J267:K267"/>
    <mergeCell ref="J268:K268"/>
    <mergeCell ref="J269:K269"/>
    <mergeCell ref="J270:K270"/>
    <mergeCell ref="J261:K261"/>
    <mergeCell ref="J262:K262"/>
    <mergeCell ref="J263:K263"/>
    <mergeCell ref="J264:K264"/>
    <mergeCell ref="J265:K265"/>
    <mergeCell ref="J276:K276"/>
    <mergeCell ref="J277:K277"/>
    <mergeCell ref="J278:K278"/>
    <mergeCell ref="J279:K279"/>
    <mergeCell ref="J280:K280"/>
    <mergeCell ref="J271:K271"/>
    <mergeCell ref="J272:K272"/>
    <mergeCell ref="J273:K273"/>
    <mergeCell ref="J274:K274"/>
    <mergeCell ref="J275:K275"/>
    <mergeCell ref="J286:K286"/>
    <mergeCell ref="J287:K287"/>
    <mergeCell ref="J288:K288"/>
    <mergeCell ref="J289:K289"/>
    <mergeCell ref="J290:K290"/>
    <mergeCell ref="J281:K281"/>
    <mergeCell ref="J282:K282"/>
    <mergeCell ref="J283:K283"/>
    <mergeCell ref="J284:K284"/>
    <mergeCell ref="J285:K285"/>
    <mergeCell ref="J296:K296"/>
    <mergeCell ref="J297:K297"/>
    <mergeCell ref="J298:K298"/>
    <mergeCell ref="J299:K299"/>
    <mergeCell ref="J300:K300"/>
    <mergeCell ref="J291:K291"/>
    <mergeCell ref="J292:K292"/>
    <mergeCell ref="J293:K293"/>
    <mergeCell ref="J294:K294"/>
    <mergeCell ref="J295:K295"/>
    <mergeCell ref="J306:K306"/>
    <mergeCell ref="J307:K307"/>
    <mergeCell ref="J308:K308"/>
    <mergeCell ref="J309:K309"/>
    <mergeCell ref="J310:K310"/>
    <mergeCell ref="J301:K301"/>
    <mergeCell ref="J302:K302"/>
    <mergeCell ref="J303:K303"/>
    <mergeCell ref="J304:K304"/>
    <mergeCell ref="J305:K305"/>
    <mergeCell ref="J316:K316"/>
    <mergeCell ref="J317:K317"/>
    <mergeCell ref="J318:K318"/>
    <mergeCell ref="J319:K319"/>
    <mergeCell ref="J320:K320"/>
    <mergeCell ref="J311:K311"/>
    <mergeCell ref="J312:K312"/>
    <mergeCell ref="J313:K313"/>
    <mergeCell ref="J314:K314"/>
    <mergeCell ref="J315:K315"/>
    <mergeCell ref="J326:K326"/>
    <mergeCell ref="J327:K327"/>
    <mergeCell ref="J328:K328"/>
    <mergeCell ref="J329:K329"/>
    <mergeCell ref="J330:K330"/>
    <mergeCell ref="J321:K321"/>
    <mergeCell ref="J322:K322"/>
    <mergeCell ref="J323:K323"/>
    <mergeCell ref="J324:K324"/>
    <mergeCell ref="J325:K325"/>
    <mergeCell ref="J336:K336"/>
    <mergeCell ref="J337:K337"/>
    <mergeCell ref="J338:K338"/>
    <mergeCell ref="J339:K339"/>
    <mergeCell ref="J340:K340"/>
    <mergeCell ref="J331:K331"/>
    <mergeCell ref="J332:K332"/>
    <mergeCell ref="J333:K333"/>
    <mergeCell ref="J334:K334"/>
    <mergeCell ref="J335:K335"/>
    <mergeCell ref="J346:K346"/>
    <mergeCell ref="J347:K347"/>
    <mergeCell ref="J348:K348"/>
    <mergeCell ref="J349:K349"/>
    <mergeCell ref="J350:K350"/>
    <mergeCell ref="J341:K341"/>
    <mergeCell ref="J342:K342"/>
    <mergeCell ref="J343:K343"/>
    <mergeCell ref="J344:K344"/>
    <mergeCell ref="J345:K345"/>
    <mergeCell ref="J356:K356"/>
    <mergeCell ref="J357:K357"/>
    <mergeCell ref="J358:K358"/>
    <mergeCell ref="J359:K359"/>
    <mergeCell ref="J360:K360"/>
    <mergeCell ref="J351:K351"/>
    <mergeCell ref="J352:K352"/>
    <mergeCell ref="J353:K353"/>
    <mergeCell ref="J354:K354"/>
    <mergeCell ref="J355:K355"/>
    <mergeCell ref="J366:K366"/>
    <mergeCell ref="J367:K367"/>
    <mergeCell ref="J368:K368"/>
    <mergeCell ref="J369:K369"/>
    <mergeCell ref="J370:K370"/>
    <mergeCell ref="J361:K361"/>
    <mergeCell ref="J362:K362"/>
    <mergeCell ref="J363:K363"/>
    <mergeCell ref="J364:K364"/>
    <mergeCell ref="J365:K365"/>
    <mergeCell ref="J376:K376"/>
    <mergeCell ref="J377:K377"/>
    <mergeCell ref="J378:K378"/>
    <mergeCell ref="J379:K379"/>
    <mergeCell ref="J380:K380"/>
    <mergeCell ref="J371:K371"/>
    <mergeCell ref="J372:K372"/>
    <mergeCell ref="J373:K373"/>
    <mergeCell ref="J374:K374"/>
    <mergeCell ref="J375:K375"/>
    <mergeCell ref="J386:K386"/>
    <mergeCell ref="J387:K387"/>
    <mergeCell ref="J388:K388"/>
    <mergeCell ref="J389:K389"/>
    <mergeCell ref="J390:K390"/>
    <mergeCell ref="J381:K381"/>
    <mergeCell ref="J382:K382"/>
    <mergeCell ref="J383:K383"/>
    <mergeCell ref="J384:K384"/>
    <mergeCell ref="J385:K385"/>
    <mergeCell ref="J396:K396"/>
    <mergeCell ref="J397:K397"/>
    <mergeCell ref="J398:K398"/>
    <mergeCell ref="J399:K399"/>
    <mergeCell ref="J400:K400"/>
    <mergeCell ref="J391:K391"/>
    <mergeCell ref="J392:K392"/>
    <mergeCell ref="J393:K393"/>
    <mergeCell ref="J394:K394"/>
    <mergeCell ref="J395:K395"/>
    <mergeCell ref="J406:K406"/>
    <mergeCell ref="J407:K407"/>
    <mergeCell ref="J408:K408"/>
    <mergeCell ref="J409:K409"/>
    <mergeCell ref="J410:K410"/>
    <mergeCell ref="J401:K401"/>
    <mergeCell ref="J402:K402"/>
    <mergeCell ref="J403:K403"/>
    <mergeCell ref="J404:K404"/>
    <mergeCell ref="J405:K405"/>
    <mergeCell ref="J416:K416"/>
    <mergeCell ref="J417:K417"/>
    <mergeCell ref="J418:K418"/>
    <mergeCell ref="J419:K419"/>
    <mergeCell ref="J420:K420"/>
    <mergeCell ref="J411:K411"/>
    <mergeCell ref="J412:K412"/>
    <mergeCell ref="J413:K413"/>
    <mergeCell ref="J414:K414"/>
    <mergeCell ref="J415:K415"/>
    <mergeCell ref="J444:K444"/>
    <mergeCell ref="J445:K445"/>
    <mergeCell ref="J457:K457"/>
    <mergeCell ref="J458:K458"/>
    <mergeCell ref="J459:K459"/>
    <mergeCell ref="J460:K460"/>
    <mergeCell ref="J451:K451"/>
    <mergeCell ref="J452:K452"/>
    <mergeCell ref="J453:K453"/>
    <mergeCell ref="J454:K454"/>
    <mergeCell ref="J455:K455"/>
    <mergeCell ref="J426:K426"/>
    <mergeCell ref="J427:K427"/>
    <mergeCell ref="J428:K428"/>
    <mergeCell ref="J429:K429"/>
    <mergeCell ref="J430:K430"/>
    <mergeCell ref="J421:K421"/>
    <mergeCell ref="J422:K422"/>
    <mergeCell ref="J423:K423"/>
    <mergeCell ref="J424:K424"/>
    <mergeCell ref="J425:K425"/>
    <mergeCell ref="J436:K436"/>
    <mergeCell ref="J437:K437"/>
    <mergeCell ref="J438:K438"/>
    <mergeCell ref="J439:K439"/>
    <mergeCell ref="J440:K440"/>
    <mergeCell ref="J431:K431"/>
    <mergeCell ref="J432:K432"/>
    <mergeCell ref="J433:K433"/>
    <mergeCell ref="J434:K434"/>
    <mergeCell ref="J435:K435"/>
    <mergeCell ref="N7:O7"/>
    <mergeCell ref="N8:O9"/>
    <mergeCell ref="J481:K481"/>
    <mergeCell ref="J476:K476"/>
    <mergeCell ref="J477:K477"/>
    <mergeCell ref="J478:K478"/>
    <mergeCell ref="J479:K479"/>
    <mergeCell ref="J480:K480"/>
    <mergeCell ref="J471:K471"/>
    <mergeCell ref="J472:K472"/>
    <mergeCell ref="J473:K473"/>
    <mergeCell ref="J474:K474"/>
    <mergeCell ref="J475:K475"/>
    <mergeCell ref="J466:K466"/>
    <mergeCell ref="J467:K467"/>
    <mergeCell ref="J468:K468"/>
    <mergeCell ref="J469:K469"/>
    <mergeCell ref="J470:K470"/>
    <mergeCell ref="J461:K461"/>
    <mergeCell ref="J462:K462"/>
    <mergeCell ref="J463:K463"/>
    <mergeCell ref="J464:K464"/>
    <mergeCell ref="J465:K465"/>
    <mergeCell ref="J456:K456"/>
    <mergeCell ref="J446:K446"/>
    <mergeCell ref="J447:K447"/>
    <mergeCell ref="J448:K448"/>
    <mergeCell ref="J449:K449"/>
    <mergeCell ref="J450:K450"/>
    <mergeCell ref="J441:K441"/>
    <mergeCell ref="J442:K442"/>
    <mergeCell ref="J443:K443"/>
    <mergeCell ref="C30:C31"/>
    <mergeCell ref="B30:B31"/>
    <mergeCell ref="N30:N31"/>
    <mergeCell ref="M30:M31"/>
    <mergeCell ref="L30:L31"/>
    <mergeCell ref="K30:K31"/>
    <mergeCell ref="T30:T31"/>
    <mergeCell ref="S30:S31"/>
    <mergeCell ref="J30:J31"/>
    <mergeCell ref="I30:I31"/>
    <mergeCell ref="H30:H31"/>
    <mergeCell ref="Z30:Z31"/>
    <mergeCell ref="Y30:Y31"/>
    <mergeCell ref="W30:W31"/>
    <mergeCell ref="V30:V31"/>
    <mergeCell ref="U30:U31"/>
    <mergeCell ref="AE30:AE31"/>
    <mergeCell ref="AD30:AD31"/>
    <mergeCell ref="AC30:AC31"/>
    <mergeCell ref="AB30:AB31"/>
    <mergeCell ref="AA30:AA31"/>
    <mergeCell ref="AO30:AO31"/>
    <mergeCell ref="AN30:AN31"/>
    <mergeCell ref="AM30:AM31"/>
    <mergeCell ref="AL30:AL31"/>
    <mergeCell ref="AH30:AH31"/>
    <mergeCell ref="AF42:AG42"/>
    <mergeCell ref="AF43:AG43"/>
    <mergeCell ref="AF44:AG44"/>
    <mergeCell ref="AF45:AG45"/>
    <mergeCell ref="AF46:AG46"/>
    <mergeCell ref="AF37:AG37"/>
    <mergeCell ref="AF38:AG38"/>
    <mergeCell ref="AF39:AG39"/>
    <mergeCell ref="AF40:AG40"/>
    <mergeCell ref="AF41:AG41"/>
    <mergeCell ref="X30:X31"/>
    <mergeCell ref="AF30:AG31"/>
    <mergeCell ref="AF47:AG47"/>
    <mergeCell ref="AF48:AG48"/>
    <mergeCell ref="AF49:AG49"/>
    <mergeCell ref="AF50:AG50"/>
    <mergeCell ref="AF51:AG51"/>
    <mergeCell ref="AF62:AG62"/>
    <mergeCell ref="AF63:AG63"/>
    <mergeCell ref="AF64:AG64"/>
    <mergeCell ref="AF65:AG65"/>
    <mergeCell ref="AF66:AG66"/>
    <mergeCell ref="AF57:AG57"/>
    <mergeCell ref="AF58:AG58"/>
    <mergeCell ref="AF59:AG59"/>
    <mergeCell ref="AF60:AG60"/>
    <mergeCell ref="AF61:AG61"/>
    <mergeCell ref="AF32:AG32"/>
    <mergeCell ref="AF33:AG33"/>
    <mergeCell ref="AF34:AG34"/>
    <mergeCell ref="AF35:AG35"/>
    <mergeCell ref="AF36:AG36"/>
    <mergeCell ref="AF67:AG67"/>
    <mergeCell ref="AF68:AG68"/>
    <mergeCell ref="AF69:AG69"/>
    <mergeCell ref="AF70:AG70"/>
    <mergeCell ref="AF71:AG71"/>
    <mergeCell ref="AF82:AG82"/>
    <mergeCell ref="AF83:AG83"/>
    <mergeCell ref="AF84:AG84"/>
    <mergeCell ref="AF85:AG85"/>
    <mergeCell ref="AF86:AG86"/>
    <mergeCell ref="AF77:AG77"/>
    <mergeCell ref="AF78:AG78"/>
    <mergeCell ref="AF79:AG79"/>
    <mergeCell ref="AF80:AG80"/>
    <mergeCell ref="AF81:AG81"/>
    <mergeCell ref="AF52:AG52"/>
    <mergeCell ref="AF53:AG53"/>
    <mergeCell ref="AF54:AG54"/>
    <mergeCell ref="AF55:AG55"/>
    <mergeCell ref="AF56:AG56"/>
    <mergeCell ref="AF87:AG87"/>
    <mergeCell ref="AF88:AG88"/>
    <mergeCell ref="AF89:AG89"/>
    <mergeCell ref="AF90:AG90"/>
    <mergeCell ref="AF91:AG91"/>
    <mergeCell ref="AF102:AG102"/>
    <mergeCell ref="AF103:AG103"/>
    <mergeCell ref="AF104:AG104"/>
    <mergeCell ref="AF105:AG105"/>
    <mergeCell ref="AF106:AG106"/>
    <mergeCell ref="AF97:AG97"/>
    <mergeCell ref="AF98:AG98"/>
    <mergeCell ref="AF99:AG99"/>
    <mergeCell ref="AF100:AG100"/>
    <mergeCell ref="AF101:AG101"/>
    <mergeCell ref="AF72:AG72"/>
    <mergeCell ref="AF73:AG73"/>
    <mergeCell ref="AF74:AG74"/>
    <mergeCell ref="AF75:AG75"/>
    <mergeCell ref="AF76:AG76"/>
    <mergeCell ref="AF107:AG107"/>
    <mergeCell ref="AF108:AG108"/>
    <mergeCell ref="AF109:AG109"/>
    <mergeCell ref="AF110:AG110"/>
    <mergeCell ref="AF111:AG111"/>
    <mergeCell ref="AF122:AG122"/>
    <mergeCell ref="AF123:AG123"/>
    <mergeCell ref="AF124:AG124"/>
    <mergeCell ref="AF125:AG125"/>
    <mergeCell ref="AF126:AG126"/>
    <mergeCell ref="AF117:AG117"/>
    <mergeCell ref="AF118:AG118"/>
    <mergeCell ref="AF119:AG119"/>
    <mergeCell ref="AF120:AG120"/>
    <mergeCell ref="AF121:AG121"/>
    <mergeCell ref="AF92:AG92"/>
    <mergeCell ref="AF93:AG93"/>
    <mergeCell ref="AF94:AG94"/>
    <mergeCell ref="AF95:AG95"/>
    <mergeCell ref="AF96:AG96"/>
    <mergeCell ref="AF127:AG127"/>
    <mergeCell ref="AF128:AG128"/>
    <mergeCell ref="AF129:AG129"/>
    <mergeCell ref="AF130:AG130"/>
    <mergeCell ref="AF131:AG131"/>
    <mergeCell ref="AF142:AG142"/>
    <mergeCell ref="AF143:AG143"/>
    <mergeCell ref="AF144:AG144"/>
    <mergeCell ref="AF145:AG145"/>
    <mergeCell ref="AF146:AG146"/>
    <mergeCell ref="AF137:AG137"/>
    <mergeCell ref="AF138:AG138"/>
    <mergeCell ref="AF139:AG139"/>
    <mergeCell ref="AF140:AG140"/>
    <mergeCell ref="AF141:AG141"/>
    <mergeCell ref="AF112:AG112"/>
    <mergeCell ref="AF113:AG113"/>
    <mergeCell ref="AF114:AG114"/>
    <mergeCell ref="AF115:AG115"/>
    <mergeCell ref="AF116:AG116"/>
    <mergeCell ref="AF147:AG147"/>
    <mergeCell ref="AF148:AG148"/>
    <mergeCell ref="AF149:AG149"/>
    <mergeCell ref="AF150:AG150"/>
    <mergeCell ref="AF151:AG151"/>
    <mergeCell ref="AF162:AG162"/>
    <mergeCell ref="AF163:AG163"/>
    <mergeCell ref="AF164:AG164"/>
    <mergeCell ref="AF165:AG165"/>
    <mergeCell ref="AF166:AG166"/>
    <mergeCell ref="AF157:AG157"/>
    <mergeCell ref="AF158:AG158"/>
    <mergeCell ref="AF159:AG159"/>
    <mergeCell ref="AF160:AG160"/>
    <mergeCell ref="AF161:AG161"/>
    <mergeCell ref="AF132:AG132"/>
    <mergeCell ref="AF133:AG133"/>
    <mergeCell ref="AF134:AG134"/>
    <mergeCell ref="AF135:AG135"/>
    <mergeCell ref="AF136:AG136"/>
    <mergeCell ref="AF167:AG167"/>
    <mergeCell ref="AF168:AG168"/>
    <mergeCell ref="AF169:AG169"/>
    <mergeCell ref="AF170:AG170"/>
    <mergeCell ref="AF171:AG171"/>
    <mergeCell ref="AF182:AG182"/>
    <mergeCell ref="AF183:AG183"/>
    <mergeCell ref="AF184:AG184"/>
    <mergeCell ref="AF185:AG185"/>
    <mergeCell ref="AF186:AG186"/>
    <mergeCell ref="AF177:AG177"/>
    <mergeCell ref="AF178:AG178"/>
    <mergeCell ref="AF179:AG179"/>
    <mergeCell ref="AF180:AG180"/>
    <mergeCell ref="AF181:AG181"/>
    <mergeCell ref="AF152:AG152"/>
    <mergeCell ref="AF153:AG153"/>
    <mergeCell ref="AF154:AG154"/>
    <mergeCell ref="AF155:AG155"/>
    <mergeCell ref="AF156:AG156"/>
    <mergeCell ref="AF187:AG187"/>
    <mergeCell ref="AF188:AG188"/>
    <mergeCell ref="AF189:AG189"/>
    <mergeCell ref="AF190:AG190"/>
    <mergeCell ref="AF191:AG191"/>
    <mergeCell ref="AF202:AG202"/>
    <mergeCell ref="AF203:AG203"/>
    <mergeCell ref="AF204:AG204"/>
    <mergeCell ref="AF205:AG205"/>
    <mergeCell ref="AF206:AG206"/>
    <mergeCell ref="AF197:AG197"/>
    <mergeCell ref="AF198:AG198"/>
    <mergeCell ref="AF199:AG199"/>
    <mergeCell ref="AF200:AG200"/>
    <mergeCell ref="AF201:AG201"/>
    <mergeCell ref="AF172:AG172"/>
    <mergeCell ref="AF173:AG173"/>
    <mergeCell ref="AF174:AG174"/>
    <mergeCell ref="AF175:AG175"/>
    <mergeCell ref="AF176:AG176"/>
    <mergeCell ref="AF207:AG207"/>
    <mergeCell ref="AF208:AG208"/>
    <mergeCell ref="AF209:AG209"/>
    <mergeCell ref="AF210:AG210"/>
    <mergeCell ref="AF211:AG211"/>
    <mergeCell ref="AF222:AG222"/>
    <mergeCell ref="AF223:AG223"/>
    <mergeCell ref="AF224:AG224"/>
    <mergeCell ref="AF225:AG225"/>
    <mergeCell ref="AF226:AG226"/>
    <mergeCell ref="AF217:AG217"/>
    <mergeCell ref="AF218:AG218"/>
    <mergeCell ref="AF219:AG219"/>
    <mergeCell ref="AF220:AG220"/>
    <mergeCell ref="AF221:AG221"/>
    <mergeCell ref="AF192:AG192"/>
    <mergeCell ref="AF193:AG193"/>
    <mergeCell ref="AF194:AG194"/>
    <mergeCell ref="AF195:AG195"/>
    <mergeCell ref="AF196:AG196"/>
    <mergeCell ref="AF227:AG227"/>
    <mergeCell ref="AF228:AG228"/>
    <mergeCell ref="AF229:AG229"/>
    <mergeCell ref="AF230:AG230"/>
    <mergeCell ref="AF231:AG231"/>
    <mergeCell ref="AF242:AG242"/>
    <mergeCell ref="AF243:AG243"/>
    <mergeCell ref="AF244:AG244"/>
    <mergeCell ref="AF245:AG245"/>
    <mergeCell ref="AF246:AG246"/>
    <mergeCell ref="AF237:AG237"/>
    <mergeCell ref="AF238:AG238"/>
    <mergeCell ref="AF239:AG239"/>
    <mergeCell ref="AF240:AG240"/>
    <mergeCell ref="AF241:AG241"/>
    <mergeCell ref="AF212:AG212"/>
    <mergeCell ref="AF213:AG213"/>
    <mergeCell ref="AF214:AG214"/>
    <mergeCell ref="AF215:AG215"/>
    <mergeCell ref="AF216:AG216"/>
    <mergeCell ref="AF247:AG247"/>
    <mergeCell ref="AF248:AG248"/>
    <mergeCell ref="AF249:AG249"/>
    <mergeCell ref="AF250:AG250"/>
    <mergeCell ref="AF251:AG251"/>
    <mergeCell ref="AF262:AG262"/>
    <mergeCell ref="AF263:AG263"/>
    <mergeCell ref="AF264:AG264"/>
    <mergeCell ref="AF265:AG265"/>
    <mergeCell ref="AF266:AG266"/>
    <mergeCell ref="AF257:AG257"/>
    <mergeCell ref="AF258:AG258"/>
    <mergeCell ref="AF259:AG259"/>
    <mergeCell ref="AF260:AG260"/>
    <mergeCell ref="AF261:AG261"/>
    <mergeCell ref="AF232:AG232"/>
    <mergeCell ref="AF233:AG233"/>
    <mergeCell ref="AF234:AG234"/>
    <mergeCell ref="AF235:AG235"/>
    <mergeCell ref="AF236:AG236"/>
    <mergeCell ref="AF267:AG267"/>
    <mergeCell ref="AF268:AG268"/>
    <mergeCell ref="AF269:AG269"/>
    <mergeCell ref="AF270:AG270"/>
    <mergeCell ref="AF271:AG271"/>
    <mergeCell ref="AF282:AG282"/>
    <mergeCell ref="AF283:AG283"/>
    <mergeCell ref="AF284:AG284"/>
    <mergeCell ref="AF285:AG285"/>
    <mergeCell ref="AF286:AG286"/>
    <mergeCell ref="AF277:AG277"/>
    <mergeCell ref="AF278:AG278"/>
    <mergeCell ref="AF279:AG279"/>
    <mergeCell ref="AF280:AG280"/>
    <mergeCell ref="AF281:AG281"/>
    <mergeCell ref="AF252:AG252"/>
    <mergeCell ref="AF253:AG253"/>
    <mergeCell ref="AF254:AG254"/>
    <mergeCell ref="AF255:AG255"/>
    <mergeCell ref="AF256:AG256"/>
    <mergeCell ref="AF287:AG287"/>
    <mergeCell ref="AF288:AG288"/>
    <mergeCell ref="AF289:AG289"/>
    <mergeCell ref="AF290:AG290"/>
    <mergeCell ref="AF291:AG291"/>
    <mergeCell ref="AF302:AG302"/>
    <mergeCell ref="AF303:AG303"/>
    <mergeCell ref="AF304:AG304"/>
    <mergeCell ref="AF305:AG305"/>
    <mergeCell ref="AF306:AG306"/>
    <mergeCell ref="AF297:AG297"/>
    <mergeCell ref="AF298:AG298"/>
    <mergeCell ref="AF299:AG299"/>
    <mergeCell ref="AF300:AG300"/>
    <mergeCell ref="AF301:AG301"/>
    <mergeCell ref="AF272:AG272"/>
    <mergeCell ref="AF273:AG273"/>
    <mergeCell ref="AF274:AG274"/>
    <mergeCell ref="AF275:AG275"/>
    <mergeCell ref="AF276:AG276"/>
    <mergeCell ref="AF307:AG307"/>
    <mergeCell ref="AF308:AG308"/>
    <mergeCell ref="AF309:AG309"/>
    <mergeCell ref="AF310:AG310"/>
    <mergeCell ref="AF311:AG311"/>
    <mergeCell ref="AF322:AG322"/>
    <mergeCell ref="AF323:AG323"/>
    <mergeCell ref="AF324:AG324"/>
    <mergeCell ref="AF325:AG325"/>
    <mergeCell ref="AF326:AG326"/>
    <mergeCell ref="AF317:AG317"/>
    <mergeCell ref="AF318:AG318"/>
    <mergeCell ref="AF319:AG319"/>
    <mergeCell ref="AF320:AG320"/>
    <mergeCell ref="AF321:AG321"/>
    <mergeCell ref="AF292:AG292"/>
    <mergeCell ref="AF293:AG293"/>
    <mergeCell ref="AF294:AG294"/>
    <mergeCell ref="AF295:AG295"/>
    <mergeCell ref="AF296:AG296"/>
    <mergeCell ref="AF327:AG327"/>
    <mergeCell ref="AF328:AG328"/>
    <mergeCell ref="AF329:AG329"/>
    <mergeCell ref="AF330:AG330"/>
    <mergeCell ref="AF331:AG331"/>
    <mergeCell ref="AF342:AG342"/>
    <mergeCell ref="AF343:AG343"/>
    <mergeCell ref="AF344:AG344"/>
    <mergeCell ref="AF345:AG345"/>
    <mergeCell ref="AF346:AG346"/>
    <mergeCell ref="AF337:AG337"/>
    <mergeCell ref="AF338:AG338"/>
    <mergeCell ref="AF339:AG339"/>
    <mergeCell ref="AF340:AG340"/>
    <mergeCell ref="AF341:AG341"/>
    <mergeCell ref="AF312:AG312"/>
    <mergeCell ref="AF313:AG313"/>
    <mergeCell ref="AF314:AG314"/>
    <mergeCell ref="AF315:AG315"/>
    <mergeCell ref="AF316:AG316"/>
    <mergeCell ref="AF347:AG347"/>
    <mergeCell ref="AF348:AG348"/>
    <mergeCell ref="AF349:AG349"/>
    <mergeCell ref="AF350:AG350"/>
    <mergeCell ref="AF351:AG351"/>
    <mergeCell ref="AF362:AG362"/>
    <mergeCell ref="AF363:AG363"/>
    <mergeCell ref="AF364:AG364"/>
    <mergeCell ref="AF365:AG365"/>
    <mergeCell ref="AF366:AG366"/>
    <mergeCell ref="AF357:AG357"/>
    <mergeCell ref="AF358:AG358"/>
    <mergeCell ref="AF359:AG359"/>
    <mergeCell ref="AF360:AG360"/>
    <mergeCell ref="AF361:AG361"/>
    <mergeCell ref="AF332:AG332"/>
    <mergeCell ref="AF333:AG333"/>
    <mergeCell ref="AF334:AG334"/>
    <mergeCell ref="AF335:AG335"/>
    <mergeCell ref="AF336:AG336"/>
    <mergeCell ref="AF367:AG367"/>
    <mergeCell ref="AF368:AG368"/>
    <mergeCell ref="AF369:AG369"/>
    <mergeCell ref="AF370:AG370"/>
    <mergeCell ref="AF371:AG371"/>
    <mergeCell ref="AF382:AG382"/>
    <mergeCell ref="AF383:AG383"/>
    <mergeCell ref="AF384:AG384"/>
    <mergeCell ref="AF385:AG385"/>
    <mergeCell ref="AF386:AG386"/>
    <mergeCell ref="AF377:AG377"/>
    <mergeCell ref="AF378:AG378"/>
    <mergeCell ref="AF379:AG379"/>
    <mergeCell ref="AF380:AG380"/>
    <mergeCell ref="AF381:AG381"/>
    <mergeCell ref="AF352:AG352"/>
    <mergeCell ref="AF353:AG353"/>
    <mergeCell ref="AF354:AG354"/>
    <mergeCell ref="AF355:AG355"/>
    <mergeCell ref="AF356:AG356"/>
    <mergeCell ref="AF387:AG387"/>
    <mergeCell ref="AF388:AG388"/>
    <mergeCell ref="AF389:AG389"/>
    <mergeCell ref="AF390:AG390"/>
    <mergeCell ref="AF391:AG391"/>
    <mergeCell ref="AF402:AG402"/>
    <mergeCell ref="AF403:AG403"/>
    <mergeCell ref="AF404:AG404"/>
    <mergeCell ref="AF405:AG405"/>
    <mergeCell ref="AF406:AG406"/>
    <mergeCell ref="AF397:AG397"/>
    <mergeCell ref="AF398:AG398"/>
    <mergeCell ref="AF399:AG399"/>
    <mergeCell ref="AF400:AG400"/>
    <mergeCell ref="AF401:AG401"/>
    <mergeCell ref="AF372:AG372"/>
    <mergeCell ref="AF373:AG373"/>
    <mergeCell ref="AF374:AG374"/>
    <mergeCell ref="AF375:AG375"/>
    <mergeCell ref="AF376:AG376"/>
    <mergeCell ref="AF409:AG409"/>
    <mergeCell ref="AF410:AG410"/>
    <mergeCell ref="AF411:AG411"/>
    <mergeCell ref="AF422:AG422"/>
    <mergeCell ref="AF423:AG423"/>
    <mergeCell ref="AF424:AG424"/>
    <mergeCell ref="AF425:AG425"/>
    <mergeCell ref="AF426:AG426"/>
    <mergeCell ref="AF417:AG417"/>
    <mergeCell ref="AF418:AG418"/>
    <mergeCell ref="AF419:AG419"/>
    <mergeCell ref="AF420:AG420"/>
    <mergeCell ref="AF421:AG421"/>
    <mergeCell ref="AF392:AG392"/>
    <mergeCell ref="AF393:AG393"/>
    <mergeCell ref="AF394:AG394"/>
    <mergeCell ref="AF395:AG395"/>
    <mergeCell ref="AF396:AG396"/>
    <mergeCell ref="AT23:AX23"/>
    <mergeCell ref="AF477:AG477"/>
    <mergeCell ref="AF478:AG478"/>
    <mergeCell ref="AF479:AG479"/>
    <mergeCell ref="AF480:AG480"/>
    <mergeCell ref="AF432:AG432"/>
    <mergeCell ref="AF433:AG433"/>
    <mergeCell ref="AF434:AG434"/>
    <mergeCell ref="AF435:AG435"/>
    <mergeCell ref="AF436:AG436"/>
    <mergeCell ref="AF427:AG427"/>
    <mergeCell ref="AF428:AG428"/>
    <mergeCell ref="AF429:AG429"/>
    <mergeCell ref="AF430:AG430"/>
    <mergeCell ref="AF431:AG431"/>
    <mergeCell ref="AF442:AG442"/>
    <mergeCell ref="AF443:AG443"/>
    <mergeCell ref="AF444:AG444"/>
    <mergeCell ref="AF445:AG445"/>
    <mergeCell ref="AF446:AG446"/>
    <mergeCell ref="AF437:AG437"/>
    <mergeCell ref="AF438:AG438"/>
    <mergeCell ref="AF439:AG439"/>
    <mergeCell ref="AF440:AG440"/>
    <mergeCell ref="AF441:AG441"/>
    <mergeCell ref="AF412:AG412"/>
    <mergeCell ref="AF413:AG413"/>
    <mergeCell ref="AF414:AG414"/>
    <mergeCell ref="AF415:AG415"/>
    <mergeCell ref="AF416:AG416"/>
    <mergeCell ref="AF407:AG407"/>
    <mergeCell ref="AF408:AG408"/>
    <mergeCell ref="B15:E15"/>
    <mergeCell ref="AF481:AG481"/>
    <mergeCell ref="AF472:AG472"/>
    <mergeCell ref="AF473:AG473"/>
    <mergeCell ref="AF474:AG474"/>
    <mergeCell ref="AF475:AG475"/>
    <mergeCell ref="AF476:AG476"/>
    <mergeCell ref="AF467:AG467"/>
    <mergeCell ref="AF468:AG468"/>
    <mergeCell ref="AF469:AG469"/>
    <mergeCell ref="AF470:AG470"/>
    <mergeCell ref="AF471:AG471"/>
    <mergeCell ref="AF462:AG462"/>
    <mergeCell ref="AF463:AG463"/>
    <mergeCell ref="AF464:AG464"/>
    <mergeCell ref="AF465:AG465"/>
    <mergeCell ref="AF466:AG466"/>
    <mergeCell ref="AF457:AG457"/>
    <mergeCell ref="AF458:AG458"/>
    <mergeCell ref="AF459:AG459"/>
    <mergeCell ref="AF460:AG460"/>
    <mergeCell ref="AF461:AG461"/>
    <mergeCell ref="AF452:AG452"/>
    <mergeCell ref="AF453:AG453"/>
    <mergeCell ref="AF454:AG454"/>
    <mergeCell ref="AF455:AG455"/>
    <mergeCell ref="AF456:AG456"/>
    <mergeCell ref="AF447:AG447"/>
    <mergeCell ref="AF448:AG448"/>
    <mergeCell ref="AF449:AG449"/>
    <mergeCell ref="AF450:AG450"/>
    <mergeCell ref="AF451:AG451"/>
  </mergeCells>
  <phoneticPr fontId="21" type="noConversion"/>
  <conditionalFormatting sqref="G41:H540">
    <cfRule type="expression" dxfId="75" priority="2">
      <formula>$F41="Sem projeto"</formula>
    </cfRule>
  </conditionalFormatting>
  <conditionalFormatting sqref="M40:O40">
    <cfRule type="cellIs" dxfId="74" priority="11" operator="greaterThanOrEqual">
      <formula>0.9</formula>
    </cfRule>
    <cfRule type="cellIs" dxfId="73" priority="12" operator="lessThan">
      <formula>0.9</formula>
    </cfRule>
    <cfRule type="cellIs" dxfId="72" priority="25" operator="equal">
      <formula>"Não"</formula>
    </cfRule>
    <cfRule type="cellIs" dxfId="71" priority="26" operator="equal">
      <formula>"Sim"</formula>
    </cfRule>
  </conditionalFormatting>
  <conditionalFormatting sqref="AI31:AK31">
    <cfRule type="cellIs" dxfId="70" priority="6" operator="greaterThanOrEqual">
      <formula>0.9</formula>
    </cfRule>
    <cfRule type="cellIs" dxfId="69" priority="7" operator="lessThan">
      <formula>0.9</formula>
    </cfRule>
    <cfRule type="cellIs" dxfId="68" priority="8" operator="equal">
      <formula>"Não"</formula>
    </cfRule>
    <cfRule type="cellIs" dxfId="67" priority="9" operator="equal">
      <formula>"Sim"</formula>
    </cfRule>
  </conditionalFormatting>
  <conditionalFormatting sqref="AI32:AK531 M41:O540">
    <cfRule type="cellIs" dxfId="66" priority="19" operator="equal">
      <formula>"Não se aplica"</formula>
    </cfRule>
    <cfRule type="cellIs" dxfId="65" priority="20" operator="equal">
      <formula>"Não atende"</formula>
    </cfRule>
    <cfRule type="cellIs" dxfId="64" priority="21" operator="equal">
      <formula>"Atende"</formula>
    </cfRule>
  </conditionalFormatting>
  <dataValidations count="5">
    <dataValidation type="list" allowBlank="1" showInputMessage="1" showErrorMessage="1" sqref="C9" xr:uid="{00000000-0002-0000-0500-000001000000}">
      <formula1>"Método do edifício completo,Método das atividades do edifício,Método de Simulação"</formula1>
    </dataValidation>
    <dataValidation type="list" allowBlank="1" showInputMessage="1" showErrorMessage="1" sqref="AI32:AK531 M41:O540" xr:uid="{667AA565-5FFD-4CE8-9E79-FE2F48795C72}">
      <formula1>"Atende, Não Atende, Não se aplica"</formula1>
    </dataValidation>
    <dataValidation type="list" allowBlank="1" showInputMessage="1" showErrorMessage="1" sqref="C41:C540" xr:uid="{586B053B-120B-4C25-9554-BF1B9AA9D9D4}">
      <formula1>$B$32:$B$34</formula1>
    </dataValidation>
    <dataValidation type="list" allowBlank="1" showInputMessage="1" showErrorMessage="1" sqref="X32:X531 F41:F540" xr:uid="{FBCBFB3F-7CDD-45F7-A631-6347B49D7314}">
      <formula1>"Com projeto,Sem projeto"</formula1>
    </dataValidation>
    <dataValidation type="list" allowBlank="1" showInputMessage="1" showErrorMessage="1" sqref="Y532:Z1048576 F541:G1048576" xr:uid="{00000000-0002-0000-0500-000000000000}">
      <formula1>"Edifício, Atividades"</formula1>
    </dataValidation>
  </dataValidations>
  <pageMargins left="0.511811024" right="0.511811024" top="0.78740157499999996" bottom="0.78740157499999996" header="0.31496062000000002" footer="0.31496062000000002"/>
  <pageSetup paperSize="9"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500-000004000000}">
          <x14:formula1>
            <xm:f>Aux_Lista!$A$2:$A$11</xm:f>
          </x14:formula1>
          <xm:sqref>T25 AU25 D32:D34 V32:V531</xm:sqref>
        </x14:dataValidation>
        <x14:dataValidation type="list" allowBlank="1" showInputMessage="1" showErrorMessage="1" xr:uid="{00000000-0002-0000-0500-000006000000}">
          <x14:formula1>
            <xm:f>Aux_Lista!$AJ$2:$AJ$31</xm:f>
          </x14:formula1>
          <xm:sqref>E32:E34</xm:sqref>
        </x14:dataValidation>
        <x14:dataValidation type="list" allowBlank="1" showInputMessage="1" showErrorMessage="1" xr:uid="{00000000-0002-0000-0500-000007000000}">
          <x14:formula1>
            <xm:f>Aux_Lista!$AN$2:$AN$81</xm:f>
          </x14:formula1>
          <xm:sqref>W32:W531</xm:sqref>
        </x14:dataValidation>
        <x14:dataValidation type="list" allowBlank="1" showInputMessage="1" showErrorMessage="1" xr:uid="{A2DB21D6-C0E0-4065-A34E-13708B58E14E}">
          <x14:formula1>
            <xm:f>Aux_Lista!$AG$2:$AG$5</xm:f>
          </x14:formula1>
          <xm:sqref>J41:J540 AF32:AF531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4">
    <tabColor rgb="FF00B050"/>
  </sheetPr>
  <dimension ref="A1:AI118"/>
  <sheetViews>
    <sheetView showGridLines="0" topLeftCell="L1" zoomScale="80" zoomScaleNormal="80" workbookViewId="0">
      <pane ySplit="5" topLeftCell="A16" activePane="bottomLeft" state="frozen"/>
      <selection pane="bottomLeft" activeCell="W19" sqref="W19:X59"/>
    </sheetView>
  </sheetViews>
  <sheetFormatPr defaultColWidth="9.140625" defaultRowHeight="20.100000000000001" customHeight="1" x14ac:dyDescent="0.25"/>
  <cols>
    <col min="1" max="1" width="5.7109375" style="88" customWidth="1"/>
    <col min="2" max="3" width="25.7109375" customWidth="1"/>
    <col min="4" max="4" width="13.85546875" customWidth="1"/>
    <col min="5" max="5" width="12.7109375" customWidth="1"/>
    <col min="6" max="6" width="16.5703125" customWidth="1"/>
    <col min="7" max="7" width="13.85546875" customWidth="1"/>
    <col min="8" max="8" width="33.7109375" customWidth="1"/>
    <col min="9" max="9" width="23.85546875" style="1" customWidth="1"/>
    <col min="10" max="10" width="25" style="1" customWidth="1"/>
    <col min="11" max="11" width="19.28515625" style="1" customWidth="1"/>
    <col min="12" max="14" width="15.7109375" customWidth="1"/>
    <col min="15" max="15" width="15.7109375" style="370" customWidth="1"/>
    <col min="16" max="16" width="17.5703125" customWidth="1"/>
    <col min="17" max="17" width="15.7109375" style="367" customWidth="1"/>
    <col min="18" max="18" width="20.42578125" customWidth="1"/>
    <col min="19" max="22" width="12.7109375" customWidth="1"/>
    <col min="23" max="23" width="22.85546875" style="360" customWidth="1"/>
    <col min="24" max="24" width="19.42578125" style="360" customWidth="1"/>
    <col min="25" max="25" width="22" style="457" customWidth="1"/>
    <col min="26" max="29" width="15.7109375" style="55" customWidth="1"/>
    <col min="30" max="30" width="5.7109375" customWidth="1"/>
    <col min="31" max="31" width="0" style="11" hidden="1" customWidth="1"/>
    <col min="32" max="32" width="9.140625" style="11" customWidth="1"/>
    <col min="33" max="33" width="13.5703125" style="11" customWidth="1"/>
    <col min="34" max="34" width="9.140625" style="11"/>
    <col min="35" max="36" width="9.7109375" style="11" bestFit="1" customWidth="1"/>
    <col min="37" max="16384" width="9.140625" style="11"/>
  </cols>
  <sheetData>
    <row r="1" spans="1:31" ht="20.100000000000001" customHeight="1" x14ac:dyDescent="0.25">
      <c r="I1" s="29"/>
      <c r="J1" s="30"/>
      <c r="K1" s="30"/>
      <c r="O1"/>
      <c r="Q1"/>
      <c r="Y1" s="9"/>
      <c r="Z1" s="9"/>
      <c r="AA1" s="9"/>
      <c r="AB1" s="9"/>
      <c r="AC1" s="9"/>
      <c r="AD1" s="9"/>
      <c r="AE1" s="261"/>
    </row>
    <row r="2" spans="1:31" ht="20.100000000000001" customHeight="1" x14ac:dyDescent="0.25">
      <c r="H2" s="29" t="s">
        <v>20</v>
      </c>
      <c r="I2" s="76" t="s">
        <v>8</v>
      </c>
      <c r="J2" s="77" t="s">
        <v>10</v>
      </c>
      <c r="K2" s="78" t="s">
        <v>12</v>
      </c>
      <c r="L2" s="79" t="s">
        <v>5985</v>
      </c>
      <c r="M2" s="110" t="s">
        <v>16</v>
      </c>
      <c r="O2"/>
      <c r="Q2"/>
      <c r="Y2" s="9"/>
      <c r="Z2" s="9"/>
      <c r="AA2" s="9"/>
      <c r="AB2" s="9"/>
      <c r="AC2" s="9"/>
      <c r="AD2" s="9"/>
      <c r="AE2" s="261"/>
    </row>
    <row r="3" spans="1:31" s="12" customFormat="1" ht="20.100000000000001" customHeight="1" x14ac:dyDescent="0.25">
      <c r="A3" s="89"/>
      <c r="B3" s="10"/>
      <c r="C3" s="10"/>
      <c r="D3" s="10"/>
      <c r="E3" s="10"/>
      <c r="F3" s="10"/>
      <c r="G3" s="10"/>
      <c r="H3" s="10"/>
      <c r="I3" s="6"/>
      <c r="J3" s="6"/>
      <c r="K3" s="6"/>
      <c r="L3" s="10"/>
      <c r="M3" s="10"/>
      <c r="N3" s="10"/>
      <c r="O3" s="10"/>
      <c r="P3" s="10"/>
      <c r="Q3" s="10"/>
      <c r="R3" s="10"/>
      <c r="S3" s="10"/>
      <c r="T3" s="10"/>
      <c r="U3" s="10"/>
      <c r="V3" s="10"/>
      <c r="W3" s="453"/>
      <c r="X3" s="453"/>
      <c r="Y3" s="266"/>
      <c r="Z3" s="266"/>
      <c r="AA3" s="266"/>
      <c r="AB3" s="266"/>
      <c r="AC3" s="266"/>
      <c r="AD3" s="266"/>
      <c r="AE3" s="267"/>
    </row>
    <row r="4" spans="1:31" ht="15" x14ac:dyDescent="0.25">
      <c r="O4"/>
      <c r="Q4"/>
      <c r="Y4" s="9"/>
      <c r="Z4" s="9"/>
      <c r="AA4" s="9"/>
      <c r="AB4" s="9"/>
      <c r="AC4" s="9"/>
      <c r="AD4" s="9"/>
      <c r="AE4" s="261"/>
    </row>
    <row r="5" spans="1:31" ht="18.75" x14ac:dyDescent="0.3">
      <c r="A5" s="90"/>
      <c r="B5" s="23" t="s">
        <v>38</v>
      </c>
      <c r="C5" s="22"/>
      <c r="D5" s="22"/>
      <c r="E5" s="22"/>
      <c r="F5" s="22"/>
      <c r="G5" s="22"/>
      <c r="H5" s="22"/>
      <c r="I5" s="22"/>
      <c r="J5" s="22"/>
      <c r="K5" s="22"/>
      <c r="L5" s="22"/>
      <c r="M5" s="22"/>
      <c r="N5" s="22"/>
      <c r="O5" s="22"/>
      <c r="P5" s="22"/>
      <c r="Q5" s="22"/>
      <c r="R5" s="22"/>
      <c r="S5" s="22"/>
      <c r="T5" s="22"/>
      <c r="U5" s="22"/>
      <c r="V5" s="22"/>
      <c r="W5" s="22"/>
      <c r="X5" s="22"/>
      <c r="Y5" s="268"/>
      <c r="Z5" s="575"/>
      <c r="AA5" s="575"/>
      <c r="AB5" s="575"/>
      <c r="AC5" s="575"/>
      <c r="AD5" s="268"/>
      <c r="AE5" s="261"/>
    </row>
    <row r="6" spans="1:31" ht="15" hidden="1" customHeight="1" x14ac:dyDescent="0.25">
      <c r="O6"/>
      <c r="Q6"/>
      <c r="Y6" s="9"/>
      <c r="Z6" s="9"/>
      <c r="AA6" s="9"/>
      <c r="AB6" s="9"/>
      <c r="AC6" s="9"/>
      <c r="AD6" s="9"/>
      <c r="AE6" s="261"/>
    </row>
    <row r="7" spans="1:31" ht="30" hidden="1" customHeight="1" x14ac:dyDescent="0.25">
      <c r="B7" s="47" t="s">
        <v>22</v>
      </c>
      <c r="C7" s="48" t="str">
        <f>Início!C11</f>
        <v>Sede da Subseção da Justiça Federal em Patos</v>
      </c>
      <c r="E7" s="305"/>
      <c r="F7" s="305"/>
      <c r="G7" s="305"/>
      <c r="H7" s="305"/>
      <c r="I7" s="438"/>
      <c r="J7" s="438"/>
      <c r="K7" s="438"/>
      <c r="L7" s="438"/>
      <c r="M7" s="438"/>
      <c r="O7"/>
      <c r="Q7"/>
      <c r="R7" s="106" t="s">
        <v>39</v>
      </c>
      <c r="S7" s="116">
        <f>SUM(Aux_Lista!BH:BH)</f>
        <v>0.28000000000000003</v>
      </c>
      <c r="U7" s="106" t="s">
        <v>40</v>
      </c>
      <c r="V7" s="116">
        <f>S7/3</f>
        <v>9.3333333333333338E-2</v>
      </c>
      <c r="Y7" s="262"/>
      <c r="Z7" s="9"/>
      <c r="AA7" s="9"/>
      <c r="AB7" s="9"/>
      <c r="AC7" s="9"/>
      <c r="AD7" s="9"/>
      <c r="AE7" s="261"/>
    </row>
    <row r="8" spans="1:31" ht="30" hidden="1" customHeight="1" x14ac:dyDescent="0.25">
      <c r="B8" s="47" t="s">
        <v>24</v>
      </c>
      <c r="C8" s="48" t="str">
        <f>Início!C14</f>
        <v>Projeto</v>
      </c>
      <c r="D8" s="304"/>
      <c r="E8" s="305"/>
      <c r="F8" s="305"/>
      <c r="G8" s="305"/>
      <c r="H8" s="305"/>
      <c r="I8" s="438"/>
      <c r="J8" s="438"/>
      <c r="K8" s="438"/>
      <c r="L8" s="438"/>
      <c r="M8" s="438"/>
      <c r="O8"/>
      <c r="Q8"/>
      <c r="Y8" s="9"/>
      <c r="Z8" s="9"/>
      <c r="AA8" s="9"/>
      <c r="AB8" s="9"/>
      <c r="AC8" s="9"/>
      <c r="AD8" s="9"/>
      <c r="AE8" s="261"/>
    </row>
    <row r="9" spans="1:31" ht="30" hidden="1" customHeight="1" x14ac:dyDescent="0.25">
      <c r="B9" s="47" t="s">
        <v>41</v>
      </c>
      <c r="C9" s="51" t="str">
        <f>Início!C29</f>
        <v>Método Simplificado</v>
      </c>
      <c r="D9" s="304"/>
      <c r="E9" s="305"/>
      <c r="F9" s="305"/>
      <c r="G9" s="305"/>
      <c r="H9" s="305"/>
      <c r="I9" s="438"/>
      <c r="J9" s="438"/>
      <c r="K9" s="438"/>
      <c r="L9" s="438"/>
      <c r="M9" s="438"/>
      <c r="O9"/>
      <c r="Q9" s="32"/>
      <c r="R9" s="71" t="s">
        <v>43</v>
      </c>
      <c r="S9" s="72" t="s">
        <v>44</v>
      </c>
      <c r="T9" s="73" t="s">
        <v>45</v>
      </c>
      <c r="U9" s="74" t="s">
        <v>46</v>
      </c>
      <c r="V9" s="316" t="s">
        <v>47</v>
      </c>
      <c r="Y9" s="428" t="s">
        <v>5995</v>
      </c>
      <c r="Z9" s="263"/>
      <c r="AB9" s="264"/>
      <c r="AC9" s="427"/>
      <c r="AD9" s="9"/>
      <c r="AE9" s="261"/>
    </row>
    <row r="10" spans="1:31" ht="30" hidden="1" customHeight="1" x14ac:dyDescent="0.25">
      <c r="B10" s="47" t="s">
        <v>48</v>
      </c>
      <c r="C10" s="356">
        <f>IF(C9="Método de Simulação",H16,SUM(AC:AC))</f>
        <v>361505.55</v>
      </c>
      <c r="D10" s="304"/>
      <c r="E10" s="305"/>
      <c r="F10" s="305"/>
      <c r="G10" s="305"/>
      <c r="H10" s="305"/>
      <c r="I10" s="438"/>
      <c r="J10" s="438"/>
      <c r="K10" s="438"/>
      <c r="L10" s="438"/>
      <c r="M10" s="438"/>
      <c r="O10"/>
      <c r="Q10" s="47" t="s">
        <v>49</v>
      </c>
      <c r="R10" s="106" t="s">
        <v>50</v>
      </c>
      <c r="S10" s="106">
        <f>R11</f>
        <v>0.28000000000000003</v>
      </c>
      <c r="T10" s="106">
        <f>S11</f>
        <v>0.18666666666666668</v>
      </c>
      <c r="U10" s="106">
        <f>T11</f>
        <v>9.3333333333333338E-2</v>
      </c>
      <c r="V10" s="317">
        <f>U11</f>
        <v>0</v>
      </c>
      <c r="Y10" s="576" t="str">
        <f>IF(C9="","",IF(C12&gt;=R11,R9,
IF(AND(C12&gt;S11,C12&lt;=S10),S9,
IF(AND(C12&gt;T11,C12&lt;=T10),T9,
IF(AND(C12&gt;=U11,C12&lt;=U10),U9,
V9)))))</f>
        <v>B</v>
      </c>
      <c r="Z10" s="263"/>
      <c r="AB10" s="265"/>
      <c r="AC10" s="265"/>
      <c r="AD10" s="9"/>
      <c r="AE10" s="261"/>
    </row>
    <row r="11" spans="1:31" ht="30" hidden="1" customHeight="1" x14ac:dyDescent="0.25">
      <c r="B11" s="47" t="s">
        <v>51</v>
      </c>
      <c r="C11" s="356">
        <f>IF(C9="Método de Simulação",H15,(SUM(AB:AB)))</f>
        <v>260499.66459999993</v>
      </c>
      <c r="D11" s="304"/>
      <c r="E11" s="305"/>
      <c r="F11" s="305"/>
      <c r="G11" s="305"/>
      <c r="H11" s="305"/>
      <c r="I11" s="438"/>
      <c r="J11" s="438"/>
      <c r="K11" s="438"/>
      <c r="L11" s="438"/>
      <c r="M11" s="438"/>
      <c r="O11"/>
      <c r="Q11" s="47" t="s">
        <v>52</v>
      </c>
      <c r="R11" s="106">
        <f>V7*3</f>
        <v>0.28000000000000003</v>
      </c>
      <c r="S11" s="106">
        <f>V7*2</f>
        <v>0.18666666666666668</v>
      </c>
      <c r="T11" s="106">
        <f>V7</f>
        <v>9.3333333333333338E-2</v>
      </c>
      <c r="U11" s="106">
        <v>0</v>
      </c>
      <c r="V11" s="317" t="s">
        <v>50</v>
      </c>
      <c r="Y11" s="577"/>
      <c r="Z11" s="9"/>
      <c r="AB11" s="265"/>
      <c r="AC11" s="265"/>
      <c r="AD11" s="9"/>
      <c r="AE11" s="261"/>
    </row>
    <row r="12" spans="1:31" ht="30" hidden="1" customHeight="1" x14ac:dyDescent="0.25">
      <c r="B12" s="47" t="s">
        <v>53</v>
      </c>
      <c r="C12" s="53">
        <f>IF(ISERROR((C10-C11)/C10),0,(C10-C11)/C10)</f>
        <v>0.27940341552155995</v>
      </c>
      <c r="D12" s="304"/>
      <c r="E12" s="305"/>
      <c r="F12" s="305"/>
      <c r="G12" s="305"/>
      <c r="H12" s="305"/>
      <c r="I12" s="438"/>
      <c r="J12" s="438"/>
      <c r="K12" s="438"/>
      <c r="L12" s="438"/>
      <c r="M12" s="438"/>
      <c r="O12"/>
      <c r="Q12"/>
      <c r="Y12" s="9"/>
      <c r="Z12" s="9"/>
      <c r="AA12" s="9"/>
      <c r="AB12" s="9"/>
      <c r="AC12" s="9"/>
      <c r="AD12" s="9"/>
      <c r="AE12" s="261"/>
    </row>
    <row r="13" spans="1:31" ht="19.350000000000001" customHeight="1" x14ac:dyDescent="0.25">
      <c r="B13" s="438"/>
      <c r="C13" s="438"/>
      <c r="D13" s="438"/>
      <c r="E13" s="438"/>
      <c r="F13" s="438"/>
      <c r="G13" s="438"/>
      <c r="H13" s="438"/>
      <c r="I13" s="438"/>
      <c r="J13" s="438"/>
      <c r="K13" s="438"/>
      <c r="L13" s="438"/>
      <c r="M13" s="438"/>
      <c r="O13"/>
      <c r="Q13"/>
      <c r="Y13" s="9"/>
      <c r="Z13" s="9"/>
      <c r="AA13" s="9"/>
      <c r="AB13" s="9"/>
      <c r="AC13" s="9"/>
      <c r="AD13" s="9"/>
      <c r="AE13" s="261"/>
    </row>
    <row r="14" spans="1:31" ht="80.25" customHeight="1" x14ac:dyDescent="0.3">
      <c r="B14" s="562" t="s">
        <v>10588</v>
      </c>
      <c r="C14" s="563"/>
      <c r="D14" s="563"/>
      <c r="E14" s="564"/>
      <c r="F14" s="438"/>
      <c r="G14" s="571" t="s">
        <v>10656</v>
      </c>
      <c r="H14" s="571"/>
      <c r="I14" s="305"/>
      <c r="J14" s="438"/>
      <c r="K14" s="438"/>
      <c r="L14" s="438"/>
      <c r="M14" s="438"/>
      <c r="O14"/>
      <c r="Q14"/>
      <c r="W14" s="573" t="s">
        <v>10703</v>
      </c>
      <c r="X14" s="573"/>
      <c r="Z14" s="584" t="s">
        <v>10662</v>
      </c>
      <c r="AA14" s="584"/>
      <c r="AB14" s="584"/>
      <c r="AC14" s="584"/>
      <c r="AD14" s="9"/>
      <c r="AE14" s="261"/>
    </row>
    <row r="15" spans="1:31" ht="80.25" customHeight="1" x14ac:dyDescent="0.25">
      <c r="B15" s="565"/>
      <c r="C15" s="566"/>
      <c r="D15" s="566"/>
      <c r="E15" s="567"/>
      <c r="F15" s="438"/>
      <c r="G15" s="98" t="s">
        <v>5887</v>
      </c>
      <c r="H15" s="516"/>
      <c r="I15" s="305"/>
      <c r="J15" s="438"/>
      <c r="K15" s="438"/>
      <c r="L15" s="438"/>
      <c r="M15" s="438"/>
      <c r="O15"/>
      <c r="Q15"/>
      <c r="W15" s="573"/>
      <c r="X15" s="573"/>
      <c r="Z15" s="582" t="s">
        <v>10663</v>
      </c>
      <c r="AA15" s="582"/>
      <c r="AB15" s="581" t="s">
        <v>10664</v>
      </c>
      <c r="AC15" s="581"/>
      <c r="AD15" s="9"/>
      <c r="AE15" s="261"/>
    </row>
    <row r="16" spans="1:31" ht="80.25" customHeight="1" x14ac:dyDescent="0.25">
      <c r="B16" s="568"/>
      <c r="C16" s="569"/>
      <c r="D16" s="569"/>
      <c r="E16" s="570"/>
      <c r="F16" s="438"/>
      <c r="G16" s="98" t="s">
        <v>5888</v>
      </c>
      <c r="H16" s="516"/>
      <c r="I16" s="305"/>
      <c r="J16" s="98" t="s">
        <v>10666</v>
      </c>
      <c r="K16" s="516"/>
      <c r="L16" s="438"/>
      <c r="M16" s="438"/>
      <c r="O16"/>
      <c r="Q16"/>
      <c r="W16" s="573"/>
      <c r="X16" s="573"/>
      <c r="Y16" s="9"/>
      <c r="Z16" s="582" t="s">
        <v>10665</v>
      </c>
      <c r="AA16" s="582"/>
      <c r="AB16" s="583">
        <v>0</v>
      </c>
      <c r="AC16" s="583"/>
      <c r="AD16" s="9"/>
      <c r="AE16" s="261"/>
    </row>
    <row r="17" spans="1:35" ht="15" x14ac:dyDescent="0.25">
      <c r="E17" s="436"/>
      <c r="F17" s="436"/>
      <c r="L17" s="1"/>
      <c r="M17" s="1"/>
      <c r="N17" s="1"/>
      <c r="O17"/>
      <c r="Q17"/>
      <c r="S17" s="578" t="s">
        <v>55</v>
      </c>
      <c r="T17" s="579"/>
      <c r="U17" s="579"/>
      <c r="V17" s="580"/>
      <c r="W17" s="574"/>
      <c r="X17" s="574"/>
      <c r="Y17" s="9"/>
      <c r="Z17" s="572"/>
      <c r="AA17" s="572"/>
      <c r="AB17" s="9"/>
      <c r="AC17" s="9"/>
      <c r="AD17" s="9"/>
      <c r="AE17" s="261"/>
    </row>
    <row r="18" spans="1:35" s="28" customFormat="1" ht="53.25" customHeight="1" x14ac:dyDescent="0.2">
      <c r="A18" s="91"/>
      <c r="B18" s="52" t="s">
        <v>10691</v>
      </c>
      <c r="C18" s="52" t="s">
        <v>56</v>
      </c>
      <c r="D18" s="52" t="s">
        <v>10692</v>
      </c>
      <c r="E18" s="52" t="s">
        <v>58</v>
      </c>
      <c r="F18" s="52" t="s">
        <v>59</v>
      </c>
      <c r="G18" s="52" t="s">
        <v>60</v>
      </c>
      <c r="H18" s="52" t="s">
        <v>10693</v>
      </c>
      <c r="I18" s="52" t="s">
        <v>61</v>
      </c>
      <c r="J18" s="52" t="s">
        <v>6056</v>
      </c>
      <c r="K18" s="52" t="s">
        <v>6057</v>
      </c>
      <c r="L18" s="52" t="s">
        <v>6054</v>
      </c>
      <c r="M18" s="52" t="s">
        <v>6055</v>
      </c>
      <c r="N18" s="52" t="s">
        <v>5992</v>
      </c>
      <c r="O18" s="52" t="s">
        <v>10694</v>
      </c>
      <c r="P18" s="52" t="s">
        <v>10680</v>
      </c>
      <c r="Q18" s="52" t="s">
        <v>6052</v>
      </c>
      <c r="R18" s="52" t="s">
        <v>6053</v>
      </c>
      <c r="S18" s="52" t="s">
        <v>5854</v>
      </c>
      <c r="T18" s="52" t="s">
        <v>63</v>
      </c>
      <c r="U18" s="52" t="s">
        <v>64</v>
      </c>
      <c r="V18" s="52" t="s">
        <v>65</v>
      </c>
      <c r="W18" s="518" t="s">
        <v>10698</v>
      </c>
      <c r="X18" s="518" t="s">
        <v>10699</v>
      </c>
      <c r="Y18" s="98" t="s">
        <v>10695</v>
      </c>
      <c r="Z18" s="98" t="s">
        <v>10696</v>
      </c>
      <c r="AA18" s="98" t="s">
        <v>10697</v>
      </c>
      <c r="AB18" s="98" t="s">
        <v>5887</v>
      </c>
      <c r="AC18" s="98" t="s">
        <v>5888</v>
      </c>
      <c r="AD18" s="27"/>
      <c r="AE18" s="458"/>
      <c r="AF18" s="458"/>
    </row>
    <row r="19" spans="1:35" s="57" customFormat="1" ht="20.100000000000001" customHeight="1" x14ac:dyDescent="0.25">
      <c r="A19" s="92">
        <v>1</v>
      </c>
      <c r="B19" s="170" t="s">
        <v>233</v>
      </c>
      <c r="C19" s="371" t="s">
        <v>10784</v>
      </c>
      <c r="D19" s="372">
        <v>17.28</v>
      </c>
      <c r="E19" s="372">
        <v>3</v>
      </c>
      <c r="F19" s="170" t="s">
        <v>67</v>
      </c>
      <c r="G19" s="170" t="s">
        <v>298</v>
      </c>
      <c r="H19" s="170" t="s">
        <v>69</v>
      </c>
      <c r="I19" s="170" t="s">
        <v>35</v>
      </c>
      <c r="J19" s="170" t="s">
        <v>10837</v>
      </c>
      <c r="K19" s="170" t="s">
        <v>111</v>
      </c>
      <c r="L19" s="170" t="s">
        <v>10777</v>
      </c>
      <c r="M19" s="170" t="s">
        <v>111</v>
      </c>
      <c r="N19" s="170" t="s">
        <v>6005</v>
      </c>
      <c r="O19" s="368">
        <v>0</v>
      </c>
      <c r="P19" s="170" t="s">
        <v>37</v>
      </c>
      <c r="Q19" s="368">
        <v>0</v>
      </c>
      <c r="R19" s="170" t="s">
        <v>71</v>
      </c>
      <c r="S19" s="373">
        <f>IF(B19="","",ROUND(Iluminação!$C$19,2))</f>
        <v>15.45</v>
      </c>
      <c r="T19" s="373">
        <f>IF(B19="","",IFERROR(VLOOKUP(Início!$C$20,Aux_Lista!A:I,9,FALSE),""))</f>
        <v>15</v>
      </c>
      <c r="U19" s="373">
        <f>IF(ISERROR(VLOOKUP($I19,Aux_Lista!$A$2:$L$13,10,FALSE)^-1),"",VLOOKUP($I19,Aux_Lista!$A$2:$L$13,10,FALSE)^-1)</f>
        <v>0.1</v>
      </c>
      <c r="V19" s="374">
        <f>IF(ISERROR(VLOOKUP($I19,Aux_Lista!$A$2:$L$13,11,FALSE)),"",VLOOKUP($I19,Aux_Lista!$A$2:$L$13,11,FALSE))</f>
        <v>10</v>
      </c>
      <c r="W19" s="454">
        <v>173.3</v>
      </c>
      <c r="X19" s="454">
        <v>180</v>
      </c>
      <c r="Y19" s="456">
        <v>1</v>
      </c>
      <c r="Z19" s="467">
        <f t="shared" ref="Z19:Z50" si="0">IF(ISNUMBER(W19),W19*D19,"")</f>
        <v>2994.6240000000003</v>
      </c>
      <c r="AA19" s="467">
        <f t="shared" ref="AA19:AA50" si="1">IF(ISNUMBER(X19),X19*D19,"")</f>
        <v>3110.4</v>
      </c>
      <c r="AB19" s="281">
        <f>IFERROR(IF(OR($AB$15="Sim (Naturalmente Ventilada)",$AB$15="Sim (Modo híbrido)"),Z19*Y19*(1-$AB$16),Z19*Y19),"")</f>
        <v>2994.6240000000003</v>
      </c>
      <c r="AC19" s="281">
        <f>IFERROR(AA19*Y19,"")</f>
        <v>3110.4</v>
      </c>
      <c r="AD19" s="56"/>
      <c r="AE19" s="459">
        <f t="shared" ref="AE19:AE50" si="2">D19*E19</f>
        <v>51.84</v>
      </c>
      <c r="AF19" s="459"/>
      <c r="AG19" s="437"/>
    </row>
    <row r="20" spans="1:35" s="13" customFormat="1" ht="20.100000000000001" customHeight="1" x14ac:dyDescent="0.25">
      <c r="A20" s="93">
        <v>2</v>
      </c>
      <c r="B20" s="170" t="s">
        <v>233</v>
      </c>
      <c r="C20" s="371" t="s">
        <v>10785</v>
      </c>
      <c r="D20" s="372">
        <v>42.93</v>
      </c>
      <c r="E20" s="372">
        <v>3</v>
      </c>
      <c r="F20" s="170" t="s">
        <v>67</v>
      </c>
      <c r="G20" s="170" t="s">
        <v>245</v>
      </c>
      <c r="H20" s="170" t="s">
        <v>69</v>
      </c>
      <c r="I20" s="170" t="s">
        <v>35</v>
      </c>
      <c r="J20" s="170" t="s">
        <v>10836</v>
      </c>
      <c r="K20" s="170" t="s">
        <v>111</v>
      </c>
      <c r="L20" s="170" t="s">
        <v>10777</v>
      </c>
      <c r="M20" s="170" t="s">
        <v>111</v>
      </c>
      <c r="N20" s="170" t="s">
        <v>10778</v>
      </c>
      <c r="O20" s="368">
        <v>26</v>
      </c>
      <c r="P20" s="170" t="s">
        <v>37</v>
      </c>
      <c r="Q20" s="368">
        <v>0</v>
      </c>
      <c r="R20" s="170" t="s">
        <v>71</v>
      </c>
      <c r="S20" s="373">
        <f>IF(B20="","",ROUND(Iluminação!$C$19,2))</f>
        <v>15.45</v>
      </c>
      <c r="T20" s="373">
        <f>IF(B20="","",IFERROR(VLOOKUP(Início!$C$20,Aux_Lista!A:I,9,FALSE),""))</f>
        <v>15</v>
      </c>
      <c r="U20" s="373">
        <f>IF(ISERROR(VLOOKUP($I20,Aux_Lista!$A$2:$L$13,10,FALSE)^-1),"",VLOOKUP($I20,Aux_Lista!$A$2:$L$13,10,FALSE)^-1)</f>
        <v>0.1</v>
      </c>
      <c r="V20" s="374">
        <f>IF(ISERROR(VLOOKUP($I20,Aux_Lista!$A$2:$L$13,11,FALSE)),"",VLOOKUP($I20,Aux_Lista!$A$2:$L$13,11,FALSE))</f>
        <v>10</v>
      </c>
      <c r="W20" s="454">
        <v>246.68</v>
      </c>
      <c r="X20" s="454">
        <v>331</v>
      </c>
      <c r="Y20" s="456">
        <v>1</v>
      </c>
      <c r="Z20" s="467">
        <f t="shared" si="0"/>
        <v>10589.972400000001</v>
      </c>
      <c r="AA20" s="467">
        <f t="shared" si="1"/>
        <v>14209.83</v>
      </c>
      <c r="AB20" s="281">
        <f t="shared" ref="AB20:AB83" si="3">IFERROR(IF(OR($AB$15="Sim (Naturalmente Ventilada)",$AB$15="Sim (Modo híbrido)"),Z20*Y20*(1-$AB$16),Z20*Y20),"")</f>
        <v>10589.972400000001</v>
      </c>
      <c r="AC20" s="281">
        <f t="shared" ref="AC20:AC83" si="4">IFERROR(AA20*Y20,"")</f>
        <v>14209.83</v>
      </c>
      <c r="AD20" s="2"/>
      <c r="AE20" s="459">
        <f t="shared" si="2"/>
        <v>128.79</v>
      </c>
      <c r="AF20" s="459"/>
      <c r="AG20" s="437"/>
      <c r="AH20" s="57"/>
      <c r="AI20" s="57"/>
    </row>
    <row r="21" spans="1:35" s="13" customFormat="1" ht="20.100000000000001" customHeight="1" x14ac:dyDescent="0.25">
      <c r="A21" s="92">
        <v>3</v>
      </c>
      <c r="B21" s="170" t="s">
        <v>233</v>
      </c>
      <c r="C21" s="371" t="s">
        <v>10786</v>
      </c>
      <c r="D21" s="372">
        <v>4.88</v>
      </c>
      <c r="E21" s="372">
        <v>3</v>
      </c>
      <c r="F21" s="170" t="s">
        <v>67</v>
      </c>
      <c r="G21" s="170" t="s">
        <v>266</v>
      </c>
      <c r="H21" s="170" t="s">
        <v>69</v>
      </c>
      <c r="I21" s="170" t="s">
        <v>35</v>
      </c>
      <c r="J21" s="170" t="s">
        <v>10837</v>
      </c>
      <c r="K21" s="170" t="s">
        <v>111</v>
      </c>
      <c r="L21" s="170" t="s">
        <v>10777</v>
      </c>
      <c r="M21" s="170" t="s">
        <v>111</v>
      </c>
      <c r="N21" s="170" t="s">
        <v>6005</v>
      </c>
      <c r="O21" s="368">
        <v>0</v>
      </c>
      <c r="P21" s="170" t="s">
        <v>37</v>
      </c>
      <c r="Q21" s="368">
        <v>0</v>
      </c>
      <c r="R21" s="170" t="s">
        <v>71</v>
      </c>
      <c r="S21" s="373">
        <f>IF(B21="","",ROUND(Iluminação!$C$19,2))</f>
        <v>15.45</v>
      </c>
      <c r="T21" s="373">
        <f>IF(B21="","",IFERROR(VLOOKUP(Início!$C$20,Aux_Lista!A:I,9,FALSE),""))</f>
        <v>15</v>
      </c>
      <c r="U21" s="373">
        <f>IF(ISERROR(VLOOKUP($I21,Aux_Lista!$A$2:$L$13,10,FALSE)^-1),"",VLOOKUP($I21,Aux_Lista!$A$2:$L$13,10,FALSE)^-1)</f>
        <v>0.1</v>
      </c>
      <c r="V21" s="374">
        <f>IF(ISERROR(VLOOKUP($I21,Aux_Lista!$A$2:$L$13,11,FALSE)),"",VLOOKUP($I21,Aux_Lista!$A$2:$L$13,11,FALSE))</f>
        <v>10</v>
      </c>
      <c r="W21" s="454">
        <v>176.88</v>
      </c>
      <c r="X21" s="454">
        <v>189</v>
      </c>
      <c r="Y21" s="456">
        <v>1</v>
      </c>
      <c r="Z21" s="467">
        <f t="shared" si="0"/>
        <v>863.17439999999999</v>
      </c>
      <c r="AA21" s="467">
        <f t="shared" si="1"/>
        <v>922.31999999999994</v>
      </c>
      <c r="AB21" s="281">
        <f t="shared" si="3"/>
        <v>863.17439999999999</v>
      </c>
      <c r="AC21" s="281">
        <f t="shared" si="4"/>
        <v>922.31999999999994</v>
      </c>
      <c r="AD21" s="2"/>
      <c r="AE21" s="459">
        <f t="shared" si="2"/>
        <v>14.64</v>
      </c>
      <c r="AF21" s="459"/>
      <c r="AG21" s="437"/>
      <c r="AH21" s="57"/>
      <c r="AI21" s="57"/>
    </row>
    <row r="22" spans="1:35" s="13" customFormat="1" ht="20.100000000000001" customHeight="1" x14ac:dyDescent="0.25">
      <c r="A22" s="93">
        <v>4</v>
      </c>
      <c r="B22" s="170" t="s">
        <v>233</v>
      </c>
      <c r="C22" s="371" t="s">
        <v>10787</v>
      </c>
      <c r="D22" s="372">
        <v>5.12</v>
      </c>
      <c r="E22" s="372">
        <v>3</v>
      </c>
      <c r="F22" s="170" t="s">
        <v>67</v>
      </c>
      <c r="G22" s="170" t="s">
        <v>308</v>
      </c>
      <c r="H22" s="170" t="s">
        <v>69</v>
      </c>
      <c r="I22" s="170" t="s">
        <v>35</v>
      </c>
      <c r="J22" s="170" t="s">
        <v>10837</v>
      </c>
      <c r="K22" s="170" t="s">
        <v>111</v>
      </c>
      <c r="L22" s="170" t="s">
        <v>10777</v>
      </c>
      <c r="M22" s="170" t="s">
        <v>111</v>
      </c>
      <c r="N22" s="170" t="s">
        <v>10778</v>
      </c>
      <c r="O22" s="368">
        <v>41</v>
      </c>
      <c r="P22" s="170" t="s">
        <v>37</v>
      </c>
      <c r="Q22" s="368">
        <v>0</v>
      </c>
      <c r="R22" s="170" t="s">
        <v>71</v>
      </c>
      <c r="S22" s="373">
        <f>IF(B22="","",ROUND(Iluminação!$C$19,2))</f>
        <v>15.45</v>
      </c>
      <c r="T22" s="373">
        <f>IF(B22="","",IFERROR(VLOOKUP(Início!$C$20,Aux_Lista!A:I,9,FALSE),""))</f>
        <v>15</v>
      </c>
      <c r="U22" s="373">
        <f>IF(ISERROR(VLOOKUP($I22,Aux_Lista!$A$2:$L$13,10,FALSE)^-1),"",VLOOKUP($I22,Aux_Lista!$A$2:$L$13,10,FALSE)^-1)</f>
        <v>0.1</v>
      </c>
      <c r="V22" s="374">
        <f>IF(ISERROR(VLOOKUP($I22,Aux_Lista!$A$2:$L$13,11,FALSE)),"",VLOOKUP($I22,Aux_Lista!$A$2:$L$13,11,FALSE))</f>
        <v>10</v>
      </c>
      <c r="W22" s="454">
        <v>409.12</v>
      </c>
      <c r="X22" s="454">
        <v>445</v>
      </c>
      <c r="Y22" s="456">
        <v>1</v>
      </c>
      <c r="Z22" s="467">
        <f t="shared" si="0"/>
        <v>2094.6943999999999</v>
      </c>
      <c r="AA22" s="467">
        <f t="shared" si="1"/>
        <v>2278.4</v>
      </c>
      <c r="AB22" s="281">
        <f t="shared" si="3"/>
        <v>2094.6943999999999</v>
      </c>
      <c r="AC22" s="281">
        <f t="shared" si="4"/>
        <v>2278.4</v>
      </c>
      <c r="AD22" s="2"/>
      <c r="AE22" s="459">
        <f t="shared" si="2"/>
        <v>15.36</v>
      </c>
      <c r="AF22" s="459"/>
      <c r="AG22" s="437"/>
      <c r="AH22" s="57"/>
      <c r="AI22" s="57"/>
    </row>
    <row r="23" spans="1:35" s="13" customFormat="1" ht="20.100000000000001" customHeight="1" x14ac:dyDescent="0.25">
      <c r="A23" s="92">
        <v>5</v>
      </c>
      <c r="B23" s="170" t="s">
        <v>233</v>
      </c>
      <c r="C23" s="371" t="s">
        <v>10788</v>
      </c>
      <c r="D23" s="372">
        <v>38.5</v>
      </c>
      <c r="E23" s="372">
        <v>3</v>
      </c>
      <c r="F23" s="170" t="s">
        <v>67</v>
      </c>
      <c r="G23" s="170" t="s">
        <v>266</v>
      </c>
      <c r="H23" s="170" t="s">
        <v>69</v>
      </c>
      <c r="I23" s="170" t="s">
        <v>35</v>
      </c>
      <c r="J23" s="170" t="s">
        <v>10837</v>
      </c>
      <c r="K23" s="170" t="s">
        <v>111</v>
      </c>
      <c r="L23" s="170" t="s">
        <v>10777</v>
      </c>
      <c r="M23" s="170" t="s">
        <v>111</v>
      </c>
      <c r="N23" s="170" t="s">
        <v>10778</v>
      </c>
      <c r="O23" s="368">
        <v>20</v>
      </c>
      <c r="P23" s="170" t="s">
        <v>37</v>
      </c>
      <c r="Q23" s="368">
        <v>0</v>
      </c>
      <c r="R23" s="170" t="s">
        <v>71</v>
      </c>
      <c r="S23" s="373">
        <f>IF(B23="","",ROUND(Iluminação!$C$19,2))</f>
        <v>15.45</v>
      </c>
      <c r="T23" s="373">
        <f>IF(B23="","",IFERROR(VLOOKUP(Início!$C$20,Aux_Lista!A:I,9,FALSE),""))</f>
        <v>15</v>
      </c>
      <c r="U23" s="373">
        <f>IF(ISERROR(VLOOKUP($I23,Aux_Lista!$A$2:$L$13,10,FALSE)^-1),"",VLOOKUP($I23,Aux_Lista!$A$2:$L$13,10,FALSE)^-1)</f>
        <v>0.1</v>
      </c>
      <c r="V23" s="374">
        <f>IF(ISERROR(VLOOKUP($I23,Aux_Lista!$A$2:$L$13,11,FALSE)),"",VLOOKUP($I23,Aux_Lista!$A$2:$L$13,11,FALSE))</f>
        <v>10</v>
      </c>
      <c r="W23" s="454">
        <v>233.89</v>
      </c>
      <c r="X23" s="454">
        <v>317</v>
      </c>
      <c r="Y23" s="456">
        <v>1</v>
      </c>
      <c r="Z23" s="467">
        <f t="shared" si="0"/>
        <v>9004.7649999999994</v>
      </c>
      <c r="AA23" s="467">
        <f t="shared" si="1"/>
        <v>12204.5</v>
      </c>
      <c r="AB23" s="281">
        <f t="shared" si="3"/>
        <v>9004.7649999999994</v>
      </c>
      <c r="AC23" s="281">
        <f t="shared" si="4"/>
        <v>12204.5</v>
      </c>
      <c r="AD23" s="2"/>
      <c r="AE23" s="459">
        <f t="shared" si="2"/>
        <v>115.5</v>
      </c>
      <c r="AF23" s="459"/>
      <c r="AG23" s="437"/>
      <c r="AH23" s="57"/>
      <c r="AI23" s="57"/>
    </row>
    <row r="24" spans="1:35" s="13" customFormat="1" ht="20.100000000000001" customHeight="1" x14ac:dyDescent="0.25">
      <c r="A24" s="93">
        <v>6</v>
      </c>
      <c r="B24" s="170" t="s">
        <v>233</v>
      </c>
      <c r="C24" s="371" t="s">
        <v>10789</v>
      </c>
      <c r="D24" s="372">
        <v>1.1200000000000001</v>
      </c>
      <c r="E24" s="372">
        <v>3</v>
      </c>
      <c r="F24" s="170" t="s">
        <v>67</v>
      </c>
      <c r="G24" s="170" t="s">
        <v>245</v>
      </c>
      <c r="H24" s="170" t="s">
        <v>69</v>
      </c>
      <c r="I24" s="170" t="s">
        <v>35</v>
      </c>
      <c r="J24" s="170" t="s">
        <v>10837</v>
      </c>
      <c r="K24" s="170" t="s">
        <v>111</v>
      </c>
      <c r="L24" s="170" t="s">
        <v>10777</v>
      </c>
      <c r="M24" s="170" t="s">
        <v>111</v>
      </c>
      <c r="N24" s="170" t="s">
        <v>6005</v>
      </c>
      <c r="O24" s="368">
        <v>0</v>
      </c>
      <c r="P24" s="170" t="s">
        <v>37</v>
      </c>
      <c r="Q24" s="368">
        <v>0</v>
      </c>
      <c r="R24" s="170" t="s">
        <v>71</v>
      </c>
      <c r="S24" s="373">
        <f>IF(B24="","",ROUND(Iluminação!$C$19,2))</f>
        <v>15.45</v>
      </c>
      <c r="T24" s="373">
        <f>IF(B24="","",IFERROR(VLOOKUP(Início!$C$20,Aux_Lista!A:I,9,FALSE),""))</f>
        <v>15</v>
      </c>
      <c r="U24" s="373">
        <f>IF(ISERROR(VLOOKUP($I24,Aux_Lista!$A$2:$L$13,10,FALSE)^-1),"",VLOOKUP($I24,Aux_Lista!$A$2:$L$13,10,FALSE)^-1)</f>
        <v>0.1</v>
      </c>
      <c r="V24" s="374">
        <f>IF(ISERROR(VLOOKUP($I24,Aux_Lista!$A$2:$L$13,11,FALSE)),"",VLOOKUP($I24,Aux_Lista!$A$2:$L$13,11,FALSE))</f>
        <v>10</v>
      </c>
      <c r="W24" s="455">
        <v>189.99</v>
      </c>
      <c r="X24" s="455">
        <v>206</v>
      </c>
      <c r="Y24" s="456">
        <v>1</v>
      </c>
      <c r="Z24" s="467">
        <f t="shared" si="0"/>
        <v>212.78880000000004</v>
      </c>
      <c r="AA24" s="467">
        <f t="shared" si="1"/>
        <v>230.72000000000003</v>
      </c>
      <c r="AB24" s="281">
        <f t="shared" si="3"/>
        <v>212.78880000000004</v>
      </c>
      <c r="AC24" s="281">
        <f t="shared" si="4"/>
        <v>230.72000000000003</v>
      </c>
      <c r="AD24" s="2"/>
      <c r="AE24" s="459">
        <f t="shared" si="2"/>
        <v>3.3600000000000003</v>
      </c>
      <c r="AF24" s="458"/>
      <c r="AG24" s="437"/>
      <c r="AH24" s="57"/>
      <c r="AI24" s="57"/>
    </row>
    <row r="25" spans="1:35" s="13" customFormat="1" ht="20.100000000000001" customHeight="1" x14ac:dyDescent="0.25">
      <c r="A25" s="92">
        <v>7</v>
      </c>
      <c r="B25" s="170" t="s">
        <v>233</v>
      </c>
      <c r="C25" s="371" t="s">
        <v>10790</v>
      </c>
      <c r="D25" s="372">
        <v>1.27</v>
      </c>
      <c r="E25" s="372">
        <v>3</v>
      </c>
      <c r="F25" s="170" t="s">
        <v>67</v>
      </c>
      <c r="G25" s="170" t="s">
        <v>266</v>
      </c>
      <c r="H25" s="170" t="s">
        <v>69</v>
      </c>
      <c r="I25" s="170" t="s">
        <v>35</v>
      </c>
      <c r="J25" s="170" t="s">
        <v>10837</v>
      </c>
      <c r="K25" s="170" t="s">
        <v>111</v>
      </c>
      <c r="L25" s="170" t="s">
        <v>10777</v>
      </c>
      <c r="M25" s="170" t="s">
        <v>111</v>
      </c>
      <c r="N25" s="170" t="s">
        <v>6005</v>
      </c>
      <c r="O25" s="368">
        <v>0</v>
      </c>
      <c r="P25" s="170" t="s">
        <v>37</v>
      </c>
      <c r="Q25" s="368">
        <v>0</v>
      </c>
      <c r="R25" s="170" t="s">
        <v>71</v>
      </c>
      <c r="S25" s="373">
        <f>IF(B25="","",ROUND(Iluminação!$C$19,2))</f>
        <v>15.45</v>
      </c>
      <c r="T25" s="373">
        <f>IF(B25="","",IFERROR(VLOOKUP(Início!$C$20,Aux_Lista!A:I,9,FALSE),""))</f>
        <v>15</v>
      </c>
      <c r="U25" s="373">
        <f>IF(ISERROR(VLOOKUP($I25,Aux_Lista!$A$2:$L$13,10,FALSE)^-1),"",VLOOKUP($I25,Aux_Lista!$A$2:$L$13,10,FALSE)^-1)</f>
        <v>0.1</v>
      </c>
      <c r="V25" s="374">
        <f>IF(ISERROR(VLOOKUP($I25,Aux_Lista!$A$2:$L$13,11,FALSE)),"",VLOOKUP($I25,Aux_Lista!$A$2:$L$13,11,FALSE))</f>
        <v>10</v>
      </c>
      <c r="W25" s="455">
        <v>182.71</v>
      </c>
      <c r="X25" s="455">
        <v>196</v>
      </c>
      <c r="Y25" s="456">
        <v>1</v>
      </c>
      <c r="Z25" s="467">
        <f t="shared" si="0"/>
        <v>232.04170000000002</v>
      </c>
      <c r="AA25" s="467">
        <f t="shared" si="1"/>
        <v>248.92000000000002</v>
      </c>
      <c r="AB25" s="281">
        <f t="shared" si="3"/>
        <v>232.04170000000002</v>
      </c>
      <c r="AC25" s="281">
        <f t="shared" si="4"/>
        <v>248.92000000000002</v>
      </c>
      <c r="AD25" s="2"/>
      <c r="AE25" s="459">
        <f t="shared" si="2"/>
        <v>3.81</v>
      </c>
      <c r="AF25" s="458"/>
      <c r="AG25" s="437"/>
      <c r="AH25" s="57"/>
      <c r="AI25" s="57"/>
    </row>
    <row r="26" spans="1:35" s="13" customFormat="1" ht="20.100000000000001" customHeight="1" x14ac:dyDescent="0.25">
      <c r="A26" s="93">
        <v>8</v>
      </c>
      <c r="B26" s="170" t="s">
        <v>233</v>
      </c>
      <c r="C26" s="371" t="s">
        <v>10791</v>
      </c>
      <c r="D26" s="372">
        <v>45.85</v>
      </c>
      <c r="E26" s="372">
        <v>3</v>
      </c>
      <c r="F26" s="170" t="s">
        <v>67</v>
      </c>
      <c r="G26" s="170" t="s">
        <v>266</v>
      </c>
      <c r="H26" s="170" t="s">
        <v>69</v>
      </c>
      <c r="I26" s="170" t="s">
        <v>35</v>
      </c>
      <c r="J26" s="170" t="s">
        <v>10837</v>
      </c>
      <c r="K26" s="170" t="s">
        <v>111</v>
      </c>
      <c r="L26" s="170" t="s">
        <v>10777</v>
      </c>
      <c r="M26" s="170" t="s">
        <v>111</v>
      </c>
      <c r="N26" s="170" t="s">
        <v>6005</v>
      </c>
      <c r="O26" s="368">
        <v>0</v>
      </c>
      <c r="P26" s="170" t="s">
        <v>37</v>
      </c>
      <c r="Q26" s="368">
        <v>0</v>
      </c>
      <c r="R26" s="170" t="s">
        <v>71</v>
      </c>
      <c r="S26" s="373">
        <f>IF(B26="","",ROUND(Iluminação!$C$19,2))</f>
        <v>15.45</v>
      </c>
      <c r="T26" s="373">
        <f>IF(B26="","",IFERROR(VLOOKUP(Início!$C$20,Aux_Lista!A:I,9,FALSE),""))</f>
        <v>15</v>
      </c>
      <c r="U26" s="373">
        <f>IF(ISERROR(VLOOKUP($I26,Aux_Lista!$A$2:$L$13,10,FALSE)^-1),"",VLOOKUP($I26,Aux_Lista!$A$2:$L$13,10,FALSE)^-1)</f>
        <v>0.1</v>
      </c>
      <c r="V26" s="374">
        <f>IF(ISERROR(VLOOKUP($I26,Aux_Lista!$A$2:$L$13,11,FALSE)),"",VLOOKUP($I26,Aux_Lista!$A$2:$L$13,11,FALSE))</f>
        <v>10</v>
      </c>
      <c r="W26" s="454">
        <v>163.44999999999999</v>
      </c>
      <c r="X26" s="454">
        <v>170</v>
      </c>
      <c r="Y26" s="456">
        <v>1</v>
      </c>
      <c r="Z26" s="467">
        <f t="shared" si="0"/>
        <v>7494.1824999999999</v>
      </c>
      <c r="AA26" s="467">
        <f t="shared" si="1"/>
        <v>7794.5</v>
      </c>
      <c r="AB26" s="281">
        <f t="shared" si="3"/>
        <v>7494.1824999999999</v>
      </c>
      <c r="AC26" s="281">
        <f t="shared" si="4"/>
        <v>7794.5</v>
      </c>
      <c r="AD26" s="2"/>
      <c r="AE26" s="459">
        <f t="shared" si="2"/>
        <v>137.55000000000001</v>
      </c>
      <c r="AF26" s="460"/>
      <c r="AG26" s="437"/>
      <c r="AH26" s="57"/>
      <c r="AI26" s="57"/>
    </row>
    <row r="27" spans="1:35" s="13" customFormat="1" ht="20.100000000000001" customHeight="1" x14ac:dyDescent="0.25">
      <c r="A27" s="92">
        <v>9</v>
      </c>
      <c r="B27" s="170" t="s">
        <v>233</v>
      </c>
      <c r="C27" s="371" t="s">
        <v>10792</v>
      </c>
      <c r="D27" s="372">
        <v>21.85</v>
      </c>
      <c r="E27" s="372">
        <v>3</v>
      </c>
      <c r="F27" s="170" t="s">
        <v>67</v>
      </c>
      <c r="G27" s="170" t="s">
        <v>308</v>
      </c>
      <c r="H27" s="170" t="s">
        <v>69</v>
      </c>
      <c r="I27" s="170" t="s">
        <v>35</v>
      </c>
      <c r="J27" s="170" t="s">
        <v>10837</v>
      </c>
      <c r="K27" s="170" t="s">
        <v>111</v>
      </c>
      <c r="L27" s="170" t="s">
        <v>10777</v>
      </c>
      <c r="M27" s="170" t="s">
        <v>111</v>
      </c>
      <c r="N27" s="170" t="s">
        <v>6005</v>
      </c>
      <c r="O27" s="368">
        <v>0</v>
      </c>
      <c r="P27" s="170" t="s">
        <v>37</v>
      </c>
      <c r="Q27" s="368">
        <v>0</v>
      </c>
      <c r="R27" s="170" t="s">
        <v>71</v>
      </c>
      <c r="S27" s="373">
        <f>IF(B27="","",ROUND(Iluminação!$C$19,2))</f>
        <v>15.45</v>
      </c>
      <c r="T27" s="373">
        <f>IF(B27="","",IFERROR(VLOOKUP(Início!$C$20,Aux_Lista!A:I,9,FALSE),""))</f>
        <v>15</v>
      </c>
      <c r="U27" s="373">
        <f>IF(ISERROR(VLOOKUP($I27,Aux_Lista!$A$2:$L$13,10,FALSE)^-1),"",VLOOKUP($I27,Aux_Lista!$A$2:$L$13,10,FALSE)^-1)</f>
        <v>0.1</v>
      </c>
      <c r="V27" s="374">
        <f>IF(ISERROR(VLOOKUP($I27,Aux_Lista!$A$2:$L$13,11,FALSE)),"",VLOOKUP($I27,Aux_Lista!$A$2:$L$13,11,FALSE))</f>
        <v>10</v>
      </c>
      <c r="W27" s="454">
        <v>168.93</v>
      </c>
      <c r="X27" s="454">
        <v>174</v>
      </c>
      <c r="Y27" s="456">
        <v>1</v>
      </c>
      <c r="Z27" s="467">
        <f t="shared" si="0"/>
        <v>3691.1205000000004</v>
      </c>
      <c r="AA27" s="467">
        <f t="shared" si="1"/>
        <v>3801.9</v>
      </c>
      <c r="AB27" s="281">
        <f t="shared" si="3"/>
        <v>3691.1205000000004</v>
      </c>
      <c r="AC27" s="281">
        <f t="shared" si="4"/>
        <v>3801.9</v>
      </c>
      <c r="AD27" s="2"/>
      <c r="AE27" s="459">
        <f t="shared" si="2"/>
        <v>65.550000000000011</v>
      </c>
      <c r="AF27" s="460"/>
      <c r="AG27" s="437"/>
      <c r="AH27" s="57"/>
      <c r="AI27" s="57"/>
    </row>
    <row r="28" spans="1:35" s="13" customFormat="1" ht="20.100000000000001" customHeight="1" x14ac:dyDescent="0.25">
      <c r="A28" s="93">
        <v>10</v>
      </c>
      <c r="B28" s="170" t="s">
        <v>233</v>
      </c>
      <c r="C28" s="371" t="s">
        <v>10793</v>
      </c>
      <c r="D28" s="372">
        <v>16.649999999999999</v>
      </c>
      <c r="E28" s="372">
        <v>3</v>
      </c>
      <c r="F28" s="170" t="s">
        <v>67</v>
      </c>
      <c r="G28" s="170" t="s">
        <v>308</v>
      </c>
      <c r="H28" s="170" t="s">
        <v>69</v>
      </c>
      <c r="I28" s="170" t="s">
        <v>35</v>
      </c>
      <c r="J28" s="170" t="s">
        <v>10837</v>
      </c>
      <c r="K28" s="170" t="s">
        <v>111</v>
      </c>
      <c r="L28" s="170" t="s">
        <v>10777</v>
      </c>
      <c r="M28" s="170" t="s">
        <v>111</v>
      </c>
      <c r="N28" s="170" t="s">
        <v>10828</v>
      </c>
      <c r="O28" s="368">
        <v>26</v>
      </c>
      <c r="P28" s="170" t="s">
        <v>37</v>
      </c>
      <c r="Q28" s="368">
        <v>0</v>
      </c>
      <c r="R28" s="170" t="s">
        <v>71</v>
      </c>
      <c r="S28" s="373">
        <f>IF(B28="","",ROUND(Iluminação!$C$19,2))</f>
        <v>15.45</v>
      </c>
      <c r="T28" s="373">
        <f>IF(B28="","",IFERROR(VLOOKUP(Início!$C$20,Aux_Lista!A:I,9,FALSE),""))</f>
        <v>15</v>
      </c>
      <c r="U28" s="373">
        <f>IF(ISERROR(VLOOKUP($I28,Aux_Lista!$A$2:$L$13,10,FALSE)^-1),"",VLOOKUP($I28,Aux_Lista!$A$2:$L$13,10,FALSE)^-1)</f>
        <v>0.1</v>
      </c>
      <c r="V28" s="374">
        <f>IF(ISERROR(VLOOKUP($I28,Aux_Lista!$A$2:$L$13,11,FALSE)),"",VLOOKUP($I28,Aux_Lista!$A$2:$L$13,11,FALSE))</f>
        <v>10</v>
      </c>
      <c r="W28" s="454">
        <v>217.63</v>
      </c>
      <c r="X28" s="454">
        <v>347</v>
      </c>
      <c r="Y28" s="456">
        <v>1</v>
      </c>
      <c r="Z28" s="467">
        <f t="shared" si="0"/>
        <v>3623.5394999999994</v>
      </c>
      <c r="AA28" s="467">
        <f t="shared" si="1"/>
        <v>5777.5499999999993</v>
      </c>
      <c r="AB28" s="281">
        <f t="shared" si="3"/>
        <v>3623.5394999999994</v>
      </c>
      <c r="AC28" s="281">
        <f t="shared" si="4"/>
        <v>5777.5499999999993</v>
      </c>
      <c r="AD28" s="2"/>
      <c r="AE28" s="459">
        <f t="shared" si="2"/>
        <v>49.949999999999996</v>
      </c>
      <c r="AF28" s="460"/>
      <c r="AG28" s="437"/>
      <c r="AH28" s="57"/>
      <c r="AI28" s="57"/>
    </row>
    <row r="29" spans="1:35" s="13" customFormat="1" ht="20.100000000000001" customHeight="1" x14ac:dyDescent="0.25">
      <c r="A29" s="92">
        <v>11</v>
      </c>
      <c r="B29" s="170" t="s">
        <v>66</v>
      </c>
      <c r="C29" s="371" t="s">
        <v>10794</v>
      </c>
      <c r="D29" s="372">
        <v>5.03</v>
      </c>
      <c r="E29" s="372">
        <v>9.2200000000000006</v>
      </c>
      <c r="F29" s="170" t="s">
        <v>67</v>
      </c>
      <c r="G29" s="170" t="s">
        <v>308</v>
      </c>
      <c r="H29" s="170" t="s">
        <v>69</v>
      </c>
      <c r="I29" s="170" t="s">
        <v>35</v>
      </c>
      <c r="J29" s="170" t="s">
        <v>10836</v>
      </c>
      <c r="K29" s="170" t="s">
        <v>111</v>
      </c>
      <c r="L29" s="170" t="s">
        <v>10776</v>
      </c>
      <c r="M29" s="170" t="s">
        <v>111</v>
      </c>
      <c r="N29" s="170" t="s">
        <v>10829</v>
      </c>
      <c r="O29" s="368">
        <v>84</v>
      </c>
      <c r="P29" s="170" t="s">
        <v>37</v>
      </c>
      <c r="Q29" s="368">
        <v>0</v>
      </c>
      <c r="R29" s="170" t="s">
        <v>71</v>
      </c>
      <c r="S29" s="373">
        <f>IF(B29="","",ROUND(Iluminação!$C$19,2))</f>
        <v>15.45</v>
      </c>
      <c r="T29" s="373">
        <f>IF(B29="","",IFERROR(VLOOKUP(Início!$C$20,Aux_Lista!A:I,9,FALSE),""))</f>
        <v>15</v>
      </c>
      <c r="U29" s="373">
        <f>IF(ISERROR(VLOOKUP($I29,Aux_Lista!$A$2:$L$13,10,FALSE)^-1),"",VLOOKUP($I29,Aux_Lista!$A$2:$L$13,10,FALSE)^-1)</f>
        <v>0.1</v>
      </c>
      <c r="V29" s="374">
        <f>IF(ISERROR(VLOOKUP($I29,Aux_Lista!$A$2:$L$13,11,FALSE)),"",VLOOKUP($I29,Aux_Lista!$A$2:$L$13,11,FALSE))</f>
        <v>10</v>
      </c>
      <c r="W29" s="454">
        <v>686.52</v>
      </c>
      <c r="X29" s="454">
        <v>1109</v>
      </c>
      <c r="Y29" s="456">
        <v>1</v>
      </c>
      <c r="Z29" s="467">
        <f t="shared" si="0"/>
        <v>3453.1956</v>
      </c>
      <c r="AA29" s="467">
        <f t="shared" si="1"/>
        <v>5578.27</v>
      </c>
      <c r="AB29" s="281">
        <f t="shared" si="3"/>
        <v>3453.1956</v>
      </c>
      <c r="AC29" s="281">
        <f t="shared" si="4"/>
        <v>5578.27</v>
      </c>
      <c r="AD29" s="2"/>
      <c r="AE29" s="459">
        <f t="shared" si="2"/>
        <v>46.376600000000003</v>
      </c>
      <c r="AF29" s="460"/>
      <c r="AG29" s="437"/>
      <c r="AH29" s="57"/>
      <c r="AI29" s="57"/>
    </row>
    <row r="30" spans="1:35" s="13" customFormat="1" ht="20.100000000000001" customHeight="1" x14ac:dyDescent="0.25">
      <c r="A30" s="93">
        <v>12</v>
      </c>
      <c r="B30" s="170" t="s">
        <v>66</v>
      </c>
      <c r="C30" s="371" t="s">
        <v>10795</v>
      </c>
      <c r="D30" s="372">
        <v>7.74</v>
      </c>
      <c r="E30" s="372">
        <v>9.2200000000000006</v>
      </c>
      <c r="F30" s="170" t="s">
        <v>67</v>
      </c>
      <c r="G30" s="170" t="s">
        <v>266</v>
      </c>
      <c r="H30" s="170" t="s">
        <v>69</v>
      </c>
      <c r="I30" s="170" t="s">
        <v>35</v>
      </c>
      <c r="J30" s="170" t="s">
        <v>10836</v>
      </c>
      <c r="K30" s="170" t="s">
        <v>111</v>
      </c>
      <c r="L30" s="170" t="s">
        <v>10776</v>
      </c>
      <c r="M30" s="170" t="s">
        <v>111</v>
      </c>
      <c r="N30" s="170" t="s">
        <v>10830</v>
      </c>
      <c r="O30" s="368">
        <v>67</v>
      </c>
      <c r="P30" s="170" t="s">
        <v>37</v>
      </c>
      <c r="Q30" s="368">
        <v>0</v>
      </c>
      <c r="R30" s="170" t="s">
        <v>71</v>
      </c>
      <c r="S30" s="373">
        <f>IF(B30="","",ROUND(Iluminação!$C$19,2))</f>
        <v>15.45</v>
      </c>
      <c r="T30" s="373">
        <f>IF(B30="","",IFERROR(VLOOKUP(Início!$C$20,Aux_Lista!A:I,9,FALSE),""))</f>
        <v>15</v>
      </c>
      <c r="U30" s="373">
        <f>IF(ISERROR(VLOOKUP($I30,Aux_Lista!$A$2:$L$13,10,FALSE)^-1),"",VLOOKUP($I30,Aux_Lista!$A$2:$L$13,10,FALSE)^-1)</f>
        <v>0.1</v>
      </c>
      <c r="V30" s="374">
        <f>IF(ISERROR(VLOOKUP($I30,Aux_Lista!$A$2:$L$13,11,FALSE)),"",VLOOKUP($I30,Aux_Lista!$A$2:$L$13,11,FALSE))</f>
        <v>10</v>
      </c>
      <c r="W30" s="454">
        <v>468.43</v>
      </c>
      <c r="X30" s="454">
        <v>1082</v>
      </c>
      <c r="Y30" s="456">
        <v>1</v>
      </c>
      <c r="Z30" s="467">
        <f t="shared" si="0"/>
        <v>3625.6482000000001</v>
      </c>
      <c r="AA30" s="467">
        <f t="shared" si="1"/>
        <v>8374.68</v>
      </c>
      <c r="AB30" s="281">
        <f t="shared" si="3"/>
        <v>3625.6482000000001</v>
      </c>
      <c r="AC30" s="281">
        <f t="shared" si="4"/>
        <v>8374.68</v>
      </c>
      <c r="AD30" s="2"/>
      <c r="AE30" s="459">
        <f t="shared" si="2"/>
        <v>71.362800000000007</v>
      </c>
      <c r="AF30" s="460"/>
      <c r="AG30" s="437"/>
      <c r="AH30" s="57"/>
      <c r="AI30" s="57"/>
    </row>
    <row r="31" spans="1:35" s="13" customFormat="1" ht="20.100000000000001" customHeight="1" x14ac:dyDescent="0.25">
      <c r="A31" s="92">
        <v>13</v>
      </c>
      <c r="B31" s="170" t="s">
        <v>66</v>
      </c>
      <c r="C31" s="371" t="s">
        <v>10796</v>
      </c>
      <c r="D31" s="372">
        <v>15.09</v>
      </c>
      <c r="E31" s="372">
        <v>9.2200000000000006</v>
      </c>
      <c r="F31" s="170" t="s">
        <v>67</v>
      </c>
      <c r="G31" s="170" t="s">
        <v>308</v>
      </c>
      <c r="H31" s="170" t="s">
        <v>69</v>
      </c>
      <c r="I31" s="170" t="s">
        <v>35</v>
      </c>
      <c r="J31" s="170" t="s">
        <v>10838</v>
      </c>
      <c r="K31" s="170" t="s">
        <v>111</v>
      </c>
      <c r="L31" s="170" t="s">
        <v>10776</v>
      </c>
      <c r="M31" s="170" t="s">
        <v>111</v>
      </c>
      <c r="N31" s="170" t="s">
        <v>10831</v>
      </c>
      <c r="O31" s="368">
        <v>55</v>
      </c>
      <c r="P31" s="170" t="s">
        <v>37</v>
      </c>
      <c r="Q31" s="368">
        <v>0</v>
      </c>
      <c r="R31" s="170" t="s">
        <v>71</v>
      </c>
      <c r="S31" s="373">
        <f>IF(B31="","",ROUND(Iluminação!$C$19,2))</f>
        <v>15.45</v>
      </c>
      <c r="T31" s="373">
        <f>IF(B31="","",IFERROR(VLOOKUP(Início!$C$20,Aux_Lista!A:I,9,FALSE),""))</f>
        <v>15</v>
      </c>
      <c r="U31" s="373">
        <f>IF(ISERROR(VLOOKUP($I31,Aux_Lista!$A$2:$L$13,10,FALSE)^-1),"",VLOOKUP($I31,Aux_Lista!$A$2:$L$13,10,FALSE)^-1)</f>
        <v>0.1</v>
      </c>
      <c r="V31" s="374">
        <f>IF(ISERROR(VLOOKUP($I31,Aux_Lista!$A$2:$L$13,11,FALSE)),"",VLOOKUP($I31,Aux_Lista!$A$2:$L$13,11,FALSE))</f>
        <v>10</v>
      </c>
      <c r="W31" s="454">
        <v>489.31</v>
      </c>
      <c r="X31" s="454">
        <v>808</v>
      </c>
      <c r="Y31" s="456">
        <v>1</v>
      </c>
      <c r="Z31" s="467">
        <f t="shared" si="0"/>
        <v>7383.6878999999999</v>
      </c>
      <c r="AA31" s="467">
        <f t="shared" si="1"/>
        <v>12192.72</v>
      </c>
      <c r="AB31" s="281">
        <f t="shared" si="3"/>
        <v>7383.6878999999999</v>
      </c>
      <c r="AC31" s="281">
        <f t="shared" si="4"/>
        <v>12192.72</v>
      </c>
      <c r="AD31" s="2"/>
      <c r="AE31" s="459">
        <f t="shared" si="2"/>
        <v>139.12980000000002</v>
      </c>
      <c r="AF31" s="460"/>
      <c r="AG31" s="437"/>
      <c r="AH31" s="57"/>
      <c r="AI31" s="57"/>
    </row>
    <row r="32" spans="1:35" s="13" customFormat="1" ht="20.100000000000001" customHeight="1" x14ac:dyDescent="0.25">
      <c r="A32" s="93">
        <v>14</v>
      </c>
      <c r="B32" s="170" t="s">
        <v>66</v>
      </c>
      <c r="C32" s="371" t="s">
        <v>10797</v>
      </c>
      <c r="D32" s="372">
        <v>7.29</v>
      </c>
      <c r="E32" s="372">
        <v>9.2200000000000006</v>
      </c>
      <c r="F32" s="170" t="s">
        <v>67</v>
      </c>
      <c r="G32" s="170" t="s">
        <v>298</v>
      </c>
      <c r="H32" s="170" t="s">
        <v>69</v>
      </c>
      <c r="I32" s="170" t="s">
        <v>35</v>
      </c>
      <c r="J32" s="170" t="s">
        <v>10836</v>
      </c>
      <c r="K32" s="170" t="s">
        <v>111</v>
      </c>
      <c r="L32" s="170" t="s">
        <v>10776</v>
      </c>
      <c r="M32" s="170" t="s">
        <v>111</v>
      </c>
      <c r="N32" s="170" t="s">
        <v>10832</v>
      </c>
      <c r="O32" s="368">
        <v>77</v>
      </c>
      <c r="P32" s="170" t="s">
        <v>37</v>
      </c>
      <c r="Q32" s="368">
        <v>0</v>
      </c>
      <c r="R32" s="170" t="s">
        <v>71</v>
      </c>
      <c r="S32" s="373">
        <f>IF(B32="","",ROUND(Iluminação!$C$19,2))</f>
        <v>15.45</v>
      </c>
      <c r="T32" s="373">
        <f>IF(B32="","",IFERROR(VLOOKUP(Início!$C$20,Aux_Lista!A:I,9,FALSE),""))</f>
        <v>15</v>
      </c>
      <c r="U32" s="373">
        <f>IF(ISERROR(VLOOKUP($I32,Aux_Lista!$A$2:$L$13,10,FALSE)^-1),"",VLOOKUP($I32,Aux_Lista!$A$2:$L$13,10,FALSE)^-1)</f>
        <v>0.1</v>
      </c>
      <c r="V32" s="374">
        <f>IF(ISERROR(VLOOKUP($I32,Aux_Lista!$A$2:$L$13,11,FALSE)),"",VLOOKUP($I32,Aux_Lista!$A$2:$L$13,11,FALSE))</f>
        <v>10</v>
      </c>
      <c r="W32" s="454">
        <v>405.57</v>
      </c>
      <c r="X32" s="454">
        <v>1078</v>
      </c>
      <c r="Y32" s="456">
        <v>1</v>
      </c>
      <c r="Z32" s="467">
        <f t="shared" si="0"/>
        <v>2956.6053000000002</v>
      </c>
      <c r="AA32" s="467">
        <f t="shared" si="1"/>
        <v>7858.62</v>
      </c>
      <c r="AB32" s="281">
        <f t="shared" si="3"/>
        <v>2956.6053000000002</v>
      </c>
      <c r="AC32" s="281">
        <f t="shared" si="4"/>
        <v>7858.62</v>
      </c>
      <c r="AD32" s="2"/>
      <c r="AE32" s="459">
        <f t="shared" si="2"/>
        <v>67.213800000000006</v>
      </c>
      <c r="AF32" s="460"/>
      <c r="AG32" s="437"/>
      <c r="AH32" s="57"/>
      <c r="AI32" s="57"/>
    </row>
    <row r="33" spans="1:35" s="13" customFormat="1" ht="20.100000000000001" customHeight="1" x14ac:dyDescent="0.25">
      <c r="A33" s="92">
        <v>15</v>
      </c>
      <c r="B33" s="170" t="s">
        <v>66</v>
      </c>
      <c r="C33" s="371" t="s">
        <v>10798</v>
      </c>
      <c r="D33" s="372">
        <v>8.1</v>
      </c>
      <c r="E33" s="372">
        <v>9.2200000000000006</v>
      </c>
      <c r="F33" s="170" t="s">
        <v>67</v>
      </c>
      <c r="G33" s="170" t="s">
        <v>308</v>
      </c>
      <c r="H33" s="170" t="s">
        <v>69</v>
      </c>
      <c r="I33" s="170" t="s">
        <v>35</v>
      </c>
      <c r="J33" s="170" t="s">
        <v>10836</v>
      </c>
      <c r="K33" s="170" t="s">
        <v>111</v>
      </c>
      <c r="L33" s="170" t="s">
        <v>10776</v>
      </c>
      <c r="M33" s="170" t="s">
        <v>111</v>
      </c>
      <c r="N33" s="170" t="s">
        <v>10833</v>
      </c>
      <c r="O33" s="368">
        <v>84</v>
      </c>
      <c r="P33" s="170" t="s">
        <v>37</v>
      </c>
      <c r="Q33" s="368">
        <v>0</v>
      </c>
      <c r="R33" s="170" t="s">
        <v>71</v>
      </c>
      <c r="S33" s="373">
        <f>IF(B33="","",ROUND(Iluminação!$C$19,2))</f>
        <v>15.45</v>
      </c>
      <c r="T33" s="373">
        <f>IF(B33="","",IFERROR(VLOOKUP(Início!$C$20,Aux_Lista!A:I,9,FALSE),""))</f>
        <v>15</v>
      </c>
      <c r="U33" s="373">
        <f>IF(ISERROR(VLOOKUP($I33,Aux_Lista!$A$2:$L$13,10,FALSE)^-1),"",VLOOKUP($I33,Aux_Lista!$A$2:$L$13,10,FALSE)^-1)</f>
        <v>0.1</v>
      </c>
      <c r="V33" s="374">
        <f>IF(ISERROR(VLOOKUP($I33,Aux_Lista!$A$2:$L$13,11,FALSE)),"",VLOOKUP($I33,Aux_Lista!$A$2:$L$13,11,FALSE))</f>
        <v>10</v>
      </c>
      <c r="W33" s="454">
        <v>621.04</v>
      </c>
      <c r="X33" s="454">
        <v>997</v>
      </c>
      <c r="Y33" s="456">
        <v>1</v>
      </c>
      <c r="Z33" s="467">
        <f t="shared" si="0"/>
        <v>5030.4239999999991</v>
      </c>
      <c r="AA33" s="467">
        <f t="shared" si="1"/>
        <v>8075.7</v>
      </c>
      <c r="AB33" s="281">
        <f t="shared" si="3"/>
        <v>5030.4239999999991</v>
      </c>
      <c r="AC33" s="281">
        <f t="shared" si="4"/>
        <v>8075.7</v>
      </c>
      <c r="AD33" s="2"/>
      <c r="AE33" s="459">
        <f t="shared" si="2"/>
        <v>74.682000000000002</v>
      </c>
      <c r="AF33" s="460"/>
      <c r="AG33" s="437"/>
      <c r="AH33" s="57"/>
      <c r="AI33" s="57"/>
    </row>
    <row r="34" spans="1:35" s="13" customFormat="1" ht="20.100000000000001" customHeight="1" x14ac:dyDescent="0.25">
      <c r="A34" s="93">
        <v>16</v>
      </c>
      <c r="B34" s="170" t="s">
        <v>233</v>
      </c>
      <c r="C34" s="371" t="s">
        <v>10799</v>
      </c>
      <c r="D34" s="372">
        <v>36.76</v>
      </c>
      <c r="E34" s="372">
        <v>3</v>
      </c>
      <c r="F34" s="170" t="s">
        <v>67</v>
      </c>
      <c r="G34" s="170" t="s">
        <v>308</v>
      </c>
      <c r="H34" s="170" t="s">
        <v>69</v>
      </c>
      <c r="I34" s="170" t="s">
        <v>35</v>
      </c>
      <c r="J34" s="170" t="s">
        <v>10837</v>
      </c>
      <c r="K34" s="170" t="s">
        <v>111</v>
      </c>
      <c r="L34" s="170" t="s">
        <v>10777</v>
      </c>
      <c r="M34" s="170" t="s">
        <v>111</v>
      </c>
      <c r="N34" s="170" t="s">
        <v>10834</v>
      </c>
      <c r="O34" s="368">
        <v>22</v>
      </c>
      <c r="P34" s="170" t="s">
        <v>37</v>
      </c>
      <c r="Q34" s="368">
        <v>0</v>
      </c>
      <c r="R34" s="170" t="s">
        <v>71</v>
      </c>
      <c r="S34" s="373">
        <f>IF(B34="","",ROUND(Iluminação!$C$19,2))</f>
        <v>15.45</v>
      </c>
      <c r="T34" s="373">
        <f>IF(B34="","",IFERROR(VLOOKUP(Início!$C$20,Aux_Lista!A:I,9,FALSE),""))</f>
        <v>15</v>
      </c>
      <c r="U34" s="373">
        <f>IF(ISERROR(VLOOKUP($I34,Aux_Lista!$A$2:$L$13,10,FALSE)^-1),"",VLOOKUP($I34,Aux_Lista!$A$2:$L$13,10,FALSE)^-1)</f>
        <v>0.1</v>
      </c>
      <c r="V34" s="374">
        <f>IF(ISERROR(VLOOKUP($I34,Aux_Lista!$A$2:$L$13,11,FALSE)),"",VLOOKUP($I34,Aux_Lista!$A$2:$L$13,11,FALSE))</f>
        <v>10</v>
      </c>
      <c r="W34" s="454">
        <v>197.89</v>
      </c>
      <c r="X34" s="454">
        <v>294</v>
      </c>
      <c r="Y34" s="456">
        <v>1</v>
      </c>
      <c r="Z34" s="467">
        <f t="shared" si="0"/>
        <v>7274.4363999999987</v>
      </c>
      <c r="AA34" s="467">
        <f t="shared" si="1"/>
        <v>10807.439999999999</v>
      </c>
      <c r="AB34" s="281">
        <f t="shared" si="3"/>
        <v>7274.4363999999987</v>
      </c>
      <c r="AC34" s="281">
        <f t="shared" si="4"/>
        <v>10807.439999999999</v>
      </c>
      <c r="AD34" s="2"/>
      <c r="AE34" s="459">
        <f t="shared" si="2"/>
        <v>110.28</v>
      </c>
      <c r="AF34" s="460"/>
      <c r="AG34" s="437"/>
      <c r="AH34" s="57"/>
      <c r="AI34" s="57"/>
    </row>
    <row r="35" spans="1:35" s="13" customFormat="1" ht="20.100000000000001" customHeight="1" x14ac:dyDescent="0.25">
      <c r="A35" s="92">
        <v>17</v>
      </c>
      <c r="B35" s="170" t="s">
        <v>233</v>
      </c>
      <c r="C35" s="371" t="s">
        <v>10800</v>
      </c>
      <c r="D35" s="372">
        <v>11.47</v>
      </c>
      <c r="E35" s="372">
        <v>3</v>
      </c>
      <c r="F35" s="170" t="s">
        <v>67</v>
      </c>
      <c r="G35" s="170" t="s">
        <v>298</v>
      </c>
      <c r="H35" s="170" t="s">
        <v>69</v>
      </c>
      <c r="I35" s="170" t="s">
        <v>35</v>
      </c>
      <c r="J35" s="170" t="s">
        <v>10837</v>
      </c>
      <c r="K35" s="170" t="s">
        <v>111</v>
      </c>
      <c r="L35" s="170" t="s">
        <v>10777</v>
      </c>
      <c r="M35" s="170" t="s">
        <v>111</v>
      </c>
      <c r="N35" s="170" t="s">
        <v>6005</v>
      </c>
      <c r="O35" s="368">
        <v>0</v>
      </c>
      <c r="P35" s="170" t="s">
        <v>37</v>
      </c>
      <c r="Q35" s="368">
        <v>0</v>
      </c>
      <c r="R35" s="170" t="s">
        <v>71</v>
      </c>
      <c r="S35" s="373">
        <f>IF(B35="","",ROUND(Iluminação!$C$19,2))</f>
        <v>15.45</v>
      </c>
      <c r="T35" s="373">
        <f>IF(B35="","",IFERROR(VLOOKUP(Início!$C$20,Aux_Lista!A:I,9,FALSE),""))</f>
        <v>15</v>
      </c>
      <c r="U35" s="373">
        <f>IF(ISERROR(VLOOKUP($I35,Aux_Lista!$A$2:$L$13,10,FALSE)^-1),"",VLOOKUP($I35,Aux_Lista!$A$2:$L$13,10,FALSE)^-1)</f>
        <v>0.1</v>
      </c>
      <c r="V35" s="374">
        <f>IF(ISERROR(VLOOKUP($I35,Aux_Lista!$A$2:$L$13,11,FALSE)),"",VLOOKUP($I35,Aux_Lista!$A$2:$L$13,11,FALSE))</f>
        <v>10</v>
      </c>
      <c r="W35" s="454">
        <v>176.51</v>
      </c>
      <c r="X35" s="454">
        <v>184</v>
      </c>
      <c r="Y35" s="456">
        <v>1</v>
      </c>
      <c r="Z35" s="467">
        <f t="shared" si="0"/>
        <v>2024.5697</v>
      </c>
      <c r="AA35" s="467">
        <f t="shared" si="1"/>
        <v>2110.48</v>
      </c>
      <c r="AB35" s="281">
        <f t="shared" si="3"/>
        <v>2024.5697</v>
      </c>
      <c r="AC35" s="281">
        <f t="shared" si="4"/>
        <v>2110.48</v>
      </c>
      <c r="AD35" s="2"/>
      <c r="AE35" s="459">
        <f t="shared" si="2"/>
        <v>34.410000000000004</v>
      </c>
      <c r="AF35" s="460"/>
      <c r="AG35" s="437"/>
      <c r="AH35" s="57"/>
      <c r="AI35" s="57"/>
    </row>
    <row r="36" spans="1:35" s="13" customFormat="1" ht="20.100000000000001" customHeight="1" x14ac:dyDescent="0.25">
      <c r="A36" s="93">
        <v>18</v>
      </c>
      <c r="B36" s="170" t="s">
        <v>233</v>
      </c>
      <c r="C36" s="371" t="s">
        <v>10801</v>
      </c>
      <c r="D36" s="372">
        <v>0.37</v>
      </c>
      <c r="E36" s="372">
        <v>3</v>
      </c>
      <c r="F36" s="170" t="s">
        <v>67</v>
      </c>
      <c r="G36" s="170" t="s">
        <v>308</v>
      </c>
      <c r="H36" s="170" t="s">
        <v>69</v>
      </c>
      <c r="I36" s="170" t="s">
        <v>35</v>
      </c>
      <c r="J36" s="170" t="s">
        <v>10837</v>
      </c>
      <c r="K36" s="170" t="s">
        <v>111</v>
      </c>
      <c r="L36" s="170" t="s">
        <v>10777</v>
      </c>
      <c r="M36" s="170" t="s">
        <v>111</v>
      </c>
      <c r="N36" s="170" t="s">
        <v>6005</v>
      </c>
      <c r="O36" s="368">
        <v>0</v>
      </c>
      <c r="P36" s="170" t="s">
        <v>37</v>
      </c>
      <c r="Q36" s="368">
        <v>0</v>
      </c>
      <c r="R36" s="170" t="s">
        <v>71</v>
      </c>
      <c r="S36" s="373">
        <f>IF(B36="","",ROUND(Iluminação!$C$19,2))</f>
        <v>15.45</v>
      </c>
      <c r="T36" s="373">
        <f>IF(B36="","",IFERROR(VLOOKUP(Início!$C$20,Aux_Lista!A:I,9,FALSE),""))</f>
        <v>15</v>
      </c>
      <c r="U36" s="373">
        <f>IF(ISERROR(VLOOKUP($I36,Aux_Lista!$A$2:$L$13,10,FALSE)^-1),"",VLOOKUP($I36,Aux_Lista!$A$2:$L$13,10,FALSE)^-1)</f>
        <v>0.1</v>
      </c>
      <c r="V36" s="374">
        <f>IF(ISERROR(VLOOKUP($I36,Aux_Lista!$A$2:$L$13,11,FALSE)),"",VLOOKUP($I36,Aux_Lista!$A$2:$L$13,11,FALSE))</f>
        <v>10</v>
      </c>
      <c r="W36" s="454">
        <v>186.14</v>
      </c>
      <c r="X36" s="454">
        <v>195</v>
      </c>
      <c r="Y36" s="456">
        <v>1</v>
      </c>
      <c r="Z36" s="467">
        <f t="shared" si="0"/>
        <v>68.871799999999993</v>
      </c>
      <c r="AA36" s="467">
        <f t="shared" si="1"/>
        <v>72.150000000000006</v>
      </c>
      <c r="AB36" s="281">
        <f t="shared" si="3"/>
        <v>68.871799999999993</v>
      </c>
      <c r="AC36" s="281">
        <f t="shared" si="4"/>
        <v>72.150000000000006</v>
      </c>
      <c r="AD36" s="2"/>
      <c r="AE36" s="459">
        <f t="shared" si="2"/>
        <v>1.1099999999999999</v>
      </c>
      <c r="AF36" s="460"/>
      <c r="AG36" s="437"/>
      <c r="AH36" s="57"/>
      <c r="AI36" s="57"/>
    </row>
    <row r="37" spans="1:35" s="13" customFormat="1" ht="20.100000000000001" customHeight="1" x14ac:dyDescent="0.25">
      <c r="A37" s="92">
        <v>19</v>
      </c>
      <c r="B37" s="170" t="s">
        <v>233</v>
      </c>
      <c r="C37" s="371" t="s">
        <v>10802</v>
      </c>
      <c r="D37" s="372">
        <v>36.15</v>
      </c>
      <c r="E37" s="372">
        <v>3</v>
      </c>
      <c r="F37" s="170" t="s">
        <v>67</v>
      </c>
      <c r="G37" s="170" t="s">
        <v>298</v>
      </c>
      <c r="H37" s="170" t="s">
        <v>69</v>
      </c>
      <c r="I37" s="170" t="s">
        <v>35</v>
      </c>
      <c r="J37" s="170" t="s">
        <v>10837</v>
      </c>
      <c r="K37" s="170" t="s">
        <v>111</v>
      </c>
      <c r="L37" s="170" t="s">
        <v>10777</v>
      </c>
      <c r="M37" s="170" t="s">
        <v>111</v>
      </c>
      <c r="N37" s="170" t="s">
        <v>10778</v>
      </c>
      <c r="O37" s="368">
        <v>30</v>
      </c>
      <c r="P37" s="170" t="s">
        <v>37</v>
      </c>
      <c r="Q37" s="368">
        <v>0</v>
      </c>
      <c r="R37" s="170" t="s">
        <v>71</v>
      </c>
      <c r="S37" s="373">
        <f>IF(B37="","",ROUND(Iluminação!$C$19,2))</f>
        <v>15.45</v>
      </c>
      <c r="T37" s="373">
        <f>IF(B37="","",IFERROR(VLOOKUP(Início!$C$20,Aux_Lista!A:I,9,FALSE),""))</f>
        <v>15</v>
      </c>
      <c r="U37" s="373">
        <f>IF(ISERROR(VLOOKUP($I37,Aux_Lista!$A$2:$L$13,10,FALSE)^-1),"",VLOOKUP($I37,Aux_Lista!$A$2:$L$13,10,FALSE)^-1)</f>
        <v>0.1</v>
      </c>
      <c r="V37" s="374">
        <f>IF(ISERROR(VLOOKUP($I37,Aux_Lista!$A$2:$L$13,11,FALSE)),"",VLOOKUP($I37,Aux_Lista!$A$2:$L$13,11,FALSE))</f>
        <v>10</v>
      </c>
      <c r="W37" s="454">
        <v>260.37</v>
      </c>
      <c r="X37" s="454">
        <v>307</v>
      </c>
      <c r="Y37" s="456">
        <v>1</v>
      </c>
      <c r="Z37" s="467">
        <f t="shared" si="0"/>
        <v>9412.3755000000001</v>
      </c>
      <c r="AA37" s="467">
        <f t="shared" si="1"/>
        <v>11098.05</v>
      </c>
      <c r="AB37" s="281">
        <f t="shared" si="3"/>
        <v>9412.3755000000001</v>
      </c>
      <c r="AC37" s="281">
        <f t="shared" si="4"/>
        <v>11098.05</v>
      </c>
      <c r="AD37" s="2"/>
      <c r="AE37" s="459">
        <f t="shared" si="2"/>
        <v>108.44999999999999</v>
      </c>
      <c r="AF37" s="460"/>
      <c r="AG37" s="437"/>
      <c r="AH37" s="57"/>
      <c r="AI37" s="57"/>
    </row>
    <row r="38" spans="1:35" s="13" customFormat="1" ht="20.100000000000001" customHeight="1" x14ac:dyDescent="0.25">
      <c r="A38" s="93">
        <v>20</v>
      </c>
      <c r="B38" s="170" t="s">
        <v>233</v>
      </c>
      <c r="C38" s="371" t="s">
        <v>10803</v>
      </c>
      <c r="D38" s="371">
        <v>12.06</v>
      </c>
      <c r="E38" s="372">
        <v>3</v>
      </c>
      <c r="F38" s="170" t="s">
        <v>67</v>
      </c>
      <c r="G38" s="170" t="s">
        <v>298</v>
      </c>
      <c r="H38" s="170" t="s">
        <v>69</v>
      </c>
      <c r="I38" s="170" t="s">
        <v>35</v>
      </c>
      <c r="J38" s="170" t="s">
        <v>10836</v>
      </c>
      <c r="K38" s="170" t="s">
        <v>111</v>
      </c>
      <c r="L38" s="170" t="s">
        <v>10777</v>
      </c>
      <c r="M38" s="170" t="s">
        <v>111</v>
      </c>
      <c r="N38" s="170" t="s">
        <v>6005</v>
      </c>
      <c r="O38" s="369">
        <v>0</v>
      </c>
      <c r="P38" s="170" t="s">
        <v>37</v>
      </c>
      <c r="Q38" s="368">
        <v>0</v>
      </c>
      <c r="R38" s="170" t="s">
        <v>71</v>
      </c>
      <c r="S38" s="373">
        <f>IF(B38="","",ROUND(Iluminação!$C$19,2))</f>
        <v>15.45</v>
      </c>
      <c r="T38" s="373">
        <f>IF(B38="","",IFERROR(VLOOKUP(Início!$C$20,Aux_Lista!A:I,9,FALSE),""))</f>
        <v>15</v>
      </c>
      <c r="U38" s="373">
        <f>IF(ISERROR(VLOOKUP($I38,Aux_Lista!$A$2:$L$13,10,FALSE)^-1),"",VLOOKUP($I38,Aux_Lista!$A$2:$L$13,10,FALSE)^-1)</f>
        <v>0.1</v>
      </c>
      <c r="V38" s="374">
        <f>IF(ISERROR(VLOOKUP($I38,Aux_Lista!$A$2:$L$13,11,FALSE)),"",VLOOKUP($I38,Aux_Lista!$A$2:$L$13,11,FALSE))</f>
        <v>10</v>
      </c>
      <c r="W38" s="454">
        <v>164.62</v>
      </c>
      <c r="X38" s="454">
        <v>184</v>
      </c>
      <c r="Y38" s="456">
        <v>1</v>
      </c>
      <c r="Z38" s="467">
        <f t="shared" si="0"/>
        <v>1985.3172000000002</v>
      </c>
      <c r="AA38" s="467">
        <f t="shared" si="1"/>
        <v>2219.04</v>
      </c>
      <c r="AB38" s="281">
        <f t="shared" si="3"/>
        <v>1985.3172000000002</v>
      </c>
      <c r="AC38" s="281">
        <f t="shared" si="4"/>
        <v>2219.04</v>
      </c>
      <c r="AD38" s="2"/>
      <c r="AE38" s="459">
        <f t="shared" si="2"/>
        <v>36.18</v>
      </c>
      <c r="AG38" s="437"/>
      <c r="AH38" s="57"/>
      <c r="AI38" s="57"/>
    </row>
    <row r="39" spans="1:35" s="13" customFormat="1" ht="20.100000000000001" customHeight="1" x14ac:dyDescent="0.25">
      <c r="A39" s="92">
        <v>21</v>
      </c>
      <c r="B39" s="170" t="s">
        <v>233</v>
      </c>
      <c r="C39" s="371" t="s">
        <v>10804</v>
      </c>
      <c r="D39" s="371">
        <v>5.64</v>
      </c>
      <c r="E39" s="372">
        <v>3</v>
      </c>
      <c r="F39" s="170" t="s">
        <v>67</v>
      </c>
      <c r="G39" s="170" t="s">
        <v>266</v>
      </c>
      <c r="H39" s="170" t="s">
        <v>69</v>
      </c>
      <c r="I39" s="170" t="s">
        <v>35</v>
      </c>
      <c r="J39" s="170" t="s">
        <v>10836</v>
      </c>
      <c r="K39" s="170" t="s">
        <v>111</v>
      </c>
      <c r="L39" s="170" t="s">
        <v>10777</v>
      </c>
      <c r="M39" s="170" t="s">
        <v>111</v>
      </c>
      <c r="N39" s="170" t="s">
        <v>6005</v>
      </c>
      <c r="O39" s="369">
        <v>0</v>
      </c>
      <c r="P39" s="170"/>
      <c r="Q39" s="368">
        <v>0</v>
      </c>
      <c r="R39" s="170" t="s">
        <v>71</v>
      </c>
      <c r="S39" s="373">
        <f>IF(B39="","",ROUND(Iluminação!$C$19,2))</f>
        <v>15.45</v>
      </c>
      <c r="T39" s="373">
        <f>IF(B39="","",IFERROR(VLOOKUP(Início!$C$20,Aux_Lista!A:I,9,FALSE),""))</f>
        <v>15</v>
      </c>
      <c r="U39" s="373">
        <f>IF(ISERROR(VLOOKUP($I39,Aux_Lista!$A$2:$L$13,10,FALSE)^-1),"",VLOOKUP($I39,Aux_Lista!$A$2:$L$13,10,FALSE)^-1)</f>
        <v>0.1</v>
      </c>
      <c r="V39" s="374">
        <f>IF(ISERROR(VLOOKUP($I39,Aux_Lista!$A$2:$L$13,11,FALSE)),"",VLOOKUP($I39,Aux_Lista!$A$2:$L$13,11,FALSE))</f>
        <v>10</v>
      </c>
      <c r="W39" s="104">
        <v>161.01</v>
      </c>
      <c r="X39" s="104">
        <v>187</v>
      </c>
      <c r="Y39" s="456">
        <v>1</v>
      </c>
      <c r="Z39" s="467">
        <f t="shared" si="0"/>
        <v>908.0963999999999</v>
      </c>
      <c r="AA39" s="467">
        <f t="shared" si="1"/>
        <v>1054.6799999999998</v>
      </c>
      <c r="AB39" s="281">
        <f t="shared" si="3"/>
        <v>908.0963999999999</v>
      </c>
      <c r="AC39" s="281">
        <f t="shared" si="4"/>
        <v>1054.6799999999998</v>
      </c>
      <c r="AD39" s="2"/>
      <c r="AE39" s="459">
        <f t="shared" si="2"/>
        <v>16.919999999999998</v>
      </c>
    </row>
    <row r="40" spans="1:35" s="13" customFormat="1" ht="20.100000000000001" customHeight="1" x14ac:dyDescent="0.25">
      <c r="A40" s="93">
        <v>22</v>
      </c>
      <c r="B40" s="170" t="s">
        <v>233</v>
      </c>
      <c r="C40" s="371" t="s">
        <v>10805</v>
      </c>
      <c r="D40" s="372">
        <v>68.97</v>
      </c>
      <c r="E40" s="372">
        <v>3</v>
      </c>
      <c r="F40" s="170" t="s">
        <v>67</v>
      </c>
      <c r="G40" s="170" t="s">
        <v>245</v>
      </c>
      <c r="H40" s="170" t="s">
        <v>69</v>
      </c>
      <c r="I40" s="170" t="s">
        <v>35</v>
      </c>
      <c r="J40" s="170" t="s">
        <v>10836</v>
      </c>
      <c r="K40" s="170" t="s">
        <v>111</v>
      </c>
      <c r="L40" s="170" t="s">
        <v>10777</v>
      </c>
      <c r="M40" s="170" t="s">
        <v>111</v>
      </c>
      <c r="N40" s="170" t="s">
        <v>10778</v>
      </c>
      <c r="O40" s="368">
        <v>7</v>
      </c>
      <c r="P40" s="170"/>
      <c r="Q40" s="368">
        <v>0</v>
      </c>
      <c r="R40" s="170" t="s">
        <v>71</v>
      </c>
      <c r="S40" s="373">
        <f>IF(B40="","",ROUND(Iluminação!$C$19,2))</f>
        <v>15.45</v>
      </c>
      <c r="T40" s="373">
        <f>IF(B40="","",IFERROR(VLOOKUP(Início!$C$20,Aux_Lista!A:I,9,FALSE),""))</f>
        <v>15</v>
      </c>
      <c r="U40" s="373">
        <f>IF(ISERROR(VLOOKUP($I40,Aux_Lista!$A$2:$L$13,10,FALSE)^-1),"",VLOOKUP($I40,Aux_Lista!$A$2:$L$13,10,FALSE)^-1)</f>
        <v>0.1</v>
      </c>
      <c r="V40" s="374">
        <f>IF(ISERROR(VLOOKUP($I40,Aux_Lista!$A$2:$L$13,11,FALSE)),"",VLOOKUP($I40,Aux_Lista!$A$2:$L$13,11,FALSE))</f>
        <v>10</v>
      </c>
      <c r="W40" s="454">
        <v>185.88</v>
      </c>
      <c r="X40" s="454">
        <v>311</v>
      </c>
      <c r="Y40" s="456">
        <v>1</v>
      </c>
      <c r="Z40" s="467">
        <f t="shared" si="0"/>
        <v>12820.143599999999</v>
      </c>
      <c r="AA40" s="467">
        <f t="shared" si="1"/>
        <v>21449.67</v>
      </c>
      <c r="AB40" s="281">
        <f t="shared" si="3"/>
        <v>12820.143599999999</v>
      </c>
      <c r="AC40" s="281">
        <f t="shared" si="4"/>
        <v>21449.67</v>
      </c>
      <c r="AD40" s="2"/>
      <c r="AE40" s="459">
        <f t="shared" si="2"/>
        <v>206.91</v>
      </c>
    </row>
    <row r="41" spans="1:35" s="13" customFormat="1" ht="20.100000000000001" customHeight="1" x14ac:dyDescent="0.25">
      <c r="A41" s="92">
        <v>23</v>
      </c>
      <c r="B41" s="170" t="s">
        <v>233</v>
      </c>
      <c r="C41" s="371" t="s">
        <v>10806</v>
      </c>
      <c r="D41" s="372">
        <v>13.33</v>
      </c>
      <c r="E41" s="372">
        <v>7.62</v>
      </c>
      <c r="F41" s="170" t="s">
        <v>67</v>
      </c>
      <c r="G41" s="170" t="s">
        <v>245</v>
      </c>
      <c r="H41" s="170" t="s">
        <v>69</v>
      </c>
      <c r="I41" s="170" t="s">
        <v>35</v>
      </c>
      <c r="J41" s="170" t="s">
        <v>10836</v>
      </c>
      <c r="K41" s="170" t="s">
        <v>111</v>
      </c>
      <c r="L41" s="170" t="s">
        <v>10777</v>
      </c>
      <c r="M41" s="170" t="s">
        <v>111</v>
      </c>
      <c r="N41" s="170" t="s">
        <v>10835</v>
      </c>
      <c r="O41" s="368">
        <v>7</v>
      </c>
      <c r="P41" s="170"/>
      <c r="Q41" s="368">
        <v>0</v>
      </c>
      <c r="R41" s="170" t="s">
        <v>71</v>
      </c>
      <c r="S41" s="373">
        <f>IF(B41="","",ROUND(Iluminação!$C$19,2))</f>
        <v>15.45</v>
      </c>
      <c r="T41" s="373">
        <f>IF(B41="","",IFERROR(VLOOKUP(Início!$C$20,Aux_Lista!A:I,9,FALSE),""))</f>
        <v>15</v>
      </c>
      <c r="U41" s="373">
        <f>IF(ISERROR(VLOOKUP($I41,Aux_Lista!$A$2:$L$13,10,FALSE)^-1),"",VLOOKUP($I41,Aux_Lista!$A$2:$L$13,10,FALSE)^-1)</f>
        <v>0.1</v>
      </c>
      <c r="V41" s="374">
        <f>IF(ISERROR(VLOOKUP($I41,Aux_Lista!$A$2:$L$13,11,FALSE)),"",VLOOKUP($I41,Aux_Lista!$A$2:$L$13,11,FALSE))</f>
        <v>10</v>
      </c>
      <c r="W41" s="454">
        <v>242.9</v>
      </c>
      <c r="X41" s="454">
        <v>758</v>
      </c>
      <c r="Y41" s="456">
        <v>1</v>
      </c>
      <c r="Z41" s="467">
        <f t="shared" si="0"/>
        <v>3237.857</v>
      </c>
      <c r="AA41" s="467">
        <f t="shared" si="1"/>
        <v>10104.14</v>
      </c>
      <c r="AB41" s="281">
        <f t="shared" si="3"/>
        <v>3237.857</v>
      </c>
      <c r="AC41" s="281">
        <f t="shared" si="4"/>
        <v>10104.14</v>
      </c>
      <c r="AD41" s="2"/>
      <c r="AE41" s="459">
        <f t="shared" si="2"/>
        <v>101.5746</v>
      </c>
    </row>
    <row r="42" spans="1:35" s="13" customFormat="1" ht="20.100000000000001" customHeight="1" x14ac:dyDescent="0.25">
      <c r="A42" s="93">
        <v>24</v>
      </c>
      <c r="B42" s="170" t="s">
        <v>66</v>
      </c>
      <c r="C42" s="371" t="s">
        <v>10807</v>
      </c>
      <c r="D42" s="372">
        <v>19.079999999999998</v>
      </c>
      <c r="E42" s="372">
        <v>3.37</v>
      </c>
      <c r="F42" s="170" t="s">
        <v>75</v>
      </c>
      <c r="G42" s="170" t="s">
        <v>75</v>
      </c>
      <c r="H42" s="170" t="s">
        <v>69</v>
      </c>
      <c r="I42" s="170" t="s">
        <v>35</v>
      </c>
      <c r="J42" s="170"/>
      <c r="K42" s="170" t="s">
        <v>111</v>
      </c>
      <c r="L42" s="170" t="s">
        <v>10776</v>
      </c>
      <c r="M42" s="170" t="s">
        <v>111</v>
      </c>
      <c r="N42" s="170"/>
      <c r="O42" s="368">
        <v>0</v>
      </c>
      <c r="P42" s="170"/>
      <c r="Q42" s="368">
        <v>0</v>
      </c>
      <c r="R42" s="170" t="s">
        <v>71</v>
      </c>
      <c r="S42" s="373">
        <f>IF(B42="","",ROUND(Iluminação!$C$19,2))</f>
        <v>15.45</v>
      </c>
      <c r="T42" s="373">
        <f>IF(B42="","",IFERROR(VLOOKUP(Início!$C$20,Aux_Lista!A:I,9,FALSE),""))</f>
        <v>15</v>
      </c>
      <c r="U42" s="373">
        <f>IF(ISERROR(VLOOKUP($I42,Aux_Lista!$A$2:$L$13,10,FALSE)^-1),"",VLOOKUP($I42,Aux_Lista!$A$2:$L$13,10,FALSE)^-1)</f>
        <v>0.1</v>
      </c>
      <c r="V42" s="374">
        <f>IF(ISERROR(VLOOKUP($I42,Aux_Lista!$A$2:$L$13,11,FALSE)),"",VLOOKUP($I42,Aux_Lista!$A$2:$L$13,11,FALSE))</f>
        <v>10</v>
      </c>
      <c r="W42" s="454">
        <v>139.29</v>
      </c>
      <c r="X42" s="454">
        <v>226</v>
      </c>
      <c r="Y42" s="456">
        <v>1</v>
      </c>
      <c r="Z42" s="467">
        <f t="shared" si="0"/>
        <v>2657.6531999999997</v>
      </c>
      <c r="AA42" s="467">
        <f t="shared" si="1"/>
        <v>4312.08</v>
      </c>
      <c r="AB42" s="281">
        <f t="shared" si="3"/>
        <v>2657.6531999999997</v>
      </c>
      <c r="AC42" s="281">
        <f t="shared" si="4"/>
        <v>4312.08</v>
      </c>
      <c r="AD42" s="2"/>
      <c r="AE42" s="459">
        <f t="shared" si="2"/>
        <v>64.299599999999998</v>
      </c>
    </row>
    <row r="43" spans="1:35" s="13" customFormat="1" ht="20.100000000000001" customHeight="1" x14ac:dyDescent="0.25">
      <c r="A43" s="92">
        <v>25</v>
      </c>
      <c r="B43" s="170" t="s">
        <v>66</v>
      </c>
      <c r="C43" s="371" t="s">
        <v>10808</v>
      </c>
      <c r="D43" s="372">
        <v>10.55</v>
      </c>
      <c r="E43" s="372">
        <v>8.4700000000000006</v>
      </c>
      <c r="F43" s="170" t="s">
        <v>75</v>
      </c>
      <c r="G43" s="170" t="s">
        <v>75</v>
      </c>
      <c r="H43" s="170" t="s">
        <v>69</v>
      </c>
      <c r="I43" s="170" t="s">
        <v>35</v>
      </c>
      <c r="J43" s="170"/>
      <c r="K43" s="170" t="s">
        <v>111</v>
      </c>
      <c r="L43" s="170" t="s">
        <v>10776</v>
      </c>
      <c r="M43" s="170" t="s">
        <v>111</v>
      </c>
      <c r="N43" s="170"/>
      <c r="O43" s="368">
        <v>0</v>
      </c>
      <c r="P43" s="170"/>
      <c r="Q43" s="368">
        <v>0</v>
      </c>
      <c r="R43" s="170" t="s">
        <v>71</v>
      </c>
      <c r="S43" s="373">
        <f>IF(B43="","",ROUND(Iluminação!$C$19,2))</f>
        <v>15.45</v>
      </c>
      <c r="T43" s="373">
        <f>IF(B43="","",IFERROR(VLOOKUP(Início!$C$20,Aux_Lista!A:I,9,FALSE),""))</f>
        <v>15</v>
      </c>
      <c r="U43" s="373">
        <f>IF(ISERROR(VLOOKUP($I43,Aux_Lista!$A$2:$L$13,10,FALSE)^-1),"",VLOOKUP($I43,Aux_Lista!$A$2:$L$13,10,FALSE)^-1)</f>
        <v>0.1</v>
      </c>
      <c r="V43" s="374">
        <f>IF(ISERROR(VLOOKUP($I43,Aux_Lista!$A$2:$L$13,11,FALSE)),"",VLOOKUP($I43,Aux_Lista!$A$2:$L$13,11,FALSE))</f>
        <v>10</v>
      </c>
      <c r="W43" s="454">
        <v>185.9</v>
      </c>
      <c r="X43" s="454">
        <v>270</v>
      </c>
      <c r="Y43" s="456">
        <v>1</v>
      </c>
      <c r="Z43" s="467">
        <f t="shared" si="0"/>
        <v>1961.2450000000001</v>
      </c>
      <c r="AA43" s="467">
        <f t="shared" si="1"/>
        <v>2848.5</v>
      </c>
      <c r="AB43" s="281">
        <f t="shared" si="3"/>
        <v>1961.2450000000001</v>
      </c>
      <c r="AC43" s="281">
        <f t="shared" si="4"/>
        <v>2848.5</v>
      </c>
      <c r="AD43" s="2"/>
      <c r="AE43" s="459">
        <f t="shared" si="2"/>
        <v>89.358500000000006</v>
      </c>
    </row>
    <row r="44" spans="1:35" s="13" customFormat="1" ht="20.100000000000001" customHeight="1" x14ac:dyDescent="0.25">
      <c r="A44" s="93">
        <v>26</v>
      </c>
      <c r="B44" s="170" t="s">
        <v>66</v>
      </c>
      <c r="C44" s="371" t="s">
        <v>10809</v>
      </c>
      <c r="D44" s="372">
        <v>26.04</v>
      </c>
      <c r="E44" s="372">
        <v>9.92</v>
      </c>
      <c r="F44" s="170" t="s">
        <v>75</v>
      </c>
      <c r="G44" s="170" t="s">
        <v>75</v>
      </c>
      <c r="H44" s="170" t="s">
        <v>69</v>
      </c>
      <c r="I44" s="170" t="s">
        <v>35</v>
      </c>
      <c r="J44" s="170"/>
      <c r="K44" s="170" t="s">
        <v>111</v>
      </c>
      <c r="L44" s="170" t="s">
        <v>10776</v>
      </c>
      <c r="M44" s="170" t="s">
        <v>111</v>
      </c>
      <c r="N44" s="170"/>
      <c r="O44" s="368">
        <v>0</v>
      </c>
      <c r="P44" s="170"/>
      <c r="Q44" s="368">
        <v>0</v>
      </c>
      <c r="R44" s="170" t="s">
        <v>71</v>
      </c>
      <c r="S44" s="373">
        <f>IF(B44="","",ROUND(Iluminação!$C$19,2))</f>
        <v>15.45</v>
      </c>
      <c r="T44" s="373">
        <f>IF(B44="","",IFERROR(VLOOKUP(Início!$C$20,Aux_Lista!A:I,9,FALSE),""))</f>
        <v>15</v>
      </c>
      <c r="U44" s="373">
        <f>IF(ISERROR(VLOOKUP($I44,Aux_Lista!$A$2:$L$13,10,FALSE)^-1),"",VLOOKUP($I44,Aux_Lista!$A$2:$L$13,10,FALSE)^-1)</f>
        <v>0.1</v>
      </c>
      <c r="V44" s="374">
        <f>IF(ISERROR(VLOOKUP($I44,Aux_Lista!$A$2:$L$13,11,FALSE)),"",VLOOKUP($I44,Aux_Lista!$A$2:$L$13,11,FALSE))</f>
        <v>10</v>
      </c>
      <c r="W44" s="454">
        <v>174.52</v>
      </c>
      <c r="X44" s="454">
        <v>247</v>
      </c>
      <c r="Y44" s="456">
        <v>1</v>
      </c>
      <c r="Z44" s="467">
        <f t="shared" si="0"/>
        <v>4544.5007999999998</v>
      </c>
      <c r="AA44" s="467">
        <f t="shared" si="1"/>
        <v>6431.88</v>
      </c>
      <c r="AB44" s="281">
        <f t="shared" si="3"/>
        <v>4544.5007999999998</v>
      </c>
      <c r="AC44" s="281">
        <f t="shared" si="4"/>
        <v>6431.88</v>
      </c>
      <c r="AD44" s="2"/>
      <c r="AE44" s="459">
        <f t="shared" si="2"/>
        <v>258.3168</v>
      </c>
    </row>
    <row r="45" spans="1:35" s="13" customFormat="1" ht="20.100000000000001" customHeight="1" x14ac:dyDescent="0.25">
      <c r="A45" s="92">
        <v>27</v>
      </c>
      <c r="B45" s="170" t="s">
        <v>233</v>
      </c>
      <c r="C45" s="371" t="s">
        <v>10810</v>
      </c>
      <c r="D45" s="372">
        <v>287.04000000000002</v>
      </c>
      <c r="E45" s="372">
        <v>3</v>
      </c>
      <c r="F45" s="170" t="s">
        <v>75</v>
      </c>
      <c r="G45" s="170" t="s">
        <v>75</v>
      </c>
      <c r="H45" s="170" t="s">
        <v>69</v>
      </c>
      <c r="I45" s="170" t="s">
        <v>35</v>
      </c>
      <c r="J45" s="170"/>
      <c r="K45" s="170" t="s">
        <v>111</v>
      </c>
      <c r="L45" s="170" t="s">
        <v>10777</v>
      </c>
      <c r="M45" s="170" t="s">
        <v>111</v>
      </c>
      <c r="N45" s="170"/>
      <c r="O45" s="368">
        <v>0</v>
      </c>
      <c r="P45" s="170"/>
      <c r="Q45" s="368">
        <v>0</v>
      </c>
      <c r="R45" s="170" t="s">
        <v>71</v>
      </c>
      <c r="S45" s="373">
        <f>IF(B45="","",ROUND(Iluminação!$C$19,2))</f>
        <v>15.45</v>
      </c>
      <c r="T45" s="373">
        <f>IF(B45="","",IFERROR(VLOOKUP(Início!$C$20,Aux_Lista!A:I,9,FALSE),""))</f>
        <v>15</v>
      </c>
      <c r="U45" s="373">
        <f>IF(ISERROR(VLOOKUP($I45,Aux_Lista!$A$2:$L$13,10,FALSE)^-1),"",VLOOKUP($I45,Aux_Lista!$A$2:$L$13,10,FALSE)^-1)</f>
        <v>0.1</v>
      </c>
      <c r="V45" s="374">
        <f>IF(ISERROR(VLOOKUP($I45,Aux_Lista!$A$2:$L$13,11,FALSE)),"",VLOOKUP($I45,Aux_Lista!$A$2:$L$13,11,FALSE))</f>
        <v>10</v>
      </c>
      <c r="W45" s="454">
        <v>140.06</v>
      </c>
      <c r="X45" s="454">
        <v>137</v>
      </c>
      <c r="Y45" s="456">
        <v>1</v>
      </c>
      <c r="Z45" s="467">
        <f t="shared" si="0"/>
        <v>40202.822400000005</v>
      </c>
      <c r="AA45" s="467">
        <f t="shared" si="1"/>
        <v>39324.480000000003</v>
      </c>
      <c r="AB45" s="281">
        <f t="shared" si="3"/>
        <v>40202.822400000005</v>
      </c>
      <c r="AC45" s="281">
        <f t="shared" si="4"/>
        <v>39324.480000000003</v>
      </c>
      <c r="AD45" s="2"/>
      <c r="AE45" s="459">
        <f t="shared" si="2"/>
        <v>861.12000000000012</v>
      </c>
    </row>
    <row r="46" spans="1:35" s="13" customFormat="1" ht="20.100000000000001" customHeight="1" x14ac:dyDescent="0.25">
      <c r="A46" s="93">
        <v>28</v>
      </c>
      <c r="B46" s="170" t="s">
        <v>299</v>
      </c>
      <c r="C46" s="371" t="s">
        <v>10811</v>
      </c>
      <c r="D46" s="372">
        <v>1.56</v>
      </c>
      <c r="E46" s="372">
        <v>3</v>
      </c>
      <c r="F46" s="170" t="s">
        <v>67</v>
      </c>
      <c r="G46" s="170" t="s">
        <v>298</v>
      </c>
      <c r="H46" s="170" t="s">
        <v>69</v>
      </c>
      <c r="I46" s="170" t="s">
        <v>35</v>
      </c>
      <c r="J46" s="170" t="s">
        <v>10837</v>
      </c>
      <c r="K46" s="170" t="s">
        <v>111</v>
      </c>
      <c r="L46" s="170" t="s">
        <v>10776</v>
      </c>
      <c r="M46" s="170" t="s">
        <v>111</v>
      </c>
      <c r="N46" s="170" t="s">
        <v>6005</v>
      </c>
      <c r="O46" s="368">
        <v>0</v>
      </c>
      <c r="P46" s="170"/>
      <c r="Q46" s="368">
        <v>0</v>
      </c>
      <c r="R46" s="170" t="s">
        <v>71</v>
      </c>
      <c r="S46" s="373">
        <f>IF(B46="","",ROUND(Iluminação!$C$19,2))</f>
        <v>15.45</v>
      </c>
      <c r="T46" s="373">
        <f>IF(B46="","",IFERROR(VLOOKUP(Início!$C$20,Aux_Lista!A:I,9,FALSE),""))</f>
        <v>15</v>
      </c>
      <c r="U46" s="373">
        <f>IF(ISERROR(VLOOKUP($I46,Aux_Lista!$A$2:$L$13,10,FALSE)^-1),"",VLOOKUP($I46,Aux_Lista!$A$2:$L$13,10,FALSE)^-1)</f>
        <v>0.1</v>
      </c>
      <c r="V46" s="374">
        <f>IF(ISERROR(VLOOKUP($I46,Aux_Lista!$A$2:$L$13,11,FALSE)),"",VLOOKUP($I46,Aux_Lista!$A$2:$L$13,11,FALSE))</f>
        <v>10</v>
      </c>
      <c r="W46" s="454">
        <v>198</v>
      </c>
      <c r="X46" s="454">
        <v>275</v>
      </c>
      <c r="Y46" s="456">
        <v>1</v>
      </c>
      <c r="Z46" s="467">
        <f t="shared" si="0"/>
        <v>308.88</v>
      </c>
      <c r="AA46" s="467">
        <f t="shared" si="1"/>
        <v>429</v>
      </c>
      <c r="AB46" s="281">
        <f t="shared" si="3"/>
        <v>308.88</v>
      </c>
      <c r="AC46" s="281">
        <f t="shared" si="4"/>
        <v>429</v>
      </c>
      <c r="AD46" s="2"/>
      <c r="AE46" s="459">
        <f t="shared" si="2"/>
        <v>4.68</v>
      </c>
    </row>
    <row r="47" spans="1:35" s="13" customFormat="1" ht="20.100000000000001" customHeight="1" x14ac:dyDescent="0.25">
      <c r="A47" s="92">
        <v>29</v>
      </c>
      <c r="B47" s="170" t="s">
        <v>299</v>
      </c>
      <c r="C47" s="371" t="s">
        <v>10812</v>
      </c>
      <c r="D47" s="372">
        <v>38.340000000000003</v>
      </c>
      <c r="E47" s="372">
        <v>3</v>
      </c>
      <c r="F47" s="170" t="s">
        <v>67</v>
      </c>
      <c r="G47" s="170" t="s">
        <v>245</v>
      </c>
      <c r="H47" s="170" t="s">
        <v>69</v>
      </c>
      <c r="I47" s="170" t="s">
        <v>35</v>
      </c>
      <c r="J47" s="170" t="s">
        <v>10837</v>
      </c>
      <c r="K47" s="170" t="s">
        <v>111</v>
      </c>
      <c r="L47" s="170" t="s">
        <v>10776</v>
      </c>
      <c r="M47" s="170" t="s">
        <v>111</v>
      </c>
      <c r="N47" s="170" t="s">
        <v>10778</v>
      </c>
      <c r="O47" s="368">
        <v>8</v>
      </c>
      <c r="P47" s="170"/>
      <c r="Q47" s="368">
        <v>0</v>
      </c>
      <c r="R47" s="170" t="s">
        <v>71</v>
      </c>
      <c r="S47" s="373">
        <f>IF(B47="","",ROUND(Iluminação!$C$19,2))</f>
        <v>15.45</v>
      </c>
      <c r="T47" s="373">
        <f>IF(B47="","",IFERROR(VLOOKUP(Início!$C$20,Aux_Lista!A:I,9,FALSE),""))</f>
        <v>15</v>
      </c>
      <c r="U47" s="373">
        <f>IF(ISERROR(VLOOKUP($I47,Aux_Lista!$A$2:$L$13,10,FALSE)^-1),"",VLOOKUP($I47,Aux_Lista!$A$2:$L$13,10,FALSE)^-1)</f>
        <v>0.1</v>
      </c>
      <c r="V47" s="374">
        <f>IF(ISERROR(VLOOKUP($I47,Aux_Lista!$A$2:$L$13,11,FALSE)),"",VLOOKUP($I47,Aux_Lista!$A$2:$L$13,11,FALSE))</f>
        <v>10</v>
      </c>
      <c r="W47" s="454">
        <v>207.69</v>
      </c>
      <c r="X47" s="454">
        <v>367</v>
      </c>
      <c r="Y47" s="456">
        <v>1</v>
      </c>
      <c r="Z47" s="467">
        <f t="shared" si="0"/>
        <v>7962.834600000001</v>
      </c>
      <c r="AA47" s="467">
        <f t="shared" si="1"/>
        <v>14070.78</v>
      </c>
      <c r="AB47" s="281">
        <f t="shared" si="3"/>
        <v>7962.834600000001</v>
      </c>
      <c r="AC47" s="281">
        <f t="shared" si="4"/>
        <v>14070.78</v>
      </c>
      <c r="AD47" s="2"/>
      <c r="AE47" s="459">
        <f t="shared" si="2"/>
        <v>115.02000000000001</v>
      </c>
    </row>
    <row r="48" spans="1:35" s="13" customFormat="1" ht="20.100000000000001" customHeight="1" x14ac:dyDescent="0.25">
      <c r="A48" s="93">
        <v>30</v>
      </c>
      <c r="B48" s="170" t="s">
        <v>299</v>
      </c>
      <c r="C48" s="371" t="s">
        <v>10813</v>
      </c>
      <c r="D48" s="372">
        <v>60.35</v>
      </c>
      <c r="E48" s="372">
        <v>3</v>
      </c>
      <c r="F48" s="170" t="s">
        <v>67</v>
      </c>
      <c r="G48" s="170" t="s">
        <v>266</v>
      </c>
      <c r="H48" s="170" t="s">
        <v>69</v>
      </c>
      <c r="I48" s="170" t="s">
        <v>35</v>
      </c>
      <c r="J48" s="170" t="s">
        <v>10837</v>
      </c>
      <c r="K48" s="170" t="s">
        <v>111</v>
      </c>
      <c r="L48" s="170" t="s">
        <v>10776</v>
      </c>
      <c r="M48" s="170" t="s">
        <v>111</v>
      </c>
      <c r="N48" s="170" t="s">
        <v>10778</v>
      </c>
      <c r="O48" s="368">
        <v>16</v>
      </c>
      <c r="P48" s="170"/>
      <c r="Q48" s="368">
        <v>0</v>
      </c>
      <c r="R48" s="170" t="s">
        <v>71</v>
      </c>
      <c r="S48" s="373">
        <f>IF(B48="","",ROUND(Iluminação!$C$19,2))</f>
        <v>15.45</v>
      </c>
      <c r="T48" s="373">
        <f>IF(B48="","",IFERROR(VLOOKUP(Início!$C$20,Aux_Lista!A:I,9,FALSE),""))</f>
        <v>15</v>
      </c>
      <c r="U48" s="373">
        <f>IF(ISERROR(VLOOKUP($I48,Aux_Lista!$A$2:$L$13,10,FALSE)^-1),"",VLOOKUP($I48,Aux_Lista!$A$2:$L$13,10,FALSE)^-1)</f>
        <v>0.1</v>
      </c>
      <c r="V48" s="374">
        <f>IF(ISERROR(VLOOKUP($I48,Aux_Lista!$A$2:$L$13,11,FALSE)),"",VLOOKUP($I48,Aux_Lista!$A$2:$L$13,11,FALSE))</f>
        <v>10</v>
      </c>
      <c r="W48" s="454">
        <v>209.17</v>
      </c>
      <c r="X48" s="454">
        <v>329</v>
      </c>
      <c r="Y48" s="456">
        <v>1</v>
      </c>
      <c r="Z48" s="467">
        <f t="shared" si="0"/>
        <v>12623.4095</v>
      </c>
      <c r="AA48" s="467">
        <f t="shared" si="1"/>
        <v>19855.150000000001</v>
      </c>
      <c r="AB48" s="281">
        <f t="shared" si="3"/>
        <v>12623.4095</v>
      </c>
      <c r="AC48" s="281">
        <f t="shared" si="4"/>
        <v>19855.150000000001</v>
      </c>
      <c r="AD48" s="2"/>
      <c r="AE48" s="459">
        <f t="shared" si="2"/>
        <v>181.05</v>
      </c>
    </row>
    <row r="49" spans="1:31" s="13" customFormat="1" ht="20.100000000000001" customHeight="1" x14ac:dyDescent="0.25">
      <c r="A49" s="92">
        <v>31</v>
      </c>
      <c r="B49" s="170" t="s">
        <v>299</v>
      </c>
      <c r="C49" s="371" t="s">
        <v>10814</v>
      </c>
      <c r="D49" s="372">
        <v>0.37</v>
      </c>
      <c r="E49" s="372">
        <v>3</v>
      </c>
      <c r="F49" s="170" t="s">
        <v>67</v>
      </c>
      <c r="G49" s="170" t="s">
        <v>308</v>
      </c>
      <c r="H49" s="170" t="s">
        <v>69</v>
      </c>
      <c r="I49" s="170" t="s">
        <v>35</v>
      </c>
      <c r="J49" s="170" t="s">
        <v>10837</v>
      </c>
      <c r="K49" s="170" t="s">
        <v>111</v>
      </c>
      <c r="L49" s="170" t="s">
        <v>10776</v>
      </c>
      <c r="M49" s="170" t="s">
        <v>111</v>
      </c>
      <c r="N49" s="170" t="s">
        <v>6005</v>
      </c>
      <c r="O49" s="368">
        <v>0</v>
      </c>
      <c r="P49" s="170"/>
      <c r="Q49" s="368">
        <v>0</v>
      </c>
      <c r="R49" s="170" t="s">
        <v>71</v>
      </c>
      <c r="S49" s="373">
        <f>IF(B49="","",ROUND(Iluminação!$C$19,2))</f>
        <v>15.45</v>
      </c>
      <c r="T49" s="373">
        <f>IF(B49="","",IFERROR(VLOOKUP(Início!$C$20,Aux_Lista!A:I,9,FALSE),""))</f>
        <v>15</v>
      </c>
      <c r="U49" s="373">
        <f>IF(ISERROR(VLOOKUP($I49,Aux_Lista!$A$2:$L$13,10,FALSE)^-1),"",VLOOKUP($I49,Aux_Lista!$A$2:$L$13,10,FALSE)^-1)</f>
        <v>0.1</v>
      </c>
      <c r="V49" s="374">
        <f>IF(ISERROR(VLOOKUP($I49,Aux_Lista!$A$2:$L$13,11,FALSE)),"",VLOOKUP($I49,Aux_Lista!$A$2:$L$13,11,FALSE))</f>
        <v>10</v>
      </c>
      <c r="W49" s="454">
        <v>195.48</v>
      </c>
      <c r="X49" s="454">
        <v>274</v>
      </c>
      <c r="Y49" s="456">
        <v>1</v>
      </c>
      <c r="Z49" s="467">
        <f t="shared" si="0"/>
        <v>72.32759999999999</v>
      </c>
      <c r="AA49" s="467">
        <f t="shared" si="1"/>
        <v>101.38</v>
      </c>
      <c r="AB49" s="281">
        <f t="shared" si="3"/>
        <v>72.32759999999999</v>
      </c>
      <c r="AC49" s="281">
        <f t="shared" si="4"/>
        <v>101.38</v>
      </c>
      <c r="AD49" s="2"/>
      <c r="AE49" s="459">
        <f t="shared" si="2"/>
        <v>1.1099999999999999</v>
      </c>
    </row>
    <row r="50" spans="1:31" s="13" customFormat="1" ht="20.100000000000001" customHeight="1" x14ac:dyDescent="0.25">
      <c r="A50" s="93">
        <v>32</v>
      </c>
      <c r="B50" s="170" t="s">
        <v>299</v>
      </c>
      <c r="C50" s="371" t="s">
        <v>10815</v>
      </c>
      <c r="D50" s="372">
        <v>9.9</v>
      </c>
      <c r="E50" s="372">
        <v>3</v>
      </c>
      <c r="F50" s="170" t="s">
        <v>67</v>
      </c>
      <c r="G50" s="170" t="s">
        <v>266</v>
      </c>
      <c r="H50" s="170" t="s">
        <v>69</v>
      </c>
      <c r="I50" s="170" t="s">
        <v>35</v>
      </c>
      <c r="J50" s="170" t="s">
        <v>10837</v>
      </c>
      <c r="K50" s="170" t="s">
        <v>111</v>
      </c>
      <c r="L50" s="170" t="s">
        <v>10776</v>
      </c>
      <c r="M50" s="170" t="s">
        <v>111</v>
      </c>
      <c r="N50" s="170" t="s">
        <v>6005</v>
      </c>
      <c r="O50" s="368">
        <v>0</v>
      </c>
      <c r="P50" s="170"/>
      <c r="Q50" s="368">
        <v>0</v>
      </c>
      <c r="R50" s="170" t="s">
        <v>71</v>
      </c>
      <c r="S50" s="373">
        <f>IF(B50="","",ROUND(Iluminação!$C$19,2))</f>
        <v>15.45</v>
      </c>
      <c r="T50" s="373">
        <f>IF(B50="","",IFERROR(VLOOKUP(Início!$C$20,Aux_Lista!A:I,9,FALSE),""))</f>
        <v>15</v>
      </c>
      <c r="U50" s="373">
        <f>IF(ISERROR(VLOOKUP($I50,Aux_Lista!$A$2:$L$13,10,FALSE)^-1),"",VLOOKUP($I50,Aux_Lista!$A$2:$L$13,10,FALSE)^-1)</f>
        <v>0.1</v>
      </c>
      <c r="V50" s="374">
        <f>IF(ISERROR(VLOOKUP($I50,Aux_Lista!$A$2:$L$13,11,FALSE)),"",VLOOKUP($I50,Aux_Lista!$A$2:$L$13,11,FALSE))</f>
        <v>10</v>
      </c>
      <c r="W50" s="454">
        <v>179.09</v>
      </c>
      <c r="X50" s="454">
        <v>246</v>
      </c>
      <c r="Y50" s="456">
        <v>1</v>
      </c>
      <c r="Z50" s="467">
        <f t="shared" si="0"/>
        <v>1772.991</v>
      </c>
      <c r="AA50" s="467">
        <f t="shared" si="1"/>
        <v>2435.4</v>
      </c>
      <c r="AB50" s="281">
        <f t="shared" si="3"/>
        <v>1772.991</v>
      </c>
      <c r="AC50" s="281">
        <f t="shared" si="4"/>
        <v>2435.4</v>
      </c>
      <c r="AD50" s="2"/>
      <c r="AE50" s="459">
        <f t="shared" si="2"/>
        <v>29.700000000000003</v>
      </c>
    </row>
    <row r="51" spans="1:31" s="13" customFormat="1" ht="20.100000000000001" customHeight="1" x14ac:dyDescent="0.25">
      <c r="A51" s="92">
        <v>33</v>
      </c>
      <c r="B51" s="170" t="s">
        <v>299</v>
      </c>
      <c r="C51" s="371" t="s">
        <v>10816</v>
      </c>
      <c r="D51" s="372">
        <v>37.21</v>
      </c>
      <c r="E51" s="372">
        <v>3</v>
      </c>
      <c r="F51" s="170" t="s">
        <v>67</v>
      </c>
      <c r="G51" s="170" t="s">
        <v>308</v>
      </c>
      <c r="H51" s="170" t="s">
        <v>69</v>
      </c>
      <c r="I51" s="170" t="s">
        <v>35</v>
      </c>
      <c r="J51" s="170" t="s">
        <v>10837</v>
      </c>
      <c r="K51" s="170" t="s">
        <v>111</v>
      </c>
      <c r="L51" s="170" t="s">
        <v>10776</v>
      </c>
      <c r="M51" s="170" t="s">
        <v>111</v>
      </c>
      <c r="N51" s="170" t="s">
        <v>10778</v>
      </c>
      <c r="O51" s="368">
        <v>14</v>
      </c>
      <c r="P51" s="170"/>
      <c r="Q51" s="368">
        <v>0</v>
      </c>
      <c r="R51" s="170" t="s">
        <v>71</v>
      </c>
      <c r="S51" s="373">
        <f>IF(B51="","",ROUND(Iluminação!$C$19,2))</f>
        <v>15.45</v>
      </c>
      <c r="T51" s="373">
        <f>IF(B51="","",IFERROR(VLOOKUP(Início!$C$20,Aux_Lista!A:I,9,FALSE),""))</f>
        <v>15</v>
      </c>
      <c r="U51" s="373">
        <f>IF(ISERROR(VLOOKUP($I51,Aux_Lista!$A$2:$L$13,10,FALSE)^-1),"",VLOOKUP($I51,Aux_Lista!$A$2:$L$13,10,FALSE)^-1)</f>
        <v>0.1</v>
      </c>
      <c r="V51" s="374">
        <f>IF(ISERROR(VLOOKUP($I51,Aux_Lista!$A$2:$L$13,11,FALSE)),"",VLOOKUP($I51,Aux_Lista!$A$2:$L$13,11,FALSE))</f>
        <v>10</v>
      </c>
      <c r="W51" s="454">
        <v>210.38</v>
      </c>
      <c r="X51" s="454">
        <v>330</v>
      </c>
      <c r="Y51" s="456">
        <v>1</v>
      </c>
      <c r="Z51" s="467">
        <f t="shared" ref="Z51:Z82" si="5">IF(ISNUMBER(W51),W51*D51,"")</f>
        <v>7828.2398000000003</v>
      </c>
      <c r="AA51" s="467">
        <f t="shared" ref="AA51:AA82" si="6">IF(ISNUMBER(X51),X51*D51,"")</f>
        <v>12279.300000000001</v>
      </c>
      <c r="AB51" s="281">
        <f t="shared" si="3"/>
        <v>7828.2398000000003</v>
      </c>
      <c r="AC51" s="281">
        <f t="shared" si="4"/>
        <v>12279.300000000001</v>
      </c>
      <c r="AD51" s="2"/>
      <c r="AE51" s="459">
        <f t="shared" ref="AE51:AE83" si="7">D51*E51</f>
        <v>111.63</v>
      </c>
    </row>
    <row r="52" spans="1:31" s="13" customFormat="1" ht="20.100000000000001" customHeight="1" x14ac:dyDescent="0.25">
      <c r="A52" s="93">
        <v>34</v>
      </c>
      <c r="B52" s="170" t="s">
        <v>299</v>
      </c>
      <c r="C52" s="371" t="s">
        <v>10817</v>
      </c>
      <c r="D52" s="372">
        <v>36.81</v>
      </c>
      <c r="E52" s="372">
        <v>3</v>
      </c>
      <c r="F52" s="170" t="s">
        <v>67</v>
      </c>
      <c r="G52" s="170" t="s">
        <v>308</v>
      </c>
      <c r="H52" s="170" t="s">
        <v>69</v>
      </c>
      <c r="I52" s="170" t="s">
        <v>35</v>
      </c>
      <c r="J52" s="170" t="s">
        <v>10837</v>
      </c>
      <c r="K52" s="170" t="s">
        <v>111</v>
      </c>
      <c r="L52" s="170" t="s">
        <v>10776</v>
      </c>
      <c r="M52" s="170" t="s">
        <v>111</v>
      </c>
      <c r="N52" s="170" t="s">
        <v>10778</v>
      </c>
      <c r="O52" s="368">
        <v>14</v>
      </c>
      <c r="P52" s="170"/>
      <c r="Q52" s="368">
        <v>0</v>
      </c>
      <c r="R52" s="170" t="s">
        <v>71</v>
      </c>
      <c r="S52" s="373">
        <f>IF(B52="","",ROUND(Iluminação!$C$19,2))</f>
        <v>15.45</v>
      </c>
      <c r="T52" s="373">
        <f>IF(B52="","",IFERROR(VLOOKUP(Início!$C$20,Aux_Lista!A:I,9,FALSE),""))</f>
        <v>15</v>
      </c>
      <c r="U52" s="373">
        <f>IF(ISERROR(VLOOKUP($I52,Aux_Lista!$A$2:$L$13,10,FALSE)^-1),"",VLOOKUP($I52,Aux_Lista!$A$2:$L$13,10,FALSE)^-1)</f>
        <v>0.1</v>
      </c>
      <c r="V52" s="374">
        <f>IF(ISERROR(VLOOKUP($I52,Aux_Lista!$A$2:$L$13,11,FALSE)),"",VLOOKUP($I52,Aux_Lista!$A$2:$L$13,11,FALSE))</f>
        <v>10</v>
      </c>
      <c r="W52" s="454">
        <v>210.62</v>
      </c>
      <c r="X52" s="454">
        <v>330</v>
      </c>
      <c r="Y52" s="456">
        <v>1</v>
      </c>
      <c r="Z52" s="467">
        <f t="shared" si="5"/>
        <v>7752.9222000000009</v>
      </c>
      <c r="AA52" s="467">
        <f t="shared" si="6"/>
        <v>12147.300000000001</v>
      </c>
      <c r="AB52" s="281">
        <f t="shared" si="3"/>
        <v>7752.9222000000009</v>
      </c>
      <c r="AC52" s="281">
        <f t="shared" si="4"/>
        <v>12147.300000000001</v>
      </c>
      <c r="AD52" s="2"/>
      <c r="AE52" s="459">
        <f t="shared" si="7"/>
        <v>110.43</v>
      </c>
    </row>
    <row r="53" spans="1:31" s="13" customFormat="1" ht="20.100000000000001" customHeight="1" x14ac:dyDescent="0.25">
      <c r="A53" s="92">
        <v>35</v>
      </c>
      <c r="B53" s="170" t="s">
        <v>299</v>
      </c>
      <c r="C53" s="371" t="s">
        <v>10818</v>
      </c>
      <c r="D53" s="372">
        <v>10.029999999999999</v>
      </c>
      <c r="E53" s="372">
        <v>3</v>
      </c>
      <c r="F53" s="170" t="s">
        <v>67</v>
      </c>
      <c r="G53" s="170" t="s">
        <v>298</v>
      </c>
      <c r="H53" s="170" t="s">
        <v>69</v>
      </c>
      <c r="I53" s="170" t="s">
        <v>35</v>
      </c>
      <c r="J53" s="170" t="s">
        <v>10837</v>
      </c>
      <c r="K53" s="170" t="s">
        <v>111</v>
      </c>
      <c r="L53" s="170" t="s">
        <v>10776</v>
      </c>
      <c r="M53" s="170" t="s">
        <v>111</v>
      </c>
      <c r="N53" s="170" t="s">
        <v>6005</v>
      </c>
      <c r="O53" s="368">
        <v>0</v>
      </c>
      <c r="P53" s="170"/>
      <c r="Q53" s="368">
        <v>0</v>
      </c>
      <c r="R53" s="170" t="s">
        <v>71</v>
      </c>
      <c r="S53" s="373">
        <f>IF(B53="","",ROUND(Iluminação!$C$19,2))</f>
        <v>15.45</v>
      </c>
      <c r="T53" s="373">
        <f>IF(B53="","",IFERROR(VLOOKUP(Início!$C$20,Aux_Lista!A:I,9,FALSE),""))</f>
        <v>15</v>
      </c>
      <c r="U53" s="373">
        <f>IF(ISERROR(VLOOKUP($I53,Aux_Lista!$A$2:$L$13,10,FALSE)^-1),"",VLOOKUP($I53,Aux_Lista!$A$2:$L$13,10,FALSE)^-1)</f>
        <v>0.1</v>
      </c>
      <c r="V53" s="374">
        <f>IF(ISERROR(VLOOKUP($I53,Aux_Lista!$A$2:$L$13,11,FALSE)),"",VLOOKUP($I53,Aux_Lista!$A$2:$L$13,11,FALSE))</f>
        <v>10</v>
      </c>
      <c r="W53" s="454">
        <v>185.41</v>
      </c>
      <c r="X53" s="454">
        <v>251</v>
      </c>
      <c r="Y53" s="456">
        <v>1</v>
      </c>
      <c r="Z53" s="467">
        <f t="shared" si="5"/>
        <v>1859.6623</v>
      </c>
      <c r="AA53" s="467">
        <f t="shared" si="6"/>
        <v>2517.5299999999997</v>
      </c>
      <c r="AB53" s="281">
        <f t="shared" si="3"/>
        <v>1859.6623</v>
      </c>
      <c r="AC53" s="281">
        <f t="shared" si="4"/>
        <v>2517.5299999999997</v>
      </c>
      <c r="AD53" s="2"/>
      <c r="AE53" s="459">
        <f t="shared" si="7"/>
        <v>30.089999999999996</v>
      </c>
    </row>
    <row r="54" spans="1:31" s="13" customFormat="1" ht="20.100000000000001" customHeight="1" x14ac:dyDescent="0.25">
      <c r="A54" s="93">
        <v>36</v>
      </c>
      <c r="B54" s="170" t="s">
        <v>299</v>
      </c>
      <c r="C54" s="371" t="s">
        <v>10819</v>
      </c>
      <c r="D54" s="372">
        <v>0.37</v>
      </c>
      <c r="E54" s="372">
        <v>3</v>
      </c>
      <c r="F54" s="170" t="s">
        <v>67</v>
      </c>
      <c r="G54" s="170" t="s">
        <v>308</v>
      </c>
      <c r="H54" s="170" t="s">
        <v>69</v>
      </c>
      <c r="I54" s="170" t="s">
        <v>35</v>
      </c>
      <c r="J54" s="170" t="s">
        <v>10837</v>
      </c>
      <c r="K54" s="170" t="s">
        <v>111</v>
      </c>
      <c r="L54" s="170" t="s">
        <v>10776</v>
      </c>
      <c r="M54" s="170" t="s">
        <v>111</v>
      </c>
      <c r="N54" s="170" t="s">
        <v>6005</v>
      </c>
      <c r="O54" s="368">
        <v>0</v>
      </c>
      <c r="P54" s="170"/>
      <c r="Q54" s="368">
        <v>0</v>
      </c>
      <c r="R54" s="170" t="s">
        <v>71</v>
      </c>
      <c r="S54" s="373">
        <f>IF(B54="","",ROUND(Iluminação!$C$19,2))</f>
        <v>15.45</v>
      </c>
      <c r="T54" s="373">
        <f>IF(B54="","",IFERROR(VLOOKUP(Início!$C$20,Aux_Lista!A:I,9,FALSE),""))</f>
        <v>15</v>
      </c>
      <c r="U54" s="373">
        <f>IF(ISERROR(VLOOKUP($I54,Aux_Lista!$A$2:$L$13,10,FALSE)^-1),"",VLOOKUP($I54,Aux_Lista!$A$2:$L$13,10,FALSE)^-1)</f>
        <v>0.1</v>
      </c>
      <c r="V54" s="374">
        <f>IF(ISERROR(VLOOKUP($I54,Aux_Lista!$A$2:$L$13,11,FALSE)),"",VLOOKUP($I54,Aux_Lista!$A$2:$L$13,11,FALSE))</f>
        <v>10</v>
      </c>
      <c r="W54" s="454">
        <v>195.48</v>
      </c>
      <c r="X54" s="454">
        <v>274</v>
      </c>
      <c r="Y54" s="456">
        <v>1</v>
      </c>
      <c r="Z54" s="467">
        <f t="shared" si="5"/>
        <v>72.32759999999999</v>
      </c>
      <c r="AA54" s="467">
        <f t="shared" si="6"/>
        <v>101.38</v>
      </c>
      <c r="AB54" s="281">
        <f t="shared" si="3"/>
        <v>72.32759999999999</v>
      </c>
      <c r="AC54" s="281">
        <f t="shared" si="4"/>
        <v>101.38</v>
      </c>
      <c r="AD54" s="2"/>
      <c r="AE54" s="459">
        <f t="shared" si="7"/>
        <v>1.1099999999999999</v>
      </c>
    </row>
    <row r="55" spans="1:31" s="13" customFormat="1" ht="20.100000000000001" customHeight="1" x14ac:dyDescent="0.25">
      <c r="A55" s="92">
        <v>37</v>
      </c>
      <c r="B55" s="170" t="s">
        <v>299</v>
      </c>
      <c r="C55" s="371" t="s">
        <v>10820</v>
      </c>
      <c r="D55" s="372">
        <v>41.5</v>
      </c>
      <c r="E55" s="372">
        <v>3</v>
      </c>
      <c r="F55" s="170" t="s">
        <v>67</v>
      </c>
      <c r="G55" s="170" t="s">
        <v>298</v>
      </c>
      <c r="H55" s="170" t="s">
        <v>69</v>
      </c>
      <c r="I55" s="170" t="s">
        <v>35</v>
      </c>
      <c r="J55" s="170" t="s">
        <v>10837</v>
      </c>
      <c r="K55" s="170" t="s">
        <v>111</v>
      </c>
      <c r="L55" s="170" t="s">
        <v>10776</v>
      </c>
      <c r="M55" s="170" t="s">
        <v>111</v>
      </c>
      <c r="N55" s="170" t="s">
        <v>10778</v>
      </c>
      <c r="O55" s="368">
        <v>23</v>
      </c>
      <c r="P55" s="170"/>
      <c r="Q55" s="368">
        <v>0</v>
      </c>
      <c r="R55" s="170" t="s">
        <v>71</v>
      </c>
      <c r="S55" s="373">
        <f>IF(B55="","",ROUND(Iluminação!$C$19,2))</f>
        <v>15.45</v>
      </c>
      <c r="T55" s="373">
        <f>IF(B55="","",IFERROR(VLOOKUP(Início!$C$20,Aux_Lista!A:I,9,FALSE),""))</f>
        <v>15</v>
      </c>
      <c r="U55" s="373">
        <f>IF(ISERROR(VLOOKUP($I55,Aux_Lista!$A$2:$L$13,10,FALSE)^-1),"",VLOOKUP($I55,Aux_Lista!$A$2:$L$13,10,FALSE)^-1)</f>
        <v>0.1</v>
      </c>
      <c r="V55" s="374">
        <f>IF(ISERROR(VLOOKUP($I55,Aux_Lista!$A$2:$L$13,11,FALSE)),"",VLOOKUP($I55,Aux_Lista!$A$2:$L$13,11,FALSE))</f>
        <v>10</v>
      </c>
      <c r="W55" s="454">
        <v>234.41</v>
      </c>
      <c r="X55" s="454">
        <v>334</v>
      </c>
      <c r="Y55" s="456">
        <v>1</v>
      </c>
      <c r="Z55" s="467">
        <f t="shared" si="5"/>
        <v>9728.0149999999994</v>
      </c>
      <c r="AA55" s="467">
        <f t="shared" si="6"/>
        <v>13861</v>
      </c>
      <c r="AB55" s="281">
        <f t="shared" si="3"/>
        <v>9728.0149999999994</v>
      </c>
      <c r="AC55" s="281">
        <f t="shared" si="4"/>
        <v>13861</v>
      </c>
      <c r="AD55" s="2"/>
      <c r="AE55" s="459">
        <f t="shared" si="7"/>
        <v>124.5</v>
      </c>
    </row>
    <row r="56" spans="1:31" s="13" customFormat="1" ht="20.100000000000001" customHeight="1" x14ac:dyDescent="0.25">
      <c r="A56" s="93">
        <v>38</v>
      </c>
      <c r="B56" s="170" t="s">
        <v>299</v>
      </c>
      <c r="C56" s="371" t="s">
        <v>10821</v>
      </c>
      <c r="D56" s="372">
        <v>18.05</v>
      </c>
      <c r="E56" s="372">
        <v>3</v>
      </c>
      <c r="F56" s="170" t="s">
        <v>67</v>
      </c>
      <c r="G56" s="170" t="s">
        <v>298</v>
      </c>
      <c r="H56" s="170" t="s">
        <v>69</v>
      </c>
      <c r="I56" s="170" t="s">
        <v>35</v>
      </c>
      <c r="J56" s="170" t="s">
        <v>10836</v>
      </c>
      <c r="K56" s="170" t="s">
        <v>111</v>
      </c>
      <c r="L56" s="170" t="s">
        <v>10776</v>
      </c>
      <c r="M56" s="170" t="s">
        <v>111</v>
      </c>
      <c r="N56" s="170" t="s">
        <v>6005</v>
      </c>
      <c r="O56" s="368">
        <v>0</v>
      </c>
      <c r="P56" s="170"/>
      <c r="Q56" s="368">
        <v>0</v>
      </c>
      <c r="R56" s="170" t="s">
        <v>71</v>
      </c>
      <c r="S56" s="373">
        <f>IF(B56="","",ROUND(Iluminação!$C$19,2))</f>
        <v>15.45</v>
      </c>
      <c r="T56" s="373">
        <f>IF(B56="","",IFERROR(VLOOKUP(Início!$C$20,Aux_Lista!A:I,9,FALSE),""))</f>
        <v>15</v>
      </c>
      <c r="U56" s="373">
        <f>IF(ISERROR(VLOOKUP($I56,Aux_Lista!$A$2:$L$13,10,FALSE)^-1),"",VLOOKUP($I56,Aux_Lista!$A$2:$L$13,10,FALSE)^-1)</f>
        <v>0.1</v>
      </c>
      <c r="V56" s="374">
        <f>IF(ISERROR(VLOOKUP($I56,Aux_Lista!$A$2:$L$13,11,FALSE)),"",VLOOKUP($I56,Aux_Lista!$A$2:$L$13,11,FALSE))</f>
        <v>10</v>
      </c>
      <c r="W56" s="454">
        <v>169.75</v>
      </c>
      <c r="X56" s="454">
        <v>241</v>
      </c>
      <c r="Y56" s="456">
        <v>1</v>
      </c>
      <c r="Z56" s="467">
        <f t="shared" si="5"/>
        <v>3063.9875000000002</v>
      </c>
      <c r="AA56" s="467">
        <f t="shared" si="6"/>
        <v>4350.05</v>
      </c>
      <c r="AB56" s="281">
        <f t="shared" si="3"/>
        <v>3063.9875000000002</v>
      </c>
      <c r="AC56" s="281">
        <f t="shared" si="4"/>
        <v>4350.05</v>
      </c>
      <c r="AD56" s="2"/>
      <c r="AE56" s="459">
        <f t="shared" si="7"/>
        <v>54.150000000000006</v>
      </c>
    </row>
    <row r="57" spans="1:31" s="13" customFormat="1" ht="20.100000000000001" customHeight="1" x14ac:dyDescent="0.25">
      <c r="A57" s="92">
        <v>39</v>
      </c>
      <c r="B57" s="170" t="s">
        <v>299</v>
      </c>
      <c r="C57" s="371" t="s">
        <v>10822</v>
      </c>
      <c r="D57" s="372">
        <v>46.35</v>
      </c>
      <c r="E57" s="372">
        <v>3</v>
      </c>
      <c r="F57" s="170" t="s">
        <v>67</v>
      </c>
      <c r="G57" s="170" t="s">
        <v>245</v>
      </c>
      <c r="H57" s="170" t="s">
        <v>69</v>
      </c>
      <c r="I57" s="170" t="s">
        <v>35</v>
      </c>
      <c r="J57" s="170" t="s">
        <v>10837</v>
      </c>
      <c r="K57" s="170" t="s">
        <v>111</v>
      </c>
      <c r="L57" s="170" t="s">
        <v>10776</v>
      </c>
      <c r="M57" s="170" t="s">
        <v>111</v>
      </c>
      <c r="N57" s="170" t="s">
        <v>10778</v>
      </c>
      <c r="O57" s="368">
        <v>9</v>
      </c>
      <c r="P57" s="170"/>
      <c r="Q57" s="368">
        <v>0</v>
      </c>
      <c r="R57" s="170" t="s">
        <v>71</v>
      </c>
      <c r="S57" s="373">
        <f>IF(B57="","",ROUND(Iluminação!$C$19,2))</f>
        <v>15.45</v>
      </c>
      <c r="T57" s="373">
        <f>IF(B57="","",IFERROR(VLOOKUP(Início!$C$20,Aux_Lista!A:I,9,FALSE),""))</f>
        <v>15</v>
      </c>
      <c r="U57" s="373">
        <f>IF(ISERROR(VLOOKUP($I57,Aux_Lista!$A$2:$L$13,10,FALSE)^-1),"",VLOOKUP($I57,Aux_Lista!$A$2:$L$13,10,FALSE)^-1)</f>
        <v>0.1</v>
      </c>
      <c r="V57" s="374">
        <f>IF(ISERROR(VLOOKUP($I57,Aux_Lista!$A$2:$L$13,11,FALSE)),"",VLOOKUP($I57,Aux_Lista!$A$2:$L$13,11,FALSE))</f>
        <v>10</v>
      </c>
      <c r="W57" s="454">
        <v>206.01</v>
      </c>
      <c r="X57" s="454">
        <v>356</v>
      </c>
      <c r="Y57" s="456">
        <v>1</v>
      </c>
      <c r="Z57" s="467">
        <f t="shared" si="5"/>
        <v>9548.5635000000002</v>
      </c>
      <c r="AA57" s="467">
        <f t="shared" si="6"/>
        <v>16500.600000000002</v>
      </c>
      <c r="AB57" s="281">
        <f t="shared" si="3"/>
        <v>9548.5635000000002</v>
      </c>
      <c r="AC57" s="281">
        <f t="shared" si="4"/>
        <v>16500.600000000002</v>
      </c>
      <c r="AD57" s="2"/>
      <c r="AE57" s="459">
        <f t="shared" si="7"/>
        <v>139.05000000000001</v>
      </c>
    </row>
    <row r="58" spans="1:31" s="13" customFormat="1" ht="20.100000000000001" customHeight="1" x14ac:dyDescent="0.25">
      <c r="A58" s="93">
        <v>40</v>
      </c>
      <c r="B58" s="170" t="s">
        <v>299</v>
      </c>
      <c r="C58" s="371" t="s">
        <v>10823</v>
      </c>
      <c r="D58" s="372">
        <v>1.56</v>
      </c>
      <c r="E58" s="372">
        <v>3</v>
      </c>
      <c r="F58" s="170" t="s">
        <v>67</v>
      </c>
      <c r="G58" s="170" t="s">
        <v>266</v>
      </c>
      <c r="H58" s="170" t="s">
        <v>69</v>
      </c>
      <c r="I58" s="170" t="s">
        <v>35</v>
      </c>
      <c r="J58" s="170" t="s">
        <v>10837</v>
      </c>
      <c r="K58" s="170" t="s">
        <v>111</v>
      </c>
      <c r="L58" s="170" t="s">
        <v>10776</v>
      </c>
      <c r="M58" s="170" t="s">
        <v>111</v>
      </c>
      <c r="N58" s="170" t="s">
        <v>6005</v>
      </c>
      <c r="O58" s="368">
        <v>0</v>
      </c>
      <c r="P58" s="170"/>
      <c r="Q58" s="368">
        <v>0</v>
      </c>
      <c r="R58" s="170" t="s">
        <v>71</v>
      </c>
      <c r="S58" s="373">
        <f>IF(B58="","",ROUND(Iluminação!$C$19,2))</f>
        <v>15.45</v>
      </c>
      <c r="T58" s="373">
        <f>IF(B58="","",IFERROR(VLOOKUP(Início!$C$20,Aux_Lista!A:I,9,FALSE),""))</f>
        <v>15</v>
      </c>
      <c r="U58" s="373">
        <f>IF(ISERROR(VLOOKUP($I58,Aux_Lista!$A$2:$L$13,10,FALSE)^-1),"",VLOOKUP($I58,Aux_Lista!$A$2:$L$13,10,FALSE)^-1)</f>
        <v>0.1</v>
      </c>
      <c r="V58" s="374">
        <f>IF(ISERROR(VLOOKUP($I58,Aux_Lista!$A$2:$L$13,11,FALSE)),"",VLOOKUP($I58,Aux_Lista!$A$2:$L$13,11,FALSE))</f>
        <v>10</v>
      </c>
      <c r="W58" s="454">
        <v>189.32</v>
      </c>
      <c r="X58" s="454">
        <v>268</v>
      </c>
      <c r="Y58" s="456">
        <v>1</v>
      </c>
      <c r="Z58" s="467">
        <f t="shared" si="5"/>
        <v>295.33920000000001</v>
      </c>
      <c r="AA58" s="467">
        <f t="shared" si="6"/>
        <v>418.08000000000004</v>
      </c>
      <c r="AB58" s="281">
        <f t="shared" si="3"/>
        <v>295.33920000000001</v>
      </c>
      <c r="AC58" s="281">
        <f t="shared" si="4"/>
        <v>418.08000000000004</v>
      </c>
      <c r="AD58" s="2"/>
      <c r="AE58" s="459">
        <f t="shared" si="7"/>
        <v>4.68</v>
      </c>
    </row>
    <row r="59" spans="1:31" s="13" customFormat="1" ht="20.100000000000001" customHeight="1" x14ac:dyDescent="0.25">
      <c r="A59" s="92">
        <v>41</v>
      </c>
      <c r="B59" s="170" t="s">
        <v>299</v>
      </c>
      <c r="C59" s="371" t="s">
        <v>10824</v>
      </c>
      <c r="D59" s="371">
        <v>318.39</v>
      </c>
      <c r="E59" s="372">
        <v>3</v>
      </c>
      <c r="F59" s="170" t="s">
        <v>75</v>
      </c>
      <c r="G59" s="170" t="s">
        <v>75</v>
      </c>
      <c r="H59" s="170" t="s">
        <v>69</v>
      </c>
      <c r="I59" s="170" t="s">
        <v>35</v>
      </c>
      <c r="J59" s="170"/>
      <c r="K59" s="170" t="s">
        <v>111</v>
      </c>
      <c r="L59" s="170" t="s">
        <v>10776</v>
      </c>
      <c r="M59" s="170" t="s">
        <v>111</v>
      </c>
      <c r="N59" s="170"/>
      <c r="O59" s="369">
        <v>0</v>
      </c>
      <c r="P59" s="170"/>
      <c r="Q59" s="368">
        <v>0</v>
      </c>
      <c r="R59" s="170" t="s">
        <v>71</v>
      </c>
      <c r="S59" s="373">
        <f>IF(B59="","",ROUND(Iluminação!$C$19,2))</f>
        <v>15.45</v>
      </c>
      <c r="T59" s="373">
        <f>IF(B59="","",IFERROR(VLOOKUP(Início!$C$20,Aux_Lista!A:I,9,FALSE),""))</f>
        <v>15</v>
      </c>
      <c r="U59" s="373">
        <f>IF(ISERROR(VLOOKUP($I59,Aux_Lista!$A$2:$L$13,10,FALSE)^-1),"",VLOOKUP($I59,Aux_Lista!$A$2:$L$13,10,FALSE)^-1)</f>
        <v>0.1</v>
      </c>
      <c r="V59" s="374">
        <f>IF(ISERROR(VLOOKUP($I59,Aux_Lista!$A$2:$L$13,11,FALSE)),"",VLOOKUP($I59,Aux_Lista!$A$2:$L$13,11,FALSE))</f>
        <v>10</v>
      </c>
      <c r="W59" s="454">
        <v>148.44</v>
      </c>
      <c r="X59" s="454">
        <v>182</v>
      </c>
      <c r="Y59" s="456">
        <v>1</v>
      </c>
      <c r="Z59" s="467">
        <f t="shared" si="5"/>
        <v>47261.811599999994</v>
      </c>
      <c r="AA59" s="467">
        <f t="shared" si="6"/>
        <v>57946.979999999996</v>
      </c>
      <c r="AB59" s="281">
        <f t="shared" si="3"/>
        <v>47261.811599999994</v>
      </c>
      <c r="AC59" s="281">
        <f t="shared" si="4"/>
        <v>57946.979999999996</v>
      </c>
      <c r="AD59" s="2"/>
      <c r="AE59" s="459">
        <f t="shared" si="7"/>
        <v>955.17</v>
      </c>
    </row>
    <row r="60" spans="1:31" s="13" customFormat="1" ht="20.100000000000001" customHeight="1" x14ac:dyDescent="0.25">
      <c r="A60" s="93">
        <v>42</v>
      </c>
      <c r="B60" s="170"/>
      <c r="C60" s="371"/>
      <c r="D60" s="371"/>
      <c r="E60" s="372"/>
      <c r="F60" s="170"/>
      <c r="G60" s="170"/>
      <c r="H60" s="170"/>
      <c r="I60" s="170"/>
      <c r="J60" s="170"/>
      <c r="K60" s="170"/>
      <c r="L60" s="170"/>
      <c r="M60" s="170"/>
      <c r="N60" s="170"/>
      <c r="O60" s="369"/>
      <c r="P60" s="170"/>
      <c r="Q60" s="368">
        <v>0</v>
      </c>
      <c r="R60" s="170"/>
      <c r="S60" s="373" t="str">
        <f>IF(B60="","",ROUND(Iluminação!$C$19,2))</f>
        <v/>
      </c>
      <c r="T60" s="373" t="str">
        <f>IF(B60="","",IFERROR(VLOOKUP(Início!$C$20,Aux_Lista!A:I,9,FALSE),""))</f>
        <v/>
      </c>
      <c r="U60" s="373" t="str">
        <f>IF(ISERROR(VLOOKUP($I60,Aux_Lista!$A$2:$L$13,10,FALSE)^-1),"",VLOOKUP($I60,Aux_Lista!$A$2:$L$13,10,FALSE)^-1)</f>
        <v/>
      </c>
      <c r="V60" s="374" t="str">
        <f>IF(ISERROR(VLOOKUP($I60,Aux_Lista!$A$2:$L$13,11,FALSE)),"",VLOOKUP($I60,Aux_Lista!$A$2:$L$13,11,FALSE))</f>
        <v/>
      </c>
      <c r="W60" s="104">
        <v>0</v>
      </c>
      <c r="X60" s="104">
        <v>0</v>
      </c>
      <c r="Y60" s="456"/>
      <c r="Z60" s="467">
        <f t="shared" si="5"/>
        <v>0</v>
      </c>
      <c r="AA60" s="467">
        <f t="shared" si="6"/>
        <v>0</v>
      </c>
      <c r="AB60" s="281">
        <f t="shared" si="3"/>
        <v>0</v>
      </c>
      <c r="AC60" s="281">
        <f t="shared" si="4"/>
        <v>0</v>
      </c>
      <c r="AD60" s="2"/>
      <c r="AE60" s="459">
        <f t="shared" si="7"/>
        <v>0</v>
      </c>
    </row>
    <row r="61" spans="1:31" s="13" customFormat="1" ht="20.100000000000001" customHeight="1" x14ac:dyDescent="0.25">
      <c r="A61" s="92">
        <v>43</v>
      </c>
      <c r="B61" s="170"/>
      <c r="C61" s="371"/>
      <c r="D61" s="372"/>
      <c r="E61" s="372"/>
      <c r="F61" s="170"/>
      <c r="G61" s="170"/>
      <c r="H61" s="170"/>
      <c r="I61" s="170"/>
      <c r="J61" s="170"/>
      <c r="K61" s="170"/>
      <c r="L61" s="170"/>
      <c r="M61" s="170"/>
      <c r="N61" s="170"/>
      <c r="O61" s="368"/>
      <c r="P61" s="170"/>
      <c r="Q61" s="368">
        <v>0</v>
      </c>
      <c r="R61" s="170"/>
      <c r="S61" s="373" t="str">
        <f>IF(B61="","",ROUND(Iluminação!$C$19,2))</f>
        <v/>
      </c>
      <c r="T61" s="373" t="str">
        <f>IF(B61="","",IFERROR(VLOOKUP(Início!$C$20,Aux_Lista!A:I,9,FALSE),""))</f>
        <v/>
      </c>
      <c r="U61" s="373" t="str">
        <f>IF(ISERROR(VLOOKUP($I61,Aux_Lista!$A$2:$L$13,10,FALSE)^-1),"",VLOOKUP($I61,Aux_Lista!$A$2:$L$13,10,FALSE)^-1)</f>
        <v/>
      </c>
      <c r="V61" s="374" t="str">
        <f>IF(ISERROR(VLOOKUP($I61,Aux_Lista!$A$2:$L$13,11,FALSE)),"",VLOOKUP($I61,Aux_Lista!$A$2:$L$13,11,FALSE))</f>
        <v/>
      </c>
      <c r="W61" s="454" t="s">
        <v>10549</v>
      </c>
      <c r="X61" s="454" t="s">
        <v>10549</v>
      </c>
      <c r="Y61" s="456"/>
      <c r="Z61" s="467" t="str">
        <f t="shared" si="5"/>
        <v/>
      </c>
      <c r="AA61" s="467" t="str">
        <f t="shared" si="6"/>
        <v/>
      </c>
      <c r="AB61" s="281" t="str">
        <f t="shared" si="3"/>
        <v/>
      </c>
      <c r="AC61" s="281" t="str">
        <f t="shared" si="4"/>
        <v/>
      </c>
      <c r="AD61" s="2"/>
      <c r="AE61" s="459">
        <f t="shared" si="7"/>
        <v>0</v>
      </c>
    </row>
    <row r="62" spans="1:31" s="13" customFormat="1" ht="20.100000000000001" customHeight="1" x14ac:dyDescent="0.25">
      <c r="A62" s="93">
        <v>44</v>
      </c>
      <c r="B62" s="170"/>
      <c r="C62" s="371"/>
      <c r="D62" s="372"/>
      <c r="E62" s="372"/>
      <c r="F62" s="170"/>
      <c r="G62" s="170"/>
      <c r="H62" s="170"/>
      <c r="I62" s="170"/>
      <c r="J62" s="170"/>
      <c r="K62" s="170"/>
      <c r="L62" s="170"/>
      <c r="M62" s="170"/>
      <c r="N62" s="170"/>
      <c r="O62" s="368"/>
      <c r="P62" s="170"/>
      <c r="Q62" s="368">
        <v>0</v>
      </c>
      <c r="R62" s="170"/>
      <c r="S62" s="373" t="str">
        <f>IF(B62="","",ROUND(Iluminação!$C$19,2))</f>
        <v/>
      </c>
      <c r="T62" s="373" t="str">
        <f>IF(B62="","",IFERROR(VLOOKUP(Início!$C$20,Aux_Lista!A:I,9,FALSE),""))</f>
        <v/>
      </c>
      <c r="U62" s="373" t="str">
        <f>IF(ISERROR(VLOOKUP($I62,Aux_Lista!$A$2:$L$13,10,FALSE)^-1),"",VLOOKUP($I62,Aux_Lista!$A$2:$L$13,10,FALSE)^-1)</f>
        <v/>
      </c>
      <c r="V62" s="374" t="str">
        <f>IF(ISERROR(VLOOKUP($I62,Aux_Lista!$A$2:$L$13,11,FALSE)),"",VLOOKUP($I62,Aux_Lista!$A$2:$L$13,11,FALSE))</f>
        <v/>
      </c>
      <c r="W62" s="454" t="s">
        <v>10549</v>
      </c>
      <c r="X62" s="454" t="s">
        <v>10549</v>
      </c>
      <c r="Y62" s="456"/>
      <c r="Z62" s="467" t="str">
        <f t="shared" si="5"/>
        <v/>
      </c>
      <c r="AA62" s="467" t="str">
        <f t="shared" si="6"/>
        <v/>
      </c>
      <c r="AB62" s="281" t="str">
        <f t="shared" si="3"/>
        <v/>
      </c>
      <c r="AC62" s="281" t="str">
        <f t="shared" si="4"/>
        <v/>
      </c>
      <c r="AD62" s="2"/>
      <c r="AE62" s="459">
        <f t="shared" si="7"/>
        <v>0</v>
      </c>
    </row>
    <row r="63" spans="1:31" s="13" customFormat="1" ht="20.100000000000001" customHeight="1" x14ac:dyDescent="0.25">
      <c r="A63" s="92">
        <v>45</v>
      </c>
      <c r="B63" s="170"/>
      <c r="C63" s="371"/>
      <c r="D63" s="372"/>
      <c r="E63" s="372"/>
      <c r="F63" s="170"/>
      <c r="G63" s="170"/>
      <c r="H63" s="170"/>
      <c r="I63" s="170"/>
      <c r="J63" s="170"/>
      <c r="K63" s="170"/>
      <c r="L63" s="170"/>
      <c r="M63" s="170"/>
      <c r="N63" s="170"/>
      <c r="O63" s="368"/>
      <c r="P63" s="170"/>
      <c r="Q63" s="368">
        <v>0</v>
      </c>
      <c r="R63" s="170"/>
      <c r="S63" s="373" t="str">
        <f>IF(B63="","",ROUND(Iluminação!$C$19,2))</f>
        <v/>
      </c>
      <c r="T63" s="373" t="str">
        <f>IF(B63="","",IFERROR(VLOOKUP(Início!$C$20,Aux_Lista!A:I,9,FALSE),""))</f>
        <v/>
      </c>
      <c r="U63" s="373" t="str">
        <f>IF(ISERROR(VLOOKUP($I63,Aux_Lista!$A$2:$L$13,10,FALSE)^-1),"",VLOOKUP($I63,Aux_Lista!$A$2:$L$13,10,FALSE)^-1)</f>
        <v/>
      </c>
      <c r="V63" s="374" t="str">
        <f>IF(ISERROR(VLOOKUP($I63,Aux_Lista!$A$2:$L$13,11,FALSE)),"",VLOOKUP($I63,Aux_Lista!$A$2:$L$13,11,FALSE))</f>
        <v/>
      </c>
      <c r="W63" s="454" t="s">
        <v>10549</v>
      </c>
      <c r="X63" s="454" t="s">
        <v>10549</v>
      </c>
      <c r="Y63" s="456"/>
      <c r="Z63" s="467" t="str">
        <f t="shared" si="5"/>
        <v/>
      </c>
      <c r="AA63" s="467" t="str">
        <f t="shared" si="6"/>
        <v/>
      </c>
      <c r="AB63" s="281" t="str">
        <f t="shared" si="3"/>
        <v/>
      </c>
      <c r="AC63" s="281" t="str">
        <f t="shared" si="4"/>
        <v/>
      </c>
      <c r="AD63" s="2"/>
      <c r="AE63" s="459">
        <f t="shared" si="7"/>
        <v>0</v>
      </c>
    </row>
    <row r="64" spans="1:31" s="13" customFormat="1" ht="20.100000000000001" customHeight="1" x14ac:dyDescent="0.25">
      <c r="A64" s="93">
        <v>46</v>
      </c>
      <c r="B64" s="170"/>
      <c r="C64" s="371"/>
      <c r="D64" s="372"/>
      <c r="E64" s="372"/>
      <c r="F64" s="170"/>
      <c r="G64" s="170"/>
      <c r="H64" s="170"/>
      <c r="I64" s="170"/>
      <c r="J64" s="170"/>
      <c r="K64" s="170"/>
      <c r="L64" s="170"/>
      <c r="M64" s="170"/>
      <c r="N64" s="170"/>
      <c r="O64" s="368"/>
      <c r="P64" s="170"/>
      <c r="Q64" s="368">
        <v>0</v>
      </c>
      <c r="R64" s="170"/>
      <c r="S64" s="373" t="str">
        <f>IF(B64="","",ROUND(Iluminação!$C$19,2))</f>
        <v/>
      </c>
      <c r="T64" s="373" t="str">
        <f>IF(B64="","",IFERROR(VLOOKUP(Início!$C$20,Aux_Lista!A:I,9,FALSE),""))</f>
        <v/>
      </c>
      <c r="U64" s="373" t="str">
        <f>IF(ISERROR(VLOOKUP($I64,Aux_Lista!$A$2:$L$13,10,FALSE)^-1),"",VLOOKUP($I64,Aux_Lista!$A$2:$L$13,10,FALSE)^-1)</f>
        <v/>
      </c>
      <c r="V64" s="374" t="str">
        <f>IF(ISERROR(VLOOKUP($I64,Aux_Lista!$A$2:$L$13,11,FALSE)),"",VLOOKUP($I64,Aux_Lista!$A$2:$L$13,11,FALSE))</f>
        <v/>
      </c>
      <c r="W64" s="454" t="s">
        <v>10549</v>
      </c>
      <c r="X64" s="454" t="s">
        <v>10549</v>
      </c>
      <c r="Y64" s="456"/>
      <c r="Z64" s="467" t="str">
        <f t="shared" si="5"/>
        <v/>
      </c>
      <c r="AA64" s="467" t="str">
        <f t="shared" si="6"/>
        <v/>
      </c>
      <c r="AB64" s="281" t="str">
        <f t="shared" si="3"/>
        <v/>
      </c>
      <c r="AC64" s="281" t="str">
        <f t="shared" si="4"/>
        <v/>
      </c>
      <c r="AD64" s="2"/>
      <c r="AE64" s="459">
        <f t="shared" si="7"/>
        <v>0</v>
      </c>
    </row>
    <row r="65" spans="1:31" s="13" customFormat="1" ht="20.100000000000001" customHeight="1" x14ac:dyDescent="0.25">
      <c r="A65" s="92">
        <v>47</v>
      </c>
      <c r="B65" s="170"/>
      <c r="C65" s="371"/>
      <c r="D65" s="372"/>
      <c r="E65" s="372"/>
      <c r="F65" s="170"/>
      <c r="G65" s="170"/>
      <c r="H65" s="170"/>
      <c r="I65" s="170"/>
      <c r="J65" s="170"/>
      <c r="K65" s="170"/>
      <c r="L65" s="170"/>
      <c r="M65" s="170"/>
      <c r="N65" s="170"/>
      <c r="O65" s="368"/>
      <c r="P65" s="170"/>
      <c r="Q65" s="368">
        <v>0</v>
      </c>
      <c r="R65" s="170"/>
      <c r="S65" s="373" t="str">
        <f>IF(B65="","",ROUND(Iluminação!$C$19,2))</f>
        <v/>
      </c>
      <c r="T65" s="373" t="str">
        <f>IF(B65="","",IFERROR(VLOOKUP(Início!$C$20,Aux_Lista!A:I,9,FALSE),""))</f>
        <v/>
      </c>
      <c r="U65" s="373" t="str">
        <f>IF(ISERROR(VLOOKUP($I65,Aux_Lista!$A$2:$L$13,10,FALSE)^-1),"",VLOOKUP($I65,Aux_Lista!$A$2:$L$13,10,FALSE)^-1)</f>
        <v/>
      </c>
      <c r="V65" s="374" t="str">
        <f>IF(ISERROR(VLOOKUP($I65,Aux_Lista!$A$2:$L$13,11,FALSE)),"",VLOOKUP($I65,Aux_Lista!$A$2:$L$13,11,FALSE))</f>
        <v/>
      </c>
      <c r="W65" s="454" t="s">
        <v>10549</v>
      </c>
      <c r="X65" s="454" t="s">
        <v>10549</v>
      </c>
      <c r="Y65" s="456"/>
      <c r="Z65" s="467" t="str">
        <f t="shared" si="5"/>
        <v/>
      </c>
      <c r="AA65" s="467" t="str">
        <f t="shared" si="6"/>
        <v/>
      </c>
      <c r="AB65" s="281" t="str">
        <f t="shared" si="3"/>
        <v/>
      </c>
      <c r="AC65" s="281" t="str">
        <f t="shared" si="4"/>
        <v/>
      </c>
      <c r="AD65" s="2"/>
      <c r="AE65" s="459">
        <f t="shared" si="7"/>
        <v>0</v>
      </c>
    </row>
    <row r="66" spans="1:31" s="13" customFormat="1" ht="20.100000000000001" customHeight="1" x14ac:dyDescent="0.25">
      <c r="A66" s="93">
        <v>48</v>
      </c>
      <c r="B66" s="170"/>
      <c r="C66" s="371"/>
      <c r="D66" s="372"/>
      <c r="E66" s="372"/>
      <c r="F66" s="170"/>
      <c r="G66" s="170"/>
      <c r="H66" s="170"/>
      <c r="I66" s="170"/>
      <c r="J66" s="170"/>
      <c r="K66" s="170"/>
      <c r="L66" s="170"/>
      <c r="M66" s="170"/>
      <c r="N66" s="170"/>
      <c r="O66" s="368"/>
      <c r="P66" s="170"/>
      <c r="Q66" s="368">
        <v>0</v>
      </c>
      <c r="R66" s="170"/>
      <c r="S66" s="373" t="str">
        <f>IF(B66="","",ROUND(Iluminação!$C$19,2))</f>
        <v/>
      </c>
      <c r="T66" s="373" t="str">
        <f>IF(B66="","",IFERROR(VLOOKUP(Início!$C$20,Aux_Lista!A:I,9,FALSE),""))</f>
        <v/>
      </c>
      <c r="U66" s="373" t="str">
        <f>IF(ISERROR(VLOOKUP($I66,Aux_Lista!$A$2:$L$13,10,FALSE)^-1),"",VLOOKUP($I66,Aux_Lista!$A$2:$L$13,10,FALSE)^-1)</f>
        <v/>
      </c>
      <c r="V66" s="374" t="str">
        <f>IF(ISERROR(VLOOKUP($I66,Aux_Lista!$A$2:$L$13,11,FALSE)),"",VLOOKUP($I66,Aux_Lista!$A$2:$L$13,11,FALSE))</f>
        <v/>
      </c>
      <c r="W66" s="454" t="s">
        <v>10549</v>
      </c>
      <c r="X66" s="454" t="s">
        <v>10549</v>
      </c>
      <c r="Y66" s="456"/>
      <c r="Z66" s="467" t="str">
        <f t="shared" si="5"/>
        <v/>
      </c>
      <c r="AA66" s="467" t="str">
        <f t="shared" si="6"/>
        <v/>
      </c>
      <c r="AB66" s="281" t="str">
        <f t="shared" si="3"/>
        <v/>
      </c>
      <c r="AC66" s="281" t="str">
        <f t="shared" si="4"/>
        <v/>
      </c>
      <c r="AD66" s="2"/>
      <c r="AE66" s="459">
        <f t="shared" si="7"/>
        <v>0</v>
      </c>
    </row>
    <row r="67" spans="1:31" s="13" customFormat="1" ht="20.100000000000001" customHeight="1" x14ac:dyDescent="0.25">
      <c r="A67" s="92">
        <v>49</v>
      </c>
      <c r="B67" s="170"/>
      <c r="C67" s="371"/>
      <c r="D67" s="372"/>
      <c r="E67" s="372"/>
      <c r="F67" s="170"/>
      <c r="G67" s="170"/>
      <c r="H67" s="170"/>
      <c r="I67" s="170"/>
      <c r="J67" s="170"/>
      <c r="K67" s="170"/>
      <c r="L67" s="170"/>
      <c r="M67" s="170"/>
      <c r="N67" s="170"/>
      <c r="O67" s="368"/>
      <c r="P67" s="170"/>
      <c r="Q67" s="368">
        <v>0</v>
      </c>
      <c r="R67" s="170"/>
      <c r="S67" s="373" t="str">
        <f>IF(B67="","",ROUND(Iluminação!$C$19,2))</f>
        <v/>
      </c>
      <c r="T67" s="373" t="str">
        <f>IF(B67="","",IFERROR(VLOOKUP(Início!$C$20,Aux_Lista!A:I,9,FALSE),""))</f>
        <v/>
      </c>
      <c r="U67" s="373" t="str">
        <f>IF(ISERROR(VLOOKUP($I67,Aux_Lista!$A$2:$L$13,10,FALSE)^-1),"",VLOOKUP($I67,Aux_Lista!$A$2:$L$13,10,FALSE)^-1)</f>
        <v/>
      </c>
      <c r="V67" s="374" t="str">
        <f>IF(ISERROR(VLOOKUP($I67,Aux_Lista!$A$2:$L$13,11,FALSE)),"",VLOOKUP($I67,Aux_Lista!$A$2:$L$13,11,FALSE))</f>
        <v/>
      </c>
      <c r="W67" s="454" t="s">
        <v>10549</v>
      </c>
      <c r="X67" s="454" t="s">
        <v>10549</v>
      </c>
      <c r="Y67" s="456"/>
      <c r="Z67" s="467" t="str">
        <f t="shared" si="5"/>
        <v/>
      </c>
      <c r="AA67" s="467" t="str">
        <f t="shared" si="6"/>
        <v/>
      </c>
      <c r="AB67" s="281" t="str">
        <f t="shared" si="3"/>
        <v/>
      </c>
      <c r="AC67" s="281" t="str">
        <f t="shared" si="4"/>
        <v/>
      </c>
      <c r="AD67" s="2"/>
      <c r="AE67" s="459">
        <f t="shared" si="7"/>
        <v>0</v>
      </c>
    </row>
    <row r="68" spans="1:31" s="13" customFormat="1" ht="20.100000000000001" customHeight="1" x14ac:dyDescent="0.25">
      <c r="A68" s="93">
        <v>50</v>
      </c>
      <c r="B68" s="170"/>
      <c r="C68" s="371"/>
      <c r="D68" s="372"/>
      <c r="E68" s="372"/>
      <c r="F68" s="170"/>
      <c r="G68" s="170"/>
      <c r="H68" s="170"/>
      <c r="I68" s="170"/>
      <c r="J68" s="170"/>
      <c r="K68" s="170"/>
      <c r="L68" s="170"/>
      <c r="M68" s="170"/>
      <c r="N68" s="170"/>
      <c r="O68" s="368"/>
      <c r="P68" s="170"/>
      <c r="Q68" s="368">
        <v>0</v>
      </c>
      <c r="R68" s="170"/>
      <c r="S68" s="373" t="str">
        <f>IF(B68="","",ROUND(Iluminação!$C$19,2))</f>
        <v/>
      </c>
      <c r="T68" s="373" t="str">
        <f>IF(B68="","",IFERROR(VLOOKUP(Início!$C$20,Aux_Lista!A:I,9,FALSE),""))</f>
        <v/>
      </c>
      <c r="U68" s="373" t="str">
        <f>IF(ISERROR(VLOOKUP($I68,Aux_Lista!$A$2:$L$13,10,FALSE)^-1),"",VLOOKUP($I68,Aux_Lista!$A$2:$L$13,10,FALSE)^-1)</f>
        <v/>
      </c>
      <c r="V68" s="374" t="str">
        <f>IF(ISERROR(VLOOKUP($I68,Aux_Lista!$A$2:$L$13,11,FALSE)),"",VLOOKUP($I68,Aux_Lista!$A$2:$L$13,11,FALSE))</f>
        <v/>
      </c>
      <c r="W68" s="454" t="s">
        <v>10549</v>
      </c>
      <c r="X68" s="454" t="s">
        <v>10549</v>
      </c>
      <c r="Y68" s="456"/>
      <c r="Z68" s="467" t="str">
        <f t="shared" si="5"/>
        <v/>
      </c>
      <c r="AA68" s="467" t="str">
        <f t="shared" si="6"/>
        <v/>
      </c>
      <c r="AB68" s="281" t="str">
        <f t="shared" si="3"/>
        <v/>
      </c>
      <c r="AC68" s="281" t="str">
        <f t="shared" si="4"/>
        <v/>
      </c>
      <c r="AD68" s="2"/>
      <c r="AE68" s="459">
        <f t="shared" si="7"/>
        <v>0</v>
      </c>
    </row>
    <row r="69" spans="1:31" s="13" customFormat="1" ht="20.100000000000001" customHeight="1" x14ac:dyDescent="0.25">
      <c r="A69" s="92">
        <v>51</v>
      </c>
      <c r="B69" s="170"/>
      <c r="C69" s="371"/>
      <c r="D69" s="372"/>
      <c r="E69" s="372"/>
      <c r="F69" s="170"/>
      <c r="G69" s="170"/>
      <c r="H69" s="170"/>
      <c r="I69" s="170"/>
      <c r="J69" s="170"/>
      <c r="K69" s="170"/>
      <c r="L69" s="170"/>
      <c r="M69" s="170"/>
      <c r="N69" s="170"/>
      <c r="O69" s="368"/>
      <c r="P69" s="170"/>
      <c r="Q69" s="368">
        <v>0</v>
      </c>
      <c r="R69" s="170"/>
      <c r="S69" s="373" t="str">
        <f>IF(B69="","",ROUND(Iluminação!$C$19,2))</f>
        <v/>
      </c>
      <c r="T69" s="373" t="str">
        <f>IF(B69="","",IFERROR(VLOOKUP(Início!$C$20,Aux_Lista!A:I,9,FALSE),""))</f>
        <v/>
      </c>
      <c r="U69" s="373" t="str">
        <f>IF(ISERROR(VLOOKUP($I69,Aux_Lista!$A$2:$L$13,10,FALSE)^-1),"",VLOOKUP($I69,Aux_Lista!$A$2:$L$13,10,FALSE)^-1)</f>
        <v/>
      </c>
      <c r="V69" s="374" t="str">
        <f>IF(ISERROR(VLOOKUP($I69,Aux_Lista!$A$2:$L$13,11,FALSE)),"",VLOOKUP($I69,Aux_Lista!$A$2:$L$13,11,FALSE))</f>
        <v/>
      </c>
      <c r="W69" s="454" t="s">
        <v>10549</v>
      </c>
      <c r="X69" s="454" t="s">
        <v>10549</v>
      </c>
      <c r="Y69" s="456"/>
      <c r="Z69" s="467" t="str">
        <f t="shared" si="5"/>
        <v/>
      </c>
      <c r="AA69" s="467" t="str">
        <f t="shared" si="6"/>
        <v/>
      </c>
      <c r="AB69" s="281" t="str">
        <f t="shared" si="3"/>
        <v/>
      </c>
      <c r="AC69" s="281" t="str">
        <f t="shared" si="4"/>
        <v/>
      </c>
      <c r="AD69" s="2"/>
      <c r="AE69" s="459">
        <f t="shared" si="7"/>
        <v>0</v>
      </c>
    </row>
    <row r="70" spans="1:31" s="13" customFormat="1" ht="20.100000000000001" customHeight="1" x14ac:dyDescent="0.25">
      <c r="A70" s="93">
        <v>52</v>
      </c>
      <c r="B70" s="170"/>
      <c r="C70" s="371"/>
      <c r="D70" s="372"/>
      <c r="E70" s="372"/>
      <c r="F70" s="170"/>
      <c r="G70" s="170"/>
      <c r="H70" s="170"/>
      <c r="I70" s="170"/>
      <c r="J70" s="170"/>
      <c r="K70" s="170"/>
      <c r="L70" s="170"/>
      <c r="M70" s="170"/>
      <c r="N70" s="170"/>
      <c r="O70" s="368"/>
      <c r="P70" s="170"/>
      <c r="Q70" s="368">
        <v>0</v>
      </c>
      <c r="R70" s="170"/>
      <c r="S70" s="373" t="str">
        <f>IF(B70="","",ROUND(Iluminação!$C$19,2))</f>
        <v/>
      </c>
      <c r="T70" s="373" t="str">
        <f>IF(B70="","",IFERROR(VLOOKUP(Início!$C$20,Aux_Lista!A:I,9,FALSE),""))</f>
        <v/>
      </c>
      <c r="U70" s="373" t="str">
        <f>IF(ISERROR(VLOOKUP($I70,Aux_Lista!$A$2:$L$13,10,FALSE)^-1),"",VLOOKUP($I70,Aux_Lista!$A$2:$L$13,10,FALSE)^-1)</f>
        <v/>
      </c>
      <c r="V70" s="374" t="str">
        <f>IF(ISERROR(VLOOKUP($I70,Aux_Lista!$A$2:$L$13,11,FALSE)),"",VLOOKUP($I70,Aux_Lista!$A$2:$L$13,11,FALSE))</f>
        <v/>
      </c>
      <c r="W70" s="454" t="s">
        <v>10549</v>
      </c>
      <c r="X70" s="454" t="s">
        <v>10549</v>
      </c>
      <c r="Y70" s="456"/>
      <c r="Z70" s="467" t="str">
        <f t="shared" si="5"/>
        <v/>
      </c>
      <c r="AA70" s="467" t="str">
        <f t="shared" si="6"/>
        <v/>
      </c>
      <c r="AB70" s="281" t="str">
        <f t="shared" si="3"/>
        <v/>
      </c>
      <c r="AC70" s="281" t="str">
        <f t="shared" si="4"/>
        <v/>
      </c>
      <c r="AD70" s="2"/>
      <c r="AE70" s="459">
        <f t="shared" si="7"/>
        <v>0</v>
      </c>
    </row>
    <row r="71" spans="1:31" s="13" customFormat="1" ht="20.100000000000001" customHeight="1" x14ac:dyDescent="0.25">
      <c r="A71" s="92">
        <v>53</v>
      </c>
      <c r="B71" s="170"/>
      <c r="C71" s="371"/>
      <c r="D71" s="372"/>
      <c r="E71" s="372"/>
      <c r="F71" s="170"/>
      <c r="G71" s="170"/>
      <c r="H71" s="170"/>
      <c r="I71" s="170"/>
      <c r="J71" s="170"/>
      <c r="K71" s="170"/>
      <c r="L71" s="170"/>
      <c r="M71" s="170"/>
      <c r="N71" s="170"/>
      <c r="O71" s="368"/>
      <c r="P71" s="170"/>
      <c r="Q71" s="368">
        <v>0</v>
      </c>
      <c r="R71" s="170"/>
      <c r="S71" s="373" t="str">
        <f>IF(B71="","",ROUND(Iluminação!$C$19,2))</f>
        <v/>
      </c>
      <c r="T71" s="373" t="str">
        <f>IF(B71="","",IFERROR(VLOOKUP(Início!$C$20,Aux_Lista!A:I,9,FALSE),""))</f>
        <v/>
      </c>
      <c r="U71" s="373" t="str">
        <f>IF(ISERROR(VLOOKUP($I71,Aux_Lista!$A$2:$L$13,10,FALSE)^-1),"",VLOOKUP($I71,Aux_Lista!$A$2:$L$13,10,FALSE)^-1)</f>
        <v/>
      </c>
      <c r="V71" s="374" t="str">
        <f>IF(ISERROR(VLOOKUP($I71,Aux_Lista!$A$2:$L$13,11,FALSE)),"",VLOOKUP($I71,Aux_Lista!$A$2:$L$13,11,FALSE))</f>
        <v/>
      </c>
      <c r="W71" s="454" t="s">
        <v>10549</v>
      </c>
      <c r="X71" s="454" t="s">
        <v>10549</v>
      </c>
      <c r="Y71" s="456"/>
      <c r="Z71" s="467" t="str">
        <f t="shared" si="5"/>
        <v/>
      </c>
      <c r="AA71" s="467" t="str">
        <f t="shared" si="6"/>
        <v/>
      </c>
      <c r="AB71" s="281" t="str">
        <f t="shared" si="3"/>
        <v/>
      </c>
      <c r="AC71" s="281" t="str">
        <f t="shared" si="4"/>
        <v/>
      </c>
      <c r="AD71" s="2"/>
      <c r="AE71" s="459">
        <f t="shared" si="7"/>
        <v>0</v>
      </c>
    </row>
    <row r="72" spans="1:31" s="13" customFormat="1" ht="20.100000000000001" customHeight="1" x14ac:dyDescent="0.25">
      <c r="A72" s="93">
        <v>54</v>
      </c>
      <c r="B72" s="170"/>
      <c r="C72" s="371"/>
      <c r="D72" s="372"/>
      <c r="E72" s="372"/>
      <c r="F72" s="170"/>
      <c r="G72" s="170"/>
      <c r="H72" s="170"/>
      <c r="I72" s="170"/>
      <c r="J72" s="170"/>
      <c r="K72" s="170"/>
      <c r="L72" s="170"/>
      <c r="M72" s="170"/>
      <c r="N72" s="170"/>
      <c r="O72" s="368"/>
      <c r="P72" s="170"/>
      <c r="Q72" s="368">
        <v>0</v>
      </c>
      <c r="R72" s="170"/>
      <c r="S72" s="373" t="str">
        <f>IF(B72="","",ROUND(Iluminação!$C$19,2))</f>
        <v/>
      </c>
      <c r="T72" s="373" t="str">
        <f>IF(B72="","",IFERROR(VLOOKUP(Início!$C$20,Aux_Lista!A:I,9,FALSE),""))</f>
        <v/>
      </c>
      <c r="U72" s="373" t="str">
        <f>IF(ISERROR(VLOOKUP($I72,Aux_Lista!$A$2:$L$13,10,FALSE)^-1),"",VLOOKUP($I72,Aux_Lista!$A$2:$L$13,10,FALSE)^-1)</f>
        <v/>
      </c>
      <c r="V72" s="374" t="str">
        <f>IF(ISERROR(VLOOKUP($I72,Aux_Lista!$A$2:$L$13,11,FALSE)),"",VLOOKUP($I72,Aux_Lista!$A$2:$L$13,11,FALSE))</f>
        <v/>
      </c>
      <c r="W72" s="454" t="s">
        <v>10549</v>
      </c>
      <c r="X72" s="454" t="s">
        <v>10549</v>
      </c>
      <c r="Y72" s="456"/>
      <c r="Z72" s="467" t="str">
        <f t="shared" si="5"/>
        <v/>
      </c>
      <c r="AA72" s="467" t="str">
        <f t="shared" si="6"/>
        <v/>
      </c>
      <c r="AB72" s="281" t="str">
        <f t="shared" si="3"/>
        <v/>
      </c>
      <c r="AC72" s="281" t="str">
        <f t="shared" si="4"/>
        <v/>
      </c>
      <c r="AD72" s="2"/>
      <c r="AE72" s="459">
        <f t="shared" si="7"/>
        <v>0</v>
      </c>
    </row>
    <row r="73" spans="1:31" s="13" customFormat="1" ht="20.100000000000001" customHeight="1" x14ac:dyDescent="0.25">
      <c r="A73" s="92">
        <v>55</v>
      </c>
      <c r="B73" s="170"/>
      <c r="C73" s="371"/>
      <c r="D73" s="372"/>
      <c r="E73" s="372"/>
      <c r="F73" s="170"/>
      <c r="G73" s="170"/>
      <c r="H73" s="170"/>
      <c r="I73" s="170"/>
      <c r="J73" s="170"/>
      <c r="K73" s="170"/>
      <c r="L73" s="170"/>
      <c r="M73" s="170"/>
      <c r="N73" s="170"/>
      <c r="O73" s="368"/>
      <c r="P73" s="170"/>
      <c r="Q73" s="368">
        <v>0</v>
      </c>
      <c r="R73" s="170"/>
      <c r="S73" s="373" t="str">
        <f>IF(B73="","",ROUND(Iluminação!$C$19,2))</f>
        <v/>
      </c>
      <c r="T73" s="373" t="str">
        <f>IF(B73="","",IFERROR(VLOOKUP(Início!$C$20,Aux_Lista!A:I,9,FALSE),""))</f>
        <v/>
      </c>
      <c r="U73" s="373" t="str">
        <f>IF(ISERROR(VLOOKUP($I73,Aux_Lista!$A$2:$L$13,10,FALSE)^-1),"",VLOOKUP($I73,Aux_Lista!$A$2:$L$13,10,FALSE)^-1)</f>
        <v/>
      </c>
      <c r="V73" s="374" t="str">
        <f>IF(ISERROR(VLOOKUP($I73,Aux_Lista!$A$2:$L$13,11,FALSE)),"",VLOOKUP($I73,Aux_Lista!$A$2:$L$13,11,FALSE))</f>
        <v/>
      </c>
      <c r="W73" s="454" t="s">
        <v>10549</v>
      </c>
      <c r="X73" s="454" t="s">
        <v>10549</v>
      </c>
      <c r="Y73" s="456"/>
      <c r="Z73" s="467" t="str">
        <f t="shared" si="5"/>
        <v/>
      </c>
      <c r="AA73" s="467" t="str">
        <f t="shared" si="6"/>
        <v/>
      </c>
      <c r="AB73" s="281" t="str">
        <f t="shared" si="3"/>
        <v/>
      </c>
      <c r="AC73" s="281" t="str">
        <f t="shared" si="4"/>
        <v/>
      </c>
      <c r="AD73" s="2"/>
      <c r="AE73" s="459">
        <f t="shared" si="7"/>
        <v>0</v>
      </c>
    </row>
    <row r="74" spans="1:31" s="13" customFormat="1" ht="20.100000000000001" customHeight="1" x14ac:dyDescent="0.25">
      <c r="A74" s="93">
        <v>56</v>
      </c>
      <c r="B74" s="170"/>
      <c r="C74" s="371"/>
      <c r="D74" s="372"/>
      <c r="E74" s="372"/>
      <c r="F74" s="170"/>
      <c r="G74" s="170"/>
      <c r="H74" s="170"/>
      <c r="I74" s="170"/>
      <c r="J74" s="170"/>
      <c r="K74" s="170"/>
      <c r="L74" s="170"/>
      <c r="M74" s="170"/>
      <c r="N74" s="170"/>
      <c r="O74" s="368"/>
      <c r="P74" s="170"/>
      <c r="Q74" s="368">
        <v>0</v>
      </c>
      <c r="R74" s="170"/>
      <c r="S74" s="373" t="str">
        <f>IF(B74="","",ROUND(Iluminação!$C$19,2))</f>
        <v/>
      </c>
      <c r="T74" s="373" t="str">
        <f>IF(B74="","",IFERROR(VLOOKUP(Início!$C$20,Aux_Lista!A:I,9,FALSE),""))</f>
        <v/>
      </c>
      <c r="U74" s="373" t="str">
        <f>IF(ISERROR(VLOOKUP($I74,Aux_Lista!$A$2:$L$13,10,FALSE)^-1),"",VLOOKUP($I74,Aux_Lista!$A$2:$L$13,10,FALSE)^-1)</f>
        <v/>
      </c>
      <c r="V74" s="374" t="str">
        <f>IF(ISERROR(VLOOKUP($I74,Aux_Lista!$A$2:$L$13,11,FALSE)),"",VLOOKUP($I74,Aux_Lista!$A$2:$L$13,11,FALSE))</f>
        <v/>
      </c>
      <c r="W74" s="454" t="s">
        <v>10549</v>
      </c>
      <c r="X74" s="454" t="s">
        <v>10549</v>
      </c>
      <c r="Y74" s="456"/>
      <c r="Z74" s="467" t="str">
        <f t="shared" si="5"/>
        <v/>
      </c>
      <c r="AA74" s="467" t="str">
        <f t="shared" si="6"/>
        <v/>
      </c>
      <c r="AB74" s="281" t="str">
        <f t="shared" si="3"/>
        <v/>
      </c>
      <c r="AC74" s="281" t="str">
        <f t="shared" si="4"/>
        <v/>
      </c>
      <c r="AD74" s="2"/>
      <c r="AE74" s="459">
        <f t="shared" si="7"/>
        <v>0</v>
      </c>
    </row>
    <row r="75" spans="1:31" s="13" customFormat="1" ht="20.100000000000001" customHeight="1" x14ac:dyDescent="0.25">
      <c r="A75" s="92">
        <v>57</v>
      </c>
      <c r="B75" s="170"/>
      <c r="C75" s="371"/>
      <c r="D75" s="372"/>
      <c r="E75" s="372"/>
      <c r="F75" s="170"/>
      <c r="G75" s="170"/>
      <c r="H75" s="170"/>
      <c r="I75" s="170"/>
      <c r="J75" s="170"/>
      <c r="K75" s="170"/>
      <c r="L75" s="170"/>
      <c r="M75" s="170"/>
      <c r="N75" s="170"/>
      <c r="O75" s="368"/>
      <c r="P75" s="170"/>
      <c r="Q75" s="368">
        <v>0</v>
      </c>
      <c r="R75" s="170"/>
      <c r="S75" s="373" t="str">
        <f>IF(B75="","",ROUND(Iluminação!$C$19,2))</f>
        <v/>
      </c>
      <c r="T75" s="373" t="str">
        <f>IF(B75="","",IFERROR(VLOOKUP(Início!$C$20,Aux_Lista!A:I,9,FALSE),""))</f>
        <v/>
      </c>
      <c r="U75" s="373" t="str">
        <f>IF(ISERROR(VLOOKUP($I75,Aux_Lista!$A$2:$L$13,10,FALSE)^-1),"",VLOOKUP($I75,Aux_Lista!$A$2:$L$13,10,FALSE)^-1)</f>
        <v/>
      </c>
      <c r="V75" s="374" t="str">
        <f>IF(ISERROR(VLOOKUP($I75,Aux_Lista!$A$2:$L$13,11,FALSE)),"",VLOOKUP($I75,Aux_Lista!$A$2:$L$13,11,FALSE))</f>
        <v/>
      </c>
      <c r="W75" s="454" t="s">
        <v>10549</v>
      </c>
      <c r="X75" s="454" t="s">
        <v>10549</v>
      </c>
      <c r="Y75" s="456"/>
      <c r="Z75" s="467" t="str">
        <f t="shared" si="5"/>
        <v/>
      </c>
      <c r="AA75" s="467" t="str">
        <f t="shared" si="6"/>
        <v/>
      </c>
      <c r="AB75" s="281" t="str">
        <f t="shared" si="3"/>
        <v/>
      </c>
      <c r="AC75" s="281" t="str">
        <f t="shared" si="4"/>
        <v/>
      </c>
      <c r="AD75" s="2"/>
      <c r="AE75" s="459">
        <f t="shared" si="7"/>
        <v>0</v>
      </c>
    </row>
    <row r="76" spans="1:31" s="13" customFormat="1" ht="20.100000000000001" customHeight="1" x14ac:dyDescent="0.25">
      <c r="A76" s="93">
        <v>58</v>
      </c>
      <c r="B76" s="170"/>
      <c r="C76" s="371"/>
      <c r="D76" s="372"/>
      <c r="E76" s="372"/>
      <c r="F76" s="170"/>
      <c r="G76" s="170"/>
      <c r="H76" s="170"/>
      <c r="I76" s="170"/>
      <c r="J76" s="170"/>
      <c r="K76" s="170"/>
      <c r="L76" s="170"/>
      <c r="M76" s="170"/>
      <c r="N76" s="170"/>
      <c r="O76" s="368"/>
      <c r="P76" s="170"/>
      <c r="Q76" s="368">
        <v>0</v>
      </c>
      <c r="R76" s="170"/>
      <c r="S76" s="373" t="str">
        <f>IF(B76="","",ROUND(Iluminação!$C$19,2))</f>
        <v/>
      </c>
      <c r="T76" s="373" t="str">
        <f>IF(B76="","",IFERROR(VLOOKUP(Início!$C$20,Aux_Lista!A:I,9,FALSE),""))</f>
        <v/>
      </c>
      <c r="U76" s="373" t="str">
        <f>IF(ISERROR(VLOOKUP($I76,Aux_Lista!$A$2:$L$13,10,FALSE)^-1),"",VLOOKUP($I76,Aux_Lista!$A$2:$L$13,10,FALSE)^-1)</f>
        <v/>
      </c>
      <c r="V76" s="374" t="str">
        <f>IF(ISERROR(VLOOKUP($I76,Aux_Lista!$A$2:$L$13,11,FALSE)),"",VLOOKUP($I76,Aux_Lista!$A$2:$L$13,11,FALSE))</f>
        <v/>
      </c>
      <c r="W76" s="454" t="s">
        <v>10549</v>
      </c>
      <c r="X76" s="454" t="s">
        <v>10549</v>
      </c>
      <c r="Y76" s="456"/>
      <c r="Z76" s="467" t="str">
        <f t="shared" si="5"/>
        <v/>
      </c>
      <c r="AA76" s="467" t="str">
        <f t="shared" si="6"/>
        <v/>
      </c>
      <c r="AB76" s="281" t="str">
        <f t="shared" si="3"/>
        <v/>
      </c>
      <c r="AC76" s="281" t="str">
        <f t="shared" si="4"/>
        <v/>
      </c>
      <c r="AD76" s="2"/>
      <c r="AE76" s="459">
        <f t="shared" si="7"/>
        <v>0</v>
      </c>
    </row>
    <row r="77" spans="1:31" s="13" customFormat="1" ht="20.100000000000001" customHeight="1" x14ac:dyDescent="0.25">
      <c r="A77" s="92">
        <v>59</v>
      </c>
      <c r="B77" s="170"/>
      <c r="C77" s="371"/>
      <c r="D77" s="372"/>
      <c r="E77" s="372"/>
      <c r="F77" s="170"/>
      <c r="G77" s="170"/>
      <c r="H77" s="170"/>
      <c r="I77" s="170"/>
      <c r="J77" s="170"/>
      <c r="K77" s="170"/>
      <c r="L77" s="170"/>
      <c r="M77" s="170"/>
      <c r="N77" s="170"/>
      <c r="O77" s="368"/>
      <c r="P77" s="170"/>
      <c r="Q77" s="368">
        <v>0</v>
      </c>
      <c r="R77" s="170"/>
      <c r="S77" s="373" t="str">
        <f>IF(B77="","",ROUND(Iluminação!$C$19,2))</f>
        <v/>
      </c>
      <c r="T77" s="373" t="str">
        <f>IF(B77="","",IFERROR(VLOOKUP(Início!$C$20,Aux_Lista!A:I,9,FALSE),""))</f>
        <v/>
      </c>
      <c r="U77" s="373" t="str">
        <f>IF(ISERROR(VLOOKUP($I77,Aux_Lista!$A$2:$L$13,10,FALSE)^-1),"",VLOOKUP($I77,Aux_Lista!$A$2:$L$13,10,FALSE)^-1)</f>
        <v/>
      </c>
      <c r="V77" s="374" t="str">
        <f>IF(ISERROR(VLOOKUP($I77,Aux_Lista!$A$2:$L$13,11,FALSE)),"",VLOOKUP($I77,Aux_Lista!$A$2:$L$13,11,FALSE))</f>
        <v/>
      </c>
      <c r="W77" s="454" t="s">
        <v>10549</v>
      </c>
      <c r="X77" s="454" t="s">
        <v>10549</v>
      </c>
      <c r="Y77" s="456"/>
      <c r="Z77" s="467" t="str">
        <f t="shared" si="5"/>
        <v/>
      </c>
      <c r="AA77" s="467" t="str">
        <f t="shared" si="6"/>
        <v/>
      </c>
      <c r="AB77" s="281" t="str">
        <f t="shared" si="3"/>
        <v/>
      </c>
      <c r="AC77" s="281" t="str">
        <f t="shared" si="4"/>
        <v/>
      </c>
      <c r="AD77" s="2"/>
      <c r="AE77" s="459">
        <f t="shared" si="7"/>
        <v>0</v>
      </c>
    </row>
    <row r="78" spans="1:31" s="13" customFormat="1" ht="20.100000000000001" customHeight="1" x14ac:dyDescent="0.25">
      <c r="A78" s="93">
        <v>60</v>
      </c>
      <c r="B78" s="170"/>
      <c r="C78" s="371"/>
      <c r="D78" s="372"/>
      <c r="E78" s="372"/>
      <c r="F78" s="170"/>
      <c r="G78" s="170"/>
      <c r="H78" s="170"/>
      <c r="I78" s="170"/>
      <c r="J78" s="170"/>
      <c r="K78" s="170"/>
      <c r="L78" s="170"/>
      <c r="M78" s="170"/>
      <c r="N78" s="170"/>
      <c r="O78" s="368"/>
      <c r="P78" s="170"/>
      <c r="Q78" s="368">
        <v>0</v>
      </c>
      <c r="R78" s="170"/>
      <c r="S78" s="373" t="str">
        <f>IF(B78="","",ROUND(Iluminação!$C$19,2))</f>
        <v/>
      </c>
      <c r="T78" s="373" t="str">
        <f>IF(B78="","",IFERROR(VLOOKUP(Início!$C$20,Aux_Lista!A:I,9,FALSE),""))</f>
        <v/>
      </c>
      <c r="U78" s="373" t="str">
        <f>IF(ISERROR(VLOOKUP($I78,Aux_Lista!$A$2:$L$13,10,FALSE)^-1),"",VLOOKUP($I78,Aux_Lista!$A$2:$L$13,10,FALSE)^-1)</f>
        <v/>
      </c>
      <c r="V78" s="374" t="str">
        <f>IF(ISERROR(VLOOKUP($I78,Aux_Lista!$A$2:$L$13,11,FALSE)),"",VLOOKUP($I78,Aux_Lista!$A$2:$L$13,11,FALSE))</f>
        <v/>
      </c>
      <c r="W78" s="454" t="s">
        <v>10549</v>
      </c>
      <c r="X78" s="454" t="s">
        <v>10549</v>
      </c>
      <c r="Y78" s="456"/>
      <c r="Z78" s="467" t="str">
        <f t="shared" si="5"/>
        <v/>
      </c>
      <c r="AA78" s="467" t="str">
        <f t="shared" si="6"/>
        <v/>
      </c>
      <c r="AB78" s="281" t="str">
        <f t="shared" si="3"/>
        <v/>
      </c>
      <c r="AC78" s="281" t="str">
        <f t="shared" si="4"/>
        <v/>
      </c>
      <c r="AD78" s="2"/>
      <c r="AE78" s="459">
        <f t="shared" si="7"/>
        <v>0</v>
      </c>
    </row>
    <row r="79" spans="1:31" s="13" customFormat="1" ht="20.100000000000001" customHeight="1" x14ac:dyDescent="0.25">
      <c r="A79" s="92">
        <v>61</v>
      </c>
      <c r="B79" s="170"/>
      <c r="C79" s="371"/>
      <c r="D79" s="372"/>
      <c r="E79" s="372"/>
      <c r="F79" s="170"/>
      <c r="G79" s="170"/>
      <c r="H79" s="170"/>
      <c r="I79" s="170"/>
      <c r="J79" s="170"/>
      <c r="K79" s="170"/>
      <c r="L79" s="170"/>
      <c r="M79" s="170"/>
      <c r="N79" s="170"/>
      <c r="O79" s="368"/>
      <c r="P79" s="170"/>
      <c r="Q79" s="368">
        <v>0</v>
      </c>
      <c r="R79" s="170"/>
      <c r="S79" s="373" t="str">
        <f>IF(B79="","",ROUND(Iluminação!$C$19,2))</f>
        <v/>
      </c>
      <c r="T79" s="373" t="str">
        <f>IF(B79="","",IFERROR(VLOOKUP(Início!$C$20,Aux_Lista!A:I,9,FALSE),""))</f>
        <v/>
      </c>
      <c r="U79" s="373" t="str">
        <f>IF(ISERROR(VLOOKUP($I79,Aux_Lista!$A$2:$L$13,10,FALSE)^-1),"",VLOOKUP($I79,Aux_Lista!$A$2:$L$13,10,FALSE)^-1)</f>
        <v/>
      </c>
      <c r="V79" s="374" t="str">
        <f>IF(ISERROR(VLOOKUP($I79,Aux_Lista!$A$2:$L$13,11,FALSE)),"",VLOOKUP($I79,Aux_Lista!$A$2:$L$13,11,FALSE))</f>
        <v/>
      </c>
      <c r="W79" s="454" t="s">
        <v>10549</v>
      </c>
      <c r="X79" s="454" t="s">
        <v>10549</v>
      </c>
      <c r="Y79" s="456"/>
      <c r="Z79" s="467" t="str">
        <f t="shared" si="5"/>
        <v/>
      </c>
      <c r="AA79" s="467" t="str">
        <f t="shared" si="6"/>
        <v/>
      </c>
      <c r="AB79" s="281" t="str">
        <f t="shared" si="3"/>
        <v/>
      </c>
      <c r="AC79" s="281" t="str">
        <f t="shared" si="4"/>
        <v/>
      </c>
      <c r="AD79" s="2"/>
      <c r="AE79" s="459">
        <f t="shared" si="7"/>
        <v>0</v>
      </c>
    </row>
    <row r="80" spans="1:31" s="13" customFormat="1" ht="20.100000000000001" customHeight="1" x14ac:dyDescent="0.25">
      <c r="A80" s="93">
        <v>62</v>
      </c>
      <c r="B80" s="170"/>
      <c r="C80" s="371"/>
      <c r="D80" s="371"/>
      <c r="E80" s="372"/>
      <c r="F80" s="170"/>
      <c r="G80" s="170"/>
      <c r="H80" s="170"/>
      <c r="I80" s="170"/>
      <c r="J80" s="170"/>
      <c r="K80" s="170"/>
      <c r="L80" s="170"/>
      <c r="M80" s="170"/>
      <c r="N80" s="170"/>
      <c r="O80" s="369"/>
      <c r="P80" s="170"/>
      <c r="Q80" s="368">
        <v>0</v>
      </c>
      <c r="R80" s="170"/>
      <c r="S80" s="373" t="str">
        <f>IF(B80="","",ROUND(Iluminação!$C$19,2))</f>
        <v/>
      </c>
      <c r="T80" s="373" t="str">
        <f>IF(B80="","",IFERROR(VLOOKUP(Início!$C$20,Aux_Lista!A:I,9,FALSE),""))</f>
        <v/>
      </c>
      <c r="U80" s="373" t="str">
        <f>IF(ISERROR(VLOOKUP($I80,Aux_Lista!$A$2:$L$13,10,FALSE)^-1),"",VLOOKUP($I80,Aux_Lista!$A$2:$L$13,10,FALSE)^-1)</f>
        <v/>
      </c>
      <c r="V80" s="374" t="str">
        <f>IF(ISERROR(VLOOKUP($I80,Aux_Lista!$A$2:$L$13,11,FALSE)),"",VLOOKUP($I80,Aux_Lista!$A$2:$L$13,11,FALSE))</f>
        <v/>
      </c>
      <c r="W80" s="454" t="s">
        <v>10549</v>
      </c>
      <c r="X80" s="454" t="s">
        <v>10549</v>
      </c>
      <c r="Y80" s="456"/>
      <c r="Z80" s="467" t="str">
        <f t="shared" si="5"/>
        <v/>
      </c>
      <c r="AA80" s="467" t="str">
        <f t="shared" si="6"/>
        <v/>
      </c>
      <c r="AB80" s="281" t="str">
        <f t="shared" si="3"/>
        <v/>
      </c>
      <c r="AC80" s="281" t="str">
        <f t="shared" si="4"/>
        <v/>
      </c>
      <c r="AD80" s="2"/>
      <c r="AE80" s="459">
        <f t="shared" si="7"/>
        <v>0</v>
      </c>
    </row>
    <row r="81" spans="1:31" s="13" customFormat="1" ht="20.100000000000001" customHeight="1" x14ac:dyDescent="0.25">
      <c r="A81" s="92">
        <v>63</v>
      </c>
      <c r="B81" s="170"/>
      <c r="C81" s="371"/>
      <c r="D81" s="371"/>
      <c r="E81" s="372"/>
      <c r="F81" s="170"/>
      <c r="G81" s="170"/>
      <c r="H81" s="170"/>
      <c r="I81" s="170"/>
      <c r="J81" s="170"/>
      <c r="K81" s="170"/>
      <c r="L81" s="170"/>
      <c r="M81" s="170"/>
      <c r="N81" s="170"/>
      <c r="O81" s="369"/>
      <c r="P81" s="170"/>
      <c r="Q81" s="368">
        <v>0</v>
      </c>
      <c r="R81" s="170"/>
      <c r="S81" s="373" t="str">
        <f>IF(B81="","",ROUND(Iluminação!$C$19,2))</f>
        <v/>
      </c>
      <c r="T81" s="373" t="str">
        <f>IF(B81="","",IFERROR(VLOOKUP(Início!$C$20,Aux_Lista!A:I,9,FALSE),""))</f>
        <v/>
      </c>
      <c r="U81" s="373" t="str">
        <f>IF(ISERROR(VLOOKUP($I81,Aux_Lista!$A$2:$L$13,10,FALSE)^-1),"",VLOOKUP($I81,Aux_Lista!$A$2:$L$13,10,FALSE)^-1)</f>
        <v/>
      </c>
      <c r="V81" s="374" t="str">
        <f>IF(ISERROR(VLOOKUP($I81,Aux_Lista!$A$2:$L$13,11,FALSE)),"",VLOOKUP($I81,Aux_Lista!$A$2:$L$13,11,FALSE))</f>
        <v/>
      </c>
      <c r="W81" s="104" t="s">
        <v>10549</v>
      </c>
      <c r="X81" s="104" t="s">
        <v>10549</v>
      </c>
      <c r="Y81" s="456"/>
      <c r="Z81" s="467" t="str">
        <f t="shared" si="5"/>
        <v/>
      </c>
      <c r="AA81" s="467" t="str">
        <f t="shared" si="6"/>
        <v/>
      </c>
      <c r="AB81" s="281" t="str">
        <f t="shared" si="3"/>
        <v/>
      </c>
      <c r="AC81" s="281" t="str">
        <f t="shared" si="4"/>
        <v/>
      </c>
      <c r="AD81" s="2"/>
      <c r="AE81" s="459">
        <f t="shared" si="7"/>
        <v>0</v>
      </c>
    </row>
    <row r="82" spans="1:31" s="13" customFormat="1" ht="20.100000000000001" customHeight="1" x14ac:dyDescent="0.25">
      <c r="A82" s="93">
        <v>64</v>
      </c>
      <c r="B82" s="170"/>
      <c r="C82" s="371"/>
      <c r="D82" s="372"/>
      <c r="E82" s="372"/>
      <c r="F82" s="170"/>
      <c r="G82" s="170"/>
      <c r="H82" s="170"/>
      <c r="I82" s="170"/>
      <c r="J82" s="170"/>
      <c r="K82" s="170"/>
      <c r="L82" s="170"/>
      <c r="M82" s="170"/>
      <c r="N82" s="170"/>
      <c r="O82" s="368"/>
      <c r="P82" s="170"/>
      <c r="Q82" s="368">
        <v>0</v>
      </c>
      <c r="R82" s="170"/>
      <c r="S82" s="373" t="str">
        <f>IF(B82="","",ROUND(Iluminação!$C$19,2))</f>
        <v/>
      </c>
      <c r="T82" s="373" t="str">
        <f>IF(B82="","",IFERROR(VLOOKUP(Início!$C$20,Aux_Lista!A:I,9,FALSE),""))</f>
        <v/>
      </c>
      <c r="U82" s="373" t="str">
        <f>IF(ISERROR(VLOOKUP($I82,Aux_Lista!$A$2:$L$13,10,FALSE)^-1),"",VLOOKUP($I82,Aux_Lista!$A$2:$L$13,10,FALSE)^-1)</f>
        <v/>
      </c>
      <c r="V82" s="374" t="str">
        <f>IF(ISERROR(VLOOKUP($I82,Aux_Lista!$A$2:$L$13,11,FALSE)),"",VLOOKUP($I82,Aux_Lista!$A$2:$L$13,11,FALSE))</f>
        <v/>
      </c>
      <c r="W82" s="454" t="s">
        <v>10549</v>
      </c>
      <c r="X82" s="454" t="s">
        <v>10549</v>
      </c>
      <c r="Y82" s="456"/>
      <c r="Z82" s="467" t="str">
        <f t="shared" si="5"/>
        <v/>
      </c>
      <c r="AA82" s="467" t="str">
        <f t="shared" si="6"/>
        <v/>
      </c>
      <c r="AB82" s="281" t="str">
        <f t="shared" si="3"/>
        <v/>
      </c>
      <c r="AC82" s="281" t="str">
        <f t="shared" si="4"/>
        <v/>
      </c>
      <c r="AD82" s="2"/>
      <c r="AE82" s="459">
        <f t="shared" si="7"/>
        <v>0</v>
      </c>
    </row>
    <row r="83" spans="1:31" s="13" customFormat="1" ht="20.100000000000001" customHeight="1" x14ac:dyDescent="0.25">
      <c r="A83" s="92">
        <v>65</v>
      </c>
      <c r="B83" s="170"/>
      <c r="C83" s="371"/>
      <c r="D83" s="372"/>
      <c r="E83" s="372"/>
      <c r="F83" s="170"/>
      <c r="G83" s="170"/>
      <c r="H83" s="170"/>
      <c r="I83" s="170"/>
      <c r="J83" s="170"/>
      <c r="K83" s="170"/>
      <c r="L83" s="170"/>
      <c r="M83" s="170"/>
      <c r="N83" s="170"/>
      <c r="O83" s="368"/>
      <c r="P83" s="170"/>
      <c r="Q83" s="368">
        <v>0</v>
      </c>
      <c r="R83" s="170"/>
      <c r="S83" s="373" t="str">
        <f>IF(B83="","",ROUND(Iluminação!$C$19,2))</f>
        <v/>
      </c>
      <c r="T83" s="373" t="str">
        <f>IF(B83="","",IFERROR(VLOOKUP(Início!$C$20,Aux_Lista!A:I,9,FALSE),""))</f>
        <v/>
      </c>
      <c r="U83" s="373" t="str">
        <f>IF(ISERROR(VLOOKUP($I83,Aux_Lista!$A$2:$L$13,10,FALSE)^-1),"",VLOOKUP($I83,Aux_Lista!$A$2:$L$13,10,FALSE)^-1)</f>
        <v/>
      </c>
      <c r="V83" s="374" t="str">
        <f>IF(ISERROR(VLOOKUP($I83,Aux_Lista!$A$2:$L$13,11,FALSE)),"",VLOOKUP($I83,Aux_Lista!$A$2:$L$13,11,FALSE))</f>
        <v/>
      </c>
      <c r="W83" s="454" t="s">
        <v>10549</v>
      </c>
      <c r="X83" s="454" t="s">
        <v>10549</v>
      </c>
      <c r="Y83" s="456"/>
      <c r="Z83" s="467" t="str">
        <f t="shared" ref="Z83:Z118" si="8">IF(ISNUMBER(W83),W83*D83,"")</f>
        <v/>
      </c>
      <c r="AA83" s="467" t="str">
        <f t="shared" ref="AA83:AA118" si="9">IF(ISNUMBER(X83),X83*D83,"")</f>
        <v/>
      </c>
      <c r="AB83" s="281" t="str">
        <f t="shared" si="3"/>
        <v/>
      </c>
      <c r="AC83" s="281" t="str">
        <f t="shared" si="4"/>
        <v/>
      </c>
      <c r="AD83" s="2"/>
      <c r="AE83" s="459">
        <f t="shared" si="7"/>
        <v>0</v>
      </c>
    </row>
    <row r="84" spans="1:31" s="13" customFormat="1" ht="20.100000000000001" customHeight="1" x14ac:dyDescent="0.25">
      <c r="A84" s="93">
        <v>66</v>
      </c>
      <c r="B84" s="170"/>
      <c r="C84" s="371"/>
      <c r="D84" s="372"/>
      <c r="E84" s="372"/>
      <c r="F84" s="170"/>
      <c r="G84" s="170"/>
      <c r="H84" s="170"/>
      <c r="I84" s="170"/>
      <c r="J84" s="170"/>
      <c r="K84" s="170"/>
      <c r="L84" s="170"/>
      <c r="M84" s="170"/>
      <c r="N84" s="170"/>
      <c r="O84" s="368"/>
      <c r="P84" s="170"/>
      <c r="Q84" s="368">
        <v>0</v>
      </c>
      <c r="R84" s="170"/>
      <c r="S84" s="373" t="str">
        <f>IF(B84="","",ROUND(Iluminação!$C$19,2))</f>
        <v/>
      </c>
      <c r="T84" s="373" t="str">
        <f>IF(B84="","",IFERROR(VLOOKUP(Início!$C$20,Aux_Lista!A:I,9,FALSE),""))</f>
        <v/>
      </c>
      <c r="U84" s="373" t="str">
        <f>IF(ISERROR(VLOOKUP($I84,Aux_Lista!$A$2:$L$13,10,FALSE)^-1),"",VLOOKUP($I84,Aux_Lista!$A$2:$L$13,10,FALSE)^-1)</f>
        <v/>
      </c>
      <c r="V84" s="374" t="str">
        <f>IF(ISERROR(VLOOKUP($I84,Aux_Lista!$A$2:$L$13,11,FALSE)),"",VLOOKUP($I84,Aux_Lista!$A$2:$L$13,11,FALSE))</f>
        <v/>
      </c>
      <c r="W84" s="454" t="s">
        <v>10549</v>
      </c>
      <c r="X84" s="454" t="s">
        <v>10549</v>
      </c>
      <c r="Y84" s="456"/>
      <c r="Z84" s="467" t="str">
        <f t="shared" si="8"/>
        <v/>
      </c>
      <c r="AA84" s="467" t="str">
        <f t="shared" si="9"/>
        <v/>
      </c>
      <c r="AB84" s="281" t="str">
        <f t="shared" ref="AB84:AB118" si="10">IFERROR(IF(OR($AB$15="Sim (Naturalmente Ventilada)",$AB$15="Sim (Modo híbrido)"),Z84*Y84*(1-$AB$16),Z84*Y84),"")</f>
        <v/>
      </c>
      <c r="AC84" s="281" t="str">
        <f t="shared" ref="AC84:AC118" si="11">IFERROR(AA84*Y84,"")</f>
        <v/>
      </c>
      <c r="AD84" s="2"/>
      <c r="AE84" s="459">
        <f t="shared" ref="AE84:AE118" si="12">D84*E84</f>
        <v>0</v>
      </c>
    </row>
    <row r="85" spans="1:31" s="13" customFormat="1" ht="20.100000000000001" customHeight="1" x14ac:dyDescent="0.25">
      <c r="A85" s="92">
        <v>67</v>
      </c>
      <c r="B85" s="170"/>
      <c r="C85" s="371"/>
      <c r="D85" s="372"/>
      <c r="E85" s="372"/>
      <c r="F85" s="170"/>
      <c r="G85" s="170"/>
      <c r="H85" s="170"/>
      <c r="I85" s="170"/>
      <c r="J85" s="170"/>
      <c r="K85" s="170"/>
      <c r="L85" s="170"/>
      <c r="M85" s="170"/>
      <c r="N85" s="170"/>
      <c r="O85" s="368"/>
      <c r="P85" s="170"/>
      <c r="Q85" s="368">
        <v>0</v>
      </c>
      <c r="R85" s="170"/>
      <c r="S85" s="373" t="str">
        <f>IF(B85="","",ROUND(Iluminação!$C$19,2))</f>
        <v/>
      </c>
      <c r="T85" s="373" t="str">
        <f>IF(B85="","",IFERROR(VLOOKUP(Início!$C$20,Aux_Lista!A:I,9,FALSE),""))</f>
        <v/>
      </c>
      <c r="U85" s="373" t="str">
        <f>IF(ISERROR(VLOOKUP($I85,Aux_Lista!$A$2:$L$13,10,FALSE)^-1),"",VLOOKUP($I85,Aux_Lista!$A$2:$L$13,10,FALSE)^-1)</f>
        <v/>
      </c>
      <c r="V85" s="374" t="str">
        <f>IF(ISERROR(VLOOKUP($I85,Aux_Lista!$A$2:$L$13,11,FALSE)),"",VLOOKUP($I85,Aux_Lista!$A$2:$L$13,11,FALSE))</f>
        <v/>
      </c>
      <c r="W85" s="454" t="s">
        <v>10549</v>
      </c>
      <c r="X85" s="454" t="s">
        <v>10549</v>
      </c>
      <c r="Y85" s="456"/>
      <c r="Z85" s="467" t="str">
        <f t="shared" si="8"/>
        <v/>
      </c>
      <c r="AA85" s="467" t="str">
        <f t="shared" si="9"/>
        <v/>
      </c>
      <c r="AB85" s="281" t="str">
        <f t="shared" si="10"/>
        <v/>
      </c>
      <c r="AC85" s="281" t="str">
        <f t="shared" si="11"/>
        <v/>
      </c>
      <c r="AD85" s="2"/>
      <c r="AE85" s="459">
        <f t="shared" si="12"/>
        <v>0</v>
      </c>
    </row>
    <row r="86" spans="1:31" s="13" customFormat="1" ht="20.100000000000001" customHeight="1" x14ac:dyDescent="0.25">
      <c r="A86" s="93">
        <v>68</v>
      </c>
      <c r="B86" s="170"/>
      <c r="C86" s="371"/>
      <c r="D86" s="372"/>
      <c r="E86" s="372"/>
      <c r="F86" s="170"/>
      <c r="G86" s="170"/>
      <c r="H86" s="170"/>
      <c r="I86" s="170"/>
      <c r="J86" s="170"/>
      <c r="K86" s="170"/>
      <c r="L86" s="170"/>
      <c r="M86" s="170"/>
      <c r="N86" s="170"/>
      <c r="O86" s="368"/>
      <c r="P86" s="170"/>
      <c r="Q86" s="368">
        <v>0</v>
      </c>
      <c r="R86" s="170"/>
      <c r="S86" s="373" t="str">
        <f>IF(B86="","",ROUND(Iluminação!$C$19,2))</f>
        <v/>
      </c>
      <c r="T86" s="373" t="str">
        <f>IF(B86="","",IFERROR(VLOOKUP(Início!$C$20,Aux_Lista!A:I,9,FALSE),""))</f>
        <v/>
      </c>
      <c r="U86" s="373" t="str">
        <f>IF(ISERROR(VLOOKUP($I86,Aux_Lista!$A$2:$L$13,10,FALSE)^-1),"",VLOOKUP($I86,Aux_Lista!$A$2:$L$13,10,FALSE)^-1)</f>
        <v/>
      </c>
      <c r="V86" s="374" t="str">
        <f>IF(ISERROR(VLOOKUP($I86,Aux_Lista!$A$2:$L$13,11,FALSE)),"",VLOOKUP($I86,Aux_Lista!$A$2:$L$13,11,FALSE))</f>
        <v/>
      </c>
      <c r="W86" s="454" t="s">
        <v>10549</v>
      </c>
      <c r="X86" s="454" t="s">
        <v>10549</v>
      </c>
      <c r="Y86" s="456"/>
      <c r="Z86" s="467" t="str">
        <f t="shared" si="8"/>
        <v/>
      </c>
      <c r="AA86" s="467" t="str">
        <f t="shared" si="9"/>
        <v/>
      </c>
      <c r="AB86" s="281" t="str">
        <f t="shared" si="10"/>
        <v/>
      </c>
      <c r="AC86" s="281" t="str">
        <f t="shared" si="11"/>
        <v/>
      </c>
      <c r="AD86" s="2"/>
      <c r="AE86" s="459">
        <f t="shared" si="12"/>
        <v>0</v>
      </c>
    </row>
    <row r="87" spans="1:31" s="13" customFormat="1" ht="20.100000000000001" customHeight="1" x14ac:dyDescent="0.25">
      <c r="A87" s="92">
        <v>69</v>
      </c>
      <c r="B87" s="170"/>
      <c r="C87" s="371"/>
      <c r="D87" s="372"/>
      <c r="E87" s="372"/>
      <c r="F87" s="170"/>
      <c r="G87" s="170"/>
      <c r="H87" s="170"/>
      <c r="I87" s="170"/>
      <c r="J87" s="170"/>
      <c r="K87" s="170"/>
      <c r="L87" s="170"/>
      <c r="M87" s="170"/>
      <c r="N87" s="170"/>
      <c r="O87" s="368"/>
      <c r="P87" s="170"/>
      <c r="Q87" s="368">
        <v>0</v>
      </c>
      <c r="R87" s="170"/>
      <c r="S87" s="373" t="str">
        <f>IF(B87="","",ROUND(Iluminação!$C$19,2))</f>
        <v/>
      </c>
      <c r="T87" s="373" t="str">
        <f>IF(B87="","",IFERROR(VLOOKUP(Início!$C$20,Aux_Lista!A:I,9,FALSE),""))</f>
        <v/>
      </c>
      <c r="U87" s="373" t="str">
        <f>IF(ISERROR(VLOOKUP($I87,Aux_Lista!$A$2:$L$13,10,FALSE)^-1),"",VLOOKUP($I87,Aux_Lista!$A$2:$L$13,10,FALSE)^-1)</f>
        <v/>
      </c>
      <c r="V87" s="374" t="str">
        <f>IF(ISERROR(VLOOKUP($I87,Aux_Lista!$A$2:$L$13,11,FALSE)),"",VLOOKUP($I87,Aux_Lista!$A$2:$L$13,11,FALSE))</f>
        <v/>
      </c>
      <c r="W87" s="454" t="s">
        <v>10549</v>
      </c>
      <c r="X87" s="454" t="s">
        <v>10549</v>
      </c>
      <c r="Y87" s="456"/>
      <c r="Z87" s="467" t="str">
        <f t="shared" si="8"/>
        <v/>
      </c>
      <c r="AA87" s="467" t="str">
        <f t="shared" si="9"/>
        <v/>
      </c>
      <c r="AB87" s="281" t="str">
        <f t="shared" si="10"/>
        <v/>
      </c>
      <c r="AC87" s="281" t="str">
        <f t="shared" si="11"/>
        <v/>
      </c>
      <c r="AD87" s="2"/>
      <c r="AE87" s="459">
        <f t="shared" si="12"/>
        <v>0</v>
      </c>
    </row>
    <row r="88" spans="1:31" s="13" customFormat="1" ht="20.100000000000001" customHeight="1" x14ac:dyDescent="0.25">
      <c r="A88" s="93">
        <v>70</v>
      </c>
      <c r="B88" s="170"/>
      <c r="C88" s="371"/>
      <c r="D88" s="372"/>
      <c r="E88" s="372"/>
      <c r="F88" s="170"/>
      <c r="G88" s="170"/>
      <c r="H88" s="170"/>
      <c r="I88" s="170"/>
      <c r="J88" s="170"/>
      <c r="K88" s="170"/>
      <c r="L88" s="170"/>
      <c r="M88" s="170"/>
      <c r="N88" s="170"/>
      <c r="O88" s="368"/>
      <c r="P88" s="170"/>
      <c r="Q88" s="368">
        <v>0</v>
      </c>
      <c r="R88" s="170"/>
      <c r="S88" s="373" t="str">
        <f>IF(B88="","",ROUND(Iluminação!$C$19,2))</f>
        <v/>
      </c>
      <c r="T88" s="373" t="str">
        <f>IF(B88="","",IFERROR(VLOOKUP(Início!$C$20,Aux_Lista!A:I,9,FALSE),""))</f>
        <v/>
      </c>
      <c r="U88" s="373" t="str">
        <f>IF(ISERROR(VLOOKUP($I88,Aux_Lista!$A$2:$L$13,10,FALSE)^-1),"",VLOOKUP($I88,Aux_Lista!$A$2:$L$13,10,FALSE)^-1)</f>
        <v/>
      </c>
      <c r="V88" s="374" t="str">
        <f>IF(ISERROR(VLOOKUP($I88,Aux_Lista!$A$2:$L$13,11,FALSE)),"",VLOOKUP($I88,Aux_Lista!$A$2:$L$13,11,FALSE))</f>
        <v/>
      </c>
      <c r="W88" s="454" t="s">
        <v>10549</v>
      </c>
      <c r="X88" s="454" t="s">
        <v>10549</v>
      </c>
      <c r="Y88" s="456"/>
      <c r="Z88" s="467" t="str">
        <f t="shared" si="8"/>
        <v/>
      </c>
      <c r="AA88" s="467" t="str">
        <f t="shared" si="9"/>
        <v/>
      </c>
      <c r="AB88" s="281" t="str">
        <f t="shared" si="10"/>
        <v/>
      </c>
      <c r="AC88" s="281" t="str">
        <f t="shared" si="11"/>
        <v/>
      </c>
      <c r="AD88" s="2"/>
      <c r="AE88" s="459">
        <f t="shared" si="12"/>
        <v>0</v>
      </c>
    </row>
    <row r="89" spans="1:31" s="13" customFormat="1" ht="20.100000000000001" customHeight="1" x14ac:dyDescent="0.25">
      <c r="A89" s="92">
        <v>71</v>
      </c>
      <c r="B89" s="170"/>
      <c r="C89" s="371"/>
      <c r="D89" s="372"/>
      <c r="E89" s="372"/>
      <c r="F89" s="170"/>
      <c r="G89" s="170"/>
      <c r="H89" s="170"/>
      <c r="I89" s="170"/>
      <c r="J89" s="170"/>
      <c r="K89" s="170"/>
      <c r="L89" s="170"/>
      <c r="M89" s="170"/>
      <c r="N89" s="170"/>
      <c r="O89" s="368"/>
      <c r="P89" s="170"/>
      <c r="Q89" s="368">
        <v>0</v>
      </c>
      <c r="R89" s="170"/>
      <c r="S89" s="373" t="str">
        <f>IF(B89="","",ROUND(Iluminação!$C$19,2))</f>
        <v/>
      </c>
      <c r="T89" s="373" t="str">
        <f>IF(B89="","",IFERROR(VLOOKUP(Início!$C$20,Aux_Lista!A:I,9,FALSE),""))</f>
        <v/>
      </c>
      <c r="U89" s="373" t="str">
        <f>IF(ISERROR(VLOOKUP($I89,Aux_Lista!$A$2:$L$13,10,FALSE)^-1),"",VLOOKUP($I89,Aux_Lista!$A$2:$L$13,10,FALSE)^-1)</f>
        <v/>
      </c>
      <c r="V89" s="374" t="str">
        <f>IF(ISERROR(VLOOKUP($I89,Aux_Lista!$A$2:$L$13,11,FALSE)),"",VLOOKUP($I89,Aux_Lista!$A$2:$L$13,11,FALSE))</f>
        <v/>
      </c>
      <c r="W89" s="454" t="s">
        <v>10549</v>
      </c>
      <c r="X89" s="454" t="s">
        <v>10549</v>
      </c>
      <c r="Y89" s="456"/>
      <c r="Z89" s="467" t="str">
        <f t="shared" si="8"/>
        <v/>
      </c>
      <c r="AA89" s="467" t="str">
        <f t="shared" si="9"/>
        <v/>
      </c>
      <c r="AB89" s="281" t="str">
        <f t="shared" si="10"/>
        <v/>
      </c>
      <c r="AC89" s="281" t="str">
        <f t="shared" si="11"/>
        <v/>
      </c>
      <c r="AD89" s="2"/>
      <c r="AE89" s="459">
        <f t="shared" si="12"/>
        <v>0</v>
      </c>
    </row>
    <row r="90" spans="1:31" s="13" customFormat="1" ht="20.100000000000001" customHeight="1" x14ac:dyDescent="0.25">
      <c r="A90" s="93">
        <v>72</v>
      </c>
      <c r="B90" s="170"/>
      <c r="C90" s="371"/>
      <c r="D90" s="372"/>
      <c r="E90" s="372"/>
      <c r="F90" s="170"/>
      <c r="G90" s="170"/>
      <c r="H90" s="170"/>
      <c r="I90" s="170"/>
      <c r="J90" s="170"/>
      <c r="K90" s="170"/>
      <c r="L90" s="170"/>
      <c r="M90" s="170"/>
      <c r="N90" s="170"/>
      <c r="O90" s="368"/>
      <c r="P90" s="170"/>
      <c r="Q90" s="368">
        <v>0</v>
      </c>
      <c r="R90" s="170"/>
      <c r="S90" s="373" t="str">
        <f>IF(B90="","",ROUND(Iluminação!$C$19,2))</f>
        <v/>
      </c>
      <c r="T90" s="373" t="str">
        <f>IF(B90="","",IFERROR(VLOOKUP(Início!$C$20,Aux_Lista!A:I,9,FALSE),""))</f>
        <v/>
      </c>
      <c r="U90" s="373" t="str">
        <f>IF(ISERROR(VLOOKUP($I90,Aux_Lista!$A$2:$L$13,10,FALSE)^-1),"",VLOOKUP($I90,Aux_Lista!$A$2:$L$13,10,FALSE)^-1)</f>
        <v/>
      </c>
      <c r="V90" s="374" t="str">
        <f>IF(ISERROR(VLOOKUP($I90,Aux_Lista!$A$2:$L$13,11,FALSE)),"",VLOOKUP($I90,Aux_Lista!$A$2:$L$13,11,FALSE))</f>
        <v/>
      </c>
      <c r="W90" s="454" t="s">
        <v>10549</v>
      </c>
      <c r="X90" s="454" t="s">
        <v>10549</v>
      </c>
      <c r="Y90" s="456"/>
      <c r="Z90" s="467" t="str">
        <f t="shared" si="8"/>
        <v/>
      </c>
      <c r="AA90" s="467" t="str">
        <f t="shared" si="9"/>
        <v/>
      </c>
      <c r="AB90" s="281" t="str">
        <f t="shared" si="10"/>
        <v/>
      </c>
      <c r="AC90" s="281" t="str">
        <f t="shared" si="11"/>
        <v/>
      </c>
      <c r="AD90" s="2"/>
      <c r="AE90" s="459">
        <f t="shared" si="12"/>
        <v>0</v>
      </c>
    </row>
    <row r="91" spans="1:31" s="13" customFormat="1" ht="20.100000000000001" customHeight="1" x14ac:dyDescent="0.25">
      <c r="A91" s="92">
        <v>73</v>
      </c>
      <c r="B91" s="170"/>
      <c r="C91" s="371"/>
      <c r="D91" s="372"/>
      <c r="E91" s="372"/>
      <c r="F91" s="170"/>
      <c r="G91" s="170"/>
      <c r="H91" s="170"/>
      <c r="I91" s="170"/>
      <c r="J91" s="170"/>
      <c r="K91" s="170"/>
      <c r="L91" s="170"/>
      <c r="M91" s="170"/>
      <c r="N91" s="170"/>
      <c r="O91" s="368"/>
      <c r="P91" s="170"/>
      <c r="Q91" s="368">
        <v>0</v>
      </c>
      <c r="R91" s="170"/>
      <c r="S91" s="373" t="str">
        <f>IF(B91="","",ROUND(Iluminação!$C$19,2))</f>
        <v/>
      </c>
      <c r="T91" s="373" t="str">
        <f>IF(B91="","",IFERROR(VLOOKUP(Início!$C$20,Aux_Lista!A:I,9,FALSE),""))</f>
        <v/>
      </c>
      <c r="U91" s="373" t="str">
        <f>IF(ISERROR(VLOOKUP($I91,Aux_Lista!$A$2:$L$13,10,FALSE)^-1),"",VLOOKUP($I91,Aux_Lista!$A$2:$L$13,10,FALSE)^-1)</f>
        <v/>
      </c>
      <c r="V91" s="374" t="str">
        <f>IF(ISERROR(VLOOKUP($I91,Aux_Lista!$A$2:$L$13,11,FALSE)),"",VLOOKUP($I91,Aux_Lista!$A$2:$L$13,11,FALSE))</f>
        <v/>
      </c>
      <c r="W91" s="454" t="s">
        <v>10549</v>
      </c>
      <c r="X91" s="454" t="s">
        <v>10549</v>
      </c>
      <c r="Y91" s="456"/>
      <c r="Z91" s="467" t="str">
        <f t="shared" si="8"/>
        <v/>
      </c>
      <c r="AA91" s="467" t="str">
        <f t="shared" si="9"/>
        <v/>
      </c>
      <c r="AB91" s="281" t="str">
        <f t="shared" si="10"/>
        <v/>
      </c>
      <c r="AC91" s="281" t="str">
        <f t="shared" si="11"/>
        <v/>
      </c>
      <c r="AD91" s="2"/>
      <c r="AE91" s="459">
        <f t="shared" si="12"/>
        <v>0</v>
      </c>
    </row>
    <row r="92" spans="1:31" s="13" customFormat="1" ht="20.100000000000001" customHeight="1" x14ac:dyDescent="0.25">
      <c r="A92" s="93">
        <v>74</v>
      </c>
      <c r="B92" s="170"/>
      <c r="C92" s="371"/>
      <c r="D92" s="372"/>
      <c r="E92" s="372"/>
      <c r="F92" s="170"/>
      <c r="G92" s="170"/>
      <c r="H92" s="170"/>
      <c r="I92" s="170"/>
      <c r="J92" s="170"/>
      <c r="K92" s="170"/>
      <c r="L92" s="170"/>
      <c r="M92" s="170"/>
      <c r="N92" s="170"/>
      <c r="O92" s="368"/>
      <c r="P92" s="170"/>
      <c r="Q92" s="368">
        <v>0</v>
      </c>
      <c r="R92" s="170"/>
      <c r="S92" s="373" t="str">
        <f>IF(B92="","",ROUND(Iluminação!$C$19,2))</f>
        <v/>
      </c>
      <c r="T92" s="373" t="str">
        <f>IF(B92="","",IFERROR(VLOOKUP(Início!$C$20,Aux_Lista!A:I,9,FALSE),""))</f>
        <v/>
      </c>
      <c r="U92" s="373" t="str">
        <f>IF(ISERROR(VLOOKUP($I92,Aux_Lista!$A$2:$L$13,10,FALSE)^-1),"",VLOOKUP($I92,Aux_Lista!$A$2:$L$13,10,FALSE)^-1)</f>
        <v/>
      </c>
      <c r="V92" s="374" t="str">
        <f>IF(ISERROR(VLOOKUP($I92,Aux_Lista!$A$2:$L$13,11,FALSE)),"",VLOOKUP($I92,Aux_Lista!$A$2:$L$13,11,FALSE))</f>
        <v/>
      </c>
      <c r="W92" s="454" t="s">
        <v>10549</v>
      </c>
      <c r="X92" s="454" t="s">
        <v>10549</v>
      </c>
      <c r="Y92" s="456"/>
      <c r="Z92" s="467" t="str">
        <f t="shared" si="8"/>
        <v/>
      </c>
      <c r="AA92" s="467" t="str">
        <f t="shared" si="9"/>
        <v/>
      </c>
      <c r="AB92" s="281" t="str">
        <f t="shared" si="10"/>
        <v/>
      </c>
      <c r="AC92" s="281" t="str">
        <f t="shared" si="11"/>
        <v/>
      </c>
      <c r="AD92" s="2"/>
      <c r="AE92" s="459">
        <f t="shared" si="12"/>
        <v>0</v>
      </c>
    </row>
    <row r="93" spans="1:31" s="13" customFormat="1" ht="20.100000000000001" customHeight="1" x14ac:dyDescent="0.25">
      <c r="A93" s="92">
        <v>75</v>
      </c>
      <c r="B93" s="170"/>
      <c r="C93" s="371"/>
      <c r="D93" s="372"/>
      <c r="E93" s="372"/>
      <c r="F93" s="170"/>
      <c r="G93" s="170"/>
      <c r="H93" s="170"/>
      <c r="I93" s="170"/>
      <c r="J93" s="170"/>
      <c r="K93" s="170"/>
      <c r="L93" s="170"/>
      <c r="M93" s="170"/>
      <c r="N93" s="170"/>
      <c r="O93" s="368"/>
      <c r="P93" s="170"/>
      <c r="Q93" s="368">
        <v>0</v>
      </c>
      <c r="R93" s="170"/>
      <c r="S93" s="373" t="str">
        <f>IF(B93="","",ROUND(Iluminação!$C$19,2))</f>
        <v/>
      </c>
      <c r="T93" s="373" t="str">
        <f>IF(B93="","",IFERROR(VLOOKUP(Início!$C$20,Aux_Lista!A:I,9,FALSE),""))</f>
        <v/>
      </c>
      <c r="U93" s="373" t="str">
        <f>IF(ISERROR(VLOOKUP($I93,Aux_Lista!$A$2:$L$13,10,FALSE)^-1),"",VLOOKUP($I93,Aux_Lista!$A$2:$L$13,10,FALSE)^-1)</f>
        <v/>
      </c>
      <c r="V93" s="374" t="str">
        <f>IF(ISERROR(VLOOKUP($I93,Aux_Lista!$A$2:$L$13,11,FALSE)),"",VLOOKUP($I93,Aux_Lista!$A$2:$L$13,11,FALSE))</f>
        <v/>
      </c>
      <c r="W93" s="454" t="s">
        <v>10549</v>
      </c>
      <c r="X93" s="454" t="s">
        <v>10549</v>
      </c>
      <c r="Y93" s="456"/>
      <c r="Z93" s="467" t="str">
        <f t="shared" si="8"/>
        <v/>
      </c>
      <c r="AA93" s="467" t="str">
        <f t="shared" si="9"/>
        <v/>
      </c>
      <c r="AB93" s="281" t="str">
        <f t="shared" si="10"/>
        <v/>
      </c>
      <c r="AC93" s="281" t="str">
        <f t="shared" si="11"/>
        <v/>
      </c>
      <c r="AD93" s="2"/>
      <c r="AE93" s="459">
        <f t="shared" si="12"/>
        <v>0</v>
      </c>
    </row>
    <row r="94" spans="1:31" s="13" customFormat="1" ht="20.100000000000001" customHeight="1" x14ac:dyDescent="0.25">
      <c r="A94" s="93">
        <v>76</v>
      </c>
      <c r="B94" s="170"/>
      <c r="C94" s="371"/>
      <c r="D94" s="372"/>
      <c r="E94" s="372"/>
      <c r="F94" s="170"/>
      <c r="G94" s="170"/>
      <c r="H94" s="170"/>
      <c r="I94" s="170"/>
      <c r="J94" s="170"/>
      <c r="K94" s="170"/>
      <c r="L94" s="170"/>
      <c r="M94" s="170"/>
      <c r="N94" s="170"/>
      <c r="O94" s="368"/>
      <c r="P94" s="170"/>
      <c r="Q94" s="368">
        <v>0</v>
      </c>
      <c r="R94" s="170"/>
      <c r="S94" s="373" t="str">
        <f>IF(B94="","",ROUND(Iluminação!$C$19,2))</f>
        <v/>
      </c>
      <c r="T94" s="373" t="str">
        <f>IF(B94="","",IFERROR(VLOOKUP(Início!$C$20,Aux_Lista!A:I,9,FALSE),""))</f>
        <v/>
      </c>
      <c r="U94" s="373" t="str">
        <f>IF(ISERROR(VLOOKUP($I94,Aux_Lista!$A$2:$L$13,10,FALSE)^-1),"",VLOOKUP($I94,Aux_Lista!$A$2:$L$13,10,FALSE)^-1)</f>
        <v/>
      </c>
      <c r="V94" s="374" t="str">
        <f>IF(ISERROR(VLOOKUP($I94,Aux_Lista!$A$2:$L$13,11,FALSE)),"",VLOOKUP($I94,Aux_Lista!$A$2:$L$13,11,FALSE))</f>
        <v/>
      </c>
      <c r="W94" s="454" t="s">
        <v>10549</v>
      </c>
      <c r="X94" s="454" t="s">
        <v>10549</v>
      </c>
      <c r="Y94" s="456"/>
      <c r="Z94" s="467" t="str">
        <f t="shared" si="8"/>
        <v/>
      </c>
      <c r="AA94" s="467" t="str">
        <f t="shared" si="9"/>
        <v/>
      </c>
      <c r="AB94" s="281" t="str">
        <f t="shared" si="10"/>
        <v/>
      </c>
      <c r="AC94" s="281" t="str">
        <f t="shared" si="11"/>
        <v/>
      </c>
      <c r="AD94" s="2"/>
      <c r="AE94" s="459">
        <f t="shared" si="12"/>
        <v>0</v>
      </c>
    </row>
    <row r="95" spans="1:31" s="13" customFormat="1" ht="20.100000000000001" customHeight="1" x14ac:dyDescent="0.25">
      <c r="A95" s="92">
        <v>77</v>
      </c>
      <c r="B95" s="170"/>
      <c r="C95" s="371"/>
      <c r="D95" s="372"/>
      <c r="E95" s="372"/>
      <c r="F95" s="170"/>
      <c r="G95" s="170"/>
      <c r="H95" s="170"/>
      <c r="I95" s="170"/>
      <c r="J95" s="170"/>
      <c r="K95" s="170"/>
      <c r="L95" s="170"/>
      <c r="M95" s="170"/>
      <c r="N95" s="170"/>
      <c r="O95" s="368"/>
      <c r="P95" s="170"/>
      <c r="Q95" s="368">
        <v>0</v>
      </c>
      <c r="R95" s="170"/>
      <c r="S95" s="373" t="str">
        <f>IF(B95="","",ROUND(Iluminação!$C$19,2))</f>
        <v/>
      </c>
      <c r="T95" s="373" t="str">
        <f>IF(B95="","",IFERROR(VLOOKUP(Início!$C$20,Aux_Lista!A:I,9,FALSE),""))</f>
        <v/>
      </c>
      <c r="U95" s="373" t="str">
        <f>IF(ISERROR(VLOOKUP($I95,Aux_Lista!$A$2:$L$13,10,FALSE)^-1),"",VLOOKUP($I95,Aux_Lista!$A$2:$L$13,10,FALSE)^-1)</f>
        <v/>
      </c>
      <c r="V95" s="374" t="str">
        <f>IF(ISERROR(VLOOKUP($I95,Aux_Lista!$A$2:$L$13,11,FALSE)),"",VLOOKUP($I95,Aux_Lista!$A$2:$L$13,11,FALSE))</f>
        <v/>
      </c>
      <c r="W95" s="454" t="s">
        <v>10549</v>
      </c>
      <c r="X95" s="454" t="s">
        <v>10549</v>
      </c>
      <c r="Y95" s="456"/>
      <c r="Z95" s="467" t="str">
        <f t="shared" si="8"/>
        <v/>
      </c>
      <c r="AA95" s="467" t="str">
        <f t="shared" si="9"/>
        <v/>
      </c>
      <c r="AB95" s="281" t="str">
        <f t="shared" si="10"/>
        <v/>
      </c>
      <c r="AC95" s="281" t="str">
        <f t="shared" si="11"/>
        <v/>
      </c>
      <c r="AD95" s="2"/>
      <c r="AE95" s="459">
        <f t="shared" si="12"/>
        <v>0</v>
      </c>
    </row>
    <row r="96" spans="1:31" s="13" customFormat="1" ht="20.100000000000001" customHeight="1" x14ac:dyDescent="0.25">
      <c r="A96" s="93">
        <v>78</v>
      </c>
      <c r="B96" s="170"/>
      <c r="C96" s="371"/>
      <c r="D96" s="372"/>
      <c r="E96" s="372"/>
      <c r="F96" s="170"/>
      <c r="G96" s="170"/>
      <c r="H96" s="170"/>
      <c r="I96" s="170"/>
      <c r="J96" s="170"/>
      <c r="K96" s="170"/>
      <c r="L96" s="170"/>
      <c r="M96" s="170"/>
      <c r="N96" s="170"/>
      <c r="O96" s="368"/>
      <c r="P96" s="170"/>
      <c r="Q96" s="368">
        <v>0</v>
      </c>
      <c r="R96" s="170"/>
      <c r="S96" s="373" t="str">
        <f>IF(B96="","",ROUND(Iluminação!$C$19,2))</f>
        <v/>
      </c>
      <c r="T96" s="373" t="str">
        <f>IF(B96="","",IFERROR(VLOOKUP(Início!$C$20,Aux_Lista!A:I,9,FALSE),""))</f>
        <v/>
      </c>
      <c r="U96" s="373" t="str">
        <f>IF(ISERROR(VLOOKUP($I96,Aux_Lista!$A$2:$L$13,10,FALSE)^-1),"",VLOOKUP($I96,Aux_Lista!$A$2:$L$13,10,FALSE)^-1)</f>
        <v/>
      </c>
      <c r="V96" s="374" t="str">
        <f>IF(ISERROR(VLOOKUP($I96,Aux_Lista!$A$2:$L$13,11,FALSE)),"",VLOOKUP($I96,Aux_Lista!$A$2:$L$13,11,FALSE))</f>
        <v/>
      </c>
      <c r="W96" s="454" t="s">
        <v>10549</v>
      </c>
      <c r="X96" s="454" t="s">
        <v>10549</v>
      </c>
      <c r="Y96" s="456"/>
      <c r="Z96" s="467" t="str">
        <f t="shared" si="8"/>
        <v/>
      </c>
      <c r="AA96" s="467" t="str">
        <f t="shared" si="9"/>
        <v/>
      </c>
      <c r="AB96" s="281" t="str">
        <f t="shared" si="10"/>
        <v/>
      </c>
      <c r="AC96" s="281" t="str">
        <f t="shared" si="11"/>
        <v/>
      </c>
      <c r="AD96" s="2"/>
      <c r="AE96" s="459">
        <f t="shared" si="12"/>
        <v>0</v>
      </c>
    </row>
    <row r="97" spans="1:31" s="13" customFormat="1" ht="20.100000000000001" customHeight="1" x14ac:dyDescent="0.25">
      <c r="A97" s="92">
        <v>79</v>
      </c>
      <c r="B97" s="170"/>
      <c r="C97" s="371"/>
      <c r="D97" s="372"/>
      <c r="E97" s="372"/>
      <c r="F97" s="170"/>
      <c r="G97" s="170"/>
      <c r="H97" s="170"/>
      <c r="I97" s="170"/>
      <c r="J97" s="170"/>
      <c r="K97" s="170"/>
      <c r="L97" s="170"/>
      <c r="M97" s="170"/>
      <c r="N97" s="170"/>
      <c r="O97" s="368"/>
      <c r="P97" s="170"/>
      <c r="Q97" s="368">
        <v>0</v>
      </c>
      <c r="R97" s="170"/>
      <c r="S97" s="373" t="str">
        <f>IF(B97="","",ROUND(Iluminação!$C$19,2))</f>
        <v/>
      </c>
      <c r="T97" s="373" t="str">
        <f>IF(B97="","",IFERROR(VLOOKUP(Início!$C$20,Aux_Lista!A:I,9,FALSE),""))</f>
        <v/>
      </c>
      <c r="U97" s="373" t="str">
        <f>IF(ISERROR(VLOOKUP($I97,Aux_Lista!$A$2:$L$13,10,FALSE)^-1),"",VLOOKUP($I97,Aux_Lista!$A$2:$L$13,10,FALSE)^-1)</f>
        <v/>
      </c>
      <c r="V97" s="374" t="str">
        <f>IF(ISERROR(VLOOKUP($I97,Aux_Lista!$A$2:$L$13,11,FALSE)),"",VLOOKUP($I97,Aux_Lista!$A$2:$L$13,11,FALSE))</f>
        <v/>
      </c>
      <c r="W97" s="454" t="s">
        <v>10549</v>
      </c>
      <c r="X97" s="454" t="s">
        <v>10549</v>
      </c>
      <c r="Y97" s="456"/>
      <c r="Z97" s="467" t="str">
        <f t="shared" si="8"/>
        <v/>
      </c>
      <c r="AA97" s="467" t="str">
        <f t="shared" si="9"/>
        <v/>
      </c>
      <c r="AB97" s="281" t="str">
        <f t="shared" si="10"/>
        <v/>
      </c>
      <c r="AC97" s="281" t="str">
        <f t="shared" si="11"/>
        <v/>
      </c>
      <c r="AD97" s="2"/>
      <c r="AE97" s="459">
        <f t="shared" si="12"/>
        <v>0</v>
      </c>
    </row>
    <row r="98" spans="1:31" s="13" customFormat="1" ht="20.100000000000001" customHeight="1" x14ac:dyDescent="0.25">
      <c r="A98" s="93">
        <v>80</v>
      </c>
      <c r="B98" s="170"/>
      <c r="C98" s="371"/>
      <c r="D98" s="372"/>
      <c r="E98" s="372"/>
      <c r="F98" s="170"/>
      <c r="G98" s="170"/>
      <c r="H98" s="170"/>
      <c r="I98" s="170"/>
      <c r="J98" s="170"/>
      <c r="K98" s="170"/>
      <c r="L98" s="170"/>
      <c r="M98" s="170"/>
      <c r="N98" s="170"/>
      <c r="O98" s="368"/>
      <c r="P98" s="170"/>
      <c r="Q98" s="368">
        <v>0</v>
      </c>
      <c r="R98" s="170"/>
      <c r="S98" s="373" t="str">
        <f>IF(B98="","",ROUND(Iluminação!$C$19,2))</f>
        <v/>
      </c>
      <c r="T98" s="373" t="str">
        <f>IF(B98="","",IFERROR(VLOOKUP(Início!$C$20,Aux_Lista!A:I,9,FALSE),""))</f>
        <v/>
      </c>
      <c r="U98" s="373" t="str">
        <f>IF(ISERROR(VLOOKUP($I98,Aux_Lista!$A$2:$L$13,10,FALSE)^-1),"",VLOOKUP($I98,Aux_Lista!$A$2:$L$13,10,FALSE)^-1)</f>
        <v/>
      </c>
      <c r="V98" s="374" t="str">
        <f>IF(ISERROR(VLOOKUP($I98,Aux_Lista!$A$2:$L$13,11,FALSE)),"",VLOOKUP($I98,Aux_Lista!$A$2:$L$13,11,FALSE))</f>
        <v/>
      </c>
      <c r="W98" s="454" t="s">
        <v>10549</v>
      </c>
      <c r="X98" s="454" t="s">
        <v>10549</v>
      </c>
      <c r="Y98" s="456"/>
      <c r="Z98" s="467" t="str">
        <f t="shared" si="8"/>
        <v/>
      </c>
      <c r="AA98" s="467" t="str">
        <f t="shared" si="9"/>
        <v/>
      </c>
      <c r="AB98" s="281" t="str">
        <f t="shared" si="10"/>
        <v/>
      </c>
      <c r="AC98" s="281" t="str">
        <f t="shared" si="11"/>
        <v/>
      </c>
      <c r="AD98" s="2"/>
      <c r="AE98" s="459">
        <f t="shared" si="12"/>
        <v>0</v>
      </c>
    </row>
    <row r="99" spans="1:31" s="13" customFormat="1" ht="20.100000000000001" customHeight="1" x14ac:dyDescent="0.25">
      <c r="A99" s="92">
        <v>81</v>
      </c>
      <c r="B99" s="170"/>
      <c r="C99" s="371"/>
      <c r="D99" s="372"/>
      <c r="E99" s="372"/>
      <c r="F99" s="170"/>
      <c r="G99" s="170"/>
      <c r="H99" s="170"/>
      <c r="I99" s="170"/>
      <c r="J99" s="170"/>
      <c r="K99" s="170"/>
      <c r="L99" s="170"/>
      <c r="M99" s="170"/>
      <c r="N99" s="170"/>
      <c r="O99" s="368"/>
      <c r="P99" s="170"/>
      <c r="Q99" s="368">
        <v>0</v>
      </c>
      <c r="R99" s="170"/>
      <c r="S99" s="373" t="str">
        <f>IF(B99="","",ROUND(Iluminação!$C$19,2))</f>
        <v/>
      </c>
      <c r="T99" s="373" t="str">
        <f>IF(B99="","",IFERROR(VLOOKUP(Início!$C$20,Aux_Lista!A:I,9,FALSE),""))</f>
        <v/>
      </c>
      <c r="U99" s="373" t="str">
        <f>IF(ISERROR(VLOOKUP($I99,Aux_Lista!$A$2:$L$13,10,FALSE)^-1),"",VLOOKUP($I99,Aux_Lista!$A$2:$L$13,10,FALSE)^-1)</f>
        <v/>
      </c>
      <c r="V99" s="374" t="str">
        <f>IF(ISERROR(VLOOKUP($I99,Aux_Lista!$A$2:$L$13,11,FALSE)),"",VLOOKUP($I99,Aux_Lista!$A$2:$L$13,11,FALSE))</f>
        <v/>
      </c>
      <c r="W99" s="454" t="s">
        <v>10549</v>
      </c>
      <c r="X99" s="454" t="s">
        <v>10549</v>
      </c>
      <c r="Y99" s="456"/>
      <c r="Z99" s="467" t="str">
        <f t="shared" si="8"/>
        <v/>
      </c>
      <c r="AA99" s="467" t="str">
        <f t="shared" si="9"/>
        <v/>
      </c>
      <c r="AB99" s="281" t="str">
        <f t="shared" si="10"/>
        <v/>
      </c>
      <c r="AC99" s="281" t="str">
        <f t="shared" si="11"/>
        <v/>
      </c>
      <c r="AD99" s="2"/>
      <c r="AE99" s="459">
        <f t="shared" si="12"/>
        <v>0</v>
      </c>
    </row>
    <row r="100" spans="1:31" s="13" customFormat="1" ht="20.100000000000001" customHeight="1" x14ac:dyDescent="0.25">
      <c r="A100" s="93">
        <v>82</v>
      </c>
      <c r="B100" s="170"/>
      <c r="C100" s="371"/>
      <c r="D100" s="372"/>
      <c r="E100" s="372"/>
      <c r="F100" s="170"/>
      <c r="G100" s="170"/>
      <c r="H100" s="170"/>
      <c r="I100" s="170"/>
      <c r="J100" s="170"/>
      <c r="K100" s="170"/>
      <c r="L100" s="170"/>
      <c r="M100" s="170"/>
      <c r="N100" s="170"/>
      <c r="O100" s="368"/>
      <c r="P100" s="170"/>
      <c r="Q100" s="368">
        <v>0</v>
      </c>
      <c r="R100" s="170"/>
      <c r="S100" s="373" t="str">
        <f>IF(B100="","",ROUND(Iluminação!$C$19,2))</f>
        <v/>
      </c>
      <c r="T100" s="373" t="str">
        <f>IF(B100="","",IFERROR(VLOOKUP(Início!$C$20,Aux_Lista!A:I,9,FALSE),""))</f>
        <v/>
      </c>
      <c r="U100" s="373" t="str">
        <f>IF(ISERROR(VLOOKUP($I100,Aux_Lista!$A$2:$L$13,10,FALSE)^-1),"",VLOOKUP($I100,Aux_Lista!$A$2:$L$13,10,FALSE)^-1)</f>
        <v/>
      </c>
      <c r="V100" s="374" t="str">
        <f>IF(ISERROR(VLOOKUP($I100,Aux_Lista!$A$2:$L$13,11,FALSE)),"",VLOOKUP($I100,Aux_Lista!$A$2:$L$13,11,FALSE))</f>
        <v/>
      </c>
      <c r="W100" s="454" t="s">
        <v>10549</v>
      </c>
      <c r="X100" s="454" t="s">
        <v>10549</v>
      </c>
      <c r="Y100" s="456"/>
      <c r="Z100" s="467" t="str">
        <f t="shared" si="8"/>
        <v/>
      </c>
      <c r="AA100" s="467" t="str">
        <f t="shared" si="9"/>
        <v/>
      </c>
      <c r="AB100" s="281" t="str">
        <f t="shared" si="10"/>
        <v/>
      </c>
      <c r="AC100" s="281" t="str">
        <f t="shared" si="11"/>
        <v/>
      </c>
      <c r="AD100" s="2"/>
      <c r="AE100" s="459">
        <f t="shared" si="12"/>
        <v>0</v>
      </c>
    </row>
    <row r="101" spans="1:31" s="13" customFormat="1" ht="20.100000000000001" customHeight="1" x14ac:dyDescent="0.25">
      <c r="A101" s="92">
        <v>83</v>
      </c>
      <c r="B101" s="170"/>
      <c r="C101" s="371"/>
      <c r="D101" s="371"/>
      <c r="E101" s="372"/>
      <c r="F101" s="170"/>
      <c r="G101" s="170"/>
      <c r="H101" s="170"/>
      <c r="I101" s="170"/>
      <c r="J101" s="170"/>
      <c r="K101" s="170"/>
      <c r="L101" s="170"/>
      <c r="M101" s="170"/>
      <c r="N101" s="170"/>
      <c r="O101" s="369"/>
      <c r="P101" s="170"/>
      <c r="Q101" s="368">
        <v>0</v>
      </c>
      <c r="R101" s="170"/>
      <c r="S101" s="373" t="str">
        <f>IF(B101="","",ROUND(Iluminação!$C$19,2))</f>
        <v/>
      </c>
      <c r="T101" s="373" t="str">
        <f>IF(B101="","",IFERROR(VLOOKUP(Início!$C$20,Aux_Lista!A:I,9,FALSE),""))</f>
        <v/>
      </c>
      <c r="U101" s="373" t="str">
        <f>IF(ISERROR(VLOOKUP($I101,Aux_Lista!$A$2:$L$13,10,FALSE)^-1),"",VLOOKUP($I101,Aux_Lista!$A$2:$L$13,10,FALSE)^-1)</f>
        <v/>
      </c>
      <c r="V101" s="374" t="str">
        <f>IF(ISERROR(VLOOKUP($I101,Aux_Lista!$A$2:$L$13,11,FALSE)),"",VLOOKUP($I101,Aux_Lista!$A$2:$L$13,11,FALSE))</f>
        <v/>
      </c>
      <c r="W101" s="454" t="s">
        <v>10549</v>
      </c>
      <c r="X101" s="454" t="s">
        <v>10549</v>
      </c>
      <c r="Y101" s="456"/>
      <c r="Z101" s="467" t="str">
        <f t="shared" si="8"/>
        <v/>
      </c>
      <c r="AA101" s="467" t="str">
        <f t="shared" si="9"/>
        <v/>
      </c>
      <c r="AB101" s="281" t="str">
        <f t="shared" si="10"/>
        <v/>
      </c>
      <c r="AC101" s="281" t="str">
        <f t="shared" si="11"/>
        <v/>
      </c>
      <c r="AD101" s="2"/>
      <c r="AE101" s="459">
        <f t="shared" si="12"/>
        <v>0</v>
      </c>
    </row>
    <row r="102" spans="1:31" s="13" customFormat="1" ht="20.100000000000001" customHeight="1" x14ac:dyDescent="0.25">
      <c r="A102" s="93">
        <v>84</v>
      </c>
      <c r="B102" s="170"/>
      <c r="C102" s="371"/>
      <c r="D102" s="371"/>
      <c r="E102" s="372"/>
      <c r="F102" s="170"/>
      <c r="G102" s="170"/>
      <c r="H102" s="170"/>
      <c r="I102" s="170"/>
      <c r="J102" s="170"/>
      <c r="K102" s="170"/>
      <c r="L102" s="170"/>
      <c r="M102" s="170"/>
      <c r="N102" s="170"/>
      <c r="O102" s="369"/>
      <c r="P102" s="170"/>
      <c r="Q102" s="368">
        <v>0</v>
      </c>
      <c r="R102" s="170"/>
      <c r="S102" s="373" t="str">
        <f>IF(B102="","",ROUND(Iluminação!$C$19,2))</f>
        <v/>
      </c>
      <c r="T102" s="373" t="str">
        <f>IF(B102="","",IFERROR(VLOOKUP(Início!$C$20,Aux_Lista!A:I,9,FALSE),""))</f>
        <v/>
      </c>
      <c r="U102" s="373" t="str">
        <f>IF(ISERROR(VLOOKUP($I102,Aux_Lista!$A$2:$L$13,10,FALSE)^-1),"",VLOOKUP($I102,Aux_Lista!$A$2:$L$13,10,FALSE)^-1)</f>
        <v/>
      </c>
      <c r="V102" s="374" t="str">
        <f>IF(ISERROR(VLOOKUP($I102,Aux_Lista!$A$2:$L$13,11,FALSE)),"",VLOOKUP($I102,Aux_Lista!$A$2:$L$13,11,FALSE))</f>
        <v/>
      </c>
      <c r="W102" s="104" t="s">
        <v>10549</v>
      </c>
      <c r="X102" s="104" t="s">
        <v>10549</v>
      </c>
      <c r="Y102" s="456"/>
      <c r="Z102" s="467" t="str">
        <f t="shared" si="8"/>
        <v/>
      </c>
      <c r="AA102" s="467" t="str">
        <f t="shared" si="9"/>
        <v/>
      </c>
      <c r="AB102" s="281" t="str">
        <f t="shared" si="10"/>
        <v/>
      </c>
      <c r="AC102" s="281" t="str">
        <f t="shared" si="11"/>
        <v/>
      </c>
      <c r="AD102" s="2"/>
      <c r="AE102" s="459">
        <f t="shared" si="12"/>
        <v>0</v>
      </c>
    </row>
    <row r="103" spans="1:31" s="13" customFormat="1" ht="20.100000000000001" customHeight="1" x14ac:dyDescent="0.25">
      <c r="A103" s="92">
        <v>85</v>
      </c>
      <c r="B103" s="170"/>
      <c r="C103" s="371"/>
      <c r="D103" s="371"/>
      <c r="E103" s="372"/>
      <c r="F103" s="170"/>
      <c r="G103" s="170"/>
      <c r="H103" s="170"/>
      <c r="I103" s="170"/>
      <c r="J103" s="170"/>
      <c r="K103" s="170"/>
      <c r="L103" s="170"/>
      <c r="M103" s="170"/>
      <c r="N103" s="170"/>
      <c r="O103" s="369"/>
      <c r="P103" s="170"/>
      <c r="Q103" s="368">
        <v>0</v>
      </c>
      <c r="R103" s="170"/>
      <c r="S103" s="373" t="str">
        <f>IF(B103="","",ROUND(Iluminação!$C$19,2))</f>
        <v/>
      </c>
      <c r="T103" s="373" t="str">
        <f>IF(B103="","",IFERROR(VLOOKUP(Início!$C$20,Aux_Lista!A:I,9,FALSE),""))</f>
        <v/>
      </c>
      <c r="U103" s="373" t="str">
        <f>IF(ISERROR(VLOOKUP($I103,Aux_Lista!$A$2:$L$13,10,FALSE)^-1),"",VLOOKUP($I103,Aux_Lista!$A$2:$L$13,10,FALSE)^-1)</f>
        <v/>
      </c>
      <c r="V103" s="374" t="str">
        <f>IF(ISERROR(VLOOKUP($I103,Aux_Lista!$A$2:$L$13,11,FALSE)),"",VLOOKUP($I103,Aux_Lista!$A$2:$L$13,11,FALSE))</f>
        <v/>
      </c>
      <c r="W103" s="104"/>
      <c r="X103" s="104" t="s">
        <v>10549</v>
      </c>
      <c r="Y103" s="456"/>
      <c r="Z103" s="467" t="str">
        <f t="shared" si="8"/>
        <v/>
      </c>
      <c r="AA103" s="467" t="str">
        <f t="shared" si="9"/>
        <v/>
      </c>
      <c r="AB103" s="281" t="str">
        <f t="shared" si="10"/>
        <v/>
      </c>
      <c r="AC103" s="281" t="str">
        <f t="shared" si="11"/>
        <v/>
      </c>
      <c r="AD103" s="2"/>
      <c r="AE103" s="459">
        <f t="shared" si="12"/>
        <v>0</v>
      </c>
    </row>
    <row r="104" spans="1:31" s="13" customFormat="1" ht="20.100000000000001" customHeight="1" x14ac:dyDescent="0.25">
      <c r="A104" s="93">
        <v>86</v>
      </c>
      <c r="B104" s="170"/>
      <c r="C104" s="371"/>
      <c r="D104" s="371"/>
      <c r="E104" s="372"/>
      <c r="F104" s="170"/>
      <c r="G104" s="170"/>
      <c r="H104" s="170"/>
      <c r="I104" s="170"/>
      <c r="J104" s="170"/>
      <c r="K104" s="170"/>
      <c r="L104" s="170"/>
      <c r="M104" s="170"/>
      <c r="N104" s="170"/>
      <c r="O104" s="369"/>
      <c r="P104" s="170"/>
      <c r="Q104" s="368">
        <v>0</v>
      </c>
      <c r="R104" s="170"/>
      <c r="S104" s="373" t="str">
        <f>IF(B104="","",ROUND(Iluminação!$C$19,2))</f>
        <v/>
      </c>
      <c r="T104" s="373" t="str">
        <f>IF(B104="","",IFERROR(VLOOKUP(Início!$C$20,Aux_Lista!A:I,9,FALSE),""))</f>
        <v/>
      </c>
      <c r="U104" s="373" t="str">
        <f>IF(ISERROR(VLOOKUP($I104,Aux_Lista!$A$2:$L$13,10,FALSE)^-1),"",VLOOKUP($I104,Aux_Lista!$A$2:$L$13,10,FALSE)^-1)</f>
        <v/>
      </c>
      <c r="V104" s="374" t="str">
        <f>IF(ISERROR(VLOOKUP($I104,Aux_Lista!$A$2:$L$13,11,FALSE)),"",VLOOKUP($I104,Aux_Lista!$A$2:$L$13,11,FALSE))</f>
        <v/>
      </c>
      <c r="W104" s="104"/>
      <c r="X104" s="104" t="s">
        <v>10549</v>
      </c>
      <c r="Y104" s="456"/>
      <c r="Z104" s="467" t="str">
        <f t="shared" si="8"/>
        <v/>
      </c>
      <c r="AA104" s="467" t="str">
        <f t="shared" si="9"/>
        <v/>
      </c>
      <c r="AB104" s="281" t="str">
        <f t="shared" si="10"/>
        <v/>
      </c>
      <c r="AC104" s="281" t="str">
        <f t="shared" si="11"/>
        <v/>
      </c>
      <c r="AD104" s="2"/>
      <c r="AE104" s="459">
        <f t="shared" si="12"/>
        <v>0</v>
      </c>
    </row>
    <row r="105" spans="1:31" s="13" customFormat="1" ht="20.100000000000001" customHeight="1" x14ac:dyDescent="0.25">
      <c r="A105" s="92">
        <v>87</v>
      </c>
      <c r="B105" s="170"/>
      <c r="C105" s="371"/>
      <c r="D105" s="371"/>
      <c r="E105" s="372"/>
      <c r="F105" s="170"/>
      <c r="G105" s="170"/>
      <c r="H105" s="170"/>
      <c r="I105" s="170"/>
      <c r="J105" s="170"/>
      <c r="K105" s="170"/>
      <c r="L105" s="170"/>
      <c r="M105" s="170"/>
      <c r="N105" s="170"/>
      <c r="O105" s="369"/>
      <c r="P105" s="170"/>
      <c r="Q105" s="368">
        <v>0</v>
      </c>
      <c r="R105" s="170"/>
      <c r="S105" s="373" t="str">
        <f>IF(B105="","",ROUND(Iluminação!$C$19,2))</f>
        <v/>
      </c>
      <c r="T105" s="373" t="str">
        <f>IF(B105="","",IFERROR(VLOOKUP(Início!$C$20,Aux_Lista!A:I,9,FALSE),""))</f>
        <v/>
      </c>
      <c r="U105" s="373" t="str">
        <f>IF(ISERROR(VLOOKUP($I105,Aux_Lista!$A$2:$L$13,10,FALSE)^-1),"",VLOOKUP($I105,Aux_Lista!$A$2:$L$13,10,FALSE)^-1)</f>
        <v/>
      </c>
      <c r="V105" s="374" t="str">
        <f>IF(ISERROR(VLOOKUP($I105,Aux_Lista!$A$2:$L$13,11,FALSE)),"",VLOOKUP($I105,Aux_Lista!$A$2:$L$13,11,FALSE))</f>
        <v/>
      </c>
      <c r="W105" s="104"/>
      <c r="X105" s="104" t="s">
        <v>10549</v>
      </c>
      <c r="Y105" s="456"/>
      <c r="Z105" s="467" t="str">
        <f t="shared" si="8"/>
        <v/>
      </c>
      <c r="AA105" s="467" t="str">
        <f t="shared" si="9"/>
        <v/>
      </c>
      <c r="AB105" s="281" t="str">
        <f t="shared" si="10"/>
        <v/>
      </c>
      <c r="AC105" s="281" t="str">
        <f t="shared" si="11"/>
        <v/>
      </c>
      <c r="AD105" s="2"/>
      <c r="AE105" s="459">
        <f t="shared" si="12"/>
        <v>0</v>
      </c>
    </row>
    <row r="106" spans="1:31" s="13" customFormat="1" ht="20.100000000000001" customHeight="1" x14ac:dyDescent="0.25">
      <c r="A106" s="93">
        <v>88</v>
      </c>
      <c r="B106" s="170"/>
      <c r="C106" s="371"/>
      <c r="D106" s="371"/>
      <c r="E106" s="372"/>
      <c r="F106" s="170"/>
      <c r="G106" s="170"/>
      <c r="H106" s="170"/>
      <c r="I106" s="170"/>
      <c r="J106" s="170"/>
      <c r="K106" s="170"/>
      <c r="L106" s="170"/>
      <c r="M106" s="170"/>
      <c r="N106" s="170"/>
      <c r="O106" s="369"/>
      <c r="P106" s="170"/>
      <c r="Q106" s="368">
        <v>0</v>
      </c>
      <c r="R106" s="170"/>
      <c r="S106" s="373" t="str">
        <f>IF(B106="","",ROUND(Iluminação!$C$19,2))</f>
        <v/>
      </c>
      <c r="T106" s="373" t="str">
        <f>IF(B106="","",IFERROR(VLOOKUP(Início!$C$20,Aux_Lista!A:I,9,FALSE),""))</f>
        <v/>
      </c>
      <c r="U106" s="373" t="str">
        <f>IF(ISERROR(VLOOKUP($I106,Aux_Lista!$A$2:$L$13,10,FALSE)^-1),"",VLOOKUP($I106,Aux_Lista!$A$2:$L$13,10,FALSE)^-1)</f>
        <v/>
      </c>
      <c r="V106" s="374" t="str">
        <f>IF(ISERROR(VLOOKUP($I106,Aux_Lista!$A$2:$L$13,11,FALSE)),"",VLOOKUP($I106,Aux_Lista!$A$2:$L$13,11,FALSE))</f>
        <v/>
      </c>
      <c r="W106" s="104"/>
      <c r="X106" s="104" t="s">
        <v>10549</v>
      </c>
      <c r="Y106" s="456"/>
      <c r="Z106" s="467" t="str">
        <f t="shared" si="8"/>
        <v/>
      </c>
      <c r="AA106" s="467" t="str">
        <f t="shared" si="9"/>
        <v/>
      </c>
      <c r="AB106" s="281" t="str">
        <f t="shared" si="10"/>
        <v/>
      </c>
      <c r="AC106" s="281" t="str">
        <f t="shared" si="11"/>
        <v/>
      </c>
      <c r="AD106" s="2"/>
      <c r="AE106" s="459">
        <f t="shared" si="12"/>
        <v>0</v>
      </c>
    </row>
    <row r="107" spans="1:31" s="13" customFormat="1" ht="20.100000000000001" customHeight="1" x14ac:dyDescent="0.25">
      <c r="A107" s="92">
        <v>89</v>
      </c>
      <c r="B107" s="170"/>
      <c r="C107" s="371"/>
      <c r="D107" s="371"/>
      <c r="E107" s="372"/>
      <c r="F107" s="170"/>
      <c r="G107" s="170"/>
      <c r="H107" s="170"/>
      <c r="I107" s="170"/>
      <c r="J107" s="170"/>
      <c r="K107" s="170"/>
      <c r="L107" s="170"/>
      <c r="M107" s="170"/>
      <c r="N107" s="170"/>
      <c r="O107" s="369"/>
      <c r="P107" s="170"/>
      <c r="Q107" s="368">
        <v>0</v>
      </c>
      <c r="R107" s="170"/>
      <c r="S107" s="373" t="str">
        <f>IF(B107="","",ROUND(Iluminação!$C$19,2))</f>
        <v/>
      </c>
      <c r="T107" s="373" t="str">
        <f>IF(B107="","",IFERROR(VLOOKUP(Início!$C$20,Aux_Lista!A:I,9,FALSE),""))</f>
        <v/>
      </c>
      <c r="U107" s="373" t="str">
        <f>IF(ISERROR(VLOOKUP($I107,Aux_Lista!$A$2:$L$13,10,FALSE)^-1),"",VLOOKUP($I107,Aux_Lista!$A$2:$L$13,10,FALSE)^-1)</f>
        <v/>
      </c>
      <c r="V107" s="374" t="str">
        <f>IF(ISERROR(VLOOKUP($I107,Aux_Lista!$A$2:$L$13,11,FALSE)),"",VLOOKUP($I107,Aux_Lista!$A$2:$L$13,11,FALSE))</f>
        <v/>
      </c>
      <c r="W107" s="104"/>
      <c r="X107" s="104" t="s">
        <v>10549</v>
      </c>
      <c r="Y107" s="456"/>
      <c r="Z107" s="467" t="str">
        <f t="shared" si="8"/>
        <v/>
      </c>
      <c r="AA107" s="467" t="str">
        <f t="shared" si="9"/>
        <v/>
      </c>
      <c r="AB107" s="281" t="str">
        <f t="shared" si="10"/>
        <v/>
      </c>
      <c r="AC107" s="281" t="str">
        <f t="shared" si="11"/>
        <v/>
      </c>
      <c r="AD107" s="2"/>
      <c r="AE107" s="459">
        <f t="shared" si="12"/>
        <v>0</v>
      </c>
    </row>
    <row r="108" spans="1:31" s="13" customFormat="1" ht="20.100000000000001" customHeight="1" x14ac:dyDescent="0.25">
      <c r="A108" s="93">
        <v>90</v>
      </c>
      <c r="B108" s="170"/>
      <c r="C108" s="371"/>
      <c r="D108" s="371"/>
      <c r="E108" s="372"/>
      <c r="F108" s="170"/>
      <c r="G108" s="170"/>
      <c r="H108" s="170"/>
      <c r="I108" s="170"/>
      <c r="J108" s="170"/>
      <c r="K108" s="170"/>
      <c r="L108" s="170"/>
      <c r="M108" s="170"/>
      <c r="N108" s="170"/>
      <c r="O108" s="369"/>
      <c r="P108" s="170"/>
      <c r="Q108" s="368">
        <v>0</v>
      </c>
      <c r="R108" s="170"/>
      <c r="S108" s="373" t="str">
        <f>IF(B108="","",ROUND(Iluminação!$C$19,2))</f>
        <v/>
      </c>
      <c r="T108" s="373" t="str">
        <f>IF(B108="","",IFERROR(VLOOKUP(Início!$C$20,Aux_Lista!A:I,9,FALSE),""))</f>
        <v/>
      </c>
      <c r="U108" s="373" t="str">
        <f>IF(ISERROR(VLOOKUP($I108,Aux_Lista!$A$2:$L$13,10,FALSE)^-1),"",VLOOKUP($I108,Aux_Lista!$A$2:$L$13,10,FALSE)^-1)</f>
        <v/>
      </c>
      <c r="V108" s="374" t="str">
        <f>IF(ISERROR(VLOOKUP($I108,Aux_Lista!$A$2:$L$13,11,FALSE)),"",VLOOKUP($I108,Aux_Lista!$A$2:$L$13,11,FALSE))</f>
        <v/>
      </c>
      <c r="W108" s="104"/>
      <c r="X108" s="104" t="s">
        <v>10549</v>
      </c>
      <c r="Y108" s="456"/>
      <c r="Z108" s="467" t="str">
        <f t="shared" si="8"/>
        <v/>
      </c>
      <c r="AA108" s="467" t="str">
        <f t="shared" si="9"/>
        <v/>
      </c>
      <c r="AB108" s="281" t="str">
        <f t="shared" si="10"/>
        <v/>
      </c>
      <c r="AC108" s="281" t="str">
        <f t="shared" si="11"/>
        <v/>
      </c>
      <c r="AD108" s="2"/>
      <c r="AE108" s="459">
        <f t="shared" si="12"/>
        <v>0</v>
      </c>
    </row>
    <row r="109" spans="1:31" s="13" customFormat="1" ht="20.100000000000001" customHeight="1" x14ac:dyDescent="0.25">
      <c r="A109" s="92">
        <v>91</v>
      </c>
      <c r="B109" s="170"/>
      <c r="C109" s="371"/>
      <c r="D109" s="371"/>
      <c r="E109" s="372"/>
      <c r="F109" s="170"/>
      <c r="G109" s="170"/>
      <c r="H109" s="170"/>
      <c r="I109" s="170"/>
      <c r="J109" s="170"/>
      <c r="K109" s="170"/>
      <c r="L109" s="170"/>
      <c r="M109" s="170"/>
      <c r="N109" s="170"/>
      <c r="O109" s="369"/>
      <c r="P109" s="170"/>
      <c r="Q109" s="368">
        <v>0</v>
      </c>
      <c r="R109" s="170"/>
      <c r="S109" s="373" t="str">
        <f>IF(B109="","",ROUND(Iluminação!$C$19,2))</f>
        <v/>
      </c>
      <c r="T109" s="373" t="str">
        <f>IF(B109="","",IFERROR(VLOOKUP(Início!$C$20,Aux_Lista!A:I,9,FALSE),""))</f>
        <v/>
      </c>
      <c r="U109" s="373" t="str">
        <f>IF(ISERROR(VLOOKUP($I109,Aux_Lista!$A$2:$L$13,10,FALSE)^-1),"",VLOOKUP($I109,Aux_Lista!$A$2:$L$13,10,FALSE)^-1)</f>
        <v/>
      </c>
      <c r="V109" s="374" t="str">
        <f>IF(ISERROR(VLOOKUP($I109,Aux_Lista!$A$2:$L$13,11,FALSE)),"",VLOOKUP($I109,Aux_Lista!$A$2:$L$13,11,FALSE))</f>
        <v/>
      </c>
      <c r="W109" s="104"/>
      <c r="X109" s="104" t="s">
        <v>10549</v>
      </c>
      <c r="Y109" s="456"/>
      <c r="Z109" s="467" t="str">
        <f t="shared" si="8"/>
        <v/>
      </c>
      <c r="AA109" s="467" t="str">
        <f t="shared" si="9"/>
        <v/>
      </c>
      <c r="AB109" s="281" t="str">
        <f t="shared" si="10"/>
        <v/>
      </c>
      <c r="AC109" s="281" t="str">
        <f t="shared" si="11"/>
        <v/>
      </c>
      <c r="AD109" s="2"/>
      <c r="AE109" s="459">
        <f t="shared" si="12"/>
        <v>0</v>
      </c>
    </row>
    <row r="110" spans="1:31" s="13" customFormat="1" ht="20.100000000000001" customHeight="1" x14ac:dyDescent="0.25">
      <c r="A110" s="93">
        <v>92</v>
      </c>
      <c r="B110" s="170"/>
      <c r="C110" s="371"/>
      <c r="D110" s="371"/>
      <c r="E110" s="372"/>
      <c r="F110" s="170"/>
      <c r="G110" s="170"/>
      <c r="H110" s="170"/>
      <c r="I110" s="170"/>
      <c r="J110" s="170"/>
      <c r="K110" s="170"/>
      <c r="L110" s="170"/>
      <c r="M110" s="170"/>
      <c r="N110" s="170"/>
      <c r="O110" s="369"/>
      <c r="P110" s="170"/>
      <c r="Q110" s="368">
        <v>0</v>
      </c>
      <c r="R110" s="170"/>
      <c r="S110" s="373" t="str">
        <f>IF(B110="","",ROUND(Iluminação!$C$19,2))</f>
        <v/>
      </c>
      <c r="T110" s="373" t="str">
        <f>IF(B110="","",IFERROR(VLOOKUP(Início!$C$20,Aux_Lista!A:I,9,FALSE),""))</f>
        <v/>
      </c>
      <c r="U110" s="373" t="str">
        <f>IF(ISERROR(VLOOKUP($I110,Aux_Lista!$A$2:$L$13,10,FALSE)^-1),"",VLOOKUP($I110,Aux_Lista!$A$2:$L$13,10,FALSE)^-1)</f>
        <v/>
      </c>
      <c r="V110" s="374" t="str">
        <f>IF(ISERROR(VLOOKUP($I110,Aux_Lista!$A$2:$L$13,11,FALSE)),"",VLOOKUP($I110,Aux_Lista!$A$2:$L$13,11,FALSE))</f>
        <v/>
      </c>
      <c r="W110" s="104"/>
      <c r="X110" s="104" t="s">
        <v>10549</v>
      </c>
      <c r="Y110" s="456"/>
      <c r="Z110" s="467" t="str">
        <f t="shared" si="8"/>
        <v/>
      </c>
      <c r="AA110" s="467" t="str">
        <f t="shared" si="9"/>
        <v/>
      </c>
      <c r="AB110" s="281" t="str">
        <f t="shared" si="10"/>
        <v/>
      </c>
      <c r="AC110" s="281" t="str">
        <f t="shared" si="11"/>
        <v/>
      </c>
      <c r="AD110" s="2"/>
      <c r="AE110" s="459">
        <f t="shared" si="12"/>
        <v>0</v>
      </c>
    </row>
    <row r="111" spans="1:31" s="13" customFormat="1" ht="20.100000000000001" customHeight="1" x14ac:dyDescent="0.25">
      <c r="A111" s="92">
        <v>93</v>
      </c>
      <c r="B111" s="170"/>
      <c r="C111" s="371"/>
      <c r="D111" s="371"/>
      <c r="E111" s="372"/>
      <c r="F111" s="170"/>
      <c r="G111" s="170"/>
      <c r="H111" s="170"/>
      <c r="I111" s="170"/>
      <c r="J111" s="170"/>
      <c r="K111" s="170"/>
      <c r="L111" s="170"/>
      <c r="M111" s="170"/>
      <c r="N111" s="170"/>
      <c r="O111" s="369"/>
      <c r="P111" s="170"/>
      <c r="Q111" s="368">
        <v>0</v>
      </c>
      <c r="R111" s="170"/>
      <c r="S111" s="373" t="str">
        <f>IF(B111="","",ROUND(Iluminação!$C$19,2))</f>
        <v/>
      </c>
      <c r="T111" s="373" t="str">
        <f>IF(B111="","",IFERROR(VLOOKUP(Início!$C$20,Aux_Lista!A:I,9,FALSE),""))</f>
        <v/>
      </c>
      <c r="U111" s="373" t="str">
        <f>IF(ISERROR(VLOOKUP($I111,Aux_Lista!$A$2:$L$13,10,FALSE)^-1),"",VLOOKUP($I111,Aux_Lista!$A$2:$L$13,10,FALSE)^-1)</f>
        <v/>
      </c>
      <c r="V111" s="374" t="str">
        <f>IF(ISERROR(VLOOKUP($I111,Aux_Lista!$A$2:$L$13,11,FALSE)),"",VLOOKUP($I111,Aux_Lista!$A$2:$L$13,11,FALSE))</f>
        <v/>
      </c>
      <c r="W111" s="104"/>
      <c r="X111" s="104" t="s">
        <v>10549</v>
      </c>
      <c r="Y111" s="456"/>
      <c r="Z111" s="467" t="str">
        <f t="shared" si="8"/>
        <v/>
      </c>
      <c r="AA111" s="467" t="str">
        <f t="shared" si="9"/>
        <v/>
      </c>
      <c r="AB111" s="281" t="str">
        <f t="shared" si="10"/>
        <v/>
      </c>
      <c r="AC111" s="281" t="str">
        <f t="shared" si="11"/>
        <v/>
      </c>
      <c r="AD111" s="2"/>
      <c r="AE111" s="459">
        <f t="shared" si="12"/>
        <v>0</v>
      </c>
    </row>
    <row r="112" spans="1:31" s="13" customFormat="1" ht="20.100000000000001" customHeight="1" x14ac:dyDescent="0.25">
      <c r="A112" s="93">
        <v>94</v>
      </c>
      <c r="B112" s="170"/>
      <c r="C112" s="371"/>
      <c r="D112" s="371"/>
      <c r="E112" s="372"/>
      <c r="F112" s="170"/>
      <c r="G112" s="170"/>
      <c r="H112" s="170"/>
      <c r="I112" s="170"/>
      <c r="J112" s="170"/>
      <c r="K112" s="170"/>
      <c r="L112" s="170"/>
      <c r="M112" s="170"/>
      <c r="N112" s="170"/>
      <c r="O112" s="369"/>
      <c r="P112" s="170"/>
      <c r="Q112" s="368">
        <v>0</v>
      </c>
      <c r="R112" s="170"/>
      <c r="S112" s="373" t="str">
        <f>IF(B112="","",ROUND(Iluminação!$C$19,2))</f>
        <v/>
      </c>
      <c r="T112" s="373" t="str">
        <f>IF(B112="","",IFERROR(VLOOKUP(Início!$C$20,Aux_Lista!A:I,9,FALSE),""))</f>
        <v/>
      </c>
      <c r="U112" s="373" t="str">
        <f>IF(ISERROR(VLOOKUP($I112,Aux_Lista!$A$2:$L$13,10,FALSE)^-1),"",VLOOKUP($I112,Aux_Lista!$A$2:$L$13,10,FALSE)^-1)</f>
        <v/>
      </c>
      <c r="V112" s="374" t="str">
        <f>IF(ISERROR(VLOOKUP($I112,Aux_Lista!$A$2:$L$13,11,FALSE)),"",VLOOKUP($I112,Aux_Lista!$A$2:$L$13,11,FALSE))</f>
        <v/>
      </c>
      <c r="W112" s="104"/>
      <c r="X112" s="104" t="s">
        <v>10549</v>
      </c>
      <c r="Y112" s="456"/>
      <c r="Z112" s="467" t="str">
        <f t="shared" si="8"/>
        <v/>
      </c>
      <c r="AA112" s="467" t="str">
        <f t="shared" si="9"/>
        <v/>
      </c>
      <c r="AB112" s="281" t="str">
        <f t="shared" si="10"/>
        <v/>
      </c>
      <c r="AC112" s="281" t="str">
        <f t="shared" si="11"/>
        <v/>
      </c>
      <c r="AD112" s="2"/>
      <c r="AE112" s="459">
        <f t="shared" si="12"/>
        <v>0</v>
      </c>
    </row>
    <row r="113" spans="1:31" s="13" customFormat="1" ht="20.100000000000001" customHeight="1" x14ac:dyDescent="0.25">
      <c r="A113" s="92">
        <v>95</v>
      </c>
      <c r="B113" s="170"/>
      <c r="C113" s="371"/>
      <c r="D113" s="371"/>
      <c r="E113" s="372"/>
      <c r="F113" s="170"/>
      <c r="G113" s="170"/>
      <c r="H113" s="170"/>
      <c r="I113" s="170"/>
      <c r="J113" s="170"/>
      <c r="K113" s="170"/>
      <c r="L113" s="170"/>
      <c r="M113" s="170"/>
      <c r="N113" s="170"/>
      <c r="O113" s="369"/>
      <c r="P113" s="170"/>
      <c r="Q113" s="368">
        <v>0</v>
      </c>
      <c r="R113" s="170"/>
      <c r="S113" s="373" t="str">
        <f>IF(B113="","",ROUND(Iluminação!$C$19,2))</f>
        <v/>
      </c>
      <c r="T113" s="373" t="str">
        <f>IF(B113="","",IFERROR(VLOOKUP(Início!$C$20,Aux_Lista!A:I,9,FALSE),""))</f>
        <v/>
      </c>
      <c r="U113" s="373" t="str">
        <f>IF(ISERROR(VLOOKUP($I113,Aux_Lista!$A$2:$L$13,10,FALSE)^-1),"",VLOOKUP($I113,Aux_Lista!$A$2:$L$13,10,FALSE)^-1)</f>
        <v/>
      </c>
      <c r="V113" s="374" t="str">
        <f>IF(ISERROR(VLOOKUP($I113,Aux_Lista!$A$2:$L$13,11,FALSE)),"",VLOOKUP($I113,Aux_Lista!$A$2:$L$13,11,FALSE))</f>
        <v/>
      </c>
      <c r="W113" s="104"/>
      <c r="X113" s="104" t="s">
        <v>10549</v>
      </c>
      <c r="Y113" s="456"/>
      <c r="Z113" s="467" t="str">
        <f t="shared" si="8"/>
        <v/>
      </c>
      <c r="AA113" s="467" t="str">
        <f t="shared" si="9"/>
        <v/>
      </c>
      <c r="AB113" s="281" t="str">
        <f t="shared" si="10"/>
        <v/>
      </c>
      <c r="AC113" s="281" t="str">
        <f t="shared" si="11"/>
        <v/>
      </c>
      <c r="AD113" s="2"/>
      <c r="AE113" s="459">
        <f t="shared" si="12"/>
        <v>0</v>
      </c>
    </row>
    <row r="114" spans="1:31" s="13" customFormat="1" ht="20.100000000000001" customHeight="1" x14ac:dyDescent="0.25">
      <c r="A114" s="93">
        <v>96</v>
      </c>
      <c r="B114" s="170"/>
      <c r="C114" s="371"/>
      <c r="D114" s="371"/>
      <c r="E114" s="372"/>
      <c r="F114" s="170"/>
      <c r="G114" s="170"/>
      <c r="H114" s="170"/>
      <c r="I114" s="170"/>
      <c r="J114" s="170"/>
      <c r="K114" s="170"/>
      <c r="L114" s="170"/>
      <c r="M114" s="170"/>
      <c r="N114" s="170"/>
      <c r="O114" s="369"/>
      <c r="P114" s="170"/>
      <c r="Q114" s="368">
        <v>0</v>
      </c>
      <c r="R114" s="170"/>
      <c r="S114" s="373" t="str">
        <f>IF(B114="","",ROUND(Iluminação!$C$19,2))</f>
        <v/>
      </c>
      <c r="T114" s="373" t="str">
        <f>IF(B114="","",IFERROR(VLOOKUP(Início!$C$20,Aux_Lista!A:I,9,FALSE),""))</f>
        <v/>
      </c>
      <c r="U114" s="373" t="str">
        <f>IF(ISERROR(VLOOKUP($I114,Aux_Lista!$A$2:$L$13,10,FALSE)^-1),"",VLOOKUP($I114,Aux_Lista!$A$2:$L$13,10,FALSE)^-1)</f>
        <v/>
      </c>
      <c r="V114" s="374" t="str">
        <f>IF(ISERROR(VLOOKUP($I114,Aux_Lista!$A$2:$L$13,11,FALSE)),"",VLOOKUP($I114,Aux_Lista!$A$2:$L$13,11,FALSE))</f>
        <v/>
      </c>
      <c r="W114" s="104"/>
      <c r="X114" s="104" t="s">
        <v>10549</v>
      </c>
      <c r="Y114" s="456"/>
      <c r="Z114" s="467" t="str">
        <f t="shared" si="8"/>
        <v/>
      </c>
      <c r="AA114" s="467" t="str">
        <f t="shared" si="9"/>
        <v/>
      </c>
      <c r="AB114" s="281" t="str">
        <f t="shared" si="10"/>
        <v/>
      </c>
      <c r="AC114" s="281" t="str">
        <f t="shared" si="11"/>
        <v/>
      </c>
      <c r="AD114" s="2"/>
      <c r="AE114" s="459">
        <f t="shared" si="12"/>
        <v>0</v>
      </c>
    </row>
    <row r="115" spans="1:31" s="13" customFormat="1" ht="20.100000000000001" customHeight="1" x14ac:dyDescent="0.25">
      <c r="A115" s="92">
        <v>97</v>
      </c>
      <c r="B115" s="170"/>
      <c r="C115" s="371"/>
      <c r="D115" s="371"/>
      <c r="E115" s="372"/>
      <c r="F115" s="170"/>
      <c r="G115" s="170"/>
      <c r="H115" s="170"/>
      <c r="I115" s="170"/>
      <c r="J115" s="170"/>
      <c r="K115" s="170"/>
      <c r="L115" s="170"/>
      <c r="M115" s="170"/>
      <c r="N115" s="170"/>
      <c r="O115" s="369"/>
      <c r="P115" s="170"/>
      <c r="Q115" s="368">
        <v>0</v>
      </c>
      <c r="R115" s="170"/>
      <c r="S115" s="373" t="str">
        <f>IF(B115="","",ROUND(Iluminação!$C$19,2))</f>
        <v/>
      </c>
      <c r="T115" s="373" t="str">
        <f>IF(B115="","",IFERROR(VLOOKUP(Início!$C$20,Aux_Lista!A:I,9,FALSE),""))</f>
        <v/>
      </c>
      <c r="U115" s="373" t="str">
        <f>IF(ISERROR(VLOOKUP($I115,Aux_Lista!$A$2:$L$13,10,FALSE)^-1),"",VLOOKUP($I115,Aux_Lista!$A$2:$L$13,10,FALSE)^-1)</f>
        <v/>
      </c>
      <c r="V115" s="374" t="str">
        <f>IF(ISERROR(VLOOKUP($I115,Aux_Lista!$A$2:$L$13,11,FALSE)),"",VLOOKUP($I115,Aux_Lista!$A$2:$L$13,11,FALSE))</f>
        <v/>
      </c>
      <c r="W115" s="104"/>
      <c r="X115" s="104" t="s">
        <v>10549</v>
      </c>
      <c r="Y115" s="456"/>
      <c r="Z115" s="467" t="str">
        <f t="shared" si="8"/>
        <v/>
      </c>
      <c r="AA115" s="467" t="str">
        <f t="shared" si="9"/>
        <v/>
      </c>
      <c r="AB115" s="281" t="str">
        <f t="shared" si="10"/>
        <v/>
      </c>
      <c r="AC115" s="281" t="str">
        <f t="shared" si="11"/>
        <v/>
      </c>
      <c r="AD115" s="2"/>
      <c r="AE115" s="459">
        <f t="shared" si="12"/>
        <v>0</v>
      </c>
    </row>
    <row r="116" spans="1:31" s="13" customFormat="1" ht="20.100000000000001" customHeight="1" x14ac:dyDescent="0.25">
      <c r="A116" s="93">
        <v>98</v>
      </c>
      <c r="B116" s="170"/>
      <c r="C116" s="371"/>
      <c r="D116" s="371"/>
      <c r="E116" s="372"/>
      <c r="F116" s="170"/>
      <c r="G116" s="170"/>
      <c r="H116" s="170"/>
      <c r="I116" s="170"/>
      <c r="J116" s="170"/>
      <c r="K116" s="170"/>
      <c r="L116" s="170"/>
      <c r="M116" s="170"/>
      <c r="N116" s="170"/>
      <c r="O116" s="369"/>
      <c r="P116" s="170"/>
      <c r="Q116" s="368">
        <v>0</v>
      </c>
      <c r="R116" s="170"/>
      <c r="S116" s="373" t="str">
        <f>IF(B116="","",ROUND(Iluminação!$C$19,2))</f>
        <v/>
      </c>
      <c r="T116" s="373" t="str">
        <f>IF(B116="","",IFERROR(VLOOKUP(Início!$C$20,Aux_Lista!A:I,9,FALSE),""))</f>
        <v/>
      </c>
      <c r="U116" s="373" t="str">
        <f>IF(ISERROR(VLOOKUP($I116,Aux_Lista!$A$2:$L$13,10,FALSE)^-1),"",VLOOKUP($I116,Aux_Lista!$A$2:$L$13,10,FALSE)^-1)</f>
        <v/>
      </c>
      <c r="V116" s="374" t="str">
        <f>IF(ISERROR(VLOOKUP($I116,Aux_Lista!$A$2:$L$13,11,FALSE)),"",VLOOKUP($I116,Aux_Lista!$A$2:$L$13,11,FALSE))</f>
        <v/>
      </c>
      <c r="W116" s="104"/>
      <c r="X116" s="104" t="s">
        <v>10549</v>
      </c>
      <c r="Y116" s="456"/>
      <c r="Z116" s="467" t="str">
        <f t="shared" si="8"/>
        <v/>
      </c>
      <c r="AA116" s="467" t="str">
        <f t="shared" si="9"/>
        <v/>
      </c>
      <c r="AB116" s="281" t="str">
        <f t="shared" si="10"/>
        <v/>
      </c>
      <c r="AC116" s="281" t="str">
        <f t="shared" si="11"/>
        <v/>
      </c>
      <c r="AD116" s="2"/>
      <c r="AE116" s="459">
        <f t="shared" si="12"/>
        <v>0</v>
      </c>
    </row>
    <row r="117" spans="1:31" s="13" customFormat="1" ht="20.100000000000001" customHeight="1" x14ac:dyDescent="0.25">
      <c r="A117" s="92">
        <v>99</v>
      </c>
      <c r="B117" s="170"/>
      <c r="C117" s="371"/>
      <c r="D117" s="371"/>
      <c r="E117" s="372"/>
      <c r="F117" s="170"/>
      <c r="G117" s="170"/>
      <c r="H117" s="170"/>
      <c r="I117" s="170"/>
      <c r="J117" s="170"/>
      <c r="K117" s="170"/>
      <c r="L117" s="170"/>
      <c r="M117" s="170"/>
      <c r="N117" s="170"/>
      <c r="O117" s="369"/>
      <c r="P117" s="170"/>
      <c r="Q117" s="368">
        <v>0</v>
      </c>
      <c r="R117" s="170"/>
      <c r="S117" s="373" t="str">
        <f>IF(B117="","",ROUND(Iluminação!$C$19,2))</f>
        <v/>
      </c>
      <c r="T117" s="373" t="str">
        <f>IF(B117="","",IFERROR(VLOOKUP(Início!$C$20,Aux_Lista!A:I,9,FALSE),""))</f>
        <v/>
      </c>
      <c r="U117" s="373" t="str">
        <f>IF(ISERROR(VLOOKUP($I117,Aux_Lista!$A$2:$L$13,10,FALSE)^-1),"",VLOOKUP($I117,Aux_Lista!$A$2:$L$13,10,FALSE)^-1)</f>
        <v/>
      </c>
      <c r="V117" s="374" t="str">
        <f>IF(ISERROR(VLOOKUP($I117,Aux_Lista!$A$2:$L$13,11,FALSE)),"",VLOOKUP($I117,Aux_Lista!$A$2:$L$13,11,FALSE))</f>
        <v/>
      </c>
      <c r="W117" s="104"/>
      <c r="X117" s="104" t="s">
        <v>10549</v>
      </c>
      <c r="Y117" s="456"/>
      <c r="Z117" s="467" t="str">
        <f t="shared" si="8"/>
        <v/>
      </c>
      <c r="AA117" s="467" t="str">
        <f t="shared" si="9"/>
        <v/>
      </c>
      <c r="AB117" s="281" t="str">
        <f t="shared" si="10"/>
        <v/>
      </c>
      <c r="AC117" s="281" t="str">
        <f t="shared" si="11"/>
        <v/>
      </c>
      <c r="AD117" s="2"/>
      <c r="AE117" s="459">
        <f t="shared" si="12"/>
        <v>0</v>
      </c>
    </row>
    <row r="118" spans="1:31" s="13" customFormat="1" ht="20.100000000000001" customHeight="1" x14ac:dyDescent="0.25">
      <c r="A118" s="93">
        <v>100</v>
      </c>
      <c r="B118" s="170"/>
      <c r="C118" s="371"/>
      <c r="D118" s="371"/>
      <c r="E118" s="372"/>
      <c r="F118" s="170"/>
      <c r="G118" s="170"/>
      <c r="H118" s="170"/>
      <c r="I118" s="170"/>
      <c r="J118" s="170"/>
      <c r="K118" s="170"/>
      <c r="L118" s="170"/>
      <c r="M118" s="170"/>
      <c r="N118" s="170"/>
      <c r="O118" s="369"/>
      <c r="P118" s="170"/>
      <c r="Q118" s="368">
        <v>0</v>
      </c>
      <c r="R118" s="170"/>
      <c r="S118" s="373" t="str">
        <f>IF(B118="","",ROUND(Iluminação!$C$19,2))</f>
        <v/>
      </c>
      <c r="T118" s="373" t="str">
        <f>IF(B118="","",IFERROR(VLOOKUP(Início!$C$20,Aux_Lista!A:I,9,FALSE),""))</f>
        <v/>
      </c>
      <c r="U118" s="373" t="str">
        <f>IF(ISERROR(VLOOKUP($I118,Aux_Lista!$A$2:$L$13,10,FALSE)^-1),"",VLOOKUP($I118,Aux_Lista!$A$2:$L$13,10,FALSE)^-1)</f>
        <v/>
      </c>
      <c r="V118" s="374" t="str">
        <f>IF(ISERROR(VLOOKUP($I118,Aux_Lista!$A$2:$L$13,11,FALSE)),"",VLOOKUP($I118,Aux_Lista!$A$2:$L$13,11,FALSE))</f>
        <v/>
      </c>
      <c r="W118" s="104"/>
      <c r="X118" s="104"/>
      <c r="Y118" s="456"/>
      <c r="Z118" s="467" t="str">
        <f t="shared" si="8"/>
        <v/>
      </c>
      <c r="AA118" s="467" t="str">
        <f t="shared" si="9"/>
        <v/>
      </c>
      <c r="AB118" s="281" t="str">
        <f t="shared" si="10"/>
        <v/>
      </c>
      <c r="AC118" s="281" t="str">
        <f t="shared" si="11"/>
        <v/>
      </c>
      <c r="AD118" s="2"/>
      <c r="AE118" s="459">
        <f t="shared" si="12"/>
        <v>0</v>
      </c>
    </row>
  </sheetData>
  <sheetProtection algorithmName="SHA-512" hashValue="D41JwpiCfdNQddwBeHBiRvKhyT9BqY+VbrAPbC4uLgGCD40quR4A8KkjpyjzVLpHX1hF6Jma0SCnX5Ty6ph0zw==" saltValue="F9zsukWt4zoJ8eP2LcD9RQ==" spinCount="100000" sheet="1" formatColumns="0" formatRows="0"/>
  <protectedRanges>
    <protectedRange sqref="K16" name="dpeSimulacao"/>
    <protectedRange sqref="H15:H16" name="metodoSimulacao"/>
    <protectedRange sqref="B19:R118" name="envoltoria1"/>
    <protectedRange sqref="AB16" name="PHOCT_2"/>
    <protectedRange sqref="W19:Y102" name="envoltoria2"/>
    <protectedRange sqref="AB15:AC16" name="VentilacaoNatural"/>
  </protectedRanges>
  <mergeCells count="12">
    <mergeCell ref="B14:E16"/>
    <mergeCell ref="G14:H14"/>
    <mergeCell ref="Z17:AA17"/>
    <mergeCell ref="W14:X17"/>
    <mergeCell ref="Z5:AC5"/>
    <mergeCell ref="Y10:Y11"/>
    <mergeCell ref="S17:V17"/>
    <mergeCell ref="AB15:AC15"/>
    <mergeCell ref="Z15:AA15"/>
    <mergeCell ref="AB16:AC16"/>
    <mergeCell ref="Z16:AA16"/>
    <mergeCell ref="Z14:AC14"/>
  </mergeCells>
  <phoneticPr fontId="21" type="noConversion"/>
  <conditionalFormatting sqref="G14:H16">
    <cfRule type="expression" dxfId="63" priority="5">
      <formula>$C$9="Método Simplificado"</formula>
    </cfRule>
  </conditionalFormatting>
  <conditionalFormatting sqref="J19:J118">
    <cfRule type="expression" dxfId="62" priority="10">
      <formula>$F19="Interna"</formula>
    </cfRule>
  </conditionalFormatting>
  <conditionalFormatting sqref="J16:K16">
    <cfRule type="expression" dxfId="61" priority="3">
      <formula>$C$9="Método Simplificado"</formula>
    </cfRule>
  </conditionalFormatting>
  <conditionalFormatting sqref="N19:O118">
    <cfRule type="expression" dxfId="60" priority="9">
      <formula>$F19="Interna"</formula>
    </cfRule>
  </conditionalFormatting>
  <conditionalFormatting sqref="O19:O118">
    <cfRule type="expression" dxfId="59" priority="1">
      <formula>OR(AND($N19="Sem Aberturas",$O19&lt;&gt;0),AND($F19="Interna",$O19&lt;&gt;0))</formula>
    </cfRule>
  </conditionalFormatting>
  <conditionalFormatting sqref="P19:P118">
    <cfRule type="expression" dxfId="58" priority="2">
      <formula>$I19&lt;&gt;"Varejo e Serviços"</formula>
    </cfRule>
  </conditionalFormatting>
  <conditionalFormatting sqref="AB16">
    <cfRule type="expression" dxfId="57" priority="4">
      <formula>$AB$15="Não (totalmente condicionada)"</formula>
    </cfRule>
  </conditionalFormatting>
  <dataValidations count="7">
    <dataValidation type="custom" allowBlank="1" showInputMessage="1" showErrorMessage="1" errorTitle="FORA DO INTERVALO!" error="VERIFIQUE O INTERVALO ACEITÁVEL!" promptTitle="VERIFIQUE O INTERVALO ACEITÁVEL!" sqref="O22 O31:O32 O37:O39 O52:O53 O43 O58:O60 O64 O73:O74 Q19:Q118 O79:O81 O100:O118 O94:O95 O85" xr:uid="{00000000-0002-0000-0300-000002000000}">
      <formula1>AND(O19&gt;=0,O19&lt;=90)</formula1>
    </dataValidation>
    <dataValidation type="custom" allowBlank="1" showInputMessage="1" showErrorMessage="1" errorTitle="FORA DO INTERVALO!" error="VERIFIQUE O INTERVALO ACEITÁVEL!" promptTitle="VERIFIQUE O INTERVALO ACEITÁVEL!" sqref="S19:S118" xr:uid="{00000000-0002-0000-0300-000003000000}">
      <formula1>AND(S19&gt;=4,S19&lt;=40)</formula1>
    </dataValidation>
    <dataValidation type="list" allowBlank="1" showInputMessage="1" showErrorMessage="1" sqref="C9" xr:uid="{00000000-0002-0000-0300-000005000000}">
      <formula1>"Método Simplificado,Método de Simulação"</formula1>
    </dataValidation>
    <dataValidation type="list" allowBlank="1" showInputMessage="1" showErrorMessage="1" sqref="P19:P118" xr:uid="{00000000-0002-0000-0300-000006000000}">
      <formula1>"Sim,Não"</formula1>
    </dataValidation>
    <dataValidation type="custom" allowBlank="1" showInputMessage="1" showErrorMessage="1" errorTitle="FORA DO INTERVALO!" error="VERIFIQUE O INTERVALO ACEITÁVEL!" promptTitle="VERIFIQUE O INTERVALO ACEITÁVEL!" sqref="O23:O30 O19:O21 O33:O36 O44:O51 O40:O42 O54:O57 O65:O72 O61:O63 O75:O78 O86:O93 O82:O84 O96:O99" xr:uid="{D0DB926E-20B7-4E7C-9C41-C81B71C98DA6}">
      <formula1>AND(O19&gt;=0,O19&lt;=99)</formula1>
    </dataValidation>
    <dataValidation type="list" showInputMessage="1" showErrorMessage="1" sqref="AB15:AC15" xr:uid="{4030B881-3C38-4873-B508-EC96F85BAAA6}">
      <formula1>"Sim (Naturalmente Ventilada),Sim (modo híbrido),Não (totalmente condicionada)"</formula1>
    </dataValidation>
    <dataValidation type="custom" allowBlank="1" showInputMessage="1" showErrorMessage="1" errorTitle="FORA DO INTERVALO!" error="VERIFIQUE O INTERVALO ACEITÁVEL!" promptTitle="VERIFIQUE O INTERVALO ACEITÁVEL!" sqref="E19:E118" xr:uid="{E43898D9-D7BC-474A-9644-76AD35AD5C29}">
      <formula1>AND(E19&gt;=2.3,E19&lt;=10)</formula1>
    </dataValidation>
  </dataValidations>
  <pageMargins left="0.511811024" right="0.511811024" top="0.78740157499999996" bottom="0.78740157499999996" header="0.31496062000000002" footer="0.31496062000000002"/>
  <pageSetup paperSize="9"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3">
        <x14:dataValidation type="list" allowBlank="1" showInputMessage="1" showErrorMessage="1" xr:uid="{00000000-0002-0000-0300-000007000000}">
          <x14:formula1>
            <xm:f>Aux_Lista!$C$2:$C$3</xm:f>
          </x14:formula1>
          <xm:sqref>F19:F118</xm:sqref>
        </x14:dataValidation>
        <x14:dataValidation type="list" allowBlank="1" showInputMessage="1" showErrorMessage="1" xr:uid="{00000000-0002-0000-0300-000008000000}">
          <x14:formula1>
            <xm:f>Componentes!$B$10:$B$59</xm:f>
          </x14:formula1>
          <xm:sqref>J19:J118</xm:sqref>
        </x14:dataValidation>
        <x14:dataValidation type="list" allowBlank="1" showInputMessage="1" showErrorMessage="1" xr:uid="{00000000-0002-0000-0300-000009000000}">
          <x14:formula1>
            <xm:f>Componentes!$K$10:$K$59</xm:f>
          </x14:formula1>
          <xm:sqref>L19:L118</xm:sqref>
        </x14:dataValidation>
        <x14:dataValidation type="list" allowBlank="1" showInputMessage="1" showErrorMessage="1" xr:uid="{00000000-0002-0000-0300-00000A000000}">
          <x14:formula1>
            <xm:f>Componentes!$T$10:$T$59</xm:f>
          </x14:formula1>
          <xm:sqref>N19:N118</xm:sqref>
        </x14:dataValidation>
        <x14:dataValidation type="list" allowBlank="1" showInputMessage="1" showErrorMessage="1" xr:uid="{00000000-0002-0000-0300-00000B000000}">
          <x14:formula1>
            <xm:f>Componentes!$P$10:$P$59</xm:f>
          </x14:formula1>
          <xm:sqref>M19:M118</xm:sqref>
        </x14:dataValidation>
        <x14:dataValidation type="list" allowBlank="1" showInputMessage="1" showErrorMessage="1" xr:uid="{00000000-0002-0000-0300-00000C000000}">
          <x14:formula1>
            <xm:f>Componentes!$G$10:$G$59</xm:f>
          </x14:formula1>
          <xm:sqref>K19:K118</xm:sqref>
        </x14:dataValidation>
        <x14:dataValidation type="list" allowBlank="1" showInputMessage="1" showErrorMessage="1" xr:uid="{00000000-0002-0000-0300-00000D000000}">
          <x14:formula1>
            <xm:f>Componentes!$AD$10:$AD$59</xm:f>
          </x14:formula1>
          <xm:sqref>R19:R118</xm:sqref>
        </x14:dataValidation>
        <x14:dataValidation type="list" allowBlank="1" showInputMessage="1" showErrorMessage="1" xr:uid="{00000000-0002-0000-0300-00000F000000}">
          <x14:formula1>
            <xm:f>Aux_Lista!$W$2:$W$3</xm:f>
          </x14:formula1>
          <xm:sqref>H19:H118</xm:sqref>
        </x14:dataValidation>
        <x14:dataValidation type="list" allowBlank="1" showInputMessage="1" showErrorMessage="1" errorTitle="FORA DO INTERVALO!" error="VERIFIQUE O INTERVALO ACEITÁVEL!" promptTitle="VERIFIQUE O INTERVALO ACEITÁVEL!" xr:uid="{00000000-0002-0000-0300-000010000000}">
          <x14:formula1>
            <xm:f>Aux_Lista!$C$2:$C$3</xm:f>
          </x14:formula1>
          <xm:sqref>F19:F118</xm:sqref>
        </x14:dataValidation>
        <x14:dataValidation type="list" allowBlank="1" showInputMessage="1" showErrorMessage="1" xr:uid="{00000000-0002-0000-0300-000011000000}">
          <x14:formula1>
            <xm:f>Aux_Lista!$E$2:$E$10</xm:f>
          </x14:formula1>
          <xm:sqref>G19:G118</xm:sqref>
        </x14:dataValidation>
        <x14:dataValidation type="list" allowBlank="1" showInputMessage="1" showErrorMessage="1" xr:uid="{00000000-0002-0000-0300-000012000000}">
          <x14:formula1>
            <xm:f>Aux_Lista!$A$2:$A$11</xm:f>
          </x14:formula1>
          <xm:sqref>I19:I118</xm:sqref>
        </x14:dataValidation>
        <x14:dataValidation type="list" allowBlank="1" showInputMessage="1" showErrorMessage="1" xr:uid="{7931744B-C7A7-4D43-BBB5-9F36373FFCAD}">
          <x14:formula1>
            <xm:f>Aux_Lista!$O$2:$O$8</xm:f>
          </x14:formula1>
          <xm:sqref>B19:B118</xm:sqref>
        </x14:dataValidation>
        <x14:dataValidation type="custom" allowBlank="1" showInputMessage="1" showErrorMessage="1" xr:uid="{D467FACA-861B-47DB-906B-98DE3AC453E4}">
          <x14:formula1>
            <xm:f>IF(ISERROR(VLOOKUP($I19,Aux_Lista!$A$2:$L$13,9,FALSE)),"",VLOOKUP($I19,Aux_Lista!$A$2:$L$13,9,FALSE))</xm:f>
          </x14:formula1>
          <xm:sqref>T19:T118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2CCB3-D13B-405B-BFBA-E46D532B3F9A}">
  <sheetPr codeName="Planilha7">
    <tabColor rgb="FFFFFF00"/>
  </sheetPr>
  <dimension ref="A2:CA111"/>
  <sheetViews>
    <sheetView showGridLines="0" topLeftCell="T6" zoomScale="85" zoomScaleNormal="85" workbookViewId="0">
      <selection activeCell="AB11" sqref="AB11:AB27"/>
    </sheetView>
  </sheetViews>
  <sheetFormatPr defaultColWidth="9.140625" defaultRowHeight="15" x14ac:dyDescent="0.25"/>
  <cols>
    <col min="1" max="1" width="5.7109375" customWidth="1"/>
    <col min="2" max="2" width="18.5703125" bestFit="1" customWidth="1"/>
    <col min="3" max="3" width="13.7109375" bestFit="1" customWidth="1"/>
    <col min="4" max="4" width="8.42578125" customWidth="1"/>
    <col min="5" max="5" width="9.7109375" customWidth="1"/>
    <col min="6" max="6" width="8.85546875" customWidth="1"/>
    <col min="17" max="17" width="12.140625" customWidth="1"/>
    <col min="25" max="25" width="9.7109375" customWidth="1"/>
    <col min="27" max="27" width="9.140625" style="2"/>
    <col min="57" max="57" width="16.28515625" customWidth="1"/>
    <col min="58" max="58" width="16.140625" customWidth="1"/>
    <col min="60" max="67" width="11.42578125" customWidth="1"/>
    <col min="68" max="68" width="3.42578125" customWidth="1"/>
    <col min="69" max="69" width="42.140625" style="11" bestFit="1" customWidth="1"/>
    <col min="70" max="70" width="9.140625" style="11"/>
    <col min="71" max="76" width="26" style="11" customWidth="1"/>
    <col min="77" max="77" width="13.5703125" style="11" customWidth="1"/>
    <col min="78" max="78" width="14" style="11" customWidth="1"/>
    <col min="79" max="16384" width="9.140625" style="11"/>
  </cols>
  <sheetData>
    <row r="2" spans="1:69" ht="28.5" customHeight="1" x14ac:dyDescent="0.25"/>
    <row r="3" spans="1:69" s="12" customFormat="1" x14ac:dyDescent="0.25">
      <c r="A3" s="10"/>
      <c r="B3" s="10"/>
      <c r="C3" s="10"/>
      <c r="D3" s="10"/>
      <c r="E3" s="10"/>
      <c r="F3" s="10"/>
      <c r="G3" s="10"/>
      <c r="H3" s="10"/>
      <c r="I3" s="10"/>
      <c r="J3" s="10"/>
      <c r="K3" s="10"/>
      <c r="L3" s="10"/>
      <c r="M3" s="10"/>
      <c r="N3" s="10"/>
      <c r="O3" s="10"/>
      <c r="P3" s="10"/>
      <c r="Q3" s="10"/>
      <c r="R3" s="10"/>
      <c r="S3" s="10"/>
      <c r="T3" s="10"/>
      <c r="U3" s="10"/>
      <c r="V3" s="10"/>
      <c r="W3" s="10"/>
      <c r="X3" s="10"/>
      <c r="Y3" s="10"/>
      <c r="Z3" s="10"/>
      <c r="AA3" s="37"/>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row>
    <row r="5" spans="1:69" ht="18.75" x14ac:dyDescent="0.3">
      <c r="A5" s="22"/>
      <c r="B5" s="23" t="s">
        <v>38</v>
      </c>
      <c r="C5" s="22"/>
      <c r="D5" s="22"/>
      <c r="E5" s="22"/>
      <c r="F5" s="22"/>
      <c r="G5" s="22"/>
      <c r="H5" s="22"/>
      <c r="I5" s="22"/>
      <c r="J5" s="22"/>
      <c r="K5" s="22"/>
      <c r="L5" s="22"/>
      <c r="M5" s="22"/>
      <c r="N5" s="22"/>
      <c r="O5" s="22"/>
      <c r="P5" s="22"/>
      <c r="Q5" s="22"/>
      <c r="R5" s="22"/>
      <c r="S5" s="22"/>
      <c r="T5" s="22"/>
      <c r="U5" s="22"/>
      <c r="V5" s="22"/>
      <c r="W5" s="22"/>
      <c r="X5" s="22"/>
      <c r="Y5" s="22"/>
      <c r="Z5" s="22"/>
      <c r="AA5" s="38"/>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row>
    <row r="7" spans="1:69" ht="30" x14ac:dyDescent="0.25">
      <c r="B7" s="47" t="s">
        <v>22</v>
      </c>
      <c r="C7" s="48" t="str">
        <f>Início!C11</f>
        <v>Sede da Subseção da Justiça Federal em Patos</v>
      </c>
    </row>
    <row r="8" spans="1:69" x14ac:dyDescent="0.25">
      <c r="B8" s="47" t="s">
        <v>24</v>
      </c>
      <c r="C8" s="48" t="str">
        <f>Início!C14</f>
        <v>Projeto</v>
      </c>
      <c r="AB8">
        <v>2</v>
      </c>
      <c r="AC8">
        <v>3</v>
      </c>
      <c r="AD8">
        <v>4</v>
      </c>
      <c r="AE8">
        <v>5</v>
      </c>
      <c r="AF8">
        <v>6</v>
      </c>
      <c r="AG8">
        <v>7</v>
      </c>
      <c r="AH8">
        <v>8</v>
      </c>
      <c r="AI8">
        <v>9</v>
      </c>
      <c r="AJ8">
        <v>10</v>
      </c>
      <c r="AK8">
        <v>11</v>
      </c>
      <c r="AL8">
        <v>12</v>
      </c>
      <c r="AM8">
        <v>13</v>
      </c>
      <c r="AN8">
        <v>14</v>
      </c>
      <c r="AO8">
        <v>15</v>
      </c>
    </row>
    <row r="9" spans="1:69" x14ac:dyDescent="0.25">
      <c r="AB9" s="585" t="s">
        <v>8996</v>
      </c>
      <c r="AC9" s="586"/>
      <c r="AD9" s="586"/>
      <c r="AE9" s="586"/>
      <c r="AF9" s="586"/>
      <c r="AG9" s="586"/>
      <c r="AH9" s="586"/>
      <c r="AI9" s="586"/>
      <c r="AJ9" s="586"/>
      <c r="AK9" s="586"/>
      <c r="AL9" s="586"/>
      <c r="AM9" s="586"/>
      <c r="AN9" s="586"/>
      <c r="AO9" s="587"/>
      <c r="AR9">
        <v>3</v>
      </c>
      <c r="AS9">
        <v>4</v>
      </c>
      <c r="AT9">
        <v>5</v>
      </c>
      <c r="AU9">
        <v>6</v>
      </c>
      <c r="AV9">
        <v>7</v>
      </c>
      <c r="AW9">
        <v>2</v>
      </c>
      <c r="AX9">
        <v>3</v>
      </c>
      <c r="AY9">
        <v>4</v>
      </c>
      <c r="AZ9">
        <v>5</v>
      </c>
      <c r="BA9">
        <v>6</v>
      </c>
      <c r="BB9">
        <v>7</v>
      </c>
      <c r="BC9">
        <v>2</v>
      </c>
      <c r="BD9">
        <v>3</v>
      </c>
      <c r="BG9">
        <v>10</v>
      </c>
      <c r="BH9">
        <v>2</v>
      </c>
      <c r="BI9">
        <v>3</v>
      </c>
      <c r="BJ9">
        <v>4</v>
      </c>
      <c r="BK9">
        <v>5</v>
      </c>
      <c r="BL9">
        <v>6</v>
      </c>
      <c r="BM9">
        <v>7</v>
      </c>
      <c r="BN9">
        <v>8</v>
      </c>
      <c r="BO9">
        <v>9</v>
      </c>
    </row>
    <row r="10" spans="1:69" ht="45" x14ac:dyDescent="0.25">
      <c r="B10" s="407" t="s">
        <v>227</v>
      </c>
      <c r="C10" s="407" t="s">
        <v>8997</v>
      </c>
      <c r="D10" s="407" t="s">
        <v>8998</v>
      </c>
      <c r="E10" s="407" t="s">
        <v>57</v>
      </c>
      <c r="F10" s="235" t="s">
        <v>8999</v>
      </c>
      <c r="G10" s="235" t="s">
        <v>9000</v>
      </c>
      <c r="H10" s="235" t="s">
        <v>9001</v>
      </c>
      <c r="I10" s="235" t="s">
        <v>9002</v>
      </c>
      <c r="J10" s="408" t="s">
        <v>9003</v>
      </c>
      <c r="K10" s="408" t="s">
        <v>9004</v>
      </c>
      <c r="L10" s="235" t="s">
        <v>9005</v>
      </c>
      <c r="M10" s="235" t="s">
        <v>9006</v>
      </c>
      <c r="N10" s="235" t="s">
        <v>9007</v>
      </c>
      <c r="O10" s="235" t="s">
        <v>9008</v>
      </c>
      <c r="P10" s="235" t="s">
        <v>9009</v>
      </c>
      <c r="Q10" s="235" t="s">
        <v>9010</v>
      </c>
      <c r="R10" s="408" t="s">
        <v>9011</v>
      </c>
      <c r="S10" s="408" t="s">
        <v>9012</v>
      </c>
      <c r="T10" s="407" t="s">
        <v>9013</v>
      </c>
      <c r="U10" s="407" t="s">
        <v>9014</v>
      </c>
      <c r="V10" s="408" t="s">
        <v>9015</v>
      </c>
      <c r="W10" s="408" t="s">
        <v>9016</v>
      </c>
      <c r="X10" s="407" t="s">
        <v>9017</v>
      </c>
      <c r="Y10" s="407" t="s">
        <v>9018</v>
      </c>
      <c r="Z10" s="407" t="s">
        <v>9019</v>
      </c>
      <c r="AA10" s="408" t="s">
        <v>9020</v>
      </c>
      <c r="AB10" s="422" t="s">
        <v>9021</v>
      </c>
      <c r="AC10" s="422" t="s">
        <v>9022</v>
      </c>
      <c r="AD10" s="422" t="s">
        <v>9023</v>
      </c>
      <c r="AE10" s="422" t="s">
        <v>9024</v>
      </c>
      <c r="AF10" s="422" t="s">
        <v>9025</v>
      </c>
      <c r="AG10" s="422" t="s">
        <v>9026</v>
      </c>
      <c r="AH10" s="422" t="s">
        <v>9027</v>
      </c>
      <c r="AI10" s="422" t="s">
        <v>9028</v>
      </c>
      <c r="AJ10" s="422" t="s">
        <v>9029</v>
      </c>
      <c r="AK10" s="422" t="s">
        <v>9030</v>
      </c>
      <c r="AL10" s="422" t="s">
        <v>9031</v>
      </c>
      <c r="AM10" s="422" t="s">
        <v>9032</v>
      </c>
      <c r="AN10" s="422" t="s">
        <v>9033</v>
      </c>
      <c r="AO10" s="422" t="s">
        <v>9034</v>
      </c>
      <c r="AP10" s="407" t="s">
        <v>9035</v>
      </c>
      <c r="AQ10" s="235" t="s">
        <v>9036</v>
      </c>
      <c r="AR10" s="235" t="s">
        <v>9037</v>
      </c>
      <c r="AS10" s="235" t="s">
        <v>9038</v>
      </c>
      <c r="AT10" s="235" t="s">
        <v>9039</v>
      </c>
      <c r="AU10" s="235" t="s">
        <v>9040</v>
      </c>
      <c r="AV10" s="235" t="s">
        <v>9041</v>
      </c>
      <c r="AW10" s="408" t="s">
        <v>206</v>
      </c>
      <c r="AX10" s="408" t="s">
        <v>207</v>
      </c>
      <c r="AY10" s="408" t="s">
        <v>208</v>
      </c>
      <c r="AZ10" s="408" t="s">
        <v>209</v>
      </c>
      <c r="BA10" s="408" t="s">
        <v>210</v>
      </c>
      <c r="BB10" s="408" t="s">
        <v>211</v>
      </c>
      <c r="BC10" s="408" t="s">
        <v>212</v>
      </c>
      <c r="BD10" s="408" t="s">
        <v>213</v>
      </c>
      <c r="BE10" s="235" t="s">
        <v>9042</v>
      </c>
      <c r="BF10" s="235" t="s">
        <v>9043</v>
      </c>
      <c r="BG10" s="235" t="s">
        <v>9044</v>
      </c>
      <c r="BH10" s="235" t="s">
        <v>9045</v>
      </c>
      <c r="BI10" s="235" t="s">
        <v>9046</v>
      </c>
      <c r="BJ10" s="235" t="s">
        <v>9047</v>
      </c>
      <c r="BK10" s="235" t="s">
        <v>9048</v>
      </c>
      <c r="BL10" s="235" t="s">
        <v>9049</v>
      </c>
      <c r="BM10" s="235" t="s">
        <v>9050</v>
      </c>
      <c r="BN10" s="235" t="s">
        <v>9051</v>
      </c>
      <c r="BO10" s="235" t="s">
        <v>9052</v>
      </c>
    </row>
    <row r="11" spans="1:69" s="13" customFormat="1" x14ac:dyDescent="0.25">
      <c r="A11" s="2">
        <v>1</v>
      </c>
      <c r="B11" s="410" t="str">
        <f>Envoltória!I19</f>
        <v>Escritórios</v>
      </c>
      <c r="C11" s="410" t="str">
        <f>Envoltória!B19</f>
        <v>Térreo (com + pvtos acima)</v>
      </c>
      <c r="D11" s="410" t="str">
        <f>Envoltória!C19</f>
        <v>ZP1</v>
      </c>
      <c r="E11" s="410">
        <f>Envoltória!D19</f>
        <v>17.28</v>
      </c>
      <c r="F11" s="430">
        <f>IF(B11=0,"",Envoltória!E19)</f>
        <v>3</v>
      </c>
      <c r="G11" s="433">
        <f>IF(B11=0,"",IF(BF11=1,(((2/4.5)*E11)+9)/2,SQRT(E11)))</f>
        <v>8.34</v>
      </c>
      <c r="H11" s="430">
        <f>IF(B11=0,"",Envoltória!O19/100)</f>
        <v>0</v>
      </c>
      <c r="I11" s="430">
        <f>IF(B11=0,"",IF(BF11=1,VLOOKUP(Envoltória!N19,Componentes!AV:AY,2,FALSE),89))</f>
        <v>0</v>
      </c>
      <c r="J11" s="416">
        <f>IF(B11=0,"",IFERROR(VLOOKUP(Envoltória!M19,Componentes!$P:$R,2,FALSE),""))</f>
        <v>2.06</v>
      </c>
      <c r="K11" s="416">
        <f>IF(B11=0,"",IFERROR(VLOOKUP(Envoltória!M19,Componentes!$P:$R,3,FALSE),""))</f>
        <v>233</v>
      </c>
      <c r="L11" s="431">
        <f>IF(B11=0,"",IFERROR(IF(BB11&lt;&gt;0,VLOOKUP(Envoltória!L19,Componentes!K:N,2,FALSE),0),""))</f>
        <v>0</v>
      </c>
      <c r="M11" s="431">
        <f>IF(B11=0,"",IFERROR(IF(BB11&lt;&gt;0,VLOOKUP(Envoltória!L19,Componentes!K:N,3,FALSE),0),""))</f>
        <v>0</v>
      </c>
      <c r="N11" s="431">
        <f>IF(B11=0,"",IFERROR(IF(BB11&lt;&gt;0,VLOOKUP(Envoltória!L19,Componentes!K:N,4,FALSE),0),""))</f>
        <v>0</v>
      </c>
      <c r="O11" s="430">
        <f>IF(B11=0,"",IF(BF11=1,VLOOKUP(Envoltória!J19,Componentes!B:E,2,FALSE),-6))</f>
        <v>1.7307999999999999</v>
      </c>
      <c r="P11" s="430">
        <f>IF(B11=0,"",IF(BF11=1,VLOOKUP(Envoltória!J19,Componentes!B:E,3,FALSE),-400))</f>
        <v>150</v>
      </c>
      <c r="Q11" s="430">
        <f>IF(B11=0,"",IF(BF11=1,VLOOKUP(Envoltória!J19,Componentes!B:E,4,FALSE),0))</f>
        <v>0.39600000000000002</v>
      </c>
      <c r="R11" s="416">
        <f>IF(B11=0,"",IFERROR(VLOOKUP(Envoltória!K19,Componentes!G:I,2,FALSE),""))</f>
        <v>2.39</v>
      </c>
      <c r="S11" s="416">
        <f>IF(B11=0,"",IFERROR(VLOOKUP(Envoltória!K19,Componentes!G:I,3,FALSE),""))</f>
        <v>150</v>
      </c>
      <c r="T11" s="430">
        <f>IF(B11=0,"",IFERROR(IF(H11&lt;&gt;0,VLOOKUP(Envoltória!N19,Componentes!T:V,3,FALSE),0),""))</f>
        <v>0</v>
      </c>
      <c r="U11" s="430">
        <f>IF(B11=0,"",IFERROR(IF(H11&lt;&gt;0,VLOOKUP(Envoltória!N19,Componentes!T:V,2,FALSE),0),""))</f>
        <v>0</v>
      </c>
      <c r="V11" s="416">
        <f>IF(B11=0,"",IFERROR(IF(AA11&lt;&gt;0,VLOOKUP(Envoltória!U19,Componentes!X:Z,2,FALSE),0),0))</f>
        <v>0</v>
      </c>
      <c r="W11" s="416">
        <f>IF(B11=0,"",IFERROR(IF(AA11&lt;&gt;0,VLOOKUP(Envoltória!U19,Componentes!X:Z,3,FALSE),0),0))</f>
        <v>0</v>
      </c>
      <c r="X11" s="430">
        <f>IF(B11=0,"",Envoltória!U19)</f>
        <v>0.1</v>
      </c>
      <c r="Y11" s="431">
        <f>IF(B11=0,"",Envoltória!S19)</f>
        <v>15.45</v>
      </c>
      <c r="Z11" s="430">
        <f>IF(B11=0,"",Envoltória!T19)</f>
        <v>15</v>
      </c>
      <c r="AA11" s="416">
        <f>IF(B11=0,"",Envoltória!Q19/100)</f>
        <v>0</v>
      </c>
      <c r="AB11" s="434">
        <f>IF($B11=0,"",VLOOKUP(Aux_Lista!$DR$2,Aux_Clima!$A:$O,AB$8,FALSE))</f>
        <v>-7.02</v>
      </c>
      <c r="AC11" s="434">
        <f>IF($B11=0,"",VLOOKUP(Aux_Lista!$DR$2,Aux_Clima!$A:$O,AC$8,FALSE))</f>
        <v>249</v>
      </c>
      <c r="AD11" s="434">
        <f>IF($B11=0,"",ROUND(VLOOKUP(Aux_Lista!$DR$2,Aux_Clima!$A:$O,AD$8,FALSE),8))</f>
        <v>27.24</v>
      </c>
      <c r="AE11" s="434">
        <f>IF($B11=0,"",ROUND(VLOOKUP(Aux_Lista!$DR$2,Aux_Clima!$A:$O,AE$8,FALSE),8))</f>
        <v>24.17</v>
      </c>
      <c r="AF11" s="434">
        <f>IF($B11=0,"",ROUND(VLOOKUP(Aux_Lista!$DR$2,Aux_Clima!$A:$O,AF$8,FALSE),8))</f>
        <v>30.311666670000001</v>
      </c>
      <c r="AG11" s="434">
        <f>IF($B11=0,"",ROUND(VLOOKUP(Aux_Lista!$DR$2,Aux_Clima!$A:$O,AG$8,FALSE),8))</f>
        <v>2.8624999999999998</v>
      </c>
      <c r="AH11" s="434">
        <f>IF($B11=0,"",ROUND(VLOOKUP(Aux_Lista!$DR$2,Aux_Clima!$A:$O,AH$8,FALSE),8))</f>
        <v>1.8233333300000001</v>
      </c>
      <c r="AI11" s="434">
        <f>IF($B11=0,"",ROUND(VLOOKUP(Aux_Lista!$DR$2,Aux_Clima!$A:$O,AI$8,FALSE),8))</f>
        <v>3.8433333300000001</v>
      </c>
      <c r="AJ11" s="434">
        <f>IF($B11=0,"",ROUND(VLOOKUP(Aux_Lista!$DR$2,Aux_Clima!$A:$O,AJ$8,FALSE),3))</f>
        <v>6082.0829999999996</v>
      </c>
      <c r="AK11" s="434">
        <f>IF($B11=0,"",ROUND(VLOOKUP(Aux_Lista!$DR$2,Aux_Clima!$A:$O,AK$8,FALSE),3))</f>
        <v>5588.8329999999996</v>
      </c>
      <c r="AL11" s="434">
        <f>IF($B11=0,"",ROUND(VLOOKUP(Aux_Lista!$DR$2,Aux_Clima!$A:$O,AL$8,FALSE),3))</f>
        <v>6759.9380000000001</v>
      </c>
      <c r="AM11" s="434">
        <f>IF($B11=0,"",ROUND(VLOOKUP(Aux_Lista!$DR$2,Aux_Clima!$A:$O,AM$8,FALSE),8))</f>
        <v>18.44083333</v>
      </c>
      <c r="AN11" s="434">
        <f>IF($B11=0,"",ROUND(VLOOKUP(Aux_Lista!$DR$2,Aux_Clima!$A:$O,AN$8,FALSE),8))</f>
        <v>17.19166667</v>
      </c>
      <c r="AO11" s="434">
        <f>IF($B11=0,"",ROUND(VLOOKUP(Aux_Lista!$DR$2,Aux_Clima!$A:$O,AO$8,FALSE),8))</f>
        <v>19.883333329999999</v>
      </c>
      <c r="AP11" s="430">
        <f>IF(B11=0,"",IF(BF11=0,84,VLOOKUP(Envoltória!N19,Componentes!AV:AY,4,FALSE)))</f>
        <v>0</v>
      </c>
      <c r="AQ11" s="430">
        <f>IF(B11=0,"",IF(BF11=0,90,VLOOKUP(Envoltória!N19,Componentes!AV:AY,3,FALSE)))</f>
        <v>0</v>
      </c>
      <c r="AR11" s="430">
        <f>IFERROR(VLOOKUP($B11,$BQ$21:$BW$31,AR$9,FALSE),"")</f>
        <v>1</v>
      </c>
      <c r="AS11" s="430">
        <f>IFERROR(VLOOKUP($B11,$BQ$21:$BW$31,AS$9,FALSE),"")</f>
        <v>0</v>
      </c>
      <c r="AT11" s="430">
        <f>IFERROR(VLOOKUP($B11,$BQ$21:$BW$31,AT$9,FALSE),"")</f>
        <v>0</v>
      </c>
      <c r="AU11" s="430">
        <f>IFERROR(VLOOKUP($B11,$BQ$21:$BW$31,AU$9,FALSE),"")</f>
        <v>0</v>
      </c>
      <c r="AV11" s="430">
        <f>IFERROR(VLOOKUP($B11,$BQ$21:$BW$31,AV$9,FALSE),"")</f>
        <v>0</v>
      </c>
      <c r="AW11" s="416">
        <f>IF($B11=0,"",IFERROR(VLOOKUP(Envoltória!$B19,Aux_Lista!$O:$U,AW$9,FALSE),0))</f>
        <v>0</v>
      </c>
      <c r="AX11" s="416">
        <f>IF($B11=0,"",IFERROR(VLOOKUP(Envoltória!$B19,Aux_Lista!$O:$U,AX$9,FALSE),0))</f>
        <v>1</v>
      </c>
      <c r="AY11" s="416">
        <f>IF($B11=0,"",IFERROR(VLOOKUP(Envoltória!$B19,Aux_Lista!$O:$U,AY$9,FALSE),0))</f>
        <v>1</v>
      </c>
      <c r="AZ11" s="416">
        <f>IF($B11=0,"",IFERROR(VLOOKUP(Envoltória!$B19,Aux_Lista!$O:$U,AZ$9,FALSE),0))</f>
        <v>0</v>
      </c>
      <c r="BA11" s="416">
        <f>IF($B11=0,"",IFERROR(VLOOKUP(Envoltória!$B19,Aux_Lista!$O:$U,BA$9,FALSE),0))</f>
        <v>1</v>
      </c>
      <c r="BB11" s="416">
        <f>IF($B11=0,"",IFERROR(VLOOKUP(Envoltória!$B19,Aux_Lista!$O:$U,BB$9,FALSE),0))</f>
        <v>0</v>
      </c>
      <c r="BC11" s="416">
        <f>IFERROR(VLOOKUP(Envoltória!$H19,Aux_Lista!$W$2:$Y$3,BC$9,FALSE),"")</f>
        <v>1</v>
      </c>
      <c r="BD11" s="416">
        <f>IFERROR(VLOOKUP(Envoltória!$H19,Aux_Lista!$W$2:$Y$3,BD$9,FALSE),"")</f>
        <v>0</v>
      </c>
      <c r="BE11" s="430">
        <f>IF(B11=0,"",IF(BF11=0,1,0))</f>
        <v>0</v>
      </c>
      <c r="BF11" s="430">
        <f>IF(B11=0,"",IF(Envoltória!F19="Perimetral",1,0))</f>
        <v>1</v>
      </c>
      <c r="BG11" s="430">
        <f>IFERROR(VLOOKUP(Envoltória!$G19,$BQ$35:$BZ$43,BG$9,FALSE),"")</f>
        <v>0</v>
      </c>
      <c r="BH11" s="430">
        <f>IFERROR(VLOOKUP(Envoltória!$G19,$BQ$35:$BZ$43,BH$9,FALSE),"")</f>
        <v>0</v>
      </c>
      <c r="BI11" s="430">
        <f>IFERROR(VLOOKUP(Envoltória!$G19,$BQ$35:$BZ$43,BI$9,FALSE),"")</f>
        <v>0</v>
      </c>
      <c r="BJ11" s="430">
        <f>IFERROR(VLOOKUP(Envoltória!$G19,$BQ$35:$BZ$43,BJ$9,FALSE),"")</f>
        <v>0</v>
      </c>
      <c r="BK11" s="430">
        <f>IFERROR(VLOOKUP(Envoltória!$G19,$BQ$35:$BZ$43,BK$9,FALSE),"")</f>
        <v>1</v>
      </c>
      <c r="BL11" s="430">
        <f>IFERROR(VLOOKUP(Envoltória!$G19,$BQ$35:$BZ$43,BL$9,FALSE),"")</f>
        <v>0</v>
      </c>
      <c r="BM11" s="430">
        <f>IFERROR(VLOOKUP(Envoltória!$G19,$BQ$35:$BZ$43,BM$9,FALSE),"")</f>
        <v>0</v>
      </c>
      <c r="BN11" s="430">
        <f>IFERROR(VLOOKUP(Envoltória!$G19,$BQ$35:$BZ$43,BN$9,FALSE),"")</f>
        <v>0</v>
      </c>
      <c r="BO11" s="430">
        <f>IFERROR(VLOOKUP(Envoltória!$G19,$BQ$35:$BZ$43,BO$9,FALSE),"")</f>
        <v>0</v>
      </c>
      <c r="BP11" s="432"/>
    </row>
    <row r="12" spans="1:69" s="13" customFormat="1" x14ac:dyDescent="0.25">
      <c r="A12" s="2">
        <v>2</v>
      </c>
      <c r="B12" s="410" t="str">
        <f>Envoltória!I20</f>
        <v>Escritórios</v>
      </c>
      <c r="C12" s="410" t="str">
        <f>Envoltória!B20</f>
        <v>Térreo (com + pvtos acima)</v>
      </c>
      <c r="D12" s="410" t="str">
        <f>Envoltória!C20</f>
        <v>ZP2</v>
      </c>
      <c r="E12" s="410">
        <f>Envoltória!D20</f>
        <v>42.93</v>
      </c>
      <c r="F12" s="430">
        <f>IF(B12=0,"",Envoltória!E20)</f>
        <v>3</v>
      </c>
      <c r="G12" s="433">
        <f>IF(B12=0,"",IF(BF12=1,(((2/4.5)*E12)+9)/2,SQRT(E12)))</f>
        <v>14.04</v>
      </c>
      <c r="H12" s="430">
        <f>IF(B12=0,"",Envoltória!O20/100)</f>
        <v>0.26</v>
      </c>
      <c r="I12" s="430">
        <f>IF(B12=0,"",IF(BF12=1,VLOOKUP(Envoltória!N20,Componentes!AV:AY,2,FALSE),89))</f>
        <v>0</v>
      </c>
      <c r="J12" s="416">
        <f>IF(B12=0,"",IFERROR(VLOOKUP(Envoltória!M20,Componentes!$P:$R,2,FALSE),""))</f>
        <v>2.06</v>
      </c>
      <c r="K12" s="416">
        <f>IF(B12=0,"",IFERROR(VLOOKUP(Envoltória!M20,Componentes!$P:$R,3,FALSE),""))</f>
        <v>233</v>
      </c>
      <c r="L12" s="431">
        <f>IF(B12=0,"",IFERROR(IF(BB12&lt;&gt;0,VLOOKUP(Envoltória!L20,Componentes!K:N,2,FALSE),0),""))</f>
        <v>0</v>
      </c>
      <c r="M12" s="431">
        <f>IF(B12=0,"",IFERROR(IF(BB12&lt;&gt;0,VLOOKUP(Envoltória!L20,Componentes!K:N,3,FALSE),0),""))</f>
        <v>0</v>
      </c>
      <c r="N12" s="431">
        <f>IF(B12=0,"",IFERROR(IF(BB12&lt;&gt;0,VLOOKUP(Envoltória!L20,Componentes!K:N,4,FALSE),0),""))</f>
        <v>0</v>
      </c>
      <c r="O12" s="430">
        <f>IF(B12=0,"",IF(BF12=1,VLOOKUP(Envoltória!J20,Componentes!B:E,2,FALSE),-6))</f>
        <v>1.7307999999999999</v>
      </c>
      <c r="P12" s="430">
        <f>IF(B12=0,"",IF(BF12=1,VLOOKUP(Envoltória!J20,Componentes!B:E,3,FALSE),-400))</f>
        <v>150</v>
      </c>
      <c r="Q12" s="430">
        <f>IF(B12=0,"",IF(BF12=1,VLOOKUP(Envoltória!J20,Componentes!B:E,4,FALSE),0))</f>
        <v>0.2</v>
      </c>
      <c r="R12" s="416">
        <f>IF(B12=0,"",IFERROR(VLOOKUP(Envoltória!K20,Componentes!G:I,2,FALSE),""))</f>
        <v>2.39</v>
      </c>
      <c r="S12" s="416">
        <f>IF(B12=0,"",IFERROR(VLOOKUP(Envoltória!K20,Componentes!G:I,3,FALSE),""))</f>
        <v>150</v>
      </c>
      <c r="T12" s="430">
        <f>IF(B12=0,"",IFERROR(IF(H12&lt;&gt;0,VLOOKUP(Envoltória!N20,Componentes!T:V,3,FALSE),0),""))</f>
        <v>0.82</v>
      </c>
      <c r="U12" s="430">
        <f>IF(B12=0,"",IFERROR(IF(H12&lt;&gt;0,VLOOKUP(Envoltória!N20,Componentes!T:V,2,FALSE),0),""))</f>
        <v>5.7</v>
      </c>
      <c r="V12" s="416">
        <f>IF(B12=0,"",IFERROR(IF(AA12&lt;&gt;0,VLOOKUP(Envoltória!U20,Componentes!X:Z,2,FALSE),0),0))</f>
        <v>0</v>
      </c>
      <c r="W12" s="416">
        <f>IF(B12=0,"",IFERROR(IF(AA12&lt;&gt;0,VLOOKUP(Envoltória!U20,Componentes!X:Z,3,FALSE),0),0))</f>
        <v>0</v>
      </c>
      <c r="X12" s="430">
        <f>IF(B12=0,"",Envoltória!U20)</f>
        <v>0.1</v>
      </c>
      <c r="Y12" s="430">
        <f>IF(B12=0,"",Envoltória!S20)</f>
        <v>15.45</v>
      </c>
      <c r="Z12" s="430">
        <f>IF(B12=0,"",Envoltória!T20)</f>
        <v>15</v>
      </c>
      <c r="AA12" s="416">
        <f>IF(B12=0,"",Envoltória!Q20/100)</f>
        <v>0</v>
      </c>
      <c r="AB12" s="434">
        <f>IF($B12=0,"",VLOOKUP(Aux_Lista!$DR$2,Aux_Clima!$A:$O,AB$8,FALSE))</f>
        <v>-7.02</v>
      </c>
      <c r="AC12" s="434">
        <f>IF($B12=0,"",VLOOKUP(Aux_Lista!$DR$2,Aux_Clima!$A:$O,AC$8,FALSE))</f>
        <v>249</v>
      </c>
      <c r="AD12" s="434">
        <f>IF($B12=0,"",ROUND(VLOOKUP(Aux_Lista!$DR$2,Aux_Clima!$A:$O,AD$8,FALSE),8))</f>
        <v>27.24</v>
      </c>
      <c r="AE12" s="434">
        <f>IF($B12=0,"",ROUND(VLOOKUP(Aux_Lista!$DR$2,Aux_Clima!$A:$O,AE$8,FALSE),8))</f>
        <v>24.17</v>
      </c>
      <c r="AF12" s="434">
        <f>IF($B12=0,"",ROUND(VLOOKUP(Aux_Lista!$DR$2,Aux_Clima!$A:$O,AF$8,FALSE),8))</f>
        <v>30.311666670000001</v>
      </c>
      <c r="AG12" s="434">
        <f>IF($B12=0,"",ROUND(VLOOKUP(Aux_Lista!$DR$2,Aux_Clima!$A:$O,AG$8,FALSE),8))</f>
        <v>2.8624999999999998</v>
      </c>
      <c r="AH12" s="434">
        <f>IF($B12=0,"",ROUND(VLOOKUP(Aux_Lista!$DR$2,Aux_Clima!$A:$O,AH$8,FALSE),8))</f>
        <v>1.8233333300000001</v>
      </c>
      <c r="AI12" s="434">
        <f>IF($B12=0,"",ROUND(VLOOKUP(Aux_Lista!$DR$2,Aux_Clima!$A:$O,AI$8,FALSE),8))</f>
        <v>3.8433333300000001</v>
      </c>
      <c r="AJ12" s="434">
        <f>IF($B12=0,"",ROUND(VLOOKUP(Aux_Lista!$DR$2,Aux_Clima!$A:$O,AJ$8,FALSE),3))</f>
        <v>6082.0829999999996</v>
      </c>
      <c r="AK12" s="434">
        <f>IF($B12=0,"",ROUND(VLOOKUP(Aux_Lista!$DR$2,Aux_Clima!$A:$O,AK$8,FALSE),3))</f>
        <v>5588.8329999999996</v>
      </c>
      <c r="AL12" s="434">
        <f>IF($B12=0,"",ROUND(VLOOKUP(Aux_Lista!$DR$2,Aux_Clima!$A:$O,AL$8,FALSE),3))</f>
        <v>6759.9380000000001</v>
      </c>
      <c r="AM12" s="434">
        <f>IF($B12=0,"",ROUND(VLOOKUP(Aux_Lista!$DR$2,Aux_Clima!$A:$O,AM$8,FALSE),8))</f>
        <v>18.44083333</v>
      </c>
      <c r="AN12" s="434">
        <f>IF($B12=0,"",ROUND(VLOOKUP(Aux_Lista!$DR$2,Aux_Clima!$A:$O,AN$8,FALSE),8))</f>
        <v>17.19166667</v>
      </c>
      <c r="AO12" s="434">
        <f>IF($B12=0,"",ROUND(VLOOKUP(Aux_Lista!$DR$2,Aux_Clima!$A:$O,AO$8,FALSE),8))</f>
        <v>19.883333329999999</v>
      </c>
      <c r="AP12" s="430">
        <f>IF(B12=0,"",IF(BF12=0,84,VLOOKUP(Envoltória!N20,Componentes!AV:AY,4,FALSE)))</f>
        <v>0</v>
      </c>
      <c r="AQ12" s="430">
        <f>IF(B12=0,"",IF(BF12=0,90,VLOOKUP(Envoltória!N20,Componentes!AV:AY,3,FALSE)))</f>
        <v>0</v>
      </c>
      <c r="AR12" s="430">
        <f t="shared" ref="AR12:AV43" si="0">IFERROR(VLOOKUP($B12,$BQ$21:$BW$31,AR$9,FALSE),"")</f>
        <v>1</v>
      </c>
      <c r="AS12" s="430">
        <f t="shared" si="0"/>
        <v>0</v>
      </c>
      <c r="AT12" s="430">
        <f t="shared" si="0"/>
        <v>0</v>
      </c>
      <c r="AU12" s="430">
        <f t="shared" si="0"/>
        <v>0</v>
      </c>
      <c r="AV12" s="430">
        <f t="shared" si="0"/>
        <v>0</v>
      </c>
      <c r="AW12" s="416">
        <f>IF($B12=0,"",IFERROR(VLOOKUP(Envoltória!$B20,Aux_Lista!$O:$U,AW$9,FALSE),0))</f>
        <v>0</v>
      </c>
      <c r="AX12" s="416">
        <f>IF($B12=0,"",IFERROR(VLOOKUP(Envoltória!$B20,Aux_Lista!$O:$U,AX$9,FALSE),0))</f>
        <v>1</v>
      </c>
      <c r="AY12" s="416">
        <f>IF($B12=0,"",IFERROR(VLOOKUP(Envoltória!$B20,Aux_Lista!$O:$U,AY$9,FALSE),0))</f>
        <v>1</v>
      </c>
      <c r="AZ12" s="416">
        <f>IF($B12=0,"",IFERROR(VLOOKUP(Envoltória!$B20,Aux_Lista!$O:$U,AZ$9,FALSE),0))</f>
        <v>0</v>
      </c>
      <c r="BA12" s="416">
        <f>IF($B12=0,"",IFERROR(VLOOKUP(Envoltória!$B20,Aux_Lista!$O:$U,BA$9,FALSE),0))</f>
        <v>1</v>
      </c>
      <c r="BB12" s="416">
        <f>IF($B12=0,"",IFERROR(VLOOKUP(Envoltória!$B20,Aux_Lista!$O:$U,BB$9,FALSE),0))</f>
        <v>0</v>
      </c>
      <c r="BC12" s="416">
        <f>IFERROR(VLOOKUP(Envoltória!$H20,Aux_Lista!$W$2:$Y$3,BC$9,FALSE),"")</f>
        <v>1</v>
      </c>
      <c r="BD12" s="416">
        <f>IFERROR(VLOOKUP(Envoltória!$H20,Aux_Lista!$W$2:$Y$3,BD$9,FALSE),"")</f>
        <v>0</v>
      </c>
      <c r="BE12" s="430">
        <f t="shared" ref="BE12:BE75" si="1">IF(B12=0,"",IF(BF12=0,1,0))</f>
        <v>0</v>
      </c>
      <c r="BF12" s="430">
        <f>IF(B12=0,"",IF(Envoltória!F20="Perimetral",1,0))</f>
        <v>1</v>
      </c>
      <c r="BG12" s="430">
        <f>IFERROR(VLOOKUP(Envoltória!$G20,$BQ$35:$BZ$43,BG$9,FALSE),"")</f>
        <v>0</v>
      </c>
      <c r="BH12" s="430">
        <f>IFERROR(VLOOKUP(Envoltória!$G20,$BQ$35:$BZ$43,BH$9,FALSE),"")</f>
        <v>0</v>
      </c>
      <c r="BI12" s="430">
        <f>IFERROR(VLOOKUP(Envoltória!$G20,$BQ$35:$BZ$43,BI$9,FALSE),"")</f>
        <v>1</v>
      </c>
      <c r="BJ12" s="430">
        <f>IFERROR(VLOOKUP(Envoltória!$G20,$BQ$35:$BZ$43,BJ$9,FALSE),"")</f>
        <v>0</v>
      </c>
      <c r="BK12" s="430">
        <f>IFERROR(VLOOKUP(Envoltória!$G20,$BQ$35:$BZ$43,BK$9,FALSE),"")</f>
        <v>0</v>
      </c>
      <c r="BL12" s="430">
        <f>IFERROR(VLOOKUP(Envoltória!$G20,$BQ$35:$BZ$43,BL$9,FALSE),"")</f>
        <v>0</v>
      </c>
      <c r="BM12" s="430">
        <f>IFERROR(VLOOKUP(Envoltória!$G20,$BQ$35:$BZ$43,BM$9,FALSE),"")</f>
        <v>0</v>
      </c>
      <c r="BN12" s="430">
        <f>IFERROR(VLOOKUP(Envoltória!$G20,$BQ$35:$BZ$43,BN$9,FALSE),"")</f>
        <v>0</v>
      </c>
      <c r="BO12" s="430">
        <f>IFERROR(VLOOKUP(Envoltória!$G20,$BQ$35:$BZ$43,BO$9,FALSE),"")</f>
        <v>0</v>
      </c>
      <c r="BP12" s="432"/>
    </row>
    <row r="13" spans="1:69" s="13" customFormat="1" x14ac:dyDescent="0.25">
      <c r="A13" s="2">
        <v>3</v>
      </c>
      <c r="B13" s="410" t="str">
        <f>Envoltória!I21</f>
        <v>Escritórios</v>
      </c>
      <c r="C13" s="410" t="str">
        <f>Envoltória!B21</f>
        <v>Térreo (com + pvtos acima)</v>
      </c>
      <c r="D13" s="410" t="str">
        <f>Envoltória!C21</f>
        <v>ZP3</v>
      </c>
      <c r="E13" s="410">
        <f>Envoltória!D21</f>
        <v>4.88</v>
      </c>
      <c r="F13" s="430">
        <f>IF(B13=0,"",Envoltória!E21)</f>
        <v>3</v>
      </c>
      <c r="G13" s="433">
        <f t="shared" ref="G13:G75" si="2">IF(B13=0,"",IF(BF13=1,(((2/4.5)*E13)+9)/2,SQRT(E13)))</f>
        <v>5.5844444444444443</v>
      </c>
      <c r="H13" s="430">
        <f>IF(B13=0,"",Envoltória!O21/100)</f>
        <v>0</v>
      </c>
      <c r="I13" s="430">
        <f>IF(B13=0,"",IF(BF13=1,VLOOKUP(Envoltória!N21,Componentes!AV:AY,2,FALSE),89))</f>
        <v>0</v>
      </c>
      <c r="J13" s="416">
        <f>IF(B13=0,"",IFERROR(VLOOKUP(Envoltória!M21,Componentes!$P:$R,2,FALSE),""))</f>
        <v>2.06</v>
      </c>
      <c r="K13" s="416">
        <f>IF(B13=0,"",IFERROR(VLOOKUP(Envoltória!M21,Componentes!$P:$R,3,FALSE),""))</f>
        <v>233</v>
      </c>
      <c r="L13" s="431">
        <f>IF(B13=0,"",IFERROR(IF(BB13&lt;&gt;0,VLOOKUP(Envoltória!L21,Componentes!K:N,2,FALSE),0),""))</f>
        <v>0</v>
      </c>
      <c r="M13" s="431">
        <f>IF(B13=0,"",IFERROR(IF(BB13&lt;&gt;0,VLOOKUP(Envoltória!L21,Componentes!K:N,3,FALSE),0),""))</f>
        <v>0</v>
      </c>
      <c r="N13" s="431">
        <f>IF(B13=0,"",IFERROR(IF(BB13&lt;&gt;0,VLOOKUP(Envoltória!L21,Componentes!K:N,4,FALSE),0),""))</f>
        <v>0</v>
      </c>
      <c r="O13" s="430">
        <f>IF(B13=0,"",IF(BF13=1,VLOOKUP(Envoltória!J21,Componentes!B:E,2,FALSE),-6))</f>
        <v>1.7307999999999999</v>
      </c>
      <c r="P13" s="430">
        <f>IF(B13=0,"",IF(BF13=1,VLOOKUP(Envoltória!J21,Componentes!B:E,3,FALSE),-400))</f>
        <v>150</v>
      </c>
      <c r="Q13" s="430">
        <f>IF(B13=0,"",IF(BF13=1,VLOOKUP(Envoltória!J21,Componentes!B:E,4,FALSE),0))</f>
        <v>0.39600000000000002</v>
      </c>
      <c r="R13" s="416">
        <f>IF(B13=0,"",IFERROR(VLOOKUP(Envoltória!K21,Componentes!G:I,2,FALSE),""))</f>
        <v>2.39</v>
      </c>
      <c r="S13" s="416">
        <f>IF(B13=0,"",IFERROR(VLOOKUP(Envoltória!K21,Componentes!G:I,3,FALSE),""))</f>
        <v>150</v>
      </c>
      <c r="T13" s="430">
        <f>IF(B13=0,"",IFERROR(IF(H13&lt;&gt;0,VLOOKUP(Envoltória!N21,Componentes!T:V,3,FALSE),0),""))</f>
        <v>0</v>
      </c>
      <c r="U13" s="430">
        <f>IF(B13=0,"",IFERROR(IF(H13&lt;&gt;0,VLOOKUP(Envoltória!N21,Componentes!T:V,2,FALSE),0),""))</f>
        <v>0</v>
      </c>
      <c r="V13" s="416">
        <f>IF(B13=0,"",IFERROR(IF(AA13&lt;&gt;0,VLOOKUP(Envoltória!U21,Componentes!X:Z,2,FALSE),0),0))</f>
        <v>0</v>
      </c>
      <c r="W13" s="416">
        <f>IF(B13=0,"",IFERROR(IF(AA13&lt;&gt;0,VLOOKUP(Envoltória!U21,Componentes!X:Z,3,FALSE),0),0))</f>
        <v>0</v>
      </c>
      <c r="X13" s="430">
        <f>IF(B13=0,"",Envoltória!U21)</f>
        <v>0.1</v>
      </c>
      <c r="Y13" s="430">
        <f>IF(B13=0,"",Envoltória!S21)</f>
        <v>15.45</v>
      </c>
      <c r="Z13" s="430">
        <f>IF(B13=0,"",Envoltória!T21)</f>
        <v>15</v>
      </c>
      <c r="AA13" s="416">
        <f>IF(B13=0,"",Envoltória!Q21/100)</f>
        <v>0</v>
      </c>
      <c r="AB13" s="434">
        <f>IF($B13=0,"",VLOOKUP(Aux_Lista!$DR$2,Aux_Clima!$A:$O,AB$8,FALSE))</f>
        <v>-7.02</v>
      </c>
      <c r="AC13" s="434">
        <f>IF($B13=0,"",VLOOKUP(Aux_Lista!$DR$2,Aux_Clima!$A:$O,AC$8,FALSE))</f>
        <v>249</v>
      </c>
      <c r="AD13" s="434">
        <f>IF($B13=0,"",ROUND(VLOOKUP(Aux_Lista!$DR$2,Aux_Clima!$A:$O,AD$8,FALSE),8))</f>
        <v>27.24</v>
      </c>
      <c r="AE13" s="434">
        <f>IF($B13=0,"",ROUND(VLOOKUP(Aux_Lista!$DR$2,Aux_Clima!$A:$O,AE$8,FALSE),8))</f>
        <v>24.17</v>
      </c>
      <c r="AF13" s="434">
        <f>IF($B13=0,"",ROUND(VLOOKUP(Aux_Lista!$DR$2,Aux_Clima!$A:$O,AF$8,FALSE),8))</f>
        <v>30.311666670000001</v>
      </c>
      <c r="AG13" s="434">
        <f>IF($B13=0,"",ROUND(VLOOKUP(Aux_Lista!$DR$2,Aux_Clima!$A:$O,AG$8,FALSE),8))</f>
        <v>2.8624999999999998</v>
      </c>
      <c r="AH13" s="434">
        <f>IF($B13=0,"",ROUND(VLOOKUP(Aux_Lista!$DR$2,Aux_Clima!$A:$O,AH$8,FALSE),8))</f>
        <v>1.8233333300000001</v>
      </c>
      <c r="AI13" s="434">
        <f>IF($B13=0,"",ROUND(VLOOKUP(Aux_Lista!$DR$2,Aux_Clima!$A:$O,AI$8,FALSE),8))</f>
        <v>3.8433333300000001</v>
      </c>
      <c r="AJ13" s="434">
        <f>IF($B13=0,"",ROUND(VLOOKUP(Aux_Lista!$DR$2,Aux_Clima!$A:$O,AJ$8,FALSE),3))</f>
        <v>6082.0829999999996</v>
      </c>
      <c r="AK13" s="434">
        <f>IF($B13=0,"",ROUND(VLOOKUP(Aux_Lista!$DR$2,Aux_Clima!$A:$O,AK$8,FALSE),3))</f>
        <v>5588.8329999999996</v>
      </c>
      <c r="AL13" s="434">
        <f>IF($B13=0,"",ROUND(VLOOKUP(Aux_Lista!$DR$2,Aux_Clima!$A:$O,AL$8,FALSE),3))</f>
        <v>6759.9380000000001</v>
      </c>
      <c r="AM13" s="434">
        <f>IF($B13=0,"",ROUND(VLOOKUP(Aux_Lista!$DR$2,Aux_Clima!$A:$O,AM$8,FALSE),8))</f>
        <v>18.44083333</v>
      </c>
      <c r="AN13" s="434">
        <f>IF($B13=0,"",ROUND(VLOOKUP(Aux_Lista!$DR$2,Aux_Clima!$A:$O,AN$8,FALSE),8))</f>
        <v>17.19166667</v>
      </c>
      <c r="AO13" s="434">
        <f>IF($B13=0,"",ROUND(VLOOKUP(Aux_Lista!$DR$2,Aux_Clima!$A:$O,AO$8,FALSE),8))</f>
        <v>19.883333329999999</v>
      </c>
      <c r="AP13" s="430">
        <f>IF(B13=0,"",IF(BF13=0,84,VLOOKUP(Envoltória!N21,Componentes!AV:AY,4,FALSE)))</f>
        <v>0</v>
      </c>
      <c r="AQ13" s="430">
        <f>IF(B13=0,"",IF(BF13=0,90,VLOOKUP(Envoltória!N21,Componentes!AV:AY,3,FALSE)))</f>
        <v>0</v>
      </c>
      <c r="AR13" s="430">
        <f t="shared" si="0"/>
        <v>1</v>
      </c>
      <c r="AS13" s="430">
        <f t="shared" si="0"/>
        <v>0</v>
      </c>
      <c r="AT13" s="430">
        <f t="shared" si="0"/>
        <v>0</v>
      </c>
      <c r="AU13" s="430">
        <f t="shared" si="0"/>
        <v>0</v>
      </c>
      <c r="AV13" s="430">
        <f t="shared" si="0"/>
        <v>0</v>
      </c>
      <c r="AW13" s="416">
        <f>IF($B13=0,"",IFERROR(VLOOKUP(Envoltória!$B21,Aux_Lista!$O:$U,AW$9,FALSE),0))</f>
        <v>0</v>
      </c>
      <c r="AX13" s="416">
        <f>IF($B13=0,"",IFERROR(VLOOKUP(Envoltória!$B21,Aux_Lista!$O:$U,AX$9,FALSE),0))</f>
        <v>1</v>
      </c>
      <c r="AY13" s="416">
        <f>IF($B13=0,"",IFERROR(VLOOKUP(Envoltória!$B21,Aux_Lista!$O:$U,AY$9,FALSE),0))</f>
        <v>1</v>
      </c>
      <c r="AZ13" s="416">
        <f>IF($B13=0,"",IFERROR(VLOOKUP(Envoltória!$B21,Aux_Lista!$O:$U,AZ$9,FALSE),0))</f>
        <v>0</v>
      </c>
      <c r="BA13" s="416">
        <f>IF($B13=0,"",IFERROR(VLOOKUP(Envoltória!$B21,Aux_Lista!$O:$U,BA$9,FALSE),0))</f>
        <v>1</v>
      </c>
      <c r="BB13" s="416">
        <f>IF($B13=0,"",IFERROR(VLOOKUP(Envoltória!$B21,Aux_Lista!$O:$U,BB$9,FALSE),0))</f>
        <v>0</v>
      </c>
      <c r="BC13" s="416">
        <f>IFERROR(VLOOKUP(Envoltória!$H21,Aux_Lista!$W$2:$Y$3,BC$9,FALSE),"")</f>
        <v>1</v>
      </c>
      <c r="BD13" s="416">
        <f>IFERROR(VLOOKUP(Envoltória!$H21,Aux_Lista!$W$2:$Y$3,BD$9,FALSE),"")</f>
        <v>0</v>
      </c>
      <c r="BE13" s="430">
        <f t="shared" si="1"/>
        <v>0</v>
      </c>
      <c r="BF13" s="430">
        <f>IF(B13=0,"",IF(Envoltória!F21="Perimetral",1,0))</f>
        <v>1</v>
      </c>
      <c r="BG13" s="430">
        <f>IFERROR(VLOOKUP(Envoltória!$G21,$BQ$35:$BZ$43,BG$9,FALSE),"")</f>
        <v>0</v>
      </c>
      <c r="BH13" s="430">
        <f>IFERROR(VLOOKUP(Envoltória!$G21,$BQ$35:$BZ$43,BH$9,FALSE),"")</f>
        <v>0</v>
      </c>
      <c r="BI13" s="430">
        <f>IFERROR(VLOOKUP(Envoltória!$G21,$BQ$35:$BZ$43,BI$9,FALSE),"")</f>
        <v>0</v>
      </c>
      <c r="BJ13" s="430">
        <f>IFERROR(VLOOKUP(Envoltória!$G21,$BQ$35:$BZ$43,BJ$9,FALSE),"")</f>
        <v>0</v>
      </c>
      <c r="BK13" s="430">
        <f>IFERROR(VLOOKUP(Envoltória!$G21,$BQ$35:$BZ$43,BK$9,FALSE),"")</f>
        <v>0</v>
      </c>
      <c r="BL13" s="430">
        <f>IFERROR(VLOOKUP(Envoltória!$G21,$BQ$35:$BZ$43,BL$9,FALSE),"")</f>
        <v>0</v>
      </c>
      <c r="BM13" s="430">
        <f>IFERROR(VLOOKUP(Envoltória!$G21,$BQ$35:$BZ$43,BM$9,FALSE),"")</f>
        <v>0</v>
      </c>
      <c r="BN13" s="430">
        <f>IFERROR(VLOOKUP(Envoltória!$G21,$BQ$35:$BZ$43,BN$9,FALSE),"")</f>
        <v>0</v>
      </c>
      <c r="BO13" s="430">
        <f>IFERROR(VLOOKUP(Envoltória!$G21,$BQ$35:$BZ$43,BO$9,FALSE),"")</f>
        <v>1</v>
      </c>
      <c r="BP13" s="432"/>
    </row>
    <row r="14" spans="1:69" s="13" customFormat="1" x14ac:dyDescent="0.25">
      <c r="A14" s="2">
        <v>4</v>
      </c>
      <c r="B14" s="410" t="str">
        <f>Envoltória!I22</f>
        <v>Escritórios</v>
      </c>
      <c r="C14" s="410" t="str">
        <f>Envoltória!B22</f>
        <v>Térreo (com + pvtos acima)</v>
      </c>
      <c r="D14" s="410" t="str">
        <f>Envoltória!C22</f>
        <v>ZP4</v>
      </c>
      <c r="E14" s="410">
        <f>Envoltória!D22</f>
        <v>5.12</v>
      </c>
      <c r="F14" s="430">
        <f>IF(B14=0,"",Envoltória!E22)</f>
        <v>3</v>
      </c>
      <c r="G14" s="433">
        <f t="shared" si="2"/>
        <v>5.637777777777778</v>
      </c>
      <c r="H14" s="430">
        <f>IF(B14=0,"",Envoltória!O22/100)</f>
        <v>0.41</v>
      </c>
      <c r="I14" s="430">
        <f>IF(B14=0,"",IF(BF14=1,VLOOKUP(Envoltória!N22,Componentes!AV:AY,2,FALSE),89))</f>
        <v>0</v>
      </c>
      <c r="J14" s="416">
        <f>IF(B14=0,"",IFERROR(VLOOKUP(Envoltória!M22,Componentes!$P:$R,2,FALSE),""))</f>
        <v>2.06</v>
      </c>
      <c r="K14" s="416">
        <f>IF(B14=0,"",IFERROR(VLOOKUP(Envoltória!M22,Componentes!$P:$R,3,FALSE),""))</f>
        <v>233</v>
      </c>
      <c r="L14" s="431">
        <f>IF(B14=0,"",IFERROR(IF(BB14&lt;&gt;0,VLOOKUP(Envoltória!L22,Componentes!K:N,2,FALSE),0),""))</f>
        <v>0</v>
      </c>
      <c r="M14" s="431">
        <f>IF(B14=0,"",IFERROR(IF(BB14&lt;&gt;0,VLOOKUP(Envoltória!L22,Componentes!K:N,3,FALSE),0),""))</f>
        <v>0</v>
      </c>
      <c r="N14" s="431">
        <f>IF(B14=0,"",IFERROR(IF(BB14&lt;&gt;0,VLOOKUP(Envoltória!L22,Componentes!K:N,4,FALSE),0),""))</f>
        <v>0</v>
      </c>
      <c r="O14" s="430">
        <f>IF(B14=0,"",IF(BF14=1,VLOOKUP(Envoltória!J22,Componentes!B:E,2,FALSE),-6))</f>
        <v>1.7307999999999999</v>
      </c>
      <c r="P14" s="430">
        <f>IF(B14=0,"",IF(BF14=1,VLOOKUP(Envoltória!J22,Componentes!B:E,3,FALSE),-400))</f>
        <v>150</v>
      </c>
      <c r="Q14" s="430">
        <f>IF(B14=0,"",IF(BF14=1,VLOOKUP(Envoltória!J22,Componentes!B:E,4,FALSE),0))</f>
        <v>0.39600000000000002</v>
      </c>
      <c r="R14" s="416">
        <f>IF(B14=0,"",IFERROR(VLOOKUP(Envoltória!K22,Componentes!G:I,2,FALSE),""))</f>
        <v>2.39</v>
      </c>
      <c r="S14" s="416">
        <f>IF(B14=0,"",IFERROR(VLOOKUP(Envoltória!K22,Componentes!G:I,3,FALSE),""))</f>
        <v>150</v>
      </c>
      <c r="T14" s="430">
        <f>IF(B14=0,"",IFERROR(IF(H14&lt;&gt;0,VLOOKUP(Envoltória!N22,Componentes!T:V,3,FALSE),0),""))</f>
        <v>0.82</v>
      </c>
      <c r="U14" s="430">
        <f>IF(B14=0,"",IFERROR(IF(H14&lt;&gt;0,VLOOKUP(Envoltória!N22,Componentes!T:V,2,FALSE),0),""))</f>
        <v>5.7</v>
      </c>
      <c r="V14" s="416">
        <f>IF(B14=0,"",IFERROR(IF(AA14&lt;&gt;0,VLOOKUP(Envoltória!U22,Componentes!X:Z,2,FALSE),0),0))</f>
        <v>0</v>
      </c>
      <c r="W14" s="416">
        <f>IF(B14=0,"",IFERROR(IF(AA14&lt;&gt;0,VLOOKUP(Envoltória!U22,Componentes!X:Z,3,FALSE),0),0))</f>
        <v>0</v>
      </c>
      <c r="X14" s="430">
        <f>IF(B14=0,"",Envoltória!U22)</f>
        <v>0.1</v>
      </c>
      <c r="Y14" s="430">
        <f>IF(B14=0,"",Envoltória!S22)</f>
        <v>15.45</v>
      </c>
      <c r="Z14" s="430">
        <f>IF(B14=0,"",Envoltória!T22)</f>
        <v>15</v>
      </c>
      <c r="AA14" s="416">
        <f>IF(B14=0,"",Envoltória!Q22/100)</f>
        <v>0</v>
      </c>
      <c r="AB14" s="434">
        <f>IF($B14=0,"",VLOOKUP(Aux_Lista!$DR$2,Aux_Clima!$A:$O,AB$8,FALSE))</f>
        <v>-7.02</v>
      </c>
      <c r="AC14" s="434">
        <f>IF($B14=0,"",VLOOKUP(Aux_Lista!$DR$2,Aux_Clima!$A:$O,AC$8,FALSE))</f>
        <v>249</v>
      </c>
      <c r="AD14" s="434">
        <f>IF($B14=0,"",ROUND(VLOOKUP(Aux_Lista!$DR$2,Aux_Clima!$A:$O,AD$8,FALSE),8))</f>
        <v>27.24</v>
      </c>
      <c r="AE14" s="434">
        <f>IF($B14=0,"",ROUND(VLOOKUP(Aux_Lista!$DR$2,Aux_Clima!$A:$O,AE$8,FALSE),8))</f>
        <v>24.17</v>
      </c>
      <c r="AF14" s="434">
        <f>IF($B14=0,"",ROUND(VLOOKUP(Aux_Lista!$DR$2,Aux_Clima!$A:$O,AF$8,FALSE),8))</f>
        <v>30.311666670000001</v>
      </c>
      <c r="AG14" s="434">
        <f>IF($B14=0,"",ROUND(VLOOKUP(Aux_Lista!$DR$2,Aux_Clima!$A:$O,AG$8,FALSE),8))</f>
        <v>2.8624999999999998</v>
      </c>
      <c r="AH14" s="434">
        <f>IF($B14=0,"",ROUND(VLOOKUP(Aux_Lista!$DR$2,Aux_Clima!$A:$O,AH$8,FALSE),8))</f>
        <v>1.8233333300000001</v>
      </c>
      <c r="AI14" s="434">
        <f>IF($B14=0,"",ROUND(VLOOKUP(Aux_Lista!$DR$2,Aux_Clima!$A:$O,AI$8,FALSE),8))</f>
        <v>3.8433333300000001</v>
      </c>
      <c r="AJ14" s="434">
        <f>IF($B14=0,"",ROUND(VLOOKUP(Aux_Lista!$DR$2,Aux_Clima!$A:$O,AJ$8,FALSE),3))</f>
        <v>6082.0829999999996</v>
      </c>
      <c r="AK14" s="434">
        <f>IF($B14=0,"",ROUND(VLOOKUP(Aux_Lista!$DR$2,Aux_Clima!$A:$O,AK$8,FALSE),3))</f>
        <v>5588.8329999999996</v>
      </c>
      <c r="AL14" s="434">
        <f>IF($B14=0,"",ROUND(VLOOKUP(Aux_Lista!$DR$2,Aux_Clima!$A:$O,AL$8,FALSE),3))</f>
        <v>6759.9380000000001</v>
      </c>
      <c r="AM14" s="434">
        <f>IF($B14=0,"",ROUND(VLOOKUP(Aux_Lista!$DR$2,Aux_Clima!$A:$O,AM$8,FALSE),8))</f>
        <v>18.44083333</v>
      </c>
      <c r="AN14" s="434">
        <f>IF($B14=0,"",ROUND(VLOOKUP(Aux_Lista!$DR$2,Aux_Clima!$A:$O,AN$8,FALSE),8))</f>
        <v>17.19166667</v>
      </c>
      <c r="AO14" s="434">
        <f>IF($B14=0,"",ROUND(VLOOKUP(Aux_Lista!$DR$2,Aux_Clima!$A:$O,AO$8,FALSE),8))</f>
        <v>19.883333329999999</v>
      </c>
      <c r="AP14" s="430">
        <f>IF(B14=0,"",IF(BF14=0,84,VLOOKUP(Envoltória!N22,Componentes!AV:AY,4,FALSE)))</f>
        <v>0</v>
      </c>
      <c r="AQ14" s="430">
        <f>IF(B14=0,"",IF(BF14=0,90,VLOOKUP(Envoltória!N22,Componentes!AV:AY,3,FALSE)))</f>
        <v>0</v>
      </c>
      <c r="AR14" s="430">
        <f t="shared" si="0"/>
        <v>1</v>
      </c>
      <c r="AS14" s="430">
        <f t="shared" si="0"/>
        <v>0</v>
      </c>
      <c r="AT14" s="430">
        <f t="shared" si="0"/>
        <v>0</v>
      </c>
      <c r="AU14" s="430">
        <f t="shared" si="0"/>
        <v>0</v>
      </c>
      <c r="AV14" s="430">
        <f t="shared" si="0"/>
        <v>0</v>
      </c>
      <c r="AW14" s="416">
        <f>IF($B14=0,"",IFERROR(VLOOKUP(Envoltória!$B22,Aux_Lista!$O:$U,AW$9,FALSE),0))</f>
        <v>0</v>
      </c>
      <c r="AX14" s="416">
        <f>IF($B14=0,"",IFERROR(VLOOKUP(Envoltória!$B22,Aux_Lista!$O:$U,AX$9,FALSE),0))</f>
        <v>1</v>
      </c>
      <c r="AY14" s="416">
        <f>IF($B14=0,"",IFERROR(VLOOKUP(Envoltória!$B22,Aux_Lista!$O:$U,AY$9,FALSE),0))</f>
        <v>1</v>
      </c>
      <c r="AZ14" s="416">
        <f>IF($B14=0,"",IFERROR(VLOOKUP(Envoltória!$B22,Aux_Lista!$O:$U,AZ$9,FALSE),0))</f>
        <v>0</v>
      </c>
      <c r="BA14" s="416">
        <f>IF($B14=0,"",IFERROR(VLOOKUP(Envoltória!$B22,Aux_Lista!$O:$U,BA$9,FALSE),0))</f>
        <v>1</v>
      </c>
      <c r="BB14" s="416">
        <f>IF($B14=0,"",IFERROR(VLOOKUP(Envoltória!$B22,Aux_Lista!$O:$U,BB$9,FALSE),0))</f>
        <v>0</v>
      </c>
      <c r="BC14" s="416">
        <f>IFERROR(VLOOKUP(Envoltória!$H22,Aux_Lista!$W$2:$Y$3,BC$9,FALSE),"")</f>
        <v>1</v>
      </c>
      <c r="BD14" s="416">
        <f>IFERROR(VLOOKUP(Envoltória!$H22,Aux_Lista!$W$2:$Y$3,BD$9,FALSE),"")</f>
        <v>0</v>
      </c>
      <c r="BE14" s="430">
        <f t="shared" si="1"/>
        <v>0</v>
      </c>
      <c r="BF14" s="430">
        <f>IF(B14=0,"",IF(Envoltória!F22="Perimetral",1,0))</f>
        <v>1</v>
      </c>
      <c r="BG14" s="430">
        <f>IFERROR(VLOOKUP(Envoltória!$G22,$BQ$35:$BZ$43,BG$9,FALSE),"")</f>
        <v>0</v>
      </c>
      <c r="BH14" s="430">
        <f>IFERROR(VLOOKUP(Envoltória!$G22,$BQ$35:$BZ$43,BH$9,FALSE),"")</f>
        <v>0</v>
      </c>
      <c r="BI14" s="430">
        <f>IFERROR(VLOOKUP(Envoltória!$G22,$BQ$35:$BZ$43,BI$9,FALSE),"")</f>
        <v>0</v>
      </c>
      <c r="BJ14" s="430">
        <f>IFERROR(VLOOKUP(Envoltória!$G22,$BQ$35:$BZ$43,BJ$9,FALSE),"")</f>
        <v>0</v>
      </c>
      <c r="BK14" s="430">
        <f>IFERROR(VLOOKUP(Envoltória!$G22,$BQ$35:$BZ$43,BK$9,FALSE),"")</f>
        <v>0</v>
      </c>
      <c r="BL14" s="430">
        <f>IFERROR(VLOOKUP(Envoltória!$G22,$BQ$35:$BZ$43,BL$9,FALSE),"")</f>
        <v>0</v>
      </c>
      <c r="BM14" s="430">
        <f>IFERROR(VLOOKUP(Envoltória!$G22,$BQ$35:$BZ$43,BM$9,FALSE),"")</f>
        <v>1</v>
      </c>
      <c r="BN14" s="430">
        <f>IFERROR(VLOOKUP(Envoltória!$G22,$BQ$35:$BZ$43,BN$9,FALSE),"")</f>
        <v>0</v>
      </c>
      <c r="BO14" s="430">
        <f>IFERROR(VLOOKUP(Envoltória!$G22,$BQ$35:$BZ$43,BO$9,FALSE),"")</f>
        <v>0</v>
      </c>
      <c r="BP14" s="432"/>
    </row>
    <row r="15" spans="1:69" s="13" customFormat="1" x14ac:dyDescent="0.25">
      <c r="A15" s="2">
        <v>5</v>
      </c>
      <c r="B15" s="410" t="str">
        <f>Envoltória!I23</f>
        <v>Escritórios</v>
      </c>
      <c r="C15" s="410" t="str">
        <f>Envoltória!B23</f>
        <v>Térreo (com + pvtos acima)</v>
      </c>
      <c r="D15" s="410" t="str">
        <f>Envoltória!C23</f>
        <v>ZP5</v>
      </c>
      <c r="E15" s="410">
        <f>Envoltória!D23</f>
        <v>38.5</v>
      </c>
      <c r="F15" s="430">
        <f>IF(B15=0,"",Envoltória!E23)</f>
        <v>3</v>
      </c>
      <c r="G15" s="433">
        <f t="shared" si="2"/>
        <v>13.055555555555555</v>
      </c>
      <c r="H15" s="430">
        <f>IF(B15=0,"",Envoltória!O23/100)</f>
        <v>0.2</v>
      </c>
      <c r="I15" s="430">
        <f>IF(B15=0,"",IF(BF15=1,VLOOKUP(Envoltória!N23,Componentes!AV:AY,2,FALSE),89))</f>
        <v>0</v>
      </c>
      <c r="J15" s="416">
        <f>IF(B15=0,"",IFERROR(VLOOKUP(Envoltória!M23,Componentes!$P:$R,2,FALSE),""))</f>
        <v>2.06</v>
      </c>
      <c r="K15" s="416">
        <f>IF(B15=0,"",IFERROR(VLOOKUP(Envoltória!M23,Componentes!$P:$R,3,FALSE),""))</f>
        <v>233</v>
      </c>
      <c r="L15" s="431">
        <f>IF(B15=0,"",IFERROR(IF(BB15&lt;&gt;0,VLOOKUP(Envoltória!L23,Componentes!K:N,2,FALSE),0),""))</f>
        <v>0</v>
      </c>
      <c r="M15" s="431">
        <f>IF(B15=0,"",IFERROR(IF(BB15&lt;&gt;0,VLOOKUP(Envoltória!L23,Componentes!K:N,3,FALSE),0),""))</f>
        <v>0</v>
      </c>
      <c r="N15" s="431">
        <f>IF(B15=0,"",IFERROR(IF(BB15&lt;&gt;0,VLOOKUP(Envoltória!L23,Componentes!K:N,4,FALSE),0),""))</f>
        <v>0</v>
      </c>
      <c r="O15" s="430">
        <f>IF(B15=0,"",IF(BF15=1,VLOOKUP(Envoltória!J23,Componentes!B:E,2,FALSE),-6))</f>
        <v>1.7307999999999999</v>
      </c>
      <c r="P15" s="430">
        <f>IF(B15=0,"",IF(BF15=1,VLOOKUP(Envoltória!J23,Componentes!B:E,3,FALSE),-400))</f>
        <v>150</v>
      </c>
      <c r="Q15" s="430">
        <f>IF(B15=0,"",IF(BF15=1,VLOOKUP(Envoltória!J23,Componentes!B:E,4,FALSE),0))</f>
        <v>0.39600000000000002</v>
      </c>
      <c r="R15" s="416">
        <f>IF(B15=0,"",IFERROR(VLOOKUP(Envoltória!K23,Componentes!G:I,2,FALSE),""))</f>
        <v>2.39</v>
      </c>
      <c r="S15" s="416">
        <f>IF(B15=0,"",IFERROR(VLOOKUP(Envoltória!K23,Componentes!G:I,3,FALSE),""))</f>
        <v>150</v>
      </c>
      <c r="T15" s="430">
        <f>IF(B15=0,"",IFERROR(IF(H15&lt;&gt;0,VLOOKUP(Envoltória!N23,Componentes!T:V,3,FALSE),0),""))</f>
        <v>0.82</v>
      </c>
      <c r="U15" s="430">
        <f>IF(B15=0,"",IFERROR(IF(H15&lt;&gt;0,VLOOKUP(Envoltória!N23,Componentes!T:V,2,FALSE),0),""))</f>
        <v>5.7</v>
      </c>
      <c r="V15" s="416">
        <f>IF(B15=0,"",IFERROR(IF(AA15&lt;&gt;0,VLOOKUP(Envoltória!U23,Componentes!X:Z,2,FALSE),0),0))</f>
        <v>0</v>
      </c>
      <c r="W15" s="416">
        <f>IF(B15=0,"",IFERROR(IF(AA15&lt;&gt;0,VLOOKUP(Envoltória!U23,Componentes!X:Z,3,FALSE),0),0))</f>
        <v>0</v>
      </c>
      <c r="X15" s="430">
        <f>IF(B15=0,"",Envoltória!U23)</f>
        <v>0.1</v>
      </c>
      <c r="Y15" s="430">
        <f>IF(B15=0,"",Envoltória!S23)</f>
        <v>15.45</v>
      </c>
      <c r="Z15" s="430">
        <f>IF(B15=0,"",Envoltória!T23)</f>
        <v>15</v>
      </c>
      <c r="AA15" s="416">
        <f>IF(B15=0,"",Envoltória!Q23/100)</f>
        <v>0</v>
      </c>
      <c r="AB15" s="434">
        <f>IF($B15=0,"",VLOOKUP(Aux_Lista!$DR$2,Aux_Clima!$A:$O,AB$8,FALSE))</f>
        <v>-7.02</v>
      </c>
      <c r="AC15" s="434">
        <f>IF($B15=0,"",VLOOKUP(Aux_Lista!$DR$2,Aux_Clima!$A:$O,AC$8,FALSE))</f>
        <v>249</v>
      </c>
      <c r="AD15" s="434">
        <f>IF($B15=0,"",ROUND(VLOOKUP(Aux_Lista!$DR$2,Aux_Clima!$A:$O,AD$8,FALSE),8))</f>
        <v>27.24</v>
      </c>
      <c r="AE15" s="434">
        <f>IF($B15=0,"",ROUND(VLOOKUP(Aux_Lista!$DR$2,Aux_Clima!$A:$O,AE$8,FALSE),8))</f>
        <v>24.17</v>
      </c>
      <c r="AF15" s="434">
        <f>IF($B15=0,"",ROUND(VLOOKUP(Aux_Lista!$DR$2,Aux_Clima!$A:$O,AF$8,FALSE),8))</f>
        <v>30.311666670000001</v>
      </c>
      <c r="AG15" s="434">
        <f>IF($B15=0,"",ROUND(VLOOKUP(Aux_Lista!$DR$2,Aux_Clima!$A:$O,AG$8,FALSE),8))</f>
        <v>2.8624999999999998</v>
      </c>
      <c r="AH15" s="434">
        <f>IF($B15=0,"",ROUND(VLOOKUP(Aux_Lista!$DR$2,Aux_Clima!$A:$O,AH$8,FALSE),8))</f>
        <v>1.8233333300000001</v>
      </c>
      <c r="AI15" s="434">
        <f>IF($B15=0,"",ROUND(VLOOKUP(Aux_Lista!$DR$2,Aux_Clima!$A:$O,AI$8,FALSE),8))</f>
        <v>3.8433333300000001</v>
      </c>
      <c r="AJ15" s="434">
        <f>IF($B15=0,"",ROUND(VLOOKUP(Aux_Lista!$DR$2,Aux_Clima!$A:$O,AJ$8,FALSE),3))</f>
        <v>6082.0829999999996</v>
      </c>
      <c r="AK15" s="434">
        <f>IF($B15=0,"",ROUND(VLOOKUP(Aux_Lista!$DR$2,Aux_Clima!$A:$O,AK$8,FALSE),3))</f>
        <v>5588.8329999999996</v>
      </c>
      <c r="AL15" s="434">
        <f>IF($B15=0,"",ROUND(VLOOKUP(Aux_Lista!$DR$2,Aux_Clima!$A:$O,AL$8,FALSE),3))</f>
        <v>6759.9380000000001</v>
      </c>
      <c r="AM15" s="434">
        <f>IF($B15=0,"",ROUND(VLOOKUP(Aux_Lista!$DR$2,Aux_Clima!$A:$O,AM$8,FALSE),8))</f>
        <v>18.44083333</v>
      </c>
      <c r="AN15" s="434">
        <f>IF($B15=0,"",ROUND(VLOOKUP(Aux_Lista!$DR$2,Aux_Clima!$A:$O,AN$8,FALSE),8))</f>
        <v>17.19166667</v>
      </c>
      <c r="AO15" s="434">
        <f>IF($B15=0,"",ROUND(VLOOKUP(Aux_Lista!$DR$2,Aux_Clima!$A:$O,AO$8,FALSE),8))</f>
        <v>19.883333329999999</v>
      </c>
      <c r="AP15" s="430">
        <f>IF(B15=0,"",IF(BF15=0,84,VLOOKUP(Envoltória!N23,Componentes!AV:AY,4,FALSE)))</f>
        <v>0</v>
      </c>
      <c r="AQ15" s="430">
        <f>IF(B15=0,"",IF(BF15=0,90,VLOOKUP(Envoltória!N23,Componentes!AV:AY,3,FALSE)))</f>
        <v>0</v>
      </c>
      <c r="AR15" s="430">
        <f t="shared" si="0"/>
        <v>1</v>
      </c>
      <c r="AS15" s="430">
        <f t="shared" si="0"/>
        <v>0</v>
      </c>
      <c r="AT15" s="430">
        <f t="shared" si="0"/>
        <v>0</v>
      </c>
      <c r="AU15" s="430">
        <f t="shared" si="0"/>
        <v>0</v>
      </c>
      <c r="AV15" s="430">
        <f t="shared" si="0"/>
        <v>0</v>
      </c>
      <c r="AW15" s="416">
        <f>IF($B15=0,"",IFERROR(VLOOKUP(Envoltória!$B23,Aux_Lista!$O:$U,AW$9,FALSE),0))</f>
        <v>0</v>
      </c>
      <c r="AX15" s="416">
        <f>IF($B15=0,"",IFERROR(VLOOKUP(Envoltória!$B23,Aux_Lista!$O:$U,AX$9,FALSE),0))</f>
        <v>1</v>
      </c>
      <c r="AY15" s="416">
        <f>IF($B15=0,"",IFERROR(VLOOKUP(Envoltória!$B23,Aux_Lista!$O:$U,AY$9,FALSE),0))</f>
        <v>1</v>
      </c>
      <c r="AZ15" s="416">
        <f>IF($B15=0,"",IFERROR(VLOOKUP(Envoltória!$B23,Aux_Lista!$O:$U,AZ$9,FALSE),0))</f>
        <v>0</v>
      </c>
      <c r="BA15" s="416">
        <f>IF($B15=0,"",IFERROR(VLOOKUP(Envoltória!$B23,Aux_Lista!$O:$U,BA$9,FALSE),0))</f>
        <v>1</v>
      </c>
      <c r="BB15" s="416">
        <f>IF($B15=0,"",IFERROR(VLOOKUP(Envoltória!$B23,Aux_Lista!$O:$U,BB$9,FALSE),0))</f>
        <v>0</v>
      </c>
      <c r="BC15" s="416">
        <f>IFERROR(VLOOKUP(Envoltória!$H23,Aux_Lista!$W$2:$Y$3,BC$9,FALSE),"")</f>
        <v>1</v>
      </c>
      <c r="BD15" s="416">
        <f>IFERROR(VLOOKUP(Envoltória!$H23,Aux_Lista!$W$2:$Y$3,BD$9,FALSE),"")</f>
        <v>0</v>
      </c>
      <c r="BE15" s="430">
        <f t="shared" si="1"/>
        <v>0</v>
      </c>
      <c r="BF15" s="430">
        <f>IF(B15=0,"",IF(Envoltória!F23="Perimetral",1,0))</f>
        <v>1</v>
      </c>
      <c r="BG15" s="430">
        <f>IFERROR(VLOOKUP(Envoltória!$G23,$BQ$35:$BZ$43,BG$9,FALSE),"")</f>
        <v>0</v>
      </c>
      <c r="BH15" s="430">
        <f>IFERROR(VLOOKUP(Envoltória!$G23,$BQ$35:$BZ$43,BH$9,FALSE),"")</f>
        <v>0</v>
      </c>
      <c r="BI15" s="430">
        <f>IFERROR(VLOOKUP(Envoltória!$G23,$BQ$35:$BZ$43,BI$9,FALSE),"")</f>
        <v>0</v>
      </c>
      <c r="BJ15" s="430">
        <f>IFERROR(VLOOKUP(Envoltória!$G23,$BQ$35:$BZ$43,BJ$9,FALSE),"")</f>
        <v>0</v>
      </c>
      <c r="BK15" s="430">
        <f>IFERROR(VLOOKUP(Envoltória!$G23,$BQ$35:$BZ$43,BK$9,FALSE),"")</f>
        <v>0</v>
      </c>
      <c r="BL15" s="430">
        <f>IFERROR(VLOOKUP(Envoltória!$G23,$BQ$35:$BZ$43,BL$9,FALSE),"")</f>
        <v>0</v>
      </c>
      <c r="BM15" s="430">
        <f>IFERROR(VLOOKUP(Envoltória!$G23,$BQ$35:$BZ$43,BM$9,FALSE),"")</f>
        <v>0</v>
      </c>
      <c r="BN15" s="430">
        <f>IFERROR(VLOOKUP(Envoltória!$G23,$BQ$35:$BZ$43,BN$9,FALSE),"")</f>
        <v>0</v>
      </c>
      <c r="BO15" s="430">
        <f>IFERROR(VLOOKUP(Envoltória!$G23,$BQ$35:$BZ$43,BO$9,FALSE),"")</f>
        <v>1</v>
      </c>
      <c r="BP15" s="432"/>
    </row>
    <row r="16" spans="1:69" s="13" customFormat="1" x14ac:dyDescent="0.25">
      <c r="A16" s="2">
        <v>6</v>
      </c>
      <c r="B16" s="410" t="str">
        <f>Envoltória!I24</f>
        <v>Escritórios</v>
      </c>
      <c r="C16" s="410" t="str">
        <f>Envoltória!B24</f>
        <v>Térreo (com + pvtos acima)</v>
      </c>
      <c r="D16" s="410" t="str">
        <f>Envoltória!C24</f>
        <v>ZP6</v>
      </c>
      <c r="E16" s="410">
        <f>Envoltória!D24</f>
        <v>1.1200000000000001</v>
      </c>
      <c r="F16" s="430">
        <f>IF(B16=0,"",Envoltória!E24)</f>
        <v>3</v>
      </c>
      <c r="G16" s="433">
        <f t="shared" si="2"/>
        <v>4.7488888888888887</v>
      </c>
      <c r="H16" s="430">
        <f>IF(B16=0,"",Envoltória!O24/100)</f>
        <v>0</v>
      </c>
      <c r="I16" s="430">
        <f>IF(B16=0,"",IF(BF16=1,VLOOKUP(Envoltória!N24,Componentes!AV:AY,2,FALSE),89))</f>
        <v>0</v>
      </c>
      <c r="J16" s="416">
        <f>IF(B16=0,"",IFERROR(VLOOKUP(Envoltória!M24,Componentes!$P:$R,2,FALSE),""))</f>
        <v>2.06</v>
      </c>
      <c r="K16" s="416">
        <f>IF(B16=0,"",IFERROR(VLOOKUP(Envoltória!M24,Componentes!$P:$R,3,FALSE),""))</f>
        <v>233</v>
      </c>
      <c r="L16" s="431">
        <f>IF(B16=0,"",IFERROR(IF(BB16&lt;&gt;0,VLOOKUP(Envoltória!L24,Componentes!K:N,2,FALSE),0),""))</f>
        <v>0</v>
      </c>
      <c r="M16" s="431">
        <f>IF(B16=0,"",IFERROR(IF(BB16&lt;&gt;0,VLOOKUP(Envoltória!L24,Componentes!K:N,3,FALSE),0),""))</f>
        <v>0</v>
      </c>
      <c r="N16" s="431">
        <f>IF(B16=0,"",IFERROR(IF(BB16&lt;&gt;0,VLOOKUP(Envoltória!L24,Componentes!K:N,4,FALSE),0),""))</f>
        <v>0</v>
      </c>
      <c r="O16" s="430">
        <f>IF(B16=0,"",IF(BF16=1,VLOOKUP(Envoltória!J24,Componentes!B:E,2,FALSE),-6))</f>
        <v>1.7307999999999999</v>
      </c>
      <c r="P16" s="430">
        <f>IF(B16=0,"",IF(BF16=1,VLOOKUP(Envoltória!J24,Componentes!B:E,3,FALSE),-400))</f>
        <v>150</v>
      </c>
      <c r="Q16" s="430">
        <f>IF(B16=0,"",IF(BF16=1,VLOOKUP(Envoltória!J24,Componentes!B:E,4,FALSE),0))</f>
        <v>0.39600000000000002</v>
      </c>
      <c r="R16" s="416">
        <f>IF(B16=0,"",IFERROR(VLOOKUP(Envoltória!K24,Componentes!G:I,2,FALSE),""))</f>
        <v>2.39</v>
      </c>
      <c r="S16" s="416">
        <f>IF(B16=0,"",IFERROR(VLOOKUP(Envoltória!K24,Componentes!G:I,3,FALSE),""))</f>
        <v>150</v>
      </c>
      <c r="T16" s="430">
        <f>IF(B16=0,"",IFERROR(IF(H16&lt;&gt;0,VLOOKUP(Envoltória!N24,Componentes!T:V,3,FALSE),0),""))</f>
        <v>0</v>
      </c>
      <c r="U16" s="430">
        <f>IF(B16=0,"",IFERROR(IF(H16&lt;&gt;0,VLOOKUP(Envoltória!N24,Componentes!T:V,2,FALSE),0),""))</f>
        <v>0</v>
      </c>
      <c r="V16" s="416">
        <f>IF(B16=0,"",IFERROR(IF(AA16&lt;&gt;0,VLOOKUP(Envoltória!U24,Componentes!X:Z,2,FALSE),0),0))</f>
        <v>0</v>
      </c>
      <c r="W16" s="416">
        <f>IF(B16=0,"",IFERROR(IF(AA16&lt;&gt;0,VLOOKUP(Envoltória!U24,Componentes!X:Z,3,FALSE),0),0))</f>
        <v>0</v>
      </c>
      <c r="X16" s="430">
        <f>IF(B16=0,"",Envoltória!U24)</f>
        <v>0.1</v>
      </c>
      <c r="Y16" s="430">
        <f>IF(B16=0,"",Envoltória!S24)</f>
        <v>15.45</v>
      </c>
      <c r="Z16" s="430">
        <f>IF(B16=0,"",Envoltória!T24)</f>
        <v>15</v>
      </c>
      <c r="AA16" s="416">
        <f>IF(B16=0,"",Envoltória!Q24/100)</f>
        <v>0</v>
      </c>
      <c r="AB16" s="434">
        <f>IF($B16=0,"",VLOOKUP(Aux_Lista!$DR$2,Aux_Clima!$A:$O,AB$8,FALSE))</f>
        <v>-7.02</v>
      </c>
      <c r="AC16" s="434">
        <f>IF($B16=0,"",VLOOKUP(Aux_Lista!$DR$2,Aux_Clima!$A:$O,AC$8,FALSE))</f>
        <v>249</v>
      </c>
      <c r="AD16" s="434">
        <f>IF($B16=0,"",ROUND(VLOOKUP(Aux_Lista!$DR$2,Aux_Clima!$A:$O,AD$8,FALSE),8))</f>
        <v>27.24</v>
      </c>
      <c r="AE16" s="434">
        <f>IF($B16=0,"",ROUND(VLOOKUP(Aux_Lista!$DR$2,Aux_Clima!$A:$O,AE$8,FALSE),8))</f>
        <v>24.17</v>
      </c>
      <c r="AF16" s="434">
        <f>IF($B16=0,"",ROUND(VLOOKUP(Aux_Lista!$DR$2,Aux_Clima!$A:$O,AF$8,FALSE),8))</f>
        <v>30.311666670000001</v>
      </c>
      <c r="AG16" s="434">
        <f>IF($B16=0,"",ROUND(VLOOKUP(Aux_Lista!$DR$2,Aux_Clima!$A:$O,AG$8,FALSE),8))</f>
        <v>2.8624999999999998</v>
      </c>
      <c r="AH16" s="434">
        <f>IF($B16=0,"",ROUND(VLOOKUP(Aux_Lista!$DR$2,Aux_Clima!$A:$O,AH$8,FALSE),8))</f>
        <v>1.8233333300000001</v>
      </c>
      <c r="AI16" s="434">
        <f>IF($B16=0,"",ROUND(VLOOKUP(Aux_Lista!$DR$2,Aux_Clima!$A:$O,AI$8,FALSE),8))</f>
        <v>3.8433333300000001</v>
      </c>
      <c r="AJ16" s="434">
        <f>IF($B16=0,"",ROUND(VLOOKUP(Aux_Lista!$DR$2,Aux_Clima!$A:$O,AJ$8,FALSE),3))</f>
        <v>6082.0829999999996</v>
      </c>
      <c r="AK16" s="434">
        <f>IF($B16=0,"",ROUND(VLOOKUP(Aux_Lista!$DR$2,Aux_Clima!$A:$O,AK$8,FALSE),3))</f>
        <v>5588.8329999999996</v>
      </c>
      <c r="AL16" s="434">
        <f>IF($B16=0,"",ROUND(VLOOKUP(Aux_Lista!$DR$2,Aux_Clima!$A:$O,AL$8,FALSE),3))</f>
        <v>6759.9380000000001</v>
      </c>
      <c r="AM16" s="434">
        <f>IF($B16=0,"",ROUND(VLOOKUP(Aux_Lista!$DR$2,Aux_Clima!$A:$O,AM$8,FALSE),8))</f>
        <v>18.44083333</v>
      </c>
      <c r="AN16" s="434">
        <f>IF($B16=0,"",ROUND(VLOOKUP(Aux_Lista!$DR$2,Aux_Clima!$A:$O,AN$8,FALSE),8))</f>
        <v>17.19166667</v>
      </c>
      <c r="AO16" s="434">
        <f>IF($B16=0,"",ROUND(VLOOKUP(Aux_Lista!$DR$2,Aux_Clima!$A:$O,AO$8,FALSE),8))</f>
        <v>19.883333329999999</v>
      </c>
      <c r="AP16" s="430">
        <f>IF(B16=0,"",IF(BF16=0,84,VLOOKUP(Envoltória!N24,Componentes!AV:AY,4,FALSE)))</f>
        <v>0</v>
      </c>
      <c r="AQ16" s="430">
        <f>IF(B16=0,"",IF(BF16=0,90,VLOOKUP(Envoltória!N24,Componentes!AV:AY,3,FALSE)))</f>
        <v>0</v>
      </c>
      <c r="AR16" s="430">
        <f t="shared" si="0"/>
        <v>1</v>
      </c>
      <c r="AS16" s="430">
        <f t="shared" si="0"/>
        <v>0</v>
      </c>
      <c r="AT16" s="430">
        <f t="shared" si="0"/>
        <v>0</v>
      </c>
      <c r="AU16" s="430">
        <f t="shared" si="0"/>
        <v>0</v>
      </c>
      <c r="AV16" s="430">
        <f t="shared" si="0"/>
        <v>0</v>
      </c>
      <c r="AW16" s="416">
        <f>IF($B16=0,"",IFERROR(VLOOKUP(Envoltória!$B24,Aux_Lista!$O:$U,AW$9,FALSE),0))</f>
        <v>0</v>
      </c>
      <c r="AX16" s="416">
        <f>IF($B16=0,"",IFERROR(VLOOKUP(Envoltória!$B24,Aux_Lista!$O:$U,AX$9,FALSE),0))</f>
        <v>1</v>
      </c>
      <c r="AY16" s="416">
        <f>IF($B16=0,"",IFERROR(VLOOKUP(Envoltória!$B24,Aux_Lista!$O:$U,AY$9,FALSE),0))</f>
        <v>1</v>
      </c>
      <c r="AZ16" s="416">
        <f>IF($B16=0,"",IFERROR(VLOOKUP(Envoltória!$B24,Aux_Lista!$O:$U,AZ$9,FALSE),0))</f>
        <v>0</v>
      </c>
      <c r="BA16" s="416">
        <f>IF($B16=0,"",IFERROR(VLOOKUP(Envoltória!$B24,Aux_Lista!$O:$U,BA$9,FALSE),0))</f>
        <v>1</v>
      </c>
      <c r="BB16" s="416">
        <f>IF($B16=0,"",IFERROR(VLOOKUP(Envoltória!$B24,Aux_Lista!$O:$U,BB$9,FALSE),0))</f>
        <v>0</v>
      </c>
      <c r="BC16" s="416">
        <f>IFERROR(VLOOKUP(Envoltória!$H24,Aux_Lista!$W$2:$Y$3,BC$9,FALSE),"")</f>
        <v>1</v>
      </c>
      <c r="BD16" s="416">
        <f>IFERROR(VLOOKUP(Envoltória!$H24,Aux_Lista!$W$2:$Y$3,BD$9,FALSE),"")</f>
        <v>0</v>
      </c>
      <c r="BE16" s="430">
        <f t="shared" si="1"/>
        <v>0</v>
      </c>
      <c r="BF16" s="430">
        <f>IF(B16=0,"",IF(Envoltória!F24="Perimetral",1,0))</f>
        <v>1</v>
      </c>
      <c r="BG16" s="430">
        <f>IFERROR(VLOOKUP(Envoltória!$G24,$BQ$35:$BZ$43,BG$9,FALSE),"")</f>
        <v>0</v>
      </c>
      <c r="BH16" s="430">
        <f>IFERROR(VLOOKUP(Envoltória!$G24,$BQ$35:$BZ$43,BH$9,FALSE),"")</f>
        <v>0</v>
      </c>
      <c r="BI16" s="430">
        <f>IFERROR(VLOOKUP(Envoltória!$G24,$BQ$35:$BZ$43,BI$9,FALSE),"")</f>
        <v>1</v>
      </c>
      <c r="BJ16" s="430">
        <f>IFERROR(VLOOKUP(Envoltória!$G24,$BQ$35:$BZ$43,BJ$9,FALSE),"")</f>
        <v>0</v>
      </c>
      <c r="BK16" s="430">
        <f>IFERROR(VLOOKUP(Envoltória!$G24,$BQ$35:$BZ$43,BK$9,FALSE),"")</f>
        <v>0</v>
      </c>
      <c r="BL16" s="430">
        <f>IFERROR(VLOOKUP(Envoltória!$G24,$BQ$35:$BZ$43,BL$9,FALSE),"")</f>
        <v>0</v>
      </c>
      <c r="BM16" s="430">
        <f>IFERROR(VLOOKUP(Envoltória!$G24,$BQ$35:$BZ$43,BM$9,FALSE),"")</f>
        <v>0</v>
      </c>
      <c r="BN16" s="430">
        <f>IFERROR(VLOOKUP(Envoltória!$G24,$BQ$35:$BZ$43,BN$9,FALSE),"")</f>
        <v>0</v>
      </c>
      <c r="BO16" s="430">
        <f>IFERROR(VLOOKUP(Envoltória!$G24,$BQ$35:$BZ$43,BO$9,FALSE),"")</f>
        <v>0</v>
      </c>
      <c r="BP16" s="2"/>
      <c r="BQ16" s="31"/>
    </row>
    <row r="17" spans="1:75" s="13" customFormat="1" x14ac:dyDescent="0.25">
      <c r="A17" s="2">
        <v>7</v>
      </c>
      <c r="B17" s="410" t="str">
        <f>Envoltória!I25</f>
        <v>Escritórios</v>
      </c>
      <c r="C17" s="410" t="str">
        <f>Envoltória!B25</f>
        <v>Térreo (com + pvtos acima)</v>
      </c>
      <c r="D17" s="410" t="str">
        <f>Envoltória!C25</f>
        <v>ZP7</v>
      </c>
      <c r="E17" s="410">
        <f>Envoltória!D25</f>
        <v>1.27</v>
      </c>
      <c r="F17" s="430">
        <f>IF(B17=0,"",Envoltória!E25)</f>
        <v>3</v>
      </c>
      <c r="G17" s="433">
        <f t="shared" si="2"/>
        <v>4.7822222222222219</v>
      </c>
      <c r="H17" s="430">
        <f>IF(B17=0,"",Envoltória!O25/100)</f>
        <v>0</v>
      </c>
      <c r="I17" s="430">
        <f>IF(B17=0,"",IF(BF17=1,VLOOKUP(Envoltória!N25,Componentes!AV:AY,2,FALSE),89))</f>
        <v>0</v>
      </c>
      <c r="J17" s="416">
        <f>IF(B17=0,"",IFERROR(VLOOKUP(Envoltória!M25,Componentes!$P:$R,2,FALSE),""))</f>
        <v>2.06</v>
      </c>
      <c r="K17" s="416">
        <f>IF(B17=0,"",IFERROR(VLOOKUP(Envoltória!M25,Componentes!$P:$R,3,FALSE),""))</f>
        <v>233</v>
      </c>
      <c r="L17" s="431">
        <f>IF(B17=0,"",IFERROR(IF(BB17&lt;&gt;0,VLOOKUP(Envoltória!L25,Componentes!K:N,2,FALSE),0),""))</f>
        <v>0</v>
      </c>
      <c r="M17" s="431">
        <f>IF(B17=0,"",IFERROR(IF(BB17&lt;&gt;0,VLOOKUP(Envoltória!L25,Componentes!K:N,3,FALSE),0),""))</f>
        <v>0</v>
      </c>
      <c r="N17" s="431">
        <f>IF(B17=0,"",IFERROR(IF(BB17&lt;&gt;0,VLOOKUP(Envoltória!L25,Componentes!K:N,4,FALSE),0),""))</f>
        <v>0</v>
      </c>
      <c r="O17" s="430">
        <f>IF(B17=0,"",IF(BF17=1,VLOOKUP(Envoltória!J25,Componentes!B:E,2,FALSE),-6))</f>
        <v>1.7307999999999999</v>
      </c>
      <c r="P17" s="430">
        <f>IF(B17=0,"",IF(BF17=1,VLOOKUP(Envoltória!J25,Componentes!B:E,3,FALSE),-400))</f>
        <v>150</v>
      </c>
      <c r="Q17" s="430">
        <f>IF(B17=0,"",IF(BF17=1,VLOOKUP(Envoltória!J25,Componentes!B:E,4,FALSE),0))</f>
        <v>0.39600000000000002</v>
      </c>
      <c r="R17" s="416">
        <f>IF(B17=0,"",IFERROR(VLOOKUP(Envoltória!K25,Componentes!G:I,2,FALSE),""))</f>
        <v>2.39</v>
      </c>
      <c r="S17" s="416">
        <f>IF(B17=0,"",IFERROR(VLOOKUP(Envoltória!K25,Componentes!G:I,3,FALSE),""))</f>
        <v>150</v>
      </c>
      <c r="T17" s="430">
        <f>IF(B17=0,"",IFERROR(IF(H17&lt;&gt;0,VLOOKUP(Envoltória!N25,Componentes!T:V,3,FALSE),0),""))</f>
        <v>0</v>
      </c>
      <c r="U17" s="430">
        <f>IF(B17=0,"",IFERROR(IF(H17&lt;&gt;0,VLOOKUP(Envoltória!N25,Componentes!T:V,2,FALSE),0),""))</f>
        <v>0</v>
      </c>
      <c r="V17" s="416">
        <f>IF(B17=0,"",IFERROR(IF(AA17&lt;&gt;0,VLOOKUP(Envoltória!U25,Componentes!X:Z,2,FALSE),0),0))</f>
        <v>0</v>
      </c>
      <c r="W17" s="416">
        <f>IF(B17=0,"",IFERROR(IF(AA17&lt;&gt;0,VLOOKUP(Envoltória!U25,Componentes!X:Z,3,FALSE),0),0))</f>
        <v>0</v>
      </c>
      <c r="X17" s="430">
        <f>IF(B17=0,"",Envoltória!U25)</f>
        <v>0.1</v>
      </c>
      <c r="Y17" s="430">
        <f>IF(B17=0,"",Envoltória!S25)</f>
        <v>15.45</v>
      </c>
      <c r="Z17" s="430">
        <f>IF(B17=0,"",Envoltória!T25)</f>
        <v>15</v>
      </c>
      <c r="AA17" s="416">
        <f>IF(B17=0,"",Envoltória!Q25/100)</f>
        <v>0</v>
      </c>
      <c r="AB17" s="434">
        <f>IF($B17=0,"",VLOOKUP(Aux_Lista!$DR$2,Aux_Clima!$A:$O,AB$8,FALSE))</f>
        <v>-7.02</v>
      </c>
      <c r="AC17" s="434">
        <f>IF($B17=0,"",VLOOKUP(Aux_Lista!$DR$2,Aux_Clima!$A:$O,AC$8,FALSE))</f>
        <v>249</v>
      </c>
      <c r="AD17" s="434">
        <f>IF($B17=0,"",ROUND(VLOOKUP(Aux_Lista!$DR$2,Aux_Clima!$A:$O,AD$8,FALSE),8))</f>
        <v>27.24</v>
      </c>
      <c r="AE17" s="434">
        <f>IF($B17=0,"",ROUND(VLOOKUP(Aux_Lista!$DR$2,Aux_Clima!$A:$O,AE$8,FALSE),8))</f>
        <v>24.17</v>
      </c>
      <c r="AF17" s="434">
        <f>IF($B17=0,"",ROUND(VLOOKUP(Aux_Lista!$DR$2,Aux_Clima!$A:$O,AF$8,FALSE),8))</f>
        <v>30.311666670000001</v>
      </c>
      <c r="AG17" s="434">
        <f>IF($B17=0,"",ROUND(VLOOKUP(Aux_Lista!$DR$2,Aux_Clima!$A:$O,AG$8,FALSE),8))</f>
        <v>2.8624999999999998</v>
      </c>
      <c r="AH17" s="434">
        <f>IF($B17=0,"",ROUND(VLOOKUP(Aux_Lista!$DR$2,Aux_Clima!$A:$O,AH$8,FALSE),8))</f>
        <v>1.8233333300000001</v>
      </c>
      <c r="AI17" s="434">
        <f>IF($B17=0,"",ROUND(VLOOKUP(Aux_Lista!$DR$2,Aux_Clima!$A:$O,AI$8,FALSE),8))</f>
        <v>3.8433333300000001</v>
      </c>
      <c r="AJ17" s="434">
        <f>IF($B17=0,"",ROUND(VLOOKUP(Aux_Lista!$DR$2,Aux_Clima!$A:$O,AJ$8,FALSE),3))</f>
        <v>6082.0829999999996</v>
      </c>
      <c r="AK17" s="434">
        <f>IF($B17=0,"",ROUND(VLOOKUP(Aux_Lista!$DR$2,Aux_Clima!$A:$O,AK$8,FALSE),3))</f>
        <v>5588.8329999999996</v>
      </c>
      <c r="AL17" s="434">
        <f>IF($B17=0,"",ROUND(VLOOKUP(Aux_Lista!$DR$2,Aux_Clima!$A:$O,AL$8,FALSE),3))</f>
        <v>6759.9380000000001</v>
      </c>
      <c r="AM17" s="434">
        <f>IF($B17=0,"",ROUND(VLOOKUP(Aux_Lista!$DR$2,Aux_Clima!$A:$O,AM$8,FALSE),8))</f>
        <v>18.44083333</v>
      </c>
      <c r="AN17" s="434">
        <f>IF($B17=0,"",ROUND(VLOOKUP(Aux_Lista!$DR$2,Aux_Clima!$A:$O,AN$8,FALSE),8))</f>
        <v>17.19166667</v>
      </c>
      <c r="AO17" s="434">
        <f>IF($B17=0,"",ROUND(VLOOKUP(Aux_Lista!$DR$2,Aux_Clima!$A:$O,AO$8,FALSE),8))</f>
        <v>19.883333329999999</v>
      </c>
      <c r="AP17" s="430">
        <f>IF(B17=0,"",IF(BF17=0,84,VLOOKUP(Envoltória!N25,Componentes!AV:AY,4,FALSE)))</f>
        <v>0</v>
      </c>
      <c r="AQ17" s="430">
        <f>IF(B17=0,"",IF(BF17=0,90,VLOOKUP(Envoltória!N25,Componentes!AV:AY,3,FALSE)))</f>
        <v>0</v>
      </c>
      <c r="AR17" s="430">
        <f t="shared" si="0"/>
        <v>1</v>
      </c>
      <c r="AS17" s="430">
        <f t="shared" si="0"/>
        <v>0</v>
      </c>
      <c r="AT17" s="430">
        <f t="shared" si="0"/>
        <v>0</v>
      </c>
      <c r="AU17" s="430">
        <f t="shared" si="0"/>
        <v>0</v>
      </c>
      <c r="AV17" s="430">
        <f t="shared" si="0"/>
        <v>0</v>
      </c>
      <c r="AW17" s="416">
        <f>IF($B17=0,"",IFERROR(VLOOKUP(Envoltória!$B25,Aux_Lista!$O:$U,AW$9,FALSE),0))</f>
        <v>0</v>
      </c>
      <c r="AX17" s="416">
        <f>IF($B17=0,"",IFERROR(VLOOKUP(Envoltória!$B25,Aux_Lista!$O:$U,AX$9,FALSE),0))</f>
        <v>1</v>
      </c>
      <c r="AY17" s="416">
        <f>IF($B17=0,"",IFERROR(VLOOKUP(Envoltória!$B25,Aux_Lista!$O:$U,AY$9,FALSE),0))</f>
        <v>1</v>
      </c>
      <c r="AZ17" s="416">
        <f>IF($B17=0,"",IFERROR(VLOOKUP(Envoltória!$B25,Aux_Lista!$O:$U,AZ$9,FALSE),0))</f>
        <v>0</v>
      </c>
      <c r="BA17" s="416">
        <f>IF($B17=0,"",IFERROR(VLOOKUP(Envoltória!$B25,Aux_Lista!$O:$U,BA$9,FALSE),0))</f>
        <v>1</v>
      </c>
      <c r="BB17" s="416">
        <f>IF($B17=0,"",IFERROR(VLOOKUP(Envoltória!$B25,Aux_Lista!$O:$U,BB$9,FALSE),0))</f>
        <v>0</v>
      </c>
      <c r="BC17" s="416">
        <f>IFERROR(VLOOKUP(Envoltória!$H25,Aux_Lista!$W$2:$Y$3,BC$9,FALSE),"")</f>
        <v>1</v>
      </c>
      <c r="BD17" s="416">
        <f>IFERROR(VLOOKUP(Envoltória!$H25,Aux_Lista!$W$2:$Y$3,BD$9,FALSE),"")</f>
        <v>0</v>
      </c>
      <c r="BE17" s="430">
        <f t="shared" si="1"/>
        <v>0</v>
      </c>
      <c r="BF17" s="430">
        <f>IF(B17=0,"",IF(Envoltória!F25="Perimetral",1,0))</f>
        <v>1</v>
      </c>
      <c r="BG17" s="430">
        <f>IFERROR(VLOOKUP(Envoltória!$G25,$BQ$35:$BZ$43,BG$9,FALSE),"")</f>
        <v>0</v>
      </c>
      <c r="BH17" s="430">
        <f>IFERROR(VLOOKUP(Envoltória!$G25,$BQ$35:$BZ$43,BH$9,FALSE),"")</f>
        <v>0</v>
      </c>
      <c r="BI17" s="430">
        <f>IFERROR(VLOOKUP(Envoltória!$G25,$BQ$35:$BZ$43,BI$9,FALSE),"")</f>
        <v>0</v>
      </c>
      <c r="BJ17" s="430">
        <f>IFERROR(VLOOKUP(Envoltória!$G25,$BQ$35:$BZ$43,BJ$9,FALSE),"")</f>
        <v>0</v>
      </c>
      <c r="BK17" s="430">
        <f>IFERROR(VLOOKUP(Envoltória!$G25,$BQ$35:$BZ$43,BK$9,FALSE),"")</f>
        <v>0</v>
      </c>
      <c r="BL17" s="430">
        <f>IFERROR(VLOOKUP(Envoltória!$G25,$BQ$35:$BZ$43,BL$9,FALSE),"")</f>
        <v>0</v>
      </c>
      <c r="BM17" s="430">
        <f>IFERROR(VLOOKUP(Envoltória!$G25,$BQ$35:$BZ$43,BM$9,FALSE),"")</f>
        <v>0</v>
      </c>
      <c r="BN17" s="430">
        <f>IFERROR(VLOOKUP(Envoltória!$G25,$BQ$35:$BZ$43,BN$9,FALSE),"")</f>
        <v>0</v>
      </c>
      <c r="BO17" s="430">
        <f>IFERROR(VLOOKUP(Envoltória!$G25,$BQ$35:$BZ$43,BO$9,FALSE),"")</f>
        <v>1</v>
      </c>
      <c r="BP17" s="2"/>
      <c r="BQ17" s="31"/>
    </row>
    <row r="18" spans="1:75" s="13" customFormat="1" x14ac:dyDescent="0.25">
      <c r="A18" s="2">
        <v>8</v>
      </c>
      <c r="B18" s="410" t="str">
        <f>Envoltória!I26</f>
        <v>Escritórios</v>
      </c>
      <c r="C18" s="410" t="str">
        <f>Envoltória!B26</f>
        <v>Térreo (com + pvtos acima)</v>
      </c>
      <c r="D18" s="410" t="str">
        <f>Envoltória!C26</f>
        <v>ZP8</v>
      </c>
      <c r="E18" s="410">
        <f>Envoltória!D26</f>
        <v>45.85</v>
      </c>
      <c r="F18" s="430">
        <f>IF(B18=0,"",Envoltória!E26)</f>
        <v>3</v>
      </c>
      <c r="G18" s="433">
        <f t="shared" si="2"/>
        <v>14.688888888888888</v>
      </c>
      <c r="H18" s="430">
        <f>IF(B18=0,"",Envoltória!O26/100)</f>
        <v>0</v>
      </c>
      <c r="I18" s="430">
        <f>IF(B18=0,"",IF(BF18=1,VLOOKUP(Envoltória!N26,Componentes!AV:AY,2,FALSE),89))</f>
        <v>0</v>
      </c>
      <c r="J18" s="416">
        <f>IF(B18=0,"",IFERROR(VLOOKUP(Envoltória!M26,Componentes!$P:$R,2,FALSE),""))</f>
        <v>2.06</v>
      </c>
      <c r="K18" s="416">
        <f>IF(B18=0,"",IFERROR(VLOOKUP(Envoltória!M26,Componentes!$P:$R,3,FALSE),""))</f>
        <v>233</v>
      </c>
      <c r="L18" s="431">
        <f>IF(B18=0,"",IFERROR(IF(BB18&lt;&gt;0,VLOOKUP(Envoltória!L26,Componentes!K:N,2,FALSE),0),""))</f>
        <v>0</v>
      </c>
      <c r="M18" s="431">
        <f>IF(B18=0,"",IFERROR(IF(BB18&lt;&gt;0,VLOOKUP(Envoltória!L26,Componentes!K:N,3,FALSE),0),""))</f>
        <v>0</v>
      </c>
      <c r="N18" s="431">
        <f>IF(B18=0,"",IFERROR(IF(BB18&lt;&gt;0,VLOOKUP(Envoltória!L26,Componentes!K:N,4,FALSE),0),""))</f>
        <v>0</v>
      </c>
      <c r="O18" s="430">
        <f>IF(B18=0,"",IF(BF18=1,VLOOKUP(Envoltória!J26,Componentes!B:E,2,FALSE),-6))</f>
        <v>1.7307999999999999</v>
      </c>
      <c r="P18" s="430">
        <f>IF(B18=0,"",IF(BF18=1,VLOOKUP(Envoltória!J26,Componentes!B:E,3,FALSE),-400))</f>
        <v>150</v>
      </c>
      <c r="Q18" s="430">
        <f>IF(B18=0,"",IF(BF18=1,VLOOKUP(Envoltória!J26,Componentes!B:E,4,FALSE),0))</f>
        <v>0.39600000000000002</v>
      </c>
      <c r="R18" s="416">
        <f>IF(B18=0,"",IFERROR(VLOOKUP(Envoltória!K26,Componentes!G:I,2,FALSE),""))</f>
        <v>2.39</v>
      </c>
      <c r="S18" s="416">
        <f>IF(B18=0,"",IFERROR(VLOOKUP(Envoltória!K26,Componentes!G:I,3,FALSE),""))</f>
        <v>150</v>
      </c>
      <c r="T18" s="430">
        <f>IF(B18=0,"",IFERROR(IF(H18&lt;&gt;0,VLOOKUP(Envoltória!N26,Componentes!T:V,3,FALSE),0),""))</f>
        <v>0</v>
      </c>
      <c r="U18" s="430">
        <f>IF(B18=0,"",IFERROR(IF(H18&lt;&gt;0,VLOOKUP(Envoltória!N26,Componentes!T:V,2,FALSE),0),""))</f>
        <v>0</v>
      </c>
      <c r="V18" s="416">
        <f>IF(B18=0,"",IFERROR(IF(AA18&lt;&gt;0,VLOOKUP(Envoltória!U26,Componentes!X:Z,2,FALSE),0),0))</f>
        <v>0</v>
      </c>
      <c r="W18" s="416">
        <f>IF(B18=0,"",IFERROR(IF(AA18&lt;&gt;0,VLOOKUP(Envoltória!U26,Componentes!X:Z,3,FALSE),0),0))</f>
        <v>0</v>
      </c>
      <c r="X18" s="430">
        <f>IF(B18=0,"",Envoltória!U26)</f>
        <v>0.1</v>
      </c>
      <c r="Y18" s="430">
        <f>IF(B18=0,"",Envoltória!S26)</f>
        <v>15.45</v>
      </c>
      <c r="Z18" s="430">
        <f>IF(B18=0,"",Envoltória!T26)</f>
        <v>15</v>
      </c>
      <c r="AA18" s="416">
        <f>IF(B18=0,"",Envoltória!Q26/100)</f>
        <v>0</v>
      </c>
      <c r="AB18" s="434">
        <f>IF($B18=0,"",VLOOKUP(Aux_Lista!$DR$2,Aux_Clima!$A:$O,AB$8,FALSE))</f>
        <v>-7.02</v>
      </c>
      <c r="AC18" s="434">
        <f>IF($B18=0,"",VLOOKUP(Aux_Lista!$DR$2,Aux_Clima!$A:$O,AC$8,FALSE))</f>
        <v>249</v>
      </c>
      <c r="AD18" s="434">
        <f>IF($B18=0,"",ROUND(VLOOKUP(Aux_Lista!$DR$2,Aux_Clima!$A:$O,AD$8,FALSE),8))</f>
        <v>27.24</v>
      </c>
      <c r="AE18" s="434">
        <f>IF($B18=0,"",ROUND(VLOOKUP(Aux_Lista!$DR$2,Aux_Clima!$A:$O,AE$8,FALSE),8))</f>
        <v>24.17</v>
      </c>
      <c r="AF18" s="434">
        <f>IF($B18=0,"",ROUND(VLOOKUP(Aux_Lista!$DR$2,Aux_Clima!$A:$O,AF$8,FALSE),8))</f>
        <v>30.311666670000001</v>
      </c>
      <c r="AG18" s="434">
        <f>IF($B18=0,"",ROUND(VLOOKUP(Aux_Lista!$DR$2,Aux_Clima!$A:$O,AG$8,FALSE),8))</f>
        <v>2.8624999999999998</v>
      </c>
      <c r="AH18" s="434">
        <f>IF($B18=0,"",ROUND(VLOOKUP(Aux_Lista!$DR$2,Aux_Clima!$A:$O,AH$8,FALSE),8))</f>
        <v>1.8233333300000001</v>
      </c>
      <c r="AI18" s="434">
        <f>IF($B18=0,"",ROUND(VLOOKUP(Aux_Lista!$DR$2,Aux_Clima!$A:$O,AI$8,FALSE),8))</f>
        <v>3.8433333300000001</v>
      </c>
      <c r="AJ18" s="434">
        <f>IF($B18=0,"",ROUND(VLOOKUP(Aux_Lista!$DR$2,Aux_Clima!$A:$O,AJ$8,FALSE),3))</f>
        <v>6082.0829999999996</v>
      </c>
      <c r="AK18" s="434">
        <f>IF($B18=0,"",ROUND(VLOOKUP(Aux_Lista!$DR$2,Aux_Clima!$A:$O,AK$8,FALSE),3))</f>
        <v>5588.8329999999996</v>
      </c>
      <c r="AL18" s="434">
        <f>IF($B18=0,"",ROUND(VLOOKUP(Aux_Lista!$DR$2,Aux_Clima!$A:$O,AL$8,FALSE),3))</f>
        <v>6759.9380000000001</v>
      </c>
      <c r="AM18" s="434">
        <f>IF($B18=0,"",ROUND(VLOOKUP(Aux_Lista!$DR$2,Aux_Clima!$A:$O,AM$8,FALSE),8))</f>
        <v>18.44083333</v>
      </c>
      <c r="AN18" s="434">
        <f>IF($B18=0,"",ROUND(VLOOKUP(Aux_Lista!$DR$2,Aux_Clima!$A:$O,AN$8,FALSE),8))</f>
        <v>17.19166667</v>
      </c>
      <c r="AO18" s="434">
        <f>IF($B18=0,"",ROUND(VLOOKUP(Aux_Lista!$DR$2,Aux_Clima!$A:$O,AO$8,FALSE),8))</f>
        <v>19.883333329999999</v>
      </c>
      <c r="AP18" s="430">
        <f>IF(B18=0,"",IF(BF18=0,84,VLOOKUP(Envoltória!N26,Componentes!AV:AY,4,FALSE)))</f>
        <v>0</v>
      </c>
      <c r="AQ18" s="430">
        <f>IF(B18=0,"",IF(BF18=0,90,VLOOKUP(Envoltória!N26,Componentes!AV:AY,3,FALSE)))</f>
        <v>0</v>
      </c>
      <c r="AR18" s="430">
        <f t="shared" si="0"/>
        <v>1</v>
      </c>
      <c r="AS18" s="430">
        <f t="shared" si="0"/>
        <v>0</v>
      </c>
      <c r="AT18" s="430">
        <f t="shared" si="0"/>
        <v>0</v>
      </c>
      <c r="AU18" s="430">
        <f t="shared" si="0"/>
        <v>0</v>
      </c>
      <c r="AV18" s="430">
        <f t="shared" si="0"/>
        <v>0</v>
      </c>
      <c r="AW18" s="416">
        <f>IF($B18=0,"",IFERROR(VLOOKUP(Envoltória!$B26,Aux_Lista!$O:$U,AW$9,FALSE),0))</f>
        <v>0</v>
      </c>
      <c r="AX18" s="416">
        <f>IF($B18=0,"",IFERROR(VLOOKUP(Envoltória!$B26,Aux_Lista!$O:$U,AX$9,FALSE),0))</f>
        <v>1</v>
      </c>
      <c r="AY18" s="416">
        <f>IF($B18=0,"",IFERROR(VLOOKUP(Envoltória!$B26,Aux_Lista!$O:$U,AY$9,FALSE),0))</f>
        <v>1</v>
      </c>
      <c r="AZ18" s="416">
        <f>IF($B18=0,"",IFERROR(VLOOKUP(Envoltória!$B26,Aux_Lista!$O:$U,AZ$9,FALSE),0))</f>
        <v>0</v>
      </c>
      <c r="BA18" s="416">
        <f>IF($B18=0,"",IFERROR(VLOOKUP(Envoltória!$B26,Aux_Lista!$O:$U,BA$9,FALSE),0))</f>
        <v>1</v>
      </c>
      <c r="BB18" s="416">
        <f>IF($B18=0,"",IFERROR(VLOOKUP(Envoltória!$B26,Aux_Lista!$O:$U,BB$9,FALSE),0))</f>
        <v>0</v>
      </c>
      <c r="BC18" s="416">
        <f>IFERROR(VLOOKUP(Envoltória!$H26,Aux_Lista!$W$2:$Y$3,BC$9,FALSE),"")</f>
        <v>1</v>
      </c>
      <c r="BD18" s="416">
        <f>IFERROR(VLOOKUP(Envoltória!$H26,Aux_Lista!$W$2:$Y$3,BD$9,FALSE),"")</f>
        <v>0</v>
      </c>
      <c r="BE18" s="430">
        <f t="shared" si="1"/>
        <v>0</v>
      </c>
      <c r="BF18" s="430">
        <f>IF(B18=0,"",IF(Envoltória!F26="Perimetral",1,0))</f>
        <v>1</v>
      </c>
      <c r="BG18" s="430">
        <f>IFERROR(VLOOKUP(Envoltória!$G26,$BQ$35:$BZ$43,BG$9,FALSE),"")</f>
        <v>0</v>
      </c>
      <c r="BH18" s="430">
        <f>IFERROR(VLOOKUP(Envoltória!$G26,$BQ$35:$BZ$43,BH$9,FALSE),"")</f>
        <v>0</v>
      </c>
      <c r="BI18" s="430">
        <f>IFERROR(VLOOKUP(Envoltória!$G26,$BQ$35:$BZ$43,BI$9,FALSE),"")</f>
        <v>0</v>
      </c>
      <c r="BJ18" s="430">
        <f>IFERROR(VLOOKUP(Envoltória!$G26,$BQ$35:$BZ$43,BJ$9,FALSE),"")</f>
        <v>0</v>
      </c>
      <c r="BK18" s="430">
        <f>IFERROR(VLOOKUP(Envoltória!$G26,$BQ$35:$BZ$43,BK$9,FALSE),"")</f>
        <v>0</v>
      </c>
      <c r="BL18" s="430">
        <f>IFERROR(VLOOKUP(Envoltória!$G26,$BQ$35:$BZ$43,BL$9,FALSE),"")</f>
        <v>0</v>
      </c>
      <c r="BM18" s="430">
        <f>IFERROR(VLOOKUP(Envoltória!$G26,$BQ$35:$BZ$43,BM$9,FALSE),"")</f>
        <v>0</v>
      </c>
      <c r="BN18" s="430">
        <f>IFERROR(VLOOKUP(Envoltória!$G26,$BQ$35:$BZ$43,BN$9,FALSE),"")</f>
        <v>0</v>
      </c>
      <c r="BO18" s="430">
        <f>IFERROR(VLOOKUP(Envoltória!$G26,$BQ$35:$BZ$43,BO$9,FALSE),"")</f>
        <v>1</v>
      </c>
      <c r="BP18" s="2"/>
      <c r="BQ18" s="421" t="s">
        <v>67</v>
      </c>
      <c r="BR18" s="419">
        <v>1</v>
      </c>
    </row>
    <row r="19" spans="1:75" s="13" customFormat="1" x14ac:dyDescent="0.25">
      <c r="A19" s="2">
        <v>9</v>
      </c>
      <c r="B19" s="410" t="str">
        <f>Envoltória!I27</f>
        <v>Escritórios</v>
      </c>
      <c r="C19" s="410" t="str">
        <f>Envoltória!B27</f>
        <v>Térreo (com + pvtos acima)</v>
      </c>
      <c r="D19" s="410" t="str">
        <f>Envoltória!C27</f>
        <v>ZP9</v>
      </c>
      <c r="E19" s="410">
        <f>Envoltória!D27</f>
        <v>21.85</v>
      </c>
      <c r="F19" s="430">
        <f>IF(B19=0,"",Envoltória!E27)</f>
        <v>3</v>
      </c>
      <c r="G19" s="433">
        <f t="shared" si="2"/>
        <v>9.3555555555555543</v>
      </c>
      <c r="H19" s="430">
        <f>IF(B19=0,"",Envoltória!O27/100)</f>
        <v>0</v>
      </c>
      <c r="I19" s="430">
        <f>IF(B19=0,"",IF(BF19=1,VLOOKUP(Envoltória!N27,Componentes!AV:AY,2,FALSE),89))</f>
        <v>0</v>
      </c>
      <c r="J19" s="416">
        <f>IF(B19=0,"",IFERROR(VLOOKUP(Envoltória!M27,Componentes!$P:$R,2,FALSE),""))</f>
        <v>2.06</v>
      </c>
      <c r="K19" s="416">
        <f>IF(B19=0,"",IFERROR(VLOOKUP(Envoltória!M27,Componentes!$P:$R,3,FALSE),""))</f>
        <v>233</v>
      </c>
      <c r="L19" s="431">
        <f>IF(B19=0,"",IFERROR(IF(BB19&lt;&gt;0,VLOOKUP(Envoltória!L27,Componentes!K:N,2,FALSE),0),""))</f>
        <v>0</v>
      </c>
      <c r="M19" s="431">
        <f>IF(B19=0,"",IFERROR(IF(BB19&lt;&gt;0,VLOOKUP(Envoltória!L27,Componentes!K:N,3,FALSE),0),""))</f>
        <v>0</v>
      </c>
      <c r="N19" s="431">
        <f>IF(B19=0,"",IFERROR(IF(BB19&lt;&gt;0,VLOOKUP(Envoltória!L27,Componentes!K:N,4,FALSE),0),""))</f>
        <v>0</v>
      </c>
      <c r="O19" s="430">
        <f>IF(B19=0,"",IF(BF19=1,VLOOKUP(Envoltória!J27,Componentes!B:E,2,FALSE),-6))</f>
        <v>1.7307999999999999</v>
      </c>
      <c r="P19" s="430">
        <f>IF(B19=0,"",IF(BF19=1,VLOOKUP(Envoltória!J27,Componentes!B:E,3,FALSE),-400))</f>
        <v>150</v>
      </c>
      <c r="Q19" s="430">
        <f>IF(B19=0,"",IF(BF19=1,VLOOKUP(Envoltória!J27,Componentes!B:E,4,FALSE),0))</f>
        <v>0.39600000000000002</v>
      </c>
      <c r="R19" s="416">
        <f>IF(B19=0,"",IFERROR(VLOOKUP(Envoltória!K27,Componentes!G:I,2,FALSE),""))</f>
        <v>2.39</v>
      </c>
      <c r="S19" s="416">
        <f>IF(B19=0,"",IFERROR(VLOOKUP(Envoltória!K27,Componentes!G:I,3,FALSE),""))</f>
        <v>150</v>
      </c>
      <c r="T19" s="430">
        <f>IF(B19=0,"",IFERROR(IF(H19&lt;&gt;0,VLOOKUP(Envoltória!N27,Componentes!T:V,3,FALSE),0),""))</f>
        <v>0</v>
      </c>
      <c r="U19" s="430">
        <f>IF(B19=0,"",IFERROR(IF(H19&lt;&gt;0,VLOOKUP(Envoltória!N27,Componentes!T:V,2,FALSE),0),""))</f>
        <v>0</v>
      </c>
      <c r="V19" s="416">
        <f>IF(B19=0,"",IFERROR(IF(AA19&lt;&gt;0,VLOOKUP(Envoltória!U27,Componentes!X:Z,2,FALSE),0),0))</f>
        <v>0</v>
      </c>
      <c r="W19" s="416">
        <f>IF(B19=0,"",IFERROR(IF(AA19&lt;&gt;0,VLOOKUP(Envoltória!U27,Componentes!X:Z,3,FALSE),0),0))</f>
        <v>0</v>
      </c>
      <c r="X19" s="430">
        <f>IF(B19=0,"",Envoltória!U27)</f>
        <v>0.1</v>
      </c>
      <c r="Y19" s="430">
        <f>IF(B19=0,"",Envoltória!S27)</f>
        <v>15.45</v>
      </c>
      <c r="Z19" s="430">
        <f>IF(B19=0,"",Envoltória!T27)</f>
        <v>15</v>
      </c>
      <c r="AA19" s="416">
        <f>IF(B19=0,"",Envoltória!Q27/100)</f>
        <v>0</v>
      </c>
      <c r="AB19" s="434">
        <f>IF($B19=0,"",VLOOKUP(Aux_Lista!$DR$2,Aux_Clima!$A:$O,AB$8,FALSE))</f>
        <v>-7.02</v>
      </c>
      <c r="AC19" s="434">
        <f>IF($B19=0,"",VLOOKUP(Aux_Lista!$DR$2,Aux_Clima!$A:$O,AC$8,FALSE))</f>
        <v>249</v>
      </c>
      <c r="AD19" s="434">
        <f>IF($B19=0,"",ROUND(VLOOKUP(Aux_Lista!$DR$2,Aux_Clima!$A:$O,AD$8,FALSE),8))</f>
        <v>27.24</v>
      </c>
      <c r="AE19" s="434">
        <f>IF($B19=0,"",ROUND(VLOOKUP(Aux_Lista!$DR$2,Aux_Clima!$A:$O,AE$8,FALSE),8))</f>
        <v>24.17</v>
      </c>
      <c r="AF19" s="434">
        <f>IF($B19=0,"",ROUND(VLOOKUP(Aux_Lista!$DR$2,Aux_Clima!$A:$O,AF$8,FALSE),8))</f>
        <v>30.311666670000001</v>
      </c>
      <c r="AG19" s="434">
        <f>IF($B19=0,"",ROUND(VLOOKUP(Aux_Lista!$DR$2,Aux_Clima!$A:$O,AG$8,FALSE),8))</f>
        <v>2.8624999999999998</v>
      </c>
      <c r="AH19" s="434">
        <f>IF($B19=0,"",ROUND(VLOOKUP(Aux_Lista!$DR$2,Aux_Clima!$A:$O,AH$8,FALSE),8))</f>
        <v>1.8233333300000001</v>
      </c>
      <c r="AI19" s="434">
        <f>IF($B19=0,"",ROUND(VLOOKUP(Aux_Lista!$DR$2,Aux_Clima!$A:$O,AI$8,FALSE),8))</f>
        <v>3.8433333300000001</v>
      </c>
      <c r="AJ19" s="434">
        <f>IF($B19=0,"",ROUND(VLOOKUP(Aux_Lista!$DR$2,Aux_Clima!$A:$O,AJ$8,FALSE),3))</f>
        <v>6082.0829999999996</v>
      </c>
      <c r="AK19" s="434">
        <f>IF($B19=0,"",ROUND(VLOOKUP(Aux_Lista!$DR$2,Aux_Clima!$A:$O,AK$8,FALSE),3))</f>
        <v>5588.8329999999996</v>
      </c>
      <c r="AL19" s="434">
        <f>IF($B19=0,"",ROUND(VLOOKUP(Aux_Lista!$DR$2,Aux_Clima!$A:$O,AL$8,FALSE),3))</f>
        <v>6759.9380000000001</v>
      </c>
      <c r="AM19" s="434">
        <f>IF($B19=0,"",ROUND(VLOOKUP(Aux_Lista!$DR$2,Aux_Clima!$A:$O,AM$8,FALSE),8))</f>
        <v>18.44083333</v>
      </c>
      <c r="AN19" s="434">
        <f>IF($B19=0,"",ROUND(VLOOKUP(Aux_Lista!$DR$2,Aux_Clima!$A:$O,AN$8,FALSE),8))</f>
        <v>17.19166667</v>
      </c>
      <c r="AO19" s="434">
        <f>IF($B19=0,"",ROUND(VLOOKUP(Aux_Lista!$DR$2,Aux_Clima!$A:$O,AO$8,FALSE),8))</f>
        <v>19.883333329999999</v>
      </c>
      <c r="AP19" s="430">
        <f>IF(B19=0,"",IF(BF19=0,84,VLOOKUP(Envoltória!N27,Componentes!AV:AY,4,FALSE)))</f>
        <v>0</v>
      </c>
      <c r="AQ19" s="430">
        <f>IF(B19=0,"",IF(BF19=0,90,VLOOKUP(Envoltória!N27,Componentes!AV:AY,3,FALSE)))</f>
        <v>0</v>
      </c>
      <c r="AR19" s="430">
        <f t="shared" si="0"/>
        <v>1</v>
      </c>
      <c r="AS19" s="430">
        <f t="shared" si="0"/>
        <v>0</v>
      </c>
      <c r="AT19" s="430">
        <f t="shared" si="0"/>
        <v>0</v>
      </c>
      <c r="AU19" s="430">
        <f t="shared" si="0"/>
        <v>0</v>
      </c>
      <c r="AV19" s="430">
        <f t="shared" si="0"/>
        <v>0</v>
      </c>
      <c r="AW19" s="416">
        <f>IF($B19=0,"",IFERROR(VLOOKUP(Envoltória!$B27,Aux_Lista!$O:$U,AW$9,FALSE),0))</f>
        <v>0</v>
      </c>
      <c r="AX19" s="416">
        <f>IF($B19=0,"",IFERROR(VLOOKUP(Envoltória!$B27,Aux_Lista!$O:$U,AX$9,FALSE),0))</f>
        <v>1</v>
      </c>
      <c r="AY19" s="416">
        <f>IF($B19=0,"",IFERROR(VLOOKUP(Envoltória!$B27,Aux_Lista!$O:$U,AY$9,FALSE),0))</f>
        <v>1</v>
      </c>
      <c r="AZ19" s="416">
        <f>IF($B19=0,"",IFERROR(VLOOKUP(Envoltória!$B27,Aux_Lista!$O:$U,AZ$9,FALSE),0))</f>
        <v>0</v>
      </c>
      <c r="BA19" s="416">
        <f>IF($B19=0,"",IFERROR(VLOOKUP(Envoltória!$B27,Aux_Lista!$O:$U,BA$9,FALSE),0))</f>
        <v>1</v>
      </c>
      <c r="BB19" s="416">
        <f>IF($B19=0,"",IFERROR(VLOOKUP(Envoltória!$B27,Aux_Lista!$O:$U,BB$9,FALSE),0))</f>
        <v>0</v>
      </c>
      <c r="BC19" s="416">
        <f>IFERROR(VLOOKUP(Envoltória!$H27,Aux_Lista!$W$2:$Y$3,BC$9,FALSE),"")</f>
        <v>1</v>
      </c>
      <c r="BD19" s="416">
        <f>IFERROR(VLOOKUP(Envoltória!$H27,Aux_Lista!$W$2:$Y$3,BD$9,FALSE),"")</f>
        <v>0</v>
      </c>
      <c r="BE19" s="430">
        <f t="shared" si="1"/>
        <v>0</v>
      </c>
      <c r="BF19" s="430">
        <f>IF(B19=0,"",IF(Envoltória!F27="Perimetral",1,0))</f>
        <v>1</v>
      </c>
      <c r="BG19" s="430">
        <f>IFERROR(VLOOKUP(Envoltória!$G27,$BQ$35:$BZ$43,BG$9,FALSE),"")</f>
        <v>0</v>
      </c>
      <c r="BH19" s="430">
        <f>IFERROR(VLOOKUP(Envoltória!$G27,$BQ$35:$BZ$43,BH$9,FALSE),"")</f>
        <v>0</v>
      </c>
      <c r="BI19" s="430">
        <f>IFERROR(VLOOKUP(Envoltória!$G27,$BQ$35:$BZ$43,BI$9,FALSE),"")</f>
        <v>0</v>
      </c>
      <c r="BJ19" s="430">
        <f>IFERROR(VLOOKUP(Envoltória!$G27,$BQ$35:$BZ$43,BJ$9,FALSE),"")</f>
        <v>0</v>
      </c>
      <c r="BK19" s="430">
        <f>IFERROR(VLOOKUP(Envoltória!$G27,$BQ$35:$BZ$43,BK$9,FALSE),"")</f>
        <v>0</v>
      </c>
      <c r="BL19" s="430">
        <f>IFERROR(VLOOKUP(Envoltória!$G27,$BQ$35:$BZ$43,BL$9,FALSE),"")</f>
        <v>0</v>
      </c>
      <c r="BM19" s="430">
        <f>IFERROR(VLOOKUP(Envoltória!$G27,$BQ$35:$BZ$43,BM$9,FALSE),"")</f>
        <v>1</v>
      </c>
      <c r="BN19" s="430">
        <f>IFERROR(VLOOKUP(Envoltória!$G27,$BQ$35:$BZ$43,BN$9,FALSE),"")</f>
        <v>0</v>
      </c>
      <c r="BO19" s="430">
        <f>IFERROR(VLOOKUP(Envoltória!$G27,$BQ$35:$BZ$43,BO$9,FALSE),"")</f>
        <v>0</v>
      </c>
      <c r="BP19" s="2"/>
      <c r="BQ19" s="421" t="s">
        <v>75</v>
      </c>
      <c r="BR19" s="419">
        <v>0</v>
      </c>
    </row>
    <row r="20" spans="1:75" s="13" customFormat="1" x14ac:dyDescent="0.25">
      <c r="A20" s="2">
        <v>10</v>
      </c>
      <c r="B20" s="410" t="str">
        <f>Envoltória!I28</f>
        <v>Escritórios</v>
      </c>
      <c r="C20" s="410" t="str">
        <f>Envoltória!B28</f>
        <v>Térreo (com + pvtos acima)</v>
      </c>
      <c r="D20" s="410" t="str">
        <f>Envoltória!C28</f>
        <v>ZP10</v>
      </c>
      <c r="E20" s="410">
        <f>Envoltória!D28</f>
        <v>16.649999999999999</v>
      </c>
      <c r="F20" s="430">
        <f>IF(B20=0,"",Envoltória!E28)</f>
        <v>3</v>
      </c>
      <c r="G20" s="433">
        <f t="shared" si="2"/>
        <v>8.1999999999999993</v>
      </c>
      <c r="H20" s="430">
        <f>IF(B20=0,"",Envoltória!O28/100)</f>
        <v>0.26</v>
      </c>
      <c r="I20" s="430">
        <f>IF(B20=0,"",IF(BF20=1,VLOOKUP(Envoltória!N28,Componentes!AV:AY,2,FALSE),89))</f>
        <v>32</v>
      </c>
      <c r="J20" s="416">
        <f>IF(B20=0,"",IFERROR(VLOOKUP(Envoltória!M28,Componentes!$P:$R,2,FALSE),""))</f>
        <v>2.06</v>
      </c>
      <c r="K20" s="416">
        <f>IF(B20=0,"",IFERROR(VLOOKUP(Envoltória!M28,Componentes!$P:$R,3,FALSE),""))</f>
        <v>233</v>
      </c>
      <c r="L20" s="431">
        <f>IF(B20=0,"",IFERROR(IF(BB20&lt;&gt;0,VLOOKUP(Envoltória!L28,Componentes!K:N,2,FALSE),0),""))</f>
        <v>0</v>
      </c>
      <c r="M20" s="431">
        <f>IF(B20=0,"",IFERROR(IF(BB20&lt;&gt;0,VLOOKUP(Envoltória!L28,Componentes!K:N,3,FALSE),0),""))</f>
        <v>0</v>
      </c>
      <c r="N20" s="431">
        <f>IF(B20=0,"",IFERROR(IF(BB20&lt;&gt;0,VLOOKUP(Envoltória!L28,Componentes!K:N,4,FALSE),0),""))</f>
        <v>0</v>
      </c>
      <c r="O20" s="430">
        <f>IF(B20=0,"",IF(BF20=1,VLOOKUP(Envoltória!J28,Componentes!B:E,2,FALSE),-6))</f>
        <v>1.7307999999999999</v>
      </c>
      <c r="P20" s="430">
        <f>IF(B20=0,"",IF(BF20=1,VLOOKUP(Envoltória!J28,Componentes!B:E,3,FALSE),-400))</f>
        <v>150</v>
      </c>
      <c r="Q20" s="430">
        <f>IF(B20=0,"",IF(BF20=1,VLOOKUP(Envoltória!J28,Componentes!B:E,4,FALSE),0))</f>
        <v>0.39600000000000002</v>
      </c>
      <c r="R20" s="416">
        <f>IF(B20=0,"",IFERROR(VLOOKUP(Envoltória!K28,Componentes!G:I,2,FALSE),""))</f>
        <v>2.39</v>
      </c>
      <c r="S20" s="416">
        <f>IF(B20=0,"",IFERROR(VLOOKUP(Envoltória!K28,Componentes!G:I,3,FALSE),""))</f>
        <v>150</v>
      </c>
      <c r="T20" s="430">
        <f>IF(B20=0,"",IFERROR(IF(H20&lt;&gt;0,VLOOKUP(Envoltória!N28,Componentes!T:V,3,FALSE),0),""))</f>
        <v>0.82</v>
      </c>
      <c r="U20" s="430">
        <f>IF(B20=0,"",IFERROR(IF(H20&lt;&gt;0,VLOOKUP(Envoltória!N28,Componentes!T:V,2,FALSE),0),""))</f>
        <v>5.7</v>
      </c>
      <c r="V20" s="416">
        <f>IF(B20=0,"",IFERROR(IF(AA20&lt;&gt;0,VLOOKUP(Envoltória!U28,Componentes!X:Z,2,FALSE),0),0))</f>
        <v>0</v>
      </c>
      <c r="W20" s="416">
        <f>IF(B20=0,"",IFERROR(IF(AA20&lt;&gt;0,VLOOKUP(Envoltória!U28,Componentes!X:Z,3,FALSE),0),0))</f>
        <v>0</v>
      </c>
      <c r="X20" s="430">
        <f>IF(B20=0,"",Envoltória!U28)</f>
        <v>0.1</v>
      </c>
      <c r="Y20" s="430">
        <f>IF(B20=0,"",Envoltória!S28)</f>
        <v>15.45</v>
      </c>
      <c r="Z20" s="430">
        <f>IF(B20=0,"",Envoltória!T28)</f>
        <v>15</v>
      </c>
      <c r="AA20" s="416">
        <f>IF(B20=0,"",Envoltória!Q28/100)</f>
        <v>0</v>
      </c>
      <c r="AB20" s="434">
        <f>IF($B20=0,"",VLOOKUP(Aux_Lista!$DR$2,Aux_Clima!$A:$O,AB$8,FALSE))</f>
        <v>-7.02</v>
      </c>
      <c r="AC20" s="434">
        <f>IF($B20=0,"",VLOOKUP(Aux_Lista!$DR$2,Aux_Clima!$A:$O,AC$8,FALSE))</f>
        <v>249</v>
      </c>
      <c r="AD20" s="434">
        <f>IF($B20=0,"",ROUND(VLOOKUP(Aux_Lista!$DR$2,Aux_Clima!$A:$O,AD$8,FALSE),8))</f>
        <v>27.24</v>
      </c>
      <c r="AE20" s="434">
        <f>IF($B20=0,"",ROUND(VLOOKUP(Aux_Lista!$DR$2,Aux_Clima!$A:$O,AE$8,FALSE),8))</f>
        <v>24.17</v>
      </c>
      <c r="AF20" s="434">
        <f>IF($B20=0,"",ROUND(VLOOKUP(Aux_Lista!$DR$2,Aux_Clima!$A:$O,AF$8,FALSE),8))</f>
        <v>30.311666670000001</v>
      </c>
      <c r="AG20" s="434">
        <f>IF($B20=0,"",ROUND(VLOOKUP(Aux_Lista!$DR$2,Aux_Clima!$A:$O,AG$8,FALSE),8))</f>
        <v>2.8624999999999998</v>
      </c>
      <c r="AH20" s="434">
        <f>IF($B20=0,"",ROUND(VLOOKUP(Aux_Lista!$DR$2,Aux_Clima!$A:$O,AH$8,FALSE),8))</f>
        <v>1.8233333300000001</v>
      </c>
      <c r="AI20" s="434">
        <f>IF($B20=0,"",ROUND(VLOOKUP(Aux_Lista!$DR$2,Aux_Clima!$A:$O,AI$8,FALSE),8))</f>
        <v>3.8433333300000001</v>
      </c>
      <c r="AJ20" s="434">
        <f>IF($B20=0,"",ROUND(VLOOKUP(Aux_Lista!$DR$2,Aux_Clima!$A:$O,AJ$8,FALSE),3))</f>
        <v>6082.0829999999996</v>
      </c>
      <c r="AK20" s="434">
        <f>IF($B20=0,"",ROUND(VLOOKUP(Aux_Lista!$DR$2,Aux_Clima!$A:$O,AK$8,FALSE),3))</f>
        <v>5588.8329999999996</v>
      </c>
      <c r="AL20" s="434">
        <f>IF($B20=0,"",ROUND(VLOOKUP(Aux_Lista!$DR$2,Aux_Clima!$A:$O,AL$8,FALSE),3))</f>
        <v>6759.9380000000001</v>
      </c>
      <c r="AM20" s="434">
        <f>IF($B20=0,"",ROUND(VLOOKUP(Aux_Lista!$DR$2,Aux_Clima!$A:$O,AM$8,FALSE),8))</f>
        <v>18.44083333</v>
      </c>
      <c r="AN20" s="434">
        <f>IF($B20=0,"",ROUND(VLOOKUP(Aux_Lista!$DR$2,Aux_Clima!$A:$O,AN$8,FALSE),8))</f>
        <v>17.19166667</v>
      </c>
      <c r="AO20" s="434">
        <f>IF($B20=0,"",ROUND(VLOOKUP(Aux_Lista!$DR$2,Aux_Clima!$A:$O,AO$8,FALSE),8))</f>
        <v>19.883333329999999</v>
      </c>
      <c r="AP20" s="430">
        <f>IF(B20=0,"",IF(BF20=0,84,VLOOKUP(Envoltória!N28,Componentes!AV:AY,4,FALSE)))</f>
        <v>0</v>
      </c>
      <c r="AQ20" s="430">
        <f>IF(B20=0,"",IF(BF20=0,90,VLOOKUP(Envoltória!N28,Componentes!AV:AY,3,FALSE)))</f>
        <v>26</v>
      </c>
      <c r="AR20" s="430">
        <f t="shared" si="0"/>
        <v>1</v>
      </c>
      <c r="AS20" s="430">
        <f t="shared" si="0"/>
        <v>0</v>
      </c>
      <c r="AT20" s="430">
        <f t="shared" si="0"/>
        <v>0</v>
      </c>
      <c r="AU20" s="430">
        <f t="shared" si="0"/>
        <v>0</v>
      </c>
      <c r="AV20" s="430">
        <f t="shared" si="0"/>
        <v>0</v>
      </c>
      <c r="AW20" s="416">
        <f>IF($B20=0,"",IFERROR(VLOOKUP(Envoltória!$B28,Aux_Lista!$O:$U,AW$9,FALSE),0))</f>
        <v>0</v>
      </c>
      <c r="AX20" s="416">
        <f>IF($B20=0,"",IFERROR(VLOOKUP(Envoltória!$B28,Aux_Lista!$O:$U,AX$9,FALSE),0))</f>
        <v>1</v>
      </c>
      <c r="AY20" s="416">
        <f>IF($B20=0,"",IFERROR(VLOOKUP(Envoltória!$B28,Aux_Lista!$O:$U,AY$9,FALSE),0))</f>
        <v>1</v>
      </c>
      <c r="AZ20" s="416">
        <f>IF($B20=0,"",IFERROR(VLOOKUP(Envoltória!$B28,Aux_Lista!$O:$U,AZ$9,FALSE),0))</f>
        <v>0</v>
      </c>
      <c r="BA20" s="416">
        <f>IF($B20=0,"",IFERROR(VLOOKUP(Envoltória!$B28,Aux_Lista!$O:$U,BA$9,FALSE),0))</f>
        <v>1</v>
      </c>
      <c r="BB20" s="416">
        <f>IF($B20=0,"",IFERROR(VLOOKUP(Envoltória!$B28,Aux_Lista!$O:$U,BB$9,FALSE),0))</f>
        <v>0</v>
      </c>
      <c r="BC20" s="416">
        <f>IFERROR(VLOOKUP(Envoltória!$H28,Aux_Lista!$W$2:$Y$3,BC$9,FALSE),"")</f>
        <v>1</v>
      </c>
      <c r="BD20" s="416">
        <f>IFERROR(VLOOKUP(Envoltória!$H28,Aux_Lista!$W$2:$Y$3,BD$9,FALSE),"")</f>
        <v>0</v>
      </c>
      <c r="BE20" s="430">
        <f t="shared" si="1"/>
        <v>0</v>
      </c>
      <c r="BF20" s="430">
        <f>IF(B20=0,"",IF(Envoltória!F28="Perimetral",1,0))</f>
        <v>1</v>
      </c>
      <c r="BG20" s="430">
        <f>IFERROR(VLOOKUP(Envoltória!$G28,$BQ$35:$BZ$43,BG$9,FALSE),"")</f>
        <v>0</v>
      </c>
      <c r="BH20" s="430">
        <f>IFERROR(VLOOKUP(Envoltória!$G28,$BQ$35:$BZ$43,BH$9,FALSE),"")</f>
        <v>0</v>
      </c>
      <c r="BI20" s="430">
        <f>IFERROR(VLOOKUP(Envoltória!$G28,$BQ$35:$BZ$43,BI$9,FALSE),"")</f>
        <v>0</v>
      </c>
      <c r="BJ20" s="430">
        <f>IFERROR(VLOOKUP(Envoltória!$G28,$BQ$35:$BZ$43,BJ$9,FALSE),"")</f>
        <v>0</v>
      </c>
      <c r="BK20" s="430">
        <f>IFERROR(VLOOKUP(Envoltória!$G28,$BQ$35:$BZ$43,BK$9,FALSE),"")</f>
        <v>0</v>
      </c>
      <c r="BL20" s="430">
        <f>IFERROR(VLOOKUP(Envoltória!$G28,$BQ$35:$BZ$43,BL$9,FALSE),"")</f>
        <v>0</v>
      </c>
      <c r="BM20" s="430">
        <f>IFERROR(VLOOKUP(Envoltória!$G28,$BQ$35:$BZ$43,BM$9,FALSE),"")</f>
        <v>1</v>
      </c>
      <c r="BN20" s="430">
        <f>IFERROR(VLOOKUP(Envoltória!$G28,$BQ$35:$BZ$43,BN$9,FALSE),"")</f>
        <v>0</v>
      </c>
      <c r="BO20" s="430">
        <f>IFERROR(VLOOKUP(Envoltória!$G28,$BQ$35:$BZ$43,BO$9,FALSE),"")</f>
        <v>0</v>
      </c>
      <c r="BP20" s="2"/>
      <c r="BQ20" s="31"/>
    </row>
    <row r="21" spans="1:75" s="13" customFormat="1" x14ac:dyDescent="0.25">
      <c r="A21" s="2">
        <v>11</v>
      </c>
      <c r="B21" s="410" t="str">
        <f>Envoltória!I29</f>
        <v>Escritórios</v>
      </c>
      <c r="C21" s="410" t="str">
        <f>Envoltória!B29</f>
        <v>Térreo (único pvto)</v>
      </c>
      <c r="D21" s="410" t="str">
        <f>Envoltória!C29</f>
        <v>ZP11-duplo</v>
      </c>
      <c r="E21" s="410">
        <f>Envoltória!D29</f>
        <v>5.03</v>
      </c>
      <c r="F21" s="430">
        <f>IF(B21=0,"",Envoltória!E29)</f>
        <v>9.2200000000000006</v>
      </c>
      <c r="G21" s="433">
        <f t="shared" si="2"/>
        <v>5.6177777777777775</v>
      </c>
      <c r="H21" s="430">
        <f>IF(B21=0,"",Envoltória!O29/100)</f>
        <v>0.84</v>
      </c>
      <c r="I21" s="430">
        <f>IF(B21=0,"",IF(BF21=1,VLOOKUP(Envoltória!N29,Componentes!AV:AY,2,FALSE),89))</f>
        <v>24</v>
      </c>
      <c r="J21" s="416">
        <f>IF(B21=0,"",IFERROR(VLOOKUP(Envoltória!M29,Componentes!$P:$R,2,FALSE),""))</f>
        <v>2.06</v>
      </c>
      <c r="K21" s="416">
        <f>IF(B21=0,"",IFERROR(VLOOKUP(Envoltória!M29,Componentes!$P:$R,3,FALSE),""))</f>
        <v>233</v>
      </c>
      <c r="L21" s="431">
        <f>IF(B21=0,"",IFERROR(IF(BB21&lt;&gt;0,VLOOKUP(Envoltória!L29,Componentes!K:N,2,FALSE),0),""))</f>
        <v>0.55139700000000003</v>
      </c>
      <c r="M21" s="431">
        <f>IF(B21=0,"",IFERROR(IF(BB21&lt;&gt;0,VLOOKUP(Envoltória!L29,Componentes!K:N,3,FALSE),0),""))</f>
        <v>145</v>
      </c>
      <c r="N21" s="431">
        <f>IF(B21=0,"",IFERROR(IF(BB21&lt;&gt;0,VLOOKUP(Envoltória!L29,Componentes!K:N,4,FALSE),0),""))</f>
        <v>0.25</v>
      </c>
      <c r="O21" s="430">
        <f>IF(B21=0,"",IF(BF21=1,VLOOKUP(Envoltória!J29,Componentes!B:E,2,FALSE),-6))</f>
        <v>1.7307999999999999</v>
      </c>
      <c r="P21" s="430">
        <f>IF(B21=0,"",IF(BF21=1,VLOOKUP(Envoltória!J29,Componentes!B:E,3,FALSE),-400))</f>
        <v>150</v>
      </c>
      <c r="Q21" s="430">
        <f>IF(B21=0,"",IF(BF21=1,VLOOKUP(Envoltória!J29,Componentes!B:E,4,FALSE),0))</f>
        <v>0.2</v>
      </c>
      <c r="R21" s="416">
        <f>IF(B21=0,"",IFERROR(VLOOKUP(Envoltória!K29,Componentes!G:I,2,FALSE),""))</f>
        <v>2.39</v>
      </c>
      <c r="S21" s="416">
        <f>IF(B21=0,"",IFERROR(VLOOKUP(Envoltória!K29,Componentes!G:I,3,FALSE),""))</f>
        <v>150</v>
      </c>
      <c r="T21" s="430">
        <f>IF(B21=0,"",IFERROR(IF(H21&lt;&gt;0,VLOOKUP(Envoltória!N29,Componentes!T:V,3,FALSE),0),""))</f>
        <v>0.82</v>
      </c>
      <c r="U21" s="430">
        <f>IF(B21=0,"",IFERROR(IF(H21&lt;&gt;0,VLOOKUP(Envoltória!N29,Componentes!T:V,2,FALSE),0),""))</f>
        <v>5.7</v>
      </c>
      <c r="V21" s="416">
        <f>IF(B21=0,"",IFERROR(IF(AA21&lt;&gt;0,VLOOKUP(Envoltória!U29,Componentes!X:Z,2,FALSE),0),0))</f>
        <v>0</v>
      </c>
      <c r="W21" s="416">
        <f>IF(B21=0,"",IFERROR(IF(AA21&lt;&gt;0,VLOOKUP(Envoltória!U29,Componentes!X:Z,3,FALSE),0),0))</f>
        <v>0</v>
      </c>
      <c r="X21" s="430">
        <f>IF(B21=0,"",Envoltória!U29)</f>
        <v>0.1</v>
      </c>
      <c r="Y21" s="430">
        <f>IF(B21=0,"",Envoltória!S29)</f>
        <v>15.45</v>
      </c>
      <c r="Z21" s="430">
        <f>IF(B21=0,"",Envoltória!T29)</f>
        <v>15</v>
      </c>
      <c r="AA21" s="416">
        <f>IF(B21=0,"",Envoltória!Q29/100)</f>
        <v>0</v>
      </c>
      <c r="AB21" s="434">
        <f>IF($B21=0,"",VLOOKUP(Aux_Lista!$DR$2,Aux_Clima!$A:$O,AB$8,FALSE))</f>
        <v>-7.02</v>
      </c>
      <c r="AC21" s="434">
        <f>IF($B21=0,"",VLOOKUP(Aux_Lista!$DR$2,Aux_Clima!$A:$O,AC$8,FALSE))</f>
        <v>249</v>
      </c>
      <c r="AD21" s="434">
        <f>IF($B21=0,"",ROUND(VLOOKUP(Aux_Lista!$DR$2,Aux_Clima!$A:$O,AD$8,FALSE),8))</f>
        <v>27.24</v>
      </c>
      <c r="AE21" s="434">
        <f>IF($B21=0,"",ROUND(VLOOKUP(Aux_Lista!$DR$2,Aux_Clima!$A:$O,AE$8,FALSE),8))</f>
        <v>24.17</v>
      </c>
      <c r="AF21" s="434">
        <f>IF($B21=0,"",ROUND(VLOOKUP(Aux_Lista!$DR$2,Aux_Clima!$A:$O,AF$8,FALSE),8))</f>
        <v>30.311666670000001</v>
      </c>
      <c r="AG21" s="434">
        <f>IF($B21=0,"",ROUND(VLOOKUP(Aux_Lista!$DR$2,Aux_Clima!$A:$O,AG$8,FALSE),8))</f>
        <v>2.8624999999999998</v>
      </c>
      <c r="AH21" s="434">
        <f>IF($B21=0,"",ROUND(VLOOKUP(Aux_Lista!$DR$2,Aux_Clima!$A:$O,AH$8,FALSE),8))</f>
        <v>1.8233333300000001</v>
      </c>
      <c r="AI21" s="434">
        <f>IF($B21=0,"",ROUND(VLOOKUP(Aux_Lista!$DR$2,Aux_Clima!$A:$O,AI$8,FALSE),8))</f>
        <v>3.8433333300000001</v>
      </c>
      <c r="AJ21" s="434">
        <f>IF($B21=0,"",ROUND(VLOOKUP(Aux_Lista!$DR$2,Aux_Clima!$A:$O,AJ$8,FALSE),3))</f>
        <v>6082.0829999999996</v>
      </c>
      <c r="AK21" s="434">
        <f>IF($B21=0,"",ROUND(VLOOKUP(Aux_Lista!$DR$2,Aux_Clima!$A:$O,AK$8,FALSE),3))</f>
        <v>5588.8329999999996</v>
      </c>
      <c r="AL21" s="434">
        <f>IF($B21=0,"",ROUND(VLOOKUP(Aux_Lista!$DR$2,Aux_Clima!$A:$O,AL$8,FALSE),3))</f>
        <v>6759.9380000000001</v>
      </c>
      <c r="AM21" s="434">
        <f>IF($B21=0,"",ROUND(VLOOKUP(Aux_Lista!$DR$2,Aux_Clima!$A:$O,AM$8,FALSE),8))</f>
        <v>18.44083333</v>
      </c>
      <c r="AN21" s="434">
        <f>IF($B21=0,"",ROUND(VLOOKUP(Aux_Lista!$DR$2,Aux_Clima!$A:$O,AN$8,FALSE),8))</f>
        <v>17.19166667</v>
      </c>
      <c r="AO21" s="434">
        <f>IF($B21=0,"",ROUND(VLOOKUP(Aux_Lista!$DR$2,Aux_Clima!$A:$O,AO$8,FALSE),8))</f>
        <v>19.883333329999999</v>
      </c>
      <c r="AP21" s="430">
        <f>IF(B21=0,"",IF(BF21=0,84,VLOOKUP(Envoltória!N29,Componentes!AV:AY,4,FALSE)))</f>
        <v>0</v>
      </c>
      <c r="AQ21" s="430">
        <f>IF(B21=0,"",IF(BF21=0,90,VLOOKUP(Envoltória!N29,Componentes!AV:AY,3,FALSE)))</f>
        <v>25</v>
      </c>
      <c r="AR21" s="430">
        <f t="shared" si="0"/>
        <v>1</v>
      </c>
      <c r="AS21" s="430">
        <f t="shared" si="0"/>
        <v>0</v>
      </c>
      <c r="AT21" s="430">
        <f t="shared" si="0"/>
        <v>0</v>
      </c>
      <c r="AU21" s="430">
        <f t="shared" si="0"/>
        <v>0</v>
      </c>
      <c r="AV21" s="430">
        <f t="shared" si="0"/>
        <v>0</v>
      </c>
      <c r="AW21" s="416">
        <f>IF($B21=0,"",IFERROR(VLOOKUP(Envoltória!$B29,Aux_Lista!$O:$U,AW$9,FALSE),0))</f>
        <v>0</v>
      </c>
      <c r="AX21" s="416">
        <f>IF($B21=0,"",IFERROR(VLOOKUP(Envoltória!$B29,Aux_Lista!$O:$U,AX$9,FALSE),0))</f>
        <v>1</v>
      </c>
      <c r="AY21" s="416">
        <f>IF($B21=0,"",IFERROR(VLOOKUP(Envoltória!$B29,Aux_Lista!$O:$U,AY$9,FALSE),0))</f>
        <v>1</v>
      </c>
      <c r="AZ21" s="416">
        <f>IF($B21=0,"",IFERROR(VLOOKUP(Envoltória!$B29,Aux_Lista!$O:$U,AZ$9,FALSE),0))</f>
        <v>0</v>
      </c>
      <c r="BA21" s="416">
        <f>IF($B21=0,"",IFERROR(VLOOKUP(Envoltória!$B29,Aux_Lista!$O:$U,BA$9,FALSE),0))</f>
        <v>0</v>
      </c>
      <c r="BB21" s="416">
        <f>IF($B21=0,"",IFERROR(VLOOKUP(Envoltória!$B29,Aux_Lista!$O:$U,BB$9,FALSE),0))</f>
        <v>1</v>
      </c>
      <c r="BC21" s="416">
        <f>IFERROR(VLOOKUP(Envoltória!$H29,Aux_Lista!$W$2:$Y$3,BC$9,FALSE),"")</f>
        <v>1</v>
      </c>
      <c r="BD21" s="416">
        <f>IFERROR(VLOOKUP(Envoltória!$H29,Aux_Lista!$W$2:$Y$3,BD$9,FALSE),"")</f>
        <v>0</v>
      </c>
      <c r="BE21" s="430">
        <f t="shared" si="1"/>
        <v>0</v>
      </c>
      <c r="BF21" s="430">
        <f>IF(B21=0,"",IF(Envoltória!F29="Perimetral",1,0))</f>
        <v>1</v>
      </c>
      <c r="BG21" s="430">
        <f>IFERROR(VLOOKUP(Envoltória!$G29,$BQ$35:$BZ$43,BG$9,FALSE),"")</f>
        <v>0</v>
      </c>
      <c r="BH21" s="430">
        <f>IFERROR(VLOOKUP(Envoltória!$G29,$BQ$35:$BZ$43,BH$9,FALSE),"")</f>
        <v>0</v>
      </c>
      <c r="BI21" s="430">
        <f>IFERROR(VLOOKUP(Envoltória!$G29,$BQ$35:$BZ$43,BI$9,FALSE),"")</f>
        <v>0</v>
      </c>
      <c r="BJ21" s="430">
        <f>IFERROR(VLOOKUP(Envoltória!$G29,$BQ$35:$BZ$43,BJ$9,FALSE),"")</f>
        <v>0</v>
      </c>
      <c r="BK21" s="430">
        <f>IFERROR(VLOOKUP(Envoltória!$G29,$BQ$35:$BZ$43,BK$9,FALSE),"")</f>
        <v>0</v>
      </c>
      <c r="BL21" s="430">
        <f>IFERROR(VLOOKUP(Envoltória!$G29,$BQ$35:$BZ$43,BL$9,FALSE),"")</f>
        <v>0</v>
      </c>
      <c r="BM21" s="430">
        <f>IFERROR(VLOOKUP(Envoltória!$G29,$BQ$35:$BZ$43,BM$9,FALSE),"")</f>
        <v>1</v>
      </c>
      <c r="BN21" s="430">
        <f>IFERROR(VLOOKUP(Envoltória!$G29,$BQ$35:$BZ$43,BN$9,FALSE),"")</f>
        <v>0</v>
      </c>
      <c r="BO21" s="430">
        <f>IFERROR(VLOOKUP(Envoltória!$G29,$BQ$35:$BZ$43,BO$9,FALSE),"")</f>
        <v>0</v>
      </c>
      <c r="BP21" s="2"/>
      <c r="BQ21" s="31"/>
      <c r="BS21" s="435" t="s">
        <v>9037</v>
      </c>
      <c r="BT21" s="435" t="s">
        <v>9038</v>
      </c>
      <c r="BU21" s="435" t="s">
        <v>9039</v>
      </c>
      <c r="BV21" s="435" t="s">
        <v>9040</v>
      </c>
      <c r="BW21" s="435" t="s">
        <v>9041</v>
      </c>
    </row>
    <row r="22" spans="1:75" s="13" customFormat="1" x14ac:dyDescent="0.25">
      <c r="A22" s="2">
        <v>12</v>
      </c>
      <c r="B22" s="410" t="str">
        <f>Envoltória!I30</f>
        <v>Escritórios</v>
      </c>
      <c r="C22" s="410" t="str">
        <f>Envoltória!B30</f>
        <v>Térreo (único pvto)</v>
      </c>
      <c r="D22" s="410" t="str">
        <f>Envoltória!C30</f>
        <v>ZP12-duplo</v>
      </c>
      <c r="E22" s="410">
        <f>Envoltória!D30</f>
        <v>7.74</v>
      </c>
      <c r="F22" s="430">
        <f>IF(B22=0,"",Envoltória!E30)</f>
        <v>9.2200000000000006</v>
      </c>
      <c r="G22" s="433">
        <f t="shared" si="2"/>
        <v>6.22</v>
      </c>
      <c r="H22" s="430">
        <f>IF(B22=0,"",Envoltória!O30/100)</f>
        <v>0.67</v>
      </c>
      <c r="I22" s="430">
        <f>IF(B22=0,"",IF(BF22=1,VLOOKUP(Envoltória!N30,Componentes!AV:AY,2,FALSE),89))</f>
        <v>44</v>
      </c>
      <c r="J22" s="416">
        <f>IF(B22=0,"",IFERROR(VLOOKUP(Envoltória!M30,Componentes!$P:$R,2,FALSE),""))</f>
        <v>2.06</v>
      </c>
      <c r="K22" s="416">
        <f>IF(B22=0,"",IFERROR(VLOOKUP(Envoltória!M30,Componentes!$P:$R,3,FALSE),""))</f>
        <v>233</v>
      </c>
      <c r="L22" s="431">
        <f>IF(B22=0,"",IFERROR(IF(BB22&lt;&gt;0,VLOOKUP(Envoltória!L30,Componentes!K:N,2,FALSE),0),""))</f>
        <v>0.55139700000000003</v>
      </c>
      <c r="M22" s="431">
        <f>IF(B22=0,"",IFERROR(IF(BB22&lt;&gt;0,VLOOKUP(Envoltória!L30,Componentes!K:N,3,FALSE),0),""))</f>
        <v>145</v>
      </c>
      <c r="N22" s="431">
        <f>IF(B22=0,"",IFERROR(IF(BB22&lt;&gt;0,VLOOKUP(Envoltória!L30,Componentes!K:N,4,FALSE),0),""))</f>
        <v>0.25</v>
      </c>
      <c r="O22" s="430">
        <f>IF(B22=0,"",IF(BF22=1,VLOOKUP(Envoltória!J30,Componentes!B:E,2,FALSE),-6))</f>
        <v>1.7307999999999999</v>
      </c>
      <c r="P22" s="430">
        <f>IF(B22=0,"",IF(BF22=1,VLOOKUP(Envoltória!J30,Componentes!B:E,3,FALSE),-400))</f>
        <v>150</v>
      </c>
      <c r="Q22" s="430">
        <f>IF(B22=0,"",IF(BF22=1,VLOOKUP(Envoltória!J30,Componentes!B:E,4,FALSE),0))</f>
        <v>0.2</v>
      </c>
      <c r="R22" s="416">
        <f>IF(B22=0,"",IFERROR(VLOOKUP(Envoltória!K30,Componentes!G:I,2,FALSE),""))</f>
        <v>2.39</v>
      </c>
      <c r="S22" s="416">
        <f>IF(B22=0,"",IFERROR(VLOOKUP(Envoltória!K30,Componentes!G:I,3,FALSE),""))</f>
        <v>150</v>
      </c>
      <c r="T22" s="430">
        <f>IF(B22=0,"",IFERROR(IF(H22&lt;&gt;0,VLOOKUP(Envoltória!N30,Componentes!T:V,3,FALSE),0),""))</f>
        <v>0.82</v>
      </c>
      <c r="U22" s="430">
        <f>IF(B22=0,"",IFERROR(IF(H22&lt;&gt;0,VLOOKUP(Envoltória!N30,Componentes!T:V,2,FALSE),0),""))</f>
        <v>5.7</v>
      </c>
      <c r="V22" s="416">
        <f>IF(B22=0,"",IFERROR(IF(AA22&lt;&gt;0,VLOOKUP(Envoltória!U30,Componentes!X:Z,2,FALSE),0),0))</f>
        <v>0</v>
      </c>
      <c r="W22" s="416">
        <f>IF(B22=0,"",IFERROR(IF(AA22&lt;&gt;0,VLOOKUP(Envoltória!U30,Componentes!X:Z,3,FALSE),0),0))</f>
        <v>0</v>
      </c>
      <c r="X22" s="430">
        <f>IF(B22=0,"",Envoltória!U30)</f>
        <v>0.1</v>
      </c>
      <c r="Y22" s="430">
        <f>IF(B22=0,"",Envoltória!S30)</f>
        <v>15.45</v>
      </c>
      <c r="Z22" s="430">
        <f>IF(B22=0,"",Envoltória!T30)</f>
        <v>15</v>
      </c>
      <c r="AA22" s="416">
        <f>IF(B22=0,"",Envoltória!Q30/100)</f>
        <v>0</v>
      </c>
      <c r="AB22" s="434">
        <f>IF($B22=0,"",VLOOKUP(Aux_Lista!$DR$2,Aux_Clima!$A:$O,AB$8,FALSE))</f>
        <v>-7.02</v>
      </c>
      <c r="AC22" s="434">
        <f>IF($B22=0,"",VLOOKUP(Aux_Lista!$DR$2,Aux_Clima!$A:$O,AC$8,FALSE))</f>
        <v>249</v>
      </c>
      <c r="AD22" s="434">
        <f>IF($B22=0,"",ROUND(VLOOKUP(Aux_Lista!$DR$2,Aux_Clima!$A:$O,AD$8,FALSE),8))</f>
        <v>27.24</v>
      </c>
      <c r="AE22" s="434">
        <f>IF($B22=0,"",ROUND(VLOOKUP(Aux_Lista!$DR$2,Aux_Clima!$A:$O,AE$8,FALSE),8))</f>
        <v>24.17</v>
      </c>
      <c r="AF22" s="434">
        <f>IF($B22=0,"",ROUND(VLOOKUP(Aux_Lista!$DR$2,Aux_Clima!$A:$O,AF$8,FALSE),8))</f>
        <v>30.311666670000001</v>
      </c>
      <c r="AG22" s="434">
        <f>IF($B22=0,"",ROUND(VLOOKUP(Aux_Lista!$DR$2,Aux_Clima!$A:$O,AG$8,FALSE),8))</f>
        <v>2.8624999999999998</v>
      </c>
      <c r="AH22" s="434">
        <f>IF($B22=0,"",ROUND(VLOOKUP(Aux_Lista!$DR$2,Aux_Clima!$A:$O,AH$8,FALSE),8))</f>
        <v>1.8233333300000001</v>
      </c>
      <c r="AI22" s="434">
        <f>IF($B22=0,"",ROUND(VLOOKUP(Aux_Lista!$DR$2,Aux_Clima!$A:$O,AI$8,FALSE),8))</f>
        <v>3.8433333300000001</v>
      </c>
      <c r="AJ22" s="434">
        <f>IF($B22=0,"",ROUND(VLOOKUP(Aux_Lista!$DR$2,Aux_Clima!$A:$O,AJ$8,FALSE),3))</f>
        <v>6082.0829999999996</v>
      </c>
      <c r="AK22" s="434">
        <f>IF($B22=0,"",ROUND(VLOOKUP(Aux_Lista!$DR$2,Aux_Clima!$A:$O,AK$8,FALSE),3))</f>
        <v>5588.8329999999996</v>
      </c>
      <c r="AL22" s="434">
        <f>IF($B22=0,"",ROUND(VLOOKUP(Aux_Lista!$DR$2,Aux_Clima!$A:$O,AL$8,FALSE),3))</f>
        <v>6759.9380000000001</v>
      </c>
      <c r="AM22" s="434">
        <f>IF($B22=0,"",ROUND(VLOOKUP(Aux_Lista!$DR$2,Aux_Clima!$A:$O,AM$8,FALSE),8))</f>
        <v>18.44083333</v>
      </c>
      <c r="AN22" s="434">
        <f>IF($B22=0,"",ROUND(VLOOKUP(Aux_Lista!$DR$2,Aux_Clima!$A:$O,AN$8,FALSE),8))</f>
        <v>17.19166667</v>
      </c>
      <c r="AO22" s="434">
        <f>IF($B22=0,"",ROUND(VLOOKUP(Aux_Lista!$DR$2,Aux_Clima!$A:$O,AO$8,FALSE),8))</f>
        <v>19.883333329999999</v>
      </c>
      <c r="AP22" s="430">
        <f>IF(B22=0,"",IF(BF22=0,84,VLOOKUP(Envoltória!N30,Componentes!AV:AY,4,FALSE)))</f>
        <v>0</v>
      </c>
      <c r="AQ22" s="430">
        <f>IF(B22=0,"",IF(BF22=0,90,VLOOKUP(Envoltória!N30,Componentes!AV:AY,3,FALSE)))</f>
        <v>33</v>
      </c>
      <c r="AR22" s="430">
        <f t="shared" si="0"/>
        <v>1</v>
      </c>
      <c r="AS22" s="430">
        <f t="shared" si="0"/>
        <v>0</v>
      </c>
      <c r="AT22" s="430">
        <f t="shared" si="0"/>
        <v>0</v>
      </c>
      <c r="AU22" s="430">
        <f t="shared" si="0"/>
        <v>0</v>
      </c>
      <c r="AV22" s="430">
        <f t="shared" si="0"/>
        <v>0</v>
      </c>
      <c r="AW22" s="416">
        <f>IF($B22=0,"",IFERROR(VLOOKUP(Envoltória!$B30,Aux_Lista!$O:$U,AW$9,FALSE),0))</f>
        <v>0</v>
      </c>
      <c r="AX22" s="416">
        <f>IF($B22=0,"",IFERROR(VLOOKUP(Envoltória!$B30,Aux_Lista!$O:$U,AX$9,FALSE),0))</f>
        <v>1</v>
      </c>
      <c r="AY22" s="416">
        <f>IF($B22=0,"",IFERROR(VLOOKUP(Envoltória!$B30,Aux_Lista!$O:$U,AY$9,FALSE),0))</f>
        <v>1</v>
      </c>
      <c r="AZ22" s="416">
        <f>IF($B22=0,"",IFERROR(VLOOKUP(Envoltória!$B30,Aux_Lista!$O:$U,AZ$9,FALSE),0))</f>
        <v>0</v>
      </c>
      <c r="BA22" s="416">
        <f>IF($B22=0,"",IFERROR(VLOOKUP(Envoltória!$B30,Aux_Lista!$O:$U,BA$9,FALSE),0))</f>
        <v>0</v>
      </c>
      <c r="BB22" s="416">
        <f>IF($B22=0,"",IFERROR(VLOOKUP(Envoltória!$B30,Aux_Lista!$O:$U,BB$9,FALSE),0))</f>
        <v>1</v>
      </c>
      <c r="BC22" s="416">
        <f>IFERROR(VLOOKUP(Envoltória!$H30,Aux_Lista!$W$2:$Y$3,BC$9,FALSE),"")</f>
        <v>1</v>
      </c>
      <c r="BD22" s="416">
        <f>IFERROR(VLOOKUP(Envoltória!$H30,Aux_Lista!$W$2:$Y$3,BD$9,FALSE),"")</f>
        <v>0</v>
      </c>
      <c r="BE22" s="430">
        <f t="shared" si="1"/>
        <v>0</v>
      </c>
      <c r="BF22" s="430">
        <f>IF(B22=0,"",IF(Envoltória!F30="Perimetral",1,0))</f>
        <v>1</v>
      </c>
      <c r="BG22" s="430">
        <f>IFERROR(VLOOKUP(Envoltória!$G30,$BQ$35:$BZ$43,BG$9,FALSE),"")</f>
        <v>0</v>
      </c>
      <c r="BH22" s="430">
        <f>IFERROR(VLOOKUP(Envoltória!$G30,$BQ$35:$BZ$43,BH$9,FALSE),"")</f>
        <v>0</v>
      </c>
      <c r="BI22" s="430">
        <f>IFERROR(VLOOKUP(Envoltória!$G30,$BQ$35:$BZ$43,BI$9,FALSE),"")</f>
        <v>0</v>
      </c>
      <c r="BJ22" s="430">
        <f>IFERROR(VLOOKUP(Envoltória!$G30,$BQ$35:$BZ$43,BJ$9,FALSE),"")</f>
        <v>0</v>
      </c>
      <c r="BK22" s="430">
        <f>IFERROR(VLOOKUP(Envoltória!$G30,$BQ$35:$BZ$43,BK$9,FALSE),"")</f>
        <v>0</v>
      </c>
      <c r="BL22" s="430">
        <f>IFERROR(VLOOKUP(Envoltória!$G30,$BQ$35:$BZ$43,BL$9,FALSE),"")</f>
        <v>0</v>
      </c>
      <c r="BM22" s="430">
        <f>IFERROR(VLOOKUP(Envoltória!$G30,$BQ$35:$BZ$43,BM$9,FALSE),"")</f>
        <v>0</v>
      </c>
      <c r="BN22" s="430">
        <f>IFERROR(VLOOKUP(Envoltória!$G30,$BQ$35:$BZ$43,BN$9,FALSE),"")</f>
        <v>0</v>
      </c>
      <c r="BO22" s="430">
        <f>IFERROR(VLOOKUP(Envoltória!$G30,$BQ$35:$BZ$43,BO$9,FALSE),"")</f>
        <v>1</v>
      </c>
      <c r="BP22" s="2"/>
      <c r="BQ22" s="421" t="s">
        <v>35</v>
      </c>
      <c r="BR22" s="419">
        <v>10</v>
      </c>
      <c r="BS22" s="419">
        <v>1</v>
      </c>
      <c r="BT22" s="419">
        <v>0</v>
      </c>
      <c r="BU22" s="419">
        <v>0</v>
      </c>
      <c r="BV22" s="419">
        <v>0</v>
      </c>
      <c r="BW22" s="419">
        <v>0</v>
      </c>
    </row>
    <row r="23" spans="1:75" s="13" customFormat="1" x14ac:dyDescent="0.25">
      <c r="A23" s="2">
        <v>13</v>
      </c>
      <c r="B23" s="410" t="str">
        <f>Envoltória!I31</f>
        <v>Escritórios</v>
      </c>
      <c r="C23" s="410" t="str">
        <f>Envoltória!B31</f>
        <v>Térreo (único pvto)</v>
      </c>
      <c r="D23" s="410" t="str">
        <f>Envoltória!C31</f>
        <v>ZP13-duplo</v>
      </c>
      <c r="E23" s="410">
        <f>Envoltória!D31</f>
        <v>15.09</v>
      </c>
      <c r="F23" s="430">
        <f>IF(B23=0,"",Envoltória!E31)</f>
        <v>9.2200000000000006</v>
      </c>
      <c r="G23" s="433">
        <f t="shared" si="2"/>
        <v>7.8533333333333335</v>
      </c>
      <c r="H23" s="430">
        <f>IF(B23=0,"",Envoltória!O31/100)</f>
        <v>0.55000000000000004</v>
      </c>
      <c r="I23" s="430">
        <f>IF(B23=0,"",IF(BF23=1,VLOOKUP(Envoltória!N31,Componentes!AV:AY,2,FALSE),89))</f>
        <v>33.5</v>
      </c>
      <c r="J23" s="416">
        <f>IF(B23=0,"",IFERROR(VLOOKUP(Envoltória!M31,Componentes!$P:$R,2,FALSE),""))</f>
        <v>2.06</v>
      </c>
      <c r="K23" s="416">
        <f>IF(B23=0,"",IFERROR(VLOOKUP(Envoltória!M31,Componentes!$P:$R,3,FALSE),""))</f>
        <v>233</v>
      </c>
      <c r="L23" s="431">
        <f>IF(B23=0,"",IFERROR(IF(BB23&lt;&gt;0,VLOOKUP(Envoltória!L31,Componentes!K:N,2,FALSE),0),""))</f>
        <v>0.55139700000000003</v>
      </c>
      <c r="M23" s="431">
        <f>IF(B23=0,"",IFERROR(IF(BB23&lt;&gt;0,VLOOKUP(Envoltória!L31,Componentes!K:N,3,FALSE),0),""))</f>
        <v>145</v>
      </c>
      <c r="N23" s="431">
        <f>IF(B23=0,"",IFERROR(IF(BB23&lt;&gt;0,VLOOKUP(Envoltória!L31,Componentes!K:N,4,FALSE),0),""))</f>
        <v>0.25</v>
      </c>
      <c r="O23" s="430">
        <f>IF(B23=0,"",IF(BF23=1,VLOOKUP(Envoltória!J31,Componentes!B:E,2,FALSE),-6))</f>
        <v>2.4700000000000002</v>
      </c>
      <c r="P23" s="430">
        <f>IF(B23=0,"",IF(BF23=1,VLOOKUP(Envoltória!J31,Componentes!B:E,3,FALSE),-400))</f>
        <v>95.9</v>
      </c>
      <c r="Q23" s="430">
        <f>IF(B23=0,"",IF(BF23=1,VLOOKUP(Envoltória!J31,Componentes!B:E,4,FALSE),0))</f>
        <v>0.8</v>
      </c>
      <c r="R23" s="416">
        <f>IF(B23=0,"",IFERROR(VLOOKUP(Envoltória!K31,Componentes!G:I,2,FALSE),""))</f>
        <v>2.39</v>
      </c>
      <c r="S23" s="416">
        <f>IF(B23=0,"",IFERROR(VLOOKUP(Envoltória!K31,Componentes!G:I,3,FALSE),""))</f>
        <v>150</v>
      </c>
      <c r="T23" s="430">
        <f>IF(B23=0,"",IFERROR(IF(H23&lt;&gt;0,VLOOKUP(Envoltória!N31,Componentes!T:V,3,FALSE),0),""))</f>
        <v>0.82</v>
      </c>
      <c r="U23" s="430">
        <f>IF(B23=0,"",IFERROR(IF(H23&lt;&gt;0,VLOOKUP(Envoltória!N31,Componentes!T:V,2,FALSE),0),""))</f>
        <v>5.7</v>
      </c>
      <c r="V23" s="416">
        <f>IF(B23=0,"",IFERROR(IF(AA23&lt;&gt;0,VLOOKUP(Envoltória!U31,Componentes!X:Z,2,FALSE),0),0))</f>
        <v>0</v>
      </c>
      <c r="W23" s="416">
        <f>IF(B23=0,"",IFERROR(IF(AA23&lt;&gt;0,VLOOKUP(Envoltória!U31,Componentes!X:Z,3,FALSE),0),0))</f>
        <v>0</v>
      </c>
      <c r="X23" s="430">
        <f>IF(B23=0,"",Envoltória!U31)</f>
        <v>0.1</v>
      </c>
      <c r="Y23" s="430">
        <f>IF(B23=0,"",Envoltória!S31)</f>
        <v>15.45</v>
      </c>
      <c r="Z23" s="430">
        <f>IF(B23=0,"",Envoltória!T31)</f>
        <v>15</v>
      </c>
      <c r="AA23" s="416">
        <f>IF(B23=0,"",Envoltória!Q31/100)</f>
        <v>0</v>
      </c>
      <c r="AB23" s="434">
        <f>IF($B23=0,"",VLOOKUP(Aux_Lista!$DR$2,Aux_Clima!$A:$O,AB$8,FALSE))</f>
        <v>-7.02</v>
      </c>
      <c r="AC23" s="434">
        <f>IF($B23=0,"",VLOOKUP(Aux_Lista!$DR$2,Aux_Clima!$A:$O,AC$8,FALSE))</f>
        <v>249</v>
      </c>
      <c r="AD23" s="434">
        <f>IF($B23=0,"",ROUND(VLOOKUP(Aux_Lista!$DR$2,Aux_Clima!$A:$O,AD$8,FALSE),8))</f>
        <v>27.24</v>
      </c>
      <c r="AE23" s="434">
        <f>IF($B23=0,"",ROUND(VLOOKUP(Aux_Lista!$DR$2,Aux_Clima!$A:$O,AE$8,FALSE),8))</f>
        <v>24.17</v>
      </c>
      <c r="AF23" s="434">
        <f>IF($B23=0,"",ROUND(VLOOKUP(Aux_Lista!$DR$2,Aux_Clima!$A:$O,AF$8,FALSE),8))</f>
        <v>30.311666670000001</v>
      </c>
      <c r="AG23" s="434">
        <f>IF($B23=0,"",ROUND(VLOOKUP(Aux_Lista!$DR$2,Aux_Clima!$A:$O,AG$8,FALSE),8))</f>
        <v>2.8624999999999998</v>
      </c>
      <c r="AH23" s="434">
        <f>IF($B23=0,"",ROUND(VLOOKUP(Aux_Lista!$DR$2,Aux_Clima!$A:$O,AH$8,FALSE),8))</f>
        <v>1.8233333300000001</v>
      </c>
      <c r="AI23" s="434">
        <f>IF($B23=0,"",ROUND(VLOOKUP(Aux_Lista!$DR$2,Aux_Clima!$A:$O,AI$8,FALSE),8))</f>
        <v>3.8433333300000001</v>
      </c>
      <c r="AJ23" s="434">
        <f>IF($B23=0,"",ROUND(VLOOKUP(Aux_Lista!$DR$2,Aux_Clima!$A:$O,AJ$8,FALSE),3))</f>
        <v>6082.0829999999996</v>
      </c>
      <c r="AK23" s="434">
        <f>IF($B23=0,"",ROUND(VLOOKUP(Aux_Lista!$DR$2,Aux_Clima!$A:$O,AK$8,FALSE),3))</f>
        <v>5588.8329999999996</v>
      </c>
      <c r="AL23" s="434">
        <f>IF($B23=0,"",ROUND(VLOOKUP(Aux_Lista!$DR$2,Aux_Clima!$A:$O,AL$8,FALSE),3))</f>
        <v>6759.9380000000001</v>
      </c>
      <c r="AM23" s="434">
        <f>IF($B23=0,"",ROUND(VLOOKUP(Aux_Lista!$DR$2,Aux_Clima!$A:$O,AM$8,FALSE),8))</f>
        <v>18.44083333</v>
      </c>
      <c r="AN23" s="434">
        <f>IF($B23=0,"",ROUND(VLOOKUP(Aux_Lista!$DR$2,Aux_Clima!$A:$O,AN$8,FALSE),8))</f>
        <v>17.19166667</v>
      </c>
      <c r="AO23" s="434">
        <f>IF($B23=0,"",ROUND(VLOOKUP(Aux_Lista!$DR$2,Aux_Clima!$A:$O,AO$8,FALSE),8))</f>
        <v>19.883333329999999</v>
      </c>
      <c r="AP23" s="430">
        <f>IF(B23=0,"",IF(BF23=0,84,VLOOKUP(Envoltória!N31,Componentes!AV:AY,4,FALSE)))</f>
        <v>0</v>
      </c>
      <c r="AQ23" s="430">
        <f>IF(B23=0,"",IF(BF23=0,90,VLOOKUP(Envoltória!N31,Componentes!AV:AY,3,FALSE)))</f>
        <v>17</v>
      </c>
      <c r="AR23" s="430">
        <f t="shared" si="0"/>
        <v>1</v>
      </c>
      <c r="AS23" s="430">
        <f t="shared" si="0"/>
        <v>0</v>
      </c>
      <c r="AT23" s="430">
        <f t="shared" si="0"/>
        <v>0</v>
      </c>
      <c r="AU23" s="430">
        <f t="shared" si="0"/>
        <v>0</v>
      </c>
      <c r="AV23" s="430">
        <f t="shared" si="0"/>
        <v>0</v>
      </c>
      <c r="AW23" s="416">
        <f>IF($B23=0,"",IFERROR(VLOOKUP(Envoltória!$B31,Aux_Lista!$O:$U,AW$9,FALSE),0))</f>
        <v>0</v>
      </c>
      <c r="AX23" s="416">
        <f>IF($B23=0,"",IFERROR(VLOOKUP(Envoltória!$B31,Aux_Lista!$O:$U,AX$9,FALSE),0))</f>
        <v>1</v>
      </c>
      <c r="AY23" s="416">
        <f>IF($B23=0,"",IFERROR(VLOOKUP(Envoltória!$B31,Aux_Lista!$O:$U,AY$9,FALSE),0))</f>
        <v>1</v>
      </c>
      <c r="AZ23" s="416">
        <f>IF($B23=0,"",IFERROR(VLOOKUP(Envoltória!$B31,Aux_Lista!$O:$U,AZ$9,FALSE),0))</f>
        <v>0</v>
      </c>
      <c r="BA23" s="416">
        <f>IF($B23=0,"",IFERROR(VLOOKUP(Envoltória!$B31,Aux_Lista!$O:$U,BA$9,FALSE),0))</f>
        <v>0</v>
      </c>
      <c r="BB23" s="416">
        <f>IF($B23=0,"",IFERROR(VLOOKUP(Envoltória!$B31,Aux_Lista!$O:$U,BB$9,FALSE),0))</f>
        <v>1</v>
      </c>
      <c r="BC23" s="416">
        <f>IFERROR(VLOOKUP(Envoltória!$H31,Aux_Lista!$W$2:$Y$3,BC$9,FALSE),"")</f>
        <v>1</v>
      </c>
      <c r="BD23" s="416">
        <f>IFERROR(VLOOKUP(Envoltória!$H31,Aux_Lista!$W$2:$Y$3,BD$9,FALSE),"")</f>
        <v>0</v>
      </c>
      <c r="BE23" s="430">
        <f t="shared" si="1"/>
        <v>0</v>
      </c>
      <c r="BF23" s="430">
        <f>IF(B23=0,"",IF(Envoltória!F31="Perimetral",1,0))</f>
        <v>1</v>
      </c>
      <c r="BG23" s="430">
        <f>IFERROR(VLOOKUP(Envoltória!$G31,$BQ$35:$BZ$43,BG$9,FALSE),"")</f>
        <v>0</v>
      </c>
      <c r="BH23" s="430">
        <f>IFERROR(VLOOKUP(Envoltória!$G31,$BQ$35:$BZ$43,BH$9,FALSE),"")</f>
        <v>0</v>
      </c>
      <c r="BI23" s="430">
        <f>IFERROR(VLOOKUP(Envoltória!$G31,$BQ$35:$BZ$43,BI$9,FALSE),"")</f>
        <v>0</v>
      </c>
      <c r="BJ23" s="430">
        <f>IFERROR(VLOOKUP(Envoltória!$G31,$BQ$35:$BZ$43,BJ$9,FALSE),"")</f>
        <v>0</v>
      </c>
      <c r="BK23" s="430">
        <f>IFERROR(VLOOKUP(Envoltória!$G31,$BQ$35:$BZ$43,BK$9,FALSE),"")</f>
        <v>0</v>
      </c>
      <c r="BL23" s="430">
        <f>IFERROR(VLOOKUP(Envoltória!$G31,$BQ$35:$BZ$43,BL$9,FALSE),"")</f>
        <v>0</v>
      </c>
      <c r="BM23" s="430">
        <f>IFERROR(VLOOKUP(Envoltória!$G31,$BQ$35:$BZ$43,BM$9,FALSE),"")</f>
        <v>1</v>
      </c>
      <c r="BN23" s="430">
        <f>IFERROR(VLOOKUP(Envoltória!$G31,$BQ$35:$BZ$43,BN$9,FALSE),"")</f>
        <v>0</v>
      </c>
      <c r="BO23" s="430">
        <f>IFERROR(VLOOKUP(Envoltória!$G31,$BQ$35:$BZ$43,BO$9,FALSE),"")</f>
        <v>0</v>
      </c>
      <c r="BP23" s="2"/>
      <c r="BQ23" s="421" t="s">
        <v>244</v>
      </c>
      <c r="BR23" s="419">
        <v>8</v>
      </c>
      <c r="BS23" s="419">
        <v>0</v>
      </c>
      <c r="BT23" s="419">
        <v>0</v>
      </c>
      <c r="BU23" s="419">
        <v>0</v>
      </c>
      <c r="BV23" s="419">
        <v>0</v>
      </c>
      <c r="BW23" s="419">
        <v>1</v>
      </c>
    </row>
    <row r="24" spans="1:75" s="13" customFormat="1" x14ac:dyDescent="0.25">
      <c r="A24" s="2">
        <v>14</v>
      </c>
      <c r="B24" s="410" t="str">
        <f>Envoltória!I32</f>
        <v>Escritórios</v>
      </c>
      <c r="C24" s="410" t="str">
        <f>Envoltória!B32</f>
        <v>Térreo (único pvto)</v>
      </c>
      <c r="D24" s="410" t="str">
        <f>Envoltória!C32</f>
        <v>ZP14-duplo</v>
      </c>
      <c r="E24" s="410">
        <f>Envoltória!D32</f>
        <v>7.29</v>
      </c>
      <c r="F24" s="430">
        <f>IF(B24=0,"",Envoltória!E32)</f>
        <v>9.2200000000000006</v>
      </c>
      <c r="G24" s="433">
        <f t="shared" si="2"/>
        <v>6.12</v>
      </c>
      <c r="H24" s="430">
        <f>IF(B24=0,"",Envoltória!O32/100)</f>
        <v>0.77</v>
      </c>
      <c r="I24" s="430">
        <f>IF(B24=0,"",IF(BF24=1,VLOOKUP(Envoltória!N32,Componentes!AV:AY,2,FALSE),89))</f>
        <v>69.5</v>
      </c>
      <c r="J24" s="416">
        <f>IF(B24=0,"",IFERROR(VLOOKUP(Envoltória!M32,Componentes!$P:$R,2,FALSE),""))</f>
        <v>2.06</v>
      </c>
      <c r="K24" s="416">
        <f>IF(B24=0,"",IFERROR(VLOOKUP(Envoltória!M32,Componentes!$P:$R,3,FALSE),""))</f>
        <v>233</v>
      </c>
      <c r="L24" s="431">
        <f>IF(B24=0,"",IFERROR(IF(BB24&lt;&gt;0,VLOOKUP(Envoltória!L32,Componentes!K:N,2,FALSE),0),""))</f>
        <v>0.55139700000000003</v>
      </c>
      <c r="M24" s="431">
        <f>IF(B24=0,"",IFERROR(IF(BB24&lt;&gt;0,VLOOKUP(Envoltória!L32,Componentes!K:N,3,FALSE),0),""))</f>
        <v>145</v>
      </c>
      <c r="N24" s="431">
        <f>IF(B24=0,"",IFERROR(IF(BB24&lt;&gt;0,VLOOKUP(Envoltória!L32,Componentes!K:N,4,FALSE),0),""))</f>
        <v>0.25</v>
      </c>
      <c r="O24" s="430">
        <f>IF(B24=0,"",IF(BF24=1,VLOOKUP(Envoltória!J32,Componentes!B:E,2,FALSE),-6))</f>
        <v>1.7307999999999999</v>
      </c>
      <c r="P24" s="430">
        <f>IF(B24=0,"",IF(BF24=1,VLOOKUP(Envoltória!J32,Componentes!B:E,3,FALSE),-400))</f>
        <v>150</v>
      </c>
      <c r="Q24" s="430">
        <f>IF(B24=0,"",IF(BF24=1,VLOOKUP(Envoltória!J32,Componentes!B:E,4,FALSE),0))</f>
        <v>0.2</v>
      </c>
      <c r="R24" s="416">
        <f>IF(B24=0,"",IFERROR(VLOOKUP(Envoltória!K32,Componentes!G:I,2,FALSE),""))</f>
        <v>2.39</v>
      </c>
      <c r="S24" s="416">
        <f>IF(B24=0,"",IFERROR(VLOOKUP(Envoltória!K32,Componentes!G:I,3,FALSE),""))</f>
        <v>150</v>
      </c>
      <c r="T24" s="430">
        <f>IF(B24=0,"",IFERROR(IF(H24&lt;&gt;0,VLOOKUP(Envoltória!N32,Componentes!T:V,3,FALSE),0),""))</f>
        <v>0.82</v>
      </c>
      <c r="U24" s="430">
        <f>IF(B24=0,"",IFERROR(IF(H24&lt;&gt;0,VLOOKUP(Envoltória!N32,Componentes!T:V,2,FALSE),0),""))</f>
        <v>5.7</v>
      </c>
      <c r="V24" s="416">
        <f>IF(B24=0,"",IFERROR(IF(AA24&lt;&gt;0,VLOOKUP(Envoltória!U32,Componentes!X:Z,2,FALSE),0),0))</f>
        <v>0</v>
      </c>
      <c r="W24" s="416">
        <f>IF(B24=0,"",IFERROR(IF(AA24&lt;&gt;0,VLOOKUP(Envoltória!U32,Componentes!X:Z,3,FALSE),0),0))</f>
        <v>0</v>
      </c>
      <c r="X24" s="430">
        <f>IF(B24=0,"",Envoltória!U32)</f>
        <v>0.1</v>
      </c>
      <c r="Y24" s="430">
        <f>IF(B24=0,"",Envoltória!S32)</f>
        <v>15.45</v>
      </c>
      <c r="Z24" s="430">
        <f>IF(B24=0,"",Envoltória!T32)</f>
        <v>15</v>
      </c>
      <c r="AA24" s="416">
        <f>IF(B24=0,"",Envoltória!Q32/100)</f>
        <v>0</v>
      </c>
      <c r="AB24" s="434">
        <f>IF($B24=0,"",VLOOKUP(Aux_Lista!$DR$2,Aux_Clima!$A:$O,AB$8,FALSE))</f>
        <v>-7.02</v>
      </c>
      <c r="AC24" s="434">
        <f>IF($B24=0,"",VLOOKUP(Aux_Lista!$DR$2,Aux_Clima!$A:$O,AC$8,FALSE))</f>
        <v>249</v>
      </c>
      <c r="AD24" s="434">
        <f>IF($B24=0,"",ROUND(VLOOKUP(Aux_Lista!$DR$2,Aux_Clima!$A:$O,AD$8,FALSE),8))</f>
        <v>27.24</v>
      </c>
      <c r="AE24" s="434">
        <f>IF($B24=0,"",ROUND(VLOOKUP(Aux_Lista!$DR$2,Aux_Clima!$A:$O,AE$8,FALSE),8))</f>
        <v>24.17</v>
      </c>
      <c r="AF24" s="434">
        <f>IF($B24=0,"",ROUND(VLOOKUP(Aux_Lista!$DR$2,Aux_Clima!$A:$O,AF$8,FALSE),8))</f>
        <v>30.311666670000001</v>
      </c>
      <c r="AG24" s="434">
        <f>IF($B24=0,"",ROUND(VLOOKUP(Aux_Lista!$DR$2,Aux_Clima!$A:$O,AG$8,FALSE),8))</f>
        <v>2.8624999999999998</v>
      </c>
      <c r="AH24" s="434">
        <f>IF($B24=0,"",ROUND(VLOOKUP(Aux_Lista!$DR$2,Aux_Clima!$A:$O,AH$8,FALSE),8))</f>
        <v>1.8233333300000001</v>
      </c>
      <c r="AI24" s="434">
        <f>IF($B24=0,"",ROUND(VLOOKUP(Aux_Lista!$DR$2,Aux_Clima!$A:$O,AI$8,FALSE),8))</f>
        <v>3.8433333300000001</v>
      </c>
      <c r="AJ24" s="434">
        <f>IF($B24=0,"",ROUND(VLOOKUP(Aux_Lista!$DR$2,Aux_Clima!$A:$O,AJ$8,FALSE),3))</f>
        <v>6082.0829999999996</v>
      </c>
      <c r="AK24" s="434">
        <f>IF($B24=0,"",ROUND(VLOOKUP(Aux_Lista!$DR$2,Aux_Clima!$A:$O,AK$8,FALSE),3))</f>
        <v>5588.8329999999996</v>
      </c>
      <c r="AL24" s="434">
        <f>IF($B24=0,"",ROUND(VLOOKUP(Aux_Lista!$DR$2,Aux_Clima!$A:$O,AL$8,FALSE),3))</f>
        <v>6759.9380000000001</v>
      </c>
      <c r="AM24" s="434">
        <f>IF($B24=0,"",ROUND(VLOOKUP(Aux_Lista!$DR$2,Aux_Clima!$A:$O,AM$8,FALSE),8))</f>
        <v>18.44083333</v>
      </c>
      <c r="AN24" s="434">
        <f>IF($B24=0,"",ROUND(VLOOKUP(Aux_Lista!$DR$2,Aux_Clima!$A:$O,AN$8,FALSE),8))</f>
        <v>17.19166667</v>
      </c>
      <c r="AO24" s="434">
        <f>IF($B24=0,"",ROUND(VLOOKUP(Aux_Lista!$DR$2,Aux_Clima!$A:$O,AO$8,FALSE),8))</f>
        <v>19.883333329999999</v>
      </c>
      <c r="AP24" s="430">
        <f>IF(B24=0,"",IF(BF24=0,84,VLOOKUP(Envoltória!N32,Componentes!AV:AY,4,FALSE)))</f>
        <v>0</v>
      </c>
      <c r="AQ24" s="430">
        <f>IF(B24=0,"",IF(BF24=0,90,VLOOKUP(Envoltória!N32,Componentes!AV:AY,3,FALSE)))</f>
        <v>33</v>
      </c>
      <c r="AR24" s="430">
        <f t="shared" si="0"/>
        <v>1</v>
      </c>
      <c r="AS24" s="430">
        <f t="shared" si="0"/>
        <v>0</v>
      </c>
      <c r="AT24" s="430">
        <f t="shared" si="0"/>
        <v>0</v>
      </c>
      <c r="AU24" s="430">
        <f t="shared" si="0"/>
        <v>0</v>
      </c>
      <c r="AV24" s="430">
        <f t="shared" si="0"/>
        <v>0</v>
      </c>
      <c r="AW24" s="416">
        <f>IF($B24=0,"",IFERROR(VLOOKUP(Envoltória!$B32,Aux_Lista!$O:$U,AW$9,FALSE),0))</f>
        <v>0</v>
      </c>
      <c r="AX24" s="416">
        <f>IF($B24=0,"",IFERROR(VLOOKUP(Envoltória!$B32,Aux_Lista!$O:$U,AX$9,FALSE),0))</f>
        <v>1</v>
      </c>
      <c r="AY24" s="416">
        <f>IF($B24=0,"",IFERROR(VLOOKUP(Envoltória!$B32,Aux_Lista!$O:$U,AY$9,FALSE),0))</f>
        <v>1</v>
      </c>
      <c r="AZ24" s="416">
        <f>IF($B24=0,"",IFERROR(VLOOKUP(Envoltória!$B32,Aux_Lista!$O:$U,AZ$9,FALSE),0))</f>
        <v>0</v>
      </c>
      <c r="BA24" s="416">
        <f>IF($B24=0,"",IFERROR(VLOOKUP(Envoltória!$B32,Aux_Lista!$O:$U,BA$9,FALSE),0))</f>
        <v>0</v>
      </c>
      <c r="BB24" s="416">
        <f>IF($B24=0,"",IFERROR(VLOOKUP(Envoltória!$B32,Aux_Lista!$O:$U,BB$9,FALSE),0))</f>
        <v>1</v>
      </c>
      <c r="BC24" s="416">
        <f>IFERROR(VLOOKUP(Envoltória!$H32,Aux_Lista!$W$2:$Y$3,BC$9,FALSE),"")</f>
        <v>1</v>
      </c>
      <c r="BD24" s="416">
        <f>IFERROR(VLOOKUP(Envoltória!$H32,Aux_Lista!$W$2:$Y$3,BD$9,FALSE),"")</f>
        <v>0</v>
      </c>
      <c r="BE24" s="430">
        <f t="shared" si="1"/>
        <v>0</v>
      </c>
      <c r="BF24" s="430">
        <f>IF(B24=0,"",IF(Envoltória!F32="Perimetral",1,0))</f>
        <v>1</v>
      </c>
      <c r="BG24" s="430">
        <f>IFERROR(VLOOKUP(Envoltória!$G32,$BQ$35:$BZ$43,BG$9,FALSE),"")</f>
        <v>0</v>
      </c>
      <c r="BH24" s="430">
        <f>IFERROR(VLOOKUP(Envoltória!$G32,$BQ$35:$BZ$43,BH$9,FALSE),"")</f>
        <v>0</v>
      </c>
      <c r="BI24" s="430">
        <f>IFERROR(VLOOKUP(Envoltória!$G32,$BQ$35:$BZ$43,BI$9,FALSE),"")</f>
        <v>0</v>
      </c>
      <c r="BJ24" s="430">
        <f>IFERROR(VLOOKUP(Envoltória!$G32,$BQ$35:$BZ$43,BJ$9,FALSE),"")</f>
        <v>0</v>
      </c>
      <c r="BK24" s="430">
        <f>IFERROR(VLOOKUP(Envoltória!$G32,$BQ$35:$BZ$43,BK$9,FALSE),"")</f>
        <v>1</v>
      </c>
      <c r="BL24" s="430">
        <f>IFERROR(VLOOKUP(Envoltória!$G32,$BQ$35:$BZ$43,BL$9,FALSE),"")</f>
        <v>0</v>
      </c>
      <c r="BM24" s="430">
        <f>IFERROR(VLOOKUP(Envoltória!$G32,$BQ$35:$BZ$43,BM$9,FALSE),"")</f>
        <v>0</v>
      </c>
      <c r="BN24" s="430">
        <f>IFERROR(VLOOKUP(Envoltória!$G32,$BQ$35:$BZ$43,BN$9,FALSE),"")</f>
        <v>0</v>
      </c>
      <c r="BO24" s="430">
        <f>IFERROR(VLOOKUP(Envoltória!$G32,$BQ$35:$BZ$43,BO$9,FALSE),"")</f>
        <v>0</v>
      </c>
      <c r="BP24" s="2"/>
      <c r="BQ24" s="421" t="s">
        <v>265</v>
      </c>
      <c r="BR24" s="419">
        <v>8</v>
      </c>
      <c r="BS24" s="419">
        <v>0</v>
      </c>
      <c r="BT24" s="419">
        <v>0</v>
      </c>
      <c r="BU24" s="419">
        <v>0</v>
      </c>
      <c r="BV24" s="419">
        <v>0</v>
      </c>
      <c r="BW24" s="419">
        <v>1</v>
      </c>
    </row>
    <row r="25" spans="1:75" s="13" customFormat="1" x14ac:dyDescent="0.25">
      <c r="A25" s="2">
        <v>15</v>
      </c>
      <c r="B25" s="410" t="str">
        <f>Envoltória!I33</f>
        <v>Escritórios</v>
      </c>
      <c r="C25" s="410" t="str">
        <f>Envoltória!B33</f>
        <v>Térreo (único pvto)</v>
      </c>
      <c r="D25" s="410" t="str">
        <f>Envoltória!C33</f>
        <v>ZP15-duplo</v>
      </c>
      <c r="E25" s="410">
        <f>Envoltória!D33</f>
        <v>8.1</v>
      </c>
      <c r="F25" s="430">
        <f>IF(B25=0,"",Envoltória!E33)</f>
        <v>9.2200000000000006</v>
      </c>
      <c r="G25" s="433">
        <f t="shared" si="2"/>
        <v>6.3</v>
      </c>
      <c r="H25" s="430">
        <f>IF(B25=0,"",Envoltória!O33/100)</f>
        <v>0.84</v>
      </c>
      <c r="I25" s="430">
        <f>IF(B25=0,"",IF(BF25=1,VLOOKUP(Envoltória!N33,Componentes!AV:AY,2,FALSE),89))</f>
        <v>23.5</v>
      </c>
      <c r="J25" s="416">
        <f>IF(B25=0,"",IFERROR(VLOOKUP(Envoltória!M33,Componentes!$P:$R,2,FALSE),""))</f>
        <v>2.06</v>
      </c>
      <c r="K25" s="416">
        <f>IF(B25=0,"",IFERROR(VLOOKUP(Envoltória!M33,Componentes!$P:$R,3,FALSE),""))</f>
        <v>233</v>
      </c>
      <c r="L25" s="431">
        <f>IF(B25=0,"",IFERROR(IF(BB25&lt;&gt;0,VLOOKUP(Envoltória!L33,Componentes!K:N,2,FALSE),0),""))</f>
        <v>0.55139700000000003</v>
      </c>
      <c r="M25" s="431">
        <f>IF(B25=0,"",IFERROR(IF(BB25&lt;&gt;0,VLOOKUP(Envoltória!L33,Componentes!K:N,3,FALSE),0),""))</f>
        <v>145</v>
      </c>
      <c r="N25" s="431">
        <f>IF(B25=0,"",IFERROR(IF(BB25&lt;&gt;0,VLOOKUP(Envoltória!L33,Componentes!K:N,4,FALSE),0),""))</f>
        <v>0.25</v>
      </c>
      <c r="O25" s="430">
        <f>IF(B25=0,"",IF(BF25=1,VLOOKUP(Envoltória!J33,Componentes!B:E,2,FALSE),-6))</f>
        <v>1.7307999999999999</v>
      </c>
      <c r="P25" s="430">
        <f>IF(B25=0,"",IF(BF25=1,VLOOKUP(Envoltória!J33,Componentes!B:E,3,FALSE),-400))</f>
        <v>150</v>
      </c>
      <c r="Q25" s="430">
        <f>IF(B25=0,"",IF(BF25=1,VLOOKUP(Envoltória!J33,Componentes!B:E,4,FALSE),0))</f>
        <v>0.2</v>
      </c>
      <c r="R25" s="416">
        <f>IF(B25=0,"",IFERROR(VLOOKUP(Envoltória!K33,Componentes!G:I,2,FALSE),""))</f>
        <v>2.39</v>
      </c>
      <c r="S25" s="416">
        <f>IF(B25=0,"",IFERROR(VLOOKUP(Envoltória!K33,Componentes!G:I,3,FALSE),""))</f>
        <v>150</v>
      </c>
      <c r="T25" s="430">
        <f>IF(B25=0,"",IFERROR(IF(H25&lt;&gt;0,VLOOKUP(Envoltória!N33,Componentes!T:V,3,FALSE),0),""))</f>
        <v>0.82</v>
      </c>
      <c r="U25" s="430">
        <f>IF(B25=0,"",IFERROR(IF(H25&lt;&gt;0,VLOOKUP(Envoltória!N33,Componentes!T:V,2,FALSE),0),""))</f>
        <v>5.7</v>
      </c>
      <c r="V25" s="416">
        <f>IF(B25=0,"",IFERROR(IF(AA25&lt;&gt;0,VLOOKUP(Envoltória!U33,Componentes!X:Z,2,FALSE),0),0))</f>
        <v>0</v>
      </c>
      <c r="W25" s="416">
        <f>IF(B25=0,"",IFERROR(IF(AA25&lt;&gt;0,VLOOKUP(Envoltória!U33,Componentes!X:Z,3,FALSE),0),0))</f>
        <v>0</v>
      </c>
      <c r="X25" s="430">
        <f>IF(B25=0,"",Envoltória!U33)</f>
        <v>0.1</v>
      </c>
      <c r="Y25" s="430">
        <f>IF(B25=0,"",Envoltória!S33)</f>
        <v>15.45</v>
      </c>
      <c r="Z25" s="430">
        <f>IF(B25=0,"",Envoltória!T33)</f>
        <v>15</v>
      </c>
      <c r="AA25" s="416">
        <f>IF(B25=0,"",Envoltória!Q33/100)</f>
        <v>0</v>
      </c>
      <c r="AB25" s="434">
        <f>IF($B25=0,"",VLOOKUP(Aux_Lista!$DR$2,Aux_Clima!$A:$O,AB$8,FALSE))</f>
        <v>-7.02</v>
      </c>
      <c r="AC25" s="434">
        <f>IF($B25=0,"",VLOOKUP(Aux_Lista!$DR$2,Aux_Clima!$A:$O,AC$8,FALSE))</f>
        <v>249</v>
      </c>
      <c r="AD25" s="434">
        <f>IF($B25=0,"",ROUND(VLOOKUP(Aux_Lista!$DR$2,Aux_Clima!$A:$O,AD$8,FALSE),8))</f>
        <v>27.24</v>
      </c>
      <c r="AE25" s="434">
        <f>IF($B25=0,"",ROUND(VLOOKUP(Aux_Lista!$DR$2,Aux_Clima!$A:$O,AE$8,FALSE),8))</f>
        <v>24.17</v>
      </c>
      <c r="AF25" s="434">
        <f>IF($B25=0,"",ROUND(VLOOKUP(Aux_Lista!$DR$2,Aux_Clima!$A:$O,AF$8,FALSE),8))</f>
        <v>30.311666670000001</v>
      </c>
      <c r="AG25" s="434">
        <f>IF($B25=0,"",ROUND(VLOOKUP(Aux_Lista!$DR$2,Aux_Clima!$A:$O,AG$8,FALSE),8))</f>
        <v>2.8624999999999998</v>
      </c>
      <c r="AH25" s="434">
        <f>IF($B25=0,"",ROUND(VLOOKUP(Aux_Lista!$DR$2,Aux_Clima!$A:$O,AH$8,FALSE),8))</f>
        <v>1.8233333300000001</v>
      </c>
      <c r="AI25" s="434">
        <f>IF($B25=0,"",ROUND(VLOOKUP(Aux_Lista!$DR$2,Aux_Clima!$A:$O,AI$8,FALSE),8))</f>
        <v>3.8433333300000001</v>
      </c>
      <c r="AJ25" s="434">
        <f>IF($B25=0,"",ROUND(VLOOKUP(Aux_Lista!$DR$2,Aux_Clima!$A:$O,AJ$8,FALSE),3))</f>
        <v>6082.0829999999996</v>
      </c>
      <c r="AK25" s="434">
        <f>IF($B25=0,"",ROUND(VLOOKUP(Aux_Lista!$DR$2,Aux_Clima!$A:$O,AK$8,FALSE),3))</f>
        <v>5588.8329999999996</v>
      </c>
      <c r="AL25" s="434">
        <f>IF($B25=0,"",ROUND(VLOOKUP(Aux_Lista!$DR$2,Aux_Clima!$A:$O,AL$8,FALSE),3))</f>
        <v>6759.9380000000001</v>
      </c>
      <c r="AM25" s="434">
        <f>IF($B25=0,"",ROUND(VLOOKUP(Aux_Lista!$DR$2,Aux_Clima!$A:$O,AM$8,FALSE),8))</f>
        <v>18.44083333</v>
      </c>
      <c r="AN25" s="434">
        <f>IF($B25=0,"",ROUND(VLOOKUP(Aux_Lista!$DR$2,Aux_Clima!$A:$O,AN$8,FALSE),8))</f>
        <v>17.19166667</v>
      </c>
      <c r="AO25" s="434">
        <f>IF($B25=0,"",ROUND(VLOOKUP(Aux_Lista!$DR$2,Aux_Clima!$A:$O,AO$8,FALSE),8))</f>
        <v>19.883333329999999</v>
      </c>
      <c r="AP25" s="430">
        <f>IF(B25=0,"",IF(BF25=0,84,VLOOKUP(Envoltória!N33,Componentes!AV:AY,4,FALSE)))</f>
        <v>0</v>
      </c>
      <c r="AQ25" s="430">
        <f>IF(B25=0,"",IF(BF25=0,90,VLOOKUP(Envoltória!N33,Componentes!AV:AY,3,FALSE)))</f>
        <v>25</v>
      </c>
      <c r="AR25" s="430">
        <f t="shared" si="0"/>
        <v>1</v>
      </c>
      <c r="AS25" s="430">
        <f t="shared" si="0"/>
        <v>0</v>
      </c>
      <c r="AT25" s="430">
        <f t="shared" si="0"/>
        <v>0</v>
      </c>
      <c r="AU25" s="430">
        <f t="shared" si="0"/>
        <v>0</v>
      </c>
      <c r="AV25" s="430">
        <f t="shared" si="0"/>
        <v>0</v>
      </c>
      <c r="AW25" s="416">
        <f>IF($B25=0,"",IFERROR(VLOOKUP(Envoltória!$B33,Aux_Lista!$O:$U,AW$9,FALSE),0))</f>
        <v>0</v>
      </c>
      <c r="AX25" s="416">
        <f>IF($B25=0,"",IFERROR(VLOOKUP(Envoltória!$B33,Aux_Lista!$O:$U,AX$9,FALSE),0))</f>
        <v>1</v>
      </c>
      <c r="AY25" s="416">
        <f>IF($B25=0,"",IFERROR(VLOOKUP(Envoltória!$B33,Aux_Lista!$O:$U,AY$9,FALSE),0))</f>
        <v>1</v>
      </c>
      <c r="AZ25" s="416">
        <f>IF($B25=0,"",IFERROR(VLOOKUP(Envoltória!$B33,Aux_Lista!$O:$U,AZ$9,FALSE),0))</f>
        <v>0</v>
      </c>
      <c r="BA25" s="416">
        <f>IF($B25=0,"",IFERROR(VLOOKUP(Envoltória!$B33,Aux_Lista!$O:$U,BA$9,FALSE),0))</f>
        <v>0</v>
      </c>
      <c r="BB25" s="416">
        <f>IF($B25=0,"",IFERROR(VLOOKUP(Envoltória!$B33,Aux_Lista!$O:$U,BB$9,FALSE),0))</f>
        <v>1</v>
      </c>
      <c r="BC25" s="416">
        <f>IFERROR(VLOOKUP(Envoltória!$H33,Aux_Lista!$W$2:$Y$3,BC$9,FALSE),"")</f>
        <v>1</v>
      </c>
      <c r="BD25" s="416">
        <f>IFERROR(VLOOKUP(Envoltória!$H33,Aux_Lista!$W$2:$Y$3,BD$9,FALSE),"")</f>
        <v>0</v>
      </c>
      <c r="BE25" s="430">
        <f t="shared" si="1"/>
        <v>0</v>
      </c>
      <c r="BF25" s="430">
        <f>IF(B25=0,"",IF(Envoltória!F33="Perimetral",1,0))</f>
        <v>1</v>
      </c>
      <c r="BG25" s="430">
        <f>IFERROR(VLOOKUP(Envoltória!$G33,$BQ$35:$BZ$43,BG$9,FALSE),"")</f>
        <v>0</v>
      </c>
      <c r="BH25" s="430">
        <f>IFERROR(VLOOKUP(Envoltória!$G33,$BQ$35:$BZ$43,BH$9,FALSE),"")</f>
        <v>0</v>
      </c>
      <c r="BI25" s="430">
        <f>IFERROR(VLOOKUP(Envoltória!$G33,$BQ$35:$BZ$43,BI$9,FALSE),"")</f>
        <v>0</v>
      </c>
      <c r="BJ25" s="430">
        <f>IFERROR(VLOOKUP(Envoltória!$G33,$BQ$35:$BZ$43,BJ$9,FALSE),"")</f>
        <v>0</v>
      </c>
      <c r="BK25" s="430">
        <f>IFERROR(VLOOKUP(Envoltória!$G33,$BQ$35:$BZ$43,BK$9,FALSE),"")</f>
        <v>0</v>
      </c>
      <c r="BL25" s="430">
        <f>IFERROR(VLOOKUP(Envoltória!$G33,$BQ$35:$BZ$43,BL$9,FALSE),"")</f>
        <v>0</v>
      </c>
      <c r="BM25" s="430">
        <f>IFERROR(VLOOKUP(Envoltória!$G33,$BQ$35:$BZ$43,BM$9,FALSE),"")</f>
        <v>1</v>
      </c>
      <c r="BN25" s="430">
        <f>IFERROR(VLOOKUP(Envoltória!$G33,$BQ$35:$BZ$43,BN$9,FALSE),"")</f>
        <v>0</v>
      </c>
      <c r="BO25" s="430">
        <f>IFERROR(VLOOKUP(Envoltória!$G33,$BQ$35:$BZ$43,BO$9,FALSE),"")</f>
        <v>0</v>
      </c>
      <c r="BP25" s="2"/>
      <c r="BQ25" s="421" t="s">
        <v>277</v>
      </c>
      <c r="BR25" s="419">
        <v>8</v>
      </c>
      <c r="BS25" s="419">
        <v>0</v>
      </c>
      <c r="BT25" s="419">
        <v>0</v>
      </c>
      <c r="BU25" s="419">
        <v>0</v>
      </c>
      <c r="BV25" s="419">
        <v>0</v>
      </c>
      <c r="BW25" s="419">
        <v>1</v>
      </c>
    </row>
    <row r="26" spans="1:75" s="13" customFormat="1" x14ac:dyDescent="0.25">
      <c r="A26" s="2">
        <v>16</v>
      </c>
      <c r="B26" s="410" t="str">
        <f>Envoltória!I34</f>
        <v>Escritórios</v>
      </c>
      <c r="C26" s="410" t="str">
        <f>Envoltória!B34</f>
        <v>Térreo (com + pvtos acima)</v>
      </c>
      <c r="D26" s="410" t="str">
        <f>Envoltória!C34</f>
        <v>ZP16</v>
      </c>
      <c r="E26" s="410">
        <f>Envoltória!D34</f>
        <v>36.76</v>
      </c>
      <c r="F26" s="430">
        <f>IF(B26=0,"",Envoltória!E34)</f>
        <v>3</v>
      </c>
      <c r="G26" s="433">
        <f t="shared" si="2"/>
        <v>12.668888888888889</v>
      </c>
      <c r="H26" s="430">
        <f>IF(B26=0,"",Envoltória!O34/100)</f>
        <v>0.22</v>
      </c>
      <c r="I26" s="430">
        <f>IF(B26=0,"",IF(BF26=1,VLOOKUP(Envoltória!N34,Componentes!AV:AY,2,FALSE),89))</f>
        <v>33.5</v>
      </c>
      <c r="J26" s="416">
        <f>IF(B26=0,"",IFERROR(VLOOKUP(Envoltória!M34,Componentes!$P:$R,2,FALSE),""))</f>
        <v>2.06</v>
      </c>
      <c r="K26" s="416">
        <f>IF(B26=0,"",IFERROR(VLOOKUP(Envoltória!M34,Componentes!$P:$R,3,FALSE),""))</f>
        <v>233</v>
      </c>
      <c r="L26" s="431">
        <f>IF(B26=0,"",IFERROR(IF(BB26&lt;&gt;0,VLOOKUP(Envoltória!L34,Componentes!K:N,2,FALSE),0),""))</f>
        <v>0</v>
      </c>
      <c r="M26" s="431">
        <f>IF(B26=0,"",IFERROR(IF(BB26&lt;&gt;0,VLOOKUP(Envoltória!L34,Componentes!K:N,3,FALSE),0),""))</f>
        <v>0</v>
      </c>
      <c r="N26" s="431">
        <f>IF(B26=0,"",IFERROR(IF(BB26&lt;&gt;0,VLOOKUP(Envoltória!L34,Componentes!K:N,4,FALSE),0),""))</f>
        <v>0</v>
      </c>
      <c r="O26" s="430">
        <f>IF(B26=0,"",IF(BF26=1,VLOOKUP(Envoltória!J34,Componentes!B:E,2,FALSE),-6))</f>
        <v>1.7307999999999999</v>
      </c>
      <c r="P26" s="430">
        <f>IF(B26=0,"",IF(BF26=1,VLOOKUP(Envoltória!J34,Componentes!B:E,3,FALSE),-400))</f>
        <v>150</v>
      </c>
      <c r="Q26" s="430">
        <f>IF(B26=0,"",IF(BF26=1,VLOOKUP(Envoltória!J34,Componentes!B:E,4,FALSE),0))</f>
        <v>0.39600000000000002</v>
      </c>
      <c r="R26" s="416">
        <f>IF(B26=0,"",IFERROR(VLOOKUP(Envoltória!K34,Componentes!G:I,2,FALSE),""))</f>
        <v>2.39</v>
      </c>
      <c r="S26" s="416">
        <f>IF(B26=0,"",IFERROR(VLOOKUP(Envoltória!K34,Componentes!G:I,3,FALSE),""))</f>
        <v>150</v>
      </c>
      <c r="T26" s="430">
        <f>IF(B26=0,"",IFERROR(IF(H26&lt;&gt;0,VLOOKUP(Envoltória!N34,Componentes!T:V,3,FALSE),0),""))</f>
        <v>0.82</v>
      </c>
      <c r="U26" s="430">
        <f>IF(B26=0,"",IFERROR(IF(H26&lt;&gt;0,VLOOKUP(Envoltória!N34,Componentes!T:V,2,FALSE),0),""))</f>
        <v>5.7</v>
      </c>
      <c r="V26" s="416">
        <f>IF(B26=0,"",IFERROR(IF(AA26&lt;&gt;0,VLOOKUP(Envoltória!U34,Componentes!X:Z,2,FALSE),0),0))</f>
        <v>0</v>
      </c>
      <c r="W26" s="416">
        <f>IF(B26=0,"",IFERROR(IF(AA26&lt;&gt;0,VLOOKUP(Envoltória!U34,Componentes!X:Z,3,FALSE),0),0))</f>
        <v>0</v>
      </c>
      <c r="X26" s="430">
        <f>IF(B26=0,"",Envoltória!U34)</f>
        <v>0.1</v>
      </c>
      <c r="Y26" s="430">
        <f>IF(B26=0,"",Envoltória!S34)</f>
        <v>15.45</v>
      </c>
      <c r="Z26" s="430">
        <f>IF(B26=0,"",Envoltória!T34)</f>
        <v>15</v>
      </c>
      <c r="AA26" s="416">
        <f>IF(B26=0,"",Envoltória!Q34/100)</f>
        <v>0</v>
      </c>
      <c r="AB26" s="434">
        <f>IF($B26=0,"",VLOOKUP(Aux_Lista!$DR$2,Aux_Clima!$A:$O,AB$8,FALSE))</f>
        <v>-7.02</v>
      </c>
      <c r="AC26" s="434">
        <f>IF($B26=0,"",VLOOKUP(Aux_Lista!$DR$2,Aux_Clima!$A:$O,AC$8,FALSE))</f>
        <v>249</v>
      </c>
      <c r="AD26" s="434">
        <f>IF($B26=0,"",ROUND(VLOOKUP(Aux_Lista!$DR$2,Aux_Clima!$A:$O,AD$8,FALSE),8))</f>
        <v>27.24</v>
      </c>
      <c r="AE26" s="434">
        <f>IF($B26=0,"",ROUND(VLOOKUP(Aux_Lista!$DR$2,Aux_Clima!$A:$O,AE$8,FALSE),8))</f>
        <v>24.17</v>
      </c>
      <c r="AF26" s="434">
        <f>IF($B26=0,"",ROUND(VLOOKUP(Aux_Lista!$DR$2,Aux_Clima!$A:$O,AF$8,FALSE),8))</f>
        <v>30.311666670000001</v>
      </c>
      <c r="AG26" s="434">
        <f>IF($B26=0,"",ROUND(VLOOKUP(Aux_Lista!$DR$2,Aux_Clima!$A:$O,AG$8,FALSE),8))</f>
        <v>2.8624999999999998</v>
      </c>
      <c r="AH26" s="434">
        <f>IF($B26=0,"",ROUND(VLOOKUP(Aux_Lista!$DR$2,Aux_Clima!$A:$O,AH$8,FALSE),8))</f>
        <v>1.8233333300000001</v>
      </c>
      <c r="AI26" s="434">
        <f>IF($B26=0,"",ROUND(VLOOKUP(Aux_Lista!$DR$2,Aux_Clima!$A:$O,AI$8,FALSE),8))</f>
        <v>3.8433333300000001</v>
      </c>
      <c r="AJ26" s="434">
        <f>IF($B26=0,"",ROUND(VLOOKUP(Aux_Lista!$DR$2,Aux_Clima!$A:$O,AJ$8,FALSE),3))</f>
        <v>6082.0829999999996</v>
      </c>
      <c r="AK26" s="434">
        <f>IF($B26=0,"",ROUND(VLOOKUP(Aux_Lista!$DR$2,Aux_Clima!$A:$O,AK$8,FALSE),3))</f>
        <v>5588.8329999999996</v>
      </c>
      <c r="AL26" s="434">
        <f>IF($B26=0,"",ROUND(VLOOKUP(Aux_Lista!$DR$2,Aux_Clima!$A:$O,AL$8,FALSE),3))</f>
        <v>6759.9380000000001</v>
      </c>
      <c r="AM26" s="434">
        <f>IF($B26=0,"",ROUND(VLOOKUP(Aux_Lista!$DR$2,Aux_Clima!$A:$O,AM$8,FALSE),8))</f>
        <v>18.44083333</v>
      </c>
      <c r="AN26" s="434">
        <f>IF($B26=0,"",ROUND(VLOOKUP(Aux_Lista!$DR$2,Aux_Clima!$A:$O,AN$8,FALSE),8))</f>
        <v>17.19166667</v>
      </c>
      <c r="AO26" s="434">
        <f>IF($B26=0,"",ROUND(VLOOKUP(Aux_Lista!$DR$2,Aux_Clima!$A:$O,AO$8,FALSE),8))</f>
        <v>19.883333329999999</v>
      </c>
      <c r="AP26" s="430">
        <f>IF(B26=0,"",IF(BF26=0,84,VLOOKUP(Envoltória!N34,Componentes!AV:AY,4,FALSE)))</f>
        <v>0</v>
      </c>
      <c r="AQ26" s="430">
        <f>IF(B26=0,"",IF(BF26=0,90,VLOOKUP(Envoltória!N34,Componentes!AV:AY,3,FALSE)))</f>
        <v>26</v>
      </c>
      <c r="AR26" s="430">
        <f t="shared" si="0"/>
        <v>1</v>
      </c>
      <c r="AS26" s="430">
        <f t="shared" si="0"/>
        <v>0</v>
      </c>
      <c r="AT26" s="430">
        <f t="shared" si="0"/>
        <v>0</v>
      </c>
      <c r="AU26" s="430">
        <f t="shared" si="0"/>
        <v>0</v>
      </c>
      <c r="AV26" s="430">
        <f t="shared" si="0"/>
        <v>0</v>
      </c>
      <c r="AW26" s="416">
        <f>IF($B26=0,"",IFERROR(VLOOKUP(Envoltória!$B34,Aux_Lista!$O:$U,AW$9,FALSE),0))</f>
        <v>0</v>
      </c>
      <c r="AX26" s="416">
        <f>IF($B26=0,"",IFERROR(VLOOKUP(Envoltória!$B34,Aux_Lista!$O:$U,AX$9,FALSE),0))</f>
        <v>1</v>
      </c>
      <c r="AY26" s="416">
        <f>IF($B26=0,"",IFERROR(VLOOKUP(Envoltória!$B34,Aux_Lista!$O:$U,AY$9,FALSE),0))</f>
        <v>1</v>
      </c>
      <c r="AZ26" s="416">
        <f>IF($B26=0,"",IFERROR(VLOOKUP(Envoltória!$B34,Aux_Lista!$O:$U,AZ$9,FALSE),0))</f>
        <v>0</v>
      </c>
      <c r="BA26" s="416">
        <f>IF($B26=0,"",IFERROR(VLOOKUP(Envoltória!$B34,Aux_Lista!$O:$U,BA$9,FALSE),0))</f>
        <v>1</v>
      </c>
      <c r="BB26" s="416">
        <f>IF($B26=0,"",IFERROR(VLOOKUP(Envoltória!$B34,Aux_Lista!$O:$U,BB$9,FALSE),0))</f>
        <v>0</v>
      </c>
      <c r="BC26" s="416">
        <f>IFERROR(VLOOKUP(Envoltória!$H34,Aux_Lista!$W$2:$Y$3,BC$9,FALSE),"")</f>
        <v>1</v>
      </c>
      <c r="BD26" s="416">
        <f>IFERROR(VLOOKUP(Envoltória!$H34,Aux_Lista!$W$2:$Y$3,BD$9,FALSE),"")</f>
        <v>0</v>
      </c>
      <c r="BE26" s="430">
        <f t="shared" si="1"/>
        <v>0</v>
      </c>
      <c r="BF26" s="430">
        <f>IF(B26=0,"",IF(Envoltória!F34="Perimetral",1,0))</f>
        <v>1</v>
      </c>
      <c r="BG26" s="430">
        <f>IFERROR(VLOOKUP(Envoltória!$G34,$BQ$35:$BZ$43,BG$9,FALSE),"")</f>
        <v>0</v>
      </c>
      <c r="BH26" s="430">
        <f>IFERROR(VLOOKUP(Envoltória!$G34,$BQ$35:$BZ$43,BH$9,FALSE),"")</f>
        <v>0</v>
      </c>
      <c r="BI26" s="430">
        <f>IFERROR(VLOOKUP(Envoltória!$G34,$BQ$35:$BZ$43,BI$9,FALSE),"")</f>
        <v>0</v>
      </c>
      <c r="BJ26" s="430">
        <f>IFERROR(VLOOKUP(Envoltória!$G34,$BQ$35:$BZ$43,BJ$9,FALSE),"")</f>
        <v>0</v>
      </c>
      <c r="BK26" s="430">
        <f>IFERROR(VLOOKUP(Envoltória!$G34,$BQ$35:$BZ$43,BK$9,FALSE),"")</f>
        <v>0</v>
      </c>
      <c r="BL26" s="430">
        <f>IFERROR(VLOOKUP(Envoltória!$G34,$BQ$35:$BZ$43,BL$9,FALSE),"")</f>
        <v>0</v>
      </c>
      <c r="BM26" s="430">
        <f>IFERROR(VLOOKUP(Envoltória!$G34,$BQ$35:$BZ$43,BM$9,FALSE),"")</f>
        <v>1</v>
      </c>
      <c r="BN26" s="430">
        <f>IFERROR(VLOOKUP(Envoltória!$G34,$BQ$35:$BZ$43,BN$9,FALSE),"")</f>
        <v>0</v>
      </c>
      <c r="BO26" s="430">
        <f>IFERROR(VLOOKUP(Envoltória!$G34,$BQ$35:$BZ$43,BO$9,FALSE),"")</f>
        <v>0</v>
      </c>
      <c r="BP26" s="2"/>
      <c r="BQ26" s="421" t="s">
        <v>287</v>
      </c>
      <c r="BR26" s="419">
        <v>24</v>
      </c>
      <c r="BS26" s="419">
        <v>0</v>
      </c>
      <c r="BT26" s="419">
        <v>1</v>
      </c>
      <c r="BU26" s="419">
        <v>0</v>
      </c>
      <c r="BV26" s="419">
        <v>0</v>
      </c>
      <c r="BW26" s="419">
        <v>0</v>
      </c>
    </row>
    <row r="27" spans="1:75" s="13" customFormat="1" x14ac:dyDescent="0.25">
      <c r="A27" s="2">
        <v>17</v>
      </c>
      <c r="B27" s="410" t="str">
        <f>Envoltória!I35</f>
        <v>Escritórios</v>
      </c>
      <c r="C27" s="410" t="str">
        <f>Envoltória!B35</f>
        <v>Térreo (com + pvtos acima)</v>
      </c>
      <c r="D27" s="410" t="str">
        <f>Envoltória!C35</f>
        <v>ZP17</v>
      </c>
      <c r="E27" s="410">
        <f>Envoltória!D35</f>
        <v>11.47</v>
      </c>
      <c r="F27" s="430">
        <f>IF(B27=0,"",Envoltória!E35)</f>
        <v>3</v>
      </c>
      <c r="G27" s="433">
        <f t="shared" si="2"/>
        <v>7.0488888888888894</v>
      </c>
      <c r="H27" s="430">
        <f>IF(B27=0,"",Envoltória!O35/100)</f>
        <v>0</v>
      </c>
      <c r="I27" s="430">
        <f>IF(B27=0,"",IF(BF27=1,VLOOKUP(Envoltória!N35,Componentes!AV:AY,2,FALSE),89))</f>
        <v>0</v>
      </c>
      <c r="J27" s="416">
        <f>IF(B27=0,"",IFERROR(VLOOKUP(Envoltória!M35,Componentes!$P:$R,2,FALSE),""))</f>
        <v>2.06</v>
      </c>
      <c r="K27" s="416">
        <f>IF(B27=0,"",IFERROR(VLOOKUP(Envoltória!M35,Componentes!$P:$R,3,FALSE),""))</f>
        <v>233</v>
      </c>
      <c r="L27" s="431">
        <f>IF(B27=0,"",IFERROR(IF(BB27&lt;&gt;0,VLOOKUP(Envoltória!L35,Componentes!K:N,2,FALSE),0),""))</f>
        <v>0</v>
      </c>
      <c r="M27" s="431">
        <f>IF(B27=0,"",IFERROR(IF(BB27&lt;&gt;0,VLOOKUP(Envoltória!L35,Componentes!K:N,3,FALSE),0),""))</f>
        <v>0</v>
      </c>
      <c r="N27" s="431">
        <f>IF(B27=0,"",IFERROR(IF(BB27&lt;&gt;0,VLOOKUP(Envoltória!L35,Componentes!K:N,4,FALSE),0),""))</f>
        <v>0</v>
      </c>
      <c r="O27" s="430">
        <f>IF(B27=0,"",IF(BF27=1,VLOOKUP(Envoltória!J35,Componentes!B:E,2,FALSE),-6))</f>
        <v>1.7307999999999999</v>
      </c>
      <c r="P27" s="430">
        <f>IF(B27=0,"",IF(BF27=1,VLOOKUP(Envoltória!J35,Componentes!B:E,3,FALSE),-400))</f>
        <v>150</v>
      </c>
      <c r="Q27" s="430">
        <f>IF(B27=0,"",IF(BF27=1,VLOOKUP(Envoltória!J35,Componentes!B:E,4,FALSE),0))</f>
        <v>0.39600000000000002</v>
      </c>
      <c r="R27" s="416">
        <f>IF(B27=0,"",IFERROR(VLOOKUP(Envoltória!K35,Componentes!G:I,2,FALSE),""))</f>
        <v>2.39</v>
      </c>
      <c r="S27" s="416">
        <f>IF(B27=0,"",IFERROR(VLOOKUP(Envoltória!K35,Componentes!G:I,3,FALSE),""))</f>
        <v>150</v>
      </c>
      <c r="T27" s="430">
        <f>IF(B27=0,"",IFERROR(IF(H27&lt;&gt;0,VLOOKUP(Envoltória!N35,Componentes!T:V,3,FALSE),0),""))</f>
        <v>0</v>
      </c>
      <c r="U27" s="430">
        <f>IF(B27=0,"",IFERROR(IF(H27&lt;&gt;0,VLOOKUP(Envoltória!N35,Componentes!T:V,2,FALSE),0),""))</f>
        <v>0</v>
      </c>
      <c r="V27" s="416">
        <f>IF(B27=0,"",IFERROR(IF(AA27&lt;&gt;0,VLOOKUP(Envoltória!U35,Componentes!X:Z,2,FALSE),0),0))</f>
        <v>0</v>
      </c>
      <c r="W27" s="416">
        <f>IF(B27=0,"",IFERROR(IF(AA27&lt;&gt;0,VLOOKUP(Envoltória!U35,Componentes!X:Z,3,FALSE),0),0))</f>
        <v>0</v>
      </c>
      <c r="X27" s="430">
        <f>IF(B27=0,"",Envoltória!U35)</f>
        <v>0.1</v>
      </c>
      <c r="Y27" s="430">
        <f>IF(B27=0,"",Envoltória!S35)</f>
        <v>15.45</v>
      </c>
      <c r="Z27" s="430">
        <f>IF(B27=0,"",Envoltória!T35)</f>
        <v>15</v>
      </c>
      <c r="AA27" s="416">
        <f>IF(B27=0,"",Envoltória!Q35/100)</f>
        <v>0</v>
      </c>
      <c r="AB27" s="434">
        <f>IF($B27=0,"",VLOOKUP(Aux_Lista!$DR$2,Aux_Clima!$A:$O,AB$8,FALSE))</f>
        <v>-7.02</v>
      </c>
      <c r="AC27" s="434">
        <f>IF($B27=0,"",VLOOKUP(Aux_Lista!$DR$2,Aux_Clima!$A:$O,AC$8,FALSE))</f>
        <v>249</v>
      </c>
      <c r="AD27" s="434">
        <f>IF($B27=0,"",ROUND(VLOOKUP(Aux_Lista!$DR$2,Aux_Clima!$A:$O,AD$8,FALSE),8))</f>
        <v>27.24</v>
      </c>
      <c r="AE27" s="434">
        <f>IF($B27=0,"",ROUND(VLOOKUP(Aux_Lista!$DR$2,Aux_Clima!$A:$O,AE$8,FALSE),8))</f>
        <v>24.17</v>
      </c>
      <c r="AF27" s="434">
        <f>IF($B27=0,"",ROUND(VLOOKUP(Aux_Lista!$DR$2,Aux_Clima!$A:$O,AF$8,FALSE),8))</f>
        <v>30.311666670000001</v>
      </c>
      <c r="AG27" s="434">
        <f>IF($B27=0,"",ROUND(VLOOKUP(Aux_Lista!$DR$2,Aux_Clima!$A:$O,AG$8,FALSE),8))</f>
        <v>2.8624999999999998</v>
      </c>
      <c r="AH27" s="434">
        <f>IF($B27=0,"",ROUND(VLOOKUP(Aux_Lista!$DR$2,Aux_Clima!$A:$O,AH$8,FALSE),8))</f>
        <v>1.8233333300000001</v>
      </c>
      <c r="AI27" s="434">
        <f>IF($B27=0,"",ROUND(VLOOKUP(Aux_Lista!$DR$2,Aux_Clima!$A:$O,AI$8,FALSE),8))</f>
        <v>3.8433333300000001</v>
      </c>
      <c r="AJ27" s="434">
        <f>IF($B27=0,"",ROUND(VLOOKUP(Aux_Lista!$DR$2,Aux_Clima!$A:$O,AJ$8,FALSE),3))</f>
        <v>6082.0829999999996</v>
      </c>
      <c r="AK27" s="434">
        <f>IF($B27=0,"",ROUND(VLOOKUP(Aux_Lista!$DR$2,Aux_Clima!$A:$O,AK$8,FALSE),3))</f>
        <v>5588.8329999999996</v>
      </c>
      <c r="AL27" s="434">
        <f>IF($B27=0,"",ROUND(VLOOKUP(Aux_Lista!$DR$2,Aux_Clima!$A:$O,AL$8,FALSE),3))</f>
        <v>6759.9380000000001</v>
      </c>
      <c r="AM27" s="434">
        <f>IF($B27=0,"",ROUND(VLOOKUP(Aux_Lista!$DR$2,Aux_Clima!$A:$O,AM$8,FALSE),8))</f>
        <v>18.44083333</v>
      </c>
      <c r="AN27" s="434">
        <f>IF($B27=0,"",ROUND(VLOOKUP(Aux_Lista!$DR$2,Aux_Clima!$A:$O,AN$8,FALSE),8))</f>
        <v>17.19166667</v>
      </c>
      <c r="AO27" s="434">
        <f>IF($B27=0,"",ROUND(VLOOKUP(Aux_Lista!$DR$2,Aux_Clima!$A:$O,AO$8,FALSE),8))</f>
        <v>19.883333329999999</v>
      </c>
      <c r="AP27" s="430">
        <f>IF(B27=0,"",IF(BF27=0,84,VLOOKUP(Envoltória!N35,Componentes!AV:AY,4,FALSE)))</f>
        <v>0</v>
      </c>
      <c r="AQ27" s="430">
        <f>IF(B27=0,"",IF(BF27=0,90,VLOOKUP(Envoltória!N35,Componentes!AV:AY,3,FALSE)))</f>
        <v>0</v>
      </c>
      <c r="AR27" s="430">
        <f t="shared" si="0"/>
        <v>1</v>
      </c>
      <c r="AS27" s="430">
        <f t="shared" si="0"/>
        <v>0</v>
      </c>
      <c r="AT27" s="430">
        <f t="shared" si="0"/>
        <v>0</v>
      </c>
      <c r="AU27" s="430">
        <f t="shared" si="0"/>
        <v>0</v>
      </c>
      <c r="AV27" s="430">
        <f t="shared" si="0"/>
        <v>0</v>
      </c>
      <c r="AW27" s="416">
        <f>IF($B27=0,"",IFERROR(VLOOKUP(Envoltória!$B35,Aux_Lista!$O:$U,AW$9,FALSE),0))</f>
        <v>0</v>
      </c>
      <c r="AX27" s="416">
        <f>IF($B27=0,"",IFERROR(VLOOKUP(Envoltória!$B35,Aux_Lista!$O:$U,AX$9,FALSE),0))</f>
        <v>1</v>
      </c>
      <c r="AY27" s="416">
        <f>IF($B27=0,"",IFERROR(VLOOKUP(Envoltória!$B35,Aux_Lista!$O:$U,AY$9,FALSE),0))</f>
        <v>1</v>
      </c>
      <c r="AZ27" s="416">
        <f>IF($B27=0,"",IFERROR(VLOOKUP(Envoltória!$B35,Aux_Lista!$O:$U,AZ$9,FALSE),0))</f>
        <v>0</v>
      </c>
      <c r="BA27" s="416">
        <f>IF($B27=0,"",IFERROR(VLOOKUP(Envoltória!$B35,Aux_Lista!$O:$U,BA$9,FALSE),0))</f>
        <v>1</v>
      </c>
      <c r="BB27" s="416">
        <f>IF($B27=0,"",IFERROR(VLOOKUP(Envoltória!$B35,Aux_Lista!$O:$U,BB$9,FALSE),0))</f>
        <v>0</v>
      </c>
      <c r="BC27" s="416">
        <f>IFERROR(VLOOKUP(Envoltória!$H35,Aux_Lista!$W$2:$Y$3,BC$9,FALSE),"")</f>
        <v>1</v>
      </c>
      <c r="BD27" s="416">
        <f>IFERROR(VLOOKUP(Envoltória!$H35,Aux_Lista!$W$2:$Y$3,BD$9,FALSE),"")</f>
        <v>0</v>
      </c>
      <c r="BE27" s="430">
        <f t="shared" si="1"/>
        <v>0</v>
      </c>
      <c r="BF27" s="430">
        <f>IF(B27=0,"",IF(Envoltória!F35="Perimetral",1,0))</f>
        <v>1</v>
      </c>
      <c r="BG27" s="430">
        <f>IFERROR(VLOOKUP(Envoltória!$G35,$BQ$35:$BZ$43,BG$9,FALSE),"")</f>
        <v>0</v>
      </c>
      <c r="BH27" s="430">
        <f>IFERROR(VLOOKUP(Envoltória!$G35,$BQ$35:$BZ$43,BH$9,FALSE),"")</f>
        <v>0</v>
      </c>
      <c r="BI27" s="430">
        <f>IFERROR(VLOOKUP(Envoltória!$G35,$BQ$35:$BZ$43,BI$9,FALSE),"")</f>
        <v>0</v>
      </c>
      <c r="BJ27" s="430">
        <f>IFERROR(VLOOKUP(Envoltória!$G35,$BQ$35:$BZ$43,BJ$9,FALSE),"")</f>
        <v>0</v>
      </c>
      <c r="BK27" s="430">
        <f>IFERROR(VLOOKUP(Envoltória!$G35,$BQ$35:$BZ$43,BK$9,FALSE),"")</f>
        <v>1</v>
      </c>
      <c r="BL27" s="430">
        <f>IFERROR(VLOOKUP(Envoltória!$G35,$BQ$35:$BZ$43,BL$9,FALSE),"")</f>
        <v>0</v>
      </c>
      <c r="BM27" s="430">
        <f>IFERROR(VLOOKUP(Envoltória!$G35,$BQ$35:$BZ$43,BM$9,FALSE),"")</f>
        <v>0</v>
      </c>
      <c r="BN27" s="430">
        <f>IFERROR(VLOOKUP(Envoltória!$G35,$BQ$35:$BZ$43,BN$9,FALSE),"")</f>
        <v>0</v>
      </c>
      <c r="BO27" s="430">
        <f>IFERROR(VLOOKUP(Envoltória!$G35,$BQ$35:$BZ$43,BO$9,FALSE),"")</f>
        <v>0</v>
      </c>
      <c r="BP27" s="2"/>
      <c r="BQ27" s="421" t="s">
        <v>297</v>
      </c>
      <c r="BR27" s="419">
        <v>12</v>
      </c>
      <c r="BS27" s="419">
        <v>0</v>
      </c>
      <c r="BT27" s="419">
        <v>1</v>
      </c>
      <c r="BU27" s="419">
        <v>0</v>
      </c>
      <c r="BV27" s="419">
        <v>0</v>
      </c>
      <c r="BW27" s="419">
        <v>0</v>
      </c>
    </row>
    <row r="28" spans="1:75" s="13" customFormat="1" x14ac:dyDescent="0.25">
      <c r="A28" s="2">
        <v>18</v>
      </c>
      <c r="B28" s="410" t="str">
        <f>Envoltória!I36</f>
        <v>Escritórios</v>
      </c>
      <c r="C28" s="410" t="str">
        <f>Envoltória!B36</f>
        <v>Térreo (com + pvtos acima)</v>
      </c>
      <c r="D28" s="410" t="str">
        <f>Envoltória!C36</f>
        <v>ZP18</v>
      </c>
      <c r="E28" s="410">
        <f>Envoltória!D36</f>
        <v>0.37</v>
      </c>
      <c r="F28" s="430">
        <f>IF(B28=0,"",Envoltória!E36)</f>
        <v>3</v>
      </c>
      <c r="G28" s="433">
        <f t="shared" si="2"/>
        <v>4.5822222222222226</v>
      </c>
      <c r="H28" s="430">
        <f>IF(B28=0,"",Envoltória!O36/100)</f>
        <v>0</v>
      </c>
      <c r="I28" s="430">
        <f>IF(B28=0,"",IF(BF28=1,VLOOKUP(Envoltória!N36,Componentes!AV:AY,2,FALSE),89))</f>
        <v>0</v>
      </c>
      <c r="J28" s="416">
        <f>IF(B28=0,"",IFERROR(VLOOKUP(Envoltória!M36,Componentes!$P:$R,2,FALSE),""))</f>
        <v>2.06</v>
      </c>
      <c r="K28" s="416">
        <f>IF(B28=0,"",IFERROR(VLOOKUP(Envoltória!M36,Componentes!$P:$R,3,FALSE),""))</f>
        <v>233</v>
      </c>
      <c r="L28" s="431">
        <f>IF(B28=0,"",IFERROR(IF(BB28&lt;&gt;0,VLOOKUP(Envoltória!L36,Componentes!K:N,2,FALSE),0),""))</f>
        <v>0</v>
      </c>
      <c r="M28" s="431">
        <f>IF(B28=0,"",IFERROR(IF(BB28&lt;&gt;0,VLOOKUP(Envoltória!L36,Componentes!K:N,3,FALSE),0),""))</f>
        <v>0</v>
      </c>
      <c r="N28" s="431">
        <f>IF(B28=0,"",IFERROR(IF(BB28&lt;&gt;0,VLOOKUP(Envoltória!L36,Componentes!K:N,4,FALSE),0),""))</f>
        <v>0</v>
      </c>
      <c r="O28" s="430">
        <f>IF(B28=0,"",IF(BF28=1,VLOOKUP(Envoltória!J36,Componentes!B:E,2,FALSE),-6))</f>
        <v>1.7307999999999999</v>
      </c>
      <c r="P28" s="430">
        <f>IF(B28=0,"",IF(BF28=1,VLOOKUP(Envoltória!J36,Componentes!B:E,3,FALSE),-400))</f>
        <v>150</v>
      </c>
      <c r="Q28" s="430">
        <f>IF(B28=0,"",IF(BF28=1,VLOOKUP(Envoltória!J36,Componentes!B:E,4,FALSE),0))</f>
        <v>0.39600000000000002</v>
      </c>
      <c r="R28" s="416">
        <f>IF(B28=0,"",IFERROR(VLOOKUP(Envoltória!K36,Componentes!G:I,2,FALSE),""))</f>
        <v>2.39</v>
      </c>
      <c r="S28" s="416">
        <f>IF(B28=0,"",IFERROR(VLOOKUP(Envoltória!K36,Componentes!G:I,3,FALSE),""))</f>
        <v>150</v>
      </c>
      <c r="T28" s="430">
        <f>IF(B28=0,"",IFERROR(IF(H28&lt;&gt;0,VLOOKUP(Envoltória!N36,Componentes!T:V,3,FALSE),0),""))</f>
        <v>0</v>
      </c>
      <c r="U28" s="430">
        <f>IF(B28=0,"",IFERROR(IF(H28&lt;&gt;0,VLOOKUP(Envoltória!N36,Componentes!T:V,2,FALSE),0),""))</f>
        <v>0</v>
      </c>
      <c r="V28" s="416">
        <f>IF(B28=0,"",IFERROR(IF(AA28&lt;&gt;0,VLOOKUP(Envoltória!U36,Componentes!X:Z,2,FALSE),0),0))</f>
        <v>0</v>
      </c>
      <c r="W28" s="416">
        <f>IF(B28=0,"",IFERROR(IF(AA28&lt;&gt;0,VLOOKUP(Envoltória!U36,Componentes!X:Z,3,FALSE),0),0))</f>
        <v>0</v>
      </c>
      <c r="X28" s="430">
        <f>IF(B28=0,"",Envoltória!U36)</f>
        <v>0.1</v>
      </c>
      <c r="Y28" s="430">
        <f>IF(B28=0,"",Envoltória!S36)</f>
        <v>15.45</v>
      </c>
      <c r="Z28" s="430">
        <f>IF(B28=0,"",Envoltória!T36)</f>
        <v>15</v>
      </c>
      <c r="AA28" s="416">
        <f>IF(B28=0,"",Envoltória!Q36/100)</f>
        <v>0</v>
      </c>
      <c r="AB28" s="434">
        <f>IF($B28=0,"",VLOOKUP(Aux_Lista!$DR$2,Aux_Clima!$A:$O,AB$8,FALSE))</f>
        <v>-7.02</v>
      </c>
      <c r="AC28" s="434">
        <f>IF($B28=0,"",VLOOKUP(Aux_Lista!$DR$2,Aux_Clima!$A:$O,AC$8,FALSE))</f>
        <v>249</v>
      </c>
      <c r="AD28" s="434">
        <f>IF($B28=0,"",ROUND(VLOOKUP(Aux_Lista!$DR$2,Aux_Clima!$A:$O,AD$8,FALSE),8))</f>
        <v>27.24</v>
      </c>
      <c r="AE28" s="434">
        <f>IF($B28=0,"",ROUND(VLOOKUP(Aux_Lista!$DR$2,Aux_Clima!$A:$O,AE$8,FALSE),8))</f>
        <v>24.17</v>
      </c>
      <c r="AF28" s="434">
        <f>IF($B28=0,"",ROUND(VLOOKUP(Aux_Lista!$DR$2,Aux_Clima!$A:$O,AF$8,FALSE),8))</f>
        <v>30.311666670000001</v>
      </c>
      <c r="AG28" s="434">
        <f>IF($B28=0,"",ROUND(VLOOKUP(Aux_Lista!$DR$2,Aux_Clima!$A:$O,AG$8,FALSE),8))</f>
        <v>2.8624999999999998</v>
      </c>
      <c r="AH28" s="434">
        <f>IF($B28=0,"",ROUND(VLOOKUP(Aux_Lista!$DR$2,Aux_Clima!$A:$O,AH$8,FALSE),8))</f>
        <v>1.8233333300000001</v>
      </c>
      <c r="AI28" s="434">
        <f>IF($B28=0,"",ROUND(VLOOKUP(Aux_Lista!$DR$2,Aux_Clima!$A:$O,AI$8,FALSE),8))</f>
        <v>3.8433333300000001</v>
      </c>
      <c r="AJ28" s="434">
        <f>IF($B28=0,"",ROUND(VLOOKUP(Aux_Lista!$DR$2,Aux_Clima!$A:$O,AJ$8,FALSE),3))</f>
        <v>6082.0829999999996</v>
      </c>
      <c r="AK28" s="434">
        <f>IF($B28=0,"",ROUND(VLOOKUP(Aux_Lista!$DR$2,Aux_Clima!$A:$O,AK$8,FALSE),3))</f>
        <v>5588.8329999999996</v>
      </c>
      <c r="AL28" s="434">
        <f>IF($B28=0,"",ROUND(VLOOKUP(Aux_Lista!$DR$2,Aux_Clima!$A:$O,AL$8,FALSE),3))</f>
        <v>6759.9380000000001</v>
      </c>
      <c r="AM28" s="434">
        <f>IF($B28=0,"",ROUND(VLOOKUP(Aux_Lista!$DR$2,Aux_Clima!$A:$O,AM$8,FALSE),8))</f>
        <v>18.44083333</v>
      </c>
      <c r="AN28" s="434">
        <f>IF($B28=0,"",ROUND(VLOOKUP(Aux_Lista!$DR$2,Aux_Clima!$A:$O,AN$8,FALSE),8))</f>
        <v>17.19166667</v>
      </c>
      <c r="AO28" s="434">
        <f>IF($B28=0,"",ROUND(VLOOKUP(Aux_Lista!$DR$2,Aux_Clima!$A:$O,AO$8,FALSE),8))</f>
        <v>19.883333329999999</v>
      </c>
      <c r="AP28" s="430">
        <f>IF(B28=0,"",IF(BF28=0,84,VLOOKUP(Envoltória!N36,Componentes!AV:AY,4,FALSE)))</f>
        <v>0</v>
      </c>
      <c r="AQ28" s="430">
        <f>IF(B28=0,"",IF(BF28=0,90,VLOOKUP(Envoltória!N36,Componentes!AV:AY,3,FALSE)))</f>
        <v>0</v>
      </c>
      <c r="AR28" s="430">
        <f t="shared" si="0"/>
        <v>1</v>
      </c>
      <c r="AS28" s="430">
        <f t="shared" si="0"/>
        <v>0</v>
      </c>
      <c r="AT28" s="430">
        <f t="shared" si="0"/>
        <v>0</v>
      </c>
      <c r="AU28" s="430">
        <f t="shared" si="0"/>
        <v>0</v>
      </c>
      <c r="AV28" s="430">
        <f t="shared" si="0"/>
        <v>0</v>
      </c>
      <c r="AW28" s="416">
        <f>IF($B28=0,"",IFERROR(VLOOKUP(Envoltória!$B36,Aux_Lista!$O:$U,AW$9,FALSE),0))</f>
        <v>0</v>
      </c>
      <c r="AX28" s="416">
        <f>IF($B28=0,"",IFERROR(VLOOKUP(Envoltória!$B36,Aux_Lista!$O:$U,AX$9,FALSE),0))</f>
        <v>1</v>
      </c>
      <c r="AY28" s="416">
        <f>IF($B28=0,"",IFERROR(VLOOKUP(Envoltória!$B36,Aux_Lista!$O:$U,AY$9,FALSE),0))</f>
        <v>1</v>
      </c>
      <c r="AZ28" s="416">
        <f>IF($B28=0,"",IFERROR(VLOOKUP(Envoltória!$B36,Aux_Lista!$O:$U,AZ$9,FALSE),0))</f>
        <v>0</v>
      </c>
      <c r="BA28" s="416">
        <f>IF($B28=0,"",IFERROR(VLOOKUP(Envoltória!$B36,Aux_Lista!$O:$U,BA$9,FALSE),0))</f>
        <v>1</v>
      </c>
      <c r="BB28" s="416">
        <f>IF($B28=0,"",IFERROR(VLOOKUP(Envoltória!$B36,Aux_Lista!$O:$U,BB$9,FALSE),0))</f>
        <v>0</v>
      </c>
      <c r="BC28" s="416">
        <f>IFERROR(VLOOKUP(Envoltória!$H36,Aux_Lista!$W$2:$Y$3,BC$9,FALSE),"")</f>
        <v>1</v>
      </c>
      <c r="BD28" s="416">
        <f>IFERROR(VLOOKUP(Envoltória!$H36,Aux_Lista!$W$2:$Y$3,BD$9,FALSE),"")</f>
        <v>0</v>
      </c>
      <c r="BE28" s="430">
        <f t="shared" si="1"/>
        <v>0</v>
      </c>
      <c r="BF28" s="430">
        <f>IF(B28=0,"",IF(Envoltória!F36="Perimetral",1,0))</f>
        <v>1</v>
      </c>
      <c r="BG28" s="430">
        <f>IFERROR(VLOOKUP(Envoltória!$G36,$BQ$35:$BZ$43,BG$9,FALSE),"")</f>
        <v>0</v>
      </c>
      <c r="BH28" s="430">
        <f>IFERROR(VLOOKUP(Envoltória!$G36,$BQ$35:$BZ$43,BH$9,FALSE),"")</f>
        <v>0</v>
      </c>
      <c r="BI28" s="430">
        <f>IFERROR(VLOOKUP(Envoltória!$G36,$BQ$35:$BZ$43,BI$9,FALSE),"")</f>
        <v>0</v>
      </c>
      <c r="BJ28" s="430">
        <f>IFERROR(VLOOKUP(Envoltória!$G36,$BQ$35:$BZ$43,BJ$9,FALSE),"")</f>
        <v>0</v>
      </c>
      <c r="BK28" s="430">
        <f>IFERROR(VLOOKUP(Envoltória!$G36,$BQ$35:$BZ$43,BK$9,FALSE),"")</f>
        <v>0</v>
      </c>
      <c r="BL28" s="430">
        <f>IFERROR(VLOOKUP(Envoltória!$G36,$BQ$35:$BZ$43,BL$9,FALSE),"")</f>
        <v>0</v>
      </c>
      <c r="BM28" s="430">
        <f>IFERROR(VLOOKUP(Envoltória!$G36,$BQ$35:$BZ$43,BM$9,FALSE),"")</f>
        <v>1</v>
      </c>
      <c r="BN28" s="430">
        <f>IFERROR(VLOOKUP(Envoltória!$G36,$BQ$35:$BZ$43,BN$9,FALSE),"")</f>
        <v>0</v>
      </c>
      <c r="BO28" s="430">
        <f>IFERROR(VLOOKUP(Envoltória!$G36,$BQ$35:$BZ$43,BO$9,FALSE),"")</f>
        <v>0</v>
      </c>
      <c r="BP28" s="2"/>
      <c r="BQ28" s="421" t="s">
        <v>70</v>
      </c>
      <c r="BR28" s="419">
        <v>12</v>
      </c>
      <c r="BS28" s="419">
        <v>0</v>
      </c>
      <c r="BT28" s="419">
        <v>1</v>
      </c>
      <c r="BU28" s="419">
        <v>0</v>
      </c>
      <c r="BV28" s="419">
        <v>0</v>
      </c>
      <c r="BW28" s="419">
        <v>0</v>
      </c>
    </row>
    <row r="29" spans="1:75" s="13" customFormat="1" x14ac:dyDescent="0.25">
      <c r="A29" s="2">
        <v>19</v>
      </c>
      <c r="B29" s="410" t="str">
        <f>Envoltória!I37</f>
        <v>Escritórios</v>
      </c>
      <c r="C29" s="410" t="str">
        <f>Envoltória!B37</f>
        <v>Térreo (com + pvtos acima)</v>
      </c>
      <c r="D29" s="410" t="str">
        <f>Envoltória!C37</f>
        <v>ZP19</v>
      </c>
      <c r="E29" s="410">
        <f>Envoltória!D37</f>
        <v>36.15</v>
      </c>
      <c r="F29" s="430">
        <f>IF(B29=0,"",Envoltória!E37)</f>
        <v>3</v>
      </c>
      <c r="G29" s="433">
        <f t="shared" si="2"/>
        <v>12.533333333333333</v>
      </c>
      <c r="H29" s="430">
        <f>IF(B29=0,"",Envoltória!O37/100)</f>
        <v>0.3</v>
      </c>
      <c r="I29" s="430">
        <f>IF(B29=0,"",IF(BF29=1,VLOOKUP(Envoltória!N37,Componentes!AV:AY,2,FALSE),89))</f>
        <v>0</v>
      </c>
      <c r="J29" s="416">
        <f>IF(B29=0,"",IFERROR(VLOOKUP(Envoltória!M37,Componentes!$P:$R,2,FALSE),""))</f>
        <v>2.06</v>
      </c>
      <c r="K29" s="416">
        <f>IF(B29=0,"",IFERROR(VLOOKUP(Envoltória!M37,Componentes!$P:$R,3,FALSE),""))</f>
        <v>233</v>
      </c>
      <c r="L29" s="431">
        <f>IF(B29=0,"",IFERROR(IF(BB29&lt;&gt;0,VLOOKUP(Envoltória!L37,Componentes!K:N,2,FALSE),0),""))</f>
        <v>0</v>
      </c>
      <c r="M29" s="431">
        <f>IF(B29=0,"",IFERROR(IF(BB29&lt;&gt;0,VLOOKUP(Envoltória!L37,Componentes!K:N,3,FALSE),0),""))</f>
        <v>0</v>
      </c>
      <c r="N29" s="431">
        <f>IF(B29=0,"",IFERROR(IF(BB29&lt;&gt;0,VLOOKUP(Envoltória!L37,Componentes!K:N,4,FALSE),0),""))</f>
        <v>0</v>
      </c>
      <c r="O29" s="430">
        <f>IF(B29=0,"",IF(BF29=1,VLOOKUP(Envoltória!J37,Componentes!B:E,2,FALSE),-6))</f>
        <v>1.7307999999999999</v>
      </c>
      <c r="P29" s="430">
        <f>IF(B29=0,"",IF(BF29=1,VLOOKUP(Envoltória!J37,Componentes!B:E,3,FALSE),-400))</f>
        <v>150</v>
      </c>
      <c r="Q29" s="430">
        <f>IF(B29=0,"",IF(BF29=1,VLOOKUP(Envoltória!J37,Componentes!B:E,4,FALSE),0))</f>
        <v>0.39600000000000002</v>
      </c>
      <c r="R29" s="416">
        <f>IF(B29=0,"",IFERROR(VLOOKUP(Envoltória!K37,Componentes!G:I,2,FALSE),""))</f>
        <v>2.39</v>
      </c>
      <c r="S29" s="416">
        <f>IF(B29=0,"",IFERROR(VLOOKUP(Envoltória!K37,Componentes!G:I,3,FALSE),""))</f>
        <v>150</v>
      </c>
      <c r="T29" s="430">
        <f>IF(B29=0,"",IFERROR(IF(H29&lt;&gt;0,VLOOKUP(Envoltória!N37,Componentes!T:V,3,FALSE),0),""))</f>
        <v>0.82</v>
      </c>
      <c r="U29" s="430">
        <f>IF(B29=0,"",IFERROR(IF(H29&lt;&gt;0,VLOOKUP(Envoltória!N37,Componentes!T:V,2,FALSE),0),""))</f>
        <v>5.7</v>
      </c>
      <c r="V29" s="416">
        <f>IF(B29=0,"",IFERROR(IF(AA29&lt;&gt;0,VLOOKUP(Envoltória!U37,Componentes!X:Z,2,FALSE),0),0))</f>
        <v>0</v>
      </c>
      <c r="W29" s="416">
        <f>IF(B29=0,"",IFERROR(IF(AA29&lt;&gt;0,VLOOKUP(Envoltória!U37,Componentes!X:Z,3,FALSE),0),0))</f>
        <v>0</v>
      </c>
      <c r="X29" s="430">
        <f>IF(B29=0,"",Envoltória!U37)</f>
        <v>0.1</v>
      </c>
      <c r="Y29" s="430">
        <f>IF(B29=0,"",Envoltória!S37)</f>
        <v>15.45</v>
      </c>
      <c r="Z29" s="430">
        <f>IF(B29=0,"",Envoltória!T37)</f>
        <v>15</v>
      </c>
      <c r="AA29" s="416">
        <f>IF(B29=0,"",Envoltória!Q37/100)</f>
        <v>0</v>
      </c>
      <c r="AB29" s="434">
        <f>IF($B29=0,"",VLOOKUP(Aux_Lista!$DR$2,Aux_Clima!$A:$O,AB$8,FALSE))</f>
        <v>-7.02</v>
      </c>
      <c r="AC29" s="434">
        <f>IF($B29=0,"",VLOOKUP(Aux_Lista!$DR$2,Aux_Clima!$A:$O,AC$8,FALSE))</f>
        <v>249</v>
      </c>
      <c r="AD29" s="434">
        <f>IF($B29=0,"",ROUND(VLOOKUP(Aux_Lista!$DR$2,Aux_Clima!$A:$O,AD$8,FALSE),8))</f>
        <v>27.24</v>
      </c>
      <c r="AE29" s="434">
        <f>IF($B29=0,"",ROUND(VLOOKUP(Aux_Lista!$DR$2,Aux_Clima!$A:$O,AE$8,FALSE),8))</f>
        <v>24.17</v>
      </c>
      <c r="AF29" s="434">
        <f>IF($B29=0,"",ROUND(VLOOKUP(Aux_Lista!$DR$2,Aux_Clima!$A:$O,AF$8,FALSE),8))</f>
        <v>30.311666670000001</v>
      </c>
      <c r="AG29" s="434">
        <f>IF($B29=0,"",ROUND(VLOOKUP(Aux_Lista!$DR$2,Aux_Clima!$A:$O,AG$8,FALSE),8))</f>
        <v>2.8624999999999998</v>
      </c>
      <c r="AH29" s="434">
        <f>IF($B29=0,"",ROUND(VLOOKUP(Aux_Lista!$DR$2,Aux_Clima!$A:$O,AH$8,FALSE),8))</f>
        <v>1.8233333300000001</v>
      </c>
      <c r="AI29" s="434">
        <f>IF($B29=0,"",ROUND(VLOOKUP(Aux_Lista!$DR$2,Aux_Clima!$A:$O,AI$8,FALSE),8))</f>
        <v>3.8433333300000001</v>
      </c>
      <c r="AJ29" s="434">
        <f>IF($B29=0,"",ROUND(VLOOKUP(Aux_Lista!$DR$2,Aux_Clima!$A:$O,AJ$8,FALSE),3))</f>
        <v>6082.0829999999996</v>
      </c>
      <c r="AK29" s="434">
        <f>IF($B29=0,"",ROUND(VLOOKUP(Aux_Lista!$DR$2,Aux_Clima!$A:$O,AK$8,FALSE),3))</f>
        <v>5588.8329999999996</v>
      </c>
      <c r="AL29" s="434">
        <f>IF($B29=0,"",ROUND(VLOOKUP(Aux_Lista!$DR$2,Aux_Clima!$A:$O,AL$8,FALSE),3))</f>
        <v>6759.9380000000001</v>
      </c>
      <c r="AM29" s="434">
        <f>IF($B29=0,"",ROUND(VLOOKUP(Aux_Lista!$DR$2,Aux_Clima!$A:$O,AM$8,FALSE),8))</f>
        <v>18.44083333</v>
      </c>
      <c r="AN29" s="434">
        <f>IF($B29=0,"",ROUND(VLOOKUP(Aux_Lista!$DR$2,Aux_Clima!$A:$O,AN$8,FALSE),8))</f>
        <v>17.19166667</v>
      </c>
      <c r="AO29" s="434">
        <f>IF($B29=0,"",ROUND(VLOOKUP(Aux_Lista!$DR$2,Aux_Clima!$A:$O,AO$8,FALSE),8))</f>
        <v>19.883333329999999</v>
      </c>
      <c r="AP29" s="430">
        <f>IF(B29=0,"",IF(BF29=0,84,VLOOKUP(Envoltória!N37,Componentes!AV:AY,4,FALSE)))</f>
        <v>0</v>
      </c>
      <c r="AQ29" s="430">
        <f>IF(B29=0,"",IF(BF29=0,90,VLOOKUP(Envoltória!N37,Componentes!AV:AY,3,FALSE)))</f>
        <v>0</v>
      </c>
      <c r="AR29" s="430">
        <f t="shared" si="0"/>
        <v>1</v>
      </c>
      <c r="AS29" s="430">
        <f t="shared" si="0"/>
        <v>0</v>
      </c>
      <c r="AT29" s="430">
        <f t="shared" si="0"/>
        <v>0</v>
      </c>
      <c r="AU29" s="430">
        <f t="shared" si="0"/>
        <v>0</v>
      </c>
      <c r="AV29" s="430">
        <f t="shared" si="0"/>
        <v>0</v>
      </c>
      <c r="AW29" s="416">
        <f>IF($B29=0,"",IFERROR(VLOOKUP(Envoltória!$B37,Aux_Lista!$O:$U,AW$9,FALSE),0))</f>
        <v>0</v>
      </c>
      <c r="AX29" s="416">
        <f>IF($B29=0,"",IFERROR(VLOOKUP(Envoltória!$B37,Aux_Lista!$O:$U,AX$9,FALSE),0))</f>
        <v>1</v>
      </c>
      <c r="AY29" s="416">
        <f>IF($B29=0,"",IFERROR(VLOOKUP(Envoltória!$B37,Aux_Lista!$O:$U,AY$9,FALSE),0))</f>
        <v>1</v>
      </c>
      <c r="AZ29" s="416">
        <f>IF($B29=0,"",IFERROR(VLOOKUP(Envoltória!$B37,Aux_Lista!$O:$U,AZ$9,FALSE),0))</f>
        <v>0</v>
      </c>
      <c r="BA29" s="416">
        <f>IF($B29=0,"",IFERROR(VLOOKUP(Envoltória!$B37,Aux_Lista!$O:$U,BA$9,FALSE),0))</f>
        <v>1</v>
      </c>
      <c r="BB29" s="416">
        <f>IF($B29=0,"",IFERROR(VLOOKUP(Envoltória!$B37,Aux_Lista!$O:$U,BB$9,FALSE),0))</f>
        <v>0</v>
      </c>
      <c r="BC29" s="416">
        <f>IFERROR(VLOOKUP(Envoltória!$H37,Aux_Lista!$W$2:$Y$3,BC$9,FALSE),"")</f>
        <v>1</v>
      </c>
      <c r="BD29" s="416">
        <f>IFERROR(VLOOKUP(Envoltória!$H37,Aux_Lista!$W$2:$Y$3,BD$9,FALSE),"")</f>
        <v>0</v>
      </c>
      <c r="BE29" s="430">
        <f t="shared" si="1"/>
        <v>0</v>
      </c>
      <c r="BF29" s="430">
        <f>IF(B29=0,"",IF(Envoltória!F37="Perimetral",1,0))</f>
        <v>1</v>
      </c>
      <c r="BG29" s="430">
        <f>IFERROR(VLOOKUP(Envoltória!$G37,$BQ$35:$BZ$43,BG$9,FALSE),"")</f>
        <v>0</v>
      </c>
      <c r="BH29" s="430">
        <f>IFERROR(VLOOKUP(Envoltória!$G37,$BQ$35:$BZ$43,BH$9,FALSE),"")</f>
        <v>0</v>
      </c>
      <c r="BI29" s="430">
        <f>IFERROR(VLOOKUP(Envoltória!$G37,$BQ$35:$BZ$43,BI$9,FALSE),"")</f>
        <v>0</v>
      </c>
      <c r="BJ29" s="430">
        <f>IFERROR(VLOOKUP(Envoltória!$G37,$BQ$35:$BZ$43,BJ$9,FALSE),"")</f>
        <v>0</v>
      </c>
      <c r="BK29" s="430">
        <f>IFERROR(VLOOKUP(Envoltória!$G37,$BQ$35:$BZ$43,BK$9,FALSE),"")</f>
        <v>1</v>
      </c>
      <c r="BL29" s="430">
        <f>IFERROR(VLOOKUP(Envoltória!$G37,$BQ$35:$BZ$43,BL$9,FALSE),"")</f>
        <v>0</v>
      </c>
      <c r="BM29" s="430">
        <f>IFERROR(VLOOKUP(Envoltória!$G37,$BQ$35:$BZ$43,BM$9,FALSE),"")</f>
        <v>0</v>
      </c>
      <c r="BN29" s="430">
        <f>IFERROR(VLOOKUP(Envoltória!$G37,$BQ$35:$BZ$43,BN$9,FALSE),"")</f>
        <v>0</v>
      </c>
      <c r="BO29" s="430">
        <f>IFERROR(VLOOKUP(Envoltória!$G37,$BQ$35:$BZ$43,BO$9,FALSE),"")</f>
        <v>0</v>
      </c>
      <c r="BP29" s="2"/>
      <c r="BQ29" s="421" t="s">
        <v>316</v>
      </c>
      <c r="BR29" s="419">
        <v>12</v>
      </c>
      <c r="BS29" s="419">
        <v>0</v>
      </c>
      <c r="BT29" s="419">
        <v>1</v>
      </c>
      <c r="BU29" s="419">
        <v>0</v>
      </c>
      <c r="BV29" s="419">
        <v>0</v>
      </c>
      <c r="BW29" s="419">
        <v>0</v>
      </c>
    </row>
    <row r="30" spans="1:75" s="13" customFormat="1" x14ac:dyDescent="0.25">
      <c r="A30" s="2">
        <v>20</v>
      </c>
      <c r="B30" s="410" t="str">
        <f>Envoltória!I38</f>
        <v>Escritórios</v>
      </c>
      <c r="C30" s="410" t="str">
        <f>Envoltória!B38</f>
        <v>Térreo (com + pvtos acima)</v>
      </c>
      <c r="D30" s="410" t="str">
        <f>Envoltória!C38</f>
        <v>ZP20</v>
      </c>
      <c r="E30" s="410">
        <f>Envoltória!D38</f>
        <v>12.06</v>
      </c>
      <c r="F30" s="430">
        <f>IF(B30=0,"",Envoltória!E38)</f>
        <v>3</v>
      </c>
      <c r="G30" s="433">
        <f t="shared" si="2"/>
        <v>7.18</v>
      </c>
      <c r="H30" s="430">
        <f>IF(B30=0,"",Envoltória!O38/100)</f>
        <v>0</v>
      </c>
      <c r="I30" s="430">
        <f>IF(B30=0,"",IF(BF30=1,VLOOKUP(Envoltória!N38,Componentes!AV:AY,2,FALSE),89))</f>
        <v>0</v>
      </c>
      <c r="J30" s="416">
        <f>IF(B30=0,"",IFERROR(VLOOKUP(Envoltória!M38,Componentes!$P:$R,2,FALSE),""))</f>
        <v>2.06</v>
      </c>
      <c r="K30" s="416">
        <f>IF(B30=0,"",IFERROR(VLOOKUP(Envoltória!M38,Componentes!$P:$R,3,FALSE),""))</f>
        <v>233</v>
      </c>
      <c r="L30" s="431">
        <f>IF(B30=0,"",IFERROR(IF(BB30&lt;&gt;0,VLOOKUP(Envoltória!L38,Componentes!K:N,2,FALSE),0),""))</f>
        <v>0</v>
      </c>
      <c r="M30" s="431">
        <f>IF(B30=0,"",IFERROR(IF(BB30&lt;&gt;0,VLOOKUP(Envoltória!L38,Componentes!K:N,3,FALSE),0),""))</f>
        <v>0</v>
      </c>
      <c r="N30" s="431">
        <f>IF(B30=0,"",IFERROR(IF(BB30&lt;&gt;0,VLOOKUP(Envoltória!L38,Componentes!K:N,4,FALSE),0),""))</f>
        <v>0</v>
      </c>
      <c r="O30" s="430">
        <f>IF(B30=0,"",IF(BF30=1,VLOOKUP(Envoltória!J38,Componentes!B:E,2,FALSE),-6))</f>
        <v>1.7307999999999999</v>
      </c>
      <c r="P30" s="430">
        <f>IF(B30=0,"",IF(BF30=1,VLOOKUP(Envoltória!J38,Componentes!B:E,3,FALSE),-400))</f>
        <v>150</v>
      </c>
      <c r="Q30" s="430">
        <f>IF(B30=0,"",IF(BF30=1,VLOOKUP(Envoltória!J38,Componentes!B:E,4,FALSE),0))</f>
        <v>0.2</v>
      </c>
      <c r="R30" s="416">
        <f>IF(B30=0,"",IFERROR(VLOOKUP(Envoltória!K38,Componentes!G:I,2,FALSE),""))</f>
        <v>2.39</v>
      </c>
      <c r="S30" s="416">
        <f>IF(B30=0,"",IFERROR(VLOOKUP(Envoltória!K38,Componentes!G:I,3,FALSE),""))</f>
        <v>150</v>
      </c>
      <c r="T30" s="430">
        <f>IF(B30=0,"",IFERROR(IF(H30&lt;&gt;0,VLOOKUP(Envoltória!N38,Componentes!T:V,3,FALSE),0),""))</f>
        <v>0</v>
      </c>
      <c r="U30" s="430">
        <f>IF(B30=0,"",IFERROR(IF(H30&lt;&gt;0,VLOOKUP(Envoltória!N38,Componentes!T:V,2,FALSE),0),""))</f>
        <v>0</v>
      </c>
      <c r="V30" s="416">
        <f>IF(B30=0,"",IFERROR(IF(AA30&lt;&gt;0,VLOOKUP(Envoltória!U38,Componentes!X:Z,2,FALSE),0),0))</f>
        <v>0</v>
      </c>
      <c r="W30" s="416">
        <f>IF(B30=0,"",IFERROR(IF(AA30&lt;&gt;0,VLOOKUP(Envoltória!U38,Componentes!X:Z,3,FALSE),0),0))</f>
        <v>0</v>
      </c>
      <c r="X30" s="430">
        <f>IF(B30=0,"",Envoltória!U38)</f>
        <v>0.1</v>
      </c>
      <c r="Y30" s="430">
        <f>IF(B30=0,"",Envoltória!S38)</f>
        <v>15.45</v>
      </c>
      <c r="Z30" s="430">
        <f>IF(B30=0,"",Envoltória!T38)</f>
        <v>15</v>
      </c>
      <c r="AA30" s="416">
        <f>IF(B30=0,"",Envoltória!Q38/100)</f>
        <v>0</v>
      </c>
      <c r="AB30" s="434">
        <f>IF($B30=0,"",VLOOKUP(Aux_Lista!$DR$2,Aux_Clima!$A:$O,AB$8,FALSE))</f>
        <v>-7.02</v>
      </c>
      <c r="AC30" s="434">
        <f>IF($B30=0,"",VLOOKUP(Aux_Lista!$DR$2,Aux_Clima!$A:$O,AC$8,FALSE))</f>
        <v>249</v>
      </c>
      <c r="AD30" s="434">
        <f>IF($B30=0,"",ROUND(VLOOKUP(Aux_Lista!$DR$2,Aux_Clima!$A:$O,AD$8,FALSE),8))</f>
        <v>27.24</v>
      </c>
      <c r="AE30" s="434">
        <f>IF($B30=0,"",ROUND(VLOOKUP(Aux_Lista!$DR$2,Aux_Clima!$A:$O,AE$8,FALSE),8))</f>
        <v>24.17</v>
      </c>
      <c r="AF30" s="434">
        <f>IF($B30=0,"",ROUND(VLOOKUP(Aux_Lista!$DR$2,Aux_Clima!$A:$O,AF$8,FALSE),8))</f>
        <v>30.311666670000001</v>
      </c>
      <c r="AG30" s="434">
        <f>IF($B30=0,"",ROUND(VLOOKUP(Aux_Lista!$DR$2,Aux_Clima!$A:$O,AG$8,FALSE),8))</f>
        <v>2.8624999999999998</v>
      </c>
      <c r="AH30" s="434">
        <f>IF($B30=0,"",ROUND(VLOOKUP(Aux_Lista!$DR$2,Aux_Clima!$A:$O,AH$8,FALSE),8))</f>
        <v>1.8233333300000001</v>
      </c>
      <c r="AI30" s="434">
        <f>IF($B30=0,"",ROUND(VLOOKUP(Aux_Lista!$DR$2,Aux_Clima!$A:$O,AI$8,FALSE),8))</f>
        <v>3.8433333300000001</v>
      </c>
      <c r="AJ30" s="434">
        <f>IF($B30=0,"",ROUND(VLOOKUP(Aux_Lista!$DR$2,Aux_Clima!$A:$O,AJ$8,FALSE),3))</f>
        <v>6082.0829999999996</v>
      </c>
      <c r="AK30" s="434">
        <f>IF($B30=0,"",ROUND(VLOOKUP(Aux_Lista!$DR$2,Aux_Clima!$A:$O,AK$8,FALSE),3))</f>
        <v>5588.8329999999996</v>
      </c>
      <c r="AL30" s="434">
        <f>IF($B30=0,"",ROUND(VLOOKUP(Aux_Lista!$DR$2,Aux_Clima!$A:$O,AL$8,FALSE),3))</f>
        <v>6759.9380000000001</v>
      </c>
      <c r="AM30" s="434">
        <f>IF($B30=0,"",ROUND(VLOOKUP(Aux_Lista!$DR$2,Aux_Clima!$A:$O,AM$8,FALSE),8))</f>
        <v>18.44083333</v>
      </c>
      <c r="AN30" s="434">
        <f>IF($B30=0,"",ROUND(VLOOKUP(Aux_Lista!$DR$2,Aux_Clima!$A:$O,AN$8,FALSE),8))</f>
        <v>17.19166667</v>
      </c>
      <c r="AO30" s="434">
        <f>IF($B30=0,"",ROUND(VLOOKUP(Aux_Lista!$DR$2,Aux_Clima!$A:$O,AO$8,FALSE),8))</f>
        <v>19.883333329999999</v>
      </c>
      <c r="AP30" s="430">
        <f>IF(B30=0,"",IF(BF30=0,84,VLOOKUP(Envoltória!N38,Componentes!AV:AY,4,FALSE)))</f>
        <v>0</v>
      </c>
      <c r="AQ30" s="430">
        <f>IF(B30=0,"",IF(BF30=0,90,VLOOKUP(Envoltória!N38,Componentes!AV:AY,3,FALSE)))</f>
        <v>0</v>
      </c>
      <c r="AR30" s="430">
        <f t="shared" si="0"/>
        <v>1</v>
      </c>
      <c r="AS30" s="430">
        <f t="shared" si="0"/>
        <v>0</v>
      </c>
      <c r="AT30" s="430">
        <f t="shared" si="0"/>
        <v>0</v>
      </c>
      <c r="AU30" s="430">
        <f t="shared" si="0"/>
        <v>0</v>
      </c>
      <c r="AV30" s="430">
        <f t="shared" si="0"/>
        <v>0</v>
      </c>
      <c r="AW30" s="416">
        <f>IF($B30=0,"",IFERROR(VLOOKUP(Envoltória!$B38,Aux_Lista!$O:$U,AW$9,FALSE),0))</f>
        <v>0</v>
      </c>
      <c r="AX30" s="416">
        <f>IF($B30=0,"",IFERROR(VLOOKUP(Envoltória!$B38,Aux_Lista!$O:$U,AX$9,FALSE),0))</f>
        <v>1</v>
      </c>
      <c r="AY30" s="416">
        <f>IF($B30=0,"",IFERROR(VLOOKUP(Envoltória!$B38,Aux_Lista!$O:$U,AY$9,FALSE),0))</f>
        <v>1</v>
      </c>
      <c r="AZ30" s="416">
        <f>IF($B30=0,"",IFERROR(VLOOKUP(Envoltória!$B38,Aux_Lista!$O:$U,AZ$9,FALSE),0))</f>
        <v>0</v>
      </c>
      <c r="BA30" s="416">
        <f>IF($B30=0,"",IFERROR(VLOOKUP(Envoltória!$B38,Aux_Lista!$O:$U,BA$9,FALSE),0))</f>
        <v>1</v>
      </c>
      <c r="BB30" s="416">
        <f>IF($B30=0,"",IFERROR(VLOOKUP(Envoltória!$B38,Aux_Lista!$O:$U,BB$9,FALSE),0))</f>
        <v>0</v>
      </c>
      <c r="BC30" s="416">
        <f>IFERROR(VLOOKUP(Envoltória!$H38,Aux_Lista!$W$2:$Y$3,BC$9,FALSE),"")</f>
        <v>1</v>
      </c>
      <c r="BD30" s="416">
        <f>IFERROR(VLOOKUP(Envoltória!$H38,Aux_Lista!$W$2:$Y$3,BD$9,FALSE),"")</f>
        <v>0</v>
      </c>
      <c r="BE30" s="430">
        <f t="shared" si="1"/>
        <v>0</v>
      </c>
      <c r="BF30" s="430">
        <f>IF(B30=0,"",IF(Envoltória!F38="Perimetral",1,0))</f>
        <v>1</v>
      </c>
      <c r="BG30" s="430">
        <f>IFERROR(VLOOKUP(Envoltória!$G38,$BQ$35:$BZ$43,BG$9,FALSE),"")</f>
        <v>0</v>
      </c>
      <c r="BH30" s="430">
        <f>IFERROR(VLOOKUP(Envoltória!$G38,$BQ$35:$BZ$43,BH$9,FALSE),"")</f>
        <v>0</v>
      </c>
      <c r="BI30" s="430">
        <f>IFERROR(VLOOKUP(Envoltória!$G38,$BQ$35:$BZ$43,BI$9,FALSE),"")</f>
        <v>0</v>
      </c>
      <c r="BJ30" s="430">
        <f>IFERROR(VLOOKUP(Envoltória!$G38,$BQ$35:$BZ$43,BJ$9,FALSE),"")</f>
        <v>0</v>
      </c>
      <c r="BK30" s="430">
        <f>IFERROR(VLOOKUP(Envoltória!$G38,$BQ$35:$BZ$43,BK$9,FALSE),"")</f>
        <v>1</v>
      </c>
      <c r="BL30" s="430">
        <f>IFERROR(VLOOKUP(Envoltória!$G38,$BQ$35:$BZ$43,BL$9,FALSE),"")</f>
        <v>0</v>
      </c>
      <c r="BM30" s="430">
        <f>IFERROR(VLOOKUP(Envoltória!$G38,$BQ$35:$BZ$43,BM$9,FALSE),"")</f>
        <v>0</v>
      </c>
      <c r="BN30" s="430">
        <f>IFERROR(VLOOKUP(Envoltória!$G38,$BQ$35:$BZ$43,BN$9,FALSE),"")</f>
        <v>0</v>
      </c>
      <c r="BO30" s="430">
        <f>IFERROR(VLOOKUP(Envoltória!$G38,$BQ$35:$BZ$43,BO$9,FALSE),"")</f>
        <v>0</v>
      </c>
      <c r="BP30" s="2"/>
      <c r="BQ30" s="421" t="s">
        <v>321</v>
      </c>
      <c r="BR30" s="419">
        <v>8</v>
      </c>
      <c r="BS30" s="419">
        <v>0</v>
      </c>
      <c r="BT30" s="419">
        <v>0</v>
      </c>
      <c r="BU30" s="419">
        <v>0</v>
      </c>
      <c r="BV30" s="419">
        <v>0</v>
      </c>
      <c r="BW30" s="419">
        <v>1</v>
      </c>
    </row>
    <row r="31" spans="1:75" s="13" customFormat="1" x14ac:dyDescent="0.25">
      <c r="A31" s="2">
        <v>21</v>
      </c>
      <c r="B31" s="410" t="str">
        <f>Envoltória!I39</f>
        <v>Escritórios</v>
      </c>
      <c r="C31" s="410" t="str">
        <f>Envoltória!B39</f>
        <v>Térreo (com + pvtos acima)</v>
      </c>
      <c r="D31" s="410" t="str">
        <f>Envoltória!C39</f>
        <v>ZP21</v>
      </c>
      <c r="E31" s="410">
        <f>Envoltória!D39</f>
        <v>5.64</v>
      </c>
      <c r="F31" s="430">
        <f>IF(B31=0,"",Envoltória!E39)</f>
        <v>3</v>
      </c>
      <c r="G31" s="430">
        <f t="shared" si="2"/>
        <v>5.753333333333333</v>
      </c>
      <c r="H31" s="430">
        <f>IF(B31=0,"",Envoltória!O39/100)</f>
        <v>0</v>
      </c>
      <c r="I31" s="430">
        <f>IF(B31=0,"",IF(BF31=1,VLOOKUP(Envoltória!N39,Componentes!AV:AY,2,FALSE),89))</f>
        <v>0</v>
      </c>
      <c r="J31" s="416">
        <f>IF(B31=0,"",IFERROR(VLOOKUP(Envoltória!M39,Componentes!$P:$R,2,FALSE),""))</f>
        <v>2.06</v>
      </c>
      <c r="K31" s="416">
        <f>IF(B31=0,"",IFERROR(VLOOKUP(Envoltória!M39,Componentes!$P:$R,3,FALSE),""))</f>
        <v>233</v>
      </c>
      <c r="L31" s="431">
        <f>IF(B31=0,"",IFERROR(IF(BB31&lt;&gt;0,VLOOKUP(Envoltória!L39,Componentes!K:N,2,FALSE),0),""))</f>
        <v>0</v>
      </c>
      <c r="M31" s="431">
        <f>IF(B31=0,"",IFERROR(IF(BB31&lt;&gt;0,VLOOKUP(Envoltória!L39,Componentes!K:N,3,FALSE),0),""))</f>
        <v>0</v>
      </c>
      <c r="N31" s="431">
        <f>IF(B31=0,"",IFERROR(IF(BB31&lt;&gt;0,VLOOKUP(Envoltória!L39,Componentes!K:N,4,FALSE),0),""))</f>
        <v>0</v>
      </c>
      <c r="O31" s="430">
        <f>IF(B31=0,"",IF(BF31=1,VLOOKUP(Envoltória!J39,Componentes!B:E,2,FALSE),-6))</f>
        <v>1.7307999999999999</v>
      </c>
      <c r="P31" s="430">
        <f>IF(B31=0,"",IF(BF31=1,VLOOKUP(Envoltória!J39,Componentes!B:E,3,FALSE),-400))</f>
        <v>150</v>
      </c>
      <c r="Q31" s="430">
        <f>IF(B31=0,"",IF(BF31=1,VLOOKUP(Envoltória!J39,Componentes!B:E,4,FALSE),0))</f>
        <v>0.2</v>
      </c>
      <c r="R31" s="416">
        <f>IF(B31=0,"",IFERROR(VLOOKUP(Envoltória!K39,Componentes!G:I,2,FALSE),""))</f>
        <v>2.39</v>
      </c>
      <c r="S31" s="416">
        <f>IF(B31=0,"",IFERROR(VLOOKUP(Envoltória!K39,Componentes!G:I,3,FALSE),""))</f>
        <v>150</v>
      </c>
      <c r="T31" s="430">
        <f>IF(B31=0,"",IFERROR(IF(H31&lt;&gt;0,VLOOKUP(Envoltória!N39,Componentes!T:V,3,FALSE),0),""))</f>
        <v>0</v>
      </c>
      <c r="U31" s="430">
        <f>IF(B31=0,"",IFERROR(IF(H31&lt;&gt;0,VLOOKUP(Envoltória!N39,Componentes!T:V,2,FALSE),0),""))</f>
        <v>0</v>
      </c>
      <c r="V31" s="416">
        <f>IF(B31=0,"",IFERROR(IF(AA31&lt;&gt;0,VLOOKUP(Envoltória!U39,Componentes!X:Z,2,FALSE),0),0))</f>
        <v>0</v>
      </c>
      <c r="W31" s="416">
        <f>IF(B31=0,"",IFERROR(IF(AA31&lt;&gt;0,VLOOKUP(Envoltória!U39,Componentes!X:Z,3,FALSE),0),0))</f>
        <v>0</v>
      </c>
      <c r="X31" s="430">
        <f>IF(B31=0,"",Envoltória!U39)</f>
        <v>0.1</v>
      </c>
      <c r="Y31" s="430">
        <f>IF(B31=0,"",Envoltória!S39)</f>
        <v>15.45</v>
      </c>
      <c r="Z31" s="430">
        <f>IF(B31=0,"",Envoltória!T39)</f>
        <v>15</v>
      </c>
      <c r="AA31" s="416">
        <f>IF(B31=0,"",Envoltória!Q39/100)</f>
        <v>0</v>
      </c>
      <c r="AB31" s="434">
        <f>IF($B31=0,"",VLOOKUP(Aux_Lista!$DR$2,Aux_Clima!$A:$O,AB$8,FALSE))</f>
        <v>-7.02</v>
      </c>
      <c r="AC31" s="434">
        <f>IF($B31=0,"",VLOOKUP(Aux_Lista!$DR$2,Aux_Clima!$A:$O,AC$8,FALSE))</f>
        <v>249</v>
      </c>
      <c r="AD31" s="434">
        <f>IF($B31=0,"",ROUND(VLOOKUP(Aux_Lista!$DR$2,Aux_Clima!$A:$O,AD$8,FALSE),8))</f>
        <v>27.24</v>
      </c>
      <c r="AE31" s="434">
        <f>IF($B31=0,"",ROUND(VLOOKUP(Aux_Lista!$DR$2,Aux_Clima!$A:$O,AE$8,FALSE),8))</f>
        <v>24.17</v>
      </c>
      <c r="AF31" s="434">
        <f>IF($B31=0,"",ROUND(VLOOKUP(Aux_Lista!$DR$2,Aux_Clima!$A:$O,AF$8,FALSE),8))</f>
        <v>30.311666670000001</v>
      </c>
      <c r="AG31" s="434">
        <f>IF($B31=0,"",ROUND(VLOOKUP(Aux_Lista!$DR$2,Aux_Clima!$A:$O,AG$8,FALSE),8))</f>
        <v>2.8624999999999998</v>
      </c>
      <c r="AH31" s="434">
        <f>IF($B31=0,"",ROUND(VLOOKUP(Aux_Lista!$DR$2,Aux_Clima!$A:$O,AH$8,FALSE),8))</f>
        <v>1.8233333300000001</v>
      </c>
      <c r="AI31" s="434">
        <f>IF($B31=0,"",ROUND(VLOOKUP(Aux_Lista!$DR$2,Aux_Clima!$A:$O,AI$8,FALSE),8))</f>
        <v>3.8433333300000001</v>
      </c>
      <c r="AJ31" s="434">
        <f>IF($B31=0,"",ROUND(VLOOKUP(Aux_Lista!$DR$2,Aux_Clima!$A:$O,AJ$8,FALSE),3))</f>
        <v>6082.0829999999996</v>
      </c>
      <c r="AK31" s="434">
        <f>IF($B31=0,"",ROUND(VLOOKUP(Aux_Lista!$DR$2,Aux_Clima!$A:$O,AK$8,FALSE),3))</f>
        <v>5588.8329999999996</v>
      </c>
      <c r="AL31" s="434">
        <f>IF($B31=0,"",ROUND(VLOOKUP(Aux_Lista!$DR$2,Aux_Clima!$A:$O,AL$8,FALSE),3))</f>
        <v>6759.9380000000001</v>
      </c>
      <c r="AM31" s="434">
        <f>IF($B31=0,"",ROUND(VLOOKUP(Aux_Lista!$DR$2,Aux_Clima!$A:$O,AM$8,FALSE),8))</f>
        <v>18.44083333</v>
      </c>
      <c r="AN31" s="434">
        <f>IF($B31=0,"",ROUND(VLOOKUP(Aux_Lista!$DR$2,Aux_Clima!$A:$O,AN$8,FALSE),8))</f>
        <v>17.19166667</v>
      </c>
      <c r="AO31" s="434">
        <f>IF($B31=0,"",ROUND(VLOOKUP(Aux_Lista!$DR$2,Aux_Clima!$A:$O,AO$8,FALSE),8))</f>
        <v>19.883333329999999</v>
      </c>
      <c r="AP31" s="430">
        <f>IF(B31=0,"",IF(BF31=0,84,VLOOKUP(Envoltória!N39,Componentes!AV:AY,4,FALSE)))</f>
        <v>0</v>
      </c>
      <c r="AQ31" s="430">
        <f>IF(B31=0,"",IF(BF31=0,90,VLOOKUP(Envoltória!N39,Componentes!AV:AY,3,FALSE)))</f>
        <v>0</v>
      </c>
      <c r="AR31" s="430">
        <f t="shared" si="0"/>
        <v>1</v>
      </c>
      <c r="AS31" s="430">
        <f t="shared" si="0"/>
        <v>0</v>
      </c>
      <c r="AT31" s="430">
        <f t="shared" si="0"/>
        <v>0</v>
      </c>
      <c r="AU31" s="430">
        <f t="shared" si="0"/>
        <v>0</v>
      </c>
      <c r="AV31" s="430">
        <f t="shared" si="0"/>
        <v>0</v>
      </c>
      <c r="AW31" s="416">
        <f>IF($B31=0,"",IFERROR(VLOOKUP(Envoltória!$B39,Aux_Lista!$O:$U,AW$9,FALSE),0))</f>
        <v>0</v>
      </c>
      <c r="AX31" s="416">
        <f>IF($B31=0,"",IFERROR(VLOOKUP(Envoltória!$B39,Aux_Lista!$O:$U,AX$9,FALSE),0))</f>
        <v>1</v>
      </c>
      <c r="AY31" s="416">
        <f>IF($B31=0,"",IFERROR(VLOOKUP(Envoltória!$B39,Aux_Lista!$O:$U,AY$9,FALSE),0))</f>
        <v>1</v>
      </c>
      <c r="AZ31" s="416">
        <f>IF($B31=0,"",IFERROR(VLOOKUP(Envoltória!$B39,Aux_Lista!$O:$U,AZ$9,FALSE),0))</f>
        <v>0</v>
      </c>
      <c r="BA31" s="416">
        <f>IF($B31=0,"",IFERROR(VLOOKUP(Envoltória!$B39,Aux_Lista!$O:$U,BA$9,FALSE),0))</f>
        <v>1</v>
      </c>
      <c r="BB31" s="416">
        <f>IF($B31=0,"",IFERROR(VLOOKUP(Envoltória!$B39,Aux_Lista!$O:$U,BB$9,FALSE),0))</f>
        <v>0</v>
      </c>
      <c r="BC31" s="416">
        <f>IFERROR(VLOOKUP(Envoltória!$H39,Aux_Lista!$W$2:$Y$3,BC$9,FALSE),"")</f>
        <v>1</v>
      </c>
      <c r="BD31" s="416">
        <f>IFERROR(VLOOKUP(Envoltória!$H39,Aux_Lista!$W$2:$Y$3,BD$9,FALSE),"")</f>
        <v>0</v>
      </c>
      <c r="BE31" s="430">
        <f t="shared" si="1"/>
        <v>0</v>
      </c>
      <c r="BF31" s="430">
        <f>IF(B31=0,"",IF(Envoltória!F39="Perimetral",1,0))</f>
        <v>1</v>
      </c>
      <c r="BG31" s="430">
        <f>IFERROR(VLOOKUP(Envoltória!$G39,$BQ$35:$BZ$43,BG$9,FALSE),"")</f>
        <v>0</v>
      </c>
      <c r="BH31" s="430">
        <f>IFERROR(VLOOKUP(Envoltória!$G39,$BQ$35:$BZ$43,BH$9,FALSE),"")</f>
        <v>0</v>
      </c>
      <c r="BI31" s="430">
        <f>IFERROR(VLOOKUP(Envoltória!$G39,$BQ$35:$BZ$43,BI$9,FALSE),"")</f>
        <v>0</v>
      </c>
      <c r="BJ31" s="430">
        <f>IFERROR(VLOOKUP(Envoltória!$G39,$BQ$35:$BZ$43,BJ$9,FALSE),"")</f>
        <v>0</v>
      </c>
      <c r="BK31" s="430">
        <f>IFERROR(VLOOKUP(Envoltória!$G39,$BQ$35:$BZ$43,BK$9,FALSE),"")</f>
        <v>0</v>
      </c>
      <c r="BL31" s="430">
        <f>IFERROR(VLOOKUP(Envoltória!$G39,$BQ$35:$BZ$43,BL$9,FALSE),"")</f>
        <v>0</v>
      </c>
      <c r="BM31" s="430">
        <f>IFERROR(VLOOKUP(Envoltória!$G39,$BQ$35:$BZ$43,BM$9,FALSE),"")</f>
        <v>0</v>
      </c>
      <c r="BN31" s="430">
        <f>IFERROR(VLOOKUP(Envoltória!$G39,$BQ$35:$BZ$43,BN$9,FALSE),"")</f>
        <v>0</v>
      </c>
      <c r="BO31" s="430">
        <f>IFERROR(VLOOKUP(Envoltória!$G39,$BQ$35:$BZ$43,BO$9,FALSE),"")</f>
        <v>1</v>
      </c>
      <c r="BP31" s="2"/>
      <c r="BQ31" s="421" t="s">
        <v>327</v>
      </c>
      <c r="BR31" s="419">
        <v>12</v>
      </c>
      <c r="BS31" s="419">
        <v>0</v>
      </c>
      <c r="BT31" s="419">
        <v>1</v>
      </c>
      <c r="BU31" s="419">
        <v>0</v>
      </c>
      <c r="BV31" s="419">
        <v>0</v>
      </c>
      <c r="BW31" s="419">
        <v>0</v>
      </c>
    </row>
    <row r="32" spans="1:75" s="13" customFormat="1" x14ac:dyDescent="0.25">
      <c r="A32" s="2">
        <v>22</v>
      </c>
      <c r="B32" s="410" t="str">
        <f>Envoltória!I40</f>
        <v>Escritórios</v>
      </c>
      <c r="C32" s="410" t="str">
        <f>Envoltória!B40</f>
        <v>Térreo (com + pvtos acima)</v>
      </c>
      <c r="D32" s="410" t="str">
        <f>Envoltória!C40</f>
        <v>ZP22</v>
      </c>
      <c r="E32" s="410">
        <f>Envoltória!D40</f>
        <v>68.97</v>
      </c>
      <c r="F32" s="430">
        <f>IF(B32=0,"",Envoltória!E40)</f>
        <v>3</v>
      </c>
      <c r="G32" s="430">
        <f t="shared" si="2"/>
        <v>19.826666666666668</v>
      </c>
      <c r="H32" s="430">
        <f>IF(B32=0,"",Envoltória!O40/100)</f>
        <v>7.0000000000000007E-2</v>
      </c>
      <c r="I32" s="430">
        <f>IF(B32=0,"",IF(BF32=1,VLOOKUP(Envoltória!N40,Componentes!AV:AY,2,FALSE),89))</f>
        <v>0</v>
      </c>
      <c r="J32" s="416">
        <f>IF(B32=0,"",IFERROR(VLOOKUP(Envoltória!M40,Componentes!$P:$R,2,FALSE),""))</f>
        <v>2.06</v>
      </c>
      <c r="K32" s="416">
        <f>IF(B32=0,"",IFERROR(VLOOKUP(Envoltória!M40,Componentes!$P:$R,3,FALSE),""))</f>
        <v>233</v>
      </c>
      <c r="L32" s="431">
        <f>IF(B32=0,"",IFERROR(IF(BB32&lt;&gt;0,VLOOKUP(Envoltória!L40,Componentes!K:N,2,FALSE),0),""))</f>
        <v>0</v>
      </c>
      <c r="M32" s="431">
        <f>IF(B32=0,"",IFERROR(IF(BB32&lt;&gt;0,VLOOKUP(Envoltória!L40,Componentes!K:N,3,FALSE),0),""))</f>
        <v>0</v>
      </c>
      <c r="N32" s="431">
        <f>IF(B32=0,"",IFERROR(IF(BB32&lt;&gt;0,VLOOKUP(Envoltória!L40,Componentes!K:N,4,FALSE),0),""))</f>
        <v>0</v>
      </c>
      <c r="O32" s="430">
        <f>IF(B32=0,"",IF(BF32=1,VLOOKUP(Envoltória!J40,Componentes!B:E,2,FALSE),-6))</f>
        <v>1.7307999999999999</v>
      </c>
      <c r="P32" s="430">
        <f>IF(B32=0,"",IF(BF32=1,VLOOKUP(Envoltória!J40,Componentes!B:E,3,FALSE),-400))</f>
        <v>150</v>
      </c>
      <c r="Q32" s="430">
        <f>IF(B32=0,"",IF(BF32=1,VLOOKUP(Envoltória!J40,Componentes!B:E,4,FALSE),0))</f>
        <v>0.2</v>
      </c>
      <c r="R32" s="416">
        <f>IF(B32=0,"",IFERROR(VLOOKUP(Envoltória!K40,Componentes!G:I,2,FALSE),""))</f>
        <v>2.39</v>
      </c>
      <c r="S32" s="416">
        <f>IF(B32=0,"",IFERROR(VLOOKUP(Envoltória!K40,Componentes!G:I,3,FALSE),""))</f>
        <v>150</v>
      </c>
      <c r="T32" s="430">
        <f>IF(B32=0,"",IFERROR(IF(H32&lt;&gt;0,VLOOKUP(Envoltória!N40,Componentes!T:V,3,FALSE),0),""))</f>
        <v>0.82</v>
      </c>
      <c r="U32" s="430">
        <f>IF(B32=0,"",IFERROR(IF(H32&lt;&gt;0,VLOOKUP(Envoltória!N40,Componentes!T:V,2,FALSE),0),""))</f>
        <v>5.7</v>
      </c>
      <c r="V32" s="416">
        <f>IF(B32=0,"",IFERROR(IF(AA32&lt;&gt;0,VLOOKUP(Envoltória!U40,Componentes!X:Z,2,FALSE),0),0))</f>
        <v>0</v>
      </c>
      <c r="W32" s="416">
        <f>IF(B32=0,"",IFERROR(IF(AA32&lt;&gt;0,VLOOKUP(Envoltória!U40,Componentes!X:Z,3,FALSE),0),0))</f>
        <v>0</v>
      </c>
      <c r="X32" s="430">
        <f>IF(B32=0,"",Envoltória!U40)</f>
        <v>0.1</v>
      </c>
      <c r="Y32" s="430">
        <f>IF(B32=0,"",Envoltória!S40)</f>
        <v>15.45</v>
      </c>
      <c r="Z32" s="430">
        <f>IF(B32=0,"",Envoltória!T40)</f>
        <v>15</v>
      </c>
      <c r="AA32" s="416">
        <f>IF(B32=0,"",Envoltória!Q40/100)</f>
        <v>0</v>
      </c>
      <c r="AB32" s="434">
        <f>IF($B32=0,"",VLOOKUP(Aux_Lista!$DR$2,Aux_Clima!$A:$O,AB$8,FALSE))</f>
        <v>-7.02</v>
      </c>
      <c r="AC32" s="434">
        <f>IF($B32=0,"",VLOOKUP(Aux_Lista!$DR$2,Aux_Clima!$A:$O,AC$8,FALSE))</f>
        <v>249</v>
      </c>
      <c r="AD32" s="434">
        <f>IF($B32=0,"",ROUND(VLOOKUP(Aux_Lista!$DR$2,Aux_Clima!$A:$O,AD$8,FALSE),8))</f>
        <v>27.24</v>
      </c>
      <c r="AE32" s="434">
        <f>IF($B32=0,"",ROUND(VLOOKUP(Aux_Lista!$DR$2,Aux_Clima!$A:$O,AE$8,FALSE),8))</f>
        <v>24.17</v>
      </c>
      <c r="AF32" s="434">
        <f>IF($B32=0,"",ROUND(VLOOKUP(Aux_Lista!$DR$2,Aux_Clima!$A:$O,AF$8,FALSE),8))</f>
        <v>30.311666670000001</v>
      </c>
      <c r="AG32" s="434">
        <f>IF($B32=0,"",ROUND(VLOOKUP(Aux_Lista!$DR$2,Aux_Clima!$A:$O,AG$8,FALSE),8))</f>
        <v>2.8624999999999998</v>
      </c>
      <c r="AH32" s="434">
        <f>IF($B32=0,"",ROUND(VLOOKUP(Aux_Lista!$DR$2,Aux_Clima!$A:$O,AH$8,FALSE),8))</f>
        <v>1.8233333300000001</v>
      </c>
      <c r="AI32" s="434">
        <f>IF($B32=0,"",ROUND(VLOOKUP(Aux_Lista!$DR$2,Aux_Clima!$A:$O,AI$8,FALSE),8))</f>
        <v>3.8433333300000001</v>
      </c>
      <c r="AJ32" s="434">
        <f>IF($B32=0,"",ROUND(VLOOKUP(Aux_Lista!$DR$2,Aux_Clima!$A:$O,AJ$8,FALSE),3))</f>
        <v>6082.0829999999996</v>
      </c>
      <c r="AK32" s="434">
        <f>IF($B32=0,"",ROUND(VLOOKUP(Aux_Lista!$DR$2,Aux_Clima!$A:$O,AK$8,FALSE),3))</f>
        <v>5588.8329999999996</v>
      </c>
      <c r="AL32" s="434">
        <f>IF($B32=0,"",ROUND(VLOOKUP(Aux_Lista!$DR$2,Aux_Clima!$A:$O,AL$8,FALSE),3))</f>
        <v>6759.9380000000001</v>
      </c>
      <c r="AM32" s="434">
        <f>IF($B32=0,"",ROUND(VLOOKUP(Aux_Lista!$DR$2,Aux_Clima!$A:$O,AM$8,FALSE),8))</f>
        <v>18.44083333</v>
      </c>
      <c r="AN32" s="434">
        <f>IF($B32=0,"",ROUND(VLOOKUP(Aux_Lista!$DR$2,Aux_Clima!$A:$O,AN$8,FALSE),8))</f>
        <v>17.19166667</v>
      </c>
      <c r="AO32" s="434">
        <f>IF($B32=0,"",ROUND(VLOOKUP(Aux_Lista!$DR$2,Aux_Clima!$A:$O,AO$8,FALSE),8))</f>
        <v>19.883333329999999</v>
      </c>
      <c r="AP32" s="430">
        <f>IF(B32=0,"",IF(BF32=0,84,VLOOKUP(Envoltória!N40,Componentes!AV:AY,4,FALSE)))</f>
        <v>0</v>
      </c>
      <c r="AQ32" s="430">
        <f>IF(B32=0,"",IF(BF32=0,90,VLOOKUP(Envoltória!N40,Componentes!AV:AY,3,FALSE)))</f>
        <v>0</v>
      </c>
      <c r="AR32" s="430">
        <f t="shared" si="0"/>
        <v>1</v>
      </c>
      <c r="AS32" s="430">
        <f t="shared" si="0"/>
        <v>0</v>
      </c>
      <c r="AT32" s="430">
        <f t="shared" si="0"/>
        <v>0</v>
      </c>
      <c r="AU32" s="430">
        <f t="shared" si="0"/>
        <v>0</v>
      </c>
      <c r="AV32" s="430">
        <f t="shared" si="0"/>
        <v>0</v>
      </c>
      <c r="AW32" s="416">
        <f>IF($B32=0,"",IFERROR(VLOOKUP(Envoltória!$B40,Aux_Lista!$O:$U,AW$9,FALSE),0))</f>
        <v>0</v>
      </c>
      <c r="AX32" s="416">
        <f>IF($B32=0,"",IFERROR(VLOOKUP(Envoltória!$B40,Aux_Lista!$O:$U,AX$9,FALSE),0))</f>
        <v>1</v>
      </c>
      <c r="AY32" s="416">
        <f>IF($B32=0,"",IFERROR(VLOOKUP(Envoltória!$B40,Aux_Lista!$O:$U,AY$9,FALSE),0))</f>
        <v>1</v>
      </c>
      <c r="AZ32" s="416">
        <f>IF($B32=0,"",IFERROR(VLOOKUP(Envoltória!$B40,Aux_Lista!$O:$U,AZ$9,FALSE),0))</f>
        <v>0</v>
      </c>
      <c r="BA32" s="416">
        <f>IF($B32=0,"",IFERROR(VLOOKUP(Envoltória!$B40,Aux_Lista!$O:$U,BA$9,FALSE),0))</f>
        <v>1</v>
      </c>
      <c r="BB32" s="416">
        <f>IF($B32=0,"",IFERROR(VLOOKUP(Envoltória!$B40,Aux_Lista!$O:$U,BB$9,FALSE),0))</f>
        <v>0</v>
      </c>
      <c r="BC32" s="416">
        <f>IFERROR(VLOOKUP(Envoltória!$H40,Aux_Lista!$W$2:$Y$3,BC$9,FALSE),"")</f>
        <v>1</v>
      </c>
      <c r="BD32" s="416">
        <f>IFERROR(VLOOKUP(Envoltória!$H40,Aux_Lista!$W$2:$Y$3,BD$9,FALSE),"")</f>
        <v>0</v>
      </c>
      <c r="BE32" s="430">
        <f t="shared" si="1"/>
        <v>0</v>
      </c>
      <c r="BF32" s="430">
        <f>IF(B32=0,"",IF(Envoltória!F40="Perimetral",1,0))</f>
        <v>1</v>
      </c>
      <c r="BG32" s="430">
        <f>IFERROR(VLOOKUP(Envoltória!$G40,$BQ$35:$BZ$43,BG$9,FALSE),"")</f>
        <v>0</v>
      </c>
      <c r="BH32" s="430">
        <f>IFERROR(VLOOKUP(Envoltória!$G40,$BQ$35:$BZ$43,BH$9,FALSE),"")</f>
        <v>0</v>
      </c>
      <c r="BI32" s="430">
        <f>IFERROR(VLOOKUP(Envoltória!$G40,$BQ$35:$BZ$43,BI$9,FALSE),"")</f>
        <v>1</v>
      </c>
      <c r="BJ32" s="430">
        <f>IFERROR(VLOOKUP(Envoltória!$G40,$BQ$35:$BZ$43,BJ$9,FALSE),"")</f>
        <v>0</v>
      </c>
      <c r="BK32" s="430">
        <f>IFERROR(VLOOKUP(Envoltória!$G40,$BQ$35:$BZ$43,BK$9,FALSE),"")</f>
        <v>0</v>
      </c>
      <c r="BL32" s="430">
        <f>IFERROR(VLOOKUP(Envoltória!$G40,$BQ$35:$BZ$43,BL$9,FALSE),"")</f>
        <v>0</v>
      </c>
      <c r="BM32" s="430">
        <f>IFERROR(VLOOKUP(Envoltória!$G40,$BQ$35:$BZ$43,BM$9,FALSE),"")</f>
        <v>0</v>
      </c>
      <c r="BN32" s="430">
        <f>IFERROR(VLOOKUP(Envoltória!$G40,$BQ$35:$BZ$43,BN$9,FALSE),"")</f>
        <v>0</v>
      </c>
      <c r="BO32" s="430">
        <f>IFERROR(VLOOKUP(Envoltória!$G40,$BQ$35:$BZ$43,BO$9,FALSE),"")</f>
        <v>0</v>
      </c>
      <c r="BP32" s="2"/>
    </row>
    <row r="33" spans="1:79" s="13" customFormat="1" x14ac:dyDescent="0.25">
      <c r="A33" s="2">
        <v>23</v>
      </c>
      <c r="B33" s="410" t="str">
        <f>Envoltória!I41</f>
        <v>Escritórios</v>
      </c>
      <c r="C33" s="410" t="str">
        <f>Envoltória!B41</f>
        <v>Térreo (com + pvtos acima)</v>
      </c>
      <c r="D33" s="410" t="str">
        <f>Envoltória!C41</f>
        <v>ZP23</v>
      </c>
      <c r="E33" s="410">
        <f>Envoltória!D41</f>
        <v>13.33</v>
      </c>
      <c r="F33" s="430">
        <f>IF(B33=0,"",Envoltória!E41)</f>
        <v>7.62</v>
      </c>
      <c r="G33" s="430">
        <f t="shared" si="2"/>
        <v>7.4622222222222216</v>
      </c>
      <c r="H33" s="430">
        <f>IF(B33=0,"",Envoltória!O41/100)</f>
        <v>7.0000000000000007E-2</v>
      </c>
      <c r="I33" s="430">
        <f>IF(B33=0,"",IF(BF33=1,VLOOKUP(Envoltória!N41,Componentes!AV:AY,2,FALSE),89))</f>
        <v>35.4</v>
      </c>
      <c r="J33" s="416">
        <f>IF(B33=0,"",IFERROR(VLOOKUP(Envoltória!M41,Componentes!$P:$R,2,FALSE),""))</f>
        <v>2.06</v>
      </c>
      <c r="K33" s="416">
        <f>IF(B33=0,"",IFERROR(VLOOKUP(Envoltória!M41,Componentes!$P:$R,3,FALSE),""))</f>
        <v>233</v>
      </c>
      <c r="L33" s="431">
        <f>IF(B33=0,"",IFERROR(IF(BB33&lt;&gt;0,VLOOKUP(Envoltória!L41,Componentes!K:N,2,FALSE),0),""))</f>
        <v>0</v>
      </c>
      <c r="M33" s="431">
        <f>IF(B33=0,"",IFERROR(IF(BB33&lt;&gt;0,VLOOKUP(Envoltória!L41,Componentes!K:N,3,FALSE),0),""))</f>
        <v>0</v>
      </c>
      <c r="N33" s="431">
        <f>IF(B33=0,"",IFERROR(IF(BB33&lt;&gt;0,VLOOKUP(Envoltória!L41,Componentes!K:N,4,FALSE),0),""))</f>
        <v>0</v>
      </c>
      <c r="O33" s="430">
        <f>IF(B33=0,"",IF(BF33=1,VLOOKUP(Envoltória!J41,Componentes!B:E,2,FALSE),-6))</f>
        <v>1.7307999999999999</v>
      </c>
      <c r="P33" s="430">
        <f>IF(B33=0,"",IF(BF33=1,VLOOKUP(Envoltória!J41,Componentes!B:E,3,FALSE),-400))</f>
        <v>150</v>
      </c>
      <c r="Q33" s="430">
        <f>IF(B33=0,"",IF(BF33=1,VLOOKUP(Envoltória!J41,Componentes!B:E,4,FALSE),0))</f>
        <v>0.2</v>
      </c>
      <c r="R33" s="416">
        <f>IF(B33=0,"",IFERROR(VLOOKUP(Envoltória!K41,Componentes!G:I,2,FALSE),""))</f>
        <v>2.39</v>
      </c>
      <c r="S33" s="416">
        <f>IF(B33=0,"",IFERROR(VLOOKUP(Envoltória!K41,Componentes!G:I,3,FALSE),""))</f>
        <v>150</v>
      </c>
      <c r="T33" s="430">
        <f>IF(B33=0,"",IFERROR(IF(H33&lt;&gt;0,VLOOKUP(Envoltória!N41,Componentes!T:V,3,FALSE),0),""))</f>
        <v>0.82</v>
      </c>
      <c r="U33" s="430">
        <f>IF(B33=0,"",IFERROR(IF(H33&lt;&gt;0,VLOOKUP(Envoltória!N41,Componentes!T:V,2,FALSE),0),""))</f>
        <v>5.7</v>
      </c>
      <c r="V33" s="416">
        <f>IF(B33=0,"",IFERROR(IF(AA33&lt;&gt;0,VLOOKUP(Envoltória!U41,Componentes!X:Z,2,FALSE),0),0))</f>
        <v>0</v>
      </c>
      <c r="W33" s="416">
        <f>IF(B33=0,"",IFERROR(IF(AA33&lt;&gt;0,VLOOKUP(Envoltória!U41,Componentes!X:Z,3,FALSE),0),0))</f>
        <v>0</v>
      </c>
      <c r="X33" s="430">
        <f>IF(B33=0,"",Envoltória!U41)</f>
        <v>0.1</v>
      </c>
      <c r="Y33" s="430">
        <f>IF(B33=0,"",Envoltória!S41)</f>
        <v>15.45</v>
      </c>
      <c r="Z33" s="430">
        <f>IF(B33=0,"",Envoltória!T41)</f>
        <v>15</v>
      </c>
      <c r="AA33" s="416">
        <f>IF(B33=0,"",Envoltória!Q41/100)</f>
        <v>0</v>
      </c>
      <c r="AB33" s="434">
        <f>IF($B33=0,"",VLOOKUP(Aux_Lista!$DR$2,Aux_Clima!$A:$O,AB$8,FALSE))</f>
        <v>-7.02</v>
      </c>
      <c r="AC33" s="434">
        <f>IF($B33=0,"",VLOOKUP(Aux_Lista!$DR$2,Aux_Clima!$A:$O,AC$8,FALSE))</f>
        <v>249</v>
      </c>
      <c r="AD33" s="434">
        <f>IF($B33=0,"",ROUND(VLOOKUP(Aux_Lista!$DR$2,Aux_Clima!$A:$O,AD$8,FALSE),8))</f>
        <v>27.24</v>
      </c>
      <c r="AE33" s="434">
        <f>IF($B33=0,"",ROUND(VLOOKUP(Aux_Lista!$DR$2,Aux_Clima!$A:$O,AE$8,FALSE),8))</f>
        <v>24.17</v>
      </c>
      <c r="AF33" s="434">
        <f>IF($B33=0,"",ROUND(VLOOKUP(Aux_Lista!$DR$2,Aux_Clima!$A:$O,AF$8,FALSE),8))</f>
        <v>30.311666670000001</v>
      </c>
      <c r="AG33" s="434">
        <f>IF($B33=0,"",ROUND(VLOOKUP(Aux_Lista!$DR$2,Aux_Clima!$A:$O,AG$8,FALSE),8))</f>
        <v>2.8624999999999998</v>
      </c>
      <c r="AH33" s="434">
        <f>IF($B33=0,"",ROUND(VLOOKUP(Aux_Lista!$DR$2,Aux_Clima!$A:$O,AH$8,FALSE),8))</f>
        <v>1.8233333300000001</v>
      </c>
      <c r="AI33" s="434">
        <f>IF($B33=0,"",ROUND(VLOOKUP(Aux_Lista!$DR$2,Aux_Clima!$A:$O,AI$8,FALSE),8))</f>
        <v>3.8433333300000001</v>
      </c>
      <c r="AJ33" s="434">
        <f>IF($B33=0,"",ROUND(VLOOKUP(Aux_Lista!$DR$2,Aux_Clima!$A:$O,AJ$8,FALSE),3))</f>
        <v>6082.0829999999996</v>
      </c>
      <c r="AK33" s="434">
        <f>IF($B33=0,"",ROUND(VLOOKUP(Aux_Lista!$DR$2,Aux_Clima!$A:$O,AK$8,FALSE),3))</f>
        <v>5588.8329999999996</v>
      </c>
      <c r="AL33" s="434">
        <f>IF($B33=0,"",ROUND(VLOOKUP(Aux_Lista!$DR$2,Aux_Clima!$A:$O,AL$8,FALSE),3))</f>
        <v>6759.9380000000001</v>
      </c>
      <c r="AM33" s="434">
        <f>IF($B33=0,"",ROUND(VLOOKUP(Aux_Lista!$DR$2,Aux_Clima!$A:$O,AM$8,FALSE),8))</f>
        <v>18.44083333</v>
      </c>
      <c r="AN33" s="434">
        <f>IF($B33=0,"",ROUND(VLOOKUP(Aux_Lista!$DR$2,Aux_Clima!$A:$O,AN$8,FALSE),8))</f>
        <v>17.19166667</v>
      </c>
      <c r="AO33" s="434">
        <f>IF($B33=0,"",ROUND(VLOOKUP(Aux_Lista!$DR$2,Aux_Clima!$A:$O,AO$8,FALSE),8))</f>
        <v>19.883333329999999</v>
      </c>
      <c r="AP33" s="430">
        <f>IF(B33=0,"",IF(BF33=0,84,VLOOKUP(Envoltória!N41,Componentes!AV:AY,4,FALSE)))</f>
        <v>0</v>
      </c>
      <c r="AQ33" s="430">
        <f>IF(B33=0,"",IF(BF33=0,90,VLOOKUP(Envoltória!N41,Componentes!AV:AY,3,FALSE)))</f>
        <v>65.56</v>
      </c>
      <c r="AR33" s="430">
        <f t="shared" si="0"/>
        <v>1</v>
      </c>
      <c r="AS33" s="430">
        <f t="shared" si="0"/>
        <v>0</v>
      </c>
      <c r="AT33" s="430">
        <f t="shared" si="0"/>
        <v>0</v>
      </c>
      <c r="AU33" s="430">
        <f t="shared" si="0"/>
        <v>0</v>
      </c>
      <c r="AV33" s="430">
        <f t="shared" si="0"/>
        <v>0</v>
      </c>
      <c r="AW33" s="416">
        <f>IF($B33=0,"",IFERROR(VLOOKUP(Envoltória!$B41,Aux_Lista!$O:$U,AW$9,FALSE),0))</f>
        <v>0</v>
      </c>
      <c r="AX33" s="416">
        <f>IF($B33=0,"",IFERROR(VLOOKUP(Envoltória!$B41,Aux_Lista!$O:$U,AX$9,FALSE),0))</f>
        <v>1</v>
      </c>
      <c r="AY33" s="416">
        <f>IF($B33=0,"",IFERROR(VLOOKUP(Envoltória!$B41,Aux_Lista!$O:$U,AY$9,FALSE),0))</f>
        <v>1</v>
      </c>
      <c r="AZ33" s="416">
        <f>IF($B33=0,"",IFERROR(VLOOKUP(Envoltória!$B41,Aux_Lista!$O:$U,AZ$9,FALSE),0))</f>
        <v>0</v>
      </c>
      <c r="BA33" s="416">
        <f>IF($B33=0,"",IFERROR(VLOOKUP(Envoltória!$B41,Aux_Lista!$O:$U,BA$9,FALSE),0))</f>
        <v>1</v>
      </c>
      <c r="BB33" s="416">
        <f>IF($B33=0,"",IFERROR(VLOOKUP(Envoltória!$B41,Aux_Lista!$O:$U,BB$9,FALSE),0))</f>
        <v>0</v>
      </c>
      <c r="BC33" s="416">
        <f>IFERROR(VLOOKUP(Envoltória!$H41,Aux_Lista!$W$2:$Y$3,BC$9,FALSE),"")</f>
        <v>1</v>
      </c>
      <c r="BD33" s="416">
        <f>IFERROR(VLOOKUP(Envoltória!$H41,Aux_Lista!$W$2:$Y$3,BD$9,FALSE),"")</f>
        <v>0</v>
      </c>
      <c r="BE33" s="430">
        <f t="shared" si="1"/>
        <v>0</v>
      </c>
      <c r="BF33" s="430">
        <f>IF(B33=0,"",IF(Envoltória!F41="Perimetral",1,0))</f>
        <v>1</v>
      </c>
      <c r="BG33" s="430">
        <f>IFERROR(VLOOKUP(Envoltória!$G41,$BQ$35:$BZ$43,BG$9,FALSE),"")</f>
        <v>0</v>
      </c>
      <c r="BH33" s="430">
        <f>IFERROR(VLOOKUP(Envoltória!$G41,$BQ$35:$BZ$43,BH$9,FALSE),"")</f>
        <v>0</v>
      </c>
      <c r="BI33" s="430">
        <f>IFERROR(VLOOKUP(Envoltória!$G41,$BQ$35:$BZ$43,BI$9,FALSE),"")</f>
        <v>1</v>
      </c>
      <c r="BJ33" s="430">
        <f>IFERROR(VLOOKUP(Envoltória!$G41,$BQ$35:$BZ$43,BJ$9,FALSE),"")</f>
        <v>0</v>
      </c>
      <c r="BK33" s="430">
        <f>IFERROR(VLOOKUP(Envoltória!$G41,$BQ$35:$BZ$43,BK$9,FALSE),"")</f>
        <v>0</v>
      </c>
      <c r="BL33" s="430">
        <f>IFERROR(VLOOKUP(Envoltória!$G41,$BQ$35:$BZ$43,BL$9,FALSE),"")</f>
        <v>0</v>
      </c>
      <c r="BM33" s="430">
        <f>IFERROR(VLOOKUP(Envoltória!$G41,$BQ$35:$BZ$43,BM$9,FALSE),"")</f>
        <v>0</v>
      </c>
      <c r="BN33" s="430">
        <f>IFERROR(VLOOKUP(Envoltória!$G41,$BQ$35:$BZ$43,BN$9,FALSE),"")</f>
        <v>0</v>
      </c>
      <c r="BO33" s="430">
        <f>IFERROR(VLOOKUP(Envoltória!$G41,$BQ$35:$BZ$43,BO$9,FALSE),"")</f>
        <v>0</v>
      </c>
      <c r="BP33" s="2"/>
    </row>
    <row r="34" spans="1:79" s="13" customFormat="1" ht="30" x14ac:dyDescent="0.25">
      <c r="A34" s="2">
        <v>24</v>
      </c>
      <c r="B34" s="410" t="str">
        <f>Envoltória!I42</f>
        <v>Escritórios</v>
      </c>
      <c r="C34" s="410" t="str">
        <f>Envoltória!B42</f>
        <v>Térreo (único pvto)</v>
      </c>
      <c r="D34" s="410" t="str">
        <f>Envoltória!C42</f>
        <v>Zi1-duplo</v>
      </c>
      <c r="E34" s="410">
        <f>Envoltória!D42</f>
        <v>19.079999999999998</v>
      </c>
      <c r="F34" s="430">
        <f>IF(B34=0,"",Envoltória!E42)</f>
        <v>3.37</v>
      </c>
      <c r="G34" s="430">
        <f t="shared" si="2"/>
        <v>4.3680659335683112</v>
      </c>
      <c r="H34" s="430">
        <f>IF(B34=0,"",Envoltória!O42/100)</f>
        <v>0</v>
      </c>
      <c r="I34" s="430">
        <f>IF(B34=0,"",IF(BF34=1,VLOOKUP(Envoltória!N42,Componentes!AV:AY,2,FALSE),89))</f>
        <v>89</v>
      </c>
      <c r="J34" s="416">
        <f>IF(B34=0,"",IFERROR(VLOOKUP(Envoltória!M42,Componentes!$P:$R,2,FALSE),""))</f>
        <v>2.06</v>
      </c>
      <c r="K34" s="416">
        <f>IF(B34=0,"",IFERROR(VLOOKUP(Envoltória!M42,Componentes!$P:$R,3,FALSE),""))</f>
        <v>233</v>
      </c>
      <c r="L34" s="431">
        <f>IF(B34=0,"",IFERROR(IF(BB34&lt;&gt;0,VLOOKUP(Envoltória!L42,Componentes!K:N,2,FALSE),0),""))</f>
        <v>0.55139700000000003</v>
      </c>
      <c r="M34" s="431">
        <f>IF(B34=0,"",IFERROR(IF(BB34&lt;&gt;0,VLOOKUP(Envoltória!L42,Componentes!K:N,3,FALSE),0),""))</f>
        <v>145</v>
      </c>
      <c r="N34" s="431">
        <f>IF(B34=0,"",IFERROR(IF(BB34&lt;&gt;0,VLOOKUP(Envoltória!L42,Componentes!K:N,4,FALSE),0),""))</f>
        <v>0.25</v>
      </c>
      <c r="O34" s="430">
        <f>IF(B34=0,"",IF(BF34=1,VLOOKUP(Envoltória!J42,Componentes!B:E,2,FALSE),-6))</f>
        <v>-6</v>
      </c>
      <c r="P34" s="430">
        <f>IF(B34=0,"",IF(BF34=1,VLOOKUP(Envoltória!J42,Componentes!B:E,3,FALSE),-400))</f>
        <v>-400</v>
      </c>
      <c r="Q34" s="430">
        <f>IF(B34=0,"",IF(BF34=1,VLOOKUP(Envoltória!J42,Componentes!B:E,4,FALSE),0))</f>
        <v>0</v>
      </c>
      <c r="R34" s="416">
        <f>IF(B34=0,"",IFERROR(VLOOKUP(Envoltória!K42,Componentes!G:I,2,FALSE),""))</f>
        <v>2.39</v>
      </c>
      <c r="S34" s="416">
        <f>IF(B34=0,"",IFERROR(VLOOKUP(Envoltória!K42,Componentes!G:I,3,FALSE),""))</f>
        <v>150</v>
      </c>
      <c r="T34" s="430">
        <f>IF(B34=0,"",IFERROR(IF(H34&lt;&gt;0,VLOOKUP(Envoltória!N42,Componentes!T:V,3,FALSE),0),""))</f>
        <v>0</v>
      </c>
      <c r="U34" s="430">
        <f>IF(B34=0,"",IFERROR(IF(H34&lt;&gt;0,VLOOKUP(Envoltória!N42,Componentes!T:V,2,FALSE),0),""))</f>
        <v>0</v>
      </c>
      <c r="V34" s="416">
        <f>IF(B34=0,"",IFERROR(IF(AA34&lt;&gt;0,VLOOKUP(Envoltória!U42,Componentes!X:Z,2,FALSE),0),0))</f>
        <v>0</v>
      </c>
      <c r="W34" s="416">
        <f>IF(B34=0,"",IFERROR(IF(AA34&lt;&gt;0,VLOOKUP(Envoltória!U42,Componentes!X:Z,3,FALSE),0),0))</f>
        <v>0</v>
      </c>
      <c r="X34" s="430">
        <f>IF(B34=0,"",Envoltória!U42)</f>
        <v>0.1</v>
      </c>
      <c r="Y34" s="430">
        <f>IF(B34=0,"",Envoltória!S42)</f>
        <v>15.45</v>
      </c>
      <c r="Z34" s="430">
        <f>IF(B34=0,"",Envoltória!T42)</f>
        <v>15</v>
      </c>
      <c r="AA34" s="416">
        <f>IF(B34=0,"",Envoltória!Q42/100)</f>
        <v>0</v>
      </c>
      <c r="AB34" s="434">
        <f>IF($B34=0,"",VLOOKUP(Aux_Lista!$DR$2,Aux_Clima!$A:$O,AB$8,FALSE))</f>
        <v>-7.02</v>
      </c>
      <c r="AC34" s="434">
        <f>IF($B34=0,"",VLOOKUP(Aux_Lista!$DR$2,Aux_Clima!$A:$O,AC$8,FALSE))</f>
        <v>249</v>
      </c>
      <c r="AD34" s="434">
        <f>IF($B34=0,"",ROUND(VLOOKUP(Aux_Lista!$DR$2,Aux_Clima!$A:$O,AD$8,FALSE),8))</f>
        <v>27.24</v>
      </c>
      <c r="AE34" s="434">
        <f>IF($B34=0,"",ROUND(VLOOKUP(Aux_Lista!$DR$2,Aux_Clima!$A:$O,AE$8,FALSE),8))</f>
        <v>24.17</v>
      </c>
      <c r="AF34" s="434">
        <f>IF($B34=0,"",ROUND(VLOOKUP(Aux_Lista!$DR$2,Aux_Clima!$A:$O,AF$8,FALSE),8))</f>
        <v>30.311666670000001</v>
      </c>
      <c r="AG34" s="434">
        <f>IF($B34=0,"",ROUND(VLOOKUP(Aux_Lista!$DR$2,Aux_Clima!$A:$O,AG$8,FALSE),8))</f>
        <v>2.8624999999999998</v>
      </c>
      <c r="AH34" s="434">
        <f>IF($B34=0,"",ROUND(VLOOKUP(Aux_Lista!$DR$2,Aux_Clima!$A:$O,AH$8,FALSE),8))</f>
        <v>1.8233333300000001</v>
      </c>
      <c r="AI34" s="434">
        <f>IF($B34=0,"",ROUND(VLOOKUP(Aux_Lista!$DR$2,Aux_Clima!$A:$O,AI$8,FALSE),8))</f>
        <v>3.8433333300000001</v>
      </c>
      <c r="AJ34" s="434">
        <f>IF($B34=0,"",ROUND(VLOOKUP(Aux_Lista!$DR$2,Aux_Clima!$A:$O,AJ$8,FALSE),3))</f>
        <v>6082.0829999999996</v>
      </c>
      <c r="AK34" s="434">
        <f>IF($B34=0,"",ROUND(VLOOKUP(Aux_Lista!$DR$2,Aux_Clima!$A:$O,AK$8,FALSE),3))</f>
        <v>5588.8329999999996</v>
      </c>
      <c r="AL34" s="434">
        <f>IF($B34=0,"",ROUND(VLOOKUP(Aux_Lista!$DR$2,Aux_Clima!$A:$O,AL$8,FALSE),3))</f>
        <v>6759.9380000000001</v>
      </c>
      <c r="AM34" s="434">
        <f>IF($B34=0,"",ROUND(VLOOKUP(Aux_Lista!$DR$2,Aux_Clima!$A:$O,AM$8,FALSE),8))</f>
        <v>18.44083333</v>
      </c>
      <c r="AN34" s="434">
        <f>IF($B34=0,"",ROUND(VLOOKUP(Aux_Lista!$DR$2,Aux_Clima!$A:$O,AN$8,FALSE),8))</f>
        <v>17.19166667</v>
      </c>
      <c r="AO34" s="434">
        <f>IF($B34=0,"",ROUND(VLOOKUP(Aux_Lista!$DR$2,Aux_Clima!$A:$O,AO$8,FALSE),8))</f>
        <v>19.883333329999999</v>
      </c>
      <c r="AP34" s="430">
        <f>IF(B34=0,"",IF(BF34=0,84,VLOOKUP(Envoltória!N42,Componentes!AV:AY,4,FALSE)))</f>
        <v>84</v>
      </c>
      <c r="AQ34" s="430">
        <f>IF(B34=0,"",IF(BF34=0,90,VLOOKUP(Envoltória!N42,Componentes!AV:AY,3,FALSE)))</f>
        <v>90</v>
      </c>
      <c r="AR34" s="430">
        <f t="shared" si="0"/>
        <v>1</v>
      </c>
      <c r="AS34" s="430">
        <f t="shared" si="0"/>
        <v>0</v>
      </c>
      <c r="AT34" s="430">
        <f t="shared" si="0"/>
        <v>0</v>
      </c>
      <c r="AU34" s="430">
        <f t="shared" si="0"/>
        <v>0</v>
      </c>
      <c r="AV34" s="430">
        <f t="shared" si="0"/>
        <v>0</v>
      </c>
      <c r="AW34" s="416">
        <f>IF($B34=0,"",IFERROR(VLOOKUP(Envoltória!$B42,Aux_Lista!$O:$U,AW$9,FALSE),0))</f>
        <v>0</v>
      </c>
      <c r="AX34" s="416">
        <f>IF($B34=0,"",IFERROR(VLOOKUP(Envoltória!$B42,Aux_Lista!$O:$U,AX$9,FALSE),0))</f>
        <v>1</v>
      </c>
      <c r="AY34" s="416">
        <f>IF($B34=0,"",IFERROR(VLOOKUP(Envoltória!$B42,Aux_Lista!$O:$U,AY$9,FALSE),0))</f>
        <v>1</v>
      </c>
      <c r="AZ34" s="416">
        <f>IF($B34=0,"",IFERROR(VLOOKUP(Envoltória!$B42,Aux_Lista!$O:$U,AZ$9,FALSE),0))</f>
        <v>0</v>
      </c>
      <c r="BA34" s="416">
        <f>IF($B34=0,"",IFERROR(VLOOKUP(Envoltória!$B42,Aux_Lista!$O:$U,BA$9,FALSE),0))</f>
        <v>0</v>
      </c>
      <c r="BB34" s="416">
        <f>IF($B34=0,"",IFERROR(VLOOKUP(Envoltória!$B42,Aux_Lista!$O:$U,BB$9,FALSE),0))</f>
        <v>1</v>
      </c>
      <c r="BC34" s="416">
        <f>IFERROR(VLOOKUP(Envoltória!$H42,Aux_Lista!$W$2:$Y$3,BC$9,FALSE),"")</f>
        <v>1</v>
      </c>
      <c r="BD34" s="416">
        <f>IFERROR(VLOOKUP(Envoltória!$H42,Aux_Lista!$W$2:$Y$3,BD$9,FALSE),"")</f>
        <v>0</v>
      </c>
      <c r="BE34" s="430">
        <f t="shared" si="1"/>
        <v>1</v>
      </c>
      <c r="BF34" s="430">
        <f>IF(B34=0,"",IF(Envoltória!F42="Perimetral",1,0))</f>
        <v>0</v>
      </c>
      <c r="BG34" s="430">
        <f>IFERROR(VLOOKUP(Envoltória!$G42,$BQ$35:$BZ$43,BG$9,FALSE),"")</f>
        <v>1</v>
      </c>
      <c r="BH34" s="430">
        <f>IFERROR(VLOOKUP(Envoltória!$G42,$BQ$35:$BZ$43,BH$9,FALSE),"")</f>
        <v>0</v>
      </c>
      <c r="BI34" s="430">
        <f>IFERROR(VLOOKUP(Envoltória!$G42,$BQ$35:$BZ$43,BI$9,FALSE),"")</f>
        <v>0</v>
      </c>
      <c r="BJ34" s="430">
        <f>IFERROR(VLOOKUP(Envoltória!$G42,$BQ$35:$BZ$43,BJ$9,FALSE),"")</f>
        <v>0</v>
      </c>
      <c r="BK34" s="430">
        <f>IFERROR(VLOOKUP(Envoltória!$G42,$BQ$35:$BZ$43,BK$9,FALSE),"")</f>
        <v>0</v>
      </c>
      <c r="BL34" s="430">
        <f>IFERROR(VLOOKUP(Envoltória!$G42,$BQ$35:$BZ$43,BL$9,FALSE),"")</f>
        <v>0</v>
      </c>
      <c r="BM34" s="430">
        <f>IFERROR(VLOOKUP(Envoltória!$G42,$BQ$35:$BZ$43,BM$9,FALSE),"")</f>
        <v>0</v>
      </c>
      <c r="BN34" s="430">
        <f>IFERROR(VLOOKUP(Envoltória!$G42,$BQ$35:$BZ$43,BN$9,FALSE),"")</f>
        <v>0</v>
      </c>
      <c r="BO34" s="430">
        <f>IFERROR(VLOOKUP(Envoltória!$G42,$BQ$35:$BZ$43,BO$9,FALSE),"")</f>
        <v>0</v>
      </c>
      <c r="BP34" s="2"/>
      <c r="BR34" s="235" t="s">
        <v>9045</v>
      </c>
      <c r="BS34" s="235" t="s">
        <v>9046</v>
      </c>
      <c r="BT34" s="235" t="s">
        <v>9047</v>
      </c>
      <c r="BU34" s="235" t="s">
        <v>9048</v>
      </c>
      <c r="BV34" s="235" t="s">
        <v>9049</v>
      </c>
      <c r="BW34" s="235" t="s">
        <v>9050</v>
      </c>
      <c r="BX34" s="235" t="s">
        <v>9051</v>
      </c>
      <c r="BY34" s="235" t="s">
        <v>9052</v>
      </c>
      <c r="BZ34" s="235" t="s">
        <v>9044</v>
      </c>
    </row>
    <row r="35" spans="1:79" s="13" customFormat="1" x14ac:dyDescent="0.25">
      <c r="A35" s="2">
        <v>25</v>
      </c>
      <c r="B35" s="410" t="str">
        <f>Envoltória!I43</f>
        <v>Escritórios</v>
      </c>
      <c r="C35" s="410" t="str">
        <f>Envoltória!B43</f>
        <v>Térreo (único pvto)</v>
      </c>
      <c r="D35" s="410" t="str">
        <f>Envoltória!C43</f>
        <v>Zi2-duplo</v>
      </c>
      <c r="E35" s="410">
        <f>Envoltória!D43</f>
        <v>10.55</v>
      </c>
      <c r="F35" s="430">
        <f>IF(B35=0,"",Envoltória!E43)</f>
        <v>8.4700000000000006</v>
      </c>
      <c r="G35" s="430">
        <f t="shared" si="2"/>
        <v>3.2480763537823432</v>
      </c>
      <c r="H35" s="430">
        <f>IF(B35=0,"",Envoltória!O43/100)</f>
        <v>0</v>
      </c>
      <c r="I35" s="430">
        <f>IF(B35=0,"",IF(BF35=1,VLOOKUP(Envoltória!N43,Componentes!AV:AY,2,FALSE),89))</f>
        <v>89</v>
      </c>
      <c r="J35" s="416">
        <f>IF(B35=0,"",IFERROR(VLOOKUP(Envoltória!M43,Componentes!$P:$R,2,FALSE),""))</f>
        <v>2.06</v>
      </c>
      <c r="K35" s="416">
        <f>IF(B35=0,"",IFERROR(VLOOKUP(Envoltória!M43,Componentes!$P:$R,3,FALSE),""))</f>
        <v>233</v>
      </c>
      <c r="L35" s="431">
        <f>IF(B35=0,"",IFERROR(IF(BB35&lt;&gt;0,VLOOKUP(Envoltória!L43,Componentes!K:N,2,FALSE),0),""))</f>
        <v>0.55139700000000003</v>
      </c>
      <c r="M35" s="431">
        <f>IF(B35=0,"",IFERROR(IF(BB35&lt;&gt;0,VLOOKUP(Envoltória!L43,Componentes!K:N,3,FALSE),0),""))</f>
        <v>145</v>
      </c>
      <c r="N35" s="431">
        <f>IF(B35=0,"",IFERROR(IF(BB35&lt;&gt;0,VLOOKUP(Envoltória!L43,Componentes!K:N,4,FALSE),0),""))</f>
        <v>0.25</v>
      </c>
      <c r="O35" s="430">
        <f>IF(B35=0,"",IF(BF35=1,VLOOKUP(Envoltória!J43,Componentes!B:E,2,FALSE),-6))</f>
        <v>-6</v>
      </c>
      <c r="P35" s="430">
        <f>IF(B35=0,"",IF(BF35=1,VLOOKUP(Envoltória!J43,Componentes!B:E,3,FALSE),-400))</f>
        <v>-400</v>
      </c>
      <c r="Q35" s="430">
        <f>IF(B35=0,"",IF(BF35=1,VLOOKUP(Envoltória!J43,Componentes!B:E,4,FALSE),0))</f>
        <v>0</v>
      </c>
      <c r="R35" s="416">
        <f>IF(B35=0,"",IFERROR(VLOOKUP(Envoltória!K43,Componentes!G:I,2,FALSE),""))</f>
        <v>2.39</v>
      </c>
      <c r="S35" s="416">
        <f>IF(B35=0,"",IFERROR(VLOOKUP(Envoltória!K43,Componentes!G:I,3,FALSE),""))</f>
        <v>150</v>
      </c>
      <c r="T35" s="430">
        <f>IF(B35=0,"",IFERROR(IF(H35&lt;&gt;0,VLOOKUP(Envoltória!N43,Componentes!T:V,3,FALSE),0),""))</f>
        <v>0</v>
      </c>
      <c r="U35" s="430">
        <f>IF(B35=0,"",IFERROR(IF(H35&lt;&gt;0,VLOOKUP(Envoltória!N43,Componentes!T:V,2,FALSE),0),""))</f>
        <v>0</v>
      </c>
      <c r="V35" s="416">
        <f>IF(B35=0,"",IFERROR(IF(AA35&lt;&gt;0,VLOOKUP(Envoltória!U43,Componentes!X:Z,2,FALSE),0),0))</f>
        <v>0</v>
      </c>
      <c r="W35" s="416">
        <f>IF(B35=0,"",IFERROR(IF(AA35&lt;&gt;0,VLOOKUP(Envoltória!U43,Componentes!X:Z,3,FALSE),0),0))</f>
        <v>0</v>
      </c>
      <c r="X35" s="430">
        <f>IF(B35=0,"",Envoltória!U43)</f>
        <v>0.1</v>
      </c>
      <c r="Y35" s="430">
        <f>IF(B35=0,"",Envoltória!S43)</f>
        <v>15.45</v>
      </c>
      <c r="Z35" s="430">
        <f>IF(B35=0,"",Envoltória!T43)</f>
        <v>15</v>
      </c>
      <c r="AA35" s="416">
        <f>IF(B35=0,"",Envoltória!Q43/100)</f>
        <v>0</v>
      </c>
      <c r="AB35" s="434">
        <f>IF($B35=0,"",VLOOKUP(Aux_Lista!$DR$2,Aux_Clima!$A:$O,AB$8,FALSE))</f>
        <v>-7.02</v>
      </c>
      <c r="AC35" s="434">
        <f>IF($B35=0,"",VLOOKUP(Aux_Lista!$DR$2,Aux_Clima!$A:$O,AC$8,FALSE))</f>
        <v>249</v>
      </c>
      <c r="AD35" s="434">
        <f>IF($B35=0,"",ROUND(VLOOKUP(Aux_Lista!$DR$2,Aux_Clima!$A:$O,AD$8,FALSE),8))</f>
        <v>27.24</v>
      </c>
      <c r="AE35" s="434">
        <f>IF($B35=0,"",ROUND(VLOOKUP(Aux_Lista!$DR$2,Aux_Clima!$A:$O,AE$8,FALSE),8))</f>
        <v>24.17</v>
      </c>
      <c r="AF35" s="434">
        <f>IF($B35=0,"",ROUND(VLOOKUP(Aux_Lista!$DR$2,Aux_Clima!$A:$O,AF$8,FALSE),8))</f>
        <v>30.311666670000001</v>
      </c>
      <c r="AG35" s="434">
        <f>IF($B35=0,"",ROUND(VLOOKUP(Aux_Lista!$DR$2,Aux_Clima!$A:$O,AG$8,FALSE),8))</f>
        <v>2.8624999999999998</v>
      </c>
      <c r="AH35" s="434">
        <f>IF($B35=0,"",ROUND(VLOOKUP(Aux_Lista!$DR$2,Aux_Clima!$A:$O,AH$8,FALSE),8))</f>
        <v>1.8233333300000001</v>
      </c>
      <c r="AI35" s="434">
        <f>IF($B35=0,"",ROUND(VLOOKUP(Aux_Lista!$DR$2,Aux_Clima!$A:$O,AI$8,FALSE),8))</f>
        <v>3.8433333300000001</v>
      </c>
      <c r="AJ35" s="434">
        <f>IF($B35=0,"",ROUND(VLOOKUP(Aux_Lista!$DR$2,Aux_Clima!$A:$O,AJ$8,FALSE),3))</f>
        <v>6082.0829999999996</v>
      </c>
      <c r="AK35" s="434">
        <f>IF($B35=0,"",ROUND(VLOOKUP(Aux_Lista!$DR$2,Aux_Clima!$A:$O,AK$8,FALSE),3))</f>
        <v>5588.8329999999996</v>
      </c>
      <c r="AL35" s="434">
        <f>IF($B35=0,"",ROUND(VLOOKUP(Aux_Lista!$DR$2,Aux_Clima!$A:$O,AL$8,FALSE),3))</f>
        <v>6759.9380000000001</v>
      </c>
      <c r="AM35" s="434">
        <f>IF($B35=0,"",ROUND(VLOOKUP(Aux_Lista!$DR$2,Aux_Clima!$A:$O,AM$8,FALSE),8))</f>
        <v>18.44083333</v>
      </c>
      <c r="AN35" s="434">
        <f>IF($B35=0,"",ROUND(VLOOKUP(Aux_Lista!$DR$2,Aux_Clima!$A:$O,AN$8,FALSE),8))</f>
        <v>17.19166667</v>
      </c>
      <c r="AO35" s="434">
        <f>IF($B35=0,"",ROUND(VLOOKUP(Aux_Lista!$DR$2,Aux_Clima!$A:$O,AO$8,FALSE),8))</f>
        <v>19.883333329999999</v>
      </c>
      <c r="AP35" s="430">
        <f>IF(B35=0,"",IF(BF35=0,84,VLOOKUP(Envoltória!N43,Componentes!AV:AY,4,FALSE)))</f>
        <v>84</v>
      </c>
      <c r="AQ35" s="430">
        <f>IF(B35=0,"",IF(BF35=0,90,VLOOKUP(Envoltória!N43,Componentes!AV:AY,3,FALSE)))</f>
        <v>90</v>
      </c>
      <c r="AR35" s="430">
        <f t="shared" si="0"/>
        <v>1</v>
      </c>
      <c r="AS35" s="430">
        <f t="shared" si="0"/>
        <v>0</v>
      </c>
      <c r="AT35" s="430">
        <f t="shared" si="0"/>
        <v>0</v>
      </c>
      <c r="AU35" s="430">
        <f t="shared" si="0"/>
        <v>0</v>
      </c>
      <c r="AV35" s="430">
        <f t="shared" si="0"/>
        <v>0</v>
      </c>
      <c r="AW35" s="416">
        <f>IF($B35=0,"",IFERROR(VLOOKUP(Envoltória!$B43,Aux_Lista!$O:$U,AW$9,FALSE),0))</f>
        <v>0</v>
      </c>
      <c r="AX35" s="416">
        <f>IF($B35=0,"",IFERROR(VLOOKUP(Envoltória!$B43,Aux_Lista!$O:$U,AX$9,FALSE),0))</f>
        <v>1</v>
      </c>
      <c r="AY35" s="416">
        <f>IF($B35=0,"",IFERROR(VLOOKUP(Envoltória!$B43,Aux_Lista!$O:$U,AY$9,FALSE),0))</f>
        <v>1</v>
      </c>
      <c r="AZ35" s="416">
        <f>IF($B35=0,"",IFERROR(VLOOKUP(Envoltória!$B43,Aux_Lista!$O:$U,AZ$9,FALSE),0))</f>
        <v>0</v>
      </c>
      <c r="BA35" s="416">
        <f>IF($B35=0,"",IFERROR(VLOOKUP(Envoltória!$B43,Aux_Lista!$O:$U,BA$9,FALSE),0))</f>
        <v>0</v>
      </c>
      <c r="BB35" s="416">
        <f>IF($B35=0,"",IFERROR(VLOOKUP(Envoltória!$B43,Aux_Lista!$O:$U,BB$9,FALSE),0))</f>
        <v>1</v>
      </c>
      <c r="BC35" s="416">
        <f>IFERROR(VLOOKUP(Envoltória!$H43,Aux_Lista!$W$2:$Y$3,BC$9,FALSE),"")</f>
        <v>1</v>
      </c>
      <c r="BD35" s="416">
        <f>IFERROR(VLOOKUP(Envoltória!$H43,Aux_Lista!$W$2:$Y$3,BD$9,FALSE),"")</f>
        <v>0</v>
      </c>
      <c r="BE35" s="430">
        <f t="shared" si="1"/>
        <v>1</v>
      </c>
      <c r="BF35" s="430">
        <f>IF(B35=0,"",IF(Envoltória!F43="Perimetral",1,0))</f>
        <v>0</v>
      </c>
      <c r="BG35" s="430">
        <f>IFERROR(VLOOKUP(Envoltória!$G43,$BQ$35:$BZ$43,BG$9,FALSE),"")</f>
        <v>1</v>
      </c>
      <c r="BH35" s="430">
        <f>IFERROR(VLOOKUP(Envoltória!$G43,$BQ$35:$BZ$43,BH$9,FALSE),"")</f>
        <v>0</v>
      </c>
      <c r="BI35" s="430">
        <f>IFERROR(VLOOKUP(Envoltória!$G43,$BQ$35:$BZ$43,BI$9,FALSE),"")</f>
        <v>0</v>
      </c>
      <c r="BJ35" s="430">
        <f>IFERROR(VLOOKUP(Envoltória!$G43,$BQ$35:$BZ$43,BJ$9,FALSE),"")</f>
        <v>0</v>
      </c>
      <c r="BK35" s="430">
        <f>IFERROR(VLOOKUP(Envoltória!$G43,$BQ$35:$BZ$43,BK$9,FALSE),"")</f>
        <v>0</v>
      </c>
      <c r="BL35" s="430">
        <f>IFERROR(VLOOKUP(Envoltória!$G43,$BQ$35:$BZ$43,BL$9,FALSE),"")</f>
        <v>0</v>
      </c>
      <c r="BM35" s="430">
        <f>IFERROR(VLOOKUP(Envoltória!$G43,$BQ$35:$BZ$43,BM$9,FALSE),"")</f>
        <v>0</v>
      </c>
      <c r="BN35" s="430">
        <f>IFERROR(VLOOKUP(Envoltória!$G43,$BQ$35:$BZ$43,BN$9,FALSE),"")</f>
        <v>0</v>
      </c>
      <c r="BO35" s="430">
        <f>IFERROR(VLOOKUP(Envoltória!$G43,$BQ$35:$BZ$43,BO$9,FALSE),"")</f>
        <v>0</v>
      </c>
      <c r="BP35" s="2"/>
      <c r="BQ35" s="419" t="s">
        <v>68</v>
      </c>
      <c r="BR35" s="419">
        <v>1</v>
      </c>
      <c r="BS35" s="419">
        <v>0</v>
      </c>
      <c r="BT35" s="419">
        <v>0</v>
      </c>
      <c r="BU35" s="419">
        <v>0</v>
      </c>
      <c r="BV35" s="419">
        <v>0</v>
      </c>
      <c r="BW35" s="419">
        <v>0</v>
      </c>
      <c r="BX35" s="419">
        <v>0</v>
      </c>
      <c r="BY35" s="419">
        <v>0</v>
      </c>
      <c r="BZ35" s="419">
        <v>0</v>
      </c>
      <c r="CA35" s="13">
        <f t="shared" ref="CA35:CA43" si="3">SUM(BR35:BZ35)</f>
        <v>1</v>
      </c>
    </row>
    <row r="36" spans="1:79" s="13" customFormat="1" x14ac:dyDescent="0.25">
      <c r="A36" s="2">
        <v>26</v>
      </c>
      <c r="B36" s="410" t="str">
        <f>Envoltória!I44</f>
        <v>Escritórios</v>
      </c>
      <c r="C36" s="410" t="str">
        <f>Envoltória!B44</f>
        <v>Térreo (único pvto)</v>
      </c>
      <c r="D36" s="410" t="str">
        <f>Envoltória!C44</f>
        <v>Zi3-duplo</v>
      </c>
      <c r="E36" s="410">
        <f>Envoltória!D44</f>
        <v>26.04</v>
      </c>
      <c r="F36" s="430">
        <f>IF(B36=0,"",Envoltória!E44)</f>
        <v>9.92</v>
      </c>
      <c r="G36" s="430">
        <f t="shared" si="2"/>
        <v>5.102940328869229</v>
      </c>
      <c r="H36" s="430">
        <f>IF(B36=0,"",Envoltória!O44/100)</f>
        <v>0</v>
      </c>
      <c r="I36" s="430">
        <f>IF(B36=0,"",IF(BF36=1,VLOOKUP(Envoltória!N44,Componentes!AV:AY,2,FALSE),89))</f>
        <v>89</v>
      </c>
      <c r="J36" s="416">
        <f>IF(B36=0,"",IFERROR(VLOOKUP(Envoltória!M44,Componentes!$P:$R,2,FALSE),""))</f>
        <v>2.06</v>
      </c>
      <c r="K36" s="416">
        <f>IF(B36=0,"",IFERROR(VLOOKUP(Envoltória!M44,Componentes!$P:$R,3,FALSE),""))</f>
        <v>233</v>
      </c>
      <c r="L36" s="431">
        <f>IF(B36=0,"",IFERROR(IF(BB36&lt;&gt;0,VLOOKUP(Envoltória!L44,Componentes!K:N,2,FALSE),0),""))</f>
        <v>0.55139700000000003</v>
      </c>
      <c r="M36" s="431">
        <f>IF(B36=0,"",IFERROR(IF(BB36&lt;&gt;0,VLOOKUP(Envoltória!L44,Componentes!K:N,3,FALSE),0),""))</f>
        <v>145</v>
      </c>
      <c r="N36" s="431">
        <f>IF(B36=0,"",IFERROR(IF(BB36&lt;&gt;0,VLOOKUP(Envoltória!L44,Componentes!K:N,4,FALSE),0),""))</f>
        <v>0.25</v>
      </c>
      <c r="O36" s="430">
        <f>IF(B36=0,"",IF(BF36=1,VLOOKUP(Envoltória!J44,Componentes!B:E,2,FALSE),-6))</f>
        <v>-6</v>
      </c>
      <c r="P36" s="430">
        <f>IF(B36=0,"",IF(BF36=1,VLOOKUP(Envoltória!J44,Componentes!B:E,3,FALSE),-400))</f>
        <v>-400</v>
      </c>
      <c r="Q36" s="430">
        <f>IF(B36=0,"",IF(BF36=1,VLOOKUP(Envoltória!J44,Componentes!B:E,4,FALSE),0))</f>
        <v>0</v>
      </c>
      <c r="R36" s="416">
        <f>IF(B36=0,"",IFERROR(VLOOKUP(Envoltória!K44,Componentes!G:I,2,FALSE),""))</f>
        <v>2.39</v>
      </c>
      <c r="S36" s="416">
        <f>IF(B36=0,"",IFERROR(VLOOKUP(Envoltória!K44,Componentes!G:I,3,FALSE),""))</f>
        <v>150</v>
      </c>
      <c r="T36" s="430">
        <f>IF(B36=0,"",IFERROR(IF(H36&lt;&gt;0,VLOOKUP(Envoltória!N44,Componentes!T:V,3,FALSE),0),""))</f>
        <v>0</v>
      </c>
      <c r="U36" s="430">
        <f>IF(B36=0,"",IFERROR(IF(H36&lt;&gt;0,VLOOKUP(Envoltória!N44,Componentes!T:V,2,FALSE),0),""))</f>
        <v>0</v>
      </c>
      <c r="V36" s="416">
        <f>IF(B36=0,"",IFERROR(IF(AA36&lt;&gt;0,VLOOKUP(Envoltória!U44,Componentes!X:Z,2,FALSE),0),0))</f>
        <v>0</v>
      </c>
      <c r="W36" s="416">
        <f>IF(B36=0,"",IFERROR(IF(AA36&lt;&gt;0,VLOOKUP(Envoltória!U44,Componentes!X:Z,3,FALSE),0),0))</f>
        <v>0</v>
      </c>
      <c r="X36" s="430">
        <f>IF(B36=0,"",Envoltória!U44)</f>
        <v>0.1</v>
      </c>
      <c r="Y36" s="430">
        <f>IF(B36=0,"",Envoltória!S44)</f>
        <v>15.45</v>
      </c>
      <c r="Z36" s="430">
        <f>IF(B36=0,"",Envoltória!T44)</f>
        <v>15</v>
      </c>
      <c r="AA36" s="416">
        <f>IF(B36=0,"",Envoltória!Q44/100)</f>
        <v>0</v>
      </c>
      <c r="AB36" s="434">
        <f>IF($B36=0,"",VLOOKUP(Aux_Lista!$DR$2,Aux_Clima!$A:$O,AB$8,FALSE))</f>
        <v>-7.02</v>
      </c>
      <c r="AC36" s="434">
        <f>IF($B36=0,"",VLOOKUP(Aux_Lista!$DR$2,Aux_Clima!$A:$O,AC$8,FALSE))</f>
        <v>249</v>
      </c>
      <c r="AD36" s="434">
        <f>IF($B36=0,"",ROUND(VLOOKUP(Aux_Lista!$DR$2,Aux_Clima!$A:$O,AD$8,FALSE),8))</f>
        <v>27.24</v>
      </c>
      <c r="AE36" s="434">
        <f>IF($B36=0,"",ROUND(VLOOKUP(Aux_Lista!$DR$2,Aux_Clima!$A:$O,AE$8,FALSE),8))</f>
        <v>24.17</v>
      </c>
      <c r="AF36" s="434">
        <f>IF($B36=0,"",ROUND(VLOOKUP(Aux_Lista!$DR$2,Aux_Clima!$A:$O,AF$8,FALSE),8))</f>
        <v>30.311666670000001</v>
      </c>
      <c r="AG36" s="434">
        <f>IF($B36=0,"",ROUND(VLOOKUP(Aux_Lista!$DR$2,Aux_Clima!$A:$O,AG$8,FALSE),8))</f>
        <v>2.8624999999999998</v>
      </c>
      <c r="AH36" s="434">
        <f>IF($B36=0,"",ROUND(VLOOKUP(Aux_Lista!$DR$2,Aux_Clima!$A:$O,AH$8,FALSE),8))</f>
        <v>1.8233333300000001</v>
      </c>
      <c r="AI36" s="434">
        <f>IF($B36=0,"",ROUND(VLOOKUP(Aux_Lista!$DR$2,Aux_Clima!$A:$O,AI$8,FALSE),8))</f>
        <v>3.8433333300000001</v>
      </c>
      <c r="AJ36" s="434">
        <f>IF($B36=0,"",ROUND(VLOOKUP(Aux_Lista!$DR$2,Aux_Clima!$A:$O,AJ$8,FALSE),3))</f>
        <v>6082.0829999999996</v>
      </c>
      <c r="AK36" s="434">
        <f>IF($B36=0,"",ROUND(VLOOKUP(Aux_Lista!$DR$2,Aux_Clima!$A:$O,AK$8,FALSE),3))</f>
        <v>5588.8329999999996</v>
      </c>
      <c r="AL36" s="434">
        <f>IF($B36=0,"",ROUND(VLOOKUP(Aux_Lista!$DR$2,Aux_Clima!$A:$O,AL$8,FALSE),3))</f>
        <v>6759.9380000000001</v>
      </c>
      <c r="AM36" s="434">
        <f>IF($B36=0,"",ROUND(VLOOKUP(Aux_Lista!$DR$2,Aux_Clima!$A:$O,AM$8,FALSE),8))</f>
        <v>18.44083333</v>
      </c>
      <c r="AN36" s="434">
        <f>IF($B36=0,"",ROUND(VLOOKUP(Aux_Lista!$DR$2,Aux_Clima!$A:$O,AN$8,FALSE),8))</f>
        <v>17.19166667</v>
      </c>
      <c r="AO36" s="434">
        <f>IF($B36=0,"",ROUND(VLOOKUP(Aux_Lista!$DR$2,Aux_Clima!$A:$O,AO$8,FALSE),8))</f>
        <v>19.883333329999999</v>
      </c>
      <c r="AP36" s="430">
        <f>IF(B36=0,"",IF(BF36=0,84,VLOOKUP(Envoltória!N44,Componentes!AV:AY,4,FALSE)))</f>
        <v>84</v>
      </c>
      <c r="AQ36" s="430">
        <f>IF(B36=0,"",IF(BF36=0,90,VLOOKUP(Envoltória!N44,Componentes!AV:AY,3,FALSE)))</f>
        <v>90</v>
      </c>
      <c r="AR36" s="430">
        <f t="shared" si="0"/>
        <v>1</v>
      </c>
      <c r="AS36" s="430">
        <f t="shared" si="0"/>
        <v>0</v>
      </c>
      <c r="AT36" s="430">
        <f t="shared" si="0"/>
        <v>0</v>
      </c>
      <c r="AU36" s="430">
        <f t="shared" si="0"/>
        <v>0</v>
      </c>
      <c r="AV36" s="430">
        <f t="shared" si="0"/>
        <v>0</v>
      </c>
      <c r="AW36" s="416">
        <f>IF($B36=0,"",IFERROR(VLOOKUP(Envoltória!$B44,Aux_Lista!$O:$U,AW$9,FALSE),0))</f>
        <v>0</v>
      </c>
      <c r="AX36" s="416">
        <f>IF($B36=0,"",IFERROR(VLOOKUP(Envoltória!$B44,Aux_Lista!$O:$U,AX$9,FALSE),0))</f>
        <v>1</v>
      </c>
      <c r="AY36" s="416">
        <f>IF($B36=0,"",IFERROR(VLOOKUP(Envoltória!$B44,Aux_Lista!$O:$U,AY$9,FALSE),0))</f>
        <v>1</v>
      </c>
      <c r="AZ36" s="416">
        <f>IF($B36=0,"",IFERROR(VLOOKUP(Envoltória!$B44,Aux_Lista!$O:$U,AZ$9,FALSE),0))</f>
        <v>0</v>
      </c>
      <c r="BA36" s="416">
        <f>IF($B36=0,"",IFERROR(VLOOKUP(Envoltória!$B44,Aux_Lista!$O:$U,BA$9,FALSE),0))</f>
        <v>0</v>
      </c>
      <c r="BB36" s="416">
        <f>IF($B36=0,"",IFERROR(VLOOKUP(Envoltória!$B44,Aux_Lista!$O:$U,BB$9,FALSE),0))</f>
        <v>1</v>
      </c>
      <c r="BC36" s="416">
        <f>IFERROR(VLOOKUP(Envoltória!$H44,Aux_Lista!$W$2:$Y$3,BC$9,FALSE),"")</f>
        <v>1</v>
      </c>
      <c r="BD36" s="416">
        <f>IFERROR(VLOOKUP(Envoltória!$H44,Aux_Lista!$W$2:$Y$3,BD$9,FALSE),"")</f>
        <v>0</v>
      </c>
      <c r="BE36" s="430">
        <f t="shared" si="1"/>
        <v>1</v>
      </c>
      <c r="BF36" s="430">
        <f>IF(B36=0,"",IF(Envoltória!F44="Perimetral",1,0))</f>
        <v>0</v>
      </c>
      <c r="BG36" s="430">
        <f>IFERROR(VLOOKUP(Envoltória!$G44,$BQ$35:$BZ$43,BG$9,FALSE),"")</f>
        <v>1</v>
      </c>
      <c r="BH36" s="430">
        <f>IFERROR(VLOOKUP(Envoltória!$G44,$BQ$35:$BZ$43,BH$9,FALSE),"")</f>
        <v>0</v>
      </c>
      <c r="BI36" s="430">
        <f>IFERROR(VLOOKUP(Envoltória!$G44,$BQ$35:$BZ$43,BI$9,FALSE),"")</f>
        <v>0</v>
      </c>
      <c r="BJ36" s="430">
        <f>IFERROR(VLOOKUP(Envoltória!$G44,$BQ$35:$BZ$43,BJ$9,FALSE),"")</f>
        <v>0</v>
      </c>
      <c r="BK36" s="430">
        <f>IFERROR(VLOOKUP(Envoltória!$G44,$BQ$35:$BZ$43,BK$9,FALSE),"")</f>
        <v>0</v>
      </c>
      <c r="BL36" s="430">
        <f>IFERROR(VLOOKUP(Envoltória!$G44,$BQ$35:$BZ$43,BL$9,FALSE),"")</f>
        <v>0</v>
      </c>
      <c r="BM36" s="430">
        <f>IFERROR(VLOOKUP(Envoltória!$G44,$BQ$35:$BZ$43,BM$9,FALSE),"")</f>
        <v>0</v>
      </c>
      <c r="BN36" s="430">
        <f>IFERROR(VLOOKUP(Envoltória!$G44,$BQ$35:$BZ$43,BN$9,FALSE),"")</f>
        <v>0</v>
      </c>
      <c r="BO36" s="430">
        <f>IFERROR(VLOOKUP(Envoltória!$G44,$BQ$35:$BZ$43,BO$9,FALSE),"")</f>
        <v>0</v>
      </c>
      <c r="BP36" s="2"/>
      <c r="BQ36" s="419" t="s">
        <v>245</v>
      </c>
      <c r="BR36" s="419">
        <v>0</v>
      </c>
      <c r="BS36" s="419">
        <v>1</v>
      </c>
      <c r="BT36" s="419">
        <v>0</v>
      </c>
      <c r="BU36" s="419">
        <v>0</v>
      </c>
      <c r="BV36" s="419">
        <v>0</v>
      </c>
      <c r="BW36" s="419">
        <v>0</v>
      </c>
      <c r="BX36" s="419">
        <v>0</v>
      </c>
      <c r="BY36" s="419">
        <v>0</v>
      </c>
      <c r="BZ36" s="419">
        <v>0</v>
      </c>
      <c r="CA36" s="13">
        <f t="shared" si="3"/>
        <v>1</v>
      </c>
    </row>
    <row r="37" spans="1:79" s="13" customFormat="1" x14ac:dyDescent="0.25">
      <c r="A37" s="2">
        <v>27</v>
      </c>
      <c r="B37" s="410" t="str">
        <f>Envoltória!I45</f>
        <v>Escritórios</v>
      </c>
      <c r="C37" s="410" t="str">
        <f>Envoltória!B45</f>
        <v>Térreo (com + pvtos acima)</v>
      </c>
      <c r="D37" s="410" t="str">
        <f>Envoltória!C45</f>
        <v>Zi4</v>
      </c>
      <c r="E37" s="410">
        <f>Envoltória!D45</f>
        <v>287.04000000000002</v>
      </c>
      <c r="F37" s="430">
        <f>IF(B37=0,"",Envoltória!E45)</f>
        <v>3</v>
      </c>
      <c r="G37" s="430">
        <f t="shared" si="2"/>
        <v>16.942254867637896</v>
      </c>
      <c r="H37" s="430">
        <f>IF(B37=0,"",Envoltória!O45/100)</f>
        <v>0</v>
      </c>
      <c r="I37" s="430">
        <f>IF(B37=0,"",IF(BF37=1,VLOOKUP(Envoltória!N45,Componentes!AV:AY,2,FALSE),89))</f>
        <v>89</v>
      </c>
      <c r="J37" s="416">
        <f>IF(B37=0,"",IFERROR(VLOOKUP(Envoltória!M45,Componentes!$P:$R,2,FALSE),""))</f>
        <v>2.06</v>
      </c>
      <c r="K37" s="416">
        <f>IF(B37=0,"",IFERROR(VLOOKUP(Envoltória!M45,Componentes!$P:$R,3,FALSE),""))</f>
        <v>233</v>
      </c>
      <c r="L37" s="431">
        <f>IF(B37=0,"",IFERROR(IF(BB37&lt;&gt;0,VLOOKUP(Envoltória!L45,Componentes!K:N,2,FALSE),0),""))</f>
        <v>0</v>
      </c>
      <c r="M37" s="431">
        <f>IF(B37=0,"",IFERROR(IF(BB37&lt;&gt;0,VLOOKUP(Envoltória!L45,Componentes!K:N,3,FALSE),0),""))</f>
        <v>0</v>
      </c>
      <c r="N37" s="431">
        <f>IF(B37=0,"",IFERROR(IF(BB37&lt;&gt;0,VLOOKUP(Envoltória!L45,Componentes!K:N,4,FALSE),0),""))</f>
        <v>0</v>
      </c>
      <c r="O37" s="430">
        <f>IF(B37=0,"",IF(BF37=1,VLOOKUP(Envoltória!J45,Componentes!B:E,2,FALSE),-6))</f>
        <v>-6</v>
      </c>
      <c r="P37" s="430">
        <f>IF(B37=0,"",IF(BF37=1,VLOOKUP(Envoltória!J45,Componentes!B:E,3,FALSE),-400))</f>
        <v>-400</v>
      </c>
      <c r="Q37" s="430">
        <f>IF(B37=0,"",IF(BF37=1,VLOOKUP(Envoltória!J45,Componentes!B:E,4,FALSE),0))</f>
        <v>0</v>
      </c>
      <c r="R37" s="416">
        <f>IF(B37=0,"",IFERROR(VLOOKUP(Envoltória!K45,Componentes!G:I,2,FALSE),""))</f>
        <v>2.39</v>
      </c>
      <c r="S37" s="416">
        <f>IF(B37=0,"",IFERROR(VLOOKUP(Envoltória!K45,Componentes!G:I,3,FALSE),""))</f>
        <v>150</v>
      </c>
      <c r="T37" s="430">
        <f>IF(B37=0,"",IFERROR(IF(H37&lt;&gt;0,VLOOKUP(Envoltória!N45,Componentes!T:V,3,FALSE),0),""))</f>
        <v>0</v>
      </c>
      <c r="U37" s="430">
        <f>IF(B37=0,"",IFERROR(IF(H37&lt;&gt;0,VLOOKUP(Envoltória!N45,Componentes!T:V,2,FALSE),0),""))</f>
        <v>0</v>
      </c>
      <c r="V37" s="416">
        <f>IF(B37=0,"",IFERROR(IF(AA37&lt;&gt;0,VLOOKUP(Envoltória!U45,Componentes!X:Z,2,FALSE),0),0))</f>
        <v>0</v>
      </c>
      <c r="W37" s="416">
        <f>IF(B37=0,"",IFERROR(IF(AA37&lt;&gt;0,VLOOKUP(Envoltória!U45,Componentes!X:Z,3,FALSE),0),0))</f>
        <v>0</v>
      </c>
      <c r="X37" s="430">
        <f>IF(B37=0,"",Envoltória!U45)</f>
        <v>0.1</v>
      </c>
      <c r="Y37" s="430">
        <f>IF(B37=0,"",Envoltória!S45)</f>
        <v>15.45</v>
      </c>
      <c r="Z37" s="430">
        <f>IF(B37=0,"",Envoltória!T45)</f>
        <v>15</v>
      </c>
      <c r="AA37" s="416">
        <f>IF(B37=0,"",Envoltória!Q45/100)</f>
        <v>0</v>
      </c>
      <c r="AB37" s="434">
        <f>IF($B37=0,"",VLOOKUP(Aux_Lista!$DR$2,Aux_Clima!$A:$O,AB$8,FALSE))</f>
        <v>-7.02</v>
      </c>
      <c r="AC37" s="434">
        <f>IF($B37=0,"",VLOOKUP(Aux_Lista!$DR$2,Aux_Clima!$A:$O,AC$8,FALSE))</f>
        <v>249</v>
      </c>
      <c r="AD37" s="434">
        <f>IF($B37=0,"",ROUND(VLOOKUP(Aux_Lista!$DR$2,Aux_Clima!$A:$O,AD$8,FALSE),8))</f>
        <v>27.24</v>
      </c>
      <c r="AE37" s="434">
        <f>IF($B37=0,"",ROUND(VLOOKUP(Aux_Lista!$DR$2,Aux_Clima!$A:$O,AE$8,FALSE),8))</f>
        <v>24.17</v>
      </c>
      <c r="AF37" s="434">
        <f>IF($B37=0,"",ROUND(VLOOKUP(Aux_Lista!$DR$2,Aux_Clima!$A:$O,AF$8,FALSE),8))</f>
        <v>30.311666670000001</v>
      </c>
      <c r="AG37" s="434">
        <f>IF($B37=0,"",ROUND(VLOOKUP(Aux_Lista!$DR$2,Aux_Clima!$A:$O,AG$8,FALSE),8))</f>
        <v>2.8624999999999998</v>
      </c>
      <c r="AH37" s="434">
        <f>IF($B37=0,"",ROUND(VLOOKUP(Aux_Lista!$DR$2,Aux_Clima!$A:$O,AH$8,FALSE),8))</f>
        <v>1.8233333300000001</v>
      </c>
      <c r="AI37" s="434">
        <f>IF($B37=0,"",ROUND(VLOOKUP(Aux_Lista!$DR$2,Aux_Clima!$A:$O,AI$8,FALSE),8))</f>
        <v>3.8433333300000001</v>
      </c>
      <c r="AJ37" s="434">
        <f>IF($B37=0,"",ROUND(VLOOKUP(Aux_Lista!$DR$2,Aux_Clima!$A:$O,AJ$8,FALSE),3))</f>
        <v>6082.0829999999996</v>
      </c>
      <c r="AK37" s="434">
        <f>IF($B37=0,"",ROUND(VLOOKUP(Aux_Lista!$DR$2,Aux_Clima!$A:$O,AK$8,FALSE),3))</f>
        <v>5588.8329999999996</v>
      </c>
      <c r="AL37" s="434">
        <f>IF($B37=0,"",ROUND(VLOOKUP(Aux_Lista!$DR$2,Aux_Clima!$A:$O,AL$8,FALSE),3))</f>
        <v>6759.9380000000001</v>
      </c>
      <c r="AM37" s="434">
        <f>IF($B37=0,"",ROUND(VLOOKUP(Aux_Lista!$DR$2,Aux_Clima!$A:$O,AM$8,FALSE),8))</f>
        <v>18.44083333</v>
      </c>
      <c r="AN37" s="434">
        <f>IF($B37=0,"",ROUND(VLOOKUP(Aux_Lista!$DR$2,Aux_Clima!$A:$O,AN$8,FALSE),8))</f>
        <v>17.19166667</v>
      </c>
      <c r="AO37" s="434">
        <f>IF($B37=0,"",ROUND(VLOOKUP(Aux_Lista!$DR$2,Aux_Clima!$A:$O,AO$8,FALSE),8))</f>
        <v>19.883333329999999</v>
      </c>
      <c r="AP37" s="430">
        <f>IF(B37=0,"",IF(BF37=0,84,VLOOKUP(Envoltória!N45,Componentes!AV:AY,4,FALSE)))</f>
        <v>84</v>
      </c>
      <c r="AQ37" s="430">
        <f>IF(B37=0,"",IF(BF37=0,90,VLOOKUP(Envoltória!N45,Componentes!AV:AY,3,FALSE)))</f>
        <v>90</v>
      </c>
      <c r="AR37" s="430">
        <f t="shared" si="0"/>
        <v>1</v>
      </c>
      <c r="AS37" s="430">
        <f t="shared" si="0"/>
        <v>0</v>
      </c>
      <c r="AT37" s="430">
        <f t="shared" si="0"/>
        <v>0</v>
      </c>
      <c r="AU37" s="430">
        <f t="shared" si="0"/>
        <v>0</v>
      </c>
      <c r="AV37" s="430">
        <f t="shared" si="0"/>
        <v>0</v>
      </c>
      <c r="AW37" s="416">
        <f>IF($B37=0,"",IFERROR(VLOOKUP(Envoltória!$B45,Aux_Lista!$O:$U,AW$9,FALSE),0))</f>
        <v>0</v>
      </c>
      <c r="AX37" s="416">
        <f>IF($B37=0,"",IFERROR(VLOOKUP(Envoltória!$B45,Aux_Lista!$O:$U,AX$9,FALSE),0))</f>
        <v>1</v>
      </c>
      <c r="AY37" s="416">
        <f>IF($B37=0,"",IFERROR(VLOOKUP(Envoltória!$B45,Aux_Lista!$O:$U,AY$9,FALSE),0))</f>
        <v>1</v>
      </c>
      <c r="AZ37" s="416">
        <f>IF($B37=0,"",IFERROR(VLOOKUP(Envoltória!$B45,Aux_Lista!$O:$U,AZ$9,FALSE),0))</f>
        <v>0</v>
      </c>
      <c r="BA37" s="416">
        <f>IF($B37=0,"",IFERROR(VLOOKUP(Envoltória!$B45,Aux_Lista!$O:$U,BA$9,FALSE),0))</f>
        <v>1</v>
      </c>
      <c r="BB37" s="416">
        <f>IF($B37=0,"",IFERROR(VLOOKUP(Envoltória!$B45,Aux_Lista!$O:$U,BB$9,FALSE),0))</f>
        <v>0</v>
      </c>
      <c r="BC37" s="416">
        <f>IFERROR(VLOOKUP(Envoltória!$H45,Aux_Lista!$W$2:$Y$3,BC$9,FALSE),"")</f>
        <v>1</v>
      </c>
      <c r="BD37" s="416">
        <f>IFERROR(VLOOKUP(Envoltória!$H45,Aux_Lista!$W$2:$Y$3,BD$9,FALSE),"")</f>
        <v>0</v>
      </c>
      <c r="BE37" s="430">
        <f t="shared" si="1"/>
        <v>1</v>
      </c>
      <c r="BF37" s="430">
        <f>IF(B37=0,"",IF(Envoltória!F45="Perimetral",1,0))</f>
        <v>0</v>
      </c>
      <c r="BG37" s="430">
        <f>IFERROR(VLOOKUP(Envoltória!$G45,$BQ$35:$BZ$43,BG$9,FALSE),"")</f>
        <v>1</v>
      </c>
      <c r="BH37" s="430">
        <f>IFERROR(VLOOKUP(Envoltória!$G45,$BQ$35:$BZ$43,BH$9,FALSE),"")</f>
        <v>0</v>
      </c>
      <c r="BI37" s="430">
        <f>IFERROR(VLOOKUP(Envoltória!$G45,$BQ$35:$BZ$43,BI$9,FALSE),"")</f>
        <v>0</v>
      </c>
      <c r="BJ37" s="430">
        <f>IFERROR(VLOOKUP(Envoltória!$G45,$BQ$35:$BZ$43,BJ$9,FALSE),"")</f>
        <v>0</v>
      </c>
      <c r="BK37" s="430">
        <f>IFERROR(VLOOKUP(Envoltória!$G45,$BQ$35:$BZ$43,BK$9,FALSE),"")</f>
        <v>0</v>
      </c>
      <c r="BL37" s="430">
        <f>IFERROR(VLOOKUP(Envoltória!$G45,$BQ$35:$BZ$43,BL$9,FALSE),"")</f>
        <v>0</v>
      </c>
      <c r="BM37" s="430">
        <f>IFERROR(VLOOKUP(Envoltória!$G45,$BQ$35:$BZ$43,BM$9,FALSE),"")</f>
        <v>0</v>
      </c>
      <c r="BN37" s="430">
        <f>IFERROR(VLOOKUP(Envoltória!$G45,$BQ$35:$BZ$43,BN$9,FALSE),"")</f>
        <v>0</v>
      </c>
      <c r="BO37" s="430">
        <f>IFERROR(VLOOKUP(Envoltória!$G45,$BQ$35:$BZ$43,BO$9,FALSE),"")</f>
        <v>0</v>
      </c>
      <c r="BP37" s="2"/>
      <c r="BQ37" s="419" t="s">
        <v>266</v>
      </c>
      <c r="BR37" s="419">
        <v>0</v>
      </c>
      <c r="BS37" s="419">
        <v>0</v>
      </c>
      <c r="BT37" s="419">
        <v>0</v>
      </c>
      <c r="BU37" s="419">
        <v>0</v>
      </c>
      <c r="BV37" s="419">
        <v>0</v>
      </c>
      <c r="BW37" s="419">
        <v>0</v>
      </c>
      <c r="BX37" s="419">
        <v>0</v>
      </c>
      <c r="BY37" s="419">
        <v>1</v>
      </c>
      <c r="BZ37" s="419">
        <v>0</v>
      </c>
      <c r="CA37" s="13">
        <f t="shared" si="3"/>
        <v>1</v>
      </c>
    </row>
    <row r="38" spans="1:79" s="13" customFormat="1" x14ac:dyDescent="0.25">
      <c r="A38" s="2">
        <v>28</v>
      </c>
      <c r="B38" s="410" t="str">
        <f>Envoltória!I46</f>
        <v>Escritórios</v>
      </c>
      <c r="C38" s="410" t="str">
        <f>Envoltória!B46</f>
        <v>Cobertura</v>
      </c>
      <c r="D38" s="410" t="str">
        <f>Envoltória!C46</f>
        <v>ZP24</v>
      </c>
      <c r="E38" s="410">
        <f>Envoltória!D46</f>
        <v>1.56</v>
      </c>
      <c r="F38" s="430">
        <f>IF(B38=0,"",Envoltória!E46)</f>
        <v>3</v>
      </c>
      <c r="G38" s="430">
        <f t="shared" si="2"/>
        <v>4.8466666666666667</v>
      </c>
      <c r="H38" s="430">
        <f>IF(B38=0,"",Envoltória!O46/100)</f>
        <v>0</v>
      </c>
      <c r="I38" s="430">
        <f>IF(B38=0,"",IF(BF38=1,VLOOKUP(Envoltória!N46,Componentes!AV:AY,2,FALSE),89))</f>
        <v>0</v>
      </c>
      <c r="J38" s="416">
        <f>IF(B38=0,"",IFERROR(VLOOKUP(Envoltória!M46,Componentes!$P:$R,2,FALSE),""))</f>
        <v>2.06</v>
      </c>
      <c r="K38" s="416">
        <f>IF(B38=0,"",IFERROR(VLOOKUP(Envoltória!M46,Componentes!$P:$R,3,FALSE),""))</f>
        <v>233</v>
      </c>
      <c r="L38" s="431">
        <f>IF(B38=0,"",IFERROR(IF(BB38&lt;&gt;0,VLOOKUP(Envoltória!L46,Componentes!K:N,2,FALSE),0),""))</f>
        <v>0.55139700000000003</v>
      </c>
      <c r="M38" s="431">
        <f>IF(B38=0,"",IFERROR(IF(BB38&lt;&gt;0,VLOOKUP(Envoltória!L46,Componentes!K:N,3,FALSE),0),""))</f>
        <v>145</v>
      </c>
      <c r="N38" s="431">
        <f>IF(B38=0,"",IFERROR(IF(BB38&lt;&gt;0,VLOOKUP(Envoltória!L46,Componentes!K:N,4,FALSE),0),""))</f>
        <v>0.25</v>
      </c>
      <c r="O38" s="430">
        <f>IF(B38=0,"",IF(BF38=1,VLOOKUP(Envoltória!J46,Componentes!B:E,2,FALSE),-6))</f>
        <v>1.7307999999999999</v>
      </c>
      <c r="P38" s="430">
        <f>IF(B38=0,"",IF(BF38=1,VLOOKUP(Envoltória!J46,Componentes!B:E,3,FALSE),-400))</f>
        <v>150</v>
      </c>
      <c r="Q38" s="430">
        <f>IF(B38=0,"",IF(BF38=1,VLOOKUP(Envoltória!J46,Componentes!B:E,4,FALSE),0))</f>
        <v>0.39600000000000002</v>
      </c>
      <c r="R38" s="416">
        <f>IF(B38=0,"",IFERROR(VLOOKUP(Envoltória!K46,Componentes!G:I,2,FALSE),""))</f>
        <v>2.39</v>
      </c>
      <c r="S38" s="416">
        <f>IF(B38=0,"",IFERROR(VLOOKUP(Envoltória!K46,Componentes!G:I,3,FALSE),""))</f>
        <v>150</v>
      </c>
      <c r="T38" s="430">
        <f>IF(B38=0,"",IFERROR(IF(H38&lt;&gt;0,VLOOKUP(Envoltória!N46,Componentes!T:V,3,FALSE),0),""))</f>
        <v>0</v>
      </c>
      <c r="U38" s="430">
        <f>IF(B38=0,"",IFERROR(IF(H38&lt;&gt;0,VLOOKUP(Envoltória!N46,Componentes!T:V,2,FALSE),0),""))</f>
        <v>0</v>
      </c>
      <c r="V38" s="416">
        <f>IF(B38=0,"",IFERROR(IF(AA38&lt;&gt;0,VLOOKUP(Envoltória!U46,Componentes!X:Z,2,FALSE),0),0))</f>
        <v>0</v>
      </c>
      <c r="W38" s="416">
        <f>IF(B38=0,"",IFERROR(IF(AA38&lt;&gt;0,VLOOKUP(Envoltória!U46,Componentes!X:Z,3,FALSE),0),0))</f>
        <v>0</v>
      </c>
      <c r="X38" s="430">
        <f>IF(B38=0,"",Envoltória!U46)</f>
        <v>0.1</v>
      </c>
      <c r="Y38" s="430">
        <f>IF(B38=0,"",Envoltória!S46)</f>
        <v>15.45</v>
      </c>
      <c r="Z38" s="430">
        <f>IF(B38=0,"",Envoltória!T46)</f>
        <v>15</v>
      </c>
      <c r="AA38" s="416">
        <f>IF(B38=0,"",Envoltória!Q46/100)</f>
        <v>0</v>
      </c>
      <c r="AB38" s="434">
        <f>IF($B38=0,"",VLOOKUP(Aux_Lista!$DR$2,Aux_Clima!$A:$O,AB$8,FALSE))</f>
        <v>-7.02</v>
      </c>
      <c r="AC38" s="434">
        <f>IF($B38=0,"",VLOOKUP(Aux_Lista!$DR$2,Aux_Clima!$A:$O,AC$8,FALSE))</f>
        <v>249</v>
      </c>
      <c r="AD38" s="434">
        <f>IF($B38=0,"",ROUND(VLOOKUP(Aux_Lista!$DR$2,Aux_Clima!$A:$O,AD$8,FALSE),8))</f>
        <v>27.24</v>
      </c>
      <c r="AE38" s="434">
        <f>IF($B38=0,"",ROUND(VLOOKUP(Aux_Lista!$DR$2,Aux_Clima!$A:$O,AE$8,FALSE),8))</f>
        <v>24.17</v>
      </c>
      <c r="AF38" s="434">
        <f>IF($B38=0,"",ROUND(VLOOKUP(Aux_Lista!$DR$2,Aux_Clima!$A:$O,AF$8,FALSE),8))</f>
        <v>30.311666670000001</v>
      </c>
      <c r="AG38" s="434">
        <f>IF($B38=0,"",ROUND(VLOOKUP(Aux_Lista!$DR$2,Aux_Clima!$A:$O,AG$8,FALSE),8))</f>
        <v>2.8624999999999998</v>
      </c>
      <c r="AH38" s="434">
        <f>IF($B38=0,"",ROUND(VLOOKUP(Aux_Lista!$DR$2,Aux_Clima!$A:$O,AH$8,FALSE),8))</f>
        <v>1.8233333300000001</v>
      </c>
      <c r="AI38" s="434">
        <f>IF($B38=0,"",ROUND(VLOOKUP(Aux_Lista!$DR$2,Aux_Clima!$A:$O,AI$8,FALSE),8))</f>
        <v>3.8433333300000001</v>
      </c>
      <c r="AJ38" s="434">
        <f>IF($B38=0,"",ROUND(VLOOKUP(Aux_Lista!$DR$2,Aux_Clima!$A:$O,AJ$8,FALSE),3))</f>
        <v>6082.0829999999996</v>
      </c>
      <c r="AK38" s="434">
        <f>IF($B38=0,"",ROUND(VLOOKUP(Aux_Lista!$DR$2,Aux_Clima!$A:$O,AK$8,FALSE),3))</f>
        <v>5588.8329999999996</v>
      </c>
      <c r="AL38" s="434">
        <f>IF($B38=0,"",ROUND(VLOOKUP(Aux_Lista!$DR$2,Aux_Clima!$A:$O,AL$8,FALSE),3))</f>
        <v>6759.9380000000001</v>
      </c>
      <c r="AM38" s="434">
        <f>IF($B38=0,"",ROUND(VLOOKUP(Aux_Lista!$DR$2,Aux_Clima!$A:$O,AM$8,FALSE),8))</f>
        <v>18.44083333</v>
      </c>
      <c r="AN38" s="434">
        <f>IF($B38=0,"",ROUND(VLOOKUP(Aux_Lista!$DR$2,Aux_Clima!$A:$O,AN$8,FALSE),8))</f>
        <v>17.19166667</v>
      </c>
      <c r="AO38" s="434">
        <f>IF($B38=0,"",ROUND(VLOOKUP(Aux_Lista!$DR$2,Aux_Clima!$A:$O,AO$8,FALSE),8))</f>
        <v>19.883333329999999</v>
      </c>
      <c r="AP38" s="430">
        <f>IF(B38=0,"",IF(BF38=0,84,VLOOKUP(Envoltória!N46,Componentes!AV:AY,4,FALSE)))</f>
        <v>0</v>
      </c>
      <c r="AQ38" s="430">
        <f>IF(B38=0,"",IF(BF38=0,90,VLOOKUP(Envoltória!N46,Componentes!AV:AY,3,FALSE)))</f>
        <v>0</v>
      </c>
      <c r="AR38" s="430">
        <f t="shared" si="0"/>
        <v>1</v>
      </c>
      <c r="AS38" s="430">
        <f t="shared" si="0"/>
        <v>0</v>
      </c>
      <c r="AT38" s="430">
        <f t="shared" si="0"/>
        <v>0</v>
      </c>
      <c r="AU38" s="430">
        <f t="shared" si="0"/>
        <v>0</v>
      </c>
      <c r="AV38" s="430">
        <f t="shared" si="0"/>
        <v>0</v>
      </c>
      <c r="AW38" s="416">
        <f>IF($B38=0,"",IFERROR(VLOOKUP(Envoltória!$B46,Aux_Lista!$O:$U,AW$9,FALSE),0))</f>
        <v>1</v>
      </c>
      <c r="AX38" s="416">
        <f>IF($B38=0,"",IFERROR(VLOOKUP(Envoltória!$B46,Aux_Lista!$O:$U,AX$9,FALSE),0))</f>
        <v>0</v>
      </c>
      <c r="AY38" s="416">
        <f>IF($B38=0,"",IFERROR(VLOOKUP(Envoltória!$B46,Aux_Lista!$O:$U,AY$9,FALSE),0))</f>
        <v>1</v>
      </c>
      <c r="AZ38" s="416">
        <f>IF($B38=0,"",IFERROR(VLOOKUP(Envoltória!$B46,Aux_Lista!$O:$U,AZ$9,FALSE),0))</f>
        <v>0</v>
      </c>
      <c r="BA38" s="416">
        <f>IF($B38=0,"",IFERROR(VLOOKUP(Envoltória!$B46,Aux_Lista!$O:$U,BA$9,FALSE),0))</f>
        <v>0</v>
      </c>
      <c r="BB38" s="416">
        <f>IF($B38=0,"",IFERROR(VLOOKUP(Envoltória!$B46,Aux_Lista!$O:$U,BB$9,FALSE),0))</f>
        <v>1</v>
      </c>
      <c r="BC38" s="416">
        <f>IFERROR(VLOOKUP(Envoltória!$H46,Aux_Lista!$W$2:$Y$3,BC$9,FALSE),"")</f>
        <v>1</v>
      </c>
      <c r="BD38" s="416">
        <f>IFERROR(VLOOKUP(Envoltória!$H46,Aux_Lista!$W$2:$Y$3,BD$9,FALSE),"")</f>
        <v>0</v>
      </c>
      <c r="BE38" s="430">
        <f t="shared" si="1"/>
        <v>0</v>
      </c>
      <c r="BF38" s="430">
        <f>IF(B38=0,"",IF(Envoltória!F46="Perimetral",1,0))</f>
        <v>1</v>
      </c>
      <c r="BG38" s="430">
        <f>IFERROR(VLOOKUP(Envoltória!$G46,$BQ$35:$BZ$43,BG$9,FALSE),"")</f>
        <v>0</v>
      </c>
      <c r="BH38" s="430">
        <f>IFERROR(VLOOKUP(Envoltória!$G46,$BQ$35:$BZ$43,BH$9,FALSE),"")</f>
        <v>0</v>
      </c>
      <c r="BI38" s="430">
        <f>IFERROR(VLOOKUP(Envoltória!$G46,$BQ$35:$BZ$43,BI$9,FALSE),"")</f>
        <v>0</v>
      </c>
      <c r="BJ38" s="430">
        <f>IFERROR(VLOOKUP(Envoltória!$G46,$BQ$35:$BZ$43,BJ$9,FALSE),"")</f>
        <v>0</v>
      </c>
      <c r="BK38" s="430">
        <f>IFERROR(VLOOKUP(Envoltória!$G46,$BQ$35:$BZ$43,BK$9,FALSE),"")</f>
        <v>1</v>
      </c>
      <c r="BL38" s="430">
        <f>IFERROR(VLOOKUP(Envoltória!$G46,$BQ$35:$BZ$43,BL$9,FALSE),"")</f>
        <v>0</v>
      </c>
      <c r="BM38" s="430">
        <f>IFERROR(VLOOKUP(Envoltória!$G46,$BQ$35:$BZ$43,BM$9,FALSE),"")</f>
        <v>0</v>
      </c>
      <c r="BN38" s="430">
        <f>IFERROR(VLOOKUP(Envoltória!$G46,$BQ$35:$BZ$43,BN$9,FALSE),"")</f>
        <v>0</v>
      </c>
      <c r="BO38" s="430">
        <f>IFERROR(VLOOKUP(Envoltória!$G46,$BQ$35:$BZ$43,BO$9,FALSE),"")</f>
        <v>0</v>
      </c>
      <c r="BP38" s="2"/>
      <c r="BQ38" s="419" t="s">
        <v>72</v>
      </c>
      <c r="BR38" s="419">
        <v>0</v>
      </c>
      <c r="BS38" s="419">
        <v>0</v>
      </c>
      <c r="BT38" s="419">
        <v>1</v>
      </c>
      <c r="BU38" s="419">
        <v>0</v>
      </c>
      <c r="BV38" s="419">
        <v>0</v>
      </c>
      <c r="BW38" s="419">
        <v>0</v>
      </c>
      <c r="BX38" s="419">
        <v>0</v>
      </c>
      <c r="BY38" s="419">
        <v>0</v>
      </c>
      <c r="BZ38" s="419">
        <v>0</v>
      </c>
      <c r="CA38" s="13">
        <f t="shared" si="3"/>
        <v>1</v>
      </c>
    </row>
    <row r="39" spans="1:79" s="13" customFormat="1" x14ac:dyDescent="0.25">
      <c r="A39" s="2">
        <v>29</v>
      </c>
      <c r="B39" s="410" t="str">
        <f>Envoltória!I47</f>
        <v>Escritórios</v>
      </c>
      <c r="C39" s="410" t="str">
        <f>Envoltória!B47</f>
        <v>Cobertura</v>
      </c>
      <c r="D39" s="410" t="str">
        <f>Envoltória!C47</f>
        <v>ZP25</v>
      </c>
      <c r="E39" s="410">
        <f>Envoltória!D47</f>
        <v>38.340000000000003</v>
      </c>
      <c r="F39" s="430">
        <f>IF(B39=0,"",Envoltória!E47)</f>
        <v>3</v>
      </c>
      <c r="G39" s="430">
        <f t="shared" si="2"/>
        <v>13.02</v>
      </c>
      <c r="H39" s="430">
        <f>IF(B39=0,"",Envoltória!O47/100)</f>
        <v>0.08</v>
      </c>
      <c r="I39" s="430">
        <f>IF(B39=0,"",IF(BF39=1,VLOOKUP(Envoltória!N47,Componentes!AV:AY,2,FALSE),89))</f>
        <v>0</v>
      </c>
      <c r="J39" s="416">
        <f>IF(B39=0,"",IFERROR(VLOOKUP(Envoltória!M47,Componentes!$P:$R,2,FALSE),""))</f>
        <v>2.06</v>
      </c>
      <c r="K39" s="416">
        <f>IF(B39=0,"",IFERROR(VLOOKUP(Envoltória!M47,Componentes!$P:$R,3,FALSE),""))</f>
        <v>233</v>
      </c>
      <c r="L39" s="431">
        <f>IF(B39=0,"",IFERROR(IF(BB39&lt;&gt;0,VLOOKUP(Envoltória!L47,Componentes!K:N,2,FALSE),0),""))</f>
        <v>0.55139700000000003</v>
      </c>
      <c r="M39" s="431">
        <f>IF(B39=0,"",IFERROR(IF(BB39&lt;&gt;0,VLOOKUP(Envoltória!L47,Componentes!K:N,3,FALSE),0),""))</f>
        <v>145</v>
      </c>
      <c r="N39" s="431">
        <f>IF(B39=0,"",IFERROR(IF(BB39&lt;&gt;0,VLOOKUP(Envoltória!L47,Componentes!K:N,4,FALSE),0),""))</f>
        <v>0.25</v>
      </c>
      <c r="O39" s="430">
        <f>IF(B39=0,"",IF(BF39=1,VLOOKUP(Envoltória!J47,Componentes!B:E,2,FALSE),-6))</f>
        <v>1.7307999999999999</v>
      </c>
      <c r="P39" s="430">
        <f>IF(B39=0,"",IF(BF39=1,VLOOKUP(Envoltória!J47,Componentes!B:E,3,FALSE),-400))</f>
        <v>150</v>
      </c>
      <c r="Q39" s="430">
        <f>IF(B39=0,"",IF(BF39=1,VLOOKUP(Envoltória!J47,Componentes!B:E,4,FALSE),0))</f>
        <v>0.39600000000000002</v>
      </c>
      <c r="R39" s="416">
        <f>IF(B39=0,"",IFERROR(VLOOKUP(Envoltória!K47,Componentes!G:I,2,FALSE),""))</f>
        <v>2.39</v>
      </c>
      <c r="S39" s="416">
        <f>IF(B39=0,"",IFERROR(VLOOKUP(Envoltória!K47,Componentes!G:I,3,FALSE),""))</f>
        <v>150</v>
      </c>
      <c r="T39" s="430">
        <f>IF(B39=0,"",IFERROR(IF(H39&lt;&gt;0,VLOOKUP(Envoltória!N47,Componentes!T:V,3,FALSE),0),""))</f>
        <v>0.82</v>
      </c>
      <c r="U39" s="430">
        <f>IF(B39=0,"",IFERROR(IF(H39&lt;&gt;0,VLOOKUP(Envoltória!N47,Componentes!T:V,2,FALSE),0),""))</f>
        <v>5.7</v>
      </c>
      <c r="V39" s="416">
        <f>IF(B39=0,"",IFERROR(IF(AA39&lt;&gt;0,VLOOKUP(Envoltória!U47,Componentes!X:Z,2,FALSE),0),0))</f>
        <v>0</v>
      </c>
      <c r="W39" s="416">
        <f>IF(B39=0,"",IFERROR(IF(AA39&lt;&gt;0,VLOOKUP(Envoltória!U47,Componentes!X:Z,3,FALSE),0),0))</f>
        <v>0</v>
      </c>
      <c r="X39" s="430">
        <f>IF(B39=0,"",Envoltória!U47)</f>
        <v>0.1</v>
      </c>
      <c r="Y39" s="430">
        <f>IF(B39=0,"",Envoltória!S47)</f>
        <v>15.45</v>
      </c>
      <c r="Z39" s="430">
        <f>IF(B39=0,"",Envoltória!T47)</f>
        <v>15</v>
      </c>
      <c r="AA39" s="416">
        <f>IF(B39=0,"",Envoltória!Q47/100)</f>
        <v>0</v>
      </c>
      <c r="AB39" s="434">
        <f>IF($B39=0,"",VLOOKUP(Aux_Lista!$DR$2,Aux_Clima!$A:$O,AB$8,FALSE))</f>
        <v>-7.02</v>
      </c>
      <c r="AC39" s="434">
        <f>IF($B39=0,"",VLOOKUP(Aux_Lista!$DR$2,Aux_Clima!$A:$O,AC$8,FALSE))</f>
        <v>249</v>
      </c>
      <c r="AD39" s="434">
        <f>IF($B39=0,"",ROUND(VLOOKUP(Aux_Lista!$DR$2,Aux_Clima!$A:$O,AD$8,FALSE),8))</f>
        <v>27.24</v>
      </c>
      <c r="AE39" s="434">
        <f>IF($B39=0,"",ROUND(VLOOKUP(Aux_Lista!$DR$2,Aux_Clima!$A:$O,AE$8,FALSE),8))</f>
        <v>24.17</v>
      </c>
      <c r="AF39" s="434">
        <f>IF($B39=0,"",ROUND(VLOOKUP(Aux_Lista!$DR$2,Aux_Clima!$A:$O,AF$8,FALSE),8))</f>
        <v>30.311666670000001</v>
      </c>
      <c r="AG39" s="434">
        <f>IF($B39=0,"",ROUND(VLOOKUP(Aux_Lista!$DR$2,Aux_Clima!$A:$O,AG$8,FALSE),8))</f>
        <v>2.8624999999999998</v>
      </c>
      <c r="AH39" s="434">
        <f>IF($B39=0,"",ROUND(VLOOKUP(Aux_Lista!$DR$2,Aux_Clima!$A:$O,AH$8,FALSE),8))</f>
        <v>1.8233333300000001</v>
      </c>
      <c r="AI39" s="434">
        <f>IF($B39=0,"",ROUND(VLOOKUP(Aux_Lista!$DR$2,Aux_Clima!$A:$O,AI$8,FALSE),8))</f>
        <v>3.8433333300000001</v>
      </c>
      <c r="AJ39" s="434">
        <f>IF($B39=0,"",ROUND(VLOOKUP(Aux_Lista!$DR$2,Aux_Clima!$A:$O,AJ$8,FALSE),3))</f>
        <v>6082.0829999999996</v>
      </c>
      <c r="AK39" s="434">
        <f>IF($B39=0,"",ROUND(VLOOKUP(Aux_Lista!$DR$2,Aux_Clima!$A:$O,AK$8,FALSE),3))</f>
        <v>5588.8329999999996</v>
      </c>
      <c r="AL39" s="434">
        <f>IF($B39=0,"",ROUND(VLOOKUP(Aux_Lista!$DR$2,Aux_Clima!$A:$O,AL$8,FALSE),3))</f>
        <v>6759.9380000000001</v>
      </c>
      <c r="AM39" s="434">
        <f>IF($B39=0,"",ROUND(VLOOKUP(Aux_Lista!$DR$2,Aux_Clima!$A:$O,AM$8,FALSE),8))</f>
        <v>18.44083333</v>
      </c>
      <c r="AN39" s="434">
        <f>IF($B39=0,"",ROUND(VLOOKUP(Aux_Lista!$DR$2,Aux_Clima!$A:$O,AN$8,FALSE),8))</f>
        <v>17.19166667</v>
      </c>
      <c r="AO39" s="434">
        <f>IF($B39=0,"",ROUND(VLOOKUP(Aux_Lista!$DR$2,Aux_Clima!$A:$O,AO$8,FALSE),8))</f>
        <v>19.883333329999999</v>
      </c>
      <c r="AP39" s="430">
        <f>IF(B39=0,"",IF(BF39=0,84,VLOOKUP(Envoltória!N47,Componentes!AV:AY,4,FALSE)))</f>
        <v>0</v>
      </c>
      <c r="AQ39" s="430">
        <f>IF(B39=0,"",IF(BF39=0,90,VLOOKUP(Envoltória!N47,Componentes!AV:AY,3,FALSE)))</f>
        <v>0</v>
      </c>
      <c r="AR39" s="430">
        <f t="shared" si="0"/>
        <v>1</v>
      </c>
      <c r="AS39" s="430">
        <f t="shared" si="0"/>
        <v>0</v>
      </c>
      <c r="AT39" s="430">
        <f t="shared" si="0"/>
        <v>0</v>
      </c>
      <c r="AU39" s="430">
        <f t="shared" si="0"/>
        <v>0</v>
      </c>
      <c r="AV39" s="430">
        <f t="shared" si="0"/>
        <v>0</v>
      </c>
      <c r="AW39" s="416">
        <f>IF($B39=0,"",IFERROR(VLOOKUP(Envoltória!$B47,Aux_Lista!$O:$U,AW$9,FALSE),0))</f>
        <v>1</v>
      </c>
      <c r="AX39" s="416">
        <f>IF($B39=0,"",IFERROR(VLOOKUP(Envoltória!$B47,Aux_Lista!$O:$U,AX$9,FALSE),0))</f>
        <v>0</v>
      </c>
      <c r="AY39" s="416">
        <f>IF($B39=0,"",IFERROR(VLOOKUP(Envoltória!$B47,Aux_Lista!$O:$U,AY$9,FALSE),0))</f>
        <v>1</v>
      </c>
      <c r="AZ39" s="416">
        <f>IF($B39=0,"",IFERROR(VLOOKUP(Envoltória!$B47,Aux_Lista!$O:$U,AZ$9,FALSE),0))</f>
        <v>0</v>
      </c>
      <c r="BA39" s="416">
        <f>IF($B39=0,"",IFERROR(VLOOKUP(Envoltória!$B47,Aux_Lista!$O:$U,BA$9,FALSE),0))</f>
        <v>0</v>
      </c>
      <c r="BB39" s="416">
        <f>IF($B39=0,"",IFERROR(VLOOKUP(Envoltória!$B47,Aux_Lista!$O:$U,BB$9,FALSE),0))</f>
        <v>1</v>
      </c>
      <c r="BC39" s="416">
        <f>IFERROR(VLOOKUP(Envoltória!$H47,Aux_Lista!$W$2:$Y$3,BC$9,FALSE),"")</f>
        <v>1</v>
      </c>
      <c r="BD39" s="416">
        <f>IFERROR(VLOOKUP(Envoltória!$H47,Aux_Lista!$W$2:$Y$3,BD$9,FALSE),"")</f>
        <v>0</v>
      </c>
      <c r="BE39" s="430">
        <f t="shared" si="1"/>
        <v>0</v>
      </c>
      <c r="BF39" s="430">
        <f>IF(B39=0,"",IF(Envoltória!F47="Perimetral",1,0))</f>
        <v>1</v>
      </c>
      <c r="BG39" s="430">
        <f>IFERROR(VLOOKUP(Envoltória!$G47,$BQ$35:$BZ$43,BG$9,FALSE),"")</f>
        <v>0</v>
      </c>
      <c r="BH39" s="430">
        <f>IFERROR(VLOOKUP(Envoltória!$G47,$BQ$35:$BZ$43,BH$9,FALSE),"")</f>
        <v>0</v>
      </c>
      <c r="BI39" s="430">
        <f>IFERROR(VLOOKUP(Envoltória!$G47,$BQ$35:$BZ$43,BI$9,FALSE),"")</f>
        <v>1</v>
      </c>
      <c r="BJ39" s="430">
        <f>IFERROR(VLOOKUP(Envoltória!$G47,$BQ$35:$BZ$43,BJ$9,FALSE),"")</f>
        <v>0</v>
      </c>
      <c r="BK39" s="430">
        <f>IFERROR(VLOOKUP(Envoltória!$G47,$BQ$35:$BZ$43,BK$9,FALSE),"")</f>
        <v>0</v>
      </c>
      <c r="BL39" s="430">
        <f>IFERROR(VLOOKUP(Envoltória!$G47,$BQ$35:$BZ$43,BL$9,FALSE),"")</f>
        <v>0</v>
      </c>
      <c r="BM39" s="430">
        <f>IFERROR(VLOOKUP(Envoltória!$G47,$BQ$35:$BZ$43,BM$9,FALSE),"")</f>
        <v>0</v>
      </c>
      <c r="BN39" s="430">
        <f>IFERROR(VLOOKUP(Envoltória!$G47,$BQ$35:$BZ$43,BN$9,FALSE),"")</f>
        <v>0</v>
      </c>
      <c r="BO39" s="430">
        <f>IFERROR(VLOOKUP(Envoltória!$G47,$BQ$35:$BZ$43,BO$9,FALSE),"")</f>
        <v>0</v>
      </c>
      <c r="BP39" s="2"/>
      <c r="BQ39" s="419" t="s">
        <v>73</v>
      </c>
      <c r="BR39" s="419">
        <v>0</v>
      </c>
      <c r="BS39" s="419">
        <v>0</v>
      </c>
      <c r="BT39" s="419">
        <v>0</v>
      </c>
      <c r="BU39" s="419">
        <v>0</v>
      </c>
      <c r="BV39" s="419">
        <v>1</v>
      </c>
      <c r="BW39" s="419">
        <v>0</v>
      </c>
      <c r="BX39" s="419">
        <v>0</v>
      </c>
      <c r="BY39" s="419">
        <v>0</v>
      </c>
      <c r="BZ39" s="419">
        <v>0</v>
      </c>
      <c r="CA39" s="13">
        <f t="shared" si="3"/>
        <v>1</v>
      </c>
    </row>
    <row r="40" spans="1:79" s="13" customFormat="1" x14ac:dyDescent="0.25">
      <c r="A40" s="2">
        <v>30</v>
      </c>
      <c r="B40" s="410" t="str">
        <f>Envoltória!I48</f>
        <v>Escritórios</v>
      </c>
      <c r="C40" s="410" t="str">
        <f>Envoltória!B48</f>
        <v>Cobertura</v>
      </c>
      <c r="D40" s="410" t="str">
        <f>Envoltória!C48</f>
        <v>ZP26</v>
      </c>
      <c r="E40" s="410">
        <f>Envoltória!D48</f>
        <v>60.35</v>
      </c>
      <c r="F40" s="430">
        <f>IF(B40=0,"",Envoltória!E48)</f>
        <v>3</v>
      </c>
      <c r="G40" s="430">
        <f t="shared" si="2"/>
        <v>17.911111111111111</v>
      </c>
      <c r="H40" s="430">
        <f>IF(B40=0,"",Envoltória!O48/100)</f>
        <v>0.16</v>
      </c>
      <c r="I40" s="430">
        <f>IF(B40=0,"",IF(BF40=1,VLOOKUP(Envoltória!N48,Componentes!AV:AY,2,FALSE),89))</f>
        <v>0</v>
      </c>
      <c r="J40" s="416">
        <f>IF(B40=0,"",IFERROR(VLOOKUP(Envoltória!M48,Componentes!$P:$R,2,FALSE),""))</f>
        <v>2.06</v>
      </c>
      <c r="K40" s="416">
        <f>IF(B40=0,"",IFERROR(VLOOKUP(Envoltória!M48,Componentes!$P:$R,3,FALSE),""))</f>
        <v>233</v>
      </c>
      <c r="L40" s="431">
        <f>IF(B40=0,"",IFERROR(IF(BB40&lt;&gt;0,VLOOKUP(Envoltória!L48,Componentes!K:N,2,FALSE),0),""))</f>
        <v>0.55139700000000003</v>
      </c>
      <c r="M40" s="431">
        <f>IF(B40=0,"",IFERROR(IF(BB40&lt;&gt;0,VLOOKUP(Envoltória!L48,Componentes!K:N,3,FALSE),0),""))</f>
        <v>145</v>
      </c>
      <c r="N40" s="431">
        <f>IF(B40=0,"",IFERROR(IF(BB40&lt;&gt;0,VLOOKUP(Envoltória!L48,Componentes!K:N,4,FALSE),0),""))</f>
        <v>0.25</v>
      </c>
      <c r="O40" s="430">
        <f>IF(B40=0,"",IF(BF40=1,VLOOKUP(Envoltória!J48,Componentes!B:E,2,FALSE),-6))</f>
        <v>1.7307999999999999</v>
      </c>
      <c r="P40" s="430">
        <f>IF(B40=0,"",IF(BF40=1,VLOOKUP(Envoltória!J48,Componentes!B:E,3,FALSE),-400))</f>
        <v>150</v>
      </c>
      <c r="Q40" s="430">
        <f>IF(B40=0,"",IF(BF40=1,VLOOKUP(Envoltória!J48,Componentes!B:E,4,FALSE),0))</f>
        <v>0.39600000000000002</v>
      </c>
      <c r="R40" s="416">
        <f>IF(B40=0,"",IFERROR(VLOOKUP(Envoltória!K48,Componentes!G:I,2,FALSE),""))</f>
        <v>2.39</v>
      </c>
      <c r="S40" s="416">
        <f>IF(B40=0,"",IFERROR(VLOOKUP(Envoltória!K48,Componentes!G:I,3,FALSE),""))</f>
        <v>150</v>
      </c>
      <c r="T40" s="430">
        <f>IF(B40=0,"",IFERROR(IF(H40&lt;&gt;0,VLOOKUP(Envoltória!N48,Componentes!T:V,3,FALSE),0),""))</f>
        <v>0.82</v>
      </c>
      <c r="U40" s="430">
        <f>IF(B40=0,"",IFERROR(IF(H40&lt;&gt;0,VLOOKUP(Envoltória!N48,Componentes!T:V,2,FALSE),0),""))</f>
        <v>5.7</v>
      </c>
      <c r="V40" s="416">
        <f>IF(B40=0,"",IFERROR(IF(AA40&lt;&gt;0,VLOOKUP(Envoltória!U48,Componentes!X:Z,2,FALSE),0),0))</f>
        <v>0</v>
      </c>
      <c r="W40" s="416">
        <f>IF(B40=0,"",IFERROR(IF(AA40&lt;&gt;0,VLOOKUP(Envoltória!U48,Componentes!X:Z,3,FALSE),0),0))</f>
        <v>0</v>
      </c>
      <c r="X40" s="430">
        <f>IF(B40=0,"",Envoltória!U48)</f>
        <v>0.1</v>
      </c>
      <c r="Y40" s="430">
        <f>IF(B40=0,"",Envoltória!S48)</f>
        <v>15.45</v>
      </c>
      <c r="Z40" s="430">
        <f>IF(B40=0,"",Envoltória!T48)</f>
        <v>15</v>
      </c>
      <c r="AA40" s="416">
        <f>IF(B40=0,"",Envoltória!Q48/100)</f>
        <v>0</v>
      </c>
      <c r="AB40" s="434">
        <f>IF($B40=0,"",VLOOKUP(Aux_Lista!$DR$2,Aux_Clima!$A:$O,AB$8,FALSE))</f>
        <v>-7.02</v>
      </c>
      <c r="AC40" s="434">
        <f>IF($B40=0,"",VLOOKUP(Aux_Lista!$DR$2,Aux_Clima!$A:$O,AC$8,FALSE))</f>
        <v>249</v>
      </c>
      <c r="AD40" s="434">
        <f>IF($B40=0,"",ROUND(VLOOKUP(Aux_Lista!$DR$2,Aux_Clima!$A:$O,AD$8,FALSE),8))</f>
        <v>27.24</v>
      </c>
      <c r="AE40" s="434">
        <f>IF($B40=0,"",ROUND(VLOOKUP(Aux_Lista!$DR$2,Aux_Clima!$A:$O,AE$8,FALSE),8))</f>
        <v>24.17</v>
      </c>
      <c r="AF40" s="434">
        <f>IF($B40=0,"",ROUND(VLOOKUP(Aux_Lista!$DR$2,Aux_Clima!$A:$O,AF$8,FALSE),8))</f>
        <v>30.311666670000001</v>
      </c>
      <c r="AG40" s="434">
        <f>IF($B40=0,"",ROUND(VLOOKUP(Aux_Lista!$DR$2,Aux_Clima!$A:$O,AG$8,FALSE),8))</f>
        <v>2.8624999999999998</v>
      </c>
      <c r="AH40" s="434">
        <f>IF($B40=0,"",ROUND(VLOOKUP(Aux_Lista!$DR$2,Aux_Clima!$A:$O,AH$8,FALSE),8))</f>
        <v>1.8233333300000001</v>
      </c>
      <c r="AI40" s="434">
        <f>IF($B40=0,"",ROUND(VLOOKUP(Aux_Lista!$DR$2,Aux_Clima!$A:$O,AI$8,FALSE),8))</f>
        <v>3.8433333300000001</v>
      </c>
      <c r="AJ40" s="434">
        <f>IF($B40=0,"",ROUND(VLOOKUP(Aux_Lista!$DR$2,Aux_Clima!$A:$O,AJ$8,FALSE),3))</f>
        <v>6082.0829999999996</v>
      </c>
      <c r="AK40" s="434">
        <f>IF($B40=0,"",ROUND(VLOOKUP(Aux_Lista!$DR$2,Aux_Clima!$A:$O,AK$8,FALSE),3))</f>
        <v>5588.8329999999996</v>
      </c>
      <c r="AL40" s="434">
        <f>IF($B40=0,"",ROUND(VLOOKUP(Aux_Lista!$DR$2,Aux_Clima!$A:$O,AL$8,FALSE),3))</f>
        <v>6759.9380000000001</v>
      </c>
      <c r="AM40" s="434">
        <f>IF($B40=0,"",ROUND(VLOOKUP(Aux_Lista!$DR$2,Aux_Clima!$A:$O,AM$8,FALSE),8))</f>
        <v>18.44083333</v>
      </c>
      <c r="AN40" s="434">
        <f>IF($B40=0,"",ROUND(VLOOKUP(Aux_Lista!$DR$2,Aux_Clima!$A:$O,AN$8,FALSE),8))</f>
        <v>17.19166667</v>
      </c>
      <c r="AO40" s="434">
        <f>IF($B40=0,"",ROUND(VLOOKUP(Aux_Lista!$DR$2,Aux_Clima!$A:$O,AO$8,FALSE),8))</f>
        <v>19.883333329999999</v>
      </c>
      <c r="AP40" s="430">
        <f>IF(B40=0,"",IF(BF40=0,84,VLOOKUP(Envoltória!N48,Componentes!AV:AY,4,FALSE)))</f>
        <v>0</v>
      </c>
      <c r="AQ40" s="430">
        <f>IF(B40=0,"",IF(BF40=0,90,VLOOKUP(Envoltória!N48,Componentes!AV:AY,3,FALSE)))</f>
        <v>0</v>
      </c>
      <c r="AR40" s="430">
        <f t="shared" si="0"/>
        <v>1</v>
      </c>
      <c r="AS40" s="430">
        <f t="shared" si="0"/>
        <v>0</v>
      </c>
      <c r="AT40" s="430">
        <f t="shared" si="0"/>
        <v>0</v>
      </c>
      <c r="AU40" s="430">
        <f t="shared" si="0"/>
        <v>0</v>
      </c>
      <c r="AV40" s="430">
        <f t="shared" si="0"/>
        <v>0</v>
      </c>
      <c r="AW40" s="416">
        <f>IF($B40=0,"",IFERROR(VLOOKUP(Envoltória!$B48,Aux_Lista!$O:$U,AW$9,FALSE),0))</f>
        <v>1</v>
      </c>
      <c r="AX40" s="416">
        <f>IF($B40=0,"",IFERROR(VLOOKUP(Envoltória!$B48,Aux_Lista!$O:$U,AX$9,FALSE),0))</f>
        <v>0</v>
      </c>
      <c r="AY40" s="416">
        <f>IF($B40=0,"",IFERROR(VLOOKUP(Envoltória!$B48,Aux_Lista!$O:$U,AY$9,FALSE),0))</f>
        <v>1</v>
      </c>
      <c r="AZ40" s="416">
        <f>IF($B40=0,"",IFERROR(VLOOKUP(Envoltória!$B48,Aux_Lista!$O:$U,AZ$9,FALSE),0))</f>
        <v>0</v>
      </c>
      <c r="BA40" s="416">
        <f>IF($B40=0,"",IFERROR(VLOOKUP(Envoltória!$B48,Aux_Lista!$O:$U,BA$9,FALSE),0))</f>
        <v>0</v>
      </c>
      <c r="BB40" s="416">
        <f>IF($B40=0,"",IFERROR(VLOOKUP(Envoltória!$B48,Aux_Lista!$O:$U,BB$9,FALSE),0))</f>
        <v>1</v>
      </c>
      <c r="BC40" s="416">
        <f>IFERROR(VLOOKUP(Envoltória!$H48,Aux_Lista!$W$2:$Y$3,BC$9,FALSE),"")</f>
        <v>1</v>
      </c>
      <c r="BD40" s="416">
        <f>IFERROR(VLOOKUP(Envoltória!$H48,Aux_Lista!$W$2:$Y$3,BD$9,FALSE),"")</f>
        <v>0</v>
      </c>
      <c r="BE40" s="430">
        <f t="shared" si="1"/>
        <v>0</v>
      </c>
      <c r="BF40" s="430">
        <f>IF(B40=0,"",IF(Envoltória!F48="Perimetral",1,0))</f>
        <v>1</v>
      </c>
      <c r="BG40" s="430">
        <f>IFERROR(VLOOKUP(Envoltória!$G48,$BQ$35:$BZ$43,BG$9,FALSE),"")</f>
        <v>0</v>
      </c>
      <c r="BH40" s="430">
        <f>IFERROR(VLOOKUP(Envoltória!$G48,$BQ$35:$BZ$43,BH$9,FALSE),"")</f>
        <v>0</v>
      </c>
      <c r="BI40" s="430">
        <f>IFERROR(VLOOKUP(Envoltória!$G48,$BQ$35:$BZ$43,BI$9,FALSE),"")</f>
        <v>0</v>
      </c>
      <c r="BJ40" s="430">
        <f>IFERROR(VLOOKUP(Envoltória!$G48,$BQ$35:$BZ$43,BJ$9,FALSE),"")</f>
        <v>0</v>
      </c>
      <c r="BK40" s="430">
        <f>IFERROR(VLOOKUP(Envoltória!$G48,$BQ$35:$BZ$43,BK$9,FALSE),"")</f>
        <v>0</v>
      </c>
      <c r="BL40" s="430">
        <f>IFERROR(VLOOKUP(Envoltória!$G48,$BQ$35:$BZ$43,BL$9,FALSE),"")</f>
        <v>0</v>
      </c>
      <c r="BM40" s="430">
        <f>IFERROR(VLOOKUP(Envoltória!$G48,$BQ$35:$BZ$43,BM$9,FALSE),"")</f>
        <v>0</v>
      </c>
      <c r="BN40" s="430">
        <f>IFERROR(VLOOKUP(Envoltória!$G48,$BQ$35:$BZ$43,BN$9,FALSE),"")</f>
        <v>0</v>
      </c>
      <c r="BO40" s="430">
        <f>IFERROR(VLOOKUP(Envoltória!$G48,$BQ$35:$BZ$43,BO$9,FALSE),"")</f>
        <v>1</v>
      </c>
      <c r="BP40" s="2"/>
      <c r="BQ40" s="419" t="s">
        <v>298</v>
      </c>
      <c r="BR40" s="419">
        <v>0</v>
      </c>
      <c r="BS40" s="419">
        <v>0</v>
      </c>
      <c r="BT40" s="419">
        <v>0</v>
      </c>
      <c r="BU40" s="419">
        <v>1</v>
      </c>
      <c r="BV40" s="419">
        <v>0</v>
      </c>
      <c r="BW40" s="419">
        <v>0</v>
      </c>
      <c r="BX40" s="419">
        <v>0</v>
      </c>
      <c r="BY40" s="419">
        <v>0</v>
      </c>
      <c r="BZ40" s="419">
        <v>0</v>
      </c>
      <c r="CA40" s="13">
        <f t="shared" si="3"/>
        <v>1</v>
      </c>
    </row>
    <row r="41" spans="1:79" s="13" customFormat="1" x14ac:dyDescent="0.25">
      <c r="A41" s="2">
        <v>31</v>
      </c>
      <c r="B41" s="410" t="str">
        <f>Envoltória!I49</f>
        <v>Escritórios</v>
      </c>
      <c r="C41" s="410" t="str">
        <f>Envoltória!B49</f>
        <v>Cobertura</v>
      </c>
      <c r="D41" s="410" t="str">
        <f>Envoltória!C49</f>
        <v>ZP27</v>
      </c>
      <c r="E41" s="410">
        <f>Envoltória!D49</f>
        <v>0.37</v>
      </c>
      <c r="F41" s="430">
        <f>IF(B41=0,"",Envoltória!E49)</f>
        <v>3</v>
      </c>
      <c r="G41" s="430">
        <f t="shared" si="2"/>
        <v>4.5822222222222226</v>
      </c>
      <c r="H41" s="430">
        <f>IF(B41=0,"",Envoltória!O49/100)</f>
        <v>0</v>
      </c>
      <c r="I41" s="430">
        <f>IF(B41=0,"",IF(BF41=1,VLOOKUP(Envoltória!N49,Componentes!AV:AY,2,FALSE),89))</f>
        <v>0</v>
      </c>
      <c r="J41" s="416">
        <f>IF(B41=0,"",IFERROR(VLOOKUP(Envoltória!M49,Componentes!$P:$R,2,FALSE),""))</f>
        <v>2.06</v>
      </c>
      <c r="K41" s="416">
        <f>IF(B41=0,"",IFERROR(VLOOKUP(Envoltória!M49,Componentes!$P:$R,3,FALSE),""))</f>
        <v>233</v>
      </c>
      <c r="L41" s="431">
        <f>IF(B41=0,"",IFERROR(IF(BB41&lt;&gt;0,VLOOKUP(Envoltória!L49,Componentes!K:N,2,FALSE),0),""))</f>
        <v>0.55139700000000003</v>
      </c>
      <c r="M41" s="431">
        <f>IF(B41=0,"",IFERROR(IF(BB41&lt;&gt;0,VLOOKUP(Envoltória!L49,Componentes!K:N,3,FALSE),0),""))</f>
        <v>145</v>
      </c>
      <c r="N41" s="431">
        <f>IF(B41=0,"",IFERROR(IF(BB41&lt;&gt;0,VLOOKUP(Envoltória!L49,Componentes!K:N,4,FALSE),0),""))</f>
        <v>0.25</v>
      </c>
      <c r="O41" s="430">
        <f>IF(B41=0,"",IF(BF41=1,VLOOKUP(Envoltória!J49,Componentes!B:E,2,FALSE),-6))</f>
        <v>1.7307999999999999</v>
      </c>
      <c r="P41" s="430">
        <f>IF(B41=0,"",IF(BF41=1,VLOOKUP(Envoltória!J49,Componentes!B:E,3,FALSE),-400))</f>
        <v>150</v>
      </c>
      <c r="Q41" s="430">
        <f>IF(B41=0,"",IF(BF41=1,VLOOKUP(Envoltória!J49,Componentes!B:E,4,FALSE),0))</f>
        <v>0.39600000000000002</v>
      </c>
      <c r="R41" s="416">
        <f>IF(B41=0,"",IFERROR(VLOOKUP(Envoltória!K49,Componentes!G:I,2,FALSE),""))</f>
        <v>2.39</v>
      </c>
      <c r="S41" s="416">
        <f>IF(B41=0,"",IFERROR(VLOOKUP(Envoltória!K49,Componentes!G:I,3,FALSE),""))</f>
        <v>150</v>
      </c>
      <c r="T41" s="430">
        <f>IF(B41=0,"",IFERROR(IF(H41&lt;&gt;0,VLOOKUP(Envoltória!N49,Componentes!T:V,3,FALSE),0),""))</f>
        <v>0</v>
      </c>
      <c r="U41" s="430">
        <f>IF(B41=0,"",IFERROR(IF(H41&lt;&gt;0,VLOOKUP(Envoltória!N49,Componentes!T:V,2,FALSE),0),""))</f>
        <v>0</v>
      </c>
      <c r="V41" s="416">
        <f>IF(B41=0,"",IFERROR(IF(AA41&lt;&gt;0,VLOOKUP(Envoltória!U49,Componentes!X:Z,2,FALSE),0),0))</f>
        <v>0</v>
      </c>
      <c r="W41" s="416">
        <f>IF(B41=0,"",IFERROR(IF(AA41&lt;&gt;0,VLOOKUP(Envoltória!U49,Componentes!X:Z,3,FALSE),0),0))</f>
        <v>0</v>
      </c>
      <c r="X41" s="430">
        <f>IF(B41=0,"",Envoltória!U49)</f>
        <v>0.1</v>
      </c>
      <c r="Y41" s="430">
        <f>IF(B41=0,"",Envoltória!S49)</f>
        <v>15.45</v>
      </c>
      <c r="Z41" s="430">
        <f>IF(B41=0,"",Envoltória!T49)</f>
        <v>15</v>
      </c>
      <c r="AA41" s="416">
        <f>IF(B41=0,"",Envoltória!Q49/100)</f>
        <v>0</v>
      </c>
      <c r="AB41" s="434">
        <f>IF($B41=0,"",VLOOKUP(Aux_Lista!$DR$2,Aux_Clima!$A:$O,AB$8,FALSE))</f>
        <v>-7.02</v>
      </c>
      <c r="AC41" s="434">
        <f>IF($B41=0,"",VLOOKUP(Aux_Lista!$DR$2,Aux_Clima!$A:$O,AC$8,FALSE))</f>
        <v>249</v>
      </c>
      <c r="AD41" s="434">
        <f>IF($B41=0,"",ROUND(VLOOKUP(Aux_Lista!$DR$2,Aux_Clima!$A:$O,AD$8,FALSE),8))</f>
        <v>27.24</v>
      </c>
      <c r="AE41" s="434">
        <f>IF($B41=0,"",ROUND(VLOOKUP(Aux_Lista!$DR$2,Aux_Clima!$A:$O,AE$8,FALSE),8))</f>
        <v>24.17</v>
      </c>
      <c r="AF41" s="434">
        <f>IF($B41=0,"",ROUND(VLOOKUP(Aux_Lista!$DR$2,Aux_Clima!$A:$O,AF$8,FALSE),8))</f>
        <v>30.311666670000001</v>
      </c>
      <c r="AG41" s="434">
        <f>IF($B41=0,"",ROUND(VLOOKUP(Aux_Lista!$DR$2,Aux_Clima!$A:$O,AG$8,FALSE),8))</f>
        <v>2.8624999999999998</v>
      </c>
      <c r="AH41" s="434">
        <f>IF($B41=0,"",ROUND(VLOOKUP(Aux_Lista!$DR$2,Aux_Clima!$A:$O,AH$8,FALSE),8))</f>
        <v>1.8233333300000001</v>
      </c>
      <c r="AI41" s="434">
        <f>IF($B41=0,"",ROUND(VLOOKUP(Aux_Lista!$DR$2,Aux_Clima!$A:$O,AI$8,FALSE),8))</f>
        <v>3.8433333300000001</v>
      </c>
      <c r="AJ41" s="434">
        <f>IF($B41=0,"",ROUND(VLOOKUP(Aux_Lista!$DR$2,Aux_Clima!$A:$O,AJ$8,FALSE),3))</f>
        <v>6082.0829999999996</v>
      </c>
      <c r="AK41" s="434">
        <f>IF($B41=0,"",ROUND(VLOOKUP(Aux_Lista!$DR$2,Aux_Clima!$A:$O,AK$8,FALSE),3))</f>
        <v>5588.8329999999996</v>
      </c>
      <c r="AL41" s="434">
        <f>IF($B41=0,"",ROUND(VLOOKUP(Aux_Lista!$DR$2,Aux_Clima!$A:$O,AL$8,FALSE),3))</f>
        <v>6759.9380000000001</v>
      </c>
      <c r="AM41" s="434">
        <f>IF($B41=0,"",ROUND(VLOOKUP(Aux_Lista!$DR$2,Aux_Clima!$A:$O,AM$8,FALSE),8))</f>
        <v>18.44083333</v>
      </c>
      <c r="AN41" s="434">
        <f>IF($B41=0,"",ROUND(VLOOKUP(Aux_Lista!$DR$2,Aux_Clima!$A:$O,AN$8,FALSE),8))</f>
        <v>17.19166667</v>
      </c>
      <c r="AO41" s="434">
        <f>IF($B41=0,"",ROUND(VLOOKUP(Aux_Lista!$DR$2,Aux_Clima!$A:$O,AO$8,FALSE),8))</f>
        <v>19.883333329999999</v>
      </c>
      <c r="AP41" s="430">
        <f>IF(B41=0,"",IF(BF41=0,84,VLOOKUP(Envoltória!N49,Componentes!AV:AY,4,FALSE)))</f>
        <v>0</v>
      </c>
      <c r="AQ41" s="430">
        <f>IF(B41=0,"",IF(BF41=0,90,VLOOKUP(Envoltória!N49,Componentes!AV:AY,3,FALSE)))</f>
        <v>0</v>
      </c>
      <c r="AR41" s="430">
        <f t="shared" si="0"/>
        <v>1</v>
      </c>
      <c r="AS41" s="430">
        <f t="shared" si="0"/>
        <v>0</v>
      </c>
      <c r="AT41" s="430">
        <f t="shared" si="0"/>
        <v>0</v>
      </c>
      <c r="AU41" s="430">
        <f t="shared" si="0"/>
        <v>0</v>
      </c>
      <c r="AV41" s="430">
        <f t="shared" si="0"/>
        <v>0</v>
      </c>
      <c r="AW41" s="416">
        <f>IF($B41=0,"",IFERROR(VLOOKUP(Envoltória!$B49,Aux_Lista!$O:$U,AW$9,FALSE),0))</f>
        <v>1</v>
      </c>
      <c r="AX41" s="416">
        <f>IF($B41=0,"",IFERROR(VLOOKUP(Envoltória!$B49,Aux_Lista!$O:$U,AX$9,FALSE),0))</f>
        <v>0</v>
      </c>
      <c r="AY41" s="416">
        <f>IF($B41=0,"",IFERROR(VLOOKUP(Envoltória!$B49,Aux_Lista!$O:$U,AY$9,FALSE),0))</f>
        <v>1</v>
      </c>
      <c r="AZ41" s="416">
        <f>IF($B41=0,"",IFERROR(VLOOKUP(Envoltória!$B49,Aux_Lista!$O:$U,AZ$9,FALSE),0))</f>
        <v>0</v>
      </c>
      <c r="BA41" s="416">
        <f>IF($B41=0,"",IFERROR(VLOOKUP(Envoltória!$B49,Aux_Lista!$O:$U,BA$9,FALSE),0))</f>
        <v>0</v>
      </c>
      <c r="BB41" s="416">
        <f>IF($B41=0,"",IFERROR(VLOOKUP(Envoltória!$B49,Aux_Lista!$O:$U,BB$9,FALSE),0))</f>
        <v>1</v>
      </c>
      <c r="BC41" s="416">
        <f>IFERROR(VLOOKUP(Envoltória!$H49,Aux_Lista!$W$2:$Y$3,BC$9,FALSE),"")</f>
        <v>1</v>
      </c>
      <c r="BD41" s="416">
        <f>IFERROR(VLOOKUP(Envoltória!$H49,Aux_Lista!$W$2:$Y$3,BD$9,FALSE),"")</f>
        <v>0</v>
      </c>
      <c r="BE41" s="430">
        <f t="shared" si="1"/>
        <v>0</v>
      </c>
      <c r="BF41" s="430">
        <f>IF(B41=0,"",IF(Envoltória!F49="Perimetral",1,0))</f>
        <v>1</v>
      </c>
      <c r="BG41" s="430">
        <f>IFERROR(VLOOKUP(Envoltória!$G49,$BQ$35:$BZ$43,BG$9,FALSE),"")</f>
        <v>0</v>
      </c>
      <c r="BH41" s="430">
        <f>IFERROR(VLOOKUP(Envoltória!$G49,$BQ$35:$BZ$43,BH$9,FALSE),"")</f>
        <v>0</v>
      </c>
      <c r="BI41" s="430">
        <f>IFERROR(VLOOKUP(Envoltória!$G49,$BQ$35:$BZ$43,BI$9,FALSE),"")</f>
        <v>0</v>
      </c>
      <c r="BJ41" s="430">
        <f>IFERROR(VLOOKUP(Envoltória!$G49,$BQ$35:$BZ$43,BJ$9,FALSE),"")</f>
        <v>0</v>
      </c>
      <c r="BK41" s="430">
        <f>IFERROR(VLOOKUP(Envoltória!$G49,$BQ$35:$BZ$43,BK$9,FALSE),"")</f>
        <v>0</v>
      </c>
      <c r="BL41" s="430">
        <f>IFERROR(VLOOKUP(Envoltória!$G49,$BQ$35:$BZ$43,BL$9,FALSE),"")</f>
        <v>0</v>
      </c>
      <c r="BM41" s="430">
        <f>IFERROR(VLOOKUP(Envoltória!$G49,$BQ$35:$BZ$43,BM$9,FALSE),"")</f>
        <v>1</v>
      </c>
      <c r="BN41" s="430">
        <f>IFERROR(VLOOKUP(Envoltória!$G49,$BQ$35:$BZ$43,BN$9,FALSE),"")</f>
        <v>0</v>
      </c>
      <c r="BO41" s="430">
        <f>IFERROR(VLOOKUP(Envoltória!$G49,$BQ$35:$BZ$43,BO$9,FALSE),"")</f>
        <v>0</v>
      </c>
      <c r="BP41" s="2"/>
      <c r="BQ41" s="419" t="s">
        <v>308</v>
      </c>
      <c r="BR41" s="419">
        <v>0</v>
      </c>
      <c r="BS41" s="419">
        <v>0</v>
      </c>
      <c r="BT41" s="419">
        <v>0</v>
      </c>
      <c r="BU41" s="419">
        <v>0</v>
      </c>
      <c r="BV41" s="419">
        <v>0</v>
      </c>
      <c r="BW41" s="419">
        <v>1</v>
      </c>
      <c r="BX41" s="419">
        <v>0</v>
      </c>
      <c r="BY41" s="419">
        <v>0</v>
      </c>
      <c r="BZ41" s="419">
        <v>0</v>
      </c>
      <c r="CA41" s="13">
        <f t="shared" si="3"/>
        <v>1</v>
      </c>
    </row>
    <row r="42" spans="1:79" s="13" customFormat="1" x14ac:dyDescent="0.25">
      <c r="A42" s="2">
        <v>32</v>
      </c>
      <c r="B42" s="410" t="str">
        <f>Envoltória!I50</f>
        <v>Escritórios</v>
      </c>
      <c r="C42" s="410" t="str">
        <f>Envoltória!B50</f>
        <v>Cobertura</v>
      </c>
      <c r="D42" s="410" t="str">
        <f>Envoltória!C50</f>
        <v>ZP28</v>
      </c>
      <c r="E42" s="410">
        <f>Envoltória!D50</f>
        <v>9.9</v>
      </c>
      <c r="F42" s="430">
        <f>IF(B42=0,"",Envoltória!E50)</f>
        <v>3</v>
      </c>
      <c r="G42" s="430">
        <f t="shared" si="2"/>
        <v>6.7</v>
      </c>
      <c r="H42" s="430">
        <f>IF(B42=0,"",Envoltória!O50/100)</f>
        <v>0</v>
      </c>
      <c r="I42" s="430">
        <f>IF(B42=0,"",IF(BF42=1,VLOOKUP(Envoltória!N50,Componentes!AV:AY,2,FALSE),89))</f>
        <v>0</v>
      </c>
      <c r="J42" s="416">
        <f>IF(B42=0,"",IFERROR(VLOOKUP(Envoltória!M50,Componentes!$P:$R,2,FALSE),""))</f>
        <v>2.06</v>
      </c>
      <c r="K42" s="416">
        <f>IF(B42=0,"",IFERROR(VLOOKUP(Envoltória!M50,Componentes!$P:$R,3,FALSE),""))</f>
        <v>233</v>
      </c>
      <c r="L42" s="431">
        <f>IF(B42=0,"",IFERROR(IF(BB42&lt;&gt;0,VLOOKUP(Envoltória!L50,Componentes!K:N,2,FALSE),0),""))</f>
        <v>0.55139700000000003</v>
      </c>
      <c r="M42" s="431">
        <f>IF(B42=0,"",IFERROR(IF(BB42&lt;&gt;0,VLOOKUP(Envoltória!L50,Componentes!K:N,3,FALSE),0),""))</f>
        <v>145</v>
      </c>
      <c r="N42" s="431">
        <f>IF(B42=0,"",IFERROR(IF(BB42&lt;&gt;0,VLOOKUP(Envoltória!L50,Componentes!K:N,4,FALSE),0),""))</f>
        <v>0.25</v>
      </c>
      <c r="O42" s="430">
        <f>IF(B42=0,"",IF(BF42=1,VLOOKUP(Envoltória!J50,Componentes!B:E,2,FALSE),-6))</f>
        <v>1.7307999999999999</v>
      </c>
      <c r="P42" s="430">
        <f>IF(B42=0,"",IF(BF42=1,VLOOKUP(Envoltória!J50,Componentes!B:E,3,FALSE),-400))</f>
        <v>150</v>
      </c>
      <c r="Q42" s="430">
        <f>IF(B42=0,"",IF(BF42=1,VLOOKUP(Envoltória!J50,Componentes!B:E,4,FALSE),0))</f>
        <v>0.39600000000000002</v>
      </c>
      <c r="R42" s="416">
        <f>IF(B42=0,"",IFERROR(VLOOKUP(Envoltória!K50,Componentes!G:I,2,FALSE),""))</f>
        <v>2.39</v>
      </c>
      <c r="S42" s="416">
        <f>IF(B42=0,"",IFERROR(VLOOKUP(Envoltória!K50,Componentes!G:I,3,FALSE),""))</f>
        <v>150</v>
      </c>
      <c r="T42" s="430">
        <f>IF(B42=0,"",IFERROR(IF(H42&lt;&gt;0,VLOOKUP(Envoltória!N50,Componentes!T:V,3,FALSE),0),""))</f>
        <v>0</v>
      </c>
      <c r="U42" s="430">
        <f>IF(B42=0,"",IFERROR(IF(H42&lt;&gt;0,VLOOKUP(Envoltória!N50,Componentes!T:V,2,FALSE),0),""))</f>
        <v>0</v>
      </c>
      <c r="V42" s="416">
        <f>IF(B42=0,"",IFERROR(IF(AA42&lt;&gt;0,VLOOKUP(Envoltória!U50,Componentes!X:Z,2,FALSE),0),0))</f>
        <v>0</v>
      </c>
      <c r="W42" s="416">
        <f>IF(B42=0,"",IFERROR(IF(AA42&lt;&gt;0,VLOOKUP(Envoltória!U50,Componentes!X:Z,3,FALSE),0),0))</f>
        <v>0</v>
      </c>
      <c r="X42" s="430">
        <f>IF(B42=0,"",Envoltória!U50)</f>
        <v>0.1</v>
      </c>
      <c r="Y42" s="430">
        <f>IF(B42=0,"",Envoltória!S50)</f>
        <v>15.45</v>
      </c>
      <c r="Z42" s="430">
        <f>IF(B42=0,"",Envoltória!T50)</f>
        <v>15</v>
      </c>
      <c r="AA42" s="416">
        <f>IF(B42=0,"",Envoltória!Q50/100)</f>
        <v>0</v>
      </c>
      <c r="AB42" s="434">
        <f>IF($B42=0,"",VLOOKUP(Aux_Lista!$DR$2,Aux_Clima!$A:$O,AB$8,FALSE))</f>
        <v>-7.02</v>
      </c>
      <c r="AC42" s="434">
        <f>IF($B42=0,"",VLOOKUP(Aux_Lista!$DR$2,Aux_Clima!$A:$O,AC$8,FALSE))</f>
        <v>249</v>
      </c>
      <c r="AD42" s="434">
        <f>IF($B42=0,"",ROUND(VLOOKUP(Aux_Lista!$DR$2,Aux_Clima!$A:$O,AD$8,FALSE),8))</f>
        <v>27.24</v>
      </c>
      <c r="AE42" s="434">
        <f>IF($B42=0,"",ROUND(VLOOKUP(Aux_Lista!$DR$2,Aux_Clima!$A:$O,AE$8,FALSE),8))</f>
        <v>24.17</v>
      </c>
      <c r="AF42" s="434">
        <f>IF($B42=0,"",ROUND(VLOOKUP(Aux_Lista!$DR$2,Aux_Clima!$A:$O,AF$8,FALSE),8))</f>
        <v>30.311666670000001</v>
      </c>
      <c r="AG42" s="434">
        <f>IF($B42=0,"",ROUND(VLOOKUP(Aux_Lista!$DR$2,Aux_Clima!$A:$O,AG$8,FALSE),8))</f>
        <v>2.8624999999999998</v>
      </c>
      <c r="AH42" s="434">
        <f>IF($B42=0,"",ROUND(VLOOKUP(Aux_Lista!$DR$2,Aux_Clima!$A:$O,AH$8,FALSE),8))</f>
        <v>1.8233333300000001</v>
      </c>
      <c r="AI42" s="434">
        <f>IF($B42=0,"",ROUND(VLOOKUP(Aux_Lista!$DR$2,Aux_Clima!$A:$O,AI$8,FALSE),8))</f>
        <v>3.8433333300000001</v>
      </c>
      <c r="AJ42" s="434">
        <f>IF($B42=0,"",ROUND(VLOOKUP(Aux_Lista!$DR$2,Aux_Clima!$A:$O,AJ$8,FALSE),3))</f>
        <v>6082.0829999999996</v>
      </c>
      <c r="AK42" s="434">
        <f>IF($B42=0,"",ROUND(VLOOKUP(Aux_Lista!$DR$2,Aux_Clima!$A:$O,AK$8,FALSE),3))</f>
        <v>5588.8329999999996</v>
      </c>
      <c r="AL42" s="434">
        <f>IF($B42=0,"",ROUND(VLOOKUP(Aux_Lista!$DR$2,Aux_Clima!$A:$O,AL$8,FALSE),3))</f>
        <v>6759.9380000000001</v>
      </c>
      <c r="AM42" s="434">
        <f>IF($B42=0,"",ROUND(VLOOKUP(Aux_Lista!$DR$2,Aux_Clima!$A:$O,AM$8,FALSE),8))</f>
        <v>18.44083333</v>
      </c>
      <c r="AN42" s="434">
        <f>IF($B42=0,"",ROUND(VLOOKUP(Aux_Lista!$DR$2,Aux_Clima!$A:$O,AN$8,FALSE),8))</f>
        <v>17.19166667</v>
      </c>
      <c r="AO42" s="434">
        <f>IF($B42=0,"",ROUND(VLOOKUP(Aux_Lista!$DR$2,Aux_Clima!$A:$O,AO$8,FALSE),8))</f>
        <v>19.883333329999999</v>
      </c>
      <c r="AP42" s="430">
        <f>IF(B42=0,"",IF(BF42=0,84,VLOOKUP(Envoltória!N50,Componentes!AV:AY,4,FALSE)))</f>
        <v>0</v>
      </c>
      <c r="AQ42" s="430">
        <f>IF(B42=0,"",IF(BF42=0,90,VLOOKUP(Envoltória!N50,Componentes!AV:AY,3,FALSE)))</f>
        <v>0</v>
      </c>
      <c r="AR42" s="430">
        <f t="shared" si="0"/>
        <v>1</v>
      </c>
      <c r="AS42" s="430">
        <f t="shared" si="0"/>
        <v>0</v>
      </c>
      <c r="AT42" s="430">
        <f t="shared" si="0"/>
        <v>0</v>
      </c>
      <c r="AU42" s="430">
        <f t="shared" si="0"/>
        <v>0</v>
      </c>
      <c r="AV42" s="430">
        <f t="shared" si="0"/>
        <v>0</v>
      </c>
      <c r="AW42" s="416">
        <f>IF($B42=0,"",IFERROR(VLOOKUP(Envoltória!$B50,Aux_Lista!$O:$U,AW$9,FALSE),0))</f>
        <v>1</v>
      </c>
      <c r="AX42" s="416">
        <f>IF($B42=0,"",IFERROR(VLOOKUP(Envoltória!$B50,Aux_Lista!$O:$U,AX$9,FALSE),0))</f>
        <v>0</v>
      </c>
      <c r="AY42" s="416">
        <f>IF($B42=0,"",IFERROR(VLOOKUP(Envoltória!$B50,Aux_Lista!$O:$U,AY$9,FALSE),0))</f>
        <v>1</v>
      </c>
      <c r="AZ42" s="416">
        <f>IF($B42=0,"",IFERROR(VLOOKUP(Envoltória!$B50,Aux_Lista!$O:$U,AZ$9,FALSE),0))</f>
        <v>0</v>
      </c>
      <c r="BA42" s="416">
        <f>IF($B42=0,"",IFERROR(VLOOKUP(Envoltória!$B50,Aux_Lista!$O:$U,BA$9,FALSE),0))</f>
        <v>0</v>
      </c>
      <c r="BB42" s="416">
        <f>IF($B42=0,"",IFERROR(VLOOKUP(Envoltória!$B50,Aux_Lista!$O:$U,BB$9,FALSE),0))</f>
        <v>1</v>
      </c>
      <c r="BC42" s="416">
        <f>IFERROR(VLOOKUP(Envoltória!$H50,Aux_Lista!$W$2:$Y$3,BC$9,FALSE),"")</f>
        <v>1</v>
      </c>
      <c r="BD42" s="416">
        <f>IFERROR(VLOOKUP(Envoltória!$H50,Aux_Lista!$W$2:$Y$3,BD$9,FALSE),"")</f>
        <v>0</v>
      </c>
      <c r="BE42" s="430">
        <f t="shared" si="1"/>
        <v>0</v>
      </c>
      <c r="BF42" s="430">
        <f>IF(B42=0,"",IF(Envoltória!F50="Perimetral",1,0))</f>
        <v>1</v>
      </c>
      <c r="BG42" s="430">
        <f>IFERROR(VLOOKUP(Envoltória!$G50,$BQ$35:$BZ$43,BG$9,FALSE),"")</f>
        <v>0</v>
      </c>
      <c r="BH42" s="430">
        <f>IFERROR(VLOOKUP(Envoltória!$G50,$BQ$35:$BZ$43,BH$9,FALSE),"")</f>
        <v>0</v>
      </c>
      <c r="BI42" s="430">
        <f>IFERROR(VLOOKUP(Envoltória!$G50,$BQ$35:$BZ$43,BI$9,FALSE),"")</f>
        <v>0</v>
      </c>
      <c r="BJ42" s="430">
        <f>IFERROR(VLOOKUP(Envoltória!$G50,$BQ$35:$BZ$43,BJ$9,FALSE),"")</f>
        <v>0</v>
      </c>
      <c r="BK42" s="430">
        <f>IFERROR(VLOOKUP(Envoltória!$G50,$BQ$35:$BZ$43,BK$9,FALSE),"")</f>
        <v>0</v>
      </c>
      <c r="BL42" s="430">
        <f>IFERROR(VLOOKUP(Envoltória!$G50,$BQ$35:$BZ$43,BL$9,FALSE),"")</f>
        <v>0</v>
      </c>
      <c r="BM42" s="430">
        <f>IFERROR(VLOOKUP(Envoltória!$G50,$BQ$35:$BZ$43,BM$9,FALSE),"")</f>
        <v>0</v>
      </c>
      <c r="BN42" s="430">
        <f>IFERROR(VLOOKUP(Envoltória!$G50,$BQ$35:$BZ$43,BN$9,FALSE),"")</f>
        <v>0</v>
      </c>
      <c r="BO42" s="430">
        <f>IFERROR(VLOOKUP(Envoltória!$G50,$BQ$35:$BZ$43,BO$9,FALSE),"")</f>
        <v>1</v>
      </c>
      <c r="BP42" s="2"/>
      <c r="BQ42" s="419" t="s">
        <v>74</v>
      </c>
      <c r="BR42" s="419">
        <v>0</v>
      </c>
      <c r="BS42" s="419">
        <v>0</v>
      </c>
      <c r="BT42" s="419">
        <v>0</v>
      </c>
      <c r="BU42" s="419">
        <v>0</v>
      </c>
      <c r="BV42" s="419">
        <v>0</v>
      </c>
      <c r="BW42" s="419">
        <v>0</v>
      </c>
      <c r="BX42" s="419">
        <v>1</v>
      </c>
      <c r="BY42" s="419">
        <v>0</v>
      </c>
      <c r="BZ42" s="419">
        <v>0</v>
      </c>
      <c r="CA42" s="13">
        <f t="shared" si="3"/>
        <v>1</v>
      </c>
    </row>
    <row r="43" spans="1:79" s="13" customFormat="1" x14ac:dyDescent="0.25">
      <c r="A43" s="2">
        <v>33</v>
      </c>
      <c r="B43" s="410" t="str">
        <f>Envoltória!I51</f>
        <v>Escritórios</v>
      </c>
      <c r="C43" s="410" t="str">
        <f>Envoltória!B51</f>
        <v>Cobertura</v>
      </c>
      <c r="D43" s="410" t="str">
        <f>Envoltória!C51</f>
        <v>ZP29</v>
      </c>
      <c r="E43" s="410">
        <f>Envoltória!D51</f>
        <v>37.21</v>
      </c>
      <c r="F43" s="430">
        <f>IF(B43=0,"",Envoltória!E51)</f>
        <v>3</v>
      </c>
      <c r="G43" s="430">
        <f t="shared" si="2"/>
        <v>12.768888888888888</v>
      </c>
      <c r="H43" s="430">
        <f>IF(B43=0,"",Envoltória!O51/100)</f>
        <v>0.14000000000000001</v>
      </c>
      <c r="I43" s="430">
        <f>IF(B43=0,"",IF(BF43=1,VLOOKUP(Envoltória!N51,Componentes!AV:AY,2,FALSE),89))</f>
        <v>0</v>
      </c>
      <c r="J43" s="416">
        <f>IF(B43=0,"",IFERROR(VLOOKUP(Envoltória!M51,Componentes!$P:$R,2,FALSE),""))</f>
        <v>2.06</v>
      </c>
      <c r="K43" s="416">
        <f>IF(B43=0,"",IFERROR(VLOOKUP(Envoltória!M51,Componentes!$P:$R,3,FALSE),""))</f>
        <v>233</v>
      </c>
      <c r="L43" s="431">
        <f>IF(B43=0,"",IFERROR(IF(BB43&lt;&gt;0,VLOOKUP(Envoltória!L51,Componentes!K:N,2,FALSE),0),""))</f>
        <v>0.55139700000000003</v>
      </c>
      <c r="M43" s="431">
        <f>IF(B43=0,"",IFERROR(IF(BB43&lt;&gt;0,VLOOKUP(Envoltória!L51,Componentes!K:N,3,FALSE),0),""))</f>
        <v>145</v>
      </c>
      <c r="N43" s="431">
        <f>IF(B43=0,"",IFERROR(IF(BB43&lt;&gt;0,VLOOKUP(Envoltória!L51,Componentes!K:N,4,FALSE),0),""))</f>
        <v>0.25</v>
      </c>
      <c r="O43" s="430">
        <f>IF(B43=0,"",IF(BF43=1,VLOOKUP(Envoltória!J51,Componentes!B:E,2,FALSE),-6))</f>
        <v>1.7307999999999999</v>
      </c>
      <c r="P43" s="430">
        <f>IF(B43=0,"",IF(BF43=1,VLOOKUP(Envoltória!J51,Componentes!B:E,3,FALSE),-400))</f>
        <v>150</v>
      </c>
      <c r="Q43" s="430">
        <f>IF(B43=0,"",IF(BF43=1,VLOOKUP(Envoltória!J51,Componentes!B:E,4,FALSE),0))</f>
        <v>0.39600000000000002</v>
      </c>
      <c r="R43" s="416">
        <f>IF(B43=0,"",IFERROR(VLOOKUP(Envoltória!K51,Componentes!G:I,2,FALSE),""))</f>
        <v>2.39</v>
      </c>
      <c r="S43" s="416">
        <f>IF(B43=0,"",IFERROR(VLOOKUP(Envoltória!K51,Componentes!G:I,3,FALSE),""))</f>
        <v>150</v>
      </c>
      <c r="T43" s="430">
        <f>IF(B43=0,"",IFERROR(IF(H43&lt;&gt;0,VLOOKUP(Envoltória!N51,Componentes!T:V,3,FALSE),0),""))</f>
        <v>0.82</v>
      </c>
      <c r="U43" s="430">
        <f>IF(B43=0,"",IFERROR(IF(H43&lt;&gt;0,VLOOKUP(Envoltória!N51,Componentes!T:V,2,FALSE),0),""))</f>
        <v>5.7</v>
      </c>
      <c r="V43" s="416">
        <f>IF(B43=0,"",IFERROR(IF(AA43&lt;&gt;0,VLOOKUP(Envoltória!U51,Componentes!X:Z,2,FALSE),0),0))</f>
        <v>0</v>
      </c>
      <c r="W43" s="416">
        <f>IF(B43=0,"",IFERROR(IF(AA43&lt;&gt;0,VLOOKUP(Envoltória!U51,Componentes!X:Z,3,FALSE),0),0))</f>
        <v>0</v>
      </c>
      <c r="X43" s="430">
        <f>IF(B43=0,"",Envoltória!U51)</f>
        <v>0.1</v>
      </c>
      <c r="Y43" s="430">
        <f>IF(B43=0,"",Envoltória!S51)</f>
        <v>15.45</v>
      </c>
      <c r="Z43" s="430">
        <f>IF(B43=0,"",Envoltória!T51)</f>
        <v>15</v>
      </c>
      <c r="AA43" s="416">
        <f>IF(B43=0,"",Envoltória!Q51/100)</f>
        <v>0</v>
      </c>
      <c r="AB43" s="434">
        <f>IF($B43=0,"",VLOOKUP(Aux_Lista!$DR$2,Aux_Clima!$A:$O,AB$8,FALSE))</f>
        <v>-7.02</v>
      </c>
      <c r="AC43" s="434">
        <f>IF($B43=0,"",VLOOKUP(Aux_Lista!$DR$2,Aux_Clima!$A:$O,AC$8,FALSE))</f>
        <v>249</v>
      </c>
      <c r="AD43" s="434">
        <f>IF($B43=0,"",ROUND(VLOOKUP(Aux_Lista!$DR$2,Aux_Clima!$A:$O,AD$8,FALSE),8))</f>
        <v>27.24</v>
      </c>
      <c r="AE43" s="434">
        <f>IF($B43=0,"",ROUND(VLOOKUP(Aux_Lista!$DR$2,Aux_Clima!$A:$O,AE$8,FALSE),8))</f>
        <v>24.17</v>
      </c>
      <c r="AF43" s="434">
        <f>IF($B43=0,"",ROUND(VLOOKUP(Aux_Lista!$DR$2,Aux_Clima!$A:$O,AF$8,FALSE),8))</f>
        <v>30.311666670000001</v>
      </c>
      <c r="AG43" s="434">
        <f>IF($B43=0,"",ROUND(VLOOKUP(Aux_Lista!$DR$2,Aux_Clima!$A:$O,AG$8,FALSE),8))</f>
        <v>2.8624999999999998</v>
      </c>
      <c r="AH43" s="434">
        <f>IF($B43=0,"",ROUND(VLOOKUP(Aux_Lista!$DR$2,Aux_Clima!$A:$O,AH$8,FALSE),8))</f>
        <v>1.8233333300000001</v>
      </c>
      <c r="AI43" s="434">
        <f>IF($B43=0,"",ROUND(VLOOKUP(Aux_Lista!$DR$2,Aux_Clima!$A:$O,AI$8,FALSE),8))</f>
        <v>3.8433333300000001</v>
      </c>
      <c r="AJ43" s="434">
        <f>IF($B43=0,"",ROUND(VLOOKUP(Aux_Lista!$DR$2,Aux_Clima!$A:$O,AJ$8,FALSE),3))</f>
        <v>6082.0829999999996</v>
      </c>
      <c r="AK43" s="434">
        <f>IF($B43=0,"",ROUND(VLOOKUP(Aux_Lista!$DR$2,Aux_Clima!$A:$O,AK$8,FALSE),3))</f>
        <v>5588.8329999999996</v>
      </c>
      <c r="AL43" s="434">
        <f>IF($B43=0,"",ROUND(VLOOKUP(Aux_Lista!$DR$2,Aux_Clima!$A:$O,AL$8,FALSE),3))</f>
        <v>6759.9380000000001</v>
      </c>
      <c r="AM43" s="434">
        <f>IF($B43=0,"",ROUND(VLOOKUP(Aux_Lista!$DR$2,Aux_Clima!$A:$O,AM$8,FALSE),8))</f>
        <v>18.44083333</v>
      </c>
      <c r="AN43" s="434">
        <f>IF($B43=0,"",ROUND(VLOOKUP(Aux_Lista!$DR$2,Aux_Clima!$A:$O,AN$8,FALSE),8))</f>
        <v>17.19166667</v>
      </c>
      <c r="AO43" s="434">
        <f>IF($B43=0,"",ROUND(VLOOKUP(Aux_Lista!$DR$2,Aux_Clima!$A:$O,AO$8,FALSE),8))</f>
        <v>19.883333329999999</v>
      </c>
      <c r="AP43" s="430">
        <f>IF(B43=0,"",IF(BF43=0,84,VLOOKUP(Envoltória!N51,Componentes!AV:AY,4,FALSE)))</f>
        <v>0</v>
      </c>
      <c r="AQ43" s="430">
        <f>IF(B43=0,"",IF(BF43=0,90,VLOOKUP(Envoltória!N51,Componentes!AV:AY,3,FALSE)))</f>
        <v>0</v>
      </c>
      <c r="AR43" s="430">
        <f t="shared" si="0"/>
        <v>1</v>
      </c>
      <c r="AS43" s="430">
        <f t="shared" si="0"/>
        <v>0</v>
      </c>
      <c r="AT43" s="430">
        <f t="shared" si="0"/>
        <v>0</v>
      </c>
      <c r="AU43" s="430">
        <f t="shared" si="0"/>
        <v>0</v>
      </c>
      <c r="AV43" s="430">
        <f t="shared" si="0"/>
        <v>0</v>
      </c>
      <c r="AW43" s="416">
        <f>IF($B43=0,"",IFERROR(VLOOKUP(Envoltória!$B51,Aux_Lista!$O:$U,AW$9,FALSE),0))</f>
        <v>1</v>
      </c>
      <c r="AX43" s="416">
        <f>IF($B43=0,"",IFERROR(VLOOKUP(Envoltória!$B51,Aux_Lista!$O:$U,AX$9,FALSE),0))</f>
        <v>0</v>
      </c>
      <c r="AY43" s="416">
        <f>IF($B43=0,"",IFERROR(VLOOKUP(Envoltória!$B51,Aux_Lista!$O:$U,AY$9,FALSE),0))</f>
        <v>1</v>
      </c>
      <c r="AZ43" s="416">
        <f>IF($B43=0,"",IFERROR(VLOOKUP(Envoltória!$B51,Aux_Lista!$O:$U,AZ$9,FALSE),0))</f>
        <v>0</v>
      </c>
      <c r="BA43" s="416">
        <f>IF($B43=0,"",IFERROR(VLOOKUP(Envoltória!$B51,Aux_Lista!$O:$U,BA$9,FALSE),0))</f>
        <v>0</v>
      </c>
      <c r="BB43" s="416">
        <f>IF($B43=0,"",IFERROR(VLOOKUP(Envoltória!$B51,Aux_Lista!$O:$U,BB$9,FALSE),0))</f>
        <v>1</v>
      </c>
      <c r="BC43" s="416">
        <f>IFERROR(VLOOKUP(Envoltória!$H51,Aux_Lista!$W$2:$Y$3,BC$9,FALSE),"")</f>
        <v>1</v>
      </c>
      <c r="BD43" s="416">
        <f>IFERROR(VLOOKUP(Envoltória!$H51,Aux_Lista!$W$2:$Y$3,BD$9,FALSE),"")</f>
        <v>0</v>
      </c>
      <c r="BE43" s="430">
        <f t="shared" si="1"/>
        <v>0</v>
      </c>
      <c r="BF43" s="430">
        <f>IF(B43=0,"",IF(Envoltória!F51="Perimetral",1,0))</f>
        <v>1</v>
      </c>
      <c r="BG43" s="430">
        <f>IFERROR(VLOOKUP(Envoltória!$G51,$BQ$35:$BZ$43,BG$9,FALSE),"")</f>
        <v>0</v>
      </c>
      <c r="BH43" s="430">
        <f>IFERROR(VLOOKUP(Envoltória!$G51,$BQ$35:$BZ$43,BH$9,FALSE),"")</f>
        <v>0</v>
      </c>
      <c r="BI43" s="430">
        <f>IFERROR(VLOOKUP(Envoltória!$G51,$BQ$35:$BZ$43,BI$9,FALSE),"")</f>
        <v>0</v>
      </c>
      <c r="BJ43" s="430">
        <f>IFERROR(VLOOKUP(Envoltória!$G51,$BQ$35:$BZ$43,BJ$9,FALSE),"")</f>
        <v>0</v>
      </c>
      <c r="BK43" s="430">
        <f>IFERROR(VLOOKUP(Envoltória!$G51,$BQ$35:$BZ$43,BK$9,FALSE),"")</f>
        <v>0</v>
      </c>
      <c r="BL43" s="430">
        <f>IFERROR(VLOOKUP(Envoltória!$G51,$BQ$35:$BZ$43,BL$9,FALSE),"")</f>
        <v>0</v>
      </c>
      <c r="BM43" s="430">
        <f>IFERROR(VLOOKUP(Envoltória!$G51,$BQ$35:$BZ$43,BM$9,FALSE),"")</f>
        <v>1</v>
      </c>
      <c r="BN43" s="430">
        <f>IFERROR(VLOOKUP(Envoltória!$G51,$BQ$35:$BZ$43,BN$9,FALSE),"")</f>
        <v>0</v>
      </c>
      <c r="BO43" s="430">
        <f>IFERROR(VLOOKUP(Envoltória!$G51,$BQ$35:$BZ$43,BO$9,FALSE),"")</f>
        <v>0</v>
      </c>
      <c r="BP43" s="2"/>
      <c r="BQ43" s="419" t="s">
        <v>75</v>
      </c>
      <c r="BR43" s="419">
        <v>0</v>
      </c>
      <c r="BS43" s="419">
        <v>0</v>
      </c>
      <c r="BT43" s="419">
        <v>0</v>
      </c>
      <c r="BU43" s="419">
        <v>0</v>
      </c>
      <c r="BV43" s="419">
        <v>0</v>
      </c>
      <c r="BW43" s="419">
        <v>0</v>
      </c>
      <c r="BX43" s="419">
        <v>0</v>
      </c>
      <c r="BY43" s="419">
        <v>0</v>
      </c>
      <c r="BZ43" s="419">
        <v>1</v>
      </c>
      <c r="CA43" s="13">
        <f t="shared" si="3"/>
        <v>1</v>
      </c>
    </row>
    <row r="44" spans="1:79" s="13" customFormat="1" x14ac:dyDescent="0.25">
      <c r="A44" s="2">
        <v>34</v>
      </c>
      <c r="B44" s="410" t="str">
        <f>Envoltória!I52</f>
        <v>Escritórios</v>
      </c>
      <c r="C44" s="410" t="str">
        <f>Envoltória!B52</f>
        <v>Cobertura</v>
      </c>
      <c r="D44" s="410" t="str">
        <f>Envoltória!C52</f>
        <v>ZP30</v>
      </c>
      <c r="E44" s="410">
        <f>Envoltória!D52</f>
        <v>36.81</v>
      </c>
      <c r="F44" s="430">
        <f>IF(B44=0,"",Envoltória!E52)</f>
        <v>3</v>
      </c>
      <c r="G44" s="430">
        <f t="shared" si="2"/>
        <v>12.68</v>
      </c>
      <c r="H44" s="430">
        <f>IF(B44=0,"",Envoltória!O52/100)</f>
        <v>0.14000000000000001</v>
      </c>
      <c r="I44" s="430">
        <f>IF(B44=0,"",IF(BF44=1,VLOOKUP(Envoltória!N52,Componentes!AV:AY,2,FALSE),89))</f>
        <v>0</v>
      </c>
      <c r="J44" s="416">
        <f>IF(B44=0,"",IFERROR(VLOOKUP(Envoltória!M52,Componentes!$P:$R,2,FALSE),""))</f>
        <v>2.06</v>
      </c>
      <c r="K44" s="416">
        <f>IF(B44=0,"",IFERROR(VLOOKUP(Envoltória!M52,Componentes!$P:$R,3,FALSE),""))</f>
        <v>233</v>
      </c>
      <c r="L44" s="431">
        <f>IF(B44=0,"",IFERROR(IF(BB44&lt;&gt;0,VLOOKUP(Envoltória!L52,Componentes!K:N,2,FALSE),0),""))</f>
        <v>0.55139700000000003</v>
      </c>
      <c r="M44" s="431">
        <f>IF(B44=0,"",IFERROR(IF(BB44&lt;&gt;0,VLOOKUP(Envoltória!L52,Componentes!K:N,3,FALSE),0),""))</f>
        <v>145</v>
      </c>
      <c r="N44" s="431">
        <f>IF(B44=0,"",IFERROR(IF(BB44&lt;&gt;0,VLOOKUP(Envoltória!L52,Componentes!K:N,4,FALSE),0),""))</f>
        <v>0.25</v>
      </c>
      <c r="O44" s="430">
        <f>IF(B44=0,"",IF(BF44=1,VLOOKUP(Envoltória!J52,Componentes!B:E,2,FALSE),-6))</f>
        <v>1.7307999999999999</v>
      </c>
      <c r="P44" s="430">
        <f>IF(B44=0,"",IF(BF44=1,VLOOKUP(Envoltória!J52,Componentes!B:E,3,FALSE),-400))</f>
        <v>150</v>
      </c>
      <c r="Q44" s="430">
        <f>IF(B44=0,"",IF(BF44=1,VLOOKUP(Envoltória!J52,Componentes!B:E,4,FALSE),0))</f>
        <v>0.39600000000000002</v>
      </c>
      <c r="R44" s="416">
        <f>IF(B44=0,"",IFERROR(VLOOKUP(Envoltória!K52,Componentes!G:I,2,FALSE),""))</f>
        <v>2.39</v>
      </c>
      <c r="S44" s="416">
        <f>IF(B44=0,"",IFERROR(VLOOKUP(Envoltória!K52,Componentes!G:I,3,FALSE),""))</f>
        <v>150</v>
      </c>
      <c r="T44" s="430">
        <f>IF(B44=0,"",IFERROR(IF(H44&lt;&gt;0,VLOOKUP(Envoltória!N52,Componentes!T:V,3,FALSE),0),""))</f>
        <v>0.82</v>
      </c>
      <c r="U44" s="430">
        <f>IF(B44=0,"",IFERROR(IF(H44&lt;&gt;0,VLOOKUP(Envoltória!N52,Componentes!T:V,2,FALSE),0),""))</f>
        <v>5.7</v>
      </c>
      <c r="V44" s="416">
        <f>IF(B44=0,"",IFERROR(IF(AA44&lt;&gt;0,VLOOKUP(Envoltória!U52,Componentes!X:Z,2,FALSE),0),0))</f>
        <v>0</v>
      </c>
      <c r="W44" s="416">
        <f>IF(B44=0,"",IFERROR(IF(AA44&lt;&gt;0,VLOOKUP(Envoltória!U52,Componentes!X:Z,3,FALSE),0),0))</f>
        <v>0</v>
      </c>
      <c r="X44" s="430">
        <f>IF(B44=0,"",Envoltória!U52)</f>
        <v>0.1</v>
      </c>
      <c r="Y44" s="430">
        <f>IF(B44=0,"",Envoltória!S52)</f>
        <v>15.45</v>
      </c>
      <c r="Z44" s="430">
        <f>IF(B44=0,"",Envoltória!T52)</f>
        <v>15</v>
      </c>
      <c r="AA44" s="416">
        <f>IF(B44=0,"",Envoltória!Q52/100)</f>
        <v>0</v>
      </c>
      <c r="AB44" s="434">
        <f>IF($B44=0,"",VLOOKUP(Aux_Lista!$DR$2,Aux_Clima!$A:$O,AB$8,FALSE))</f>
        <v>-7.02</v>
      </c>
      <c r="AC44" s="434">
        <f>IF($B44=0,"",VLOOKUP(Aux_Lista!$DR$2,Aux_Clima!$A:$O,AC$8,FALSE))</f>
        <v>249</v>
      </c>
      <c r="AD44" s="434">
        <f>IF($B44=0,"",ROUND(VLOOKUP(Aux_Lista!$DR$2,Aux_Clima!$A:$O,AD$8,FALSE),8))</f>
        <v>27.24</v>
      </c>
      <c r="AE44" s="434">
        <f>IF($B44=0,"",ROUND(VLOOKUP(Aux_Lista!$DR$2,Aux_Clima!$A:$O,AE$8,FALSE),8))</f>
        <v>24.17</v>
      </c>
      <c r="AF44" s="434">
        <f>IF($B44=0,"",ROUND(VLOOKUP(Aux_Lista!$DR$2,Aux_Clima!$A:$O,AF$8,FALSE),8))</f>
        <v>30.311666670000001</v>
      </c>
      <c r="AG44" s="434">
        <f>IF($B44=0,"",ROUND(VLOOKUP(Aux_Lista!$DR$2,Aux_Clima!$A:$O,AG$8,FALSE),8))</f>
        <v>2.8624999999999998</v>
      </c>
      <c r="AH44" s="434">
        <f>IF($B44=0,"",ROUND(VLOOKUP(Aux_Lista!$DR$2,Aux_Clima!$A:$O,AH$8,FALSE),8))</f>
        <v>1.8233333300000001</v>
      </c>
      <c r="AI44" s="434">
        <f>IF($B44=0,"",ROUND(VLOOKUP(Aux_Lista!$DR$2,Aux_Clima!$A:$O,AI$8,FALSE),8))</f>
        <v>3.8433333300000001</v>
      </c>
      <c r="AJ44" s="434">
        <f>IF($B44=0,"",ROUND(VLOOKUP(Aux_Lista!$DR$2,Aux_Clima!$A:$O,AJ$8,FALSE),3))</f>
        <v>6082.0829999999996</v>
      </c>
      <c r="AK44" s="434">
        <f>IF($B44=0,"",ROUND(VLOOKUP(Aux_Lista!$DR$2,Aux_Clima!$A:$O,AK$8,FALSE),3))</f>
        <v>5588.8329999999996</v>
      </c>
      <c r="AL44" s="434">
        <f>IF($B44=0,"",ROUND(VLOOKUP(Aux_Lista!$DR$2,Aux_Clima!$A:$O,AL$8,FALSE),3))</f>
        <v>6759.9380000000001</v>
      </c>
      <c r="AM44" s="434">
        <f>IF($B44=0,"",ROUND(VLOOKUP(Aux_Lista!$DR$2,Aux_Clima!$A:$O,AM$8,FALSE),8))</f>
        <v>18.44083333</v>
      </c>
      <c r="AN44" s="434">
        <f>IF($B44=0,"",ROUND(VLOOKUP(Aux_Lista!$DR$2,Aux_Clima!$A:$O,AN$8,FALSE),8))</f>
        <v>17.19166667</v>
      </c>
      <c r="AO44" s="434">
        <f>IF($B44=0,"",ROUND(VLOOKUP(Aux_Lista!$DR$2,Aux_Clima!$A:$O,AO$8,FALSE),8))</f>
        <v>19.883333329999999</v>
      </c>
      <c r="AP44" s="430">
        <f>IF(B44=0,"",IF(BF44=0,84,VLOOKUP(Envoltória!N52,Componentes!AV:AY,4,FALSE)))</f>
        <v>0</v>
      </c>
      <c r="AQ44" s="430">
        <f>IF(B44=0,"",IF(BF44=0,90,VLOOKUP(Envoltória!N52,Componentes!AV:AY,3,FALSE)))</f>
        <v>0</v>
      </c>
      <c r="AR44" s="430">
        <f t="shared" ref="AR44:AV75" si="4">IFERROR(VLOOKUP($B44,$BQ$21:$BW$31,AR$9,FALSE),"")</f>
        <v>1</v>
      </c>
      <c r="AS44" s="430">
        <f t="shared" si="4"/>
        <v>0</v>
      </c>
      <c r="AT44" s="430">
        <f t="shared" si="4"/>
        <v>0</v>
      </c>
      <c r="AU44" s="430">
        <f t="shared" si="4"/>
        <v>0</v>
      </c>
      <c r="AV44" s="430">
        <f t="shared" si="4"/>
        <v>0</v>
      </c>
      <c r="AW44" s="416">
        <f>IF($B44=0,"",IFERROR(VLOOKUP(Envoltória!$B52,Aux_Lista!$O:$U,AW$9,FALSE),0))</f>
        <v>1</v>
      </c>
      <c r="AX44" s="416">
        <f>IF($B44=0,"",IFERROR(VLOOKUP(Envoltória!$B52,Aux_Lista!$O:$U,AX$9,FALSE),0))</f>
        <v>0</v>
      </c>
      <c r="AY44" s="416">
        <f>IF($B44=0,"",IFERROR(VLOOKUP(Envoltória!$B52,Aux_Lista!$O:$U,AY$9,FALSE),0))</f>
        <v>1</v>
      </c>
      <c r="AZ44" s="416">
        <f>IF($B44=0,"",IFERROR(VLOOKUP(Envoltória!$B52,Aux_Lista!$O:$U,AZ$9,FALSE),0))</f>
        <v>0</v>
      </c>
      <c r="BA44" s="416">
        <f>IF($B44=0,"",IFERROR(VLOOKUP(Envoltória!$B52,Aux_Lista!$O:$U,BA$9,FALSE),0))</f>
        <v>0</v>
      </c>
      <c r="BB44" s="416">
        <f>IF($B44=0,"",IFERROR(VLOOKUP(Envoltória!$B52,Aux_Lista!$O:$U,BB$9,FALSE),0))</f>
        <v>1</v>
      </c>
      <c r="BC44" s="416">
        <f>IFERROR(VLOOKUP(Envoltória!$H52,Aux_Lista!$W$2:$Y$3,BC$9,FALSE),"")</f>
        <v>1</v>
      </c>
      <c r="BD44" s="416">
        <f>IFERROR(VLOOKUP(Envoltória!$H52,Aux_Lista!$W$2:$Y$3,BD$9,FALSE),"")</f>
        <v>0</v>
      </c>
      <c r="BE44" s="430">
        <f t="shared" si="1"/>
        <v>0</v>
      </c>
      <c r="BF44" s="430">
        <f>IF(B44=0,"",IF(Envoltória!F52="Perimetral",1,0))</f>
        <v>1</v>
      </c>
      <c r="BG44" s="430">
        <f>IFERROR(VLOOKUP(Envoltória!$G52,$BQ$35:$BZ$43,BG$9,FALSE),"")</f>
        <v>0</v>
      </c>
      <c r="BH44" s="430">
        <f>IFERROR(VLOOKUP(Envoltória!$G52,$BQ$35:$BZ$43,BH$9,FALSE),"")</f>
        <v>0</v>
      </c>
      <c r="BI44" s="430">
        <f>IFERROR(VLOOKUP(Envoltória!$G52,$BQ$35:$BZ$43,BI$9,FALSE),"")</f>
        <v>0</v>
      </c>
      <c r="BJ44" s="430">
        <f>IFERROR(VLOOKUP(Envoltória!$G52,$BQ$35:$BZ$43,BJ$9,FALSE),"")</f>
        <v>0</v>
      </c>
      <c r="BK44" s="430">
        <f>IFERROR(VLOOKUP(Envoltória!$G52,$BQ$35:$BZ$43,BK$9,FALSE),"")</f>
        <v>0</v>
      </c>
      <c r="BL44" s="430">
        <f>IFERROR(VLOOKUP(Envoltória!$G52,$BQ$35:$BZ$43,BL$9,FALSE),"")</f>
        <v>0</v>
      </c>
      <c r="BM44" s="430">
        <f>IFERROR(VLOOKUP(Envoltória!$G52,$BQ$35:$BZ$43,BM$9,FALSE),"")</f>
        <v>1</v>
      </c>
      <c r="BN44" s="430">
        <f>IFERROR(VLOOKUP(Envoltória!$G52,$BQ$35:$BZ$43,BN$9,FALSE),"")</f>
        <v>0</v>
      </c>
      <c r="BO44" s="430">
        <f>IFERROR(VLOOKUP(Envoltória!$G52,$BQ$35:$BZ$43,BO$9,FALSE),"")</f>
        <v>0</v>
      </c>
      <c r="BP44" s="2"/>
    </row>
    <row r="45" spans="1:79" s="13" customFormat="1" x14ac:dyDescent="0.25">
      <c r="A45" s="2">
        <v>35</v>
      </c>
      <c r="B45" s="410" t="str">
        <f>Envoltória!I53</f>
        <v>Escritórios</v>
      </c>
      <c r="C45" s="410" t="str">
        <f>Envoltória!B53</f>
        <v>Cobertura</v>
      </c>
      <c r="D45" s="410" t="str">
        <f>Envoltória!C53</f>
        <v>ZP31</v>
      </c>
      <c r="E45" s="410">
        <f>Envoltória!D53</f>
        <v>10.029999999999999</v>
      </c>
      <c r="F45" s="430">
        <f>IF(B45=0,"",Envoltória!E53)</f>
        <v>3</v>
      </c>
      <c r="G45" s="430">
        <f t="shared" si="2"/>
        <v>6.7288888888888891</v>
      </c>
      <c r="H45" s="430">
        <f>IF(B45=0,"",Envoltória!O53/100)</f>
        <v>0</v>
      </c>
      <c r="I45" s="430">
        <f>IF(B45=0,"",IF(BF45=1,VLOOKUP(Envoltória!N53,Componentes!AV:AY,2,FALSE),89))</f>
        <v>0</v>
      </c>
      <c r="J45" s="416">
        <f>IF(B45=0,"",IFERROR(VLOOKUP(Envoltória!M53,Componentes!$P:$R,2,FALSE),""))</f>
        <v>2.06</v>
      </c>
      <c r="K45" s="416">
        <f>IF(B45=0,"",IFERROR(VLOOKUP(Envoltória!M53,Componentes!$P:$R,3,FALSE),""))</f>
        <v>233</v>
      </c>
      <c r="L45" s="431">
        <f>IF(B45=0,"",IFERROR(IF(BB45&lt;&gt;0,VLOOKUP(Envoltória!L53,Componentes!K:N,2,FALSE),0),""))</f>
        <v>0.55139700000000003</v>
      </c>
      <c r="M45" s="431">
        <f>IF(B45=0,"",IFERROR(IF(BB45&lt;&gt;0,VLOOKUP(Envoltória!L53,Componentes!K:N,3,FALSE),0),""))</f>
        <v>145</v>
      </c>
      <c r="N45" s="431">
        <f>IF(B45=0,"",IFERROR(IF(BB45&lt;&gt;0,VLOOKUP(Envoltória!L53,Componentes!K:N,4,FALSE),0),""))</f>
        <v>0.25</v>
      </c>
      <c r="O45" s="430">
        <f>IF(B45=0,"",IF(BF45=1,VLOOKUP(Envoltória!J53,Componentes!B:E,2,FALSE),-6))</f>
        <v>1.7307999999999999</v>
      </c>
      <c r="P45" s="430">
        <f>IF(B45=0,"",IF(BF45=1,VLOOKUP(Envoltória!J53,Componentes!B:E,3,FALSE),-400))</f>
        <v>150</v>
      </c>
      <c r="Q45" s="430">
        <f>IF(B45=0,"",IF(BF45=1,VLOOKUP(Envoltória!J53,Componentes!B:E,4,FALSE),0))</f>
        <v>0.39600000000000002</v>
      </c>
      <c r="R45" s="416">
        <f>IF(B45=0,"",IFERROR(VLOOKUP(Envoltória!K53,Componentes!G:I,2,FALSE),""))</f>
        <v>2.39</v>
      </c>
      <c r="S45" s="416">
        <f>IF(B45=0,"",IFERROR(VLOOKUP(Envoltória!K53,Componentes!G:I,3,FALSE),""))</f>
        <v>150</v>
      </c>
      <c r="T45" s="430">
        <f>IF(B45=0,"",IFERROR(IF(H45&lt;&gt;0,VLOOKUP(Envoltória!N53,Componentes!T:V,3,FALSE),0),""))</f>
        <v>0</v>
      </c>
      <c r="U45" s="430">
        <f>IF(B45=0,"",IFERROR(IF(H45&lt;&gt;0,VLOOKUP(Envoltória!N53,Componentes!T:V,2,FALSE),0),""))</f>
        <v>0</v>
      </c>
      <c r="V45" s="416">
        <f>IF(B45=0,"",IFERROR(IF(AA45&lt;&gt;0,VLOOKUP(Envoltória!U53,Componentes!X:Z,2,FALSE),0),0))</f>
        <v>0</v>
      </c>
      <c r="W45" s="416">
        <f>IF(B45=0,"",IFERROR(IF(AA45&lt;&gt;0,VLOOKUP(Envoltória!U53,Componentes!X:Z,3,FALSE),0),0))</f>
        <v>0</v>
      </c>
      <c r="X45" s="430">
        <f>IF(B45=0,"",Envoltória!U53)</f>
        <v>0.1</v>
      </c>
      <c r="Y45" s="430">
        <f>IF(B45=0,"",Envoltória!S53)</f>
        <v>15.45</v>
      </c>
      <c r="Z45" s="430">
        <f>IF(B45=0,"",Envoltória!T53)</f>
        <v>15</v>
      </c>
      <c r="AA45" s="416">
        <f>IF(B45=0,"",Envoltória!Q53/100)</f>
        <v>0</v>
      </c>
      <c r="AB45" s="434">
        <f>IF($B45=0,"",VLOOKUP(Aux_Lista!$DR$2,Aux_Clima!$A:$O,AB$8,FALSE))</f>
        <v>-7.02</v>
      </c>
      <c r="AC45" s="434">
        <f>IF($B45=0,"",VLOOKUP(Aux_Lista!$DR$2,Aux_Clima!$A:$O,AC$8,FALSE))</f>
        <v>249</v>
      </c>
      <c r="AD45" s="434">
        <f>IF($B45=0,"",ROUND(VLOOKUP(Aux_Lista!$DR$2,Aux_Clima!$A:$O,AD$8,FALSE),8))</f>
        <v>27.24</v>
      </c>
      <c r="AE45" s="434">
        <f>IF($B45=0,"",ROUND(VLOOKUP(Aux_Lista!$DR$2,Aux_Clima!$A:$O,AE$8,FALSE),8))</f>
        <v>24.17</v>
      </c>
      <c r="AF45" s="434">
        <f>IF($B45=0,"",ROUND(VLOOKUP(Aux_Lista!$DR$2,Aux_Clima!$A:$O,AF$8,FALSE),8))</f>
        <v>30.311666670000001</v>
      </c>
      <c r="AG45" s="434">
        <f>IF($B45=0,"",ROUND(VLOOKUP(Aux_Lista!$DR$2,Aux_Clima!$A:$O,AG$8,FALSE),8))</f>
        <v>2.8624999999999998</v>
      </c>
      <c r="AH45" s="434">
        <f>IF($B45=0,"",ROUND(VLOOKUP(Aux_Lista!$DR$2,Aux_Clima!$A:$O,AH$8,FALSE),8))</f>
        <v>1.8233333300000001</v>
      </c>
      <c r="AI45" s="434">
        <f>IF($B45=0,"",ROUND(VLOOKUP(Aux_Lista!$DR$2,Aux_Clima!$A:$O,AI$8,FALSE),8))</f>
        <v>3.8433333300000001</v>
      </c>
      <c r="AJ45" s="434">
        <f>IF($B45=0,"",ROUND(VLOOKUP(Aux_Lista!$DR$2,Aux_Clima!$A:$O,AJ$8,FALSE),3))</f>
        <v>6082.0829999999996</v>
      </c>
      <c r="AK45" s="434">
        <f>IF($B45=0,"",ROUND(VLOOKUP(Aux_Lista!$DR$2,Aux_Clima!$A:$O,AK$8,FALSE),3))</f>
        <v>5588.8329999999996</v>
      </c>
      <c r="AL45" s="434">
        <f>IF($B45=0,"",ROUND(VLOOKUP(Aux_Lista!$DR$2,Aux_Clima!$A:$O,AL$8,FALSE),3))</f>
        <v>6759.9380000000001</v>
      </c>
      <c r="AM45" s="434">
        <f>IF($B45=0,"",ROUND(VLOOKUP(Aux_Lista!$DR$2,Aux_Clima!$A:$O,AM$8,FALSE),8))</f>
        <v>18.44083333</v>
      </c>
      <c r="AN45" s="434">
        <f>IF($B45=0,"",ROUND(VLOOKUP(Aux_Lista!$DR$2,Aux_Clima!$A:$O,AN$8,FALSE),8))</f>
        <v>17.19166667</v>
      </c>
      <c r="AO45" s="434">
        <f>IF($B45=0,"",ROUND(VLOOKUP(Aux_Lista!$DR$2,Aux_Clima!$A:$O,AO$8,FALSE),8))</f>
        <v>19.883333329999999</v>
      </c>
      <c r="AP45" s="430">
        <f>IF(B45=0,"",IF(BF45=0,84,VLOOKUP(Envoltória!N53,Componentes!AV:AY,4,FALSE)))</f>
        <v>0</v>
      </c>
      <c r="AQ45" s="430">
        <f>IF(B45=0,"",IF(BF45=0,90,VLOOKUP(Envoltória!N53,Componentes!AV:AY,3,FALSE)))</f>
        <v>0</v>
      </c>
      <c r="AR45" s="430">
        <f t="shared" si="4"/>
        <v>1</v>
      </c>
      <c r="AS45" s="430">
        <f t="shared" si="4"/>
        <v>0</v>
      </c>
      <c r="AT45" s="430">
        <f t="shared" si="4"/>
        <v>0</v>
      </c>
      <c r="AU45" s="430">
        <f t="shared" si="4"/>
        <v>0</v>
      </c>
      <c r="AV45" s="430">
        <f t="shared" si="4"/>
        <v>0</v>
      </c>
      <c r="AW45" s="416">
        <f>IF($B45=0,"",IFERROR(VLOOKUP(Envoltória!$B53,Aux_Lista!$O:$U,AW$9,FALSE),0))</f>
        <v>1</v>
      </c>
      <c r="AX45" s="416">
        <f>IF($B45=0,"",IFERROR(VLOOKUP(Envoltória!$B53,Aux_Lista!$O:$U,AX$9,FALSE),0))</f>
        <v>0</v>
      </c>
      <c r="AY45" s="416">
        <f>IF($B45=0,"",IFERROR(VLOOKUP(Envoltória!$B53,Aux_Lista!$O:$U,AY$9,FALSE),0))</f>
        <v>1</v>
      </c>
      <c r="AZ45" s="416">
        <f>IF($B45=0,"",IFERROR(VLOOKUP(Envoltória!$B53,Aux_Lista!$O:$U,AZ$9,FALSE),0))</f>
        <v>0</v>
      </c>
      <c r="BA45" s="416">
        <f>IF($B45=0,"",IFERROR(VLOOKUP(Envoltória!$B53,Aux_Lista!$O:$U,BA$9,FALSE),0))</f>
        <v>0</v>
      </c>
      <c r="BB45" s="416">
        <f>IF($B45=0,"",IFERROR(VLOOKUP(Envoltória!$B53,Aux_Lista!$O:$U,BB$9,FALSE),0))</f>
        <v>1</v>
      </c>
      <c r="BC45" s="416">
        <f>IFERROR(VLOOKUP(Envoltória!$H53,Aux_Lista!$W$2:$Y$3,BC$9,FALSE),"")</f>
        <v>1</v>
      </c>
      <c r="BD45" s="416">
        <f>IFERROR(VLOOKUP(Envoltória!$H53,Aux_Lista!$W$2:$Y$3,BD$9,FALSE),"")</f>
        <v>0</v>
      </c>
      <c r="BE45" s="430">
        <f t="shared" si="1"/>
        <v>0</v>
      </c>
      <c r="BF45" s="430">
        <f>IF(B45=0,"",IF(Envoltória!F53="Perimetral",1,0))</f>
        <v>1</v>
      </c>
      <c r="BG45" s="430">
        <f>IFERROR(VLOOKUP(Envoltória!$G53,$BQ$35:$BZ$43,BG$9,FALSE),"")</f>
        <v>0</v>
      </c>
      <c r="BH45" s="430">
        <f>IFERROR(VLOOKUP(Envoltória!$G53,$BQ$35:$BZ$43,BH$9,FALSE),"")</f>
        <v>0</v>
      </c>
      <c r="BI45" s="430">
        <f>IFERROR(VLOOKUP(Envoltória!$G53,$BQ$35:$BZ$43,BI$9,FALSE),"")</f>
        <v>0</v>
      </c>
      <c r="BJ45" s="430">
        <f>IFERROR(VLOOKUP(Envoltória!$G53,$BQ$35:$BZ$43,BJ$9,FALSE),"")</f>
        <v>0</v>
      </c>
      <c r="BK45" s="430">
        <f>IFERROR(VLOOKUP(Envoltória!$G53,$BQ$35:$BZ$43,BK$9,FALSE),"")</f>
        <v>1</v>
      </c>
      <c r="BL45" s="430">
        <f>IFERROR(VLOOKUP(Envoltória!$G53,$BQ$35:$BZ$43,BL$9,FALSE),"")</f>
        <v>0</v>
      </c>
      <c r="BM45" s="430">
        <f>IFERROR(VLOOKUP(Envoltória!$G53,$BQ$35:$BZ$43,BM$9,FALSE),"")</f>
        <v>0</v>
      </c>
      <c r="BN45" s="430">
        <f>IFERROR(VLOOKUP(Envoltória!$G53,$BQ$35:$BZ$43,BN$9,FALSE),"")</f>
        <v>0</v>
      </c>
      <c r="BO45" s="430">
        <f>IFERROR(VLOOKUP(Envoltória!$G53,$BQ$35:$BZ$43,BO$9,FALSE),"")</f>
        <v>0</v>
      </c>
      <c r="BP45" s="2"/>
    </row>
    <row r="46" spans="1:79" s="13" customFormat="1" x14ac:dyDescent="0.25">
      <c r="A46" s="2">
        <v>36</v>
      </c>
      <c r="B46" s="410" t="str">
        <f>Envoltória!I54</f>
        <v>Escritórios</v>
      </c>
      <c r="C46" s="410" t="str">
        <f>Envoltória!B54</f>
        <v>Cobertura</v>
      </c>
      <c r="D46" s="410" t="str">
        <f>Envoltória!C54</f>
        <v>ZP32</v>
      </c>
      <c r="E46" s="410">
        <f>Envoltória!D54</f>
        <v>0.37</v>
      </c>
      <c r="F46" s="430">
        <f>IF(B46=0,"",Envoltória!E54)</f>
        <v>3</v>
      </c>
      <c r="G46" s="430">
        <f t="shared" si="2"/>
        <v>4.5822222222222226</v>
      </c>
      <c r="H46" s="430">
        <f>IF(B46=0,"",Envoltória!O54/100)</f>
        <v>0</v>
      </c>
      <c r="I46" s="430">
        <f>IF(B46=0,"",IF(BF46=1,VLOOKUP(Envoltória!N54,Componentes!AV:AY,2,FALSE),89))</f>
        <v>0</v>
      </c>
      <c r="J46" s="416">
        <f>IF(B46=0,"",IFERROR(VLOOKUP(Envoltória!M54,Componentes!$P:$R,2,FALSE),""))</f>
        <v>2.06</v>
      </c>
      <c r="K46" s="416">
        <f>IF(B46=0,"",IFERROR(VLOOKUP(Envoltória!M54,Componentes!$P:$R,3,FALSE),""))</f>
        <v>233</v>
      </c>
      <c r="L46" s="431">
        <f>IF(B46=0,"",IFERROR(IF(BB46&lt;&gt;0,VLOOKUP(Envoltória!L54,Componentes!K:N,2,FALSE),0),""))</f>
        <v>0.55139700000000003</v>
      </c>
      <c r="M46" s="431">
        <f>IF(B46=0,"",IFERROR(IF(BB46&lt;&gt;0,VLOOKUP(Envoltória!L54,Componentes!K:N,3,FALSE),0),""))</f>
        <v>145</v>
      </c>
      <c r="N46" s="431">
        <f>IF(B46=0,"",IFERROR(IF(BB46&lt;&gt;0,VLOOKUP(Envoltória!L54,Componentes!K:N,4,FALSE),0),""))</f>
        <v>0.25</v>
      </c>
      <c r="O46" s="430">
        <f>IF(B46=0,"",IF(BF46=1,VLOOKUP(Envoltória!J54,Componentes!B:E,2,FALSE),-6))</f>
        <v>1.7307999999999999</v>
      </c>
      <c r="P46" s="430">
        <f>IF(B46=0,"",IF(BF46=1,VLOOKUP(Envoltória!J54,Componentes!B:E,3,FALSE),-400))</f>
        <v>150</v>
      </c>
      <c r="Q46" s="430">
        <f>IF(B46=0,"",IF(BF46=1,VLOOKUP(Envoltória!J54,Componentes!B:E,4,FALSE),0))</f>
        <v>0.39600000000000002</v>
      </c>
      <c r="R46" s="416">
        <f>IF(B46=0,"",IFERROR(VLOOKUP(Envoltória!K54,Componentes!G:I,2,FALSE),""))</f>
        <v>2.39</v>
      </c>
      <c r="S46" s="416">
        <f>IF(B46=0,"",IFERROR(VLOOKUP(Envoltória!K54,Componentes!G:I,3,FALSE),""))</f>
        <v>150</v>
      </c>
      <c r="T46" s="430">
        <f>IF(B46=0,"",IFERROR(IF(H46&lt;&gt;0,VLOOKUP(Envoltória!N54,Componentes!T:V,3,FALSE),0),""))</f>
        <v>0</v>
      </c>
      <c r="U46" s="430">
        <f>IF(B46=0,"",IFERROR(IF(H46&lt;&gt;0,VLOOKUP(Envoltória!N54,Componentes!T:V,2,FALSE),0),""))</f>
        <v>0</v>
      </c>
      <c r="V46" s="416">
        <f>IF(B46=0,"",IFERROR(IF(AA46&lt;&gt;0,VLOOKUP(Envoltória!U54,Componentes!X:Z,2,FALSE),0),0))</f>
        <v>0</v>
      </c>
      <c r="W46" s="416">
        <f>IF(B46=0,"",IFERROR(IF(AA46&lt;&gt;0,VLOOKUP(Envoltória!U54,Componentes!X:Z,3,FALSE),0),0))</f>
        <v>0</v>
      </c>
      <c r="X46" s="430">
        <f>IF(B46=0,"",Envoltória!U54)</f>
        <v>0.1</v>
      </c>
      <c r="Y46" s="430">
        <f>IF(B46=0,"",Envoltória!S54)</f>
        <v>15.45</v>
      </c>
      <c r="Z46" s="430">
        <f>IF(B46=0,"",Envoltória!T54)</f>
        <v>15</v>
      </c>
      <c r="AA46" s="416">
        <f>IF(B46=0,"",Envoltória!Q54/100)</f>
        <v>0</v>
      </c>
      <c r="AB46" s="434">
        <f>IF($B46=0,"",VLOOKUP(Aux_Lista!$DR$2,Aux_Clima!$A:$O,AB$8,FALSE))</f>
        <v>-7.02</v>
      </c>
      <c r="AC46" s="434">
        <f>IF($B46=0,"",VLOOKUP(Aux_Lista!$DR$2,Aux_Clima!$A:$O,AC$8,FALSE))</f>
        <v>249</v>
      </c>
      <c r="AD46" s="434">
        <f>IF($B46=0,"",ROUND(VLOOKUP(Aux_Lista!$DR$2,Aux_Clima!$A:$O,AD$8,FALSE),8))</f>
        <v>27.24</v>
      </c>
      <c r="AE46" s="434">
        <f>IF($B46=0,"",ROUND(VLOOKUP(Aux_Lista!$DR$2,Aux_Clima!$A:$O,AE$8,FALSE),8))</f>
        <v>24.17</v>
      </c>
      <c r="AF46" s="434">
        <f>IF($B46=0,"",ROUND(VLOOKUP(Aux_Lista!$DR$2,Aux_Clima!$A:$O,AF$8,FALSE),8))</f>
        <v>30.311666670000001</v>
      </c>
      <c r="AG46" s="434">
        <f>IF($B46=0,"",ROUND(VLOOKUP(Aux_Lista!$DR$2,Aux_Clima!$A:$O,AG$8,FALSE),8))</f>
        <v>2.8624999999999998</v>
      </c>
      <c r="AH46" s="434">
        <f>IF($B46=0,"",ROUND(VLOOKUP(Aux_Lista!$DR$2,Aux_Clima!$A:$O,AH$8,FALSE),8))</f>
        <v>1.8233333300000001</v>
      </c>
      <c r="AI46" s="434">
        <f>IF($B46=0,"",ROUND(VLOOKUP(Aux_Lista!$DR$2,Aux_Clima!$A:$O,AI$8,FALSE),8))</f>
        <v>3.8433333300000001</v>
      </c>
      <c r="AJ46" s="434">
        <f>IF($B46=0,"",ROUND(VLOOKUP(Aux_Lista!$DR$2,Aux_Clima!$A:$O,AJ$8,FALSE),3))</f>
        <v>6082.0829999999996</v>
      </c>
      <c r="AK46" s="434">
        <f>IF($B46=0,"",ROUND(VLOOKUP(Aux_Lista!$DR$2,Aux_Clima!$A:$O,AK$8,FALSE),3))</f>
        <v>5588.8329999999996</v>
      </c>
      <c r="AL46" s="434">
        <f>IF($B46=0,"",ROUND(VLOOKUP(Aux_Lista!$DR$2,Aux_Clima!$A:$O,AL$8,FALSE),3))</f>
        <v>6759.9380000000001</v>
      </c>
      <c r="AM46" s="434">
        <f>IF($B46=0,"",ROUND(VLOOKUP(Aux_Lista!$DR$2,Aux_Clima!$A:$O,AM$8,FALSE),8))</f>
        <v>18.44083333</v>
      </c>
      <c r="AN46" s="434">
        <f>IF($B46=0,"",ROUND(VLOOKUP(Aux_Lista!$DR$2,Aux_Clima!$A:$O,AN$8,FALSE),8))</f>
        <v>17.19166667</v>
      </c>
      <c r="AO46" s="434">
        <f>IF($B46=0,"",ROUND(VLOOKUP(Aux_Lista!$DR$2,Aux_Clima!$A:$O,AO$8,FALSE),8))</f>
        <v>19.883333329999999</v>
      </c>
      <c r="AP46" s="430">
        <f>IF(B46=0,"",IF(BF46=0,84,VLOOKUP(Envoltória!N54,Componentes!AV:AY,4,FALSE)))</f>
        <v>0</v>
      </c>
      <c r="AQ46" s="430">
        <f>IF(B46=0,"",IF(BF46=0,90,VLOOKUP(Envoltória!N54,Componentes!AV:AY,3,FALSE)))</f>
        <v>0</v>
      </c>
      <c r="AR46" s="430">
        <f t="shared" si="4"/>
        <v>1</v>
      </c>
      <c r="AS46" s="430">
        <f t="shared" si="4"/>
        <v>0</v>
      </c>
      <c r="AT46" s="430">
        <f t="shared" si="4"/>
        <v>0</v>
      </c>
      <c r="AU46" s="430">
        <f t="shared" si="4"/>
        <v>0</v>
      </c>
      <c r="AV46" s="430">
        <f t="shared" si="4"/>
        <v>0</v>
      </c>
      <c r="AW46" s="416">
        <f>IF($B46=0,"",IFERROR(VLOOKUP(Envoltória!$B54,Aux_Lista!$O:$U,AW$9,FALSE),0))</f>
        <v>1</v>
      </c>
      <c r="AX46" s="416">
        <f>IF($B46=0,"",IFERROR(VLOOKUP(Envoltória!$B54,Aux_Lista!$O:$U,AX$9,FALSE),0))</f>
        <v>0</v>
      </c>
      <c r="AY46" s="416">
        <f>IF($B46=0,"",IFERROR(VLOOKUP(Envoltória!$B54,Aux_Lista!$O:$U,AY$9,FALSE),0))</f>
        <v>1</v>
      </c>
      <c r="AZ46" s="416">
        <f>IF($B46=0,"",IFERROR(VLOOKUP(Envoltória!$B54,Aux_Lista!$O:$U,AZ$9,FALSE),0))</f>
        <v>0</v>
      </c>
      <c r="BA46" s="416">
        <f>IF($B46=0,"",IFERROR(VLOOKUP(Envoltória!$B54,Aux_Lista!$O:$U,BA$9,FALSE),0))</f>
        <v>0</v>
      </c>
      <c r="BB46" s="416">
        <f>IF($B46=0,"",IFERROR(VLOOKUP(Envoltória!$B54,Aux_Lista!$O:$U,BB$9,FALSE),0))</f>
        <v>1</v>
      </c>
      <c r="BC46" s="416">
        <f>IFERROR(VLOOKUP(Envoltória!$H54,Aux_Lista!$W$2:$Y$3,BC$9,FALSE),"")</f>
        <v>1</v>
      </c>
      <c r="BD46" s="416">
        <f>IFERROR(VLOOKUP(Envoltória!$H54,Aux_Lista!$W$2:$Y$3,BD$9,FALSE),"")</f>
        <v>0</v>
      </c>
      <c r="BE46" s="430">
        <f t="shared" si="1"/>
        <v>0</v>
      </c>
      <c r="BF46" s="430">
        <f>IF(B46=0,"",IF(Envoltória!F54="Perimetral",1,0))</f>
        <v>1</v>
      </c>
      <c r="BG46" s="430">
        <f>IFERROR(VLOOKUP(Envoltória!$G54,$BQ$35:$BZ$43,BG$9,FALSE),"")</f>
        <v>0</v>
      </c>
      <c r="BH46" s="430">
        <f>IFERROR(VLOOKUP(Envoltória!$G54,$BQ$35:$BZ$43,BH$9,FALSE),"")</f>
        <v>0</v>
      </c>
      <c r="BI46" s="430">
        <f>IFERROR(VLOOKUP(Envoltória!$G54,$BQ$35:$BZ$43,BI$9,FALSE),"")</f>
        <v>0</v>
      </c>
      <c r="BJ46" s="430">
        <f>IFERROR(VLOOKUP(Envoltória!$G54,$BQ$35:$BZ$43,BJ$9,FALSE),"")</f>
        <v>0</v>
      </c>
      <c r="BK46" s="430">
        <f>IFERROR(VLOOKUP(Envoltória!$G54,$BQ$35:$BZ$43,BK$9,FALSE),"")</f>
        <v>0</v>
      </c>
      <c r="BL46" s="430">
        <f>IFERROR(VLOOKUP(Envoltória!$G54,$BQ$35:$BZ$43,BL$9,FALSE),"")</f>
        <v>0</v>
      </c>
      <c r="BM46" s="430">
        <f>IFERROR(VLOOKUP(Envoltória!$G54,$BQ$35:$BZ$43,BM$9,FALSE),"")</f>
        <v>1</v>
      </c>
      <c r="BN46" s="430">
        <f>IFERROR(VLOOKUP(Envoltória!$G54,$BQ$35:$BZ$43,BN$9,FALSE),"")</f>
        <v>0</v>
      </c>
      <c r="BO46" s="430">
        <f>IFERROR(VLOOKUP(Envoltória!$G54,$BQ$35:$BZ$43,BO$9,FALSE),"")</f>
        <v>0</v>
      </c>
      <c r="BP46" s="2"/>
    </row>
    <row r="47" spans="1:79" s="13" customFormat="1" x14ac:dyDescent="0.25">
      <c r="A47" s="2">
        <v>37</v>
      </c>
      <c r="B47" s="410" t="str">
        <f>Envoltória!I55</f>
        <v>Escritórios</v>
      </c>
      <c r="C47" s="410" t="str">
        <f>Envoltória!B55</f>
        <v>Cobertura</v>
      </c>
      <c r="D47" s="410" t="str">
        <f>Envoltória!C55</f>
        <v>ZP33</v>
      </c>
      <c r="E47" s="410">
        <f>Envoltória!D55</f>
        <v>41.5</v>
      </c>
      <c r="F47" s="430">
        <f>IF(B47=0,"",Envoltória!E55)</f>
        <v>3</v>
      </c>
      <c r="G47" s="430">
        <f t="shared" si="2"/>
        <v>13.722222222222221</v>
      </c>
      <c r="H47" s="430">
        <f>IF(B47=0,"",Envoltória!O55/100)</f>
        <v>0.23</v>
      </c>
      <c r="I47" s="430">
        <f>IF(B47=0,"",IF(BF47=1,VLOOKUP(Envoltória!N55,Componentes!AV:AY,2,FALSE),89))</f>
        <v>0</v>
      </c>
      <c r="J47" s="416">
        <f>IF(B47=0,"",IFERROR(VLOOKUP(Envoltória!M55,Componentes!$P:$R,2,FALSE),""))</f>
        <v>2.06</v>
      </c>
      <c r="K47" s="416">
        <f>IF(B47=0,"",IFERROR(VLOOKUP(Envoltória!M55,Componentes!$P:$R,3,FALSE),""))</f>
        <v>233</v>
      </c>
      <c r="L47" s="431">
        <f>IF(B47=0,"",IFERROR(IF(BB47&lt;&gt;0,VLOOKUP(Envoltória!L55,Componentes!K:N,2,FALSE),0),""))</f>
        <v>0.55139700000000003</v>
      </c>
      <c r="M47" s="431">
        <f>IF(B47=0,"",IFERROR(IF(BB47&lt;&gt;0,VLOOKUP(Envoltória!L55,Componentes!K:N,3,FALSE),0),""))</f>
        <v>145</v>
      </c>
      <c r="N47" s="431">
        <f>IF(B47=0,"",IFERROR(IF(BB47&lt;&gt;0,VLOOKUP(Envoltória!L55,Componentes!K:N,4,FALSE),0),""))</f>
        <v>0.25</v>
      </c>
      <c r="O47" s="430">
        <f>IF(B47=0,"",IF(BF47=1,VLOOKUP(Envoltória!J55,Componentes!B:E,2,FALSE),-6))</f>
        <v>1.7307999999999999</v>
      </c>
      <c r="P47" s="430">
        <f>IF(B47=0,"",IF(BF47=1,VLOOKUP(Envoltória!J55,Componentes!B:E,3,FALSE),-400))</f>
        <v>150</v>
      </c>
      <c r="Q47" s="430">
        <f>IF(B47=0,"",IF(BF47=1,VLOOKUP(Envoltória!J55,Componentes!B:E,4,FALSE),0))</f>
        <v>0.39600000000000002</v>
      </c>
      <c r="R47" s="416">
        <f>IF(B47=0,"",IFERROR(VLOOKUP(Envoltória!K55,Componentes!G:I,2,FALSE),""))</f>
        <v>2.39</v>
      </c>
      <c r="S47" s="416">
        <f>IF(B47=0,"",IFERROR(VLOOKUP(Envoltória!K55,Componentes!G:I,3,FALSE),""))</f>
        <v>150</v>
      </c>
      <c r="T47" s="430">
        <f>IF(B47=0,"",IFERROR(IF(H47&lt;&gt;0,VLOOKUP(Envoltória!N55,Componentes!T:V,3,FALSE),0),""))</f>
        <v>0.82</v>
      </c>
      <c r="U47" s="430">
        <f>IF(B47=0,"",IFERROR(IF(H47&lt;&gt;0,VLOOKUP(Envoltória!N55,Componentes!T:V,2,FALSE),0),""))</f>
        <v>5.7</v>
      </c>
      <c r="V47" s="416">
        <f>IF(B47=0,"",IFERROR(IF(AA47&lt;&gt;0,VLOOKUP(Envoltória!U55,Componentes!X:Z,2,FALSE),0),0))</f>
        <v>0</v>
      </c>
      <c r="W47" s="416">
        <f>IF(B47=0,"",IFERROR(IF(AA47&lt;&gt;0,VLOOKUP(Envoltória!U55,Componentes!X:Z,3,FALSE),0),0))</f>
        <v>0</v>
      </c>
      <c r="X47" s="430">
        <f>IF(B47=0,"",Envoltória!U55)</f>
        <v>0.1</v>
      </c>
      <c r="Y47" s="430">
        <f>IF(B47=0,"",Envoltória!S55)</f>
        <v>15.45</v>
      </c>
      <c r="Z47" s="430">
        <f>IF(B47=0,"",Envoltória!T55)</f>
        <v>15</v>
      </c>
      <c r="AA47" s="416">
        <f>IF(B47=0,"",Envoltória!Q55/100)</f>
        <v>0</v>
      </c>
      <c r="AB47" s="434">
        <f>IF($B47=0,"",VLOOKUP(Aux_Lista!$DR$2,Aux_Clima!$A:$O,AB$8,FALSE))</f>
        <v>-7.02</v>
      </c>
      <c r="AC47" s="434">
        <f>IF($B47=0,"",VLOOKUP(Aux_Lista!$DR$2,Aux_Clima!$A:$O,AC$8,FALSE))</f>
        <v>249</v>
      </c>
      <c r="AD47" s="434">
        <f>IF($B47=0,"",ROUND(VLOOKUP(Aux_Lista!$DR$2,Aux_Clima!$A:$O,AD$8,FALSE),8))</f>
        <v>27.24</v>
      </c>
      <c r="AE47" s="434">
        <f>IF($B47=0,"",ROUND(VLOOKUP(Aux_Lista!$DR$2,Aux_Clima!$A:$O,AE$8,FALSE),8))</f>
        <v>24.17</v>
      </c>
      <c r="AF47" s="434">
        <f>IF($B47=0,"",ROUND(VLOOKUP(Aux_Lista!$DR$2,Aux_Clima!$A:$O,AF$8,FALSE),8))</f>
        <v>30.311666670000001</v>
      </c>
      <c r="AG47" s="434">
        <f>IF($B47=0,"",ROUND(VLOOKUP(Aux_Lista!$DR$2,Aux_Clima!$A:$O,AG$8,FALSE),8))</f>
        <v>2.8624999999999998</v>
      </c>
      <c r="AH47" s="434">
        <f>IF($B47=0,"",ROUND(VLOOKUP(Aux_Lista!$DR$2,Aux_Clima!$A:$O,AH$8,FALSE),8))</f>
        <v>1.8233333300000001</v>
      </c>
      <c r="AI47" s="434">
        <f>IF($B47=0,"",ROUND(VLOOKUP(Aux_Lista!$DR$2,Aux_Clima!$A:$O,AI$8,FALSE),8))</f>
        <v>3.8433333300000001</v>
      </c>
      <c r="AJ47" s="434">
        <f>IF($B47=0,"",ROUND(VLOOKUP(Aux_Lista!$DR$2,Aux_Clima!$A:$O,AJ$8,FALSE),3))</f>
        <v>6082.0829999999996</v>
      </c>
      <c r="AK47" s="434">
        <f>IF($B47=0,"",ROUND(VLOOKUP(Aux_Lista!$DR$2,Aux_Clima!$A:$O,AK$8,FALSE),3))</f>
        <v>5588.8329999999996</v>
      </c>
      <c r="AL47" s="434">
        <f>IF($B47=0,"",ROUND(VLOOKUP(Aux_Lista!$DR$2,Aux_Clima!$A:$O,AL$8,FALSE),3))</f>
        <v>6759.9380000000001</v>
      </c>
      <c r="AM47" s="434">
        <f>IF($B47=0,"",ROUND(VLOOKUP(Aux_Lista!$DR$2,Aux_Clima!$A:$O,AM$8,FALSE),8))</f>
        <v>18.44083333</v>
      </c>
      <c r="AN47" s="434">
        <f>IF($B47=0,"",ROUND(VLOOKUP(Aux_Lista!$DR$2,Aux_Clima!$A:$O,AN$8,FALSE),8))</f>
        <v>17.19166667</v>
      </c>
      <c r="AO47" s="434">
        <f>IF($B47=0,"",ROUND(VLOOKUP(Aux_Lista!$DR$2,Aux_Clima!$A:$O,AO$8,FALSE),8))</f>
        <v>19.883333329999999</v>
      </c>
      <c r="AP47" s="430">
        <f>IF(B47=0,"",IF(BF47=0,84,VLOOKUP(Envoltória!N55,Componentes!AV:AY,4,FALSE)))</f>
        <v>0</v>
      </c>
      <c r="AQ47" s="430">
        <f>IF(B47=0,"",IF(BF47=0,90,VLOOKUP(Envoltória!N55,Componentes!AV:AY,3,FALSE)))</f>
        <v>0</v>
      </c>
      <c r="AR47" s="430">
        <f t="shared" si="4"/>
        <v>1</v>
      </c>
      <c r="AS47" s="430">
        <f t="shared" si="4"/>
        <v>0</v>
      </c>
      <c r="AT47" s="430">
        <f t="shared" si="4"/>
        <v>0</v>
      </c>
      <c r="AU47" s="430">
        <f t="shared" si="4"/>
        <v>0</v>
      </c>
      <c r="AV47" s="430">
        <f t="shared" si="4"/>
        <v>0</v>
      </c>
      <c r="AW47" s="416">
        <f>IF($B47=0,"",IFERROR(VLOOKUP(Envoltória!$B55,Aux_Lista!$O:$U,AW$9,FALSE),0))</f>
        <v>1</v>
      </c>
      <c r="AX47" s="416">
        <f>IF($B47=0,"",IFERROR(VLOOKUP(Envoltória!$B55,Aux_Lista!$O:$U,AX$9,FALSE),0))</f>
        <v>0</v>
      </c>
      <c r="AY47" s="416">
        <f>IF($B47=0,"",IFERROR(VLOOKUP(Envoltória!$B55,Aux_Lista!$O:$U,AY$9,FALSE),0))</f>
        <v>1</v>
      </c>
      <c r="AZ47" s="416">
        <f>IF($B47=0,"",IFERROR(VLOOKUP(Envoltória!$B55,Aux_Lista!$O:$U,AZ$9,FALSE),0))</f>
        <v>0</v>
      </c>
      <c r="BA47" s="416">
        <f>IF($B47=0,"",IFERROR(VLOOKUP(Envoltória!$B55,Aux_Lista!$O:$U,BA$9,FALSE),0))</f>
        <v>0</v>
      </c>
      <c r="BB47" s="416">
        <f>IF($B47=0,"",IFERROR(VLOOKUP(Envoltória!$B55,Aux_Lista!$O:$U,BB$9,FALSE),0))</f>
        <v>1</v>
      </c>
      <c r="BC47" s="416">
        <f>IFERROR(VLOOKUP(Envoltória!$H55,Aux_Lista!$W$2:$Y$3,BC$9,FALSE),"")</f>
        <v>1</v>
      </c>
      <c r="BD47" s="416">
        <f>IFERROR(VLOOKUP(Envoltória!$H55,Aux_Lista!$W$2:$Y$3,BD$9,FALSE),"")</f>
        <v>0</v>
      </c>
      <c r="BE47" s="430">
        <f t="shared" si="1"/>
        <v>0</v>
      </c>
      <c r="BF47" s="430">
        <f>IF(B47=0,"",IF(Envoltória!F55="Perimetral",1,0))</f>
        <v>1</v>
      </c>
      <c r="BG47" s="430">
        <f>IFERROR(VLOOKUP(Envoltória!$G55,$BQ$35:$BZ$43,BG$9,FALSE),"")</f>
        <v>0</v>
      </c>
      <c r="BH47" s="430">
        <f>IFERROR(VLOOKUP(Envoltória!$G55,$BQ$35:$BZ$43,BH$9,FALSE),"")</f>
        <v>0</v>
      </c>
      <c r="BI47" s="430">
        <f>IFERROR(VLOOKUP(Envoltória!$G55,$BQ$35:$BZ$43,BI$9,FALSE),"")</f>
        <v>0</v>
      </c>
      <c r="BJ47" s="430">
        <f>IFERROR(VLOOKUP(Envoltória!$G55,$BQ$35:$BZ$43,BJ$9,FALSE),"")</f>
        <v>0</v>
      </c>
      <c r="BK47" s="430">
        <f>IFERROR(VLOOKUP(Envoltória!$G55,$BQ$35:$BZ$43,BK$9,FALSE),"")</f>
        <v>1</v>
      </c>
      <c r="BL47" s="430">
        <f>IFERROR(VLOOKUP(Envoltória!$G55,$BQ$35:$BZ$43,BL$9,FALSE),"")</f>
        <v>0</v>
      </c>
      <c r="BM47" s="430">
        <f>IFERROR(VLOOKUP(Envoltória!$G55,$BQ$35:$BZ$43,BM$9,FALSE),"")</f>
        <v>0</v>
      </c>
      <c r="BN47" s="430">
        <f>IFERROR(VLOOKUP(Envoltória!$G55,$BQ$35:$BZ$43,BN$9,FALSE),"")</f>
        <v>0</v>
      </c>
      <c r="BO47" s="430">
        <f>IFERROR(VLOOKUP(Envoltória!$G55,$BQ$35:$BZ$43,BO$9,FALSE),"")</f>
        <v>0</v>
      </c>
      <c r="BP47" s="2"/>
    </row>
    <row r="48" spans="1:79" s="13" customFormat="1" x14ac:dyDescent="0.25">
      <c r="A48" s="2">
        <v>38</v>
      </c>
      <c r="B48" s="410" t="str">
        <f>Envoltória!I56</f>
        <v>Escritórios</v>
      </c>
      <c r="C48" s="410" t="str">
        <f>Envoltória!B56</f>
        <v>Cobertura</v>
      </c>
      <c r="D48" s="410" t="str">
        <f>Envoltória!C56</f>
        <v>ZP34</v>
      </c>
      <c r="E48" s="410">
        <f>Envoltória!D56</f>
        <v>18.05</v>
      </c>
      <c r="F48" s="430">
        <f>IF(B48=0,"",Envoltória!E56)</f>
        <v>3</v>
      </c>
      <c r="G48" s="430">
        <f t="shared" si="2"/>
        <v>8.5111111111111111</v>
      </c>
      <c r="H48" s="430">
        <f>IF(B48=0,"",Envoltória!O56/100)</f>
        <v>0</v>
      </c>
      <c r="I48" s="430">
        <f>IF(B48=0,"",IF(BF48=1,VLOOKUP(Envoltória!N56,Componentes!AV:AY,2,FALSE),89))</f>
        <v>0</v>
      </c>
      <c r="J48" s="416">
        <f>IF(B48=0,"",IFERROR(VLOOKUP(Envoltória!M56,Componentes!$P:$R,2,FALSE),""))</f>
        <v>2.06</v>
      </c>
      <c r="K48" s="416">
        <f>IF(B48=0,"",IFERROR(VLOOKUP(Envoltória!M56,Componentes!$P:$R,3,FALSE),""))</f>
        <v>233</v>
      </c>
      <c r="L48" s="431">
        <f>IF(B48=0,"",IFERROR(IF(BB48&lt;&gt;0,VLOOKUP(Envoltória!L56,Componentes!K:N,2,FALSE),0),""))</f>
        <v>0.55139700000000003</v>
      </c>
      <c r="M48" s="431">
        <f>IF(B48=0,"",IFERROR(IF(BB48&lt;&gt;0,VLOOKUP(Envoltória!L56,Componentes!K:N,3,FALSE),0),""))</f>
        <v>145</v>
      </c>
      <c r="N48" s="431">
        <f>IF(B48=0,"",IFERROR(IF(BB48&lt;&gt;0,VLOOKUP(Envoltória!L56,Componentes!K:N,4,FALSE),0),""))</f>
        <v>0.25</v>
      </c>
      <c r="O48" s="430">
        <f>IF(B48=0,"",IF(BF48=1,VLOOKUP(Envoltória!J56,Componentes!B:E,2,FALSE),-6))</f>
        <v>1.7307999999999999</v>
      </c>
      <c r="P48" s="430">
        <f>IF(B48=0,"",IF(BF48=1,VLOOKUP(Envoltória!J56,Componentes!B:E,3,FALSE),-400))</f>
        <v>150</v>
      </c>
      <c r="Q48" s="430">
        <f>IF(B48=0,"",IF(BF48=1,VLOOKUP(Envoltória!J56,Componentes!B:E,4,FALSE),0))</f>
        <v>0.2</v>
      </c>
      <c r="R48" s="416">
        <f>IF(B48=0,"",IFERROR(VLOOKUP(Envoltória!K56,Componentes!G:I,2,FALSE),""))</f>
        <v>2.39</v>
      </c>
      <c r="S48" s="416">
        <f>IF(B48=0,"",IFERROR(VLOOKUP(Envoltória!K56,Componentes!G:I,3,FALSE),""))</f>
        <v>150</v>
      </c>
      <c r="T48" s="430">
        <f>IF(B48=0,"",IFERROR(IF(H48&lt;&gt;0,VLOOKUP(Envoltória!N56,Componentes!T:V,3,FALSE),0),""))</f>
        <v>0</v>
      </c>
      <c r="U48" s="430">
        <f>IF(B48=0,"",IFERROR(IF(H48&lt;&gt;0,VLOOKUP(Envoltória!N56,Componentes!T:V,2,FALSE),0),""))</f>
        <v>0</v>
      </c>
      <c r="V48" s="416">
        <f>IF(B48=0,"",IFERROR(IF(AA48&lt;&gt;0,VLOOKUP(Envoltória!U56,Componentes!X:Z,2,FALSE),0),0))</f>
        <v>0</v>
      </c>
      <c r="W48" s="416">
        <f>IF(B48=0,"",IFERROR(IF(AA48&lt;&gt;0,VLOOKUP(Envoltória!U56,Componentes!X:Z,3,FALSE),0),0))</f>
        <v>0</v>
      </c>
      <c r="X48" s="430">
        <f>IF(B48=0,"",Envoltória!U56)</f>
        <v>0.1</v>
      </c>
      <c r="Y48" s="430">
        <f>IF(B48=0,"",Envoltória!S56)</f>
        <v>15.45</v>
      </c>
      <c r="Z48" s="430">
        <f>IF(B48=0,"",Envoltória!T56)</f>
        <v>15</v>
      </c>
      <c r="AA48" s="416">
        <f>IF(B48=0,"",Envoltória!Q56/100)</f>
        <v>0</v>
      </c>
      <c r="AB48" s="434">
        <f>IF($B48=0,"",VLOOKUP(Aux_Lista!$DR$2,Aux_Clima!$A:$O,AB$8,FALSE))</f>
        <v>-7.02</v>
      </c>
      <c r="AC48" s="434">
        <f>IF($B48=0,"",VLOOKUP(Aux_Lista!$DR$2,Aux_Clima!$A:$O,AC$8,FALSE))</f>
        <v>249</v>
      </c>
      <c r="AD48" s="434">
        <f>IF($B48=0,"",ROUND(VLOOKUP(Aux_Lista!$DR$2,Aux_Clima!$A:$O,AD$8,FALSE),8))</f>
        <v>27.24</v>
      </c>
      <c r="AE48" s="434">
        <f>IF($B48=0,"",ROUND(VLOOKUP(Aux_Lista!$DR$2,Aux_Clima!$A:$O,AE$8,FALSE),8))</f>
        <v>24.17</v>
      </c>
      <c r="AF48" s="434">
        <f>IF($B48=0,"",ROUND(VLOOKUP(Aux_Lista!$DR$2,Aux_Clima!$A:$O,AF$8,FALSE),8))</f>
        <v>30.311666670000001</v>
      </c>
      <c r="AG48" s="434">
        <f>IF($B48=0,"",ROUND(VLOOKUP(Aux_Lista!$DR$2,Aux_Clima!$A:$O,AG$8,FALSE),8))</f>
        <v>2.8624999999999998</v>
      </c>
      <c r="AH48" s="434">
        <f>IF($B48=0,"",ROUND(VLOOKUP(Aux_Lista!$DR$2,Aux_Clima!$A:$O,AH$8,FALSE),8))</f>
        <v>1.8233333300000001</v>
      </c>
      <c r="AI48" s="434">
        <f>IF($B48=0,"",ROUND(VLOOKUP(Aux_Lista!$DR$2,Aux_Clima!$A:$O,AI$8,FALSE),8))</f>
        <v>3.8433333300000001</v>
      </c>
      <c r="AJ48" s="434">
        <f>IF($B48=0,"",ROUND(VLOOKUP(Aux_Lista!$DR$2,Aux_Clima!$A:$O,AJ$8,FALSE),3))</f>
        <v>6082.0829999999996</v>
      </c>
      <c r="AK48" s="434">
        <f>IF($B48=0,"",ROUND(VLOOKUP(Aux_Lista!$DR$2,Aux_Clima!$A:$O,AK$8,FALSE),3))</f>
        <v>5588.8329999999996</v>
      </c>
      <c r="AL48" s="434">
        <f>IF($B48=0,"",ROUND(VLOOKUP(Aux_Lista!$DR$2,Aux_Clima!$A:$O,AL$8,FALSE),3))</f>
        <v>6759.9380000000001</v>
      </c>
      <c r="AM48" s="434">
        <f>IF($B48=0,"",ROUND(VLOOKUP(Aux_Lista!$DR$2,Aux_Clima!$A:$O,AM$8,FALSE),8))</f>
        <v>18.44083333</v>
      </c>
      <c r="AN48" s="434">
        <f>IF($B48=0,"",ROUND(VLOOKUP(Aux_Lista!$DR$2,Aux_Clima!$A:$O,AN$8,FALSE),8))</f>
        <v>17.19166667</v>
      </c>
      <c r="AO48" s="434">
        <f>IF($B48=0,"",ROUND(VLOOKUP(Aux_Lista!$DR$2,Aux_Clima!$A:$O,AO$8,FALSE),8))</f>
        <v>19.883333329999999</v>
      </c>
      <c r="AP48" s="430">
        <f>IF(B48=0,"",IF(BF48=0,84,VLOOKUP(Envoltória!N56,Componentes!AV:AY,4,FALSE)))</f>
        <v>0</v>
      </c>
      <c r="AQ48" s="430">
        <f>IF(B48=0,"",IF(BF48=0,90,VLOOKUP(Envoltória!N56,Componentes!AV:AY,3,FALSE)))</f>
        <v>0</v>
      </c>
      <c r="AR48" s="430">
        <f t="shared" si="4"/>
        <v>1</v>
      </c>
      <c r="AS48" s="430">
        <f t="shared" si="4"/>
        <v>0</v>
      </c>
      <c r="AT48" s="430">
        <f t="shared" si="4"/>
        <v>0</v>
      </c>
      <c r="AU48" s="430">
        <f t="shared" si="4"/>
        <v>0</v>
      </c>
      <c r="AV48" s="430">
        <f t="shared" si="4"/>
        <v>0</v>
      </c>
      <c r="AW48" s="416">
        <f>IF($B48=0,"",IFERROR(VLOOKUP(Envoltória!$B56,Aux_Lista!$O:$U,AW$9,FALSE),0))</f>
        <v>1</v>
      </c>
      <c r="AX48" s="416">
        <f>IF($B48=0,"",IFERROR(VLOOKUP(Envoltória!$B56,Aux_Lista!$O:$U,AX$9,FALSE),0))</f>
        <v>0</v>
      </c>
      <c r="AY48" s="416">
        <f>IF($B48=0,"",IFERROR(VLOOKUP(Envoltória!$B56,Aux_Lista!$O:$U,AY$9,FALSE),0))</f>
        <v>1</v>
      </c>
      <c r="AZ48" s="416">
        <f>IF($B48=0,"",IFERROR(VLOOKUP(Envoltória!$B56,Aux_Lista!$O:$U,AZ$9,FALSE),0))</f>
        <v>0</v>
      </c>
      <c r="BA48" s="416">
        <f>IF($B48=0,"",IFERROR(VLOOKUP(Envoltória!$B56,Aux_Lista!$O:$U,BA$9,FALSE),0))</f>
        <v>0</v>
      </c>
      <c r="BB48" s="416">
        <f>IF($B48=0,"",IFERROR(VLOOKUP(Envoltória!$B56,Aux_Lista!$O:$U,BB$9,FALSE),0))</f>
        <v>1</v>
      </c>
      <c r="BC48" s="416">
        <f>IFERROR(VLOOKUP(Envoltória!$H56,Aux_Lista!$W$2:$Y$3,BC$9,FALSE),"")</f>
        <v>1</v>
      </c>
      <c r="BD48" s="416">
        <f>IFERROR(VLOOKUP(Envoltória!$H56,Aux_Lista!$W$2:$Y$3,BD$9,FALSE),"")</f>
        <v>0</v>
      </c>
      <c r="BE48" s="430">
        <f t="shared" si="1"/>
        <v>0</v>
      </c>
      <c r="BF48" s="430">
        <f>IF(B48=0,"",IF(Envoltória!F56="Perimetral",1,0))</f>
        <v>1</v>
      </c>
      <c r="BG48" s="430">
        <f>IFERROR(VLOOKUP(Envoltória!$G56,$BQ$35:$BZ$43,BG$9,FALSE),"")</f>
        <v>0</v>
      </c>
      <c r="BH48" s="430">
        <f>IFERROR(VLOOKUP(Envoltória!$G56,$BQ$35:$BZ$43,BH$9,FALSE),"")</f>
        <v>0</v>
      </c>
      <c r="BI48" s="430">
        <f>IFERROR(VLOOKUP(Envoltória!$G56,$BQ$35:$BZ$43,BI$9,FALSE),"")</f>
        <v>0</v>
      </c>
      <c r="BJ48" s="430">
        <f>IFERROR(VLOOKUP(Envoltória!$G56,$BQ$35:$BZ$43,BJ$9,FALSE),"")</f>
        <v>0</v>
      </c>
      <c r="BK48" s="430">
        <f>IFERROR(VLOOKUP(Envoltória!$G56,$BQ$35:$BZ$43,BK$9,FALSE),"")</f>
        <v>1</v>
      </c>
      <c r="BL48" s="430">
        <f>IFERROR(VLOOKUP(Envoltória!$G56,$BQ$35:$BZ$43,BL$9,FALSE),"")</f>
        <v>0</v>
      </c>
      <c r="BM48" s="430">
        <f>IFERROR(VLOOKUP(Envoltória!$G56,$BQ$35:$BZ$43,BM$9,FALSE),"")</f>
        <v>0</v>
      </c>
      <c r="BN48" s="430">
        <f>IFERROR(VLOOKUP(Envoltória!$G56,$BQ$35:$BZ$43,BN$9,FALSE),"")</f>
        <v>0</v>
      </c>
      <c r="BO48" s="430">
        <f>IFERROR(VLOOKUP(Envoltória!$G56,$BQ$35:$BZ$43,BO$9,FALSE),"")</f>
        <v>0</v>
      </c>
      <c r="BP48" s="2"/>
    </row>
    <row r="49" spans="1:68" s="13" customFormat="1" x14ac:dyDescent="0.25">
      <c r="A49" s="2">
        <v>39</v>
      </c>
      <c r="B49" s="410" t="str">
        <f>Envoltória!I57</f>
        <v>Escritórios</v>
      </c>
      <c r="C49" s="410" t="str">
        <f>Envoltória!B57</f>
        <v>Cobertura</v>
      </c>
      <c r="D49" s="410" t="str">
        <f>Envoltória!C57</f>
        <v>ZP35</v>
      </c>
      <c r="E49" s="410">
        <f>Envoltória!D57</f>
        <v>46.35</v>
      </c>
      <c r="F49" s="430">
        <f>IF(B49=0,"",Envoltória!E57)</f>
        <v>3</v>
      </c>
      <c r="G49" s="430">
        <f t="shared" si="2"/>
        <v>14.799999999999999</v>
      </c>
      <c r="H49" s="430">
        <f>IF(B49=0,"",Envoltória!O57/100)</f>
        <v>0.09</v>
      </c>
      <c r="I49" s="430">
        <f>IF(B49=0,"",IF(BF49=1,VLOOKUP(Envoltória!N57,Componentes!AV:AY,2,FALSE),89))</f>
        <v>0</v>
      </c>
      <c r="J49" s="416">
        <f>IF(B49=0,"",IFERROR(VLOOKUP(Envoltória!M57,Componentes!$P:$R,2,FALSE),""))</f>
        <v>2.06</v>
      </c>
      <c r="K49" s="416">
        <f>IF(B49=0,"",IFERROR(VLOOKUP(Envoltória!M57,Componentes!$P:$R,3,FALSE),""))</f>
        <v>233</v>
      </c>
      <c r="L49" s="431">
        <f>IF(B49=0,"",IFERROR(IF(BB49&lt;&gt;0,VLOOKUP(Envoltória!L57,Componentes!K:N,2,FALSE),0),""))</f>
        <v>0.55139700000000003</v>
      </c>
      <c r="M49" s="431">
        <f>IF(B49=0,"",IFERROR(IF(BB49&lt;&gt;0,VLOOKUP(Envoltória!L57,Componentes!K:N,3,FALSE),0),""))</f>
        <v>145</v>
      </c>
      <c r="N49" s="431">
        <f>IF(B49=0,"",IFERROR(IF(BB49&lt;&gt;0,VLOOKUP(Envoltória!L57,Componentes!K:N,4,FALSE),0),""))</f>
        <v>0.25</v>
      </c>
      <c r="O49" s="430">
        <f>IF(B49=0,"",IF(BF49=1,VLOOKUP(Envoltória!J57,Componentes!B:E,2,FALSE),-6))</f>
        <v>1.7307999999999999</v>
      </c>
      <c r="P49" s="430">
        <f>IF(B49=0,"",IF(BF49=1,VLOOKUP(Envoltória!J57,Componentes!B:E,3,FALSE),-400))</f>
        <v>150</v>
      </c>
      <c r="Q49" s="430">
        <f>IF(B49=0,"",IF(BF49=1,VLOOKUP(Envoltória!J57,Componentes!B:E,4,FALSE),0))</f>
        <v>0.39600000000000002</v>
      </c>
      <c r="R49" s="416">
        <f>IF(B49=0,"",IFERROR(VLOOKUP(Envoltória!K57,Componentes!G:I,2,FALSE),""))</f>
        <v>2.39</v>
      </c>
      <c r="S49" s="416">
        <f>IF(B49=0,"",IFERROR(VLOOKUP(Envoltória!K57,Componentes!G:I,3,FALSE),""))</f>
        <v>150</v>
      </c>
      <c r="T49" s="430">
        <f>IF(B49=0,"",IFERROR(IF(H49&lt;&gt;0,VLOOKUP(Envoltória!N57,Componentes!T:V,3,FALSE),0),""))</f>
        <v>0.82</v>
      </c>
      <c r="U49" s="430">
        <f>IF(B49=0,"",IFERROR(IF(H49&lt;&gt;0,VLOOKUP(Envoltória!N57,Componentes!T:V,2,FALSE),0),""))</f>
        <v>5.7</v>
      </c>
      <c r="V49" s="416">
        <f>IF(B49=0,"",IFERROR(IF(AA49&lt;&gt;0,VLOOKUP(Envoltória!U57,Componentes!X:Z,2,FALSE),0),0))</f>
        <v>0</v>
      </c>
      <c r="W49" s="416">
        <f>IF(B49=0,"",IFERROR(IF(AA49&lt;&gt;0,VLOOKUP(Envoltória!U57,Componentes!X:Z,3,FALSE),0),0))</f>
        <v>0</v>
      </c>
      <c r="X49" s="430">
        <f>IF(B49=0,"",Envoltória!U57)</f>
        <v>0.1</v>
      </c>
      <c r="Y49" s="430">
        <f>IF(B49=0,"",Envoltória!S57)</f>
        <v>15.45</v>
      </c>
      <c r="Z49" s="430">
        <f>IF(B49=0,"",Envoltória!T57)</f>
        <v>15</v>
      </c>
      <c r="AA49" s="416">
        <f>IF(B49=0,"",Envoltória!Q57/100)</f>
        <v>0</v>
      </c>
      <c r="AB49" s="434">
        <f>IF($B49=0,"",VLOOKUP(Aux_Lista!$DR$2,Aux_Clima!$A:$O,AB$8,FALSE))</f>
        <v>-7.02</v>
      </c>
      <c r="AC49" s="434">
        <f>IF($B49=0,"",VLOOKUP(Aux_Lista!$DR$2,Aux_Clima!$A:$O,AC$8,FALSE))</f>
        <v>249</v>
      </c>
      <c r="AD49" s="434">
        <f>IF($B49=0,"",ROUND(VLOOKUP(Aux_Lista!$DR$2,Aux_Clima!$A:$O,AD$8,FALSE),8))</f>
        <v>27.24</v>
      </c>
      <c r="AE49" s="434">
        <f>IF($B49=0,"",ROUND(VLOOKUP(Aux_Lista!$DR$2,Aux_Clima!$A:$O,AE$8,FALSE),8))</f>
        <v>24.17</v>
      </c>
      <c r="AF49" s="434">
        <f>IF($B49=0,"",ROUND(VLOOKUP(Aux_Lista!$DR$2,Aux_Clima!$A:$O,AF$8,FALSE),8))</f>
        <v>30.311666670000001</v>
      </c>
      <c r="AG49" s="434">
        <f>IF($B49=0,"",ROUND(VLOOKUP(Aux_Lista!$DR$2,Aux_Clima!$A:$O,AG$8,FALSE),8))</f>
        <v>2.8624999999999998</v>
      </c>
      <c r="AH49" s="434">
        <f>IF($B49=0,"",ROUND(VLOOKUP(Aux_Lista!$DR$2,Aux_Clima!$A:$O,AH$8,FALSE),8))</f>
        <v>1.8233333300000001</v>
      </c>
      <c r="AI49" s="434">
        <f>IF($B49=0,"",ROUND(VLOOKUP(Aux_Lista!$DR$2,Aux_Clima!$A:$O,AI$8,FALSE),8))</f>
        <v>3.8433333300000001</v>
      </c>
      <c r="AJ49" s="434">
        <f>IF($B49=0,"",ROUND(VLOOKUP(Aux_Lista!$DR$2,Aux_Clima!$A:$O,AJ$8,FALSE),3))</f>
        <v>6082.0829999999996</v>
      </c>
      <c r="AK49" s="434">
        <f>IF($B49=0,"",ROUND(VLOOKUP(Aux_Lista!$DR$2,Aux_Clima!$A:$O,AK$8,FALSE),3))</f>
        <v>5588.8329999999996</v>
      </c>
      <c r="AL49" s="434">
        <f>IF($B49=0,"",ROUND(VLOOKUP(Aux_Lista!$DR$2,Aux_Clima!$A:$O,AL$8,FALSE),3))</f>
        <v>6759.9380000000001</v>
      </c>
      <c r="AM49" s="434">
        <f>IF($B49=0,"",ROUND(VLOOKUP(Aux_Lista!$DR$2,Aux_Clima!$A:$O,AM$8,FALSE),8))</f>
        <v>18.44083333</v>
      </c>
      <c r="AN49" s="434">
        <f>IF($B49=0,"",ROUND(VLOOKUP(Aux_Lista!$DR$2,Aux_Clima!$A:$O,AN$8,FALSE),8))</f>
        <v>17.19166667</v>
      </c>
      <c r="AO49" s="434">
        <f>IF($B49=0,"",ROUND(VLOOKUP(Aux_Lista!$DR$2,Aux_Clima!$A:$O,AO$8,FALSE),8))</f>
        <v>19.883333329999999</v>
      </c>
      <c r="AP49" s="430">
        <f>IF(B49=0,"",IF(BF49=0,84,VLOOKUP(Envoltória!N57,Componentes!AV:AY,4,FALSE)))</f>
        <v>0</v>
      </c>
      <c r="AQ49" s="430">
        <f>IF(B49=0,"",IF(BF49=0,90,VLOOKUP(Envoltória!N57,Componentes!AV:AY,3,FALSE)))</f>
        <v>0</v>
      </c>
      <c r="AR49" s="430">
        <f t="shared" si="4"/>
        <v>1</v>
      </c>
      <c r="AS49" s="430">
        <f t="shared" si="4"/>
        <v>0</v>
      </c>
      <c r="AT49" s="430">
        <f t="shared" si="4"/>
        <v>0</v>
      </c>
      <c r="AU49" s="430">
        <f t="shared" si="4"/>
        <v>0</v>
      </c>
      <c r="AV49" s="430">
        <f t="shared" si="4"/>
        <v>0</v>
      </c>
      <c r="AW49" s="416">
        <f>IF($B49=0,"",IFERROR(VLOOKUP(Envoltória!$B57,Aux_Lista!$O:$U,AW$9,FALSE),0))</f>
        <v>1</v>
      </c>
      <c r="AX49" s="416">
        <f>IF($B49=0,"",IFERROR(VLOOKUP(Envoltória!$B57,Aux_Lista!$O:$U,AX$9,FALSE),0))</f>
        <v>0</v>
      </c>
      <c r="AY49" s="416">
        <f>IF($B49=0,"",IFERROR(VLOOKUP(Envoltória!$B57,Aux_Lista!$O:$U,AY$9,FALSE),0))</f>
        <v>1</v>
      </c>
      <c r="AZ49" s="416">
        <f>IF($B49=0,"",IFERROR(VLOOKUP(Envoltória!$B57,Aux_Lista!$O:$U,AZ$9,FALSE),0))</f>
        <v>0</v>
      </c>
      <c r="BA49" s="416">
        <f>IF($B49=0,"",IFERROR(VLOOKUP(Envoltória!$B57,Aux_Lista!$O:$U,BA$9,FALSE),0))</f>
        <v>0</v>
      </c>
      <c r="BB49" s="416">
        <f>IF($B49=0,"",IFERROR(VLOOKUP(Envoltória!$B57,Aux_Lista!$O:$U,BB$9,FALSE),0))</f>
        <v>1</v>
      </c>
      <c r="BC49" s="416">
        <f>IFERROR(VLOOKUP(Envoltória!$H57,Aux_Lista!$W$2:$Y$3,BC$9,FALSE),"")</f>
        <v>1</v>
      </c>
      <c r="BD49" s="416">
        <f>IFERROR(VLOOKUP(Envoltória!$H57,Aux_Lista!$W$2:$Y$3,BD$9,FALSE),"")</f>
        <v>0</v>
      </c>
      <c r="BE49" s="430">
        <f t="shared" si="1"/>
        <v>0</v>
      </c>
      <c r="BF49" s="430">
        <f>IF(B49=0,"",IF(Envoltória!F57="Perimetral",1,0))</f>
        <v>1</v>
      </c>
      <c r="BG49" s="430">
        <f>IFERROR(VLOOKUP(Envoltória!$G57,$BQ$35:$BZ$43,BG$9,FALSE),"")</f>
        <v>0</v>
      </c>
      <c r="BH49" s="430">
        <f>IFERROR(VLOOKUP(Envoltória!$G57,$BQ$35:$BZ$43,BH$9,FALSE),"")</f>
        <v>0</v>
      </c>
      <c r="BI49" s="430">
        <f>IFERROR(VLOOKUP(Envoltória!$G57,$BQ$35:$BZ$43,BI$9,FALSE),"")</f>
        <v>1</v>
      </c>
      <c r="BJ49" s="430">
        <f>IFERROR(VLOOKUP(Envoltória!$G57,$BQ$35:$BZ$43,BJ$9,FALSE),"")</f>
        <v>0</v>
      </c>
      <c r="BK49" s="430">
        <f>IFERROR(VLOOKUP(Envoltória!$G57,$BQ$35:$BZ$43,BK$9,FALSE),"")</f>
        <v>0</v>
      </c>
      <c r="BL49" s="430">
        <f>IFERROR(VLOOKUP(Envoltória!$G57,$BQ$35:$BZ$43,BL$9,FALSE),"")</f>
        <v>0</v>
      </c>
      <c r="BM49" s="430">
        <f>IFERROR(VLOOKUP(Envoltória!$G57,$BQ$35:$BZ$43,BM$9,FALSE),"")</f>
        <v>0</v>
      </c>
      <c r="BN49" s="430">
        <f>IFERROR(VLOOKUP(Envoltória!$G57,$BQ$35:$BZ$43,BN$9,FALSE),"")</f>
        <v>0</v>
      </c>
      <c r="BO49" s="430">
        <f>IFERROR(VLOOKUP(Envoltória!$G57,$BQ$35:$BZ$43,BO$9,FALSE),"")</f>
        <v>0</v>
      </c>
      <c r="BP49" s="2"/>
    </row>
    <row r="50" spans="1:68" s="13" customFormat="1" x14ac:dyDescent="0.25">
      <c r="A50" s="2">
        <v>40</v>
      </c>
      <c r="B50" s="410" t="str">
        <f>Envoltória!I58</f>
        <v>Escritórios</v>
      </c>
      <c r="C50" s="410" t="str">
        <f>Envoltória!B58</f>
        <v>Cobertura</v>
      </c>
      <c r="D50" s="410" t="str">
        <f>Envoltória!C58</f>
        <v>ZP36</v>
      </c>
      <c r="E50" s="410">
        <f>Envoltória!D58</f>
        <v>1.56</v>
      </c>
      <c r="F50" s="430">
        <f>IF(B50=0,"",Envoltória!E58)</f>
        <v>3</v>
      </c>
      <c r="G50" s="430">
        <f t="shared" si="2"/>
        <v>4.8466666666666667</v>
      </c>
      <c r="H50" s="430">
        <f>IF(B50=0,"",Envoltória!O58/100)</f>
        <v>0</v>
      </c>
      <c r="I50" s="430">
        <f>IF(B50=0,"",IF(BF50=1,VLOOKUP(Envoltória!N58,Componentes!AV:AY,2,FALSE),89))</f>
        <v>0</v>
      </c>
      <c r="J50" s="416">
        <f>IF(B50=0,"",IFERROR(VLOOKUP(Envoltória!M58,Componentes!$P:$R,2,FALSE),""))</f>
        <v>2.06</v>
      </c>
      <c r="K50" s="416">
        <f>IF(B50=0,"",IFERROR(VLOOKUP(Envoltória!M58,Componentes!$P:$R,3,FALSE),""))</f>
        <v>233</v>
      </c>
      <c r="L50" s="431">
        <f>IF(B50=0,"",IFERROR(IF(BB50&lt;&gt;0,VLOOKUP(Envoltória!L58,Componentes!K:N,2,FALSE),0),""))</f>
        <v>0.55139700000000003</v>
      </c>
      <c r="M50" s="431">
        <f>IF(B50=0,"",IFERROR(IF(BB50&lt;&gt;0,VLOOKUP(Envoltória!L58,Componentes!K:N,3,FALSE),0),""))</f>
        <v>145</v>
      </c>
      <c r="N50" s="431">
        <f>IF(B50=0,"",IFERROR(IF(BB50&lt;&gt;0,VLOOKUP(Envoltória!L58,Componentes!K:N,4,FALSE),0),""))</f>
        <v>0.25</v>
      </c>
      <c r="O50" s="430">
        <f>IF(B50=0,"",IF(BF50=1,VLOOKUP(Envoltória!J58,Componentes!B:E,2,FALSE),-6))</f>
        <v>1.7307999999999999</v>
      </c>
      <c r="P50" s="430">
        <f>IF(B50=0,"",IF(BF50=1,VLOOKUP(Envoltória!J58,Componentes!B:E,3,FALSE),-400))</f>
        <v>150</v>
      </c>
      <c r="Q50" s="430">
        <f>IF(B50=0,"",IF(BF50=1,VLOOKUP(Envoltória!J58,Componentes!B:E,4,FALSE),0))</f>
        <v>0.39600000000000002</v>
      </c>
      <c r="R50" s="416">
        <f>IF(B50=0,"",IFERROR(VLOOKUP(Envoltória!K58,Componentes!G:I,2,FALSE),""))</f>
        <v>2.39</v>
      </c>
      <c r="S50" s="416">
        <f>IF(B50=0,"",IFERROR(VLOOKUP(Envoltória!K58,Componentes!G:I,3,FALSE),""))</f>
        <v>150</v>
      </c>
      <c r="T50" s="430">
        <f>IF(B50=0,"",IFERROR(IF(H50&lt;&gt;0,VLOOKUP(Envoltória!N58,Componentes!T:V,3,FALSE),0),""))</f>
        <v>0</v>
      </c>
      <c r="U50" s="430">
        <f>IF(B50=0,"",IFERROR(IF(H50&lt;&gt;0,VLOOKUP(Envoltória!N58,Componentes!T:V,2,FALSE),0),""))</f>
        <v>0</v>
      </c>
      <c r="V50" s="416">
        <f>IF(B50=0,"",IFERROR(IF(AA50&lt;&gt;0,VLOOKUP(Envoltória!U58,Componentes!X:Z,2,FALSE),0),0))</f>
        <v>0</v>
      </c>
      <c r="W50" s="416">
        <f>IF(B50=0,"",IFERROR(IF(AA50&lt;&gt;0,VLOOKUP(Envoltória!U58,Componentes!X:Z,3,FALSE),0),0))</f>
        <v>0</v>
      </c>
      <c r="X50" s="430">
        <f>IF(B50=0,"",Envoltória!U58)</f>
        <v>0.1</v>
      </c>
      <c r="Y50" s="430">
        <f>IF(B50=0,"",Envoltória!S58)</f>
        <v>15.45</v>
      </c>
      <c r="Z50" s="430">
        <f>IF(B50=0,"",Envoltória!T58)</f>
        <v>15</v>
      </c>
      <c r="AA50" s="416">
        <f>IF(B50=0,"",Envoltória!Q58/100)</f>
        <v>0</v>
      </c>
      <c r="AB50" s="434">
        <f>IF($B50=0,"",VLOOKUP(Aux_Lista!$DR$2,Aux_Clima!$A:$O,AB$8,FALSE))</f>
        <v>-7.02</v>
      </c>
      <c r="AC50" s="434">
        <f>IF($B50=0,"",VLOOKUP(Aux_Lista!$DR$2,Aux_Clima!$A:$O,AC$8,FALSE))</f>
        <v>249</v>
      </c>
      <c r="AD50" s="434">
        <f>IF($B50=0,"",ROUND(VLOOKUP(Aux_Lista!$DR$2,Aux_Clima!$A:$O,AD$8,FALSE),8))</f>
        <v>27.24</v>
      </c>
      <c r="AE50" s="434">
        <f>IF($B50=0,"",ROUND(VLOOKUP(Aux_Lista!$DR$2,Aux_Clima!$A:$O,AE$8,FALSE),8))</f>
        <v>24.17</v>
      </c>
      <c r="AF50" s="434">
        <f>IF($B50=0,"",ROUND(VLOOKUP(Aux_Lista!$DR$2,Aux_Clima!$A:$O,AF$8,FALSE),8))</f>
        <v>30.311666670000001</v>
      </c>
      <c r="AG50" s="434">
        <f>IF($B50=0,"",ROUND(VLOOKUP(Aux_Lista!$DR$2,Aux_Clima!$A:$O,AG$8,FALSE),8))</f>
        <v>2.8624999999999998</v>
      </c>
      <c r="AH50" s="434">
        <f>IF($B50=0,"",ROUND(VLOOKUP(Aux_Lista!$DR$2,Aux_Clima!$A:$O,AH$8,FALSE),8))</f>
        <v>1.8233333300000001</v>
      </c>
      <c r="AI50" s="434">
        <f>IF($B50=0,"",ROUND(VLOOKUP(Aux_Lista!$DR$2,Aux_Clima!$A:$O,AI$8,FALSE),8))</f>
        <v>3.8433333300000001</v>
      </c>
      <c r="AJ50" s="434">
        <f>IF($B50=0,"",ROUND(VLOOKUP(Aux_Lista!$DR$2,Aux_Clima!$A:$O,AJ$8,FALSE),3))</f>
        <v>6082.0829999999996</v>
      </c>
      <c r="AK50" s="434">
        <f>IF($B50=0,"",ROUND(VLOOKUP(Aux_Lista!$DR$2,Aux_Clima!$A:$O,AK$8,FALSE),3))</f>
        <v>5588.8329999999996</v>
      </c>
      <c r="AL50" s="434">
        <f>IF($B50=0,"",ROUND(VLOOKUP(Aux_Lista!$DR$2,Aux_Clima!$A:$O,AL$8,FALSE),3))</f>
        <v>6759.9380000000001</v>
      </c>
      <c r="AM50" s="434">
        <f>IF($B50=0,"",ROUND(VLOOKUP(Aux_Lista!$DR$2,Aux_Clima!$A:$O,AM$8,FALSE),8))</f>
        <v>18.44083333</v>
      </c>
      <c r="AN50" s="434">
        <f>IF($B50=0,"",ROUND(VLOOKUP(Aux_Lista!$DR$2,Aux_Clima!$A:$O,AN$8,FALSE),8))</f>
        <v>17.19166667</v>
      </c>
      <c r="AO50" s="434">
        <f>IF($B50=0,"",ROUND(VLOOKUP(Aux_Lista!$DR$2,Aux_Clima!$A:$O,AO$8,FALSE),8))</f>
        <v>19.883333329999999</v>
      </c>
      <c r="AP50" s="430">
        <f>IF(B50=0,"",IF(BF50=0,84,VLOOKUP(Envoltória!N58,Componentes!AV:AY,4,FALSE)))</f>
        <v>0</v>
      </c>
      <c r="AQ50" s="430">
        <f>IF(B50=0,"",IF(BF50=0,90,VLOOKUP(Envoltória!N58,Componentes!AV:AY,3,FALSE)))</f>
        <v>0</v>
      </c>
      <c r="AR50" s="430">
        <f t="shared" si="4"/>
        <v>1</v>
      </c>
      <c r="AS50" s="430">
        <f t="shared" si="4"/>
        <v>0</v>
      </c>
      <c r="AT50" s="430">
        <f t="shared" si="4"/>
        <v>0</v>
      </c>
      <c r="AU50" s="430">
        <f t="shared" si="4"/>
        <v>0</v>
      </c>
      <c r="AV50" s="430">
        <f t="shared" si="4"/>
        <v>0</v>
      </c>
      <c r="AW50" s="416">
        <f>IF($B50=0,"",IFERROR(VLOOKUP(Envoltória!$B58,Aux_Lista!$O:$U,AW$9,FALSE),0))</f>
        <v>1</v>
      </c>
      <c r="AX50" s="416">
        <f>IF($B50=0,"",IFERROR(VLOOKUP(Envoltória!$B58,Aux_Lista!$O:$U,AX$9,FALSE),0))</f>
        <v>0</v>
      </c>
      <c r="AY50" s="416">
        <f>IF($B50=0,"",IFERROR(VLOOKUP(Envoltória!$B58,Aux_Lista!$O:$U,AY$9,FALSE),0))</f>
        <v>1</v>
      </c>
      <c r="AZ50" s="416">
        <f>IF($B50=0,"",IFERROR(VLOOKUP(Envoltória!$B58,Aux_Lista!$O:$U,AZ$9,FALSE),0))</f>
        <v>0</v>
      </c>
      <c r="BA50" s="416">
        <f>IF($B50=0,"",IFERROR(VLOOKUP(Envoltória!$B58,Aux_Lista!$O:$U,BA$9,FALSE),0))</f>
        <v>0</v>
      </c>
      <c r="BB50" s="416">
        <f>IF($B50=0,"",IFERROR(VLOOKUP(Envoltória!$B58,Aux_Lista!$O:$U,BB$9,FALSE),0))</f>
        <v>1</v>
      </c>
      <c r="BC50" s="416">
        <f>IFERROR(VLOOKUP(Envoltória!$H58,Aux_Lista!$W$2:$Y$3,BC$9,FALSE),"")</f>
        <v>1</v>
      </c>
      <c r="BD50" s="416">
        <f>IFERROR(VLOOKUP(Envoltória!$H58,Aux_Lista!$W$2:$Y$3,BD$9,FALSE),"")</f>
        <v>0</v>
      </c>
      <c r="BE50" s="430">
        <f t="shared" si="1"/>
        <v>0</v>
      </c>
      <c r="BF50" s="430">
        <f>IF(B50=0,"",IF(Envoltória!F58="Perimetral",1,0))</f>
        <v>1</v>
      </c>
      <c r="BG50" s="430">
        <f>IFERROR(VLOOKUP(Envoltória!$G58,$BQ$35:$BZ$43,BG$9,FALSE),"")</f>
        <v>0</v>
      </c>
      <c r="BH50" s="430">
        <f>IFERROR(VLOOKUP(Envoltória!$G58,$BQ$35:$BZ$43,BH$9,FALSE),"")</f>
        <v>0</v>
      </c>
      <c r="BI50" s="430">
        <f>IFERROR(VLOOKUP(Envoltória!$G58,$BQ$35:$BZ$43,BI$9,FALSE),"")</f>
        <v>0</v>
      </c>
      <c r="BJ50" s="430">
        <f>IFERROR(VLOOKUP(Envoltória!$G58,$BQ$35:$BZ$43,BJ$9,FALSE),"")</f>
        <v>0</v>
      </c>
      <c r="BK50" s="430">
        <f>IFERROR(VLOOKUP(Envoltória!$G58,$BQ$35:$BZ$43,BK$9,FALSE),"")</f>
        <v>0</v>
      </c>
      <c r="BL50" s="430">
        <f>IFERROR(VLOOKUP(Envoltória!$G58,$BQ$35:$BZ$43,BL$9,FALSE),"")</f>
        <v>0</v>
      </c>
      <c r="BM50" s="430">
        <f>IFERROR(VLOOKUP(Envoltória!$G58,$BQ$35:$BZ$43,BM$9,FALSE),"")</f>
        <v>0</v>
      </c>
      <c r="BN50" s="430">
        <f>IFERROR(VLOOKUP(Envoltória!$G58,$BQ$35:$BZ$43,BN$9,FALSE),"")</f>
        <v>0</v>
      </c>
      <c r="BO50" s="430">
        <f>IFERROR(VLOOKUP(Envoltória!$G58,$BQ$35:$BZ$43,BO$9,FALSE),"")</f>
        <v>1</v>
      </c>
      <c r="BP50" s="2"/>
    </row>
    <row r="51" spans="1:68" s="13" customFormat="1" x14ac:dyDescent="0.25">
      <c r="A51" s="2">
        <v>41</v>
      </c>
      <c r="B51" s="410" t="str">
        <f>Envoltória!I59</f>
        <v>Escritórios</v>
      </c>
      <c r="C51" s="410" t="str">
        <f>Envoltória!B59</f>
        <v>Cobertura</v>
      </c>
      <c r="D51" s="410" t="str">
        <f>Envoltória!C59</f>
        <v>Zi5</v>
      </c>
      <c r="E51" s="410">
        <f>Envoltória!D59</f>
        <v>318.39</v>
      </c>
      <c r="F51" s="430">
        <f>IF(B51=0,"",Envoltória!E59)</f>
        <v>3</v>
      </c>
      <c r="G51" s="430">
        <f t="shared" si="2"/>
        <v>17.843486206456404</v>
      </c>
      <c r="H51" s="430">
        <f>IF(B51=0,"",Envoltória!O59/100)</f>
        <v>0</v>
      </c>
      <c r="I51" s="430">
        <f>IF(B51=0,"",IF(BF51=1,VLOOKUP(Envoltória!N59,Componentes!AV:AY,2,FALSE),89))</f>
        <v>89</v>
      </c>
      <c r="J51" s="416">
        <f>IF(B51=0,"",IFERROR(VLOOKUP(Envoltória!M59,Componentes!$P:$R,2,FALSE),""))</f>
        <v>2.06</v>
      </c>
      <c r="K51" s="416">
        <f>IF(B51=0,"",IFERROR(VLOOKUP(Envoltória!M59,Componentes!$P:$R,3,FALSE),""))</f>
        <v>233</v>
      </c>
      <c r="L51" s="431">
        <f>IF(B51=0,"",IFERROR(IF(BB51&lt;&gt;0,VLOOKUP(Envoltória!L59,Componentes!K:N,2,FALSE),0),""))</f>
        <v>0.55139700000000003</v>
      </c>
      <c r="M51" s="431">
        <f>IF(B51=0,"",IFERROR(IF(BB51&lt;&gt;0,VLOOKUP(Envoltória!L59,Componentes!K:N,3,FALSE),0),""))</f>
        <v>145</v>
      </c>
      <c r="N51" s="431">
        <f>IF(B51=0,"",IFERROR(IF(BB51&lt;&gt;0,VLOOKUP(Envoltória!L59,Componentes!K:N,4,FALSE),0),""))</f>
        <v>0.25</v>
      </c>
      <c r="O51" s="430">
        <f>IF(B51=0,"",IF(BF51=1,VLOOKUP(Envoltória!J59,Componentes!B:E,2,FALSE),-6))</f>
        <v>-6</v>
      </c>
      <c r="P51" s="430">
        <f>IF(B51=0,"",IF(BF51=1,VLOOKUP(Envoltória!J59,Componentes!B:E,3,FALSE),-400))</f>
        <v>-400</v>
      </c>
      <c r="Q51" s="430">
        <f>IF(B51=0,"",IF(BF51=1,VLOOKUP(Envoltória!J59,Componentes!B:E,4,FALSE),0))</f>
        <v>0</v>
      </c>
      <c r="R51" s="416">
        <f>IF(B51=0,"",IFERROR(VLOOKUP(Envoltória!K59,Componentes!G:I,2,FALSE),""))</f>
        <v>2.39</v>
      </c>
      <c r="S51" s="416">
        <f>IF(B51=0,"",IFERROR(VLOOKUP(Envoltória!K59,Componentes!G:I,3,FALSE),""))</f>
        <v>150</v>
      </c>
      <c r="T51" s="430">
        <f>IF(B51=0,"",IFERROR(IF(H51&lt;&gt;0,VLOOKUP(Envoltória!N59,Componentes!T:V,3,FALSE),0),""))</f>
        <v>0</v>
      </c>
      <c r="U51" s="430">
        <f>IF(B51=0,"",IFERROR(IF(H51&lt;&gt;0,VLOOKUP(Envoltória!N59,Componentes!T:V,2,FALSE),0),""))</f>
        <v>0</v>
      </c>
      <c r="V51" s="416">
        <f>IF(B51=0,"",IFERROR(IF(AA51&lt;&gt;0,VLOOKUP(Envoltória!U59,Componentes!X:Z,2,FALSE),0),0))</f>
        <v>0</v>
      </c>
      <c r="W51" s="416">
        <f>IF(B51=0,"",IFERROR(IF(AA51&lt;&gt;0,VLOOKUP(Envoltória!U59,Componentes!X:Z,3,FALSE),0),0))</f>
        <v>0</v>
      </c>
      <c r="X51" s="430">
        <f>IF(B51=0,"",Envoltória!U59)</f>
        <v>0.1</v>
      </c>
      <c r="Y51" s="430">
        <f>IF(B51=0,"",Envoltória!S59)</f>
        <v>15.45</v>
      </c>
      <c r="Z51" s="430">
        <f>IF(B51=0,"",Envoltória!T59)</f>
        <v>15</v>
      </c>
      <c r="AA51" s="416">
        <f>IF(B51=0,"",Envoltória!Q59/100)</f>
        <v>0</v>
      </c>
      <c r="AB51" s="434">
        <f>IF($B51=0,"",VLOOKUP(Aux_Lista!$DR$2,Aux_Clima!$A:$O,AB$8,FALSE))</f>
        <v>-7.02</v>
      </c>
      <c r="AC51" s="434">
        <f>IF($B51=0,"",VLOOKUP(Aux_Lista!$DR$2,Aux_Clima!$A:$O,AC$8,FALSE))</f>
        <v>249</v>
      </c>
      <c r="AD51" s="434">
        <f>IF($B51=0,"",ROUND(VLOOKUP(Aux_Lista!$DR$2,Aux_Clima!$A:$O,AD$8,FALSE),8))</f>
        <v>27.24</v>
      </c>
      <c r="AE51" s="434">
        <f>IF($B51=0,"",ROUND(VLOOKUP(Aux_Lista!$DR$2,Aux_Clima!$A:$O,AE$8,FALSE),8))</f>
        <v>24.17</v>
      </c>
      <c r="AF51" s="434">
        <f>IF($B51=0,"",ROUND(VLOOKUP(Aux_Lista!$DR$2,Aux_Clima!$A:$O,AF$8,FALSE),8))</f>
        <v>30.311666670000001</v>
      </c>
      <c r="AG51" s="434">
        <f>IF($B51=0,"",ROUND(VLOOKUP(Aux_Lista!$DR$2,Aux_Clima!$A:$O,AG$8,FALSE),8))</f>
        <v>2.8624999999999998</v>
      </c>
      <c r="AH51" s="434">
        <f>IF($B51=0,"",ROUND(VLOOKUP(Aux_Lista!$DR$2,Aux_Clima!$A:$O,AH$8,FALSE),8))</f>
        <v>1.8233333300000001</v>
      </c>
      <c r="AI51" s="434">
        <f>IF($B51=0,"",ROUND(VLOOKUP(Aux_Lista!$DR$2,Aux_Clima!$A:$O,AI$8,FALSE),8))</f>
        <v>3.8433333300000001</v>
      </c>
      <c r="AJ51" s="434">
        <f>IF($B51=0,"",ROUND(VLOOKUP(Aux_Lista!$DR$2,Aux_Clima!$A:$O,AJ$8,FALSE),3))</f>
        <v>6082.0829999999996</v>
      </c>
      <c r="AK51" s="434">
        <f>IF($B51=0,"",ROUND(VLOOKUP(Aux_Lista!$DR$2,Aux_Clima!$A:$O,AK$8,FALSE),3))</f>
        <v>5588.8329999999996</v>
      </c>
      <c r="AL51" s="434">
        <f>IF($B51=0,"",ROUND(VLOOKUP(Aux_Lista!$DR$2,Aux_Clima!$A:$O,AL$8,FALSE),3))</f>
        <v>6759.9380000000001</v>
      </c>
      <c r="AM51" s="434">
        <f>IF($B51=0,"",ROUND(VLOOKUP(Aux_Lista!$DR$2,Aux_Clima!$A:$O,AM$8,FALSE),8))</f>
        <v>18.44083333</v>
      </c>
      <c r="AN51" s="434">
        <f>IF($B51=0,"",ROUND(VLOOKUP(Aux_Lista!$DR$2,Aux_Clima!$A:$O,AN$8,FALSE),8))</f>
        <v>17.19166667</v>
      </c>
      <c r="AO51" s="434">
        <f>IF($B51=0,"",ROUND(VLOOKUP(Aux_Lista!$DR$2,Aux_Clima!$A:$O,AO$8,FALSE),8))</f>
        <v>19.883333329999999</v>
      </c>
      <c r="AP51" s="430">
        <f>IF(B51=0,"",IF(BF51=0,84,VLOOKUP(Envoltória!N59,Componentes!AV:AY,4,FALSE)))</f>
        <v>84</v>
      </c>
      <c r="AQ51" s="430">
        <f>IF(B51=0,"",IF(BF51=0,90,VLOOKUP(Envoltória!N59,Componentes!AV:AY,3,FALSE)))</f>
        <v>90</v>
      </c>
      <c r="AR51" s="430">
        <f t="shared" si="4"/>
        <v>1</v>
      </c>
      <c r="AS51" s="430">
        <f t="shared" si="4"/>
        <v>0</v>
      </c>
      <c r="AT51" s="430">
        <f t="shared" si="4"/>
        <v>0</v>
      </c>
      <c r="AU51" s="430">
        <f t="shared" si="4"/>
        <v>0</v>
      </c>
      <c r="AV51" s="430">
        <f t="shared" si="4"/>
        <v>0</v>
      </c>
      <c r="AW51" s="416">
        <f>IF($B51=0,"",IFERROR(VLOOKUP(Envoltória!$B59,Aux_Lista!$O:$U,AW$9,FALSE),0))</f>
        <v>1</v>
      </c>
      <c r="AX51" s="416">
        <f>IF($B51=0,"",IFERROR(VLOOKUP(Envoltória!$B59,Aux_Lista!$O:$U,AX$9,FALSE),0))</f>
        <v>0</v>
      </c>
      <c r="AY51" s="416">
        <f>IF($B51=0,"",IFERROR(VLOOKUP(Envoltória!$B59,Aux_Lista!$O:$U,AY$9,FALSE),0))</f>
        <v>1</v>
      </c>
      <c r="AZ51" s="416">
        <f>IF($B51=0,"",IFERROR(VLOOKUP(Envoltória!$B59,Aux_Lista!$O:$U,AZ$9,FALSE),0))</f>
        <v>0</v>
      </c>
      <c r="BA51" s="416">
        <f>IF($B51=0,"",IFERROR(VLOOKUP(Envoltória!$B59,Aux_Lista!$O:$U,BA$9,FALSE),0))</f>
        <v>0</v>
      </c>
      <c r="BB51" s="416">
        <f>IF($B51=0,"",IFERROR(VLOOKUP(Envoltória!$B59,Aux_Lista!$O:$U,BB$9,FALSE),0))</f>
        <v>1</v>
      </c>
      <c r="BC51" s="416">
        <f>IFERROR(VLOOKUP(Envoltória!$H59,Aux_Lista!$W$2:$Y$3,BC$9,FALSE),"")</f>
        <v>1</v>
      </c>
      <c r="BD51" s="416">
        <f>IFERROR(VLOOKUP(Envoltória!$H59,Aux_Lista!$W$2:$Y$3,BD$9,FALSE),"")</f>
        <v>0</v>
      </c>
      <c r="BE51" s="430">
        <f t="shared" si="1"/>
        <v>1</v>
      </c>
      <c r="BF51" s="430">
        <f>IF(B51=0,"",IF(Envoltória!F59="Perimetral",1,0))</f>
        <v>0</v>
      </c>
      <c r="BG51" s="430">
        <f>IFERROR(VLOOKUP(Envoltória!$G59,$BQ$35:$BZ$43,BG$9,FALSE),"")</f>
        <v>1</v>
      </c>
      <c r="BH51" s="430">
        <f>IFERROR(VLOOKUP(Envoltória!$G59,$BQ$35:$BZ$43,BH$9,FALSE),"")</f>
        <v>0</v>
      </c>
      <c r="BI51" s="430">
        <f>IFERROR(VLOOKUP(Envoltória!$G59,$BQ$35:$BZ$43,BI$9,FALSE),"")</f>
        <v>0</v>
      </c>
      <c r="BJ51" s="430">
        <f>IFERROR(VLOOKUP(Envoltória!$G59,$BQ$35:$BZ$43,BJ$9,FALSE),"")</f>
        <v>0</v>
      </c>
      <c r="BK51" s="430">
        <f>IFERROR(VLOOKUP(Envoltória!$G59,$BQ$35:$BZ$43,BK$9,FALSE),"")</f>
        <v>0</v>
      </c>
      <c r="BL51" s="430">
        <f>IFERROR(VLOOKUP(Envoltória!$G59,$BQ$35:$BZ$43,BL$9,FALSE),"")</f>
        <v>0</v>
      </c>
      <c r="BM51" s="430">
        <f>IFERROR(VLOOKUP(Envoltória!$G59,$BQ$35:$BZ$43,BM$9,FALSE),"")</f>
        <v>0</v>
      </c>
      <c r="BN51" s="430">
        <f>IFERROR(VLOOKUP(Envoltória!$G59,$BQ$35:$BZ$43,BN$9,FALSE),"")</f>
        <v>0</v>
      </c>
      <c r="BO51" s="430">
        <f>IFERROR(VLOOKUP(Envoltória!$G59,$BQ$35:$BZ$43,BO$9,FALSE),"")</f>
        <v>0</v>
      </c>
      <c r="BP51" s="2"/>
    </row>
    <row r="52" spans="1:68" s="13" customFormat="1" x14ac:dyDescent="0.25">
      <c r="A52" s="2">
        <v>42</v>
      </c>
      <c r="B52" s="410">
        <f>Envoltória!I60</f>
        <v>0</v>
      </c>
      <c r="C52" s="410">
        <f>Envoltória!B60</f>
        <v>0</v>
      </c>
      <c r="D52" s="410">
        <f>Envoltória!C60</f>
        <v>0</v>
      </c>
      <c r="E52" s="410">
        <f>Envoltória!D60</f>
        <v>0</v>
      </c>
      <c r="F52" s="430" t="str">
        <f>IF(B52=0,"",Envoltória!E60)</f>
        <v/>
      </c>
      <c r="G52" s="430" t="str">
        <f t="shared" si="2"/>
        <v/>
      </c>
      <c r="H52" s="430" t="str">
        <f>IF(B52=0,"",Envoltória!O60/100)</f>
        <v/>
      </c>
      <c r="I52" s="430" t="str">
        <f>IF(B52=0,"",IF(BF52=1,VLOOKUP(Envoltória!N60,Componentes!AV:AY,2,FALSE),89))</f>
        <v/>
      </c>
      <c r="J52" s="416" t="str">
        <f>IF(B52=0,"",IFERROR(VLOOKUP(Envoltória!M60,Componentes!$P:$R,2,FALSE),""))</f>
        <v/>
      </c>
      <c r="K52" s="416" t="str">
        <f>IF(B52=0,"",IFERROR(VLOOKUP(Envoltória!M60,Componentes!$P:$R,3,FALSE),""))</f>
        <v/>
      </c>
      <c r="L52" s="431" t="str">
        <f>IF(B52=0,"",IFERROR(IF(BB52&lt;&gt;0,VLOOKUP(Envoltória!L60,Componentes!K:N,2,FALSE),0),""))</f>
        <v/>
      </c>
      <c r="M52" s="431" t="str">
        <f>IF(B52=0,"",IFERROR(IF(BB52&lt;&gt;0,VLOOKUP(Envoltória!L60,Componentes!K:N,3,FALSE),0),""))</f>
        <v/>
      </c>
      <c r="N52" s="431" t="str">
        <f>IF(B52=0,"",IFERROR(IF(BB52&lt;&gt;0,VLOOKUP(Envoltória!L60,Componentes!K:N,4,FALSE),0),""))</f>
        <v/>
      </c>
      <c r="O52" s="430" t="str">
        <f>IF(B52=0,"",IF(BF52=1,VLOOKUP(Envoltória!J60,Componentes!B:E,2,FALSE),-6))</f>
        <v/>
      </c>
      <c r="P52" s="430" t="str">
        <f>IF(B52=0,"",IF(BF52=1,VLOOKUP(Envoltória!J60,Componentes!B:E,3,FALSE),-400))</f>
        <v/>
      </c>
      <c r="Q52" s="430" t="str">
        <f>IF(B52=0,"",IF(BF52=1,VLOOKUP(Envoltória!J60,Componentes!B:E,4,FALSE),0))</f>
        <v/>
      </c>
      <c r="R52" s="416" t="str">
        <f>IF(B52=0,"",IFERROR(VLOOKUP(Envoltória!K60,Componentes!G:I,2,FALSE),""))</f>
        <v/>
      </c>
      <c r="S52" s="416" t="str">
        <f>IF(B52=0,"",IFERROR(VLOOKUP(Envoltória!K60,Componentes!G:I,3,FALSE),""))</f>
        <v/>
      </c>
      <c r="T52" s="430" t="str">
        <f>IF(B52=0,"",IFERROR(IF(H52&lt;&gt;0,VLOOKUP(Envoltória!N60,Componentes!T:V,3,FALSE),0),""))</f>
        <v/>
      </c>
      <c r="U52" s="430" t="str">
        <f>IF(B52=0,"",IFERROR(IF(H52&lt;&gt;0,VLOOKUP(Envoltória!N60,Componentes!T:V,2,FALSE),0),""))</f>
        <v/>
      </c>
      <c r="V52" s="416" t="str">
        <f>IF(B52=0,"",IFERROR(IF(AA52&lt;&gt;0,VLOOKUP(Envoltória!U60,Componentes!X:Z,2,FALSE),0),0))</f>
        <v/>
      </c>
      <c r="W52" s="416" t="str">
        <f>IF(B52=0,"",IFERROR(IF(AA52&lt;&gt;0,VLOOKUP(Envoltória!U60,Componentes!X:Z,3,FALSE),0),0))</f>
        <v/>
      </c>
      <c r="X52" s="430" t="str">
        <f>IF(B52=0,"",Envoltória!U60)</f>
        <v/>
      </c>
      <c r="Y52" s="430" t="str">
        <f>IF(B52=0,"",Envoltória!S60)</f>
        <v/>
      </c>
      <c r="Z52" s="430" t="str">
        <f>IF(B52=0,"",Envoltória!T60)</f>
        <v/>
      </c>
      <c r="AA52" s="416" t="str">
        <f>IF(B52=0,"",Envoltória!Q60/100)</f>
        <v/>
      </c>
      <c r="AB52" s="434" t="str">
        <f>IF($B52=0,"",VLOOKUP(Aux_Lista!$DR$2,Aux_Clima!$A:$O,AB$8,FALSE))</f>
        <v/>
      </c>
      <c r="AC52" s="434" t="str">
        <f>IF($B52=0,"",VLOOKUP(Aux_Lista!$DR$2,Aux_Clima!$A:$O,AC$8,FALSE))</f>
        <v/>
      </c>
      <c r="AD52" s="434" t="str">
        <f>IF($B52=0,"",ROUND(VLOOKUP(Aux_Lista!$DR$2,Aux_Clima!$A:$O,AD$8,FALSE),8))</f>
        <v/>
      </c>
      <c r="AE52" s="434" t="str">
        <f>IF($B52=0,"",ROUND(VLOOKUP(Aux_Lista!$DR$2,Aux_Clima!$A:$O,AE$8,FALSE),8))</f>
        <v/>
      </c>
      <c r="AF52" s="434" t="str">
        <f>IF($B52=0,"",ROUND(VLOOKUP(Aux_Lista!$DR$2,Aux_Clima!$A:$O,AF$8,FALSE),8))</f>
        <v/>
      </c>
      <c r="AG52" s="434" t="str">
        <f>IF($B52=0,"",ROUND(VLOOKUP(Aux_Lista!$DR$2,Aux_Clima!$A:$O,AG$8,FALSE),8))</f>
        <v/>
      </c>
      <c r="AH52" s="434" t="str">
        <f>IF($B52=0,"",ROUND(VLOOKUP(Aux_Lista!$DR$2,Aux_Clima!$A:$O,AH$8,FALSE),8))</f>
        <v/>
      </c>
      <c r="AI52" s="434" t="str">
        <f>IF($B52=0,"",ROUND(VLOOKUP(Aux_Lista!$DR$2,Aux_Clima!$A:$O,AI$8,FALSE),8))</f>
        <v/>
      </c>
      <c r="AJ52" s="434" t="str">
        <f>IF($B52=0,"",ROUND(VLOOKUP(Aux_Lista!$DR$2,Aux_Clima!$A:$O,AJ$8,FALSE),3))</f>
        <v/>
      </c>
      <c r="AK52" s="434" t="str">
        <f>IF($B52=0,"",ROUND(VLOOKUP(Aux_Lista!$DR$2,Aux_Clima!$A:$O,AK$8,FALSE),3))</f>
        <v/>
      </c>
      <c r="AL52" s="434" t="str">
        <f>IF($B52=0,"",ROUND(VLOOKUP(Aux_Lista!$DR$2,Aux_Clima!$A:$O,AL$8,FALSE),3))</f>
        <v/>
      </c>
      <c r="AM52" s="434" t="str">
        <f>IF($B52=0,"",ROUND(VLOOKUP(Aux_Lista!$DR$2,Aux_Clima!$A:$O,AM$8,FALSE),8))</f>
        <v/>
      </c>
      <c r="AN52" s="434" t="str">
        <f>IF($B52=0,"",ROUND(VLOOKUP(Aux_Lista!$DR$2,Aux_Clima!$A:$O,AN$8,FALSE),8))</f>
        <v/>
      </c>
      <c r="AO52" s="434" t="str">
        <f>IF($B52=0,"",ROUND(VLOOKUP(Aux_Lista!$DR$2,Aux_Clima!$A:$O,AO$8,FALSE),8))</f>
        <v/>
      </c>
      <c r="AP52" s="430" t="str">
        <f>IF(B52=0,"",IF(BF52=0,84,VLOOKUP(Envoltória!N60,Componentes!AV:AY,4,FALSE)))</f>
        <v/>
      </c>
      <c r="AQ52" s="430" t="str">
        <f>IF(B52=0,"",IF(BF52=0,90,VLOOKUP(Envoltória!N60,Componentes!AV:AY,3,FALSE)))</f>
        <v/>
      </c>
      <c r="AR52" s="430" t="str">
        <f t="shared" si="4"/>
        <v/>
      </c>
      <c r="AS52" s="430" t="str">
        <f t="shared" si="4"/>
        <v/>
      </c>
      <c r="AT52" s="430" t="str">
        <f t="shared" si="4"/>
        <v/>
      </c>
      <c r="AU52" s="430" t="str">
        <f t="shared" si="4"/>
        <v/>
      </c>
      <c r="AV52" s="430" t="str">
        <f t="shared" si="4"/>
        <v/>
      </c>
      <c r="AW52" s="416" t="str">
        <f>IF($B52=0,"",IFERROR(VLOOKUP(Envoltória!$B60,Aux_Lista!$O:$U,AW$9,FALSE),0))</f>
        <v/>
      </c>
      <c r="AX52" s="416" t="str">
        <f>IF($B52=0,"",IFERROR(VLOOKUP(Envoltória!$B60,Aux_Lista!$O:$U,AX$9,FALSE),0))</f>
        <v/>
      </c>
      <c r="AY52" s="416" t="str">
        <f>IF($B52=0,"",IFERROR(VLOOKUP(Envoltória!$B60,Aux_Lista!$O:$U,AY$9,FALSE),0))</f>
        <v/>
      </c>
      <c r="AZ52" s="416" t="str">
        <f>IF($B52=0,"",IFERROR(VLOOKUP(Envoltória!$B60,Aux_Lista!$O:$U,AZ$9,FALSE),0))</f>
        <v/>
      </c>
      <c r="BA52" s="416" t="str">
        <f>IF($B52=0,"",IFERROR(VLOOKUP(Envoltória!$B60,Aux_Lista!$O:$U,BA$9,FALSE),0))</f>
        <v/>
      </c>
      <c r="BB52" s="416" t="str">
        <f>IF($B52=0,"",IFERROR(VLOOKUP(Envoltória!$B60,Aux_Lista!$O:$U,BB$9,FALSE),0))</f>
        <v/>
      </c>
      <c r="BC52" s="416" t="str">
        <f>IFERROR(VLOOKUP(Envoltória!$H60,Aux_Lista!$W$2:$Y$3,BC$9,FALSE),"")</f>
        <v/>
      </c>
      <c r="BD52" s="416" t="str">
        <f>IFERROR(VLOOKUP(Envoltória!$H60,Aux_Lista!$W$2:$Y$3,BD$9,FALSE),"")</f>
        <v/>
      </c>
      <c r="BE52" s="430" t="str">
        <f t="shared" si="1"/>
        <v/>
      </c>
      <c r="BF52" s="430" t="str">
        <f>IF(B52=0,"",IF(Envoltória!F60="Perimetral",1,0))</f>
        <v/>
      </c>
      <c r="BG52" s="430" t="str">
        <f>IFERROR(VLOOKUP(Envoltória!$G60,$BQ$35:$BZ$43,BG$9,FALSE),"")</f>
        <v/>
      </c>
      <c r="BH52" s="430" t="str">
        <f>IFERROR(VLOOKUP(Envoltória!$G60,$BQ$35:$BZ$43,BH$9,FALSE),"")</f>
        <v/>
      </c>
      <c r="BI52" s="430" t="str">
        <f>IFERROR(VLOOKUP(Envoltória!$G60,$BQ$35:$BZ$43,BI$9,FALSE),"")</f>
        <v/>
      </c>
      <c r="BJ52" s="430" t="str">
        <f>IFERROR(VLOOKUP(Envoltória!$G60,$BQ$35:$BZ$43,BJ$9,FALSE),"")</f>
        <v/>
      </c>
      <c r="BK52" s="430" t="str">
        <f>IFERROR(VLOOKUP(Envoltória!$G60,$BQ$35:$BZ$43,BK$9,FALSE),"")</f>
        <v/>
      </c>
      <c r="BL52" s="430" t="str">
        <f>IFERROR(VLOOKUP(Envoltória!$G60,$BQ$35:$BZ$43,BL$9,FALSE),"")</f>
        <v/>
      </c>
      <c r="BM52" s="430" t="str">
        <f>IFERROR(VLOOKUP(Envoltória!$G60,$BQ$35:$BZ$43,BM$9,FALSE),"")</f>
        <v/>
      </c>
      <c r="BN52" s="430" t="str">
        <f>IFERROR(VLOOKUP(Envoltória!$G60,$BQ$35:$BZ$43,BN$9,FALSE),"")</f>
        <v/>
      </c>
      <c r="BO52" s="430" t="str">
        <f>IFERROR(VLOOKUP(Envoltória!$G60,$BQ$35:$BZ$43,BO$9,FALSE),"")</f>
        <v/>
      </c>
      <c r="BP52" s="2"/>
    </row>
    <row r="53" spans="1:68" s="13" customFormat="1" x14ac:dyDescent="0.25">
      <c r="A53" s="2">
        <v>43</v>
      </c>
      <c r="B53" s="410">
        <f>Envoltória!I61</f>
        <v>0</v>
      </c>
      <c r="C53" s="410">
        <f>Envoltória!B61</f>
        <v>0</v>
      </c>
      <c r="D53" s="410">
        <f>Envoltória!C61</f>
        <v>0</v>
      </c>
      <c r="E53" s="410">
        <f>Envoltória!D61</f>
        <v>0</v>
      </c>
      <c r="F53" s="430" t="str">
        <f>IF(B53=0,"",Envoltória!E61)</f>
        <v/>
      </c>
      <c r="G53" s="430" t="str">
        <f t="shared" si="2"/>
        <v/>
      </c>
      <c r="H53" s="430" t="str">
        <f>IF(B53=0,"",Envoltória!O61/100)</f>
        <v/>
      </c>
      <c r="I53" s="430" t="str">
        <f>IF(B53=0,"",IF(BF53=1,VLOOKUP(Envoltória!N61,Componentes!AV:AY,2,FALSE),89))</f>
        <v/>
      </c>
      <c r="J53" s="416" t="str">
        <f>IF(B53=0,"",IFERROR(VLOOKUP(Envoltória!M61,Componentes!$P:$R,2,FALSE),""))</f>
        <v/>
      </c>
      <c r="K53" s="416" t="str">
        <f>IF(B53=0,"",IFERROR(VLOOKUP(Envoltória!M61,Componentes!$P:$R,3,FALSE),""))</f>
        <v/>
      </c>
      <c r="L53" s="431" t="str">
        <f>IF(B53=0,"",IFERROR(IF(BB53&lt;&gt;0,VLOOKUP(Envoltória!L61,Componentes!K:N,2,FALSE),0),""))</f>
        <v/>
      </c>
      <c r="M53" s="431" t="str">
        <f>IF(B53=0,"",IFERROR(IF(BB53&lt;&gt;0,VLOOKUP(Envoltória!L61,Componentes!K:N,3,FALSE),0),""))</f>
        <v/>
      </c>
      <c r="N53" s="431" t="str">
        <f>IF(B53=0,"",IFERROR(IF(BB53&lt;&gt;0,VLOOKUP(Envoltória!L61,Componentes!K:N,4,FALSE),0),""))</f>
        <v/>
      </c>
      <c r="O53" s="430" t="str">
        <f>IF(B53=0,"",IF(BF53=1,VLOOKUP(Envoltória!J61,Componentes!B:E,2,FALSE),-6))</f>
        <v/>
      </c>
      <c r="P53" s="430" t="str">
        <f>IF(B53=0,"",IF(BF53=1,VLOOKUP(Envoltória!J61,Componentes!B:E,3,FALSE),-400))</f>
        <v/>
      </c>
      <c r="Q53" s="430" t="str">
        <f>IF(B53=0,"",IF(BF53=1,VLOOKUP(Envoltória!J61,Componentes!B:E,4,FALSE),0))</f>
        <v/>
      </c>
      <c r="R53" s="416" t="str">
        <f>IF(B53=0,"",IFERROR(VLOOKUP(Envoltória!K61,Componentes!G:I,2,FALSE),""))</f>
        <v/>
      </c>
      <c r="S53" s="416" t="str">
        <f>IF(B53=0,"",IFERROR(VLOOKUP(Envoltória!K61,Componentes!G:I,3,FALSE),""))</f>
        <v/>
      </c>
      <c r="T53" s="430" t="str">
        <f>IF(B53=0,"",IFERROR(IF(H53&lt;&gt;0,VLOOKUP(Envoltória!N61,Componentes!T:V,3,FALSE),0),""))</f>
        <v/>
      </c>
      <c r="U53" s="430" t="str">
        <f>IF(B53=0,"",IFERROR(IF(H53&lt;&gt;0,VLOOKUP(Envoltória!N61,Componentes!T:V,2,FALSE),0),""))</f>
        <v/>
      </c>
      <c r="V53" s="416" t="str">
        <f>IF(B53=0,"",IFERROR(IF(AA53&lt;&gt;0,VLOOKUP(Envoltória!U61,Componentes!X:Z,2,FALSE),0),0))</f>
        <v/>
      </c>
      <c r="W53" s="416" t="str">
        <f>IF(B53=0,"",IFERROR(IF(AA53&lt;&gt;0,VLOOKUP(Envoltória!U61,Componentes!X:Z,3,FALSE),0),0))</f>
        <v/>
      </c>
      <c r="X53" s="430" t="str">
        <f>IF(B53=0,"",Envoltória!U61)</f>
        <v/>
      </c>
      <c r="Y53" s="430" t="str">
        <f>IF(B53=0,"",Envoltória!S61)</f>
        <v/>
      </c>
      <c r="Z53" s="430" t="str">
        <f>IF(B53=0,"",Envoltória!T61)</f>
        <v/>
      </c>
      <c r="AA53" s="416" t="str">
        <f>IF(B53=0,"",Envoltória!Q61/100)</f>
        <v/>
      </c>
      <c r="AB53" s="434" t="str">
        <f>IF($B53=0,"",VLOOKUP(Aux_Lista!$DR$2,Aux_Clima!$A:$O,AB$8,FALSE))</f>
        <v/>
      </c>
      <c r="AC53" s="434" t="str">
        <f>IF($B53=0,"",VLOOKUP(Aux_Lista!$DR$2,Aux_Clima!$A:$O,AC$8,FALSE))</f>
        <v/>
      </c>
      <c r="AD53" s="434" t="str">
        <f>IF($B53=0,"",ROUND(VLOOKUP(Aux_Lista!$DR$2,Aux_Clima!$A:$O,AD$8,FALSE),8))</f>
        <v/>
      </c>
      <c r="AE53" s="434" t="str">
        <f>IF($B53=0,"",ROUND(VLOOKUP(Aux_Lista!$DR$2,Aux_Clima!$A:$O,AE$8,FALSE),8))</f>
        <v/>
      </c>
      <c r="AF53" s="434" t="str">
        <f>IF($B53=0,"",ROUND(VLOOKUP(Aux_Lista!$DR$2,Aux_Clima!$A:$O,AF$8,FALSE),8))</f>
        <v/>
      </c>
      <c r="AG53" s="434" t="str">
        <f>IF($B53=0,"",ROUND(VLOOKUP(Aux_Lista!$DR$2,Aux_Clima!$A:$O,AG$8,FALSE),8))</f>
        <v/>
      </c>
      <c r="AH53" s="434" t="str">
        <f>IF($B53=0,"",ROUND(VLOOKUP(Aux_Lista!$DR$2,Aux_Clima!$A:$O,AH$8,FALSE),8))</f>
        <v/>
      </c>
      <c r="AI53" s="434" t="str">
        <f>IF($B53=0,"",ROUND(VLOOKUP(Aux_Lista!$DR$2,Aux_Clima!$A:$O,AI$8,FALSE),8))</f>
        <v/>
      </c>
      <c r="AJ53" s="434" t="str">
        <f>IF($B53=0,"",ROUND(VLOOKUP(Aux_Lista!$DR$2,Aux_Clima!$A:$O,AJ$8,FALSE),3))</f>
        <v/>
      </c>
      <c r="AK53" s="434" t="str">
        <f>IF($B53=0,"",ROUND(VLOOKUP(Aux_Lista!$DR$2,Aux_Clima!$A:$O,AK$8,FALSE),3))</f>
        <v/>
      </c>
      <c r="AL53" s="434" t="str">
        <f>IF($B53=0,"",ROUND(VLOOKUP(Aux_Lista!$DR$2,Aux_Clima!$A:$O,AL$8,FALSE),3))</f>
        <v/>
      </c>
      <c r="AM53" s="434" t="str">
        <f>IF($B53=0,"",ROUND(VLOOKUP(Aux_Lista!$DR$2,Aux_Clima!$A:$O,AM$8,FALSE),8))</f>
        <v/>
      </c>
      <c r="AN53" s="434" t="str">
        <f>IF($B53=0,"",ROUND(VLOOKUP(Aux_Lista!$DR$2,Aux_Clima!$A:$O,AN$8,FALSE),8))</f>
        <v/>
      </c>
      <c r="AO53" s="434" t="str">
        <f>IF($B53=0,"",ROUND(VLOOKUP(Aux_Lista!$DR$2,Aux_Clima!$A:$O,AO$8,FALSE),8))</f>
        <v/>
      </c>
      <c r="AP53" s="430" t="str">
        <f>IF(B53=0,"",IF(BF53=0,84,VLOOKUP(Envoltória!N61,Componentes!AV:AY,4,FALSE)))</f>
        <v/>
      </c>
      <c r="AQ53" s="430" t="str">
        <f>IF(B53=0,"",IF(BF53=0,90,VLOOKUP(Envoltória!N61,Componentes!AV:AY,3,FALSE)))</f>
        <v/>
      </c>
      <c r="AR53" s="430" t="str">
        <f t="shared" si="4"/>
        <v/>
      </c>
      <c r="AS53" s="430" t="str">
        <f t="shared" si="4"/>
        <v/>
      </c>
      <c r="AT53" s="430" t="str">
        <f t="shared" si="4"/>
        <v/>
      </c>
      <c r="AU53" s="430" t="str">
        <f t="shared" si="4"/>
        <v/>
      </c>
      <c r="AV53" s="430" t="str">
        <f t="shared" si="4"/>
        <v/>
      </c>
      <c r="AW53" s="416" t="str">
        <f>IF($B53=0,"",IFERROR(VLOOKUP(Envoltória!$B61,Aux_Lista!$O:$U,AW$9,FALSE),0))</f>
        <v/>
      </c>
      <c r="AX53" s="416" t="str">
        <f>IF($B53=0,"",IFERROR(VLOOKUP(Envoltória!$B61,Aux_Lista!$O:$U,AX$9,FALSE),0))</f>
        <v/>
      </c>
      <c r="AY53" s="416" t="str">
        <f>IF($B53=0,"",IFERROR(VLOOKUP(Envoltória!$B61,Aux_Lista!$O:$U,AY$9,FALSE),0))</f>
        <v/>
      </c>
      <c r="AZ53" s="416" t="str">
        <f>IF($B53=0,"",IFERROR(VLOOKUP(Envoltória!$B61,Aux_Lista!$O:$U,AZ$9,FALSE),0))</f>
        <v/>
      </c>
      <c r="BA53" s="416" t="str">
        <f>IF($B53=0,"",IFERROR(VLOOKUP(Envoltória!$B61,Aux_Lista!$O:$U,BA$9,FALSE),0))</f>
        <v/>
      </c>
      <c r="BB53" s="416" t="str">
        <f>IF($B53=0,"",IFERROR(VLOOKUP(Envoltória!$B61,Aux_Lista!$O:$U,BB$9,FALSE),0))</f>
        <v/>
      </c>
      <c r="BC53" s="416" t="str">
        <f>IFERROR(VLOOKUP(Envoltória!$H61,Aux_Lista!$W$2:$Y$3,BC$9,FALSE),"")</f>
        <v/>
      </c>
      <c r="BD53" s="416" t="str">
        <f>IFERROR(VLOOKUP(Envoltória!$H61,Aux_Lista!$W$2:$Y$3,BD$9,FALSE),"")</f>
        <v/>
      </c>
      <c r="BE53" s="430" t="str">
        <f t="shared" si="1"/>
        <v/>
      </c>
      <c r="BF53" s="430" t="str">
        <f>IF(B53=0,"",IF(Envoltória!F61="Perimetral",1,0))</f>
        <v/>
      </c>
      <c r="BG53" s="430" t="str">
        <f>IFERROR(VLOOKUP(Envoltória!$G61,$BQ$35:$BZ$43,BG$9,FALSE),"")</f>
        <v/>
      </c>
      <c r="BH53" s="430" t="str">
        <f>IFERROR(VLOOKUP(Envoltória!$G61,$BQ$35:$BZ$43,BH$9,FALSE),"")</f>
        <v/>
      </c>
      <c r="BI53" s="430" t="str">
        <f>IFERROR(VLOOKUP(Envoltória!$G61,$BQ$35:$BZ$43,BI$9,FALSE),"")</f>
        <v/>
      </c>
      <c r="BJ53" s="430" t="str">
        <f>IFERROR(VLOOKUP(Envoltória!$G61,$BQ$35:$BZ$43,BJ$9,FALSE),"")</f>
        <v/>
      </c>
      <c r="BK53" s="430" t="str">
        <f>IFERROR(VLOOKUP(Envoltória!$G61,$BQ$35:$BZ$43,BK$9,FALSE),"")</f>
        <v/>
      </c>
      <c r="BL53" s="430" t="str">
        <f>IFERROR(VLOOKUP(Envoltória!$G61,$BQ$35:$BZ$43,BL$9,FALSE),"")</f>
        <v/>
      </c>
      <c r="BM53" s="430" t="str">
        <f>IFERROR(VLOOKUP(Envoltória!$G61,$BQ$35:$BZ$43,BM$9,FALSE),"")</f>
        <v/>
      </c>
      <c r="BN53" s="430" t="str">
        <f>IFERROR(VLOOKUP(Envoltória!$G61,$BQ$35:$BZ$43,BN$9,FALSE),"")</f>
        <v/>
      </c>
      <c r="BO53" s="430" t="str">
        <f>IFERROR(VLOOKUP(Envoltória!$G61,$BQ$35:$BZ$43,BO$9,FALSE),"")</f>
        <v/>
      </c>
      <c r="BP53" s="2"/>
    </row>
    <row r="54" spans="1:68" s="13" customFormat="1" x14ac:dyDescent="0.25">
      <c r="A54" s="2">
        <v>44</v>
      </c>
      <c r="B54" s="410">
        <f>Envoltória!I62</f>
        <v>0</v>
      </c>
      <c r="C54" s="410">
        <f>Envoltória!B62</f>
        <v>0</v>
      </c>
      <c r="D54" s="410">
        <f>Envoltória!C62</f>
        <v>0</v>
      </c>
      <c r="E54" s="410">
        <f>Envoltória!D62</f>
        <v>0</v>
      </c>
      <c r="F54" s="430" t="str">
        <f>IF(B54=0,"",Envoltória!E62)</f>
        <v/>
      </c>
      <c r="G54" s="430" t="str">
        <f t="shared" si="2"/>
        <v/>
      </c>
      <c r="H54" s="430" t="str">
        <f>IF(B54=0,"",Envoltória!O62/100)</f>
        <v/>
      </c>
      <c r="I54" s="430" t="str">
        <f>IF(B54=0,"",IF(BF54=1,VLOOKUP(Envoltória!N62,Componentes!AV:AY,2,FALSE),89))</f>
        <v/>
      </c>
      <c r="J54" s="416" t="str">
        <f>IF(B54=0,"",IFERROR(VLOOKUP(Envoltória!M62,Componentes!$P:$R,2,FALSE),""))</f>
        <v/>
      </c>
      <c r="K54" s="416" t="str">
        <f>IF(B54=0,"",IFERROR(VLOOKUP(Envoltória!M62,Componentes!$P:$R,3,FALSE),""))</f>
        <v/>
      </c>
      <c r="L54" s="431" t="str">
        <f>IF(B54=0,"",IFERROR(IF(BB54&lt;&gt;0,VLOOKUP(Envoltória!L62,Componentes!K:N,2,FALSE),0),""))</f>
        <v/>
      </c>
      <c r="M54" s="431" t="str">
        <f>IF(B54=0,"",IFERROR(IF(BB54&lt;&gt;0,VLOOKUP(Envoltória!L62,Componentes!K:N,3,FALSE),0),""))</f>
        <v/>
      </c>
      <c r="N54" s="431" t="str">
        <f>IF(B54=0,"",IFERROR(IF(BB54&lt;&gt;0,VLOOKUP(Envoltória!L62,Componentes!K:N,4,FALSE),0),""))</f>
        <v/>
      </c>
      <c r="O54" s="430" t="str">
        <f>IF(B54=0,"",IF(BF54=1,VLOOKUP(Envoltória!J62,Componentes!B:E,2,FALSE),-6))</f>
        <v/>
      </c>
      <c r="P54" s="430" t="str">
        <f>IF(B54=0,"",IF(BF54=1,VLOOKUP(Envoltória!J62,Componentes!B:E,3,FALSE),-400))</f>
        <v/>
      </c>
      <c r="Q54" s="430" t="str">
        <f>IF(B54=0,"",IF(BF54=1,VLOOKUP(Envoltória!J62,Componentes!B:E,4,FALSE),0))</f>
        <v/>
      </c>
      <c r="R54" s="416" t="str">
        <f>IF(B54=0,"",IFERROR(VLOOKUP(Envoltória!K62,Componentes!G:I,2,FALSE),""))</f>
        <v/>
      </c>
      <c r="S54" s="416" t="str">
        <f>IF(B54=0,"",IFERROR(VLOOKUP(Envoltória!K62,Componentes!G:I,3,FALSE),""))</f>
        <v/>
      </c>
      <c r="T54" s="430" t="str">
        <f>IF(B54=0,"",IFERROR(IF(H54&lt;&gt;0,VLOOKUP(Envoltória!N62,Componentes!T:V,3,FALSE),0),""))</f>
        <v/>
      </c>
      <c r="U54" s="430" t="str">
        <f>IF(B54=0,"",IFERROR(IF(H54&lt;&gt;0,VLOOKUP(Envoltória!N62,Componentes!T:V,2,FALSE),0),""))</f>
        <v/>
      </c>
      <c r="V54" s="416" t="str">
        <f>IF(B54=0,"",IFERROR(IF(AA54&lt;&gt;0,VLOOKUP(Envoltória!U62,Componentes!X:Z,2,FALSE),0),0))</f>
        <v/>
      </c>
      <c r="W54" s="416" t="str">
        <f>IF(B54=0,"",IFERROR(IF(AA54&lt;&gt;0,VLOOKUP(Envoltória!U62,Componentes!X:Z,3,FALSE),0),0))</f>
        <v/>
      </c>
      <c r="X54" s="430" t="str">
        <f>IF(B54=0,"",Envoltória!U62)</f>
        <v/>
      </c>
      <c r="Y54" s="430" t="str">
        <f>IF(B54=0,"",Envoltória!S62)</f>
        <v/>
      </c>
      <c r="Z54" s="430" t="str">
        <f>IF(B54=0,"",Envoltória!T62)</f>
        <v/>
      </c>
      <c r="AA54" s="416" t="str">
        <f>IF(B54=0,"",Envoltória!Q62/100)</f>
        <v/>
      </c>
      <c r="AB54" s="434" t="str">
        <f>IF($B54=0,"",VLOOKUP(Aux_Lista!$DR$2,Aux_Clima!$A:$O,AB$8,FALSE))</f>
        <v/>
      </c>
      <c r="AC54" s="434" t="str">
        <f>IF($B54=0,"",VLOOKUP(Aux_Lista!$DR$2,Aux_Clima!$A:$O,AC$8,FALSE))</f>
        <v/>
      </c>
      <c r="AD54" s="434" t="str">
        <f>IF($B54=0,"",ROUND(VLOOKUP(Aux_Lista!$DR$2,Aux_Clima!$A:$O,AD$8,FALSE),8))</f>
        <v/>
      </c>
      <c r="AE54" s="434" t="str">
        <f>IF($B54=0,"",ROUND(VLOOKUP(Aux_Lista!$DR$2,Aux_Clima!$A:$O,AE$8,FALSE),8))</f>
        <v/>
      </c>
      <c r="AF54" s="434" t="str">
        <f>IF($B54=0,"",ROUND(VLOOKUP(Aux_Lista!$DR$2,Aux_Clima!$A:$O,AF$8,FALSE),8))</f>
        <v/>
      </c>
      <c r="AG54" s="434" t="str">
        <f>IF($B54=0,"",ROUND(VLOOKUP(Aux_Lista!$DR$2,Aux_Clima!$A:$O,AG$8,FALSE),8))</f>
        <v/>
      </c>
      <c r="AH54" s="434" t="str">
        <f>IF($B54=0,"",ROUND(VLOOKUP(Aux_Lista!$DR$2,Aux_Clima!$A:$O,AH$8,FALSE),8))</f>
        <v/>
      </c>
      <c r="AI54" s="434" t="str">
        <f>IF($B54=0,"",ROUND(VLOOKUP(Aux_Lista!$DR$2,Aux_Clima!$A:$O,AI$8,FALSE),8))</f>
        <v/>
      </c>
      <c r="AJ54" s="434" t="str">
        <f>IF($B54=0,"",ROUND(VLOOKUP(Aux_Lista!$DR$2,Aux_Clima!$A:$O,AJ$8,FALSE),3))</f>
        <v/>
      </c>
      <c r="AK54" s="434" t="str">
        <f>IF($B54=0,"",ROUND(VLOOKUP(Aux_Lista!$DR$2,Aux_Clima!$A:$O,AK$8,FALSE),3))</f>
        <v/>
      </c>
      <c r="AL54" s="434" t="str">
        <f>IF($B54=0,"",ROUND(VLOOKUP(Aux_Lista!$DR$2,Aux_Clima!$A:$O,AL$8,FALSE),3))</f>
        <v/>
      </c>
      <c r="AM54" s="434" t="str">
        <f>IF($B54=0,"",ROUND(VLOOKUP(Aux_Lista!$DR$2,Aux_Clima!$A:$O,AM$8,FALSE),8))</f>
        <v/>
      </c>
      <c r="AN54" s="434" t="str">
        <f>IF($B54=0,"",ROUND(VLOOKUP(Aux_Lista!$DR$2,Aux_Clima!$A:$O,AN$8,FALSE),8))</f>
        <v/>
      </c>
      <c r="AO54" s="434" t="str">
        <f>IF($B54=0,"",ROUND(VLOOKUP(Aux_Lista!$DR$2,Aux_Clima!$A:$O,AO$8,FALSE),8))</f>
        <v/>
      </c>
      <c r="AP54" s="430" t="str">
        <f>IF(B54=0,"",IF(BF54=0,84,VLOOKUP(Envoltória!N62,Componentes!AV:AY,4,FALSE)))</f>
        <v/>
      </c>
      <c r="AQ54" s="430" t="str">
        <f>IF(B54=0,"",IF(BF54=0,90,VLOOKUP(Envoltória!N62,Componentes!AV:AY,3,FALSE)))</f>
        <v/>
      </c>
      <c r="AR54" s="430" t="str">
        <f t="shared" si="4"/>
        <v/>
      </c>
      <c r="AS54" s="430" t="str">
        <f t="shared" si="4"/>
        <v/>
      </c>
      <c r="AT54" s="430" t="str">
        <f t="shared" si="4"/>
        <v/>
      </c>
      <c r="AU54" s="430" t="str">
        <f t="shared" si="4"/>
        <v/>
      </c>
      <c r="AV54" s="430" t="str">
        <f t="shared" si="4"/>
        <v/>
      </c>
      <c r="AW54" s="416" t="str">
        <f>IF($B54=0,"",IFERROR(VLOOKUP(Envoltória!$B62,Aux_Lista!$O:$U,AW$9,FALSE),0))</f>
        <v/>
      </c>
      <c r="AX54" s="416" t="str">
        <f>IF($B54=0,"",IFERROR(VLOOKUP(Envoltória!$B62,Aux_Lista!$O:$U,AX$9,FALSE),0))</f>
        <v/>
      </c>
      <c r="AY54" s="416" t="str">
        <f>IF($B54=0,"",IFERROR(VLOOKUP(Envoltória!$B62,Aux_Lista!$O:$U,AY$9,FALSE),0))</f>
        <v/>
      </c>
      <c r="AZ54" s="416" t="str">
        <f>IF($B54=0,"",IFERROR(VLOOKUP(Envoltória!$B62,Aux_Lista!$O:$U,AZ$9,FALSE),0))</f>
        <v/>
      </c>
      <c r="BA54" s="416" t="str">
        <f>IF($B54=0,"",IFERROR(VLOOKUP(Envoltória!$B62,Aux_Lista!$O:$U,BA$9,FALSE),0))</f>
        <v/>
      </c>
      <c r="BB54" s="416" t="str">
        <f>IF($B54=0,"",IFERROR(VLOOKUP(Envoltória!$B62,Aux_Lista!$O:$U,BB$9,FALSE),0))</f>
        <v/>
      </c>
      <c r="BC54" s="416" t="str">
        <f>IFERROR(VLOOKUP(Envoltória!$H62,Aux_Lista!$W$2:$Y$3,BC$9,FALSE),"")</f>
        <v/>
      </c>
      <c r="BD54" s="416" t="str">
        <f>IFERROR(VLOOKUP(Envoltória!$H62,Aux_Lista!$W$2:$Y$3,BD$9,FALSE),"")</f>
        <v/>
      </c>
      <c r="BE54" s="430" t="str">
        <f t="shared" si="1"/>
        <v/>
      </c>
      <c r="BF54" s="430" t="str">
        <f>IF(B54=0,"",IF(Envoltória!F62="Perimetral",1,0))</f>
        <v/>
      </c>
      <c r="BG54" s="430" t="str">
        <f>IFERROR(VLOOKUP(Envoltória!$G62,$BQ$35:$BZ$43,BG$9,FALSE),"")</f>
        <v/>
      </c>
      <c r="BH54" s="430" t="str">
        <f>IFERROR(VLOOKUP(Envoltória!$G62,$BQ$35:$BZ$43,BH$9,FALSE),"")</f>
        <v/>
      </c>
      <c r="BI54" s="430" t="str">
        <f>IFERROR(VLOOKUP(Envoltória!$G62,$BQ$35:$BZ$43,BI$9,FALSE),"")</f>
        <v/>
      </c>
      <c r="BJ54" s="430" t="str">
        <f>IFERROR(VLOOKUP(Envoltória!$G62,$BQ$35:$BZ$43,BJ$9,FALSE),"")</f>
        <v/>
      </c>
      <c r="BK54" s="430" t="str">
        <f>IFERROR(VLOOKUP(Envoltória!$G62,$BQ$35:$BZ$43,BK$9,FALSE),"")</f>
        <v/>
      </c>
      <c r="BL54" s="430" t="str">
        <f>IFERROR(VLOOKUP(Envoltória!$G62,$BQ$35:$BZ$43,BL$9,FALSE),"")</f>
        <v/>
      </c>
      <c r="BM54" s="430" t="str">
        <f>IFERROR(VLOOKUP(Envoltória!$G62,$BQ$35:$BZ$43,BM$9,FALSE),"")</f>
        <v/>
      </c>
      <c r="BN54" s="430" t="str">
        <f>IFERROR(VLOOKUP(Envoltória!$G62,$BQ$35:$BZ$43,BN$9,FALSE),"")</f>
        <v/>
      </c>
      <c r="BO54" s="430" t="str">
        <f>IFERROR(VLOOKUP(Envoltória!$G62,$BQ$35:$BZ$43,BO$9,FALSE),"")</f>
        <v/>
      </c>
      <c r="BP54" s="2"/>
    </row>
    <row r="55" spans="1:68" s="13" customFormat="1" x14ac:dyDescent="0.25">
      <c r="A55" s="2">
        <v>45</v>
      </c>
      <c r="B55" s="410">
        <f>Envoltória!I63</f>
        <v>0</v>
      </c>
      <c r="C55" s="410">
        <f>Envoltória!B63</f>
        <v>0</v>
      </c>
      <c r="D55" s="410">
        <f>Envoltória!C63</f>
        <v>0</v>
      </c>
      <c r="E55" s="410">
        <f>Envoltória!D63</f>
        <v>0</v>
      </c>
      <c r="F55" s="430" t="str">
        <f>IF(B55=0,"",Envoltória!E63)</f>
        <v/>
      </c>
      <c r="G55" s="430" t="str">
        <f t="shared" si="2"/>
        <v/>
      </c>
      <c r="H55" s="430" t="str">
        <f>IF(B55=0,"",Envoltória!O63/100)</f>
        <v/>
      </c>
      <c r="I55" s="430" t="str">
        <f>IF(B55=0,"",IF(BF55=1,VLOOKUP(Envoltória!N63,Componentes!AV:AY,2,FALSE),89))</f>
        <v/>
      </c>
      <c r="J55" s="416" t="str">
        <f>IF(B55=0,"",IFERROR(VLOOKUP(Envoltória!M63,Componentes!$P:$R,2,FALSE),""))</f>
        <v/>
      </c>
      <c r="K55" s="416" t="str">
        <f>IF(B55=0,"",IFERROR(VLOOKUP(Envoltória!M63,Componentes!$P:$R,3,FALSE),""))</f>
        <v/>
      </c>
      <c r="L55" s="431" t="str">
        <f>IF(B55=0,"",IFERROR(IF(BB55&lt;&gt;0,VLOOKUP(Envoltória!L63,Componentes!K:N,2,FALSE),0),""))</f>
        <v/>
      </c>
      <c r="M55" s="431" t="str">
        <f>IF(B55=0,"",IFERROR(IF(BB55&lt;&gt;0,VLOOKUP(Envoltória!L63,Componentes!K:N,3,FALSE),0),""))</f>
        <v/>
      </c>
      <c r="N55" s="431" t="str">
        <f>IF(B55=0,"",IFERROR(IF(BB55&lt;&gt;0,VLOOKUP(Envoltória!L63,Componentes!K:N,4,FALSE),0),""))</f>
        <v/>
      </c>
      <c r="O55" s="430" t="str">
        <f>IF(B55=0,"",IF(BF55=1,VLOOKUP(Envoltória!J63,Componentes!B:E,2,FALSE),-6))</f>
        <v/>
      </c>
      <c r="P55" s="430" t="str">
        <f>IF(B55=0,"",IF(BF55=1,VLOOKUP(Envoltória!J63,Componentes!B:E,3,FALSE),-400))</f>
        <v/>
      </c>
      <c r="Q55" s="430" t="str">
        <f>IF(B55=0,"",IF(BF55=1,VLOOKUP(Envoltória!J63,Componentes!B:E,4,FALSE),0))</f>
        <v/>
      </c>
      <c r="R55" s="416" t="str">
        <f>IF(B55=0,"",IFERROR(VLOOKUP(Envoltória!K63,Componentes!G:I,2,FALSE),""))</f>
        <v/>
      </c>
      <c r="S55" s="416" t="str">
        <f>IF(B55=0,"",IFERROR(VLOOKUP(Envoltória!K63,Componentes!G:I,3,FALSE),""))</f>
        <v/>
      </c>
      <c r="T55" s="430" t="str">
        <f>IF(B55=0,"",IFERROR(IF(H55&lt;&gt;0,VLOOKUP(Envoltória!N63,Componentes!T:V,3,FALSE),0),""))</f>
        <v/>
      </c>
      <c r="U55" s="430" t="str">
        <f>IF(B55=0,"",IFERROR(IF(H55&lt;&gt;0,VLOOKUP(Envoltória!N63,Componentes!T:V,2,FALSE),0),""))</f>
        <v/>
      </c>
      <c r="V55" s="416" t="str">
        <f>IF(B55=0,"",IFERROR(IF(AA55&lt;&gt;0,VLOOKUP(Envoltória!U63,Componentes!X:Z,2,FALSE),0),0))</f>
        <v/>
      </c>
      <c r="W55" s="416" t="str">
        <f>IF(B55=0,"",IFERROR(IF(AA55&lt;&gt;0,VLOOKUP(Envoltória!U63,Componentes!X:Z,3,FALSE),0),0))</f>
        <v/>
      </c>
      <c r="X55" s="430" t="str">
        <f>IF(B55=0,"",Envoltória!U63)</f>
        <v/>
      </c>
      <c r="Y55" s="430" t="str">
        <f>IF(B55=0,"",Envoltória!S63)</f>
        <v/>
      </c>
      <c r="Z55" s="430" t="str">
        <f>IF(B55=0,"",Envoltória!T63)</f>
        <v/>
      </c>
      <c r="AA55" s="416" t="str">
        <f>IF(B55=0,"",Envoltória!Q63/100)</f>
        <v/>
      </c>
      <c r="AB55" s="434" t="str">
        <f>IF($B55=0,"",VLOOKUP(Aux_Lista!$DR$2,Aux_Clima!$A:$O,AB$8,FALSE))</f>
        <v/>
      </c>
      <c r="AC55" s="434" t="str">
        <f>IF($B55=0,"",VLOOKUP(Aux_Lista!$DR$2,Aux_Clima!$A:$O,AC$8,FALSE))</f>
        <v/>
      </c>
      <c r="AD55" s="434" t="str">
        <f>IF($B55=0,"",ROUND(VLOOKUP(Aux_Lista!$DR$2,Aux_Clima!$A:$O,AD$8,FALSE),8))</f>
        <v/>
      </c>
      <c r="AE55" s="434" t="str">
        <f>IF($B55=0,"",ROUND(VLOOKUP(Aux_Lista!$DR$2,Aux_Clima!$A:$O,AE$8,FALSE),8))</f>
        <v/>
      </c>
      <c r="AF55" s="434" t="str">
        <f>IF($B55=0,"",ROUND(VLOOKUP(Aux_Lista!$DR$2,Aux_Clima!$A:$O,AF$8,FALSE),8))</f>
        <v/>
      </c>
      <c r="AG55" s="434" t="str">
        <f>IF($B55=0,"",ROUND(VLOOKUP(Aux_Lista!$DR$2,Aux_Clima!$A:$O,AG$8,FALSE),8))</f>
        <v/>
      </c>
      <c r="AH55" s="434" t="str">
        <f>IF($B55=0,"",ROUND(VLOOKUP(Aux_Lista!$DR$2,Aux_Clima!$A:$O,AH$8,FALSE),8))</f>
        <v/>
      </c>
      <c r="AI55" s="434" t="str">
        <f>IF($B55=0,"",ROUND(VLOOKUP(Aux_Lista!$DR$2,Aux_Clima!$A:$O,AI$8,FALSE),8))</f>
        <v/>
      </c>
      <c r="AJ55" s="434" t="str">
        <f>IF($B55=0,"",ROUND(VLOOKUP(Aux_Lista!$DR$2,Aux_Clima!$A:$O,AJ$8,FALSE),3))</f>
        <v/>
      </c>
      <c r="AK55" s="434" t="str">
        <f>IF($B55=0,"",ROUND(VLOOKUP(Aux_Lista!$DR$2,Aux_Clima!$A:$O,AK$8,FALSE),3))</f>
        <v/>
      </c>
      <c r="AL55" s="434" t="str">
        <f>IF($B55=0,"",ROUND(VLOOKUP(Aux_Lista!$DR$2,Aux_Clima!$A:$O,AL$8,FALSE),3))</f>
        <v/>
      </c>
      <c r="AM55" s="434" t="str">
        <f>IF($B55=0,"",ROUND(VLOOKUP(Aux_Lista!$DR$2,Aux_Clima!$A:$O,AM$8,FALSE),8))</f>
        <v/>
      </c>
      <c r="AN55" s="434" t="str">
        <f>IF($B55=0,"",ROUND(VLOOKUP(Aux_Lista!$DR$2,Aux_Clima!$A:$O,AN$8,FALSE),8))</f>
        <v/>
      </c>
      <c r="AO55" s="434" t="str">
        <f>IF($B55=0,"",ROUND(VLOOKUP(Aux_Lista!$DR$2,Aux_Clima!$A:$O,AO$8,FALSE),8))</f>
        <v/>
      </c>
      <c r="AP55" s="430" t="str">
        <f>IF(B55=0,"",IF(BF55=0,84,VLOOKUP(Envoltória!N63,Componentes!AV:AY,4,FALSE)))</f>
        <v/>
      </c>
      <c r="AQ55" s="430" t="str">
        <f>IF(B55=0,"",IF(BF55=0,90,VLOOKUP(Envoltória!N63,Componentes!AV:AY,3,FALSE)))</f>
        <v/>
      </c>
      <c r="AR55" s="430" t="str">
        <f t="shared" si="4"/>
        <v/>
      </c>
      <c r="AS55" s="430" t="str">
        <f t="shared" si="4"/>
        <v/>
      </c>
      <c r="AT55" s="430" t="str">
        <f t="shared" si="4"/>
        <v/>
      </c>
      <c r="AU55" s="430" t="str">
        <f t="shared" si="4"/>
        <v/>
      </c>
      <c r="AV55" s="430" t="str">
        <f t="shared" si="4"/>
        <v/>
      </c>
      <c r="AW55" s="416" t="str">
        <f>IF($B55=0,"",IFERROR(VLOOKUP(Envoltória!$B63,Aux_Lista!$O:$U,AW$9,FALSE),0))</f>
        <v/>
      </c>
      <c r="AX55" s="416" t="str">
        <f>IF($B55=0,"",IFERROR(VLOOKUP(Envoltória!$B63,Aux_Lista!$O:$U,AX$9,FALSE),0))</f>
        <v/>
      </c>
      <c r="AY55" s="416" t="str">
        <f>IF($B55=0,"",IFERROR(VLOOKUP(Envoltória!$B63,Aux_Lista!$O:$U,AY$9,FALSE),0))</f>
        <v/>
      </c>
      <c r="AZ55" s="416" t="str">
        <f>IF($B55=0,"",IFERROR(VLOOKUP(Envoltória!$B63,Aux_Lista!$O:$U,AZ$9,FALSE),0))</f>
        <v/>
      </c>
      <c r="BA55" s="416" t="str">
        <f>IF($B55=0,"",IFERROR(VLOOKUP(Envoltória!$B63,Aux_Lista!$O:$U,BA$9,FALSE),0))</f>
        <v/>
      </c>
      <c r="BB55" s="416" t="str">
        <f>IF($B55=0,"",IFERROR(VLOOKUP(Envoltória!$B63,Aux_Lista!$O:$U,BB$9,FALSE),0))</f>
        <v/>
      </c>
      <c r="BC55" s="416" t="str">
        <f>IFERROR(VLOOKUP(Envoltória!$H63,Aux_Lista!$W$2:$Y$3,BC$9,FALSE),"")</f>
        <v/>
      </c>
      <c r="BD55" s="416" t="str">
        <f>IFERROR(VLOOKUP(Envoltória!$H63,Aux_Lista!$W$2:$Y$3,BD$9,FALSE),"")</f>
        <v/>
      </c>
      <c r="BE55" s="430" t="str">
        <f t="shared" si="1"/>
        <v/>
      </c>
      <c r="BF55" s="430" t="str">
        <f>IF(B55=0,"",IF(Envoltória!F63="Perimetral",1,0))</f>
        <v/>
      </c>
      <c r="BG55" s="430" t="str">
        <f>IFERROR(VLOOKUP(Envoltória!$G63,$BQ$35:$BZ$43,BG$9,FALSE),"")</f>
        <v/>
      </c>
      <c r="BH55" s="430" t="str">
        <f>IFERROR(VLOOKUP(Envoltória!$G63,$BQ$35:$BZ$43,BH$9,FALSE),"")</f>
        <v/>
      </c>
      <c r="BI55" s="430" t="str">
        <f>IFERROR(VLOOKUP(Envoltória!$G63,$BQ$35:$BZ$43,BI$9,FALSE),"")</f>
        <v/>
      </c>
      <c r="BJ55" s="430" t="str">
        <f>IFERROR(VLOOKUP(Envoltória!$G63,$BQ$35:$BZ$43,BJ$9,FALSE),"")</f>
        <v/>
      </c>
      <c r="BK55" s="430" t="str">
        <f>IFERROR(VLOOKUP(Envoltória!$G63,$BQ$35:$BZ$43,BK$9,FALSE),"")</f>
        <v/>
      </c>
      <c r="BL55" s="430" t="str">
        <f>IFERROR(VLOOKUP(Envoltória!$G63,$BQ$35:$BZ$43,BL$9,FALSE),"")</f>
        <v/>
      </c>
      <c r="BM55" s="430" t="str">
        <f>IFERROR(VLOOKUP(Envoltória!$G63,$BQ$35:$BZ$43,BM$9,FALSE),"")</f>
        <v/>
      </c>
      <c r="BN55" s="430" t="str">
        <f>IFERROR(VLOOKUP(Envoltória!$G63,$BQ$35:$BZ$43,BN$9,FALSE),"")</f>
        <v/>
      </c>
      <c r="BO55" s="430" t="str">
        <f>IFERROR(VLOOKUP(Envoltória!$G63,$BQ$35:$BZ$43,BO$9,FALSE),"")</f>
        <v/>
      </c>
      <c r="BP55" s="2"/>
    </row>
    <row r="56" spans="1:68" s="13" customFormat="1" x14ac:dyDescent="0.25">
      <c r="A56" s="2">
        <v>46</v>
      </c>
      <c r="B56" s="410">
        <f>Envoltória!I64</f>
        <v>0</v>
      </c>
      <c r="C56" s="410">
        <f>Envoltória!B64</f>
        <v>0</v>
      </c>
      <c r="D56" s="410">
        <f>Envoltória!C64</f>
        <v>0</v>
      </c>
      <c r="E56" s="410">
        <f>Envoltória!D64</f>
        <v>0</v>
      </c>
      <c r="F56" s="430" t="str">
        <f>IF(B56=0,"",Envoltória!E64)</f>
        <v/>
      </c>
      <c r="G56" s="430" t="str">
        <f t="shared" si="2"/>
        <v/>
      </c>
      <c r="H56" s="430" t="str">
        <f>IF(B56=0,"",Envoltória!O64/100)</f>
        <v/>
      </c>
      <c r="I56" s="430" t="str">
        <f>IF(B56=0,"",IF(BF56=1,VLOOKUP(Envoltória!N64,Componentes!AV:AY,2,FALSE),89))</f>
        <v/>
      </c>
      <c r="J56" s="416" t="str">
        <f>IF(B56=0,"",IFERROR(VLOOKUP(Envoltória!M64,Componentes!$P:$R,2,FALSE),""))</f>
        <v/>
      </c>
      <c r="K56" s="416" t="str">
        <f>IF(B56=0,"",IFERROR(VLOOKUP(Envoltória!M64,Componentes!$P:$R,3,FALSE),""))</f>
        <v/>
      </c>
      <c r="L56" s="431" t="str">
        <f>IF(B56=0,"",IFERROR(IF(BB56&lt;&gt;0,VLOOKUP(Envoltória!L64,Componentes!K:N,2,FALSE),0),""))</f>
        <v/>
      </c>
      <c r="M56" s="431" t="str">
        <f>IF(B56=0,"",IFERROR(IF(BB56&lt;&gt;0,VLOOKUP(Envoltória!L64,Componentes!K:N,3,FALSE),0),""))</f>
        <v/>
      </c>
      <c r="N56" s="431" t="str">
        <f>IF(B56=0,"",IFERROR(IF(BB56&lt;&gt;0,VLOOKUP(Envoltória!L64,Componentes!K:N,4,FALSE),0),""))</f>
        <v/>
      </c>
      <c r="O56" s="430" t="str">
        <f>IF(B56=0,"",IF(BF56=1,VLOOKUP(Envoltória!J64,Componentes!B:E,2,FALSE),-6))</f>
        <v/>
      </c>
      <c r="P56" s="430" t="str">
        <f>IF(B56=0,"",IF(BF56=1,VLOOKUP(Envoltória!J64,Componentes!B:E,3,FALSE),-400))</f>
        <v/>
      </c>
      <c r="Q56" s="430" t="str">
        <f>IF(B56=0,"",IF(BF56=1,VLOOKUP(Envoltória!J64,Componentes!B:E,4,FALSE),0))</f>
        <v/>
      </c>
      <c r="R56" s="416" t="str">
        <f>IF(B56=0,"",IFERROR(VLOOKUP(Envoltória!K64,Componentes!G:I,2,FALSE),""))</f>
        <v/>
      </c>
      <c r="S56" s="416" t="str">
        <f>IF(B56=0,"",IFERROR(VLOOKUP(Envoltória!K64,Componentes!G:I,3,FALSE),""))</f>
        <v/>
      </c>
      <c r="T56" s="430" t="str">
        <f>IF(B56=0,"",IFERROR(IF(H56&lt;&gt;0,VLOOKUP(Envoltória!N64,Componentes!T:V,3,FALSE),0),""))</f>
        <v/>
      </c>
      <c r="U56" s="430" t="str">
        <f>IF(B56=0,"",IFERROR(IF(H56&lt;&gt;0,VLOOKUP(Envoltória!N64,Componentes!T:V,2,FALSE),0),""))</f>
        <v/>
      </c>
      <c r="V56" s="416" t="str">
        <f>IF(B56=0,"",IFERROR(IF(AA56&lt;&gt;0,VLOOKUP(Envoltória!U64,Componentes!X:Z,2,FALSE),0),0))</f>
        <v/>
      </c>
      <c r="W56" s="416" t="str">
        <f>IF(B56=0,"",IFERROR(IF(AA56&lt;&gt;0,VLOOKUP(Envoltória!U64,Componentes!X:Z,3,FALSE),0),0))</f>
        <v/>
      </c>
      <c r="X56" s="430" t="str">
        <f>IF(B56=0,"",Envoltória!U64)</f>
        <v/>
      </c>
      <c r="Y56" s="430" t="str">
        <f>IF(B56=0,"",Envoltória!S64)</f>
        <v/>
      </c>
      <c r="Z56" s="430" t="str">
        <f>IF(B56=0,"",Envoltória!T64)</f>
        <v/>
      </c>
      <c r="AA56" s="416" t="str">
        <f>IF(B56=0,"",Envoltória!Q64/100)</f>
        <v/>
      </c>
      <c r="AB56" s="434" t="str">
        <f>IF($B56=0,"",VLOOKUP(Aux_Lista!$DR$2,Aux_Clima!$A:$O,AB$8,FALSE))</f>
        <v/>
      </c>
      <c r="AC56" s="434" t="str">
        <f>IF($B56=0,"",VLOOKUP(Aux_Lista!$DR$2,Aux_Clima!$A:$O,AC$8,FALSE))</f>
        <v/>
      </c>
      <c r="AD56" s="434" t="str">
        <f>IF($B56=0,"",ROUND(VLOOKUP(Aux_Lista!$DR$2,Aux_Clima!$A:$O,AD$8,FALSE),8))</f>
        <v/>
      </c>
      <c r="AE56" s="434" t="str">
        <f>IF($B56=0,"",ROUND(VLOOKUP(Aux_Lista!$DR$2,Aux_Clima!$A:$O,AE$8,FALSE),8))</f>
        <v/>
      </c>
      <c r="AF56" s="434" t="str">
        <f>IF($B56=0,"",ROUND(VLOOKUP(Aux_Lista!$DR$2,Aux_Clima!$A:$O,AF$8,FALSE),8))</f>
        <v/>
      </c>
      <c r="AG56" s="434" t="str">
        <f>IF($B56=0,"",ROUND(VLOOKUP(Aux_Lista!$DR$2,Aux_Clima!$A:$O,AG$8,FALSE),8))</f>
        <v/>
      </c>
      <c r="AH56" s="434" t="str">
        <f>IF($B56=0,"",ROUND(VLOOKUP(Aux_Lista!$DR$2,Aux_Clima!$A:$O,AH$8,FALSE),8))</f>
        <v/>
      </c>
      <c r="AI56" s="434" t="str">
        <f>IF($B56=0,"",ROUND(VLOOKUP(Aux_Lista!$DR$2,Aux_Clima!$A:$O,AI$8,FALSE),8))</f>
        <v/>
      </c>
      <c r="AJ56" s="434" t="str">
        <f>IF($B56=0,"",ROUND(VLOOKUP(Aux_Lista!$DR$2,Aux_Clima!$A:$O,AJ$8,FALSE),3))</f>
        <v/>
      </c>
      <c r="AK56" s="434" t="str">
        <f>IF($B56=0,"",ROUND(VLOOKUP(Aux_Lista!$DR$2,Aux_Clima!$A:$O,AK$8,FALSE),3))</f>
        <v/>
      </c>
      <c r="AL56" s="434" t="str">
        <f>IF($B56=0,"",ROUND(VLOOKUP(Aux_Lista!$DR$2,Aux_Clima!$A:$O,AL$8,FALSE),3))</f>
        <v/>
      </c>
      <c r="AM56" s="434" t="str">
        <f>IF($B56=0,"",ROUND(VLOOKUP(Aux_Lista!$DR$2,Aux_Clima!$A:$O,AM$8,FALSE),8))</f>
        <v/>
      </c>
      <c r="AN56" s="434" t="str">
        <f>IF($B56=0,"",ROUND(VLOOKUP(Aux_Lista!$DR$2,Aux_Clima!$A:$O,AN$8,FALSE),8))</f>
        <v/>
      </c>
      <c r="AO56" s="434" t="str">
        <f>IF($B56=0,"",ROUND(VLOOKUP(Aux_Lista!$DR$2,Aux_Clima!$A:$O,AO$8,FALSE),8))</f>
        <v/>
      </c>
      <c r="AP56" s="430" t="str">
        <f>IF(B56=0,"",IF(BF56=0,84,VLOOKUP(Envoltória!N64,Componentes!AV:AY,4,FALSE)))</f>
        <v/>
      </c>
      <c r="AQ56" s="430" t="str">
        <f>IF(B56=0,"",IF(BF56=0,90,VLOOKUP(Envoltória!N64,Componentes!AV:AY,3,FALSE)))</f>
        <v/>
      </c>
      <c r="AR56" s="430" t="str">
        <f t="shared" si="4"/>
        <v/>
      </c>
      <c r="AS56" s="430" t="str">
        <f t="shared" si="4"/>
        <v/>
      </c>
      <c r="AT56" s="430" t="str">
        <f t="shared" si="4"/>
        <v/>
      </c>
      <c r="AU56" s="430" t="str">
        <f t="shared" si="4"/>
        <v/>
      </c>
      <c r="AV56" s="430" t="str">
        <f t="shared" si="4"/>
        <v/>
      </c>
      <c r="AW56" s="416" t="str">
        <f>IF($B56=0,"",IFERROR(VLOOKUP(Envoltória!$B64,Aux_Lista!$O:$U,AW$9,FALSE),0))</f>
        <v/>
      </c>
      <c r="AX56" s="416" t="str">
        <f>IF($B56=0,"",IFERROR(VLOOKUP(Envoltória!$B64,Aux_Lista!$O:$U,AX$9,FALSE),0))</f>
        <v/>
      </c>
      <c r="AY56" s="416" t="str">
        <f>IF($B56=0,"",IFERROR(VLOOKUP(Envoltória!$B64,Aux_Lista!$O:$U,AY$9,FALSE),0))</f>
        <v/>
      </c>
      <c r="AZ56" s="416" t="str">
        <f>IF($B56=0,"",IFERROR(VLOOKUP(Envoltória!$B64,Aux_Lista!$O:$U,AZ$9,FALSE),0))</f>
        <v/>
      </c>
      <c r="BA56" s="416" t="str">
        <f>IF($B56=0,"",IFERROR(VLOOKUP(Envoltória!$B64,Aux_Lista!$O:$U,BA$9,FALSE),0))</f>
        <v/>
      </c>
      <c r="BB56" s="416" t="str">
        <f>IF($B56=0,"",IFERROR(VLOOKUP(Envoltória!$B64,Aux_Lista!$O:$U,BB$9,FALSE),0))</f>
        <v/>
      </c>
      <c r="BC56" s="416" t="str">
        <f>IFERROR(VLOOKUP(Envoltória!$H64,Aux_Lista!$W$2:$Y$3,BC$9,FALSE),"")</f>
        <v/>
      </c>
      <c r="BD56" s="416" t="str">
        <f>IFERROR(VLOOKUP(Envoltória!$H64,Aux_Lista!$W$2:$Y$3,BD$9,FALSE),"")</f>
        <v/>
      </c>
      <c r="BE56" s="430" t="str">
        <f t="shared" si="1"/>
        <v/>
      </c>
      <c r="BF56" s="430" t="str">
        <f>IF(B56=0,"",IF(Envoltória!F64="Perimetral",1,0))</f>
        <v/>
      </c>
      <c r="BG56" s="430" t="str">
        <f>IFERROR(VLOOKUP(Envoltória!$G64,$BQ$35:$BZ$43,BG$9,FALSE),"")</f>
        <v/>
      </c>
      <c r="BH56" s="430" t="str">
        <f>IFERROR(VLOOKUP(Envoltória!$G64,$BQ$35:$BZ$43,BH$9,FALSE),"")</f>
        <v/>
      </c>
      <c r="BI56" s="430" t="str">
        <f>IFERROR(VLOOKUP(Envoltória!$G64,$BQ$35:$BZ$43,BI$9,FALSE),"")</f>
        <v/>
      </c>
      <c r="BJ56" s="430" t="str">
        <f>IFERROR(VLOOKUP(Envoltória!$G64,$BQ$35:$BZ$43,BJ$9,FALSE),"")</f>
        <v/>
      </c>
      <c r="BK56" s="430" t="str">
        <f>IFERROR(VLOOKUP(Envoltória!$G64,$BQ$35:$BZ$43,BK$9,FALSE),"")</f>
        <v/>
      </c>
      <c r="BL56" s="430" t="str">
        <f>IFERROR(VLOOKUP(Envoltória!$G64,$BQ$35:$BZ$43,BL$9,FALSE),"")</f>
        <v/>
      </c>
      <c r="BM56" s="430" t="str">
        <f>IFERROR(VLOOKUP(Envoltória!$G64,$BQ$35:$BZ$43,BM$9,FALSE),"")</f>
        <v/>
      </c>
      <c r="BN56" s="430" t="str">
        <f>IFERROR(VLOOKUP(Envoltória!$G64,$BQ$35:$BZ$43,BN$9,FALSE),"")</f>
        <v/>
      </c>
      <c r="BO56" s="430" t="str">
        <f>IFERROR(VLOOKUP(Envoltória!$G64,$BQ$35:$BZ$43,BO$9,FALSE),"")</f>
        <v/>
      </c>
      <c r="BP56" s="2"/>
    </row>
    <row r="57" spans="1:68" s="13" customFormat="1" x14ac:dyDescent="0.25">
      <c r="A57" s="2">
        <v>47</v>
      </c>
      <c r="B57" s="410">
        <f>Envoltória!I65</f>
        <v>0</v>
      </c>
      <c r="C57" s="410">
        <f>Envoltória!B65</f>
        <v>0</v>
      </c>
      <c r="D57" s="410">
        <f>Envoltória!C65</f>
        <v>0</v>
      </c>
      <c r="E57" s="410">
        <f>Envoltória!D65</f>
        <v>0</v>
      </c>
      <c r="F57" s="430" t="str">
        <f>IF(B57=0,"",Envoltória!E65)</f>
        <v/>
      </c>
      <c r="G57" s="430" t="str">
        <f t="shared" si="2"/>
        <v/>
      </c>
      <c r="H57" s="430" t="str">
        <f>IF(B57=0,"",Envoltória!O65/100)</f>
        <v/>
      </c>
      <c r="I57" s="430" t="str">
        <f>IF(B57=0,"",IF(BF57=1,VLOOKUP(Envoltória!N65,Componentes!AV:AY,2,FALSE),89))</f>
        <v/>
      </c>
      <c r="J57" s="416" t="str">
        <f>IF(B57=0,"",IFERROR(VLOOKUP(Envoltória!M65,Componentes!$P:$R,2,FALSE),""))</f>
        <v/>
      </c>
      <c r="K57" s="416" t="str">
        <f>IF(B57=0,"",IFERROR(VLOOKUP(Envoltória!M65,Componentes!$P:$R,3,FALSE),""))</f>
        <v/>
      </c>
      <c r="L57" s="431" t="str">
        <f>IF(B57=0,"",IFERROR(IF(BB57&lt;&gt;0,VLOOKUP(Envoltória!L65,Componentes!K:N,2,FALSE),0),""))</f>
        <v/>
      </c>
      <c r="M57" s="431" t="str">
        <f>IF(B57=0,"",IFERROR(IF(BB57&lt;&gt;0,VLOOKUP(Envoltória!L65,Componentes!K:N,3,FALSE),0),""))</f>
        <v/>
      </c>
      <c r="N57" s="431" t="str">
        <f>IF(B57=0,"",IFERROR(IF(BB57&lt;&gt;0,VLOOKUP(Envoltória!L65,Componentes!K:N,4,FALSE),0),""))</f>
        <v/>
      </c>
      <c r="O57" s="430" t="str">
        <f>IF(B57=0,"",IF(BF57=1,VLOOKUP(Envoltória!J65,Componentes!B:E,2,FALSE),-6))</f>
        <v/>
      </c>
      <c r="P57" s="430" t="str">
        <f>IF(B57=0,"",IF(BF57=1,VLOOKUP(Envoltória!J65,Componentes!B:E,3,FALSE),-400))</f>
        <v/>
      </c>
      <c r="Q57" s="430" t="str">
        <f>IF(B57=0,"",IF(BF57=1,VLOOKUP(Envoltória!J65,Componentes!B:E,4,FALSE),0))</f>
        <v/>
      </c>
      <c r="R57" s="416" t="str">
        <f>IF(B57=0,"",IFERROR(VLOOKUP(Envoltória!K65,Componentes!G:I,2,FALSE),""))</f>
        <v/>
      </c>
      <c r="S57" s="416" t="str">
        <f>IF(B57=0,"",IFERROR(VLOOKUP(Envoltória!K65,Componentes!G:I,3,FALSE),""))</f>
        <v/>
      </c>
      <c r="T57" s="430" t="str">
        <f>IF(B57=0,"",IFERROR(IF(H57&lt;&gt;0,VLOOKUP(Envoltória!N65,Componentes!T:V,3,FALSE),0),""))</f>
        <v/>
      </c>
      <c r="U57" s="430" t="str">
        <f>IF(B57=0,"",IFERROR(IF(H57&lt;&gt;0,VLOOKUP(Envoltória!N65,Componentes!T:V,2,FALSE),0),""))</f>
        <v/>
      </c>
      <c r="V57" s="416" t="str">
        <f>IF(B57=0,"",IFERROR(IF(AA57&lt;&gt;0,VLOOKUP(Envoltória!U65,Componentes!X:Z,2,FALSE),0),0))</f>
        <v/>
      </c>
      <c r="W57" s="416" t="str">
        <f>IF(B57=0,"",IFERROR(IF(AA57&lt;&gt;0,VLOOKUP(Envoltória!U65,Componentes!X:Z,3,FALSE),0),0))</f>
        <v/>
      </c>
      <c r="X57" s="430" t="str">
        <f>IF(B57=0,"",Envoltória!U65)</f>
        <v/>
      </c>
      <c r="Y57" s="430" t="str">
        <f>IF(B57=0,"",Envoltória!S65)</f>
        <v/>
      </c>
      <c r="Z57" s="430" t="str">
        <f>IF(B57=0,"",Envoltória!T65)</f>
        <v/>
      </c>
      <c r="AA57" s="416" t="str">
        <f>IF(B57=0,"",Envoltória!Q65/100)</f>
        <v/>
      </c>
      <c r="AB57" s="434" t="str">
        <f>IF($B57=0,"",VLOOKUP(Aux_Lista!$DR$2,Aux_Clima!$A:$O,AB$8,FALSE))</f>
        <v/>
      </c>
      <c r="AC57" s="434" t="str">
        <f>IF($B57=0,"",VLOOKUP(Aux_Lista!$DR$2,Aux_Clima!$A:$O,AC$8,FALSE))</f>
        <v/>
      </c>
      <c r="AD57" s="434" t="str">
        <f>IF($B57=0,"",ROUND(VLOOKUP(Aux_Lista!$DR$2,Aux_Clima!$A:$O,AD$8,FALSE),8))</f>
        <v/>
      </c>
      <c r="AE57" s="434" t="str">
        <f>IF($B57=0,"",ROUND(VLOOKUP(Aux_Lista!$DR$2,Aux_Clima!$A:$O,AE$8,FALSE),8))</f>
        <v/>
      </c>
      <c r="AF57" s="434" t="str">
        <f>IF($B57=0,"",ROUND(VLOOKUP(Aux_Lista!$DR$2,Aux_Clima!$A:$O,AF$8,FALSE),8))</f>
        <v/>
      </c>
      <c r="AG57" s="434" t="str">
        <f>IF($B57=0,"",ROUND(VLOOKUP(Aux_Lista!$DR$2,Aux_Clima!$A:$O,AG$8,FALSE),8))</f>
        <v/>
      </c>
      <c r="AH57" s="434" t="str">
        <f>IF($B57=0,"",ROUND(VLOOKUP(Aux_Lista!$DR$2,Aux_Clima!$A:$O,AH$8,FALSE),8))</f>
        <v/>
      </c>
      <c r="AI57" s="434" t="str">
        <f>IF($B57=0,"",ROUND(VLOOKUP(Aux_Lista!$DR$2,Aux_Clima!$A:$O,AI$8,FALSE),8))</f>
        <v/>
      </c>
      <c r="AJ57" s="434" t="str">
        <f>IF($B57=0,"",ROUND(VLOOKUP(Aux_Lista!$DR$2,Aux_Clima!$A:$O,AJ$8,FALSE),3))</f>
        <v/>
      </c>
      <c r="AK57" s="434" t="str">
        <f>IF($B57=0,"",ROUND(VLOOKUP(Aux_Lista!$DR$2,Aux_Clima!$A:$O,AK$8,FALSE),3))</f>
        <v/>
      </c>
      <c r="AL57" s="434" t="str">
        <f>IF($B57=0,"",ROUND(VLOOKUP(Aux_Lista!$DR$2,Aux_Clima!$A:$O,AL$8,FALSE),3))</f>
        <v/>
      </c>
      <c r="AM57" s="434" t="str">
        <f>IF($B57=0,"",ROUND(VLOOKUP(Aux_Lista!$DR$2,Aux_Clima!$A:$O,AM$8,FALSE),8))</f>
        <v/>
      </c>
      <c r="AN57" s="434" t="str">
        <f>IF($B57=0,"",ROUND(VLOOKUP(Aux_Lista!$DR$2,Aux_Clima!$A:$O,AN$8,FALSE),8))</f>
        <v/>
      </c>
      <c r="AO57" s="434" t="str">
        <f>IF($B57=0,"",ROUND(VLOOKUP(Aux_Lista!$DR$2,Aux_Clima!$A:$O,AO$8,FALSE),8))</f>
        <v/>
      </c>
      <c r="AP57" s="430" t="str">
        <f>IF(B57=0,"",IF(BF57=0,84,VLOOKUP(Envoltória!N65,Componentes!AV:AY,4,FALSE)))</f>
        <v/>
      </c>
      <c r="AQ57" s="430" t="str">
        <f>IF(B57=0,"",IF(BF57=0,90,VLOOKUP(Envoltória!N65,Componentes!AV:AY,3,FALSE)))</f>
        <v/>
      </c>
      <c r="AR57" s="430" t="str">
        <f t="shared" si="4"/>
        <v/>
      </c>
      <c r="AS57" s="430" t="str">
        <f t="shared" si="4"/>
        <v/>
      </c>
      <c r="AT57" s="430" t="str">
        <f t="shared" si="4"/>
        <v/>
      </c>
      <c r="AU57" s="430" t="str">
        <f t="shared" si="4"/>
        <v/>
      </c>
      <c r="AV57" s="430" t="str">
        <f t="shared" si="4"/>
        <v/>
      </c>
      <c r="AW57" s="416" t="str">
        <f>IF($B57=0,"",IFERROR(VLOOKUP(Envoltória!$B65,Aux_Lista!$O:$U,AW$9,FALSE),0))</f>
        <v/>
      </c>
      <c r="AX57" s="416" t="str">
        <f>IF($B57=0,"",IFERROR(VLOOKUP(Envoltória!$B65,Aux_Lista!$O:$U,AX$9,FALSE),0))</f>
        <v/>
      </c>
      <c r="AY57" s="416" t="str">
        <f>IF($B57=0,"",IFERROR(VLOOKUP(Envoltória!$B65,Aux_Lista!$O:$U,AY$9,FALSE),0))</f>
        <v/>
      </c>
      <c r="AZ57" s="416" t="str">
        <f>IF($B57=0,"",IFERROR(VLOOKUP(Envoltória!$B65,Aux_Lista!$O:$U,AZ$9,FALSE),0))</f>
        <v/>
      </c>
      <c r="BA57" s="416" t="str">
        <f>IF($B57=0,"",IFERROR(VLOOKUP(Envoltória!$B65,Aux_Lista!$O:$U,BA$9,FALSE),0))</f>
        <v/>
      </c>
      <c r="BB57" s="416" t="str">
        <f>IF($B57=0,"",IFERROR(VLOOKUP(Envoltória!$B65,Aux_Lista!$O:$U,BB$9,FALSE),0))</f>
        <v/>
      </c>
      <c r="BC57" s="416" t="str">
        <f>IFERROR(VLOOKUP(Envoltória!$H65,Aux_Lista!$W$2:$Y$3,BC$9,FALSE),"")</f>
        <v/>
      </c>
      <c r="BD57" s="416" t="str">
        <f>IFERROR(VLOOKUP(Envoltória!$H65,Aux_Lista!$W$2:$Y$3,BD$9,FALSE),"")</f>
        <v/>
      </c>
      <c r="BE57" s="430" t="str">
        <f t="shared" si="1"/>
        <v/>
      </c>
      <c r="BF57" s="430" t="str">
        <f>IF(B57=0,"",IF(Envoltória!F65="Perimetral",1,0))</f>
        <v/>
      </c>
      <c r="BG57" s="430" t="str">
        <f>IFERROR(VLOOKUP(Envoltória!$G65,$BQ$35:$BZ$43,BG$9,FALSE),"")</f>
        <v/>
      </c>
      <c r="BH57" s="430" t="str">
        <f>IFERROR(VLOOKUP(Envoltória!$G65,$BQ$35:$BZ$43,BH$9,FALSE),"")</f>
        <v/>
      </c>
      <c r="BI57" s="430" t="str">
        <f>IFERROR(VLOOKUP(Envoltória!$G65,$BQ$35:$BZ$43,BI$9,FALSE),"")</f>
        <v/>
      </c>
      <c r="BJ57" s="430" t="str">
        <f>IFERROR(VLOOKUP(Envoltória!$G65,$BQ$35:$BZ$43,BJ$9,FALSE),"")</f>
        <v/>
      </c>
      <c r="BK57" s="430" t="str">
        <f>IFERROR(VLOOKUP(Envoltória!$G65,$BQ$35:$BZ$43,BK$9,FALSE),"")</f>
        <v/>
      </c>
      <c r="BL57" s="430" t="str">
        <f>IFERROR(VLOOKUP(Envoltória!$G65,$BQ$35:$BZ$43,BL$9,FALSE),"")</f>
        <v/>
      </c>
      <c r="BM57" s="430" t="str">
        <f>IFERROR(VLOOKUP(Envoltória!$G65,$BQ$35:$BZ$43,BM$9,FALSE),"")</f>
        <v/>
      </c>
      <c r="BN57" s="430" t="str">
        <f>IFERROR(VLOOKUP(Envoltória!$G65,$BQ$35:$BZ$43,BN$9,FALSE),"")</f>
        <v/>
      </c>
      <c r="BO57" s="430" t="str">
        <f>IFERROR(VLOOKUP(Envoltória!$G65,$BQ$35:$BZ$43,BO$9,FALSE),"")</f>
        <v/>
      </c>
      <c r="BP57" s="2"/>
    </row>
    <row r="58" spans="1:68" s="13" customFormat="1" x14ac:dyDescent="0.25">
      <c r="A58" s="2">
        <v>48</v>
      </c>
      <c r="B58" s="410">
        <f>Envoltória!I66</f>
        <v>0</v>
      </c>
      <c r="C58" s="410">
        <f>Envoltória!B66</f>
        <v>0</v>
      </c>
      <c r="D58" s="410">
        <f>Envoltória!C66</f>
        <v>0</v>
      </c>
      <c r="E58" s="410">
        <f>Envoltória!D66</f>
        <v>0</v>
      </c>
      <c r="F58" s="430" t="str">
        <f>IF(B58=0,"",Envoltória!E66)</f>
        <v/>
      </c>
      <c r="G58" s="430" t="str">
        <f t="shared" si="2"/>
        <v/>
      </c>
      <c r="H58" s="430" t="str">
        <f>IF(B58=0,"",Envoltória!O66/100)</f>
        <v/>
      </c>
      <c r="I58" s="430" t="str">
        <f>IF(B58=0,"",IF(BF58=1,VLOOKUP(Envoltória!N66,Componentes!AV:AY,2,FALSE),89))</f>
        <v/>
      </c>
      <c r="J58" s="416" t="str">
        <f>IF(B58=0,"",IFERROR(VLOOKUP(Envoltória!M66,Componentes!$P:$R,2,FALSE),""))</f>
        <v/>
      </c>
      <c r="K58" s="416" t="str">
        <f>IF(B58=0,"",IFERROR(VLOOKUP(Envoltória!M66,Componentes!$P:$R,3,FALSE),""))</f>
        <v/>
      </c>
      <c r="L58" s="431" t="str">
        <f>IF(B58=0,"",IFERROR(IF(BB58&lt;&gt;0,VLOOKUP(Envoltória!L66,Componentes!K:N,2,FALSE),0),""))</f>
        <v/>
      </c>
      <c r="M58" s="431" t="str">
        <f>IF(B58=0,"",IFERROR(IF(BB58&lt;&gt;0,VLOOKUP(Envoltória!L66,Componentes!K:N,3,FALSE),0),""))</f>
        <v/>
      </c>
      <c r="N58" s="431" t="str">
        <f>IF(B58=0,"",IFERROR(IF(BB58&lt;&gt;0,VLOOKUP(Envoltória!L66,Componentes!K:N,4,FALSE),0),""))</f>
        <v/>
      </c>
      <c r="O58" s="430" t="str">
        <f>IF(B58=0,"",IF(BF58=1,VLOOKUP(Envoltória!J66,Componentes!B:E,2,FALSE),-6))</f>
        <v/>
      </c>
      <c r="P58" s="430" t="str">
        <f>IF(B58=0,"",IF(BF58=1,VLOOKUP(Envoltória!J66,Componentes!B:E,3,FALSE),-400))</f>
        <v/>
      </c>
      <c r="Q58" s="430" t="str">
        <f>IF(B58=0,"",IF(BF58=1,VLOOKUP(Envoltória!J66,Componentes!B:E,4,FALSE),0))</f>
        <v/>
      </c>
      <c r="R58" s="416" t="str">
        <f>IF(B58=0,"",IFERROR(VLOOKUP(Envoltória!K66,Componentes!G:I,2,FALSE),""))</f>
        <v/>
      </c>
      <c r="S58" s="416" t="str">
        <f>IF(B58=0,"",IFERROR(VLOOKUP(Envoltória!K66,Componentes!G:I,3,FALSE),""))</f>
        <v/>
      </c>
      <c r="T58" s="430" t="str">
        <f>IF(B58=0,"",IFERROR(IF(H58&lt;&gt;0,VLOOKUP(Envoltória!N66,Componentes!T:V,3,FALSE),0),""))</f>
        <v/>
      </c>
      <c r="U58" s="430" t="str">
        <f>IF(B58=0,"",IFERROR(IF(H58&lt;&gt;0,VLOOKUP(Envoltória!N66,Componentes!T:V,2,FALSE),0),""))</f>
        <v/>
      </c>
      <c r="V58" s="416" t="str">
        <f>IF(B58=0,"",IFERROR(IF(AA58&lt;&gt;0,VLOOKUP(Envoltória!U66,Componentes!X:Z,2,FALSE),0),0))</f>
        <v/>
      </c>
      <c r="W58" s="416" t="str">
        <f>IF(B58=0,"",IFERROR(IF(AA58&lt;&gt;0,VLOOKUP(Envoltória!U66,Componentes!X:Z,3,FALSE),0),0))</f>
        <v/>
      </c>
      <c r="X58" s="430" t="str">
        <f>IF(B58=0,"",Envoltória!U66)</f>
        <v/>
      </c>
      <c r="Y58" s="430" t="str">
        <f>IF(B58=0,"",Envoltória!S66)</f>
        <v/>
      </c>
      <c r="Z58" s="430" t="str">
        <f>IF(B58=0,"",Envoltória!T66)</f>
        <v/>
      </c>
      <c r="AA58" s="416" t="str">
        <f>IF(B58=0,"",Envoltória!Q66/100)</f>
        <v/>
      </c>
      <c r="AB58" s="434" t="str">
        <f>IF($B58=0,"",VLOOKUP(Aux_Lista!$DR$2,Aux_Clima!$A:$O,AB$8,FALSE))</f>
        <v/>
      </c>
      <c r="AC58" s="434" t="str">
        <f>IF($B58=0,"",VLOOKUP(Aux_Lista!$DR$2,Aux_Clima!$A:$O,AC$8,FALSE))</f>
        <v/>
      </c>
      <c r="AD58" s="434" t="str">
        <f>IF($B58=0,"",ROUND(VLOOKUP(Aux_Lista!$DR$2,Aux_Clima!$A:$O,AD$8,FALSE),8))</f>
        <v/>
      </c>
      <c r="AE58" s="434" t="str">
        <f>IF($B58=0,"",ROUND(VLOOKUP(Aux_Lista!$DR$2,Aux_Clima!$A:$O,AE$8,FALSE),8))</f>
        <v/>
      </c>
      <c r="AF58" s="434" t="str">
        <f>IF($B58=0,"",ROUND(VLOOKUP(Aux_Lista!$DR$2,Aux_Clima!$A:$O,AF$8,FALSE),8))</f>
        <v/>
      </c>
      <c r="AG58" s="434" t="str">
        <f>IF($B58=0,"",ROUND(VLOOKUP(Aux_Lista!$DR$2,Aux_Clima!$A:$O,AG$8,FALSE),8))</f>
        <v/>
      </c>
      <c r="AH58" s="434" t="str">
        <f>IF($B58=0,"",ROUND(VLOOKUP(Aux_Lista!$DR$2,Aux_Clima!$A:$O,AH$8,FALSE),8))</f>
        <v/>
      </c>
      <c r="AI58" s="434" t="str">
        <f>IF($B58=0,"",ROUND(VLOOKUP(Aux_Lista!$DR$2,Aux_Clima!$A:$O,AI$8,FALSE),8))</f>
        <v/>
      </c>
      <c r="AJ58" s="434" t="str">
        <f>IF($B58=0,"",ROUND(VLOOKUP(Aux_Lista!$DR$2,Aux_Clima!$A:$O,AJ$8,FALSE),3))</f>
        <v/>
      </c>
      <c r="AK58" s="434" t="str">
        <f>IF($B58=0,"",ROUND(VLOOKUP(Aux_Lista!$DR$2,Aux_Clima!$A:$O,AK$8,FALSE),3))</f>
        <v/>
      </c>
      <c r="AL58" s="434" t="str">
        <f>IF($B58=0,"",ROUND(VLOOKUP(Aux_Lista!$DR$2,Aux_Clima!$A:$O,AL$8,FALSE),3))</f>
        <v/>
      </c>
      <c r="AM58" s="434" t="str">
        <f>IF($B58=0,"",ROUND(VLOOKUP(Aux_Lista!$DR$2,Aux_Clima!$A:$O,AM$8,FALSE),8))</f>
        <v/>
      </c>
      <c r="AN58" s="434" t="str">
        <f>IF($B58=0,"",ROUND(VLOOKUP(Aux_Lista!$DR$2,Aux_Clima!$A:$O,AN$8,FALSE),8))</f>
        <v/>
      </c>
      <c r="AO58" s="434" t="str">
        <f>IF($B58=0,"",ROUND(VLOOKUP(Aux_Lista!$DR$2,Aux_Clima!$A:$O,AO$8,FALSE),8))</f>
        <v/>
      </c>
      <c r="AP58" s="430" t="str">
        <f>IF(B58=0,"",IF(BF58=0,84,VLOOKUP(Envoltória!N66,Componentes!AV:AY,4,FALSE)))</f>
        <v/>
      </c>
      <c r="AQ58" s="430" t="str">
        <f>IF(B58=0,"",IF(BF58=0,90,VLOOKUP(Envoltória!N66,Componentes!AV:AY,3,FALSE)))</f>
        <v/>
      </c>
      <c r="AR58" s="430" t="str">
        <f t="shared" si="4"/>
        <v/>
      </c>
      <c r="AS58" s="430" t="str">
        <f t="shared" si="4"/>
        <v/>
      </c>
      <c r="AT58" s="430" t="str">
        <f t="shared" si="4"/>
        <v/>
      </c>
      <c r="AU58" s="430" t="str">
        <f t="shared" si="4"/>
        <v/>
      </c>
      <c r="AV58" s="430" t="str">
        <f t="shared" si="4"/>
        <v/>
      </c>
      <c r="AW58" s="416" t="str">
        <f>IF($B58=0,"",IFERROR(VLOOKUP(Envoltória!$B66,Aux_Lista!$O:$U,AW$9,FALSE),0))</f>
        <v/>
      </c>
      <c r="AX58" s="416" t="str">
        <f>IF($B58=0,"",IFERROR(VLOOKUP(Envoltória!$B66,Aux_Lista!$O:$U,AX$9,FALSE),0))</f>
        <v/>
      </c>
      <c r="AY58" s="416" t="str">
        <f>IF($B58=0,"",IFERROR(VLOOKUP(Envoltória!$B66,Aux_Lista!$O:$U,AY$9,FALSE),0))</f>
        <v/>
      </c>
      <c r="AZ58" s="416" t="str">
        <f>IF($B58=0,"",IFERROR(VLOOKUP(Envoltória!$B66,Aux_Lista!$O:$U,AZ$9,FALSE),0))</f>
        <v/>
      </c>
      <c r="BA58" s="416" t="str">
        <f>IF($B58=0,"",IFERROR(VLOOKUP(Envoltória!$B66,Aux_Lista!$O:$U,BA$9,FALSE),0))</f>
        <v/>
      </c>
      <c r="BB58" s="416" t="str">
        <f>IF($B58=0,"",IFERROR(VLOOKUP(Envoltória!$B66,Aux_Lista!$O:$U,BB$9,FALSE),0))</f>
        <v/>
      </c>
      <c r="BC58" s="416" t="str">
        <f>IFERROR(VLOOKUP(Envoltória!$H66,Aux_Lista!$W$2:$Y$3,BC$9,FALSE),"")</f>
        <v/>
      </c>
      <c r="BD58" s="416" t="str">
        <f>IFERROR(VLOOKUP(Envoltória!$H66,Aux_Lista!$W$2:$Y$3,BD$9,FALSE),"")</f>
        <v/>
      </c>
      <c r="BE58" s="430" t="str">
        <f t="shared" si="1"/>
        <v/>
      </c>
      <c r="BF58" s="430" t="str">
        <f>IF(B58=0,"",IF(Envoltória!F66="Perimetral",1,0))</f>
        <v/>
      </c>
      <c r="BG58" s="430" t="str">
        <f>IFERROR(VLOOKUP(Envoltória!$G66,$BQ$35:$BZ$43,BG$9,FALSE),"")</f>
        <v/>
      </c>
      <c r="BH58" s="430" t="str">
        <f>IFERROR(VLOOKUP(Envoltória!$G66,$BQ$35:$BZ$43,BH$9,FALSE),"")</f>
        <v/>
      </c>
      <c r="BI58" s="430" t="str">
        <f>IFERROR(VLOOKUP(Envoltória!$G66,$BQ$35:$BZ$43,BI$9,FALSE),"")</f>
        <v/>
      </c>
      <c r="BJ58" s="430" t="str">
        <f>IFERROR(VLOOKUP(Envoltória!$G66,$BQ$35:$BZ$43,BJ$9,FALSE),"")</f>
        <v/>
      </c>
      <c r="BK58" s="430" t="str">
        <f>IFERROR(VLOOKUP(Envoltória!$G66,$BQ$35:$BZ$43,BK$9,FALSE),"")</f>
        <v/>
      </c>
      <c r="BL58" s="430" t="str">
        <f>IFERROR(VLOOKUP(Envoltória!$G66,$BQ$35:$BZ$43,BL$9,FALSE),"")</f>
        <v/>
      </c>
      <c r="BM58" s="430" t="str">
        <f>IFERROR(VLOOKUP(Envoltória!$G66,$BQ$35:$BZ$43,BM$9,FALSE),"")</f>
        <v/>
      </c>
      <c r="BN58" s="430" t="str">
        <f>IFERROR(VLOOKUP(Envoltória!$G66,$BQ$35:$BZ$43,BN$9,FALSE),"")</f>
        <v/>
      </c>
      <c r="BO58" s="430" t="str">
        <f>IFERROR(VLOOKUP(Envoltória!$G66,$BQ$35:$BZ$43,BO$9,FALSE),"")</f>
        <v/>
      </c>
      <c r="BP58" s="2"/>
    </row>
    <row r="59" spans="1:68" s="13" customFormat="1" x14ac:dyDescent="0.25">
      <c r="A59" s="2">
        <v>49</v>
      </c>
      <c r="B59" s="410">
        <f>Envoltória!I67</f>
        <v>0</v>
      </c>
      <c r="C59" s="410">
        <f>Envoltória!B67</f>
        <v>0</v>
      </c>
      <c r="D59" s="410">
        <f>Envoltória!C67</f>
        <v>0</v>
      </c>
      <c r="E59" s="410">
        <f>Envoltória!D67</f>
        <v>0</v>
      </c>
      <c r="F59" s="430" t="str">
        <f>IF(B59=0,"",Envoltória!E67)</f>
        <v/>
      </c>
      <c r="G59" s="430" t="str">
        <f t="shared" si="2"/>
        <v/>
      </c>
      <c r="H59" s="430" t="str">
        <f>IF(B59=0,"",Envoltória!O67/100)</f>
        <v/>
      </c>
      <c r="I59" s="430" t="str">
        <f>IF(B59=0,"",IF(BF59=1,VLOOKUP(Envoltória!N67,Componentes!AV:AY,2,FALSE),89))</f>
        <v/>
      </c>
      <c r="J59" s="416" t="str">
        <f>IF(B59=0,"",IFERROR(VLOOKUP(Envoltória!M67,Componentes!$P:$R,2,FALSE),""))</f>
        <v/>
      </c>
      <c r="K59" s="416" t="str">
        <f>IF(B59=0,"",IFERROR(VLOOKUP(Envoltória!M67,Componentes!$P:$R,3,FALSE),""))</f>
        <v/>
      </c>
      <c r="L59" s="431" t="str">
        <f>IF(B59=0,"",IFERROR(IF(BB59&lt;&gt;0,VLOOKUP(Envoltória!L67,Componentes!K:N,2,FALSE),0),""))</f>
        <v/>
      </c>
      <c r="M59" s="431" t="str">
        <f>IF(B59=0,"",IFERROR(IF(BB59&lt;&gt;0,VLOOKUP(Envoltória!L67,Componentes!K:N,3,FALSE),0),""))</f>
        <v/>
      </c>
      <c r="N59" s="431" t="str">
        <f>IF(B59=0,"",IFERROR(IF(BB59&lt;&gt;0,VLOOKUP(Envoltória!L67,Componentes!K:N,4,FALSE),0),""))</f>
        <v/>
      </c>
      <c r="O59" s="430" t="str">
        <f>IF(B59=0,"",IF(BF59=1,VLOOKUP(Envoltória!J67,Componentes!B:E,2,FALSE),-6))</f>
        <v/>
      </c>
      <c r="P59" s="430" t="str">
        <f>IF(B59=0,"",IF(BF59=1,VLOOKUP(Envoltória!J67,Componentes!B:E,3,FALSE),-400))</f>
        <v/>
      </c>
      <c r="Q59" s="430" t="str">
        <f>IF(B59=0,"",IF(BF59=1,VLOOKUP(Envoltória!J67,Componentes!B:E,4,FALSE),0))</f>
        <v/>
      </c>
      <c r="R59" s="416" t="str">
        <f>IF(B59=0,"",IFERROR(VLOOKUP(Envoltória!K67,Componentes!G:I,2,FALSE),""))</f>
        <v/>
      </c>
      <c r="S59" s="416" t="str">
        <f>IF(B59=0,"",IFERROR(VLOOKUP(Envoltória!K67,Componentes!G:I,3,FALSE),""))</f>
        <v/>
      </c>
      <c r="T59" s="430" t="str">
        <f>IF(B59=0,"",IFERROR(IF(H59&lt;&gt;0,VLOOKUP(Envoltória!N67,Componentes!T:V,3,FALSE),0),""))</f>
        <v/>
      </c>
      <c r="U59" s="430" t="str">
        <f>IF(B59=0,"",IFERROR(IF(H59&lt;&gt;0,VLOOKUP(Envoltória!N67,Componentes!T:V,2,FALSE),0),""))</f>
        <v/>
      </c>
      <c r="V59" s="416" t="str">
        <f>IF(B59=0,"",IFERROR(IF(AA59&lt;&gt;0,VLOOKUP(Envoltória!U67,Componentes!X:Z,2,FALSE),0),0))</f>
        <v/>
      </c>
      <c r="W59" s="416" t="str">
        <f>IF(B59=0,"",IFERROR(IF(AA59&lt;&gt;0,VLOOKUP(Envoltória!U67,Componentes!X:Z,3,FALSE),0),0))</f>
        <v/>
      </c>
      <c r="X59" s="430" t="str">
        <f>IF(B59=0,"",Envoltória!U67)</f>
        <v/>
      </c>
      <c r="Y59" s="430" t="str">
        <f>IF(B59=0,"",Envoltória!S67)</f>
        <v/>
      </c>
      <c r="Z59" s="430" t="str">
        <f>IF(B59=0,"",Envoltória!T67)</f>
        <v/>
      </c>
      <c r="AA59" s="416" t="str">
        <f>IF(B59=0,"",Envoltória!Q67/100)</f>
        <v/>
      </c>
      <c r="AB59" s="434" t="str">
        <f>IF($B59=0,"",VLOOKUP(Aux_Lista!$DR$2,Aux_Clima!$A:$O,AB$8,FALSE))</f>
        <v/>
      </c>
      <c r="AC59" s="434" t="str">
        <f>IF($B59=0,"",VLOOKUP(Aux_Lista!$DR$2,Aux_Clima!$A:$O,AC$8,FALSE))</f>
        <v/>
      </c>
      <c r="AD59" s="434" t="str">
        <f>IF($B59=0,"",ROUND(VLOOKUP(Aux_Lista!$DR$2,Aux_Clima!$A:$O,AD$8,FALSE),8))</f>
        <v/>
      </c>
      <c r="AE59" s="434" t="str">
        <f>IF($B59=0,"",ROUND(VLOOKUP(Aux_Lista!$DR$2,Aux_Clima!$A:$O,AE$8,FALSE),8))</f>
        <v/>
      </c>
      <c r="AF59" s="434" t="str">
        <f>IF($B59=0,"",ROUND(VLOOKUP(Aux_Lista!$DR$2,Aux_Clima!$A:$O,AF$8,FALSE),8))</f>
        <v/>
      </c>
      <c r="AG59" s="434" t="str">
        <f>IF($B59=0,"",ROUND(VLOOKUP(Aux_Lista!$DR$2,Aux_Clima!$A:$O,AG$8,FALSE),8))</f>
        <v/>
      </c>
      <c r="AH59" s="434" t="str">
        <f>IF($B59=0,"",ROUND(VLOOKUP(Aux_Lista!$DR$2,Aux_Clima!$A:$O,AH$8,FALSE),8))</f>
        <v/>
      </c>
      <c r="AI59" s="434" t="str">
        <f>IF($B59=0,"",ROUND(VLOOKUP(Aux_Lista!$DR$2,Aux_Clima!$A:$O,AI$8,FALSE),8))</f>
        <v/>
      </c>
      <c r="AJ59" s="434" t="str">
        <f>IF($B59=0,"",ROUND(VLOOKUP(Aux_Lista!$DR$2,Aux_Clima!$A:$O,AJ$8,FALSE),3))</f>
        <v/>
      </c>
      <c r="AK59" s="434" t="str">
        <f>IF($B59=0,"",ROUND(VLOOKUP(Aux_Lista!$DR$2,Aux_Clima!$A:$O,AK$8,FALSE),3))</f>
        <v/>
      </c>
      <c r="AL59" s="434" t="str">
        <f>IF($B59=0,"",ROUND(VLOOKUP(Aux_Lista!$DR$2,Aux_Clima!$A:$O,AL$8,FALSE),3))</f>
        <v/>
      </c>
      <c r="AM59" s="434" t="str">
        <f>IF($B59=0,"",ROUND(VLOOKUP(Aux_Lista!$DR$2,Aux_Clima!$A:$O,AM$8,FALSE),8))</f>
        <v/>
      </c>
      <c r="AN59" s="434" t="str">
        <f>IF($B59=0,"",ROUND(VLOOKUP(Aux_Lista!$DR$2,Aux_Clima!$A:$O,AN$8,FALSE),8))</f>
        <v/>
      </c>
      <c r="AO59" s="434" t="str">
        <f>IF($B59=0,"",ROUND(VLOOKUP(Aux_Lista!$DR$2,Aux_Clima!$A:$O,AO$8,FALSE),8))</f>
        <v/>
      </c>
      <c r="AP59" s="430" t="str">
        <f>IF(B59=0,"",IF(BF59=0,84,VLOOKUP(Envoltória!N67,Componentes!AV:AY,4,FALSE)))</f>
        <v/>
      </c>
      <c r="AQ59" s="430" t="str">
        <f>IF(B59=0,"",IF(BF59=0,90,VLOOKUP(Envoltória!N67,Componentes!AV:AY,3,FALSE)))</f>
        <v/>
      </c>
      <c r="AR59" s="430" t="str">
        <f t="shared" si="4"/>
        <v/>
      </c>
      <c r="AS59" s="430" t="str">
        <f t="shared" si="4"/>
        <v/>
      </c>
      <c r="AT59" s="430" t="str">
        <f t="shared" si="4"/>
        <v/>
      </c>
      <c r="AU59" s="430" t="str">
        <f t="shared" si="4"/>
        <v/>
      </c>
      <c r="AV59" s="430" t="str">
        <f t="shared" si="4"/>
        <v/>
      </c>
      <c r="AW59" s="416" t="str">
        <f>IF($B59=0,"",IFERROR(VLOOKUP(Envoltória!$B67,Aux_Lista!$O:$U,AW$9,FALSE),0))</f>
        <v/>
      </c>
      <c r="AX59" s="416" t="str">
        <f>IF($B59=0,"",IFERROR(VLOOKUP(Envoltória!$B67,Aux_Lista!$O:$U,AX$9,FALSE),0))</f>
        <v/>
      </c>
      <c r="AY59" s="416" t="str">
        <f>IF($B59=0,"",IFERROR(VLOOKUP(Envoltória!$B67,Aux_Lista!$O:$U,AY$9,FALSE),0))</f>
        <v/>
      </c>
      <c r="AZ59" s="416" t="str">
        <f>IF($B59=0,"",IFERROR(VLOOKUP(Envoltória!$B67,Aux_Lista!$O:$U,AZ$9,FALSE),0))</f>
        <v/>
      </c>
      <c r="BA59" s="416" t="str">
        <f>IF($B59=0,"",IFERROR(VLOOKUP(Envoltória!$B67,Aux_Lista!$O:$U,BA$9,FALSE),0))</f>
        <v/>
      </c>
      <c r="BB59" s="416" t="str">
        <f>IF($B59=0,"",IFERROR(VLOOKUP(Envoltória!$B67,Aux_Lista!$O:$U,BB$9,FALSE),0))</f>
        <v/>
      </c>
      <c r="BC59" s="416" t="str">
        <f>IFERROR(VLOOKUP(Envoltória!$H67,Aux_Lista!$W$2:$Y$3,BC$9,FALSE),"")</f>
        <v/>
      </c>
      <c r="BD59" s="416" t="str">
        <f>IFERROR(VLOOKUP(Envoltória!$H67,Aux_Lista!$W$2:$Y$3,BD$9,FALSE),"")</f>
        <v/>
      </c>
      <c r="BE59" s="430" t="str">
        <f t="shared" si="1"/>
        <v/>
      </c>
      <c r="BF59" s="430" t="str">
        <f>IF(B59=0,"",IF(Envoltória!F67="Perimetral",1,0))</f>
        <v/>
      </c>
      <c r="BG59" s="430" t="str">
        <f>IFERROR(VLOOKUP(Envoltória!$G67,$BQ$35:$BZ$43,BG$9,FALSE),"")</f>
        <v/>
      </c>
      <c r="BH59" s="430" t="str">
        <f>IFERROR(VLOOKUP(Envoltória!$G67,$BQ$35:$BZ$43,BH$9,FALSE),"")</f>
        <v/>
      </c>
      <c r="BI59" s="430" t="str">
        <f>IFERROR(VLOOKUP(Envoltória!$G67,$BQ$35:$BZ$43,BI$9,FALSE),"")</f>
        <v/>
      </c>
      <c r="BJ59" s="430" t="str">
        <f>IFERROR(VLOOKUP(Envoltória!$G67,$BQ$35:$BZ$43,BJ$9,FALSE),"")</f>
        <v/>
      </c>
      <c r="BK59" s="430" t="str">
        <f>IFERROR(VLOOKUP(Envoltória!$G67,$BQ$35:$BZ$43,BK$9,FALSE),"")</f>
        <v/>
      </c>
      <c r="BL59" s="430" t="str">
        <f>IFERROR(VLOOKUP(Envoltória!$G67,$BQ$35:$BZ$43,BL$9,FALSE),"")</f>
        <v/>
      </c>
      <c r="BM59" s="430" t="str">
        <f>IFERROR(VLOOKUP(Envoltória!$G67,$BQ$35:$BZ$43,BM$9,FALSE),"")</f>
        <v/>
      </c>
      <c r="BN59" s="430" t="str">
        <f>IFERROR(VLOOKUP(Envoltória!$G67,$BQ$35:$BZ$43,BN$9,FALSE),"")</f>
        <v/>
      </c>
      <c r="BO59" s="430" t="str">
        <f>IFERROR(VLOOKUP(Envoltória!$G67,$BQ$35:$BZ$43,BO$9,FALSE),"")</f>
        <v/>
      </c>
      <c r="BP59" s="2"/>
    </row>
    <row r="60" spans="1:68" s="13" customFormat="1" x14ac:dyDescent="0.25">
      <c r="A60" s="2">
        <v>50</v>
      </c>
      <c r="B60" s="410">
        <f>Envoltória!I68</f>
        <v>0</v>
      </c>
      <c r="C60" s="410">
        <f>Envoltória!B68</f>
        <v>0</v>
      </c>
      <c r="D60" s="410">
        <f>Envoltória!C68</f>
        <v>0</v>
      </c>
      <c r="E60" s="410">
        <f>Envoltória!D68</f>
        <v>0</v>
      </c>
      <c r="F60" s="430" t="str">
        <f>IF(B60=0,"",Envoltória!E68)</f>
        <v/>
      </c>
      <c r="G60" s="430" t="str">
        <f t="shared" si="2"/>
        <v/>
      </c>
      <c r="H60" s="430" t="str">
        <f>IF(B60=0,"",Envoltória!O68/100)</f>
        <v/>
      </c>
      <c r="I60" s="430" t="str">
        <f>IF(B60=0,"",IF(BF60=1,VLOOKUP(Envoltória!N68,Componentes!AV:AY,2,FALSE),89))</f>
        <v/>
      </c>
      <c r="J60" s="416" t="str">
        <f>IF(B60=0,"",IFERROR(VLOOKUP(Envoltória!M68,Componentes!$P:$R,2,FALSE),""))</f>
        <v/>
      </c>
      <c r="K60" s="416" t="str">
        <f>IF(B60=0,"",IFERROR(VLOOKUP(Envoltória!M68,Componentes!$P:$R,3,FALSE),""))</f>
        <v/>
      </c>
      <c r="L60" s="431" t="str">
        <f>IF(B60=0,"",IFERROR(IF(BB60&lt;&gt;0,VLOOKUP(Envoltória!L68,Componentes!K:N,2,FALSE),0),""))</f>
        <v/>
      </c>
      <c r="M60" s="431" t="str">
        <f>IF(B60=0,"",IFERROR(IF(BB60&lt;&gt;0,VLOOKUP(Envoltória!L68,Componentes!K:N,3,FALSE),0),""))</f>
        <v/>
      </c>
      <c r="N60" s="431" t="str">
        <f>IF(B60=0,"",IFERROR(IF(BB60&lt;&gt;0,VLOOKUP(Envoltória!L68,Componentes!K:N,4,FALSE),0),""))</f>
        <v/>
      </c>
      <c r="O60" s="430" t="str">
        <f>IF(B60=0,"",IF(BF60=1,VLOOKUP(Envoltória!J68,Componentes!B:E,2,FALSE),-6))</f>
        <v/>
      </c>
      <c r="P60" s="430" t="str">
        <f>IF(B60=0,"",IF(BF60=1,VLOOKUP(Envoltória!J68,Componentes!B:E,3,FALSE),-400))</f>
        <v/>
      </c>
      <c r="Q60" s="430" t="str">
        <f>IF(B60=0,"",IF(BF60=1,VLOOKUP(Envoltória!J68,Componentes!B:E,4,FALSE),0))</f>
        <v/>
      </c>
      <c r="R60" s="416" t="str">
        <f>IF(B60=0,"",IFERROR(VLOOKUP(Envoltória!K68,Componentes!G:I,2,FALSE),""))</f>
        <v/>
      </c>
      <c r="S60" s="416" t="str">
        <f>IF(B60=0,"",IFERROR(VLOOKUP(Envoltória!K68,Componentes!G:I,3,FALSE),""))</f>
        <v/>
      </c>
      <c r="T60" s="430" t="str">
        <f>IF(B60=0,"",IFERROR(IF(H60&lt;&gt;0,VLOOKUP(Envoltória!N68,Componentes!T:V,3,FALSE),0),""))</f>
        <v/>
      </c>
      <c r="U60" s="430" t="str">
        <f>IF(B60=0,"",IFERROR(IF(H60&lt;&gt;0,VLOOKUP(Envoltória!N68,Componentes!T:V,2,FALSE),0),""))</f>
        <v/>
      </c>
      <c r="V60" s="416" t="str">
        <f>IF(B60=0,"",IFERROR(IF(AA60&lt;&gt;0,VLOOKUP(Envoltória!U68,Componentes!X:Z,2,FALSE),0),0))</f>
        <v/>
      </c>
      <c r="W60" s="416" t="str">
        <f>IF(B60=0,"",IFERROR(IF(AA60&lt;&gt;0,VLOOKUP(Envoltória!U68,Componentes!X:Z,3,FALSE),0),0))</f>
        <v/>
      </c>
      <c r="X60" s="430" t="str">
        <f>IF(B60=0,"",Envoltória!U68)</f>
        <v/>
      </c>
      <c r="Y60" s="430" t="str">
        <f>IF(B60=0,"",Envoltória!S68)</f>
        <v/>
      </c>
      <c r="Z60" s="430" t="str">
        <f>IF(B60=0,"",Envoltória!T68)</f>
        <v/>
      </c>
      <c r="AA60" s="416" t="str">
        <f>IF(B60=0,"",Envoltória!Q68/100)</f>
        <v/>
      </c>
      <c r="AB60" s="434" t="str">
        <f>IF($B60=0,"",VLOOKUP(Aux_Lista!$DR$2,Aux_Clima!$A:$O,AB$8,FALSE))</f>
        <v/>
      </c>
      <c r="AC60" s="434" t="str">
        <f>IF($B60=0,"",VLOOKUP(Aux_Lista!$DR$2,Aux_Clima!$A:$O,AC$8,FALSE))</f>
        <v/>
      </c>
      <c r="AD60" s="434" t="str">
        <f>IF($B60=0,"",ROUND(VLOOKUP(Aux_Lista!$DR$2,Aux_Clima!$A:$O,AD$8,FALSE),8))</f>
        <v/>
      </c>
      <c r="AE60" s="434" t="str">
        <f>IF($B60=0,"",ROUND(VLOOKUP(Aux_Lista!$DR$2,Aux_Clima!$A:$O,AE$8,FALSE),8))</f>
        <v/>
      </c>
      <c r="AF60" s="434" t="str">
        <f>IF($B60=0,"",ROUND(VLOOKUP(Aux_Lista!$DR$2,Aux_Clima!$A:$O,AF$8,FALSE),8))</f>
        <v/>
      </c>
      <c r="AG60" s="434" t="str">
        <f>IF($B60=0,"",ROUND(VLOOKUP(Aux_Lista!$DR$2,Aux_Clima!$A:$O,AG$8,FALSE),8))</f>
        <v/>
      </c>
      <c r="AH60" s="434" t="str">
        <f>IF($B60=0,"",ROUND(VLOOKUP(Aux_Lista!$DR$2,Aux_Clima!$A:$O,AH$8,FALSE),8))</f>
        <v/>
      </c>
      <c r="AI60" s="434" t="str">
        <f>IF($B60=0,"",ROUND(VLOOKUP(Aux_Lista!$DR$2,Aux_Clima!$A:$O,AI$8,FALSE),8))</f>
        <v/>
      </c>
      <c r="AJ60" s="434" t="str">
        <f>IF($B60=0,"",ROUND(VLOOKUP(Aux_Lista!$DR$2,Aux_Clima!$A:$O,AJ$8,FALSE),3))</f>
        <v/>
      </c>
      <c r="AK60" s="434" t="str">
        <f>IF($B60=0,"",ROUND(VLOOKUP(Aux_Lista!$DR$2,Aux_Clima!$A:$O,AK$8,FALSE),3))</f>
        <v/>
      </c>
      <c r="AL60" s="434" t="str">
        <f>IF($B60=0,"",ROUND(VLOOKUP(Aux_Lista!$DR$2,Aux_Clima!$A:$O,AL$8,FALSE),3))</f>
        <v/>
      </c>
      <c r="AM60" s="434" t="str">
        <f>IF($B60=0,"",ROUND(VLOOKUP(Aux_Lista!$DR$2,Aux_Clima!$A:$O,AM$8,FALSE),8))</f>
        <v/>
      </c>
      <c r="AN60" s="434" t="str">
        <f>IF($B60=0,"",ROUND(VLOOKUP(Aux_Lista!$DR$2,Aux_Clima!$A:$O,AN$8,FALSE),8))</f>
        <v/>
      </c>
      <c r="AO60" s="434" t="str">
        <f>IF($B60=0,"",ROUND(VLOOKUP(Aux_Lista!$DR$2,Aux_Clima!$A:$O,AO$8,FALSE),8))</f>
        <v/>
      </c>
      <c r="AP60" s="430" t="str">
        <f>IF(B60=0,"",IF(BF60=0,84,VLOOKUP(Envoltória!N68,Componentes!AV:AY,4,FALSE)))</f>
        <v/>
      </c>
      <c r="AQ60" s="430" t="str">
        <f>IF(B60=0,"",IF(BF60=0,90,VLOOKUP(Envoltória!N68,Componentes!AV:AY,3,FALSE)))</f>
        <v/>
      </c>
      <c r="AR60" s="430" t="str">
        <f t="shared" si="4"/>
        <v/>
      </c>
      <c r="AS60" s="430" t="str">
        <f t="shared" si="4"/>
        <v/>
      </c>
      <c r="AT60" s="430" t="str">
        <f t="shared" si="4"/>
        <v/>
      </c>
      <c r="AU60" s="430" t="str">
        <f t="shared" si="4"/>
        <v/>
      </c>
      <c r="AV60" s="430" t="str">
        <f t="shared" si="4"/>
        <v/>
      </c>
      <c r="AW60" s="416" t="str">
        <f>IF($B60=0,"",IFERROR(VLOOKUP(Envoltória!$B68,Aux_Lista!$O:$U,AW$9,FALSE),0))</f>
        <v/>
      </c>
      <c r="AX60" s="416" t="str">
        <f>IF($B60=0,"",IFERROR(VLOOKUP(Envoltória!$B68,Aux_Lista!$O:$U,AX$9,FALSE),0))</f>
        <v/>
      </c>
      <c r="AY60" s="416" t="str">
        <f>IF($B60=0,"",IFERROR(VLOOKUP(Envoltória!$B68,Aux_Lista!$O:$U,AY$9,FALSE),0))</f>
        <v/>
      </c>
      <c r="AZ60" s="416" t="str">
        <f>IF($B60=0,"",IFERROR(VLOOKUP(Envoltória!$B68,Aux_Lista!$O:$U,AZ$9,FALSE),0))</f>
        <v/>
      </c>
      <c r="BA60" s="416" t="str">
        <f>IF($B60=0,"",IFERROR(VLOOKUP(Envoltória!$B68,Aux_Lista!$O:$U,BA$9,FALSE),0))</f>
        <v/>
      </c>
      <c r="BB60" s="416" t="str">
        <f>IF($B60=0,"",IFERROR(VLOOKUP(Envoltória!$B68,Aux_Lista!$O:$U,BB$9,FALSE),0))</f>
        <v/>
      </c>
      <c r="BC60" s="416" t="str">
        <f>IFERROR(VLOOKUP(Envoltória!$H68,Aux_Lista!$W$2:$Y$3,BC$9,FALSE),"")</f>
        <v/>
      </c>
      <c r="BD60" s="416" t="str">
        <f>IFERROR(VLOOKUP(Envoltória!$H68,Aux_Lista!$W$2:$Y$3,BD$9,FALSE),"")</f>
        <v/>
      </c>
      <c r="BE60" s="430" t="str">
        <f t="shared" si="1"/>
        <v/>
      </c>
      <c r="BF60" s="430" t="str">
        <f>IF(B60=0,"",IF(Envoltória!F68="Perimetral",1,0))</f>
        <v/>
      </c>
      <c r="BG60" s="430" t="str">
        <f>IFERROR(VLOOKUP(Envoltória!$G68,$BQ$35:$BZ$43,BG$9,FALSE),"")</f>
        <v/>
      </c>
      <c r="BH60" s="430" t="str">
        <f>IFERROR(VLOOKUP(Envoltória!$G68,$BQ$35:$BZ$43,BH$9,FALSE),"")</f>
        <v/>
      </c>
      <c r="BI60" s="430" t="str">
        <f>IFERROR(VLOOKUP(Envoltória!$G68,$BQ$35:$BZ$43,BI$9,FALSE),"")</f>
        <v/>
      </c>
      <c r="BJ60" s="430" t="str">
        <f>IFERROR(VLOOKUP(Envoltória!$G68,$BQ$35:$BZ$43,BJ$9,FALSE),"")</f>
        <v/>
      </c>
      <c r="BK60" s="430" t="str">
        <f>IFERROR(VLOOKUP(Envoltória!$G68,$BQ$35:$BZ$43,BK$9,FALSE),"")</f>
        <v/>
      </c>
      <c r="BL60" s="430" t="str">
        <f>IFERROR(VLOOKUP(Envoltória!$G68,$BQ$35:$BZ$43,BL$9,FALSE),"")</f>
        <v/>
      </c>
      <c r="BM60" s="430" t="str">
        <f>IFERROR(VLOOKUP(Envoltória!$G68,$BQ$35:$BZ$43,BM$9,FALSE),"")</f>
        <v/>
      </c>
      <c r="BN60" s="430" t="str">
        <f>IFERROR(VLOOKUP(Envoltória!$G68,$BQ$35:$BZ$43,BN$9,FALSE),"")</f>
        <v/>
      </c>
      <c r="BO60" s="430" t="str">
        <f>IFERROR(VLOOKUP(Envoltória!$G68,$BQ$35:$BZ$43,BO$9,FALSE),"")</f>
        <v/>
      </c>
      <c r="BP60" s="2"/>
    </row>
    <row r="61" spans="1:68" s="13" customFormat="1" x14ac:dyDescent="0.25">
      <c r="A61" s="2">
        <v>51</v>
      </c>
      <c r="B61" s="410">
        <f>Envoltória!I69</f>
        <v>0</v>
      </c>
      <c r="C61" s="410">
        <f>Envoltória!B69</f>
        <v>0</v>
      </c>
      <c r="D61" s="410">
        <f>Envoltória!C69</f>
        <v>0</v>
      </c>
      <c r="E61" s="410">
        <f>Envoltória!D69</f>
        <v>0</v>
      </c>
      <c r="F61" s="430" t="str">
        <f>IF(B61=0,"",Envoltória!E69)</f>
        <v/>
      </c>
      <c r="G61" s="430" t="str">
        <f t="shared" si="2"/>
        <v/>
      </c>
      <c r="H61" s="430" t="str">
        <f>IF(B61=0,"",Envoltória!O69/100)</f>
        <v/>
      </c>
      <c r="I61" s="430" t="str">
        <f>IF(B61=0,"",IF(BF61=1,VLOOKUP(Envoltória!N69,Componentes!AV:AY,2,FALSE),89))</f>
        <v/>
      </c>
      <c r="J61" s="416" t="str">
        <f>IF(B61=0,"",IFERROR(VLOOKUP(Envoltória!M69,Componentes!$P:$R,2,FALSE),""))</f>
        <v/>
      </c>
      <c r="K61" s="416" t="str">
        <f>IF(B61=0,"",IFERROR(VLOOKUP(Envoltória!M69,Componentes!$P:$R,3,FALSE),""))</f>
        <v/>
      </c>
      <c r="L61" s="431" t="str">
        <f>IF(B61=0,"",IFERROR(IF(BB61&lt;&gt;0,VLOOKUP(Envoltória!L69,Componentes!K:N,2,FALSE),0),""))</f>
        <v/>
      </c>
      <c r="M61" s="431" t="str">
        <f>IF(B61=0,"",IFERROR(IF(BB61&lt;&gt;0,VLOOKUP(Envoltória!L69,Componentes!K:N,3,FALSE),0),""))</f>
        <v/>
      </c>
      <c r="N61" s="431" t="str">
        <f>IF(B61=0,"",IFERROR(IF(BB61&lt;&gt;0,VLOOKUP(Envoltória!L69,Componentes!K:N,4,FALSE),0),""))</f>
        <v/>
      </c>
      <c r="O61" s="430" t="str">
        <f>IF(B61=0,"",IF(BF61=1,VLOOKUP(Envoltória!J69,Componentes!B:E,2,FALSE),-6))</f>
        <v/>
      </c>
      <c r="P61" s="430" t="str">
        <f>IF(B61=0,"",IF(BF61=1,VLOOKUP(Envoltória!J69,Componentes!B:E,3,FALSE),-400))</f>
        <v/>
      </c>
      <c r="Q61" s="430" t="str">
        <f>IF(B61=0,"",IF(BF61=1,VLOOKUP(Envoltória!J69,Componentes!B:E,4,FALSE),0))</f>
        <v/>
      </c>
      <c r="R61" s="416" t="str">
        <f>IF(B61=0,"",IFERROR(VLOOKUP(Envoltória!K69,Componentes!G:I,2,FALSE),""))</f>
        <v/>
      </c>
      <c r="S61" s="416" t="str">
        <f>IF(B61=0,"",IFERROR(VLOOKUP(Envoltória!K69,Componentes!G:I,3,FALSE),""))</f>
        <v/>
      </c>
      <c r="T61" s="430" t="str">
        <f>IF(B61=0,"",IFERROR(IF(H61&lt;&gt;0,VLOOKUP(Envoltória!N69,Componentes!T:V,3,FALSE),0),""))</f>
        <v/>
      </c>
      <c r="U61" s="430" t="str">
        <f>IF(B61=0,"",IFERROR(IF(H61&lt;&gt;0,VLOOKUP(Envoltória!N69,Componentes!T:V,2,FALSE),0),""))</f>
        <v/>
      </c>
      <c r="V61" s="416" t="str">
        <f>IF(B61=0,"",IFERROR(IF(AA61&lt;&gt;0,VLOOKUP(Envoltória!U69,Componentes!X:Z,2,FALSE),0),0))</f>
        <v/>
      </c>
      <c r="W61" s="416" t="str">
        <f>IF(B61=0,"",IFERROR(IF(AA61&lt;&gt;0,VLOOKUP(Envoltória!U69,Componentes!X:Z,3,FALSE),0),0))</f>
        <v/>
      </c>
      <c r="X61" s="430" t="str">
        <f>IF(B61=0,"",Envoltória!U69)</f>
        <v/>
      </c>
      <c r="Y61" s="430" t="str">
        <f>IF(B61=0,"",Envoltória!S69)</f>
        <v/>
      </c>
      <c r="Z61" s="430" t="str">
        <f>IF(B61=0,"",Envoltória!T69)</f>
        <v/>
      </c>
      <c r="AA61" s="416" t="str">
        <f>IF(B61=0,"",Envoltória!Q69/100)</f>
        <v/>
      </c>
      <c r="AB61" s="434" t="str">
        <f>IF($B61=0,"",VLOOKUP(Aux_Lista!$DR$2,Aux_Clima!$A:$O,AB$8,FALSE))</f>
        <v/>
      </c>
      <c r="AC61" s="434" t="str">
        <f>IF($B61=0,"",VLOOKUP(Aux_Lista!$DR$2,Aux_Clima!$A:$O,AC$8,FALSE))</f>
        <v/>
      </c>
      <c r="AD61" s="434" t="str">
        <f>IF($B61=0,"",ROUND(VLOOKUP(Aux_Lista!$DR$2,Aux_Clima!$A:$O,AD$8,FALSE),8))</f>
        <v/>
      </c>
      <c r="AE61" s="434" t="str">
        <f>IF($B61=0,"",ROUND(VLOOKUP(Aux_Lista!$DR$2,Aux_Clima!$A:$O,AE$8,FALSE),8))</f>
        <v/>
      </c>
      <c r="AF61" s="434" t="str">
        <f>IF($B61=0,"",ROUND(VLOOKUP(Aux_Lista!$DR$2,Aux_Clima!$A:$O,AF$8,FALSE),8))</f>
        <v/>
      </c>
      <c r="AG61" s="434" t="str">
        <f>IF($B61=0,"",ROUND(VLOOKUP(Aux_Lista!$DR$2,Aux_Clima!$A:$O,AG$8,FALSE),8))</f>
        <v/>
      </c>
      <c r="AH61" s="434" t="str">
        <f>IF($B61=0,"",ROUND(VLOOKUP(Aux_Lista!$DR$2,Aux_Clima!$A:$O,AH$8,FALSE),8))</f>
        <v/>
      </c>
      <c r="AI61" s="434" t="str">
        <f>IF($B61=0,"",ROUND(VLOOKUP(Aux_Lista!$DR$2,Aux_Clima!$A:$O,AI$8,FALSE),8))</f>
        <v/>
      </c>
      <c r="AJ61" s="434" t="str">
        <f>IF($B61=0,"",ROUND(VLOOKUP(Aux_Lista!$DR$2,Aux_Clima!$A:$O,AJ$8,FALSE),3))</f>
        <v/>
      </c>
      <c r="AK61" s="434" t="str">
        <f>IF($B61=0,"",ROUND(VLOOKUP(Aux_Lista!$DR$2,Aux_Clima!$A:$O,AK$8,FALSE),3))</f>
        <v/>
      </c>
      <c r="AL61" s="434" t="str">
        <f>IF($B61=0,"",ROUND(VLOOKUP(Aux_Lista!$DR$2,Aux_Clima!$A:$O,AL$8,FALSE),3))</f>
        <v/>
      </c>
      <c r="AM61" s="434" t="str">
        <f>IF($B61=0,"",ROUND(VLOOKUP(Aux_Lista!$DR$2,Aux_Clima!$A:$O,AM$8,FALSE),8))</f>
        <v/>
      </c>
      <c r="AN61" s="434" t="str">
        <f>IF($B61=0,"",ROUND(VLOOKUP(Aux_Lista!$DR$2,Aux_Clima!$A:$O,AN$8,FALSE),8))</f>
        <v/>
      </c>
      <c r="AO61" s="434" t="str">
        <f>IF($B61=0,"",ROUND(VLOOKUP(Aux_Lista!$DR$2,Aux_Clima!$A:$O,AO$8,FALSE),8))</f>
        <v/>
      </c>
      <c r="AP61" s="430" t="str">
        <f>IF(B61=0,"",IF(BF61=0,84,VLOOKUP(Envoltória!N69,Componentes!AV:AY,4,FALSE)))</f>
        <v/>
      </c>
      <c r="AQ61" s="430" t="str">
        <f>IF(B61=0,"",IF(BF61=0,90,VLOOKUP(Envoltória!N69,Componentes!AV:AY,3,FALSE)))</f>
        <v/>
      </c>
      <c r="AR61" s="430" t="str">
        <f t="shared" si="4"/>
        <v/>
      </c>
      <c r="AS61" s="430" t="str">
        <f t="shared" si="4"/>
        <v/>
      </c>
      <c r="AT61" s="430" t="str">
        <f t="shared" si="4"/>
        <v/>
      </c>
      <c r="AU61" s="430" t="str">
        <f t="shared" si="4"/>
        <v/>
      </c>
      <c r="AV61" s="430" t="str">
        <f t="shared" si="4"/>
        <v/>
      </c>
      <c r="AW61" s="416" t="str">
        <f>IF($B61=0,"",IFERROR(VLOOKUP(Envoltória!$B69,Aux_Lista!$O:$U,AW$9,FALSE),0))</f>
        <v/>
      </c>
      <c r="AX61" s="416" t="str">
        <f>IF($B61=0,"",IFERROR(VLOOKUP(Envoltória!$B69,Aux_Lista!$O:$U,AX$9,FALSE),0))</f>
        <v/>
      </c>
      <c r="AY61" s="416" t="str">
        <f>IF($B61=0,"",IFERROR(VLOOKUP(Envoltória!$B69,Aux_Lista!$O:$U,AY$9,FALSE),0))</f>
        <v/>
      </c>
      <c r="AZ61" s="416" t="str">
        <f>IF($B61=0,"",IFERROR(VLOOKUP(Envoltória!$B69,Aux_Lista!$O:$U,AZ$9,FALSE),0))</f>
        <v/>
      </c>
      <c r="BA61" s="416" t="str">
        <f>IF($B61=0,"",IFERROR(VLOOKUP(Envoltória!$B69,Aux_Lista!$O:$U,BA$9,FALSE),0))</f>
        <v/>
      </c>
      <c r="BB61" s="416" t="str">
        <f>IF($B61=0,"",IFERROR(VLOOKUP(Envoltória!$B69,Aux_Lista!$O:$U,BB$9,FALSE),0))</f>
        <v/>
      </c>
      <c r="BC61" s="416" t="str">
        <f>IFERROR(VLOOKUP(Envoltória!$H69,Aux_Lista!$W$2:$Y$3,BC$9,FALSE),"")</f>
        <v/>
      </c>
      <c r="BD61" s="416" t="str">
        <f>IFERROR(VLOOKUP(Envoltória!$H69,Aux_Lista!$W$2:$Y$3,BD$9,FALSE),"")</f>
        <v/>
      </c>
      <c r="BE61" s="430" t="str">
        <f t="shared" si="1"/>
        <v/>
      </c>
      <c r="BF61" s="430" t="str">
        <f>IF(B61=0,"",IF(Envoltória!F69="Perimetral",1,0))</f>
        <v/>
      </c>
      <c r="BG61" s="430" t="str">
        <f>IFERROR(VLOOKUP(Envoltória!$G69,$BQ$35:$BZ$43,BG$9,FALSE),"")</f>
        <v/>
      </c>
      <c r="BH61" s="430" t="str">
        <f>IFERROR(VLOOKUP(Envoltória!$G69,$BQ$35:$BZ$43,BH$9,FALSE),"")</f>
        <v/>
      </c>
      <c r="BI61" s="430" t="str">
        <f>IFERROR(VLOOKUP(Envoltória!$G69,$BQ$35:$BZ$43,BI$9,FALSE),"")</f>
        <v/>
      </c>
      <c r="BJ61" s="430" t="str">
        <f>IFERROR(VLOOKUP(Envoltória!$G69,$BQ$35:$BZ$43,BJ$9,FALSE),"")</f>
        <v/>
      </c>
      <c r="BK61" s="430" t="str">
        <f>IFERROR(VLOOKUP(Envoltória!$G69,$BQ$35:$BZ$43,BK$9,FALSE),"")</f>
        <v/>
      </c>
      <c r="BL61" s="430" t="str">
        <f>IFERROR(VLOOKUP(Envoltória!$G69,$BQ$35:$BZ$43,BL$9,FALSE),"")</f>
        <v/>
      </c>
      <c r="BM61" s="430" t="str">
        <f>IFERROR(VLOOKUP(Envoltória!$G69,$BQ$35:$BZ$43,BM$9,FALSE),"")</f>
        <v/>
      </c>
      <c r="BN61" s="430" t="str">
        <f>IFERROR(VLOOKUP(Envoltória!$G69,$BQ$35:$BZ$43,BN$9,FALSE),"")</f>
        <v/>
      </c>
      <c r="BO61" s="430" t="str">
        <f>IFERROR(VLOOKUP(Envoltória!$G69,$BQ$35:$BZ$43,BO$9,FALSE),"")</f>
        <v/>
      </c>
      <c r="BP61" s="2"/>
    </row>
    <row r="62" spans="1:68" s="13" customFormat="1" x14ac:dyDescent="0.25">
      <c r="A62" s="2">
        <v>52</v>
      </c>
      <c r="B62" s="410">
        <f>Envoltória!I70</f>
        <v>0</v>
      </c>
      <c r="C62" s="410">
        <f>Envoltória!B70</f>
        <v>0</v>
      </c>
      <c r="D62" s="410">
        <f>Envoltória!C70</f>
        <v>0</v>
      </c>
      <c r="E62" s="410">
        <f>Envoltória!D70</f>
        <v>0</v>
      </c>
      <c r="F62" s="430" t="str">
        <f>IF(B62=0,"",Envoltória!E70)</f>
        <v/>
      </c>
      <c r="G62" s="430" t="str">
        <f t="shared" si="2"/>
        <v/>
      </c>
      <c r="H62" s="430" t="str">
        <f>IF(B62=0,"",Envoltória!O70/100)</f>
        <v/>
      </c>
      <c r="I62" s="430" t="str">
        <f>IF(B62=0,"",IF(BF62=1,VLOOKUP(Envoltória!N70,Componentes!AV:AY,2,FALSE),89))</f>
        <v/>
      </c>
      <c r="J62" s="416" t="str">
        <f>IF(B62=0,"",IFERROR(VLOOKUP(Envoltória!M70,Componentes!$P:$R,2,FALSE),""))</f>
        <v/>
      </c>
      <c r="K62" s="416" t="str">
        <f>IF(B62=0,"",IFERROR(VLOOKUP(Envoltória!M70,Componentes!$P:$R,3,FALSE),""))</f>
        <v/>
      </c>
      <c r="L62" s="431" t="str">
        <f>IF(B62=0,"",IFERROR(IF(BB62&lt;&gt;0,VLOOKUP(Envoltória!L70,Componentes!K:N,2,FALSE),0),""))</f>
        <v/>
      </c>
      <c r="M62" s="431" t="str">
        <f>IF(B62=0,"",IFERROR(IF(BB62&lt;&gt;0,VLOOKUP(Envoltória!L70,Componentes!K:N,3,FALSE),0),""))</f>
        <v/>
      </c>
      <c r="N62" s="431" t="str">
        <f>IF(B62=0,"",IFERROR(IF(BB62&lt;&gt;0,VLOOKUP(Envoltória!L70,Componentes!K:N,4,FALSE),0),""))</f>
        <v/>
      </c>
      <c r="O62" s="430" t="str">
        <f>IF(B62=0,"",IF(BF62=1,VLOOKUP(Envoltória!J70,Componentes!B:E,2,FALSE),-6))</f>
        <v/>
      </c>
      <c r="P62" s="430" t="str">
        <f>IF(B62=0,"",IF(BF62=1,VLOOKUP(Envoltória!J70,Componentes!B:E,3,FALSE),-400))</f>
        <v/>
      </c>
      <c r="Q62" s="430" t="str">
        <f>IF(B62=0,"",IF(BF62=1,VLOOKUP(Envoltória!J70,Componentes!B:E,4,FALSE),0))</f>
        <v/>
      </c>
      <c r="R62" s="416" t="str">
        <f>IF(B62=0,"",IFERROR(VLOOKUP(Envoltória!K70,Componentes!G:I,2,FALSE),""))</f>
        <v/>
      </c>
      <c r="S62" s="416" t="str">
        <f>IF(B62=0,"",IFERROR(VLOOKUP(Envoltória!K70,Componentes!G:I,3,FALSE),""))</f>
        <v/>
      </c>
      <c r="T62" s="430" t="str">
        <f>IF(B62=0,"",IFERROR(IF(H62&lt;&gt;0,VLOOKUP(Envoltória!N70,Componentes!T:V,3,FALSE),0),""))</f>
        <v/>
      </c>
      <c r="U62" s="430" t="str">
        <f>IF(B62=0,"",IFERROR(IF(H62&lt;&gt;0,VLOOKUP(Envoltória!N70,Componentes!T:V,2,FALSE),0),""))</f>
        <v/>
      </c>
      <c r="V62" s="416" t="str">
        <f>IF(B62=0,"",IFERROR(IF(AA62&lt;&gt;0,VLOOKUP(Envoltória!U70,Componentes!X:Z,2,FALSE),0),0))</f>
        <v/>
      </c>
      <c r="W62" s="416" t="str">
        <f>IF(B62=0,"",IFERROR(IF(AA62&lt;&gt;0,VLOOKUP(Envoltória!U70,Componentes!X:Z,3,FALSE),0),0))</f>
        <v/>
      </c>
      <c r="X62" s="430" t="str">
        <f>IF(B62=0,"",Envoltória!U70)</f>
        <v/>
      </c>
      <c r="Y62" s="430" t="str">
        <f>IF(B62=0,"",Envoltória!S70)</f>
        <v/>
      </c>
      <c r="Z62" s="430" t="str">
        <f>IF(B62=0,"",Envoltória!T70)</f>
        <v/>
      </c>
      <c r="AA62" s="416" t="str">
        <f>IF(B62=0,"",Envoltória!Q70/100)</f>
        <v/>
      </c>
      <c r="AB62" s="434" t="str">
        <f>IF($B62=0,"",VLOOKUP(Aux_Lista!$DR$2,Aux_Clima!$A:$O,AB$8,FALSE))</f>
        <v/>
      </c>
      <c r="AC62" s="434" t="str">
        <f>IF($B62=0,"",VLOOKUP(Aux_Lista!$DR$2,Aux_Clima!$A:$O,AC$8,FALSE))</f>
        <v/>
      </c>
      <c r="AD62" s="434" t="str">
        <f>IF($B62=0,"",ROUND(VLOOKUP(Aux_Lista!$DR$2,Aux_Clima!$A:$O,AD$8,FALSE),8))</f>
        <v/>
      </c>
      <c r="AE62" s="434" t="str">
        <f>IF($B62=0,"",ROUND(VLOOKUP(Aux_Lista!$DR$2,Aux_Clima!$A:$O,AE$8,FALSE),8))</f>
        <v/>
      </c>
      <c r="AF62" s="434" t="str">
        <f>IF($B62=0,"",ROUND(VLOOKUP(Aux_Lista!$DR$2,Aux_Clima!$A:$O,AF$8,FALSE),8))</f>
        <v/>
      </c>
      <c r="AG62" s="434" t="str">
        <f>IF($B62=0,"",ROUND(VLOOKUP(Aux_Lista!$DR$2,Aux_Clima!$A:$O,AG$8,FALSE),8))</f>
        <v/>
      </c>
      <c r="AH62" s="434" t="str">
        <f>IF($B62=0,"",ROUND(VLOOKUP(Aux_Lista!$DR$2,Aux_Clima!$A:$O,AH$8,FALSE),8))</f>
        <v/>
      </c>
      <c r="AI62" s="434" t="str">
        <f>IF($B62=0,"",ROUND(VLOOKUP(Aux_Lista!$DR$2,Aux_Clima!$A:$O,AI$8,FALSE),8))</f>
        <v/>
      </c>
      <c r="AJ62" s="434" t="str">
        <f>IF($B62=0,"",ROUND(VLOOKUP(Aux_Lista!$DR$2,Aux_Clima!$A:$O,AJ$8,FALSE),3))</f>
        <v/>
      </c>
      <c r="AK62" s="434" t="str">
        <f>IF($B62=0,"",ROUND(VLOOKUP(Aux_Lista!$DR$2,Aux_Clima!$A:$O,AK$8,FALSE),3))</f>
        <v/>
      </c>
      <c r="AL62" s="434" t="str">
        <f>IF($B62=0,"",ROUND(VLOOKUP(Aux_Lista!$DR$2,Aux_Clima!$A:$O,AL$8,FALSE),3))</f>
        <v/>
      </c>
      <c r="AM62" s="434" t="str">
        <f>IF($B62=0,"",ROUND(VLOOKUP(Aux_Lista!$DR$2,Aux_Clima!$A:$O,AM$8,FALSE),8))</f>
        <v/>
      </c>
      <c r="AN62" s="434" t="str">
        <f>IF($B62=0,"",ROUND(VLOOKUP(Aux_Lista!$DR$2,Aux_Clima!$A:$O,AN$8,FALSE),8))</f>
        <v/>
      </c>
      <c r="AO62" s="434" t="str">
        <f>IF($B62=0,"",ROUND(VLOOKUP(Aux_Lista!$DR$2,Aux_Clima!$A:$O,AO$8,FALSE),8))</f>
        <v/>
      </c>
      <c r="AP62" s="430" t="str">
        <f>IF(B62=0,"",IF(BF62=0,84,VLOOKUP(Envoltória!N70,Componentes!AV:AY,4,FALSE)))</f>
        <v/>
      </c>
      <c r="AQ62" s="430" t="str">
        <f>IF(B62=0,"",IF(BF62=0,90,VLOOKUP(Envoltória!N70,Componentes!AV:AY,3,FALSE)))</f>
        <v/>
      </c>
      <c r="AR62" s="430" t="str">
        <f t="shared" si="4"/>
        <v/>
      </c>
      <c r="AS62" s="430" t="str">
        <f t="shared" si="4"/>
        <v/>
      </c>
      <c r="AT62" s="430" t="str">
        <f t="shared" si="4"/>
        <v/>
      </c>
      <c r="AU62" s="430" t="str">
        <f t="shared" si="4"/>
        <v/>
      </c>
      <c r="AV62" s="430" t="str">
        <f t="shared" si="4"/>
        <v/>
      </c>
      <c r="AW62" s="416" t="str">
        <f>IF($B62=0,"",IFERROR(VLOOKUP(Envoltória!$B70,Aux_Lista!$O:$U,AW$9,FALSE),0))</f>
        <v/>
      </c>
      <c r="AX62" s="416" t="str">
        <f>IF($B62=0,"",IFERROR(VLOOKUP(Envoltória!$B70,Aux_Lista!$O:$U,AX$9,FALSE),0))</f>
        <v/>
      </c>
      <c r="AY62" s="416" t="str">
        <f>IF($B62=0,"",IFERROR(VLOOKUP(Envoltória!$B70,Aux_Lista!$O:$U,AY$9,FALSE),0))</f>
        <v/>
      </c>
      <c r="AZ62" s="416" t="str">
        <f>IF($B62=0,"",IFERROR(VLOOKUP(Envoltória!$B70,Aux_Lista!$O:$U,AZ$9,FALSE),0))</f>
        <v/>
      </c>
      <c r="BA62" s="416" t="str">
        <f>IF($B62=0,"",IFERROR(VLOOKUP(Envoltória!$B70,Aux_Lista!$O:$U,BA$9,FALSE),0))</f>
        <v/>
      </c>
      <c r="BB62" s="416" t="str">
        <f>IF($B62=0,"",IFERROR(VLOOKUP(Envoltória!$B70,Aux_Lista!$O:$U,BB$9,FALSE),0))</f>
        <v/>
      </c>
      <c r="BC62" s="416" t="str">
        <f>IFERROR(VLOOKUP(Envoltória!$H70,Aux_Lista!$W$2:$Y$3,BC$9,FALSE),"")</f>
        <v/>
      </c>
      <c r="BD62" s="416" t="str">
        <f>IFERROR(VLOOKUP(Envoltória!$H70,Aux_Lista!$W$2:$Y$3,BD$9,FALSE),"")</f>
        <v/>
      </c>
      <c r="BE62" s="430" t="str">
        <f t="shared" si="1"/>
        <v/>
      </c>
      <c r="BF62" s="430" t="str">
        <f>IF(B62=0,"",IF(Envoltória!F70="Perimetral",1,0))</f>
        <v/>
      </c>
      <c r="BG62" s="430" t="str">
        <f>IFERROR(VLOOKUP(Envoltória!$G70,$BQ$35:$BZ$43,BG$9,FALSE),"")</f>
        <v/>
      </c>
      <c r="BH62" s="430" t="str">
        <f>IFERROR(VLOOKUP(Envoltória!$G70,$BQ$35:$BZ$43,BH$9,FALSE),"")</f>
        <v/>
      </c>
      <c r="BI62" s="430" t="str">
        <f>IFERROR(VLOOKUP(Envoltória!$G70,$BQ$35:$BZ$43,BI$9,FALSE),"")</f>
        <v/>
      </c>
      <c r="BJ62" s="430" t="str">
        <f>IFERROR(VLOOKUP(Envoltória!$G70,$BQ$35:$BZ$43,BJ$9,FALSE),"")</f>
        <v/>
      </c>
      <c r="BK62" s="430" t="str">
        <f>IFERROR(VLOOKUP(Envoltória!$G70,$BQ$35:$BZ$43,BK$9,FALSE),"")</f>
        <v/>
      </c>
      <c r="BL62" s="430" t="str">
        <f>IFERROR(VLOOKUP(Envoltória!$G70,$BQ$35:$BZ$43,BL$9,FALSE),"")</f>
        <v/>
      </c>
      <c r="BM62" s="430" t="str">
        <f>IFERROR(VLOOKUP(Envoltória!$G70,$BQ$35:$BZ$43,BM$9,FALSE),"")</f>
        <v/>
      </c>
      <c r="BN62" s="430" t="str">
        <f>IFERROR(VLOOKUP(Envoltória!$G70,$BQ$35:$BZ$43,BN$9,FALSE),"")</f>
        <v/>
      </c>
      <c r="BO62" s="430" t="str">
        <f>IFERROR(VLOOKUP(Envoltória!$G70,$BQ$35:$BZ$43,BO$9,FALSE),"")</f>
        <v/>
      </c>
      <c r="BP62" s="2"/>
    </row>
    <row r="63" spans="1:68" s="13" customFormat="1" x14ac:dyDescent="0.25">
      <c r="A63" s="2">
        <v>53</v>
      </c>
      <c r="B63" s="410">
        <f>Envoltória!I71</f>
        <v>0</v>
      </c>
      <c r="C63" s="410">
        <f>Envoltória!B71</f>
        <v>0</v>
      </c>
      <c r="D63" s="410">
        <f>Envoltória!C71</f>
        <v>0</v>
      </c>
      <c r="E63" s="410">
        <f>Envoltória!D71</f>
        <v>0</v>
      </c>
      <c r="F63" s="430" t="str">
        <f>IF(B63=0,"",Envoltória!E71)</f>
        <v/>
      </c>
      <c r="G63" s="430" t="str">
        <f t="shared" si="2"/>
        <v/>
      </c>
      <c r="H63" s="430" t="str">
        <f>IF(B63=0,"",Envoltória!O71/100)</f>
        <v/>
      </c>
      <c r="I63" s="430" t="str">
        <f>IF(B63=0,"",IF(BF63=1,VLOOKUP(Envoltória!N71,Componentes!AV:AY,2,FALSE),89))</f>
        <v/>
      </c>
      <c r="J63" s="416" t="str">
        <f>IF(B63=0,"",IFERROR(VLOOKUP(Envoltória!M71,Componentes!$P:$R,2,FALSE),""))</f>
        <v/>
      </c>
      <c r="K63" s="416" t="str">
        <f>IF(B63=0,"",IFERROR(VLOOKUP(Envoltória!M71,Componentes!$P:$R,3,FALSE),""))</f>
        <v/>
      </c>
      <c r="L63" s="431" t="str">
        <f>IF(B63=0,"",IFERROR(IF(BB63&lt;&gt;0,VLOOKUP(Envoltória!L71,Componentes!K:N,2,FALSE),0),""))</f>
        <v/>
      </c>
      <c r="M63" s="431" t="str">
        <f>IF(B63=0,"",IFERROR(IF(BB63&lt;&gt;0,VLOOKUP(Envoltória!L71,Componentes!K:N,3,FALSE),0),""))</f>
        <v/>
      </c>
      <c r="N63" s="431" t="str">
        <f>IF(B63=0,"",IFERROR(IF(BB63&lt;&gt;0,VLOOKUP(Envoltória!L71,Componentes!K:N,4,FALSE),0),""))</f>
        <v/>
      </c>
      <c r="O63" s="430" t="str">
        <f>IF(B63=0,"",IF(BF63=1,VLOOKUP(Envoltória!J71,Componentes!B:E,2,FALSE),-6))</f>
        <v/>
      </c>
      <c r="P63" s="430" t="str">
        <f>IF(B63=0,"",IF(BF63=1,VLOOKUP(Envoltória!J71,Componentes!B:E,3,FALSE),-400))</f>
        <v/>
      </c>
      <c r="Q63" s="430" t="str">
        <f>IF(B63=0,"",IF(BF63=1,VLOOKUP(Envoltória!J71,Componentes!B:E,4,FALSE),0))</f>
        <v/>
      </c>
      <c r="R63" s="416" t="str">
        <f>IF(B63=0,"",IFERROR(VLOOKUP(Envoltória!K71,Componentes!G:I,2,FALSE),""))</f>
        <v/>
      </c>
      <c r="S63" s="416" t="str">
        <f>IF(B63=0,"",IFERROR(VLOOKUP(Envoltória!K71,Componentes!G:I,3,FALSE),""))</f>
        <v/>
      </c>
      <c r="T63" s="430" t="str">
        <f>IF(B63=0,"",IFERROR(IF(H63&lt;&gt;0,VLOOKUP(Envoltória!N71,Componentes!T:V,3,FALSE),0),""))</f>
        <v/>
      </c>
      <c r="U63" s="430" t="str">
        <f>IF(B63=0,"",IFERROR(IF(H63&lt;&gt;0,VLOOKUP(Envoltória!N71,Componentes!T:V,2,FALSE),0),""))</f>
        <v/>
      </c>
      <c r="V63" s="416" t="str">
        <f>IF(B63=0,"",IFERROR(IF(AA63&lt;&gt;0,VLOOKUP(Envoltória!U71,Componentes!X:Z,2,FALSE),0),0))</f>
        <v/>
      </c>
      <c r="W63" s="416" t="str">
        <f>IF(B63=0,"",IFERROR(IF(AA63&lt;&gt;0,VLOOKUP(Envoltória!U71,Componentes!X:Z,3,FALSE),0),0))</f>
        <v/>
      </c>
      <c r="X63" s="430" t="str">
        <f>IF(B63=0,"",Envoltória!U71)</f>
        <v/>
      </c>
      <c r="Y63" s="430" t="str">
        <f>IF(B63=0,"",Envoltória!S71)</f>
        <v/>
      </c>
      <c r="Z63" s="430" t="str">
        <f>IF(B63=0,"",Envoltória!T71)</f>
        <v/>
      </c>
      <c r="AA63" s="416" t="str">
        <f>IF(B63=0,"",Envoltória!Q71/100)</f>
        <v/>
      </c>
      <c r="AB63" s="434" t="str">
        <f>IF($B63=0,"",VLOOKUP(Aux_Lista!$DR$2,Aux_Clima!$A:$O,AB$8,FALSE))</f>
        <v/>
      </c>
      <c r="AC63" s="434" t="str">
        <f>IF($B63=0,"",VLOOKUP(Aux_Lista!$DR$2,Aux_Clima!$A:$O,AC$8,FALSE))</f>
        <v/>
      </c>
      <c r="AD63" s="434" t="str">
        <f>IF($B63=0,"",ROUND(VLOOKUP(Aux_Lista!$DR$2,Aux_Clima!$A:$O,AD$8,FALSE),8))</f>
        <v/>
      </c>
      <c r="AE63" s="434" t="str">
        <f>IF($B63=0,"",ROUND(VLOOKUP(Aux_Lista!$DR$2,Aux_Clima!$A:$O,AE$8,FALSE),8))</f>
        <v/>
      </c>
      <c r="AF63" s="434" t="str">
        <f>IF($B63=0,"",ROUND(VLOOKUP(Aux_Lista!$DR$2,Aux_Clima!$A:$O,AF$8,FALSE),8))</f>
        <v/>
      </c>
      <c r="AG63" s="434" t="str">
        <f>IF($B63=0,"",ROUND(VLOOKUP(Aux_Lista!$DR$2,Aux_Clima!$A:$O,AG$8,FALSE),8))</f>
        <v/>
      </c>
      <c r="AH63" s="434" t="str">
        <f>IF($B63=0,"",ROUND(VLOOKUP(Aux_Lista!$DR$2,Aux_Clima!$A:$O,AH$8,FALSE),8))</f>
        <v/>
      </c>
      <c r="AI63" s="434" t="str">
        <f>IF($B63=0,"",ROUND(VLOOKUP(Aux_Lista!$DR$2,Aux_Clima!$A:$O,AI$8,FALSE),8))</f>
        <v/>
      </c>
      <c r="AJ63" s="434" t="str">
        <f>IF($B63=0,"",ROUND(VLOOKUP(Aux_Lista!$DR$2,Aux_Clima!$A:$O,AJ$8,FALSE),3))</f>
        <v/>
      </c>
      <c r="AK63" s="434" t="str">
        <f>IF($B63=0,"",ROUND(VLOOKUP(Aux_Lista!$DR$2,Aux_Clima!$A:$O,AK$8,FALSE),3))</f>
        <v/>
      </c>
      <c r="AL63" s="434" t="str">
        <f>IF($B63=0,"",ROUND(VLOOKUP(Aux_Lista!$DR$2,Aux_Clima!$A:$O,AL$8,FALSE),3))</f>
        <v/>
      </c>
      <c r="AM63" s="434" t="str">
        <f>IF($B63=0,"",ROUND(VLOOKUP(Aux_Lista!$DR$2,Aux_Clima!$A:$O,AM$8,FALSE),8))</f>
        <v/>
      </c>
      <c r="AN63" s="434" t="str">
        <f>IF($B63=0,"",ROUND(VLOOKUP(Aux_Lista!$DR$2,Aux_Clima!$A:$O,AN$8,FALSE),8))</f>
        <v/>
      </c>
      <c r="AO63" s="434" t="str">
        <f>IF($B63=0,"",ROUND(VLOOKUP(Aux_Lista!$DR$2,Aux_Clima!$A:$O,AO$8,FALSE),8))</f>
        <v/>
      </c>
      <c r="AP63" s="430" t="str">
        <f>IF(B63=0,"",IF(BF63=0,84,VLOOKUP(Envoltória!N71,Componentes!AV:AY,4,FALSE)))</f>
        <v/>
      </c>
      <c r="AQ63" s="430" t="str">
        <f>IF(B63=0,"",IF(BF63=0,90,VLOOKUP(Envoltória!N71,Componentes!AV:AY,3,FALSE)))</f>
        <v/>
      </c>
      <c r="AR63" s="430" t="str">
        <f t="shared" si="4"/>
        <v/>
      </c>
      <c r="AS63" s="430" t="str">
        <f t="shared" si="4"/>
        <v/>
      </c>
      <c r="AT63" s="430" t="str">
        <f t="shared" si="4"/>
        <v/>
      </c>
      <c r="AU63" s="430" t="str">
        <f t="shared" si="4"/>
        <v/>
      </c>
      <c r="AV63" s="430" t="str">
        <f t="shared" si="4"/>
        <v/>
      </c>
      <c r="AW63" s="416" t="str">
        <f>IF($B63=0,"",IFERROR(VLOOKUP(Envoltória!$B71,Aux_Lista!$O:$U,AW$9,FALSE),0))</f>
        <v/>
      </c>
      <c r="AX63" s="416" t="str">
        <f>IF($B63=0,"",IFERROR(VLOOKUP(Envoltória!$B71,Aux_Lista!$O:$U,AX$9,FALSE),0))</f>
        <v/>
      </c>
      <c r="AY63" s="416" t="str">
        <f>IF($B63=0,"",IFERROR(VLOOKUP(Envoltória!$B71,Aux_Lista!$O:$U,AY$9,FALSE),0))</f>
        <v/>
      </c>
      <c r="AZ63" s="416" t="str">
        <f>IF($B63=0,"",IFERROR(VLOOKUP(Envoltória!$B71,Aux_Lista!$O:$U,AZ$9,FALSE),0))</f>
        <v/>
      </c>
      <c r="BA63" s="416" t="str">
        <f>IF($B63=0,"",IFERROR(VLOOKUP(Envoltória!$B71,Aux_Lista!$O:$U,BA$9,FALSE),0))</f>
        <v/>
      </c>
      <c r="BB63" s="416" t="str">
        <f>IF($B63=0,"",IFERROR(VLOOKUP(Envoltória!$B71,Aux_Lista!$O:$U,BB$9,FALSE),0))</f>
        <v/>
      </c>
      <c r="BC63" s="416" t="str">
        <f>IFERROR(VLOOKUP(Envoltória!$H71,Aux_Lista!$W$2:$Y$3,BC$9,FALSE),"")</f>
        <v/>
      </c>
      <c r="BD63" s="416" t="str">
        <f>IFERROR(VLOOKUP(Envoltória!$H71,Aux_Lista!$W$2:$Y$3,BD$9,FALSE),"")</f>
        <v/>
      </c>
      <c r="BE63" s="430" t="str">
        <f t="shared" si="1"/>
        <v/>
      </c>
      <c r="BF63" s="430" t="str">
        <f>IF(B63=0,"",IF(Envoltória!F71="Perimetral",1,0))</f>
        <v/>
      </c>
      <c r="BG63" s="430" t="str">
        <f>IFERROR(VLOOKUP(Envoltória!$G71,$BQ$35:$BZ$43,BG$9,FALSE),"")</f>
        <v/>
      </c>
      <c r="BH63" s="430" t="str">
        <f>IFERROR(VLOOKUP(Envoltória!$G71,$BQ$35:$BZ$43,BH$9,FALSE),"")</f>
        <v/>
      </c>
      <c r="BI63" s="430" t="str">
        <f>IFERROR(VLOOKUP(Envoltória!$G71,$BQ$35:$BZ$43,BI$9,FALSE),"")</f>
        <v/>
      </c>
      <c r="BJ63" s="430" t="str">
        <f>IFERROR(VLOOKUP(Envoltória!$G71,$BQ$35:$BZ$43,BJ$9,FALSE),"")</f>
        <v/>
      </c>
      <c r="BK63" s="430" t="str">
        <f>IFERROR(VLOOKUP(Envoltória!$G71,$BQ$35:$BZ$43,BK$9,FALSE),"")</f>
        <v/>
      </c>
      <c r="BL63" s="430" t="str">
        <f>IFERROR(VLOOKUP(Envoltória!$G71,$BQ$35:$BZ$43,BL$9,FALSE),"")</f>
        <v/>
      </c>
      <c r="BM63" s="430" t="str">
        <f>IFERROR(VLOOKUP(Envoltória!$G71,$BQ$35:$BZ$43,BM$9,FALSE),"")</f>
        <v/>
      </c>
      <c r="BN63" s="430" t="str">
        <f>IFERROR(VLOOKUP(Envoltória!$G71,$BQ$35:$BZ$43,BN$9,FALSE),"")</f>
        <v/>
      </c>
      <c r="BO63" s="430" t="str">
        <f>IFERROR(VLOOKUP(Envoltória!$G71,$BQ$35:$BZ$43,BO$9,FALSE),"")</f>
        <v/>
      </c>
      <c r="BP63" s="2"/>
    </row>
    <row r="64" spans="1:68" s="13" customFormat="1" x14ac:dyDescent="0.25">
      <c r="A64" s="2">
        <v>54</v>
      </c>
      <c r="B64" s="410">
        <f>Envoltória!I72</f>
        <v>0</v>
      </c>
      <c r="C64" s="410">
        <f>Envoltória!B72</f>
        <v>0</v>
      </c>
      <c r="D64" s="410">
        <f>Envoltória!C72</f>
        <v>0</v>
      </c>
      <c r="E64" s="410">
        <f>Envoltória!D72</f>
        <v>0</v>
      </c>
      <c r="F64" s="430" t="str">
        <f>IF(B64=0,"",Envoltória!E72)</f>
        <v/>
      </c>
      <c r="G64" s="430" t="str">
        <f t="shared" si="2"/>
        <v/>
      </c>
      <c r="H64" s="430" t="str">
        <f>IF(B64=0,"",Envoltória!O72/100)</f>
        <v/>
      </c>
      <c r="I64" s="430" t="str">
        <f>IF(B64=0,"",IF(BF64=1,VLOOKUP(Envoltória!N72,Componentes!AV:AY,2,FALSE),89))</f>
        <v/>
      </c>
      <c r="J64" s="416" t="str">
        <f>IF(B64=0,"",IFERROR(VLOOKUP(Envoltória!M72,Componentes!$P:$R,2,FALSE),""))</f>
        <v/>
      </c>
      <c r="K64" s="416" t="str">
        <f>IF(B64=0,"",IFERROR(VLOOKUP(Envoltória!M72,Componentes!$P:$R,3,FALSE),""))</f>
        <v/>
      </c>
      <c r="L64" s="431" t="str">
        <f>IF(B64=0,"",IFERROR(IF(BB64&lt;&gt;0,VLOOKUP(Envoltória!L72,Componentes!K:N,2,FALSE),0),""))</f>
        <v/>
      </c>
      <c r="M64" s="431" t="str">
        <f>IF(B64=0,"",IFERROR(IF(BB64&lt;&gt;0,VLOOKUP(Envoltória!L72,Componentes!K:N,3,FALSE),0),""))</f>
        <v/>
      </c>
      <c r="N64" s="431" t="str">
        <f>IF(B64=0,"",IFERROR(IF(BB64&lt;&gt;0,VLOOKUP(Envoltória!L72,Componentes!K:N,4,FALSE),0),""))</f>
        <v/>
      </c>
      <c r="O64" s="430" t="str">
        <f>IF(B64=0,"",IF(BF64=1,VLOOKUP(Envoltória!J72,Componentes!B:E,2,FALSE),-6))</f>
        <v/>
      </c>
      <c r="P64" s="430" t="str">
        <f>IF(B64=0,"",IF(BF64=1,VLOOKUP(Envoltória!J72,Componentes!B:E,3,FALSE),-400))</f>
        <v/>
      </c>
      <c r="Q64" s="430" t="str">
        <f>IF(B64=0,"",IF(BF64=1,VLOOKUP(Envoltória!J72,Componentes!B:E,4,FALSE),0))</f>
        <v/>
      </c>
      <c r="R64" s="416" t="str">
        <f>IF(B64=0,"",IFERROR(VLOOKUP(Envoltória!K72,Componentes!G:I,2,FALSE),""))</f>
        <v/>
      </c>
      <c r="S64" s="416" t="str">
        <f>IF(B64=0,"",IFERROR(VLOOKUP(Envoltória!K72,Componentes!G:I,3,FALSE),""))</f>
        <v/>
      </c>
      <c r="T64" s="430" t="str">
        <f>IF(B64=0,"",IFERROR(IF(H64&lt;&gt;0,VLOOKUP(Envoltória!N72,Componentes!T:V,3,FALSE),0),""))</f>
        <v/>
      </c>
      <c r="U64" s="430" t="str">
        <f>IF(B64=0,"",IFERROR(IF(H64&lt;&gt;0,VLOOKUP(Envoltória!N72,Componentes!T:V,2,FALSE),0),""))</f>
        <v/>
      </c>
      <c r="V64" s="416" t="str">
        <f>IF(B64=0,"",IFERROR(IF(AA64&lt;&gt;0,VLOOKUP(Envoltória!U72,Componentes!X:Z,2,FALSE),0),0))</f>
        <v/>
      </c>
      <c r="W64" s="416" t="str">
        <f>IF(B64=0,"",IFERROR(IF(AA64&lt;&gt;0,VLOOKUP(Envoltória!U72,Componentes!X:Z,3,FALSE),0),0))</f>
        <v/>
      </c>
      <c r="X64" s="430" t="str">
        <f>IF(B64=0,"",Envoltória!U72)</f>
        <v/>
      </c>
      <c r="Y64" s="430" t="str">
        <f>IF(B64=0,"",Envoltória!S72)</f>
        <v/>
      </c>
      <c r="Z64" s="430" t="str">
        <f>IF(B64=0,"",Envoltória!T72)</f>
        <v/>
      </c>
      <c r="AA64" s="416" t="str">
        <f>IF(B64=0,"",Envoltória!Q72/100)</f>
        <v/>
      </c>
      <c r="AB64" s="434" t="str">
        <f>IF($B64=0,"",VLOOKUP(Aux_Lista!$DR$2,Aux_Clima!$A:$O,AB$8,FALSE))</f>
        <v/>
      </c>
      <c r="AC64" s="434" t="str">
        <f>IF($B64=0,"",VLOOKUP(Aux_Lista!$DR$2,Aux_Clima!$A:$O,AC$8,FALSE))</f>
        <v/>
      </c>
      <c r="AD64" s="434" t="str">
        <f>IF($B64=0,"",ROUND(VLOOKUP(Aux_Lista!$DR$2,Aux_Clima!$A:$O,AD$8,FALSE),8))</f>
        <v/>
      </c>
      <c r="AE64" s="434" t="str">
        <f>IF($B64=0,"",ROUND(VLOOKUP(Aux_Lista!$DR$2,Aux_Clima!$A:$O,AE$8,FALSE),8))</f>
        <v/>
      </c>
      <c r="AF64" s="434" t="str">
        <f>IF($B64=0,"",ROUND(VLOOKUP(Aux_Lista!$DR$2,Aux_Clima!$A:$O,AF$8,FALSE),8))</f>
        <v/>
      </c>
      <c r="AG64" s="434" t="str">
        <f>IF($B64=0,"",ROUND(VLOOKUP(Aux_Lista!$DR$2,Aux_Clima!$A:$O,AG$8,FALSE),8))</f>
        <v/>
      </c>
      <c r="AH64" s="434" t="str">
        <f>IF($B64=0,"",ROUND(VLOOKUP(Aux_Lista!$DR$2,Aux_Clima!$A:$O,AH$8,FALSE),8))</f>
        <v/>
      </c>
      <c r="AI64" s="434" t="str">
        <f>IF($B64=0,"",ROUND(VLOOKUP(Aux_Lista!$DR$2,Aux_Clima!$A:$O,AI$8,FALSE),8))</f>
        <v/>
      </c>
      <c r="AJ64" s="434" t="str">
        <f>IF($B64=0,"",ROUND(VLOOKUP(Aux_Lista!$DR$2,Aux_Clima!$A:$O,AJ$8,FALSE),3))</f>
        <v/>
      </c>
      <c r="AK64" s="434" t="str">
        <f>IF($B64=0,"",ROUND(VLOOKUP(Aux_Lista!$DR$2,Aux_Clima!$A:$O,AK$8,FALSE),3))</f>
        <v/>
      </c>
      <c r="AL64" s="434" t="str">
        <f>IF($B64=0,"",ROUND(VLOOKUP(Aux_Lista!$DR$2,Aux_Clima!$A:$O,AL$8,FALSE),3))</f>
        <v/>
      </c>
      <c r="AM64" s="434" t="str">
        <f>IF($B64=0,"",ROUND(VLOOKUP(Aux_Lista!$DR$2,Aux_Clima!$A:$O,AM$8,FALSE),8))</f>
        <v/>
      </c>
      <c r="AN64" s="434" t="str">
        <f>IF($B64=0,"",ROUND(VLOOKUP(Aux_Lista!$DR$2,Aux_Clima!$A:$O,AN$8,FALSE),8))</f>
        <v/>
      </c>
      <c r="AO64" s="434" t="str">
        <f>IF($B64=0,"",ROUND(VLOOKUP(Aux_Lista!$DR$2,Aux_Clima!$A:$O,AO$8,FALSE),8))</f>
        <v/>
      </c>
      <c r="AP64" s="430" t="str">
        <f>IF(B64=0,"",IF(BF64=0,84,VLOOKUP(Envoltória!N72,Componentes!AV:AY,4,FALSE)))</f>
        <v/>
      </c>
      <c r="AQ64" s="430" t="str">
        <f>IF(B64=0,"",IF(BF64=0,90,VLOOKUP(Envoltória!N72,Componentes!AV:AY,3,FALSE)))</f>
        <v/>
      </c>
      <c r="AR64" s="430" t="str">
        <f t="shared" si="4"/>
        <v/>
      </c>
      <c r="AS64" s="430" t="str">
        <f t="shared" si="4"/>
        <v/>
      </c>
      <c r="AT64" s="430" t="str">
        <f t="shared" si="4"/>
        <v/>
      </c>
      <c r="AU64" s="430" t="str">
        <f t="shared" si="4"/>
        <v/>
      </c>
      <c r="AV64" s="430" t="str">
        <f t="shared" si="4"/>
        <v/>
      </c>
      <c r="AW64" s="416" t="str">
        <f>IF($B64=0,"",IFERROR(VLOOKUP(Envoltória!$B72,Aux_Lista!$O:$U,AW$9,FALSE),0))</f>
        <v/>
      </c>
      <c r="AX64" s="416" t="str">
        <f>IF($B64=0,"",IFERROR(VLOOKUP(Envoltória!$B72,Aux_Lista!$O:$U,AX$9,FALSE),0))</f>
        <v/>
      </c>
      <c r="AY64" s="416" t="str">
        <f>IF($B64=0,"",IFERROR(VLOOKUP(Envoltória!$B72,Aux_Lista!$O:$U,AY$9,FALSE),0))</f>
        <v/>
      </c>
      <c r="AZ64" s="416" t="str">
        <f>IF($B64=0,"",IFERROR(VLOOKUP(Envoltória!$B72,Aux_Lista!$O:$U,AZ$9,FALSE),0))</f>
        <v/>
      </c>
      <c r="BA64" s="416" t="str">
        <f>IF($B64=0,"",IFERROR(VLOOKUP(Envoltória!$B72,Aux_Lista!$O:$U,BA$9,FALSE),0))</f>
        <v/>
      </c>
      <c r="BB64" s="416" t="str">
        <f>IF($B64=0,"",IFERROR(VLOOKUP(Envoltória!$B72,Aux_Lista!$O:$U,BB$9,FALSE),0))</f>
        <v/>
      </c>
      <c r="BC64" s="416" t="str">
        <f>IFERROR(VLOOKUP(Envoltória!$H72,Aux_Lista!$W$2:$Y$3,BC$9,FALSE),"")</f>
        <v/>
      </c>
      <c r="BD64" s="416" t="str">
        <f>IFERROR(VLOOKUP(Envoltória!$H72,Aux_Lista!$W$2:$Y$3,BD$9,FALSE),"")</f>
        <v/>
      </c>
      <c r="BE64" s="430" t="str">
        <f t="shared" si="1"/>
        <v/>
      </c>
      <c r="BF64" s="430" t="str">
        <f>IF(B64=0,"",IF(Envoltória!F72="Perimetral",1,0))</f>
        <v/>
      </c>
      <c r="BG64" s="430" t="str">
        <f>IFERROR(VLOOKUP(Envoltória!$G72,$BQ$35:$BZ$43,BG$9,FALSE),"")</f>
        <v/>
      </c>
      <c r="BH64" s="430" t="str">
        <f>IFERROR(VLOOKUP(Envoltória!$G72,$BQ$35:$BZ$43,BH$9,FALSE),"")</f>
        <v/>
      </c>
      <c r="BI64" s="430" t="str">
        <f>IFERROR(VLOOKUP(Envoltória!$G72,$BQ$35:$BZ$43,BI$9,FALSE),"")</f>
        <v/>
      </c>
      <c r="BJ64" s="430" t="str">
        <f>IFERROR(VLOOKUP(Envoltória!$G72,$BQ$35:$BZ$43,BJ$9,FALSE),"")</f>
        <v/>
      </c>
      <c r="BK64" s="430" t="str">
        <f>IFERROR(VLOOKUP(Envoltória!$G72,$BQ$35:$BZ$43,BK$9,FALSE),"")</f>
        <v/>
      </c>
      <c r="BL64" s="430" t="str">
        <f>IFERROR(VLOOKUP(Envoltória!$G72,$BQ$35:$BZ$43,BL$9,FALSE),"")</f>
        <v/>
      </c>
      <c r="BM64" s="430" t="str">
        <f>IFERROR(VLOOKUP(Envoltória!$G72,$BQ$35:$BZ$43,BM$9,FALSE),"")</f>
        <v/>
      </c>
      <c r="BN64" s="430" t="str">
        <f>IFERROR(VLOOKUP(Envoltória!$G72,$BQ$35:$BZ$43,BN$9,FALSE),"")</f>
        <v/>
      </c>
      <c r="BO64" s="430" t="str">
        <f>IFERROR(VLOOKUP(Envoltória!$G72,$BQ$35:$BZ$43,BO$9,FALSE),"")</f>
        <v/>
      </c>
      <c r="BP64" s="2"/>
    </row>
    <row r="65" spans="1:68" s="13" customFormat="1" x14ac:dyDescent="0.25">
      <c r="A65" s="2">
        <v>55</v>
      </c>
      <c r="B65" s="410">
        <f>Envoltória!I73</f>
        <v>0</v>
      </c>
      <c r="C65" s="410">
        <f>Envoltória!B73</f>
        <v>0</v>
      </c>
      <c r="D65" s="410">
        <f>Envoltória!C73</f>
        <v>0</v>
      </c>
      <c r="E65" s="410">
        <f>Envoltória!D73</f>
        <v>0</v>
      </c>
      <c r="F65" s="430" t="str">
        <f>IF(B65=0,"",Envoltória!E73)</f>
        <v/>
      </c>
      <c r="G65" s="430" t="str">
        <f t="shared" si="2"/>
        <v/>
      </c>
      <c r="H65" s="430" t="str">
        <f>IF(B65=0,"",Envoltória!O73/100)</f>
        <v/>
      </c>
      <c r="I65" s="430" t="str">
        <f>IF(B65=0,"",IF(BF65=1,VLOOKUP(Envoltória!N73,Componentes!AV:AY,2,FALSE),89))</f>
        <v/>
      </c>
      <c r="J65" s="416" t="str">
        <f>IF(B65=0,"",IFERROR(VLOOKUP(Envoltória!M73,Componentes!$P:$R,2,FALSE),""))</f>
        <v/>
      </c>
      <c r="K65" s="416" t="str">
        <f>IF(B65=0,"",IFERROR(VLOOKUP(Envoltória!M73,Componentes!$P:$R,3,FALSE),""))</f>
        <v/>
      </c>
      <c r="L65" s="431" t="str">
        <f>IF(B65=0,"",IFERROR(IF(BB65&lt;&gt;0,VLOOKUP(Envoltória!L73,Componentes!K:N,2,FALSE),0),""))</f>
        <v/>
      </c>
      <c r="M65" s="431" t="str">
        <f>IF(B65=0,"",IFERROR(IF(BB65&lt;&gt;0,VLOOKUP(Envoltória!L73,Componentes!K:N,3,FALSE),0),""))</f>
        <v/>
      </c>
      <c r="N65" s="431" t="str">
        <f>IF(B65=0,"",IFERROR(IF(BB65&lt;&gt;0,VLOOKUP(Envoltória!L73,Componentes!K:N,4,FALSE),0),""))</f>
        <v/>
      </c>
      <c r="O65" s="430" t="str">
        <f>IF(B65=0,"",IF(BF65=1,VLOOKUP(Envoltória!J73,Componentes!B:E,2,FALSE),-6))</f>
        <v/>
      </c>
      <c r="P65" s="430" t="str">
        <f>IF(B65=0,"",IF(BF65=1,VLOOKUP(Envoltória!J73,Componentes!B:E,3,FALSE),-400))</f>
        <v/>
      </c>
      <c r="Q65" s="430" t="str">
        <f>IF(B65=0,"",IF(BF65=1,VLOOKUP(Envoltória!J73,Componentes!B:E,4,FALSE),0))</f>
        <v/>
      </c>
      <c r="R65" s="416" t="str">
        <f>IF(B65=0,"",IFERROR(VLOOKUP(Envoltória!K73,Componentes!G:I,2,FALSE),""))</f>
        <v/>
      </c>
      <c r="S65" s="416" t="str">
        <f>IF(B65=0,"",IFERROR(VLOOKUP(Envoltória!K73,Componentes!G:I,3,FALSE),""))</f>
        <v/>
      </c>
      <c r="T65" s="430" t="str">
        <f>IF(B65=0,"",IFERROR(IF(H65&lt;&gt;0,VLOOKUP(Envoltória!N73,Componentes!T:V,3,FALSE),0),""))</f>
        <v/>
      </c>
      <c r="U65" s="430" t="str">
        <f>IF(B65=0,"",IFERROR(IF(H65&lt;&gt;0,VLOOKUP(Envoltória!N73,Componentes!T:V,2,FALSE),0),""))</f>
        <v/>
      </c>
      <c r="V65" s="416" t="str">
        <f>IF(B65=0,"",IFERROR(IF(AA65&lt;&gt;0,VLOOKUP(Envoltória!U73,Componentes!X:Z,2,FALSE),0),0))</f>
        <v/>
      </c>
      <c r="W65" s="416" t="str">
        <f>IF(B65=0,"",IFERROR(IF(AA65&lt;&gt;0,VLOOKUP(Envoltória!U73,Componentes!X:Z,3,FALSE),0),0))</f>
        <v/>
      </c>
      <c r="X65" s="430" t="str">
        <f>IF(B65=0,"",Envoltória!U73)</f>
        <v/>
      </c>
      <c r="Y65" s="430" t="str">
        <f>IF(B65=0,"",Envoltória!S73)</f>
        <v/>
      </c>
      <c r="Z65" s="430" t="str">
        <f>IF(B65=0,"",Envoltória!T73)</f>
        <v/>
      </c>
      <c r="AA65" s="416" t="str">
        <f>IF(B65=0,"",Envoltória!Q73/100)</f>
        <v/>
      </c>
      <c r="AB65" s="434" t="str">
        <f>IF($B65=0,"",VLOOKUP(Aux_Lista!$DR$2,Aux_Clima!$A:$O,AB$8,FALSE))</f>
        <v/>
      </c>
      <c r="AC65" s="434" t="str">
        <f>IF($B65=0,"",VLOOKUP(Aux_Lista!$DR$2,Aux_Clima!$A:$O,AC$8,FALSE))</f>
        <v/>
      </c>
      <c r="AD65" s="434" t="str">
        <f>IF($B65=0,"",ROUND(VLOOKUP(Aux_Lista!$DR$2,Aux_Clima!$A:$O,AD$8,FALSE),8))</f>
        <v/>
      </c>
      <c r="AE65" s="434" t="str">
        <f>IF($B65=0,"",ROUND(VLOOKUP(Aux_Lista!$DR$2,Aux_Clima!$A:$O,AE$8,FALSE),8))</f>
        <v/>
      </c>
      <c r="AF65" s="434" t="str">
        <f>IF($B65=0,"",ROUND(VLOOKUP(Aux_Lista!$DR$2,Aux_Clima!$A:$O,AF$8,FALSE),8))</f>
        <v/>
      </c>
      <c r="AG65" s="434" t="str">
        <f>IF($B65=0,"",ROUND(VLOOKUP(Aux_Lista!$DR$2,Aux_Clima!$A:$O,AG$8,FALSE),8))</f>
        <v/>
      </c>
      <c r="AH65" s="434" t="str">
        <f>IF($B65=0,"",ROUND(VLOOKUP(Aux_Lista!$DR$2,Aux_Clima!$A:$O,AH$8,FALSE),8))</f>
        <v/>
      </c>
      <c r="AI65" s="434" t="str">
        <f>IF($B65=0,"",ROUND(VLOOKUP(Aux_Lista!$DR$2,Aux_Clima!$A:$O,AI$8,FALSE),8))</f>
        <v/>
      </c>
      <c r="AJ65" s="434" t="str">
        <f>IF($B65=0,"",ROUND(VLOOKUP(Aux_Lista!$DR$2,Aux_Clima!$A:$O,AJ$8,FALSE),3))</f>
        <v/>
      </c>
      <c r="AK65" s="434" t="str">
        <f>IF($B65=0,"",ROUND(VLOOKUP(Aux_Lista!$DR$2,Aux_Clima!$A:$O,AK$8,FALSE),3))</f>
        <v/>
      </c>
      <c r="AL65" s="434" t="str">
        <f>IF($B65=0,"",ROUND(VLOOKUP(Aux_Lista!$DR$2,Aux_Clima!$A:$O,AL$8,FALSE),3))</f>
        <v/>
      </c>
      <c r="AM65" s="434" t="str">
        <f>IF($B65=0,"",ROUND(VLOOKUP(Aux_Lista!$DR$2,Aux_Clima!$A:$O,AM$8,FALSE),8))</f>
        <v/>
      </c>
      <c r="AN65" s="434" t="str">
        <f>IF($B65=0,"",ROUND(VLOOKUP(Aux_Lista!$DR$2,Aux_Clima!$A:$O,AN$8,FALSE),8))</f>
        <v/>
      </c>
      <c r="AO65" s="434" t="str">
        <f>IF($B65=0,"",ROUND(VLOOKUP(Aux_Lista!$DR$2,Aux_Clima!$A:$O,AO$8,FALSE),8))</f>
        <v/>
      </c>
      <c r="AP65" s="430" t="str">
        <f>IF(B65=0,"",IF(BF65=0,84,VLOOKUP(Envoltória!N73,Componentes!AV:AY,4,FALSE)))</f>
        <v/>
      </c>
      <c r="AQ65" s="430" t="str">
        <f>IF(B65=0,"",IF(BF65=0,90,VLOOKUP(Envoltória!N73,Componentes!AV:AY,3,FALSE)))</f>
        <v/>
      </c>
      <c r="AR65" s="430" t="str">
        <f t="shared" si="4"/>
        <v/>
      </c>
      <c r="AS65" s="430" t="str">
        <f t="shared" si="4"/>
        <v/>
      </c>
      <c r="AT65" s="430" t="str">
        <f t="shared" si="4"/>
        <v/>
      </c>
      <c r="AU65" s="430" t="str">
        <f t="shared" si="4"/>
        <v/>
      </c>
      <c r="AV65" s="430" t="str">
        <f t="shared" si="4"/>
        <v/>
      </c>
      <c r="AW65" s="416" t="str">
        <f>IF($B65=0,"",IFERROR(VLOOKUP(Envoltória!$B73,Aux_Lista!$O:$U,AW$9,FALSE),0))</f>
        <v/>
      </c>
      <c r="AX65" s="416" t="str">
        <f>IF($B65=0,"",IFERROR(VLOOKUP(Envoltória!$B73,Aux_Lista!$O:$U,AX$9,FALSE),0))</f>
        <v/>
      </c>
      <c r="AY65" s="416" t="str">
        <f>IF($B65=0,"",IFERROR(VLOOKUP(Envoltória!$B73,Aux_Lista!$O:$U,AY$9,FALSE),0))</f>
        <v/>
      </c>
      <c r="AZ65" s="416" t="str">
        <f>IF($B65=0,"",IFERROR(VLOOKUP(Envoltória!$B73,Aux_Lista!$O:$U,AZ$9,FALSE),0))</f>
        <v/>
      </c>
      <c r="BA65" s="416" t="str">
        <f>IF($B65=0,"",IFERROR(VLOOKUP(Envoltória!$B73,Aux_Lista!$O:$U,BA$9,FALSE),0))</f>
        <v/>
      </c>
      <c r="BB65" s="416" t="str">
        <f>IF($B65=0,"",IFERROR(VLOOKUP(Envoltória!$B73,Aux_Lista!$O:$U,BB$9,FALSE),0))</f>
        <v/>
      </c>
      <c r="BC65" s="416" t="str">
        <f>IFERROR(VLOOKUP(Envoltória!$H73,Aux_Lista!$W$2:$Y$3,BC$9,FALSE),"")</f>
        <v/>
      </c>
      <c r="BD65" s="416" t="str">
        <f>IFERROR(VLOOKUP(Envoltória!$H73,Aux_Lista!$W$2:$Y$3,BD$9,FALSE),"")</f>
        <v/>
      </c>
      <c r="BE65" s="430" t="str">
        <f t="shared" si="1"/>
        <v/>
      </c>
      <c r="BF65" s="430" t="str">
        <f>IF(B65=0,"",IF(Envoltória!F73="Perimetral",1,0))</f>
        <v/>
      </c>
      <c r="BG65" s="430" t="str">
        <f>IFERROR(VLOOKUP(Envoltória!$G73,$BQ$35:$BZ$43,BG$9,FALSE),"")</f>
        <v/>
      </c>
      <c r="BH65" s="430" t="str">
        <f>IFERROR(VLOOKUP(Envoltória!$G73,$BQ$35:$BZ$43,BH$9,FALSE),"")</f>
        <v/>
      </c>
      <c r="BI65" s="430" t="str">
        <f>IFERROR(VLOOKUP(Envoltória!$G73,$BQ$35:$BZ$43,BI$9,FALSE),"")</f>
        <v/>
      </c>
      <c r="BJ65" s="430" t="str">
        <f>IFERROR(VLOOKUP(Envoltória!$G73,$BQ$35:$BZ$43,BJ$9,FALSE),"")</f>
        <v/>
      </c>
      <c r="BK65" s="430" t="str">
        <f>IFERROR(VLOOKUP(Envoltória!$G73,$BQ$35:$BZ$43,BK$9,FALSE),"")</f>
        <v/>
      </c>
      <c r="BL65" s="430" t="str">
        <f>IFERROR(VLOOKUP(Envoltória!$G73,$BQ$35:$BZ$43,BL$9,FALSE),"")</f>
        <v/>
      </c>
      <c r="BM65" s="430" t="str">
        <f>IFERROR(VLOOKUP(Envoltória!$G73,$BQ$35:$BZ$43,BM$9,FALSE),"")</f>
        <v/>
      </c>
      <c r="BN65" s="430" t="str">
        <f>IFERROR(VLOOKUP(Envoltória!$G73,$BQ$35:$BZ$43,BN$9,FALSE),"")</f>
        <v/>
      </c>
      <c r="BO65" s="430" t="str">
        <f>IFERROR(VLOOKUP(Envoltória!$G73,$BQ$35:$BZ$43,BO$9,FALSE),"")</f>
        <v/>
      </c>
      <c r="BP65" s="2"/>
    </row>
    <row r="66" spans="1:68" s="13" customFormat="1" x14ac:dyDescent="0.25">
      <c r="A66" s="2">
        <v>56</v>
      </c>
      <c r="B66" s="410">
        <f>Envoltória!I74</f>
        <v>0</v>
      </c>
      <c r="C66" s="410">
        <f>Envoltória!B74</f>
        <v>0</v>
      </c>
      <c r="D66" s="410">
        <f>Envoltória!C74</f>
        <v>0</v>
      </c>
      <c r="E66" s="410">
        <f>Envoltória!D74</f>
        <v>0</v>
      </c>
      <c r="F66" s="430" t="str">
        <f>IF(B66=0,"",Envoltória!E74)</f>
        <v/>
      </c>
      <c r="G66" s="430" t="str">
        <f t="shared" si="2"/>
        <v/>
      </c>
      <c r="H66" s="430" t="str">
        <f>IF(B66=0,"",Envoltória!O74/100)</f>
        <v/>
      </c>
      <c r="I66" s="430" t="str">
        <f>IF(B66=0,"",IF(BF66=1,VLOOKUP(Envoltória!N74,Componentes!AV:AY,2,FALSE),89))</f>
        <v/>
      </c>
      <c r="J66" s="416" t="str">
        <f>IF(B66=0,"",IFERROR(VLOOKUP(Envoltória!M74,Componentes!$P:$R,2,FALSE),""))</f>
        <v/>
      </c>
      <c r="K66" s="416" t="str">
        <f>IF(B66=0,"",IFERROR(VLOOKUP(Envoltória!M74,Componentes!$P:$R,3,FALSE),""))</f>
        <v/>
      </c>
      <c r="L66" s="431" t="str">
        <f>IF(B66=0,"",IFERROR(IF(BB66&lt;&gt;0,VLOOKUP(Envoltória!L74,Componentes!K:N,2,FALSE),0),""))</f>
        <v/>
      </c>
      <c r="M66" s="431" t="str">
        <f>IF(B66=0,"",IFERROR(IF(BB66&lt;&gt;0,VLOOKUP(Envoltória!L74,Componentes!K:N,3,FALSE),0),""))</f>
        <v/>
      </c>
      <c r="N66" s="431" t="str">
        <f>IF(B66=0,"",IFERROR(IF(BB66&lt;&gt;0,VLOOKUP(Envoltória!L74,Componentes!K:N,4,FALSE),0),""))</f>
        <v/>
      </c>
      <c r="O66" s="430" t="str">
        <f>IF(B66=0,"",IF(BF66=1,VLOOKUP(Envoltória!J74,Componentes!B:E,2,FALSE),-6))</f>
        <v/>
      </c>
      <c r="P66" s="430" t="str">
        <f>IF(B66=0,"",IF(BF66=1,VLOOKUP(Envoltória!J74,Componentes!B:E,3,FALSE),-400))</f>
        <v/>
      </c>
      <c r="Q66" s="430" t="str">
        <f>IF(B66=0,"",IF(BF66=1,VLOOKUP(Envoltória!J74,Componentes!B:E,4,FALSE),0))</f>
        <v/>
      </c>
      <c r="R66" s="416" t="str">
        <f>IF(B66=0,"",IFERROR(VLOOKUP(Envoltória!K74,Componentes!G:I,2,FALSE),""))</f>
        <v/>
      </c>
      <c r="S66" s="416" t="str">
        <f>IF(B66=0,"",IFERROR(VLOOKUP(Envoltória!K74,Componentes!G:I,3,FALSE),""))</f>
        <v/>
      </c>
      <c r="T66" s="430" t="str">
        <f>IF(B66=0,"",IFERROR(IF(H66&lt;&gt;0,VLOOKUP(Envoltória!N74,Componentes!T:V,3,FALSE),0),""))</f>
        <v/>
      </c>
      <c r="U66" s="430" t="str">
        <f>IF(B66=0,"",IFERROR(IF(H66&lt;&gt;0,VLOOKUP(Envoltória!N74,Componentes!T:V,2,FALSE),0),""))</f>
        <v/>
      </c>
      <c r="V66" s="416" t="str">
        <f>IF(B66=0,"",IFERROR(IF(AA66&lt;&gt;0,VLOOKUP(Envoltória!U74,Componentes!X:Z,2,FALSE),0),0))</f>
        <v/>
      </c>
      <c r="W66" s="416" t="str">
        <f>IF(B66=0,"",IFERROR(IF(AA66&lt;&gt;0,VLOOKUP(Envoltória!U74,Componentes!X:Z,3,FALSE),0),0))</f>
        <v/>
      </c>
      <c r="X66" s="430" t="str">
        <f>IF(B66=0,"",Envoltória!U74)</f>
        <v/>
      </c>
      <c r="Y66" s="430" t="str">
        <f>IF(B66=0,"",Envoltória!S74)</f>
        <v/>
      </c>
      <c r="Z66" s="430" t="str">
        <f>IF(B66=0,"",Envoltória!T74)</f>
        <v/>
      </c>
      <c r="AA66" s="416" t="str">
        <f>IF(B66=0,"",Envoltória!Q74/100)</f>
        <v/>
      </c>
      <c r="AB66" s="434" t="str">
        <f>IF($B66=0,"",VLOOKUP(Aux_Lista!$DR$2,Aux_Clima!$A:$O,AB$8,FALSE))</f>
        <v/>
      </c>
      <c r="AC66" s="434" t="str">
        <f>IF($B66=0,"",VLOOKUP(Aux_Lista!$DR$2,Aux_Clima!$A:$O,AC$8,FALSE))</f>
        <v/>
      </c>
      <c r="AD66" s="434" t="str">
        <f>IF($B66=0,"",ROUND(VLOOKUP(Aux_Lista!$DR$2,Aux_Clima!$A:$O,AD$8,FALSE),8))</f>
        <v/>
      </c>
      <c r="AE66" s="434" t="str">
        <f>IF($B66=0,"",ROUND(VLOOKUP(Aux_Lista!$DR$2,Aux_Clima!$A:$O,AE$8,FALSE),8))</f>
        <v/>
      </c>
      <c r="AF66" s="434" t="str">
        <f>IF($B66=0,"",ROUND(VLOOKUP(Aux_Lista!$DR$2,Aux_Clima!$A:$O,AF$8,FALSE),8))</f>
        <v/>
      </c>
      <c r="AG66" s="434" t="str">
        <f>IF($B66=0,"",ROUND(VLOOKUP(Aux_Lista!$DR$2,Aux_Clima!$A:$O,AG$8,FALSE),8))</f>
        <v/>
      </c>
      <c r="AH66" s="434" t="str">
        <f>IF($B66=0,"",ROUND(VLOOKUP(Aux_Lista!$DR$2,Aux_Clima!$A:$O,AH$8,FALSE),8))</f>
        <v/>
      </c>
      <c r="AI66" s="434" t="str">
        <f>IF($B66=0,"",ROUND(VLOOKUP(Aux_Lista!$DR$2,Aux_Clima!$A:$O,AI$8,FALSE),8))</f>
        <v/>
      </c>
      <c r="AJ66" s="434" t="str">
        <f>IF($B66=0,"",ROUND(VLOOKUP(Aux_Lista!$DR$2,Aux_Clima!$A:$O,AJ$8,FALSE),3))</f>
        <v/>
      </c>
      <c r="AK66" s="434" t="str">
        <f>IF($B66=0,"",ROUND(VLOOKUP(Aux_Lista!$DR$2,Aux_Clima!$A:$O,AK$8,FALSE),3))</f>
        <v/>
      </c>
      <c r="AL66" s="434" t="str">
        <f>IF($B66=0,"",ROUND(VLOOKUP(Aux_Lista!$DR$2,Aux_Clima!$A:$O,AL$8,FALSE),3))</f>
        <v/>
      </c>
      <c r="AM66" s="434" t="str">
        <f>IF($B66=0,"",ROUND(VLOOKUP(Aux_Lista!$DR$2,Aux_Clima!$A:$O,AM$8,FALSE),8))</f>
        <v/>
      </c>
      <c r="AN66" s="434" t="str">
        <f>IF($B66=0,"",ROUND(VLOOKUP(Aux_Lista!$DR$2,Aux_Clima!$A:$O,AN$8,FALSE),8))</f>
        <v/>
      </c>
      <c r="AO66" s="434" t="str">
        <f>IF($B66=0,"",ROUND(VLOOKUP(Aux_Lista!$DR$2,Aux_Clima!$A:$O,AO$8,FALSE),8))</f>
        <v/>
      </c>
      <c r="AP66" s="430" t="str">
        <f>IF(B66=0,"",IF(BF66=0,84,VLOOKUP(Envoltória!N74,Componentes!AV:AY,4,FALSE)))</f>
        <v/>
      </c>
      <c r="AQ66" s="430" t="str">
        <f>IF(B66=0,"",IF(BF66=0,90,VLOOKUP(Envoltória!N74,Componentes!AV:AY,3,FALSE)))</f>
        <v/>
      </c>
      <c r="AR66" s="430" t="str">
        <f t="shared" si="4"/>
        <v/>
      </c>
      <c r="AS66" s="430" t="str">
        <f t="shared" si="4"/>
        <v/>
      </c>
      <c r="AT66" s="430" t="str">
        <f t="shared" si="4"/>
        <v/>
      </c>
      <c r="AU66" s="430" t="str">
        <f t="shared" si="4"/>
        <v/>
      </c>
      <c r="AV66" s="430" t="str">
        <f t="shared" si="4"/>
        <v/>
      </c>
      <c r="AW66" s="416" t="str">
        <f>IF($B66=0,"",IFERROR(VLOOKUP(Envoltória!$B74,Aux_Lista!$O:$U,AW$9,FALSE),0))</f>
        <v/>
      </c>
      <c r="AX66" s="416" t="str">
        <f>IF($B66=0,"",IFERROR(VLOOKUP(Envoltória!$B74,Aux_Lista!$O:$U,AX$9,FALSE),0))</f>
        <v/>
      </c>
      <c r="AY66" s="416" t="str">
        <f>IF($B66=0,"",IFERROR(VLOOKUP(Envoltória!$B74,Aux_Lista!$O:$U,AY$9,FALSE),0))</f>
        <v/>
      </c>
      <c r="AZ66" s="416" t="str">
        <f>IF($B66=0,"",IFERROR(VLOOKUP(Envoltória!$B74,Aux_Lista!$O:$U,AZ$9,FALSE),0))</f>
        <v/>
      </c>
      <c r="BA66" s="416" t="str">
        <f>IF($B66=0,"",IFERROR(VLOOKUP(Envoltória!$B74,Aux_Lista!$O:$U,BA$9,FALSE),0))</f>
        <v/>
      </c>
      <c r="BB66" s="416" t="str">
        <f>IF($B66=0,"",IFERROR(VLOOKUP(Envoltória!$B74,Aux_Lista!$O:$U,BB$9,FALSE),0))</f>
        <v/>
      </c>
      <c r="BC66" s="416" t="str">
        <f>IFERROR(VLOOKUP(Envoltória!$H74,Aux_Lista!$W$2:$Y$3,BC$9,FALSE),"")</f>
        <v/>
      </c>
      <c r="BD66" s="416" t="str">
        <f>IFERROR(VLOOKUP(Envoltória!$H74,Aux_Lista!$W$2:$Y$3,BD$9,FALSE),"")</f>
        <v/>
      </c>
      <c r="BE66" s="430" t="str">
        <f t="shared" si="1"/>
        <v/>
      </c>
      <c r="BF66" s="430" t="str">
        <f>IF(B66=0,"",IF(Envoltória!F74="Perimetral",1,0))</f>
        <v/>
      </c>
      <c r="BG66" s="430" t="str">
        <f>IFERROR(VLOOKUP(Envoltória!$G74,$BQ$35:$BZ$43,BG$9,FALSE),"")</f>
        <v/>
      </c>
      <c r="BH66" s="430" t="str">
        <f>IFERROR(VLOOKUP(Envoltória!$G74,$BQ$35:$BZ$43,BH$9,FALSE),"")</f>
        <v/>
      </c>
      <c r="BI66" s="430" t="str">
        <f>IFERROR(VLOOKUP(Envoltória!$G74,$BQ$35:$BZ$43,BI$9,FALSE),"")</f>
        <v/>
      </c>
      <c r="BJ66" s="430" t="str">
        <f>IFERROR(VLOOKUP(Envoltória!$G74,$BQ$35:$BZ$43,BJ$9,FALSE),"")</f>
        <v/>
      </c>
      <c r="BK66" s="430" t="str">
        <f>IFERROR(VLOOKUP(Envoltória!$G74,$BQ$35:$BZ$43,BK$9,FALSE),"")</f>
        <v/>
      </c>
      <c r="BL66" s="430" t="str">
        <f>IFERROR(VLOOKUP(Envoltória!$G74,$BQ$35:$BZ$43,BL$9,FALSE),"")</f>
        <v/>
      </c>
      <c r="BM66" s="430" t="str">
        <f>IFERROR(VLOOKUP(Envoltória!$G74,$BQ$35:$BZ$43,BM$9,FALSE),"")</f>
        <v/>
      </c>
      <c r="BN66" s="430" t="str">
        <f>IFERROR(VLOOKUP(Envoltória!$G74,$BQ$35:$BZ$43,BN$9,FALSE),"")</f>
        <v/>
      </c>
      <c r="BO66" s="430" t="str">
        <f>IFERROR(VLOOKUP(Envoltória!$G74,$BQ$35:$BZ$43,BO$9,FALSE),"")</f>
        <v/>
      </c>
      <c r="BP66" s="2"/>
    </row>
    <row r="67" spans="1:68" s="13" customFormat="1" x14ac:dyDescent="0.25">
      <c r="A67" s="2">
        <v>57</v>
      </c>
      <c r="B67" s="410">
        <f>Envoltória!I75</f>
        <v>0</v>
      </c>
      <c r="C67" s="410">
        <f>Envoltória!B75</f>
        <v>0</v>
      </c>
      <c r="D67" s="410">
        <f>Envoltória!C75</f>
        <v>0</v>
      </c>
      <c r="E67" s="410">
        <f>Envoltória!D75</f>
        <v>0</v>
      </c>
      <c r="F67" s="430" t="str">
        <f>IF(B67=0,"",Envoltória!E75)</f>
        <v/>
      </c>
      <c r="G67" s="430" t="str">
        <f t="shared" si="2"/>
        <v/>
      </c>
      <c r="H67" s="430" t="str">
        <f>IF(B67=0,"",Envoltória!O75/100)</f>
        <v/>
      </c>
      <c r="I67" s="430" t="str">
        <f>IF(B67=0,"",IF(BF67=1,VLOOKUP(Envoltória!N75,Componentes!AV:AY,2,FALSE),89))</f>
        <v/>
      </c>
      <c r="J67" s="416" t="str">
        <f>IF(B67=0,"",IFERROR(VLOOKUP(Envoltória!M75,Componentes!$P:$R,2,FALSE),""))</f>
        <v/>
      </c>
      <c r="K67" s="416" t="str">
        <f>IF(B67=0,"",IFERROR(VLOOKUP(Envoltória!M75,Componentes!$P:$R,3,FALSE),""))</f>
        <v/>
      </c>
      <c r="L67" s="431" t="str">
        <f>IF(B67=0,"",IFERROR(IF(BB67&lt;&gt;0,VLOOKUP(Envoltória!L75,Componentes!K:N,2,FALSE),0),""))</f>
        <v/>
      </c>
      <c r="M67" s="431" t="str">
        <f>IF(B67=0,"",IFERROR(IF(BB67&lt;&gt;0,VLOOKUP(Envoltória!L75,Componentes!K:N,3,FALSE),0),""))</f>
        <v/>
      </c>
      <c r="N67" s="431" t="str">
        <f>IF(B67=0,"",IFERROR(IF(BB67&lt;&gt;0,VLOOKUP(Envoltória!L75,Componentes!K:N,4,FALSE),0),""))</f>
        <v/>
      </c>
      <c r="O67" s="430" t="str">
        <f>IF(B67=0,"",IF(BF67=1,VLOOKUP(Envoltória!J75,Componentes!B:E,2,FALSE),-6))</f>
        <v/>
      </c>
      <c r="P67" s="430" t="str">
        <f>IF(B67=0,"",IF(BF67=1,VLOOKUP(Envoltória!J75,Componentes!B:E,3,FALSE),-400))</f>
        <v/>
      </c>
      <c r="Q67" s="430" t="str">
        <f>IF(B67=0,"",IF(BF67=1,VLOOKUP(Envoltória!J75,Componentes!B:E,4,FALSE),0))</f>
        <v/>
      </c>
      <c r="R67" s="416" t="str">
        <f>IF(B67=0,"",IFERROR(VLOOKUP(Envoltória!K75,Componentes!G:I,2,FALSE),""))</f>
        <v/>
      </c>
      <c r="S67" s="416" t="str">
        <f>IF(B67=0,"",IFERROR(VLOOKUP(Envoltória!K75,Componentes!G:I,3,FALSE),""))</f>
        <v/>
      </c>
      <c r="T67" s="430" t="str">
        <f>IF(B67=0,"",IFERROR(IF(H67&lt;&gt;0,VLOOKUP(Envoltória!N75,Componentes!T:V,3,FALSE),0),""))</f>
        <v/>
      </c>
      <c r="U67" s="430" t="str">
        <f>IF(B67=0,"",IFERROR(IF(H67&lt;&gt;0,VLOOKUP(Envoltória!N75,Componentes!T:V,2,FALSE),0),""))</f>
        <v/>
      </c>
      <c r="V67" s="416" t="str">
        <f>IF(B67=0,"",IFERROR(IF(AA67&lt;&gt;0,VLOOKUP(Envoltória!U75,Componentes!X:Z,2,FALSE),0),0))</f>
        <v/>
      </c>
      <c r="W67" s="416" t="str">
        <f>IF(B67=0,"",IFERROR(IF(AA67&lt;&gt;0,VLOOKUP(Envoltória!U75,Componentes!X:Z,3,FALSE),0),0))</f>
        <v/>
      </c>
      <c r="X67" s="430" t="str">
        <f>IF(B67=0,"",Envoltória!U75)</f>
        <v/>
      </c>
      <c r="Y67" s="430" t="str">
        <f>IF(B67=0,"",Envoltória!S75)</f>
        <v/>
      </c>
      <c r="Z67" s="430" t="str">
        <f>IF(B67=0,"",Envoltória!T75)</f>
        <v/>
      </c>
      <c r="AA67" s="416" t="str">
        <f>IF(B67=0,"",Envoltória!Q75/100)</f>
        <v/>
      </c>
      <c r="AB67" s="434" t="str">
        <f>IF($B67=0,"",VLOOKUP(Aux_Lista!$DR$2,Aux_Clima!$A:$O,AB$8,FALSE))</f>
        <v/>
      </c>
      <c r="AC67" s="434" t="str">
        <f>IF($B67=0,"",VLOOKUP(Aux_Lista!$DR$2,Aux_Clima!$A:$O,AC$8,FALSE))</f>
        <v/>
      </c>
      <c r="AD67" s="434" t="str">
        <f>IF($B67=0,"",ROUND(VLOOKUP(Aux_Lista!$DR$2,Aux_Clima!$A:$O,AD$8,FALSE),8))</f>
        <v/>
      </c>
      <c r="AE67" s="434" t="str">
        <f>IF($B67=0,"",ROUND(VLOOKUP(Aux_Lista!$DR$2,Aux_Clima!$A:$O,AE$8,FALSE),8))</f>
        <v/>
      </c>
      <c r="AF67" s="434" t="str">
        <f>IF($B67=0,"",ROUND(VLOOKUP(Aux_Lista!$DR$2,Aux_Clima!$A:$O,AF$8,FALSE),8))</f>
        <v/>
      </c>
      <c r="AG67" s="434" t="str">
        <f>IF($B67=0,"",ROUND(VLOOKUP(Aux_Lista!$DR$2,Aux_Clima!$A:$O,AG$8,FALSE),8))</f>
        <v/>
      </c>
      <c r="AH67" s="434" t="str">
        <f>IF($B67=0,"",ROUND(VLOOKUP(Aux_Lista!$DR$2,Aux_Clima!$A:$O,AH$8,FALSE),8))</f>
        <v/>
      </c>
      <c r="AI67" s="434" t="str">
        <f>IF($B67=0,"",ROUND(VLOOKUP(Aux_Lista!$DR$2,Aux_Clima!$A:$O,AI$8,FALSE),8))</f>
        <v/>
      </c>
      <c r="AJ67" s="434" t="str">
        <f>IF($B67=0,"",ROUND(VLOOKUP(Aux_Lista!$DR$2,Aux_Clima!$A:$O,AJ$8,FALSE),3))</f>
        <v/>
      </c>
      <c r="AK67" s="434" t="str">
        <f>IF($B67=0,"",ROUND(VLOOKUP(Aux_Lista!$DR$2,Aux_Clima!$A:$O,AK$8,FALSE),3))</f>
        <v/>
      </c>
      <c r="AL67" s="434" t="str">
        <f>IF($B67=0,"",ROUND(VLOOKUP(Aux_Lista!$DR$2,Aux_Clima!$A:$O,AL$8,FALSE),3))</f>
        <v/>
      </c>
      <c r="AM67" s="434" t="str">
        <f>IF($B67=0,"",ROUND(VLOOKUP(Aux_Lista!$DR$2,Aux_Clima!$A:$O,AM$8,FALSE),8))</f>
        <v/>
      </c>
      <c r="AN67" s="434" t="str">
        <f>IF($B67=0,"",ROUND(VLOOKUP(Aux_Lista!$DR$2,Aux_Clima!$A:$O,AN$8,FALSE),8))</f>
        <v/>
      </c>
      <c r="AO67" s="434" t="str">
        <f>IF($B67=0,"",ROUND(VLOOKUP(Aux_Lista!$DR$2,Aux_Clima!$A:$O,AO$8,FALSE),8))</f>
        <v/>
      </c>
      <c r="AP67" s="430" t="str">
        <f>IF(B67=0,"",IF(BF67=0,84,VLOOKUP(Envoltória!N75,Componentes!AV:AY,4,FALSE)))</f>
        <v/>
      </c>
      <c r="AQ67" s="430" t="str">
        <f>IF(B67=0,"",IF(BF67=0,90,VLOOKUP(Envoltória!N75,Componentes!AV:AY,3,FALSE)))</f>
        <v/>
      </c>
      <c r="AR67" s="430" t="str">
        <f t="shared" si="4"/>
        <v/>
      </c>
      <c r="AS67" s="430" t="str">
        <f t="shared" si="4"/>
        <v/>
      </c>
      <c r="AT67" s="430" t="str">
        <f t="shared" si="4"/>
        <v/>
      </c>
      <c r="AU67" s="430" t="str">
        <f t="shared" si="4"/>
        <v/>
      </c>
      <c r="AV67" s="430" t="str">
        <f t="shared" si="4"/>
        <v/>
      </c>
      <c r="AW67" s="416" t="str">
        <f>IF($B67=0,"",IFERROR(VLOOKUP(Envoltória!$B75,Aux_Lista!$O:$U,AW$9,FALSE),0))</f>
        <v/>
      </c>
      <c r="AX67" s="416" t="str">
        <f>IF($B67=0,"",IFERROR(VLOOKUP(Envoltória!$B75,Aux_Lista!$O:$U,AX$9,FALSE),0))</f>
        <v/>
      </c>
      <c r="AY67" s="416" t="str">
        <f>IF($B67=0,"",IFERROR(VLOOKUP(Envoltória!$B75,Aux_Lista!$O:$U,AY$9,FALSE),0))</f>
        <v/>
      </c>
      <c r="AZ67" s="416" t="str">
        <f>IF($B67=0,"",IFERROR(VLOOKUP(Envoltória!$B75,Aux_Lista!$O:$U,AZ$9,FALSE),0))</f>
        <v/>
      </c>
      <c r="BA67" s="416" t="str">
        <f>IF($B67=0,"",IFERROR(VLOOKUP(Envoltória!$B75,Aux_Lista!$O:$U,BA$9,FALSE),0))</f>
        <v/>
      </c>
      <c r="BB67" s="416" t="str">
        <f>IF($B67=0,"",IFERROR(VLOOKUP(Envoltória!$B75,Aux_Lista!$O:$U,BB$9,FALSE),0))</f>
        <v/>
      </c>
      <c r="BC67" s="416" t="str">
        <f>IFERROR(VLOOKUP(Envoltória!$H75,Aux_Lista!$W$2:$Y$3,BC$9,FALSE),"")</f>
        <v/>
      </c>
      <c r="BD67" s="416" t="str">
        <f>IFERROR(VLOOKUP(Envoltória!$H75,Aux_Lista!$W$2:$Y$3,BD$9,FALSE),"")</f>
        <v/>
      </c>
      <c r="BE67" s="430" t="str">
        <f t="shared" si="1"/>
        <v/>
      </c>
      <c r="BF67" s="430" t="str">
        <f>IF(B67=0,"",IF(Envoltória!F75="Perimetral",1,0))</f>
        <v/>
      </c>
      <c r="BG67" s="430" t="str">
        <f>IFERROR(VLOOKUP(Envoltória!$G75,$BQ$35:$BZ$43,BG$9,FALSE),"")</f>
        <v/>
      </c>
      <c r="BH67" s="430" t="str">
        <f>IFERROR(VLOOKUP(Envoltória!$G75,$BQ$35:$BZ$43,BH$9,FALSE),"")</f>
        <v/>
      </c>
      <c r="BI67" s="430" t="str">
        <f>IFERROR(VLOOKUP(Envoltória!$G75,$BQ$35:$BZ$43,BI$9,FALSE),"")</f>
        <v/>
      </c>
      <c r="BJ67" s="430" t="str">
        <f>IFERROR(VLOOKUP(Envoltória!$G75,$BQ$35:$BZ$43,BJ$9,FALSE),"")</f>
        <v/>
      </c>
      <c r="BK67" s="430" t="str">
        <f>IFERROR(VLOOKUP(Envoltória!$G75,$BQ$35:$BZ$43,BK$9,FALSE),"")</f>
        <v/>
      </c>
      <c r="BL67" s="430" t="str">
        <f>IFERROR(VLOOKUP(Envoltória!$G75,$BQ$35:$BZ$43,BL$9,FALSE),"")</f>
        <v/>
      </c>
      <c r="BM67" s="430" t="str">
        <f>IFERROR(VLOOKUP(Envoltória!$G75,$BQ$35:$BZ$43,BM$9,FALSE),"")</f>
        <v/>
      </c>
      <c r="BN67" s="430" t="str">
        <f>IFERROR(VLOOKUP(Envoltória!$G75,$BQ$35:$BZ$43,BN$9,FALSE),"")</f>
        <v/>
      </c>
      <c r="BO67" s="430" t="str">
        <f>IFERROR(VLOOKUP(Envoltória!$G75,$BQ$35:$BZ$43,BO$9,FALSE),"")</f>
        <v/>
      </c>
      <c r="BP67" s="2"/>
    </row>
    <row r="68" spans="1:68" s="13" customFormat="1" x14ac:dyDescent="0.25">
      <c r="A68" s="2">
        <v>58</v>
      </c>
      <c r="B68" s="410">
        <f>Envoltória!I76</f>
        <v>0</v>
      </c>
      <c r="C68" s="410">
        <f>Envoltória!B76</f>
        <v>0</v>
      </c>
      <c r="D68" s="410">
        <f>Envoltória!C76</f>
        <v>0</v>
      </c>
      <c r="E68" s="410">
        <f>Envoltória!D76</f>
        <v>0</v>
      </c>
      <c r="F68" s="430" t="str">
        <f>IF(B68=0,"",Envoltória!E76)</f>
        <v/>
      </c>
      <c r="G68" s="430" t="str">
        <f t="shared" si="2"/>
        <v/>
      </c>
      <c r="H68" s="430" t="str">
        <f>IF(B68=0,"",Envoltória!O76/100)</f>
        <v/>
      </c>
      <c r="I68" s="430" t="str">
        <f>IF(B68=0,"",IF(BF68=1,VLOOKUP(Envoltória!N76,Componentes!AV:AY,2,FALSE),89))</f>
        <v/>
      </c>
      <c r="J68" s="416" t="str">
        <f>IF(B68=0,"",IFERROR(VLOOKUP(Envoltória!M76,Componentes!$P:$R,2,FALSE),""))</f>
        <v/>
      </c>
      <c r="K68" s="416" t="str">
        <f>IF(B68=0,"",IFERROR(VLOOKUP(Envoltória!M76,Componentes!$P:$R,3,FALSE),""))</f>
        <v/>
      </c>
      <c r="L68" s="431" t="str">
        <f>IF(B68=0,"",IFERROR(IF(BB68&lt;&gt;0,VLOOKUP(Envoltória!L76,Componentes!K:N,2,FALSE),0),""))</f>
        <v/>
      </c>
      <c r="M68" s="431" t="str">
        <f>IF(B68=0,"",IFERROR(IF(BB68&lt;&gt;0,VLOOKUP(Envoltória!L76,Componentes!K:N,3,FALSE),0),""))</f>
        <v/>
      </c>
      <c r="N68" s="431" t="str">
        <f>IF(B68=0,"",IFERROR(IF(BB68&lt;&gt;0,VLOOKUP(Envoltória!L76,Componentes!K:N,4,FALSE),0),""))</f>
        <v/>
      </c>
      <c r="O68" s="430" t="str">
        <f>IF(B68=0,"",IF(BF68=1,VLOOKUP(Envoltória!J76,Componentes!B:E,2,FALSE),-6))</f>
        <v/>
      </c>
      <c r="P68" s="430" t="str">
        <f>IF(B68=0,"",IF(BF68=1,VLOOKUP(Envoltória!J76,Componentes!B:E,3,FALSE),-400))</f>
        <v/>
      </c>
      <c r="Q68" s="430" t="str">
        <f>IF(B68=0,"",IF(BF68=1,VLOOKUP(Envoltória!J76,Componentes!B:E,4,FALSE),0))</f>
        <v/>
      </c>
      <c r="R68" s="416" t="str">
        <f>IF(B68=0,"",IFERROR(VLOOKUP(Envoltória!K76,Componentes!G:I,2,FALSE),""))</f>
        <v/>
      </c>
      <c r="S68" s="416" t="str">
        <f>IF(B68=0,"",IFERROR(VLOOKUP(Envoltória!K76,Componentes!G:I,3,FALSE),""))</f>
        <v/>
      </c>
      <c r="T68" s="430" t="str">
        <f>IF(B68=0,"",IFERROR(IF(H68&lt;&gt;0,VLOOKUP(Envoltória!N76,Componentes!T:V,3,FALSE),0),""))</f>
        <v/>
      </c>
      <c r="U68" s="430" t="str">
        <f>IF(B68=0,"",IFERROR(IF(H68&lt;&gt;0,VLOOKUP(Envoltória!N76,Componentes!T:V,2,FALSE),0),""))</f>
        <v/>
      </c>
      <c r="V68" s="416" t="str">
        <f>IF(B68=0,"",IFERROR(IF(AA68&lt;&gt;0,VLOOKUP(Envoltória!U76,Componentes!X:Z,2,FALSE),0),0))</f>
        <v/>
      </c>
      <c r="W68" s="416" t="str">
        <f>IF(B68=0,"",IFERROR(IF(AA68&lt;&gt;0,VLOOKUP(Envoltória!U76,Componentes!X:Z,3,FALSE),0),0))</f>
        <v/>
      </c>
      <c r="X68" s="430" t="str">
        <f>IF(B68=0,"",Envoltória!U76)</f>
        <v/>
      </c>
      <c r="Y68" s="430" t="str">
        <f>IF(B68=0,"",Envoltória!S76)</f>
        <v/>
      </c>
      <c r="Z68" s="430" t="str">
        <f>IF(B68=0,"",Envoltória!T76)</f>
        <v/>
      </c>
      <c r="AA68" s="416" t="str">
        <f>IF(B68=0,"",Envoltória!Q76/100)</f>
        <v/>
      </c>
      <c r="AB68" s="434" t="str">
        <f>IF($B68=0,"",VLOOKUP(Aux_Lista!$DR$2,Aux_Clima!$A:$O,AB$8,FALSE))</f>
        <v/>
      </c>
      <c r="AC68" s="434" t="str">
        <f>IF($B68=0,"",VLOOKUP(Aux_Lista!$DR$2,Aux_Clima!$A:$O,AC$8,FALSE))</f>
        <v/>
      </c>
      <c r="AD68" s="434" t="str">
        <f>IF($B68=0,"",ROUND(VLOOKUP(Aux_Lista!$DR$2,Aux_Clima!$A:$O,AD$8,FALSE),8))</f>
        <v/>
      </c>
      <c r="AE68" s="434" t="str">
        <f>IF($B68=0,"",ROUND(VLOOKUP(Aux_Lista!$DR$2,Aux_Clima!$A:$O,AE$8,FALSE),8))</f>
        <v/>
      </c>
      <c r="AF68" s="434" t="str">
        <f>IF($B68=0,"",ROUND(VLOOKUP(Aux_Lista!$DR$2,Aux_Clima!$A:$O,AF$8,FALSE),8))</f>
        <v/>
      </c>
      <c r="AG68" s="434" t="str">
        <f>IF($B68=0,"",ROUND(VLOOKUP(Aux_Lista!$DR$2,Aux_Clima!$A:$O,AG$8,FALSE),8))</f>
        <v/>
      </c>
      <c r="AH68" s="434" t="str">
        <f>IF($B68=0,"",ROUND(VLOOKUP(Aux_Lista!$DR$2,Aux_Clima!$A:$O,AH$8,FALSE),8))</f>
        <v/>
      </c>
      <c r="AI68" s="434" t="str">
        <f>IF($B68=0,"",ROUND(VLOOKUP(Aux_Lista!$DR$2,Aux_Clima!$A:$O,AI$8,FALSE),8))</f>
        <v/>
      </c>
      <c r="AJ68" s="434" t="str">
        <f>IF($B68=0,"",ROUND(VLOOKUP(Aux_Lista!$DR$2,Aux_Clima!$A:$O,AJ$8,FALSE),3))</f>
        <v/>
      </c>
      <c r="AK68" s="434" t="str">
        <f>IF($B68=0,"",ROUND(VLOOKUP(Aux_Lista!$DR$2,Aux_Clima!$A:$O,AK$8,FALSE),3))</f>
        <v/>
      </c>
      <c r="AL68" s="434" t="str">
        <f>IF($B68=0,"",ROUND(VLOOKUP(Aux_Lista!$DR$2,Aux_Clima!$A:$O,AL$8,FALSE),3))</f>
        <v/>
      </c>
      <c r="AM68" s="434" t="str">
        <f>IF($B68=0,"",ROUND(VLOOKUP(Aux_Lista!$DR$2,Aux_Clima!$A:$O,AM$8,FALSE),8))</f>
        <v/>
      </c>
      <c r="AN68" s="434" t="str">
        <f>IF($B68=0,"",ROUND(VLOOKUP(Aux_Lista!$DR$2,Aux_Clima!$A:$O,AN$8,FALSE),8))</f>
        <v/>
      </c>
      <c r="AO68" s="434" t="str">
        <f>IF($B68=0,"",ROUND(VLOOKUP(Aux_Lista!$DR$2,Aux_Clima!$A:$O,AO$8,FALSE),8))</f>
        <v/>
      </c>
      <c r="AP68" s="430" t="str">
        <f>IF(B68=0,"",IF(BF68=0,84,VLOOKUP(Envoltória!N76,Componentes!AV:AY,4,FALSE)))</f>
        <v/>
      </c>
      <c r="AQ68" s="430" t="str">
        <f>IF(B68=0,"",IF(BF68=0,90,VLOOKUP(Envoltória!N76,Componentes!AV:AY,3,FALSE)))</f>
        <v/>
      </c>
      <c r="AR68" s="430" t="str">
        <f t="shared" si="4"/>
        <v/>
      </c>
      <c r="AS68" s="430" t="str">
        <f t="shared" si="4"/>
        <v/>
      </c>
      <c r="AT68" s="430" t="str">
        <f t="shared" si="4"/>
        <v/>
      </c>
      <c r="AU68" s="430" t="str">
        <f t="shared" si="4"/>
        <v/>
      </c>
      <c r="AV68" s="430" t="str">
        <f t="shared" si="4"/>
        <v/>
      </c>
      <c r="AW68" s="416" t="str">
        <f>IF($B68=0,"",IFERROR(VLOOKUP(Envoltória!$B76,Aux_Lista!$O:$U,AW$9,FALSE),0))</f>
        <v/>
      </c>
      <c r="AX68" s="416" t="str">
        <f>IF($B68=0,"",IFERROR(VLOOKUP(Envoltória!$B76,Aux_Lista!$O:$U,AX$9,FALSE),0))</f>
        <v/>
      </c>
      <c r="AY68" s="416" t="str">
        <f>IF($B68=0,"",IFERROR(VLOOKUP(Envoltória!$B76,Aux_Lista!$O:$U,AY$9,FALSE),0))</f>
        <v/>
      </c>
      <c r="AZ68" s="416" t="str">
        <f>IF($B68=0,"",IFERROR(VLOOKUP(Envoltória!$B76,Aux_Lista!$O:$U,AZ$9,FALSE),0))</f>
        <v/>
      </c>
      <c r="BA68" s="416" t="str">
        <f>IF($B68=0,"",IFERROR(VLOOKUP(Envoltória!$B76,Aux_Lista!$O:$U,BA$9,FALSE),0))</f>
        <v/>
      </c>
      <c r="BB68" s="416" t="str">
        <f>IF($B68=0,"",IFERROR(VLOOKUP(Envoltória!$B76,Aux_Lista!$O:$U,BB$9,FALSE),0))</f>
        <v/>
      </c>
      <c r="BC68" s="416" t="str">
        <f>IFERROR(VLOOKUP(Envoltória!$H76,Aux_Lista!$W$2:$Y$3,BC$9,FALSE),"")</f>
        <v/>
      </c>
      <c r="BD68" s="416" t="str">
        <f>IFERROR(VLOOKUP(Envoltória!$H76,Aux_Lista!$W$2:$Y$3,BD$9,FALSE),"")</f>
        <v/>
      </c>
      <c r="BE68" s="430" t="str">
        <f t="shared" si="1"/>
        <v/>
      </c>
      <c r="BF68" s="430" t="str">
        <f>IF(B68=0,"",IF(Envoltória!F76="Perimetral",1,0))</f>
        <v/>
      </c>
      <c r="BG68" s="430" t="str">
        <f>IFERROR(VLOOKUP(Envoltória!$G76,$BQ$35:$BZ$43,BG$9,FALSE),"")</f>
        <v/>
      </c>
      <c r="BH68" s="430" t="str">
        <f>IFERROR(VLOOKUP(Envoltória!$G76,$BQ$35:$BZ$43,BH$9,FALSE),"")</f>
        <v/>
      </c>
      <c r="BI68" s="430" t="str">
        <f>IFERROR(VLOOKUP(Envoltória!$G76,$BQ$35:$BZ$43,BI$9,FALSE),"")</f>
        <v/>
      </c>
      <c r="BJ68" s="430" t="str">
        <f>IFERROR(VLOOKUP(Envoltória!$G76,$BQ$35:$BZ$43,BJ$9,FALSE),"")</f>
        <v/>
      </c>
      <c r="BK68" s="430" t="str">
        <f>IFERROR(VLOOKUP(Envoltória!$G76,$BQ$35:$BZ$43,BK$9,FALSE),"")</f>
        <v/>
      </c>
      <c r="BL68" s="430" t="str">
        <f>IFERROR(VLOOKUP(Envoltória!$G76,$BQ$35:$BZ$43,BL$9,FALSE),"")</f>
        <v/>
      </c>
      <c r="BM68" s="430" t="str">
        <f>IFERROR(VLOOKUP(Envoltória!$G76,$BQ$35:$BZ$43,BM$9,FALSE),"")</f>
        <v/>
      </c>
      <c r="BN68" s="430" t="str">
        <f>IFERROR(VLOOKUP(Envoltória!$G76,$BQ$35:$BZ$43,BN$9,FALSE),"")</f>
        <v/>
      </c>
      <c r="BO68" s="430" t="str">
        <f>IFERROR(VLOOKUP(Envoltória!$G76,$BQ$35:$BZ$43,BO$9,FALSE),"")</f>
        <v/>
      </c>
      <c r="BP68" s="2"/>
    </row>
    <row r="69" spans="1:68" s="13" customFormat="1" x14ac:dyDescent="0.25">
      <c r="A69" s="2">
        <v>59</v>
      </c>
      <c r="B69" s="410">
        <f>Envoltória!I77</f>
        <v>0</v>
      </c>
      <c r="C69" s="410">
        <f>Envoltória!B77</f>
        <v>0</v>
      </c>
      <c r="D69" s="410">
        <f>Envoltória!C77</f>
        <v>0</v>
      </c>
      <c r="E69" s="410">
        <f>Envoltória!D77</f>
        <v>0</v>
      </c>
      <c r="F69" s="430" t="str">
        <f>IF(B69=0,"",Envoltória!E77)</f>
        <v/>
      </c>
      <c r="G69" s="430" t="str">
        <f t="shared" si="2"/>
        <v/>
      </c>
      <c r="H69" s="430" t="str">
        <f>IF(B69=0,"",Envoltória!O77/100)</f>
        <v/>
      </c>
      <c r="I69" s="430" t="str">
        <f>IF(B69=0,"",IF(BF69=1,VLOOKUP(Envoltória!N77,Componentes!AV:AY,2,FALSE),89))</f>
        <v/>
      </c>
      <c r="J69" s="416" t="str">
        <f>IF(B69=0,"",IFERROR(VLOOKUP(Envoltória!M77,Componentes!$P:$R,2,FALSE),""))</f>
        <v/>
      </c>
      <c r="K69" s="416" t="str">
        <f>IF(B69=0,"",IFERROR(VLOOKUP(Envoltória!M77,Componentes!$P:$R,3,FALSE),""))</f>
        <v/>
      </c>
      <c r="L69" s="431" t="str">
        <f>IF(B69=0,"",IFERROR(IF(BB69&lt;&gt;0,VLOOKUP(Envoltória!L77,Componentes!K:N,2,FALSE),0),""))</f>
        <v/>
      </c>
      <c r="M69" s="431" t="str">
        <f>IF(B69=0,"",IFERROR(IF(BB69&lt;&gt;0,VLOOKUP(Envoltória!L77,Componentes!K:N,3,FALSE),0),""))</f>
        <v/>
      </c>
      <c r="N69" s="431" t="str">
        <f>IF(B69=0,"",IFERROR(IF(BB69&lt;&gt;0,VLOOKUP(Envoltória!L77,Componentes!K:N,4,FALSE),0),""))</f>
        <v/>
      </c>
      <c r="O69" s="430" t="str">
        <f>IF(B69=0,"",IF(BF69=1,VLOOKUP(Envoltória!J77,Componentes!B:E,2,FALSE),-6))</f>
        <v/>
      </c>
      <c r="P69" s="430" t="str">
        <f>IF(B69=0,"",IF(BF69=1,VLOOKUP(Envoltória!J77,Componentes!B:E,3,FALSE),-400))</f>
        <v/>
      </c>
      <c r="Q69" s="430" t="str">
        <f>IF(B69=0,"",IF(BF69=1,VLOOKUP(Envoltória!J77,Componentes!B:E,4,FALSE),0))</f>
        <v/>
      </c>
      <c r="R69" s="416" t="str">
        <f>IF(B69=0,"",IFERROR(VLOOKUP(Envoltória!K77,Componentes!G:I,2,FALSE),""))</f>
        <v/>
      </c>
      <c r="S69" s="416" t="str">
        <f>IF(B69=0,"",IFERROR(VLOOKUP(Envoltória!K77,Componentes!G:I,3,FALSE),""))</f>
        <v/>
      </c>
      <c r="T69" s="430" t="str">
        <f>IF(B69=0,"",IFERROR(IF(H69&lt;&gt;0,VLOOKUP(Envoltória!N77,Componentes!T:V,3,FALSE),0),""))</f>
        <v/>
      </c>
      <c r="U69" s="430" t="str">
        <f>IF(B69=0,"",IFERROR(IF(H69&lt;&gt;0,VLOOKUP(Envoltória!N77,Componentes!T:V,2,FALSE),0),""))</f>
        <v/>
      </c>
      <c r="V69" s="416" t="str">
        <f>IF(B69=0,"",IFERROR(IF(AA69&lt;&gt;0,VLOOKUP(Envoltória!U77,Componentes!X:Z,2,FALSE),0),0))</f>
        <v/>
      </c>
      <c r="W69" s="416" t="str">
        <f>IF(B69=0,"",IFERROR(IF(AA69&lt;&gt;0,VLOOKUP(Envoltória!U77,Componentes!X:Z,3,FALSE),0),0))</f>
        <v/>
      </c>
      <c r="X69" s="430" t="str">
        <f>IF(B69=0,"",Envoltória!U77)</f>
        <v/>
      </c>
      <c r="Y69" s="430" t="str">
        <f>IF(B69=0,"",Envoltória!S77)</f>
        <v/>
      </c>
      <c r="Z69" s="430" t="str">
        <f>IF(B69=0,"",Envoltória!T77)</f>
        <v/>
      </c>
      <c r="AA69" s="416" t="str">
        <f>IF(B69=0,"",Envoltória!Q77/100)</f>
        <v/>
      </c>
      <c r="AB69" s="434" t="str">
        <f>IF($B69=0,"",VLOOKUP(Aux_Lista!$DR$2,Aux_Clima!$A:$O,AB$8,FALSE))</f>
        <v/>
      </c>
      <c r="AC69" s="434" t="str">
        <f>IF($B69=0,"",VLOOKUP(Aux_Lista!$DR$2,Aux_Clima!$A:$O,AC$8,FALSE))</f>
        <v/>
      </c>
      <c r="AD69" s="434" t="str">
        <f>IF($B69=0,"",ROUND(VLOOKUP(Aux_Lista!$DR$2,Aux_Clima!$A:$O,AD$8,FALSE),8))</f>
        <v/>
      </c>
      <c r="AE69" s="434" t="str">
        <f>IF($B69=0,"",ROUND(VLOOKUP(Aux_Lista!$DR$2,Aux_Clima!$A:$O,AE$8,FALSE),8))</f>
        <v/>
      </c>
      <c r="AF69" s="434" t="str">
        <f>IF($B69=0,"",ROUND(VLOOKUP(Aux_Lista!$DR$2,Aux_Clima!$A:$O,AF$8,FALSE),8))</f>
        <v/>
      </c>
      <c r="AG69" s="434" t="str">
        <f>IF($B69=0,"",ROUND(VLOOKUP(Aux_Lista!$DR$2,Aux_Clima!$A:$O,AG$8,FALSE),8))</f>
        <v/>
      </c>
      <c r="AH69" s="434" t="str">
        <f>IF($B69=0,"",ROUND(VLOOKUP(Aux_Lista!$DR$2,Aux_Clima!$A:$O,AH$8,FALSE),8))</f>
        <v/>
      </c>
      <c r="AI69" s="434" t="str">
        <f>IF($B69=0,"",ROUND(VLOOKUP(Aux_Lista!$DR$2,Aux_Clima!$A:$O,AI$8,FALSE),8))</f>
        <v/>
      </c>
      <c r="AJ69" s="434" t="str">
        <f>IF($B69=0,"",ROUND(VLOOKUP(Aux_Lista!$DR$2,Aux_Clima!$A:$O,AJ$8,FALSE),3))</f>
        <v/>
      </c>
      <c r="AK69" s="434" t="str">
        <f>IF($B69=0,"",ROUND(VLOOKUP(Aux_Lista!$DR$2,Aux_Clima!$A:$O,AK$8,FALSE),3))</f>
        <v/>
      </c>
      <c r="AL69" s="434" t="str">
        <f>IF($B69=0,"",ROUND(VLOOKUP(Aux_Lista!$DR$2,Aux_Clima!$A:$O,AL$8,FALSE),3))</f>
        <v/>
      </c>
      <c r="AM69" s="434" t="str">
        <f>IF($B69=0,"",ROUND(VLOOKUP(Aux_Lista!$DR$2,Aux_Clima!$A:$O,AM$8,FALSE),8))</f>
        <v/>
      </c>
      <c r="AN69" s="434" t="str">
        <f>IF($B69=0,"",ROUND(VLOOKUP(Aux_Lista!$DR$2,Aux_Clima!$A:$O,AN$8,FALSE),8))</f>
        <v/>
      </c>
      <c r="AO69" s="434" t="str">
        <f>IF($B69=0,"",ROUND(VLOOKUP(Aux_Lista!$DR$2,Aux_Clima!$A:$O,AO$8,FALSE),8))</f>
        <v/>
      </c>
      <c r="AP69" s="430" t="str">
        <f>IF(B69=0,"",IF(BF69=0,84,VLOOKUP(Envoltória!N77,Componentes!AV:AY,4,FALSE)))</f>
        <v/>
      </c>
      <c r="AQ69" s="430" t="str">
        <f>IF(B69=0,"",IF(BF69=0,90,VLOOKUP(Envoltória!N77,Componentes!AV:AY,3,FALSE)))</f>
        <v/>
      </c>
      <c r="AR69" s="430" t="str">
        <f t="shared" si="4"/>
        <v/>
      </c>
      <c r="AS69" s="430" t="str">
        <f t="shared" si="4"/>
        <v/>
      </c>
      <c r="AT69" s="430" t="str">
        <f t="shared" si="4"/>
        <v/>
      </c>
      <c r="AU69" s="430" t="str">
        <f t="shared" si="4"/>
        <v/>
      </c>
      <c r="AV69" s="430" t="str">
        <f t="shared" si="4"/>
        <v/>
      </c>
      <c r="AW69" s="416" t="str">
        <f>IF($B69=0,"",IFERROR(VLOOKUP(Envoltória!$B77,Aux_Lista!$O:$U,AW$9,FALSE),0))</f>
        <v/>
      </c>
      <c r="AX69" s="416" t="str">
        <f>IF($B69=0,"",IFERROR(VLOOKUP(Envoltória!$B77,Aux_Lista!$O:$U,AX$9,FALSE),0))</f>
        <v/>
      </c>
      <c r="AY69" s="416" t="str">
        <f>IF($B69=0,"",IFERROR(VLOOKUP(Envoltória!$B77,Aux_Lista!$O:$U,AY$9,FALSE),0))</f>
        <v/>
      </c>
      <c r="AZ69" s="416" t="str">
        <f>IF($B69=0,"",IFERROR(VLOOKUP(Envoltória!$B77,Aux_Lista!$O:$U,AZ$9,FALSE),0))</f>
        <v/>
      </c>
      <c r="BA69" s="416" t="str">
        <f>IF($B69=0,"",IFERROR(VLOOKUP(Envoltória!$B77,Aux_Lista!$O:$U,BA$9,FALSE),0))</f>
        <v/>
      </c>
      <c r="BB69" s="416" t="str">
        <f>IF($B69=0,"",IFERROR(VLOOKUP(Envoltória!$B77,Aux_Lista!$O:$U,BB$9,FALSE),0))</f>
        <v/>
      </c>
      <c r="BC69" s="416" t="str">
        <f>IFERROR(VLOOKUP(Envoltória!$H77,Aux_Lista!$W$2:$Y$3,BC$9,FALSE),"")</f>
        <v/>
      </c>
      <c r="BD69" s="416" t="str">
        <f>IFERROR(VLOOKUP(Envoltória!$H77,Aux_Lista!$W$2:$Y$3,BD$9,FALSE),"")</f>
        <v/>
      </c>
      <c r="BE69" s="430" t="str">
        <f t="shared" si="1"/>
        <v/>
      </c>
      <c r="BF69" s="430" t="str">
        <f>IF(B69=0,"",IF(Envoltória!F77="Perimetral",1,0))</f>
        <v/>
      </c>
      <c r="BG69" s="430" t="str">
        <f>IFERROR(VLOOKUP(Envoltória!$G77,$BQ$35:$BZ$43,BG$9,FALSE),"")</f>
        <v/>
      </c>
      <c r="BH69" s="430" t="str">
        <f>IFERROR(VLOOKUP(Envoltória!$G77,$BQ$35:$BZ$43,BH$9,FALSE),"")</f>
        <v/>
      </c>
      <c r="BI69" s="430" t="str">
        <f>IFERROR(VLOOKUP(Envoltória!$G77,$BQ$35:$BZ$43,BI$9,FALSE),"")</f>
        <v/>
      </c>
      <c r="BJ69" s="430" t="str">
        <f>IFERROR(VLOOKUP(Envoltória!$G77,$BQ$35:$BZ$43,BJ$9,FALSE),"")</f>
        <v/>
      </c>
      <c r="BK69" s="430" t="str">
        <f>IFERROR(VLOOKUP(Envoltória!$G77,$BQ$35:$BZ$43,BK$9,FALSE),"")</f>
        <v/>
      </c>
      <c r="BL69" s="430" t="str">
        <f>IFERROR(VLOOKUP(Envoltória!$G77,$BQ$35:$BZ$43,BL$9,FALSE),"")</f>
        <v/>
      </c>
      <c r="BM69" s="430" t="str">
        <f>IFERROR(VLOOKUP(Envoltória!$G77,$BQ$35:$BZ$43,BM$9,FALSE),"")</f>
        <v/>
      </c>
      <c r="BN69" s="430" t="str">
        <f>IFERROR(VLOOKUP(Envoltória!$G77,$BQ$35:$BZ$43,BN$9,FALSE),"")</f>
        <v/>
      </c>
      <c r="BO69" s="430" t="str">
        <f>IFERROR(VLOOKUP(Envoltória!$G77,$BQ$35:$BZ$43,BO$9,FALSE),"")</f>
        <v/>
      </c>
      <c r="BP69" s="2"/>
    </row>
    <row r="70" spans="1:68" s="13" customFormat="1" x14ac:dyDescent="0.25">
      <c r="A70" s="2">
        <v>60</v>
      </c>
      <c r="B70" s="410">
        <f>Envoltória!I78</f>
        <v>0</v>
      </c>
      <c r="C70" s="410">
        <f>Envoltória!B78</f>
        <v>0</v>
      </c>
      <c r="D70" s="410">
        <f>Envoltória!C78</f>
        <v>0</v>
      </c>
      <c r="E70" s="410">
        <f>Envoltória!D78</f>
        <v>0</v>
      </c>
      <c r="F70" s="430" t="str">
        <f>IF(B70=0,"",Envoltória!E78)</f>
        <v/>
      </c>
      <c r="G70" s="430" t="str">
        <f t="shared" si="2"/>
        <v/>
      </c>
      <c r="H70" s="430" t="str">
        <f>IF(B70=0,"",Envoltória!O78/100)</f>
        <v/>
      </c>
      <c r="I70" s="430" t="str">
        <f>IF(B70=0,"",IF(BF70=1,VLOOKUP(Envoltória!N78,Componentes!AV:AY,2,FALSE),89))</f>
        <v/>
      </c>
      <c r="J70" s="416" t="str">
        <f>IF(B70=0,"",IFERROR(VLOOKUP(Envoltória!M78,Componentes!$P:$R,2,FALSE),""))</f>
        <v/>
      </c>
      <c r="K70" s="416" t="str">
        <f>IF(B70=0,"",IFERROR(VLOOKUP(Envoltória!M78,Componentes!$P:$R,3,FALSE),""))</f>
        <v/>
      </c>
      <c r="L70" s="431" t="str">
        <f>IF(B70=0,"",IFERROR(IF(BB70&lt;&gt;0,VLOOKUP(Envoltória!L78,Componentes!K:N,2,FALSE),0),""))</f>
        <v/>
      </c>
      <c r="M70" s="431" t="str">
        <f>IF(B70=0,"",IFERROR(IF(BB70&lt;&gt;0,VLOOKUP(Envoltória!L78,Componentes!K:N,3,FALSE),0),""))</f>
        <v/>
      </c>
      <c r="N70" s="431" t="str">
        <f>IF(B70=0,"",IFERROR(IF(BB70&lt;&gt;0,VLOOKUP(Envoltória!L78,Componentes!K:N,4,FALSE),0),""))</f>
        <v/>
      </c>
      <c r="O70" s="430" t="str">
        <f>IF(B70=0,"",IF(BF70=1,VLOOKUP(Envoltória!J78,Componentes!B:E,2,FALSE),-6))</f>
        <v/>
      </c>
      <c r="P70" s="430" t="str">
        <f>IF(B70=0,"",IF(BF70=1,VLOOKUP(Envoltória!J78,Componentes!B:E,3,FALSE),-400))</f>
        <v/>
      </c>
      <c r="Q70" s="430" t="str">
        <f>IF(B70=0,"",IF(BF70=1,VLOOKUP(Envoltória!J78,Componentes!B:E,4,FALSE),0))</f>
        <v/>
      </c>
      <c r="R70" s="416" t="str">
        <f>IF(B70=0,"",IFERROR(VLOOKUP(Envoltória!K78,Componentes!G:I,2,FALSE),""))</f>
        <v/>
      </c>
      <c r="S70" s="416" t="str">
        <f>IF(B70=0,"",IFERROR(VLOOKUP(Envoltória!K78,Componentes!G:I,3,FALSE),""))</f>
        <v/>
      </c>
      <c r="T70" s="430" t="str">
        <f>IF(B70=0,"",IFERROR(IF(H70&lt;&gt;0,VLOOKUP(Envoltória!N78,Componentes!T:V,3,FALSE),0),""))</f>
        <v/>
      </c>
      <c r="U70" s="430" t="str">
        <f>IF(B70=0,"",IFERROR(IF(H70&lt;&gt;0,VLOOKUP(Envoltória!N78,Componentes!T:V,2,FALSE),0),""))</f>
        <v/>
      </c>
      <c r="V70" s="416" t="str">
        <f>IF(B70=0,"",IFERROR(IF(AA70&lt;&gt;0,VLOOKUP(Envoltória!U78,Componentes!X:Z,2,FALSE),0),0))</f>
        <v/>
      </c>
      <c r="W70" s="416" t="str">
        <f>IF(B70=0,"",IFERROR(IF(AA70&lt;&gt;0,VLOOKUP(Envoltória!U78,Componentes!X:Z,3,FALSE),0),0))</f>
        <v/>
      </c>
      <c r="X70" s="430" t="str">
        <f>IF(B70=0,"",Envoltória!U78)</f>
        <v/>
      </c>
      <c r="Y70" s="430" t="str">
        <f>IF(B70=0,"",Envoltória!S78)</f>
        <v/>
      </c>
      <c r="Z70" s="430" t="str">
        <f>IF(B70=0,"",Envoltória!T78)</f>
        <v/>
      </c>
      <c r="AA70" s="416" t="str">
        <f>IF(B70=0,"",Envoltória!Q78/100)</f>
        <v/>
      </c>
      <c r="AB70" s="434" t="str">
        <f>IF($B70=0,"",VLOOKUP(Aux_Lista!$DR$2,Aux_Clima!$A:$O,AB$8,FALSE))</f>
        <v/>
      </c>
      <c r="AC70" s="434" t="str">
        <f>IF($B70=0,"",VLOOKUP(Aux_Lista!$DR$2,Aux_Clima!$A:$O,AC$8,FALSE))</f>
        <v/>
      </c>
      <c r="AD70" s="434" t="str">
        <f>IF($B70=0,"",ROUND(VLOOKUP(Aux_Lista!$DR$2,Aux_Clima!$A:$O,AD$8,FALSE),8))</f>
        <v/>
      </c>
      <c r="AE70" s="434" t="str">
        <f>IF($B70=0,"",ROUND(VLOOKUP(Aux_Lista!$DR$2,Aux_Clima!$A:$O,AE$8,FALSE),8))</f>
        <v/>
      </c>
      <c r="AF70" s="434" t="str">
        <f>IF($B70=0,"",ROUND(VLOOKUP(Aux_Lista!$DR$2,Aux_Clima!$A:$O,AF$8,FALSE),8))</f>
        <v/>
      </c>
      <c r="AG70" s="434" t="str">
        <f>IF($B70=0,"",ROUND(VLOOKUP(Aux_Lista!$DR$2,Aux_Clima!$A:$O,AG$8,FALSE),8))</f>
        <v/>
      </c>
      <c r="AH70" s="434" t="str">
        <f>IF($B70=0,"",ROUND(VLOOKUP(Aux_Lista!$DR$2,Aux_Clima!$A:$O,AH$8,FALSE),8))</f>
        <v/>
      </c>
      <c r="AI70" s="434" t="str">
        <f>IF($B70=0,"",ROUND(VLOOKUP(Aux_Lista!$DR$2,Aux_Clima!$A:$O,AI$8,FALSE),8))</f>
        <v/>
      </c>
      <c r="AJ70" s="434" t="str">
        <f>IF($B70=0,"",ROUND(VLOOKUP(Aux_Lista!$DR$2,Aux_Clima!$A:$O,AJ$8,FALSE),3))</f>
        <v/>
      </c>
      <c r="AK70" s="434" t="str">
        <f>IF($B70=0,"",ROUND(VLOOKUP(Aux_Lista!$DR$2,Aux_Clima!$A:$O,AK$8,FALSE),3))</f>
        <v/>
      </c>
      <c r="AL70" s="434" t="str">
        <f>IF($B70=0,"",ROUND(VLOOKUP(Aux_Lista!$DR$2,Aux_Clima!$A:$O,AL$8,FALSE),3))</f>
        <v/>
      </c>
      <c r="AM70" s="434" t="str">
        <f>IF($B70=0,"",ROUND(VLOOKUP(Aux_Lista!$DR$2,Aux_Clima!$A:$O,AM$8,FALSE),8))</f>
        <v/>
      </c>
      <c r="AN70" s="434" t="str">
        <f>IF($B70=0,"",ROUND(VLOOKUP(Aux_Lista!$DR$2,Aux_Clima!$A:$O,AN$8,FALSE),8))</f>
        <v/>
      </c>
      <c r="AO70" s="434" t="str">
        <f>IF($B70=0,"",ROUND(VLOOKUP(Aux_Lista!$DR$2,Aux_Clima!$A:$O,AO$8,FALSE),8))</f>
        <v/>
      </c>
      <c r="AP70" s="430" t="str">
        <f>IF(B70=0,"",IF(BF70=0,84,VLOOKUP(Envoltória!N78,Componentes!AV:AY,4,FALSE)))</f>
        <v/>
      </c>
      <c r="AQ70" s="430" t="str">
        <f>IF(B70=0,"",IF(BF70=0,90,VLOOKUP(Envoltória!N78,Componentes!AV:AY,3,FALSE)))</f>
        <v/>
      </c>
      <c r="AR70" s="430" t="str">
        <f t="shared" si="4"/>
        <v/>
      </c>
      <c r="AS70" s="430" t="str">
        <f t="shared" si="4"/>
        <v/>
      </c>
      <c r="AT70" s="430" t="str">
        <f t="shared" si="4"/>
        <v/>
      </c>
      <c r="AU70" s="430" t="str">
        <f t="shared" si="4"/>
        <v/>
      </c>
      <c r="AV70" s="430" t="str">
        <f t="shared" si="4"/>
        <v/>
      </c>
      <c r="AW70" s="416" t="str">
        <f>IF($B70=0,"",IFERROR(VLOOKUP(Envoltória!$B78,Aux_Lista!$O:$U,AW$9,FALSE),0))</f>
        <v/>
      </c>
      <c r="AX70" s="416" t="str">
        <f>IF($B70=0,"",IFERROR(VLOOKUP(Envoltória!$B78,Aux_Lista!$O:$U,AX$9,FALSE),0))</f>
        <v/>
      </c>
      <c r="AY70" s="416" t="str">
        <f>IF($B70=0,"",IFERROR(VLOOKUP(Envoltória!$B78,Aux_Lista!$O:$U,AY$9,FALSE),0))</f>
        <v/>
      </c>
      <c r="AZ70" s="416" t="str">
        <f>IF($B70=0,"",IFERROR(VLOOKUP(Envoltória!$B78,Aux_Lista!$O:$U,AZ$9,FALSE),0))</f>
        <v/>
      </c>
      <c r="BA70" s="416" t="str">
        <f>IF($B70=0,"",IFERROR(VLOOKUP(Envoltória!$B78,Aux_Lista!$O:$U,BA$9,FALSE),0))</f>
        <v/>
      </c>
      <c r="BB70" s="416" t="str">
        <f>IF($B70=0,"",IFERROR(VLOOKUP(Envoltória!$B78,Aux_Lista!$O:$U,BB$9,FALSE),0))</f>
        <v/>
      </c>
      <c r="BC70" s="416" t="str">
        <f>IFERROR(VLOOKUP(Envoltória!$H78,Aux_Lista!$W$2:$Y$3,BC$9,FALSE),"")</f>
        <v/>
      </c>
      <c r="BD70" s="416" t="str">
        <f>IFERROR(VLOOKUP(Envoltória!$H78,Aux_Lista!$W$2:$Y$3,BD$9,FALSE),"")</f>
        <v/>
      </c>
      <c r="BE70" s="430" t="str">
        <f t="shared" si="1"/>
        <v/>
      </c>
      <c r="BF70" s="430" t="str">
        <f>IF(B70=0,"",IF(Envoltória!F78="Perimetral",1,0))</f>
        <v/>
      </c>
      <c r="BG70" s="430" t="str">
        <f>IFERROR(VLOOKUP(Envoltória!$G78,$BQ$35:$BZ$43,BG$9,FALSE),"")</f>
        <v/>
      </c>
      <c r="BH70" s="430" t="str">
        <f>IFERROR(VLOOKUP(Envoltória!$G78,$BQ$35:$BZ$43,BH$9,FALSE),"")</f>
        <v/>
      </c>
      <c r="BI70" s="430" t="str">
        <f>IFERROR(VLOOKUP(Envoltória!$G78,$BQ$35:$BZ$43,BI$9,FALSE),"")</f>
        <v/>
      </c>
      <c r="BJ70" s="430" t="str">
        <f>IFERROR(VLOOKUP(Envoltória!$G78,$BQ$35:$BZ$43,BJ$9,FALSE),"")</f>
        <v/>
      </c>
      <c r="BK70" s="430" t="str">
        <f>IFERROR(VLOOKUP(Envoltória!$G78,$BQ$35:$BZ$43,BK$9,FALSE),"")</f>
        <v/>
      </c>
      <c r="BL70" s="430" t="str">
        <f>IFERROR(VLOOKUP(Envoltória!$G78,$BQ$35:$BZ$43,BL$9,FALSE),"")</f>
        <v/>
      </c>
      <c r="BM70" s="430" t="str">
        <f>IFERROR(VLOOKUP(Envoltória!$G78,$BQ$35:$BZ$43,BM$9,FALSE),"")</f>
        <v/>
      </c>
      <c r="BN70" s="430" t="str">
        <f>IFERROR(VLOOKUP(Envoltória!$G78,$BQ$35:$BZ$43,BN$9,FALSE),"")</f>
        <v/>
      </c>
      <c r="BO70" s="430" t="str">
        <f>IFERROR(VLOOKUP(Envoltória!$G78,$BQ$35:$BZ$43,BO$9,FALSE),"")</f>
        <v/>
      </c>
      <c r="BP70" s="2"/>
    </row>
    <row r="71" spans="1:68" s="13" customFormat="1" x14ac:dyDescent="0.25">
      <c r="A71" s="2">
        <v>61</v>
      </c>
      <c r="B71" s="410">
        <f>Envoltória!I79</f>
        <v>0</v>
      </c>
      <c r="C71" s="410">
        <f>Envoltória!B79</f>
        <v>0</v>
      </c>
      <c r="D71" s="410">
        <f>Envoltória!C79</f>
        <v>0</v>
      </c>
      <c r="E71" s="410">
        <f>Envoltória!D79</f>
        <v>0</v>
      </c>
      <c r="F71" s="430" t="str">
        <f>IF(B71=0,"",Envoltória!E79)</f>
        <v/>
      </c>
      <c r="G71" s="430" t="str">
        <f t="shared" si="2"/>
        <v/>
      </c>
      <c r="H71" s="430" t="str">
        <f>IF(B71=0,"",Envoltória!O79/100)</f>
        <v/>
      </c>
      <c r="I71" s="430" t="str">
        <f>IF(B71=0,"",IF(BF71=1,VLOOKUP(Envoltória!N79,Componentes!AV:AY,2,FALSE),89))</f>
        <v/>
      </c>
      <c r="J71" s="416" t="str">
        <f>IF(B71=0,"",IFERROR(VLOOKUP(Envoltória!M79,Componentes!$P:$R,2,FALSE),""))</f>
        <v/>
      </c>
      <c r="K71" s="416" t="str">
        <f>IF(B71=0,"",IFERROR(VLOOKUP(Envoltória!M79,Componentes!$P:$R,3,FALSE),""))</f>
        <v/>
      </c>
      <c r="L71" s="431" t="str">
        <f>IF(B71=0,"",IFERROR(IF(BB71&lt;&gt;0,VLOOKUP(Envoltória!L79,Componentes!K:N,2,FALSE),0),""))</f>
        <v/>
      </c>
      <c r="M71" s="431" t="str">
        <f>IF(B71=0,"",IFERROR(IF(BB71&lt;&gt;0,VLOOKUP(Envoltória!L79,Componentes!K:N,3,FALSE),0),""))</f>
        <v/>
      </c>
      <c r="N71" s="431" t="str">
        <f>IF(B71=0,"",IFERROR(IF(BB71&lt;&gt;0,VLOOKUP(Envoltória!L79,Componentes!K:N,4,FALSE),0),""))</f>
        <v/>
      </c>
      <c r="O71" s="430" t="str">
        <f>IF(B71=0,"",IF(BF71=1,VLOOKUP(Envoltória!J79,Componentes!B:E,2,FALSE),-6))</f>
        <v/>
      </c>
      <c r="P71" s="430" t="str">
        <f>IF(B71=0,"",IF(BF71=1,VLOOKUP(Envoltória!J79,Componentes!B:E,3,FALSE),-400))</f>
        <v/>
      </c>
      <c r="Q71" s="430" t="str">
        <f>IF(B71=0,"",IF(BF71=1,VLOOKUP(Envoltória!J79,Componentes!B:E,4,FALSE),0))</f>
        <v/>
      </c>
      <c r="R71" s="416" t="str">
        <f>IF(B71=0,"",IFERROR(VLOOKUP(Envoltória!K79,Componentes!G:I,2,FALSE),""))</f>
        <v/>
      </c>
      <c r="S71" s="416" t="str">
        <f>IF(B71=0,"",IFERROR(VLOOKUP(Envoltória!K79,Componentes!G:I,3,FALSE),""))</f>
        <v/>
      </c>
      <c r="T71" s="430" t="str">
        <f>IF(B71=0,"",IFERROR(IF(H71&lt;&gt;0,VLOOKUP(Envoltória!N79,Componentes!T:V,3,FALSE),0),""))</f>
        <v/>
      </c>
      <c r="U71" s="430" t="str">
        <f>IF(B71=0,"",IFERROR(IF(H71&lt;&gt;0,VLOOKUP(Envoltória!N79,Componentes!T:V,2,FALSE),0),""))</f>
        <v/>
      </c>
      <c r="V71" s="416" t="str">
        <f>IF(B71=0,"",IFERROR(IF(AA71&lt;&gt;0,VLOOKUP(Envoltória!U79,Componentes!X:Z,2,FALSE),0),0))</f>
        <v/>
      </c>
      <c r="W71" s="416" t="str">
        <f>IF(B71=0,"",IFERROR(IF(AA71&lt;&gt;0,VLOOKUP(Envoltória!U79,Componentes!X:Z,3,FALSE),0),0))</f>
        <v/>
      </c>
      <c r="X71" s="430" t="str">
        <f>IF(B71=0,"",Envoltória!U79)</f>
        <v/>
      </c>
      <c r="Y71" s="430" t="str">
        <f>IF(B71=0,"",Envoltória!S79)</f>
        <v/>
      </c>
      <c r="Z71" s="430" t="str">
        <f>IF(B71=0,"",Envoltória!T79)</f>
        <v/>
      </c>
      <c r="AA71" s="416" t="str">
        <f>IF(B71=0,"",Envoltória!Q79/100)</f>
        <v/>
      </c>
      <c r="AB71" s="434" t="str">
        <f>IF($B71=0,"",VLOOKUP(Aux_Lista!$DR$2,Aux_Clima!$A:$O,AB$8,FALSE))</f>
        <v/>
      </c>
      <c r="AC71" s="434" t="str">
        <f>IF($B71=0,"",VLOOKUP(Aux_Lista!$DR$2,Aux_Clima!$A:$O,AC$8,FALSE))</f>
        <v/>
      </c>
      <c r="AD71" s="434" t="str">
        <f>IF($B71=0,"",ROUND(VLOOKUP(Aux_Lista!$DR$2,Aux_Clima!$A:$O,AD$8,FALSE),8))</f>
        <v/>
      </c>
      <c r="AE71" s="434" t="str">
        <f>IF($B71=0,"",ROUND(VLOOKUP(Aux_Lista!$DR$2,Aux_Clima!$A:$O,AE$8,FALSE),8))</f>
        <v/>
      </c>
      <c r="AF71" s="434" t="str">
        <f>IF($B71=0,"",ROUND(VLOOKUP(Aux_Lista!$DR$2,Aux_Clima!$A:$O,AF$8,FALSE),8))</f>
        <v/>
      </c>
      <c r="AG71" s="434" t="str">
        <f>IF($B71=0,"",ROUND(VLOOKUP(Aux_Lista!$DR$2,Aux_Clima!$A:$O,AG$8,FALSE),8))</f>
        <v/>
      </c>
      <c r="AH71" s="434" t="str">
        <f>IF($B71=0,"",ROUND(VLOOKUP(Aux_Lista!$DR$2,Aux_Clima!$A:$O,AH$8,FALSE),8))</f>
        <v/>
      </c>
      <c r="AI71" s="434" t="str">
        <f>IF($B71=0,"",ROUND(VLOOKUP(Aux_Lista!$DR$2,Aux_Clima!$A:$O,AI$8,FALSE),8))</f>
        <v/>
      </c>
      <c r="AJ71" s="434" t="str">
        <f>IF($B71=0,"",ROUND(VLOOKUP(Aux_Lista!$DR$2,Aux_Clima!$A:$O,AJ$8,FALSE),3))</f>
        <v/>
      </c>
      <c r="AK71" s="434" t="str">
        <f>IF($B71=0,"",ROUND(VLOOKUP(Aux_Lista!$DR$2,Aux_Clima!$A:$O,AK$8,FALSE),3))</f>
        <v/>
      </c>
      <c r="AL71" s="434" t="str">
        <f>IF($B71=0,"",ROUND(VLOOKUP(Aux_Lista!$DR$2,Aux_Clima!$A:$O,AL$8,FALSE),3))</f>
        <v/>
      </c>
      <c r="AM71" s="434" t="str">
        <f>IF($B71=0,"",ROUND(VLOOKUP(Aux_Lista!$DR$2,Aux_Clima!$A:$O,AM$8,FALSE),8))</f>
        <v/>
      </c>
      <c r="AN71" s="434" t="str">
        <f>IF($B71=0,"",ROUND(VLOOKUP(Aux_Lista!$DR$2,Aux_Clima!$A:$O,AN$8,FALSE),8))</f>
        <v/>
      </c>
      <c r="AO71" s="434" t="str">
        <f>IF($B71=0,"",ROUND(VLOOKUP(Aux_Lista!$DR$2,Aux_Clima!$A:$O,AO$8,FALSE),8))</f>
        <v/>
      </c>
      <c r="AP71" s="430" t="str">
        <f>IF(B71=0,"",IF(BF71=0,84,VLOOKUP(Envoltória!N79,Componentes!AV:AY,4,FALSE)))</f>
        <v/>
      </c>
      <c r="AQ71" s="430" t="str">
        <f>IF(B71=0,"",IF(BF71=0,90,VLOOKUP(Envoltória!N79,Componentes!AV:AY,3,FALSE)))</f>
        <v/>
      </c>
      <c r="AR71" s="430" t="str">
        <f t="shared" si="4"/>
        <v/>
      </c>
      <c r="AS71" s="430" t="str">
        <f t="shared" si="4"/>
        <v/>
      </c>
      <c r="AT71" s="430" t="str">
        <f t="shared" si="4"/>
        <v/>
      </c>
      <c r="AU71" s="430" t="str">
        <f t="shared" si="4"/>
        <v/>
      </c>
      <c r="AV71" s="430" t="str">
        <f t="shared" si="4"/>
        <v/>
      </c>
      <c r="AW71" s="416" t="str">
        <f>IF($B71=0,"",IFERROR(VLOOKUP(Envoltória!$B79,Aux_Lista!$O:$U,AW$9,FALSE),0))</f>
        <v/>
      </c>
      <c r="AX71" s="416" t="str">
        <f>IF($B71=0,"",IFERROR(VLOOKUP(Envoltória!$B79,Aux_Lista!$O:$U,AX$9,FALSE),0))</f>
        <v/>
      </c>
      <c r="AY71" s="416" t="str">
        <f>IF($B71=0,"",IFERROR(VLOOKUP(Envoltória!$B79,Aux_Lista!$O:$U,AY$9,FALSE),0))</f>
        <v/>
      </c>
      <c r="AZ71" s="416" t="str">
        <f>IF($B71=0,"",IFERROR(VLOOKUP(Envoltória!$B79,Aux_Lista!$O:$U,AZ$9,FALSE),0))</f>
        <v/>
      </c>
      <c r="BA71" s="416" t="str">
        <f>IF($B71=0,"",IFERROR(VLOOKUP(Envoltória!$B79,Aux_Lista!$O:$U,BA$9,FALSE),0))</f>
        <v/>
      </c>
      <c r="BB71" s="416" t="str">
        <f>IF($B71=0,"",IFERROR(VLOOKUP(Envoltória!$B79,Aux_Lista!$O:$U,BB$9,FALSE),0))</f>
        <v/>
      </c>
      <c r="BC71" s="416" t="str">
        <f>IFERROR(VLOOKUP(Envoltória!$H79,Aux_Lista!$W$2:$Y$3,BC$9,FALSE),"")</f>
        <v/>
      </c>
      <c r="BD71" s="416" t="str">
        <f>IFERROR(VLOOKUP(Envoltória!$H79,Aux_Lista!$W$2:$Y$3,BD$9,FALSE),"")</f>
        <v/>
      </c>
      <c r="BE71" s="430" t="str">
        <f t="shared" si="1"/>
        <v/>
      </c>
      <c r="BF71" s="430" t="str">
        <f>IF(B71=0,"",IF(Envoltória!F79="Perimetral",1,0))</f>
        <v/>
      </c>
      <c r="BG71" s="430" t="str">
        <f>IFERROR(VLOOKUP(Envoltória!$G79,$BQ$35:$BZ$43,BG$9,FALSE),"")</f>
        <v/>
      </c>
      <c r="BH71" s="430" t="str">
        <f>IFERROR(VLOOKUP(Envoltória!$G79,$BQ$35:$BZ$43,BH$9,FALSE),"")</f>
        <v/>
      </c>
      <c r="BI71" s="430" t="str">
        <f>IFERROR(VLOOKUP(Envoltória!$G79,$BQ$35:$BZ$43,BI$9,FALSE),"")</f>
        <v/>
      </c>
      <c r="BJ71" s="430" t="str">
        <f>IFERROR(VLOOKUP(Envoltória!$G79,$BQ$35:$BZ$43,BJ$9,FALSE),"")</f>
        <v/>
      </c>
      <c r="BK71" s="430" t="str">
        <f>IFERROR(VLOOKUP(Envoltória!$G79,$BQ$35:$BZ$43,BK$9,FALSE),"")</f>
        <v/>
      </c>
      <c r="BL71" s="430" t="str">
        <f>IFERROR(VLOOKUP(Envoltória!$G79,$BQ$35:$BZ$43,BL$9,FALSE),"")</f>
        <v/>
      </c>
      <c r="BM71" s="430" t="str">
        <f>IFERROR(VLOOKUP(Envoltória!$G79,$BQ$35:$BZ$43,BM$9,FALSE),"")</f>
        <v/>
      </c>
      <c r="BN71" s="430" t="str">
        <f>IFERROR(VLOOKUP(Envoltória!$G79,$BQ$35:$BZ$43,BN$9,FALSE),"")</f>
        <v/>
      </c>
      <c r="BO71" s="430" t="str">
        <f>IFERROR(VLOOKUP(Envoltória!$G79,$BQ$35:$BZ$43,BO$9,FALSE),"")</f>
        <v/>
      </c>
      <c r="BP71" s="2"/>
    </row>
    <row r="72" spans="1:68" s="13" customFormat="1" x14ac:dyDescent="0.25">
      <c r="A72" s="2">
        <v>62</v>
      </c>
      <c r="B72" s="410">
        <f>Envoltória!I80</f>
        <v>0</v>
      </c>
      <c r="C72" s="410">
        <f>Envoltória!B80</f>
        <v>0</v>
      </c>
      <c r="D72" s="410">
        <f>Envoltória!C80</f>
        <v>0</v>
      </c>
      <c r="E72" s="410">
        <f>Envoltória!D80</f>
        <v>0</v>
      </c>
      <c r="F72" s="430" t="str">
        <f>IF(B72=0,"",Envoltória!E80)</f>
        <v/>
      </c>
      <c r="G72" s="430" t="str">
        <f t="shared" si="2"/>
        <v/>
      </c>
      <c r="H72" s="430" t="str">
        <f>IF(B72=0,"",Envoltória!O80/100)</f>
        <v/>
      </c>
      <c r="I72" s="430" t="str">
        <f>IF(B72=0,"",IF(BF72=1,VLOOKUP(Envoltória!N80,Componentes!AV:AY,2,FALSE),89))</f>
        <v/>
      </c>
      <c r="J72" s="416" t="str">
        <f>IF(B72=0,"",IFERROR(VLOOKUP(Envoltória!M80,Componentes!$P:$R,2,FALSE),""))</f>
        <v/>
      </c>
      <c r="K72" s="416" t="str">
        <f>IF(B72=0,"",IFERROR(VLOOKUP(Envoltória!M80,Componentes!$P:$R,3,FALSE),""))</f>
        <v/>
      </c>
      <c r="L72" s="431" t="str">
        <f>IF(B72=0,"",IFERROR(IF(BB72&lt;&gt;0,VLOOKUP(Envoltória!L80,Componentes!K:N,2,FALSE),0),""))</f>
        <v/>
      </c>
      <c r="M72" s="431" t="str">
        <f>IF(B72=0,"",IFERROR(IF(BB72&lt;&gt;0,VLOOKUP(Envoltória!L80,Componentes!K:N,3,FALSE),0),""))</f>
        <v/>
      </c>
      <c r="N72" s="431" t="str">
        <f>IF(B72=0,"",IFERROR(IF(BB72&lt;&gt;0,VLOOKUP(Envoltória!L80,Componentes!K:N,4,FALSE),0),""))</f>
        <v/>
      </c>
      <c r="O72" s="430" t="str">
        <f>IF(B72=0,"",IF(BF72=1,VLOOKUP(Envoltória!J80,Componentes!B:E,2,FALSE),-6))</f>
        <v/>
      </c>
      <c r="P72" s="430" t="str">
        <f>IF(B72=0,"",IF(BF72=1,VLOOKUP(Envoltória!J80,Componentes!B:E,3,FALSE),-400))</f>
        <v/>
      </c>
      <c r="Q72" s="430" t="str">
        <f>IF(B72=0,"",IF(BF72=1,VLOOKUP(Envoltória!J80,Componentes!B:E,4,FALSE),0))</f>
        <v/>
      </c>
      <c r="R72" s="416" t="str">
        <f>IF(B72=0,"",IFERROR(VLOOKUP(Envoltória!K80,Componentes!G:I,2,FALSE),""))</f>
        <v/>
      </c>
      <c r="S72" s="416" t="str">
        <f>IF(B72=0,"",IFERROR(VLOOKUP(Envoltória!K80,Componentes!G:I,3,FALSE),""))</f>
        <v/>
      </c>
      <c r="T72" s="430" t="str">
        <f>IF(B72=0,"",IFERROR(IF(H72&lt;&gt;0,VLOOKUP(Envoltória!N80,Componentes!T:V,3,FALSE),0),""))</f>
        <v/>
      </c>
      <c r="U72" s="430" t="str">
        <f>IF(B72=0,"",IFERROR(IF(H72&lt;&gt;0,VLOOKUP(Envoltória!N80,Componentes!T:V,2,FALSE),0),""))</f>
        <v/>
      </c>
      <c r="V72" s="416" t="str">
        <f>IF(B72=0,"",IFERROR(IF(AA72&lt;&gt;0,VLOOKUP(Envoltória!U80,Componentes!X:Z,2,FALSE),0),0))</f>
        <v/>
      </c>
      <c r="W72" s="416" t="str">
        <f>IF(B72=0,"",IFERROR(IF(AA72&lt;&gt;0,VLOOKUP(Envoltória!U80,Componentes!X:Z,3,FALSE),0),0))</f>
        <v/>
      </c>
      <c r="X72" s="430" t="str">
        <f>IF(B72=0,"",Envoltória!U80)</f>
        <v/>
      </c>
      <c r="Y72" s="430" t="str">
        <f>IF(B72=0,"",Envoltória!S80)</f>
        <v/>
      </c>
      <c r="Z72" s="430" t="str">
        <f>IF(B72=0,"",Envoltória!T80)</f>
        <v/>
      </c>
      <c r="AA72" s="416" t="str">
        <f>IF(B72=0,"",Envoltória!Q80/100)</f>
        <v/>
      </c>
      <c r="AB72" s="434" t="str">
        <f>IF($B72=0,"",VLOOKUP(Aux_Lista!$DR$2,Aux_Clima!$A:$O,AB$8,FALSE))</f>
        <v/>
      </c>
      <c r="AC72" s="434" t="str">
        <f>IF($B72=0,"",VLOOKUP(Aux_Lista!$DR$2,Aux_Clima!$A:$O,AC$8,FALSE))</f>
        <v/>
      </c>
      <c r="AD72" s="434" t="str">
        <f>IF($B72=0,"",ROUND(VLOOKUP(Aux_Lista!$DR$2,Aux_Clima!$A:$O,AD$8,FALSE),8))</f>
        <v/>
      </c>
      <c r="AE72" s="434" t="str">
        <f>IF($B72=0,"",ROUND(VLOOKUP(Aux_Lista!$DR$2,Aux_Clima!$A:$O,AE$8,FALSE),8))</f>
        <v/>
      </c>
      <c r="AF72" s="434" t="str">
        <f>IF($B72=0,"",ROUND(VLOOKUP(Aux_Lista!$DR$2,Aux_Clima!$A:$O,AF$8,FALSE),8))</f>
        <v/>
      </c>
      <c r="AG72" s="434" t="str">
        <f>IF($B72=0,"",ROUND(VLOOKUP(Aux_Lista!$DR$2,Aux_Clima!$A:$O,AG$8,FALSE),8))</f>
        <v/>
      </c>
      <c r="AH72" s="434" t="str">
        <f>IF($B72=0,"",ROUND(VLOOKUP(Aux_Lista!$DR$2,Aux_Clima!$A:$O,AH$8,FALSE),8))</f>
        <v/>
      </c>
      <c r="AI72" s="434" t="str">
        <f>IF($B72=0,"",ROUND(VLOOKUP(Aux_Lista!$DR$2,Aux_Clima!$A:$O,AI$8,FALSE),8))</f>
        <v/>
      </c>
      <c r="AJ72" s="434" t="str">
        <f>IF($B72=0,"",ROUND(VLOOKUP(Aux_Lista!$DR$2,Aux_Clima!$A:$O,AJ$8,FALSE),3))</f>
        <v/>
      </c>
      <c r="AK72" s="434" t="str">
        <f>IF($B72=0,"",ROUND(VLOOKUP(Aux_Lista!$DR$2,Aux_Clima!$A:$O,AK$8,FALSE),3))</f>
        <v/>
      </c>
      <c r="AL72" s="434" t="str">
        <f>IF($B72=0,"",ROUND(VLOOKUP(Aux_Lista!$DR$2,Aux_Clima!$A:$O,AL$8,FALSE),3))</f>
        <v/>
      </c>
      <c r="AM72" s="434" t="str">
        <f>IF($B72=0,"",ROUND(VLOOKUP(Aux_Lista!$DR$2,Aux_Clima!$A:$O,AM$8,FALSE),8))</f>
        <v/>
      </c>
      <c r="AN72" s="434" t="str">
        <f>IF($B72=0,"",ROUND(VLOOKUP(Aux_Lista!$DR$2,Aux_Clima!$A:$O,AN$8,FALSE),8))</f>
        <v/>
      </c>
      <c r="AO72" s="434" t="str">
        <f>IF($B72=0,"",ROUND(VLOOKUP(Aux_Lista!$DR$2,Aux_Clima!$A:$O,AO$8,FALSE),8))</f>
        <v/>
      </c>
      <c r="AP72" s="430" t="str">
        <f>IF(B72=0,"",IF(BF72=0,84,VLOOKUP(Envoltória!N80,Componentes!AV:AY,4,FALSE)))</f>
        <v/>
      </c>
      <c r="AQ72" s="430" t="str">
        <f>IF(B72=0,"",IF(BF72=0,90,VLOOKUP(Envoltória!N80,Componentes!AV:AY,3,FALSE)))</f>
        <v/>
      </c>
      <c r="AR72" s="430" t="str">
        <f t="shared" si="4"/>
        <v/>
      </c>
      <c r="AS72" s="430" t="str">
        <f t="shared" si="4"/>
        <v/>
      </c>
      <c r="AT72" s="430" t="str">
        <f t="shared" si="4"/>
        <v/>
      </c>
      <c r="AU72" s="430" t="str">
        <f t="shared" si="4"/>
        <v/>
      </c>
      <c r="AV72" s="430" t="str">
        <f t="shared" si="4"/>
        <v/>
      </c>
      <c r="AW72" s="416" t="str">
        <f>IF($B72=0,"",IFERROR(VLOOKUP(Envoltória!$B80,Aux_Lista!$O:$U,AW$9,FALSE),0))</f>
        <v/>
      </c>
      <c r="AX72" s="416" t="str">
        <f>IF($B72=0,"",IFERROR(VLOOKUP(Envoltória!$B80,Aux_Lista!$O:$U,AX$9,FALSE),0))</f>
        <v/>
      </c>
      <c r="AY72" s="416" t="str">
        <f>IF($B72=0,"",IFERROR(VLOOKUP(Envoltória!$B80,Aux_Lista!$O:$U,AY$9,FALSE),0))</f>
        <v/>
      </c>
      <c r="AZ72" s="416" t="str">
        <f>IF($B72=0,"",IFERROR(VLOOKUP(Envoltória!$B80,Aux_Lista!$O:$U,AZ$9,FALSE),0))</f>
        <v/>
      </c>
      <c r="BA72" s="416" t="str">
        <f>IF($B72=0,"",IFERROR(VLOOKUP(Envoltória!$B80,Aux_Lista!$O:$U,BA$9,FALSE),0))</f>
        <v/>
      </c>
      <c r="BB72" s="416" t="str">
        <f>IF($B72=0,"",IFERROR(VLOOKUP(Envoltória!$B80,Aux_Lista!$O:$U,BB$9,FALSE),0))</f>
        <v/>
      </c>
      <c r="BC72" s="416" t="str">
        <f>IFERROR(VLOOKUP(Envoltória!$H80,Aux_Lista!$W$2:$Y$3,BC$9,FALSE),"")</f>
        <v/>
      </c>
      <c r="BD72" s="416" t="str">
        <f>IFERROR(VLOOKUP(Envoltória!$H80,Aux_Lista!$W$2:$Y$3,BD$9,FALSE),"")</f>
        <v/>
      </c>
      <c r="BE72" s="430" t="str">
        <f t="shared" si="1"/>
        <v/>
      </c>
      <c r="BF72" s="430" t="str">
        <f>IF(B72=0,"",IF(Envoltória!F80="Perimetral",1,0))</f>
        <v/>
      </c>
      <c r="BG72" s="430" t="str">
        <f>IFERROR(VLOOKUP(Envoltória!$G80,$BQ$35:$BZ$43,BG$9,FALSE),"")</f>
        <v/>
      </c>
      <c r="BH72" s="430" t="str">
        <f>IFERROR(VLOOKUP(Envoltória!$G80,$BQ$35:$BZ$43,BH$9,FALSE),"")</f>
        <v/>
      </c>
      <c r="BI72" s="430" t="str">
        <f>IFERROR(VLOOKUP(Envoltória!$G80,$BQ$35:$BZ$43,BI$9,FALSE),"")</f>
        <v/>
      </c>
      <c r="BJ72" s="430" t="str">
        <f>IFERROR(VLOOKUP(Envoltória!$G80,$BQ$35:$BZ$43,BJ$9,FALSE),"")</f>
        <v/>
      </c>
      <c r="BK72" s="430" t="str">
        <f>IFERROR(VLOOKUP(Envoltória!$G80,$BQ$35:$BZ$43,BK$9,FALSE),"")</f>
        <v/>
      </c>
      <c r="BL72" s="430" t="str">
        <f>IFERROR(VLOOKUP(Envoltória!$G80,$BQ$35:$BZ$43,BL$9,FALSE),"")</f>
        <v/>
      </c>
      <c r="BM72" s="430" t="str">
        <f>IFERROR(VLOOKUP(Envoltória!$G80,$BQ$35:$BZ$43,BM$9,FALSE),"")</f>
        <v/>
      </c>
      <c r="BN72" s="430" t="str">
        <f>IFERROR(VLOOKUP(Envoltória!$G80,$BQ$35:$BZ$43,BN$9,FALSE),"")</f>
        <v/>
      </c>
      <c r="BO72" s="430" t="str">
        <f>IFERROR(VLOOKUP(Envoltória!$G80,$BQ$35:$BZ$43,BO$9,FALSE),"")</f>
        <v/>
      </c>
      <c r="BP72" s="2"/>
    </row>
    <row r="73" spans="1:68" s="13" customFormat="1" x14ac:dyDescent="0.25">
      <c r="A73" s="2">
        <v>63</v>
      </c>
      <c r="B73" s="410">
        <f>Envoltória!I81</f>
        <v>0</v>
      </c>
      <c r="C73" s="410">
        <f>Envoltória!B81</f>
        <v>0</v>
      </c>
      <c r="D73" s="410">
        <f>Envoltória!C81</f>
        <v>0</v>
      </c>
      <c r="E73" s="410">
        <f>Envoltória!D81</f>
        <v>0</v>
      </c>
      <c r="F73" s="430" t="str">
        <f>IF(B73=0,"",Envoltória!E81)</f>
        <v/>
      </c>
      <c r="G73" s="430" t="str">
        <f t="shared" si="2"/>
        <v/>
      </c>
      <c r="H73" s="430" t="str">
        <f>IF(B73=0,"",Envoltória!O81/100)</f>
        <v/>
      </c>
      <c r="I73" s="430" t="str">
        <f>IF(B73=0,"",IF(BF73=1,VLOOKUP(Envoltória!N81,Componentes!AV:AY,2,FALSE),89))</f>
        <v/>
      </c>
      <c r="J73" s="416" t="str">
        <f>IF(B73=0,"",IFERROR(VLOOKUP(Envoltória!M81,Componentes!$P:$R,2,FALSE),""))</f>
        <v/>
      </c>
      <c r="K73" s="416" t="str">
        <f>IF(B73=0,"",IFERROR(VLOOKUP(Envoltória!M81,Componentes!$P:$R,3,FALSE),""))</f>
        <v/>
      </c>
      <c r="L73" s="431" t="str">
        <f>IF(B73=0,"",IFERROR(IF(BB73&lt;&gt;0,VLOOKUP(Envoltória!L81,Componentes!K:N,2,FALSE),0),""))</f>
        <v/>
      </c>
      <c r="M73" s="431" t="str">
        <f>IF(B73=0,"",IFERROR(IF(BB73&lt;&gt;0,VLOOKUP(Envoltória!L81,Componentes!K:N,3,FALSE),0),""))</f>
        <v/>
      </c>
      <c r="N73" s="431" t="str">
        <f>IF(B73=0,"",IFERROR(IF(BB73&lt;&gt;0,VLOOKUP(Envoltória!L81,Componentes!K:N,4,FALSE),0),""))</f>
        <v/>
      </c>
      <c r="O73" s="430" t="str">
        <f>IF(B73=0,"",IF(BF73=1,VLOOKUP(Envoltória!J81,Componentes!B:E,2,FALSE),-6))</f>
        <v/>
      </c>
      <c r="P73" s="430" t="str">
        <f>IF(B73=0,"",IF(BF73=1,VLOOKUP(Envoltória!J81,Componentes!B:E,3,FALSE),-400))</f>
        <v/>
      </c>
      <c r="Q73" s="430" t="str">
        <f>IF(B73=0,"",IF(BF73=1,VLOOKUP(Envoltória!J81,Componentes!B:E,4,FALSE),0))</f>
        <v/>
      </c>
      <c r="R73" s="416" t="str">
        <f>IF(B73=0,"",IFERROR(VLOOKUP(Envoltória!K81,Componentes!G:I,2,FALSE),""))</f>
        <v/>
      </c>
      <c r="S73" s="416" t="str">
        <f>IF(B73=0,"",IFERROR(VLOOKUP(Envoltória!K81,Componentes!G:I,3,FALSE),""))</f>
        <v/>
      </c>
      <c r="T73" s="430" t="str">
        <f>IF(B73=0,"",IFERROR(IF(H73&lt;&gt;0,VLOOKUP(Envoltória!N81,Componentes!T:V,3,FALSE),0),""))</f>
        <v/>
      </c>
      <c r="U73" s="430" t="str">
        <f>IF(B73=0,"",IFERROR(IF(H73&lt;&gt;0,VLOOKUP(Envoltória!N81,Componentes!T:V,2,FALSE),0),""))</f>
        <v/>
      </c>
      <c r="V73" s="416" t="str">
        <f>IF(B73=0,"",IFERROR(IF(AA73&lt;&gt;0,VLOOKUP(Envoltória!U81,Componentes!X:Z,2,FALSE),0),0))</f>
        <v/>
      </c>
      <c r="W73" s="416" t="str">
        <f>IF(B73=0,"",IFERROR(IF(AA73&lt;&gt;0,VLOOKUP(Envoltória!U81,Componentes!X:Z,3,FALSE),0),0))</f>
        <v/>
      </c>
      <c r="X73" s="430" t="str">
        <f>IF(B73=0,"",Envoltória!U81)</f>
        <v/>
      </c>
      <c r="Y73" s="430" t="str">
        <f>IF(B73=0,"",Envoltória!S81)</f>
        <v/>
      </c>
      <c r="Z73" s="430" t="str">
        <f>IF(B73=0,"",Envoltória!T81)</f>
        <v/>
      </c>
      <c r="AA73" s="416" t="str">
        <f>IF(B73=0,"",Envoltória!Q81/100)</f>
        <v/>
      </c>
      <c r="AB73" s="434" t="str">
        <f>IF($B73=0,"",VLOOKUP(Aux_Lista!$DR$2,Aux_Clima!$A:$O,AB$8,FALSE))</f>
        <v/>
      </c>
      <c r="AC73" s="434" t="str">
        <f>IF($B73=0,"",VLOOKUP(Aux_Lista!$DR$2,Aux_Clima!$A:$O,AC$8,FALSE))</f>
        <v/>
      </c>
      <c r="AD73" s="434" t="str">
        <f>IF($B73=0,"",ROUND(VLOOKUP(Aux_Lista!$DR$2,Aux_Clima!$A:$O,AD$8,FALSE),8))</f>
        <v/>
      </c>
      <c r="AE73" s="434" t="str">
        <f>IF($B73=0,"",ROUND(VLOOKUP(Aux_Lista!$DR$2,Aux_Clima!$A:$O,AE$8,FALSE),8))</f>
        <v/>
      </c>
      <c r="AF73" s="434" t="str">
        <f>IF($B73=0,"",ROUND(VLOOKUP(Aux_Lista!$DR$2,Aux_Clima!$A:$O,AF$8,FALSE),8))</f>
        <v/>
      </c>
      <c r="AG73" s="434" t="str">
        <f>IF($B73=0,"",ROUND(VLOOKUP(Aux_Lista!$DR$2,Aux_Clima!$A:$O,AG$8,FALSE),8))</f>
        <v/>
      </c>
      <c r="AH73" s="434" t="str">
        <f>IF($B73=0,"",ROUND(VLOOKUP(Aux_Lista!$DR$2,Aux_Clima!$A:$O,AH$8,FALSE),8))</f>
        <v/>
      </c>
      <c r="AI73" s="434" t="str">
        <f>IF($B73=0,"",ROUND(VLOOKUP(Aux_Lista!$DR$2,Aux_Clima!$A:$O,AI$8,FALSE),8))</f>
        <v/>
      </c>
      <c r="AJ73" s="434" t="str">
        <f>IF($B73=0,"",ROUND(VLOOKUP(Aux_Lista!$DR$2,Aux_Clima!$A:$O,AJ$8,FALSE),3))</f>
        <v/>
      </c>
      <c r="AK73" s="434" t="str">
        <f>IF($B73=0,"",ROUND(VLOOKUP(Aux_Lista!$DR$2,Aux_Clima!$A:$O,AK$8,FALSE),3))</f>
        <v/>
      </c>
      <c r="AL73" s="434" t="str">
        <f>IF($B73=0,"",ROUND(VLOOKUP(Aux_Lista!$DR$2,Aux_Clima!$A:$O,AL$8,FALSE),3))</f>
        <v/>
      </c>
      <c r="AM73" s="434" t="str">
        <f>IF($B73=0,"",ROUND(VLOOKUP(Aux_Lista!$DR$2,Aux_Clima!$A:$O,AM$8,FALSE),8))</f>
        <v/>
      </c>
      <c r="AN73" s="434" t="str">
        <f>IF($B73=0,"",ROUND(VLOOKUP(Aux_Lista!$DR$2,Aux_Clima!$A:$O,AN$8,FALSE),8))</f>
        <v/>
      </c>
      <c r="AO73" s="434" t="str">
        <f>IF($B73=0,"",ROUND(VLOOKUP(Aux_Lista!$DR$2,Aux_Clima!$A:$O,AO$8,FALSE),8))</f>
        <v/>
      </c>
      <c r="AP73" s="430" t="str">
        <f>IF(B73=0,"",IF(BF73=0,84,VLOOKUP(Envoltória!N81,Componentes!AV:AY,4,FALSE)))</f>
        <v/>
      </c>
      <c r="AQ73" s="430" t="str">
        <f>IF(B73=0,"",IF(BF73=0,90,VLOOKUP(Envoltória!N81,Componentes!AV:AY,3,FALSE)))</f>
        <v/>
      </c>
      <c r="AR73" s="430" t="str">
        <f t="shared" si="4"/>
        <v/>
      </c>
      <c r="AS73" s="430" t="str">
        <f t="shared" si="4"/>
        <v/>
      </c>
      <c r="AT73" s="430" t="str">
        <f t="shared" si="4"/>
        <v/>
      </c>
      <c r="AU73" s="430" t="str">
        <f t="shared" si="4"/>
        <v/>
      </c>
      <c r="AV73" s="430" t="str">
        <f t="shared" si="4"/>
        <v/>
      </c>
      <c r="AW73" s="416" t="str">
        <f>IF($B73=0,"",IFERROR(VLOOKUP(Envoltória!$B81,Aux_Lista!$O:$U,AW$9,FALSE),0))</f>
        <v/>
      </c>
      <c r="AX73" s="416" t="str">
        <f>IF($B73=0,"",IFERROR(VLOOKUP(Envoltória!$B81,Aux_Lista!$O:$U,AX$9,FALSE),0))</f>
        <v/>
      </c>
      <c r="AY73" s="416" t="str">
        <f>IF($B73=0,"",IFERROR(VLOOKUP(Envoltória!$B81,Aux_Lista!$O:$U,AY$9,FALSE),0))</f>
        <v/>
      </c>
      <c r="AZ73" s="416" t="str">
        <f>IF($B73=0,"",IFERROR(VLOOKUP(Envoltória!$B81,Aux_Lista!$O:$U,AZ$9,FALSE),0))</f>
        <v/>
      </c>
      <c r="BA73" s="416" t="str">
        <f>IF($B73=0,"",IFERROR(VLOOKUP(Envoltória!$B81,Aux_Lista!$O:$U,BA$9,FALSE),0))</f>
        <v/>
      </c>
      <c r="BB73" s="416" t="str">
        <f>IF($B73=0,"",IFERROR(VLOOKUP(Envoltória!$B81,Aux_Lista!$O:$U,BB$9,FALSE),0))</f>
        <v/>
      </c>
      <c r="BC73" s="416" t="str">
        <f>IFERROR(VLOOKUP(Envoltória!$H81,Aux_Lista!$W$2:$Y$3,BC$9,FALSE),"")</f>
        <v/>
      </c>
      <c r="BD73" s="416" t="str">
        <f>IFERROR(VLOOKUP(Envoltória!$H81,Aux_Lista!$W$2:$Y$3,BD$9,FALSE),"")</f>
        <v/>
      </c>
      <c r="BE73" s="430" t="str">
        <f t="shared" si="1"/>
        <v/>
      </c>
      <c r="BF73" s="430" t="str">
        <f>IF(B73=0,"",IF(Envoltória!F81="Perimetral",1,0))</f>
        <v/>
      </c>
      <c r="BG73" s="430" t="str">
        <f>IFERROR(VLOOKUP(Envoltória!$G81,$BQ$35:$BZ$43,BG$9,FALSE),"")</f>
        <v/>
      </c>
      <c r="BH73" s="430" t="str">
        <f>IFERROR(VLOOKUP(Envoltória!$G81,$BQ$35:$BZ$43,BH$9,FALSE),"")</f>
        <v/>
      </c>
      <c r="BI73" s="430" t="str">
        <f>IFERROR(VLOOKUP(Envoltória!$G81,$BQ$35:$BZ$43,BI$9,FALSE),"")</f>
        <v/>
      </c>
      <c r="BJ73" s="430" t="str">
        <f>IFERROR(VLOOKUP(Envoltória!$G81,$BQ$35:$BZ$43,BJ$9,FALSE),"")</f>
        <v/>
      </c>
      <c r="BK73" s="430" t="str">
        <f>IFERROR(VLOOKUP(Envoltória!$G81,$BQ$35:$BZ$43,BK$9,FALSE),"")</f>
        <v/>
      </c>
      <c r="BL73" s="430" t="str">
        <f>IFERROR(VLOOKUP(Envoltória!$G81,$BQ$35:$BZ$43,BL$9,FALSE),"")</f>
        <v/>
      </c>
      <c r="BM73" s="430" t="str">
        <f>IFERROR(VLOOKUP(Envoltória!$G81,$BQ$35:$BZ$43,BM$9,FALSE),"")</f>
        <v/>
      </c>
      <c r="BN73" s="430" t="str">
        <f>IFERROR(VLOOKUP(Envoltória!$G81,$BQ$35:$BZ$43,BN$9,FALSE),"")</f>
        <v/>
      </c>
      <c r="BO73" s="430" t="str">
        <f>IFERROR(VLOOKUP(Envoltória!$G81,$BQ$35:$BZ$43,BO$9,FALSE),"")</f>
        <v/>
      </c>
      <c r="BP73" s="2"/>
    </row>
    <row r="74" spans="1:68" s="13" customFormat="1" x14ac:dyDescent="0.25">
      <c r="A74" s="2">
        <v>64</v>
      </c>
      <c r="B74" s="410">
        <f>Envoltória!I82</f>
        <v>0</v>
      </c>
      <c r="C74" s="410">
        <f>Envoltória!B82</f>
        <v>0</v>
      </c>
      <c r="D74" s="410">
        <f>Envoltória!C82</f>
        <v>0</v>
      </c>
      <c r="E74" s="410">
        <f>Envoltória!D82</f>
        <v>0</v>
      </c>
      <c r="F74" s="430" t="str">
        <f>IF(B74=0,"",Envoltória!E82)</f>
        <v/>
      </c>
      <c r="G74" s="430" t="str">
        <f t="shared" si="2"/>
        <v/>
      </c>
      <c r="H74" s="430" t="str">
        <f>IF(B74=0,"",Envoltória!O82/100)</f>
        <v/>
      </c>
      <c r="I74" s="430" t="str">
        <f>IF(B74=0,"",IF(BF74=1,VLOOKUP(Envoltória!N82,Componentes!AV:AY,2,FALSE),89))</f>
        <v/>
      </c>
      <c r="J74" s="416" t="str">
        <f>IF(B74=0,"",IFERROR(VLOOKUP(Envoltória!M82,Componentes!$P:$R,2,FALSE),""))</f>
        <v/>
      </c>
      <c r="K74" s="416" t="str">
        <f>IF(B74=0,"",IFERROR(VLOOKUP(Envoltória!M82,Componentes!$P:$R,3,FALSE),""))</f>
        <v/>
      </c>
      <c r="L74" s="431" t="str">
        <f>IF(B74=0,"",IFERROR(IF(BB74&lt;&gt;0,VLOOKUP(Envoltória!L82,Componentes!K:N,2,FALSE),0),""))</f>
        <v/>
      </c>
      <c r="M74" s="431" t="str">
        <f>IF(B74=0,"",IFERROR(IF(BB74&lt;&gt;0,VLOOKUP(Envoltória!L82,Componentes!K:N,3,FALSE),0),""))</f>
        <v/>
      </c>
      <c r="N74" s="431" t="str">
        <f>IF(B74=0,"",IFERROR(IF(BB74&lt;&gt;0,VLOOKUP(Envoltória!L82,Componentes!K:N,4,FALSE),0),""))</f>
        <v/>
      </c>
      <c r="O74" s="430" t="str">
        <f>IF(B74=0,"",IF(BF74=1,VLOOKUP(Envoltória!J82,Componentes!B:E,2,FALSE),-6))</f>
        <v/>
      </c>
      <c r="P74" s="430" t="str">
        <f>IF(B74=0,"",IF(BF74=1,VLOOKUP(Envoltória!J82,Componentes!B:E,3,FALSE),-400))</f>
        <v/>
      </c>
      <c r="Q74" s="430" t="str">
        <f>IF(B74=0,"",IF(BF74=1,VLOOKUP(Envoltória!J82,Componentes!B:E,4,FALSE),0))</f>
        <v/>
      </c>
      <c r="R74" s="416" t="str">
        <f>IF(B74=0,"",IFERROR(VLOOKUP(Envoltória!K82,Componentes!G:I,2,FALSE),""))</f>
        <v/>
      </c>
      <c r="S74" s="416" t="str">
        <f>IF(B74=0,"",IFERROR(VLOOKUP(Envoltória!K82,Componentes!G:I,3,FALSE),""))</f>
        <v/>
      </c>
      <c r="T74" s="430" t="str">
        <f>IF(B74=0,"",IFERROR(IF(H74&lt;&gt;0,VLOOKUP(Envoltória!N82,Componentes!T:V,3,FALSE),0),""))</f>
        <v/>
      </c>
      <c r="U74" s="430" t="str">
        <f>IF(B74=0,"",IFERROR(IF(H74&lt;&gt;0,VLOOKUP(Envoltória!N82,Componentes!T:V,2,FALSE),0),""))</f>
        <v/>
      </c>
      <c r="V74" s="416" t="str">
        <f>IF(B74=0,"",IFERROR(IF(AA74&lt;&gt;0,VLOOKUP(Envoltória!U82,Componentes!X:Z,2,FALSE),0),0))</f>
        <v/>
      </c>
      <c r="W74" s="416" t="str">
        <f>IF(B74=0,"",IFERROR(IF(AA74&lt;&gt;0,VLOOKUP(Envoltória!U82,Componentes!X:Z,3,FALSE),0),0))</f>
        <v/>
      </c>
      <c r="X74" s="430" t="str">
        <f>IF(B74=0,"",Envoltória!U82)</f>
        <v/>
      </c>
      <c r="Y74" s="430" t="str">
        <f>IF(B74=0,"",Envoltória!S82)</f>
        <v/>
      </c>
      <c r="Z74" s="430" t="str">
        <f>IF(B74=0,"",Envoltória!T82)</f>
        <v/>
      </c>
      <c r="AA74" s="416" t="str">
        <f>IF(B74=0,"",Envoltória!Q82/100)</f>
        <v/>
      </c>
      <c r="AB74" s="434" t="str">
        <f>IF($B74=0,"",VLOOKUP(Aux_Lista!$DR$2,Aux_Clima!$A:$O,AB$8,FALSE))</f>
        <v/>
      </c>
      <c r="AC74" s="434" t="str">
        <f>IF($B74=0,"",VLOOKUP(Aux_Lista!$DR$2,Aux_Clima!$A:$O,AC$8,FALSE))</f>
        <v/>
      </c>
      <c r="AD74" s="434" t="str">
        <f>IF($B74=0,"",ROUND(VLOOKUP(Aux_Lista!$DR$2,Aux_Clima!$A:$O,AD$8,FALSE),8))</f>
        <v/>
      </c>
      <c r="AE74" s="434" t="str">
        <f>IF($B74=0,"",ROUND(VLOOKUP(Aux_Lista!$DR$2,Aux_Clima!$A:$O,AE$8,FALSE),8))</f>
        <v/>
      </c>
      <c r="AF74" s="434" t="str">
        <f>IF($B74=0,"",ROUND(VLOOKUP(Aux_Lista!$DR$2,Aux_Clima!$A:$O,AF$8,FALSE),8))</f>
        <v/>
      </c>
      <c r="AG74" s="434" t="str">
        <f>IF($B74=0,"",ROUND(VLOOKUP(Aux_Lista!$DR$2,Aux_Clima!$A:$O,AG$8,FALSE),8))</f>
        <v/>
      </c>
      <c r="AH74" s="434" t="str">
        <f>IF($B74=0,"",ROUND(VLOOKUP(Aux_Lista!$DR$2,Aux_Clima!$A:$O,AH$8,FALSE),8))</f>
        <v/>
      </c>
      <c r="AI74" s="434" t="str">
        <f>IF($B74=0,"",ROUND(VLOOKUP(Aux_Lista!$DR$2,Aux_Clima!$A:$O,AI$8,FALSE),8))</f>
        <v/>
      </c>
      <c r="AJ74" s="434" t="str">
        <f>IF($B74=0,"",ROUND(VLOOKUP(Aux_Lista!$DR$2,Aux_Clima!$A:$O,AJ$8,FALSE),3))</f>
        <v/>
      </c>
      <c r="AK74" s="434" t="str">
        <f>IF($B74=0,"",ROUND(VLOOKUP(Aux_Lista!$DR$2,Aux_Clima!$A:$O,AK$8,FALSE),3))</f>
        <v/>
      </c>
      <c r="AL74" s="434" t="str">
        <f>IF($B74=0,"",ROUND(VLOOKUP(Aux_Lista!$DR$2,Aux_Clima!$A:$O,AL$8,FALSE),3))</f>
        <v/>
      </c>
      <c r="AM74" s="434" t="str">
        <f>IF($B74=0,"",ROUND(VLOOKUP(Aux_Lista!$DR$2,Aux_Clima!$A:$O,AM$8,FALSE),8))</f>
        <v/>
      </c>
      <c r="AN74" s="434" t="str">
        <f>IF($B74=0,"",ROUND(VLOOKUP(Aux_Lista!$DR$2,Aux_Clima!$A:$O,AN$8,FALSE),8))</f>
        <v/>
      </c>
      <c r="AO74" s="434" t="str">
        <f>IF($B74=0,"",ROUND(VLOOKUP(Aux_Lista!$DR$2,Aux_Clima!$A:$O,AO$8,FALSE),8))</f>
        <v/>
      </c>
      <c r="AP74" s="430" t="str">
        <f>IF(B74=0,"",IF(BF74=0,84,VLOOKUP(Envoltória!N82,Componentes!AV:AY,4,FALSE)))</f>
        <v/>
      </c>
      <c r="AQ74" s="430" t="str">
        <f>IF(B74=0,"",IF(BF74=0,90,VLOOKUP(Envoltória!N82,Componentes!AV:AY,3,FALSE)))</f>
        <v/>
      </c>
      <c r="AR74" s="430" t="str">
        <f t="shared" si="4"/>
        <v/>
      </c>
      <c r="AS74" s="430" t="str">
        <f t="shared" si="4"/>
        <v/>
      </c>
      <c r="AT74" s="430" t="str">
        <f t="shared" si="4"/>
        <v/>
      </c>
      <c r="AU74" s="430" t="str">
        <f t="shared" si="4"/>
        <v/>
      </c>
      <c r="AV74" s="430" t="str">
        <f t="shared" si="4"/>
        <v/>
      </c>
      <c r="AW74" s="416" t="str">
        <f>IF($B74=0,"",IFERROR(VLOOKUP(Envoltória!$B82,Aux_Lista!$O:$U,AW$9,FALSE),0))</f>
        <v/>
      </c>
      <c r="AX74" s="416" t="str">
        <f>IF($B74=0,"",IFERROR(VLOOKUP(Envoltória!$B82,Aux_Lista!$O:$U,AX$9,FALSE),0))</f>
        <v/>
      </c>
      <c r="AY74" s="416" t="str">
        <f>IF($B74=0,"",IFERROR(VLOOKUP(Envoltória!$B82,Aux_Lista!$O:$U,AY$9,FALSE),0))</f>
        <v/>
      </c>
      <c r="AZ74" s="416" t="str">
        <f>IF($B74=0,"",IFERROR(VLOOKUP(Envoltória!$B82,Aux_Lista!$O:$U,AZ$9,FALSE),0))</f>
        <v/>
      </c>
      <c r="BA74" s="416" t="str">
        <f>IF($B74=0,"",IFERROR(VLOOKUP(Envoltória!$B82,Aux_Lista!$O:$U,BA$9,FALSE),0))</f>
        <v/>
      </c>
      <c r="BB74" s="416" t="str">
        <f>IF($B74=0,"",IFERROR(VLOOKUP(Envoltória!$B82,Aux_Lista!$O:$U,BB$9,FALSE),0))</f>
        <v/>
      </c>
      <c r="BC74" s="416" t="str">
        <f>IFERROR(VLOOKUP(Envoltória!$H82,Aux_Lista!$W$2:$Y$3,BC$9,FALSE),"")</f>
        <v/>
      </c>
      <c r="BD74" s="416" t="str">
        <f>IFERROR(VLOOKUP(Envoltória!$H82,Aux_Lista!$W$2:$Y$3,BD$9,FALSE),"")</f>
        <v/>
      </c>
      <c r="BE74" s="430" t="str">
        <f t="shared" si="1"/>
        <v/>
      </c>
      <c r="BF74" s="430" t="str">
        <f>IF(B74=0,"",IF(Envoltória!F82="Perimetral",1,0))</f>
        <v/>
      </c>
      <c r="BG74" s="430" t="str">
        <f>IFERROR(VLOOKUP(Envoltória!$G82,$BQ$35:$BZ$43,BG$9,FALSE),"")</f>
        <v/>
      </c>
      <c r="BH74" s="430" t="str">
        <f>IFERROR(VLOOKUP(Envoltória!$G82,$BQ$35:$BZ$43,BH$9,FALSE),"")</f>
        <v/>
      </c>
      <c r="BI74" s="430" t="str">
        <f>IFERROR(VLOOKUP(Envoltória!$G82,$BQ$35:$BZ$43,BI$9,FALSE),"")</f>
        <v/>
      </c>
      <c r="BJ74" s="430" t="str">
        <f>IFERROR(VLOOKUP(Envoltória!$G82,$BQ$35:$BZ$43,BJ$9,FALSE),"")</f>
        <v/>
      </c>
      <c r="BK74" s="430" t="str">
        <f>IFERROR(VLOOKUP(Envoltória!$G82,$BQ$35:$BZ$43,BK$9,FALSE),"")</f>
        <v/>
      </c>
      <c r="BL74" s="430" t="str">
        <f>IFERROR(VLOOKUP(Envoltória!$G82,$BQ$35:$BZ$43,BL$9,FALSE),"")</f>
        <v/>
      </c>
      <c r="BM74" s="430" t="str">
        <f>IFERROR(VLOOKUP(Envoltória!$G82,$BQ$35:$BZ$43,BM$9,FALSE),"")</f>
        <v/>
      </c>
      <c r="BN74" s="430" t="str">
        <f>IFERROR(VLOOKUP(Envoltória!$G82,$BQ$35:$BZ$43,BN$9,FALSE),"")</f>
        <v/>
      </c>
      <c r="BO74" s="430" t="str">
        <f>IFERROR(VLOOKUP(Envoltória!$G82,$BQ$35:$BZ$43,BO$9,FALSE),"")</f>
        <v/>
      </c>
      <c r="BP74" s="2"/>
    </row>
    <row r="75" spans="1:68" s="13" customFormat="1" x14ac:dyDescent="0.25">
      <c r="A75" s="2">
        <v>65</v>
      </c>
      <c r="B75" s="410">
        <f>Envoltória!I83</f>
        <v>0</v>
      </c>
      <c r="C75" s="410">
        <f>Envoltória!B83</f>
        <v>0</v>
      </c>
      <c r="D75" s="410">
        <f>Envoltória!C83</f>
        <v>0</v>
      </c>
      <c r="E75" s="410">
        <f>Envoltória!D83</f>
        <v>0</v>
      </c>
      <c r="F75" s="430" t="str">
        <f>IF(B75=0,"",Envoltória!E83)</f>
        <v/>
      </c>
      <c r="G75" s="430" t="str">
        <f t="shared" si="2"/>
        <v/>
      </c>
      <c r="H75" s="430" t="str">
        <f>IF(B75=0,"",Envoltória!O83/100)</f>
        <v/>
      </c>
      <c r="I75" s="430" t="str">
        <f>IF(B75=0,"",IF(BF75=1,VLOOKUP(Envoltória!N83,Componentes!AV:AY,2,FALSE),89))</f>
        <v/>
      </c>
      <c r="J75" s="416" t="str">
        <f>IF(B75=0,"",IFERROR(VLOOKUP(Envoltória!M83,Componentes!$P:$R,2,FALSE),""))</f>
        <v/>
      </c>
      <c r="K75" s="416" t="str">
        <f>IF(B75=0,"",IFERROR(VLOOKUP(Envoltória!M83,Componentes!$P:$R,3,FALSE),""))</f>
        <v/>
      </c>
      <c r="L75" s="431" t="str">
        <f>IF(B75=0,"",IFERROR(IF(BB75&lt;&gt;0,VLOOKUP(Envoltória!L83,Componentes!K:N,2,FALSE),0),""))</f>
        <v/>
      </c>
      <c r="M75" s="431" t="str">
        <f>IF(B75=0,"",IFERROR(IF(BB75&lt;&gt;0,VLOOKUP(Envoltória!L83,Componentes!K:N,3,FALSE),0),""))</f>
        <v/>
      </c>
      <c r="N75" s="431" t="str">
        <f>IF(B75=0,"",IFERROR(IF(BB75&lt;&gt;0,VLOOKUP(Envoltória!L83,Componentes!K:N,4,FALSE),0),""))</f>
        <v/>
      </c>
      <c r="O75" s="430" t="str">
        <f>IF(B75=0,"",IF(BF75=1,VLOOKUP(Envoltória!J83,Componentes!B:E,2,FALSE),-6))</f>
        <v/>
      </c>
      <c r="P75" s="430" t="str">
        <f>IF(B75=0,"",IF(BF75=1,VLOOKUP(Envoltória!J83,Componentes!B:E,3,FALSE),-400))</f>
        <v/>
      </c>
      <c r="Q75" s="430" t="str">
        <f>IF(B75=0,"",IF(BF75=1,VLOOKUP(Envoltória!J83,Componentes!B:E,4,FALSE),0))</f>
        <v/>
      </c>
      <c r="R75" s="416" t="str">
        <f>IF(B75=0,"",IFERROR(VLOOKUP(Envoltória!K83,Componentes!G:I,2,FALSE),""))</f>
        <v/>
      </c>
      <c r="S75" s="416" t="str">
        <f>IF(B75=0,"",IFERROR(VLOOKUP(Envoltória!K83,Componentes!G:I,3,FALSE),""))</f>
        <v/>
      </c>
      <c r="T75" s="430" t="str">
        <f>IF(B75=0,"",IFERROR(IF(H75&lt;&gt;0,VLOOKUP(Envoltória!N83,Componentes!T:V,3,FALSE),0),""))</f>
        <v/>
      </c>
      <c r="U75" s="430" t="str">
        <f>IF(B75=0,"",IFERROR(IF(H75&lt;&gt;0,VLOOKUP(Envoltória!N83,Componentes!T:V,2,FALSE),0),""))</f>
        <v/>
      </c>
      <c r="V75" s="416" t="str">
        <f>IF(B75=0,"",IFERROR(IF(AA75&lt;&gt;0,VLOOKUP(Envoltória!U83,Componentes!X:Z,2,FALSE),0),0))</f>
        <v/>
      </c>
      <c r="W75" s="416" t="str">
        <f>IF(B75=0,"",IFERROR(IF(AA75&lt;&gt;0,VLOOKUP(Envoltória!U83,Componentes!X:Z,3,FALSE),0),0))</f>
        <v/>
      </c>
      <c r="X75" s="430" t="str">
        <f>IF(B75=0,"",Envoltória!U83)</f>
        <v/>
      </c>
      <c r="Y75" s="430" t="str">
        <f>IF(B75=0,"",Envoltória!S83)</f>
        <v/>
      </c>
      <c r="Z75" s="430" t="str">
        <f>IF(B75=0,"",Envoltória!T83)</f>
        <v/>
      </c>
      <c r="AA75" s="416" t="str">
        <f>IF(B75=0,"",Envoltória!Q83/100)</f>
        <v/>
      </c>
      <c r="AB75" s="434" t="str">
        <f>IF($B75=0,"",VLOOKUP(Aux_Lista!$DR$2,Aux_Clima!$A:$O,AB$8,FALSE))</f>
        <v/>
      </c>
      <c r="AC75" s="434" t="str">
        <f>IF($B75=0,"",VLOOKUP(Aux_Lista!$DR$2,Aux_Clima!$A:$O,AC$8,FALSE))</f>
        <v/>
      </c>
      <c r="AD75" s="434" t="str">
        <f>IF($B75=0,"",ROUND(VLOOKUP(Aux_Lista!$DR$2,Aux_Clima!$A:$O,AD$8,FALSE),8))</f>
        <v/>
      </c>
      <c r="AE75" s="434" t="str">
        <f>IF($B75=0,"",ROUND(VLOOKUP(Aux_Lista!$DR$2,Aux_Clima!$A:$O,AE$8,FALSE),8))</f>
        <v/>
      </c>
      <c r="AF75" s="434" t="str">
        <f>IF($B75=0,"",ROUND(VLOOKUP(Aux_Lista!$DR$2,Aux_Clima!$A:$O,AF$8,FALSE),8))</f>
        <v/>
      </c>
      <c r="AG75" s="434" t="str">
        <f>IF($B75=0,"",ROUND(VLOOKUP(Aux_Lista!$DR$2,Aux_Clima!$A:$O,AG$8,FALSE),8))</f>
        <v/>
      </c>
      <c r="AH75" s="434" t="str">
        <f>IF($B75=0,"",ROUND(VLOOKUP(Aux_Lista!$DR$2,Aux_Clima!$A:$O,AH$8,FALSE),8))</f>
        <v/>
      </c>
      <c r="AI75" s="434" t="str">
        <f>IF($B75=0,"",ROUND(VLOOKUP(Aux_Lista!$DR$2,Aux_Clima!$A:$O,AI$8,FALSE),8))</f>
        <v/>
      </c>
      <c r="AJ75" s="434" t="str">
        <f>IF($B75=0,"",ROUND(VLOOKUP(Aux_Lista!$DR$2,Aux_Clima!$A:$O,AJ$8,FALSE),3))</f>
        <v/>
      </c>
      <c r="AK75" s="434" t="str">
        <f>IF($B75=0,"",ROUND(VLOOKUP(Aux_Lista!$DR$2,Aux_Clima!$A:$O,AK$8,FALSE),3))</f>
        <v/>
      </c>
      <c r="AL75" s="434" t="str">
        <f>IF($B75=0,"",ROUND(VLOOKUP(Aux_Lista!$DR$2,Aux_Clima!$A:$O,AL$8,FALSE),3))</f>
        <v/>
      </c>
      <c r="AM75" s="434" t="str">
        <f>IF($B75=0,"",ROUND(VLOOKUP(Aux_Lista!$DR$2,Aux_Clima!$A:$O,AM$8,FALSE),8))</f>
        <v/>
      </c>
      <c r="AN75" s="434" t="str">
        <f>IF($B75=0,"",ROUND(VLOOKUP(Aux_Lista!$DR$2,Aux_Clima!$A:$O,AN$8,FALSE),8))</f>
        <v/>
      </c>
      <c r="AO75" s="434" t="str">
        <f>IF($B75=0,"",ROUND(VLOOKUP(Aux_Lista!$DR$2,Aux_Clima!$A:$O,AO$8,FALSE),8))</f>
        <v/>
      </c>
      <c r="AP75" s="430" t="str">
        <f>IF(B75=0,"",IF(BF75=0,84,VLOOKUP(Envoltória!N83,Componentes!AV:AY,4,FALSE)))</f>
        <v/>
      </c>
      <c r="AQ75" s="430" t="str">
        <f>IF(B75=0,"",IF(BF75=0,90,VLOOKUP(Envoltória!N83,Componentes!AV:AY,3,FALSE)))</f>
        <v/>
      </c>
      <c r="AR75" s="430" t="str">
        <f t="shared" si="4"/>
        <v/>
      </c>
      <c r="AS75" s="430" t="str">
        <f t="shared" si="4"/>
        <v/>
      </c>
      <c r="AT75" s="430" t="str">
        <f t="shared" si="4"/>
        <v/>
      </c>
      <c r="AU75" s="430" t="str">
        <f t="shared" si="4"/>
        <v/>
      </c>
      <c r="AV75" s="430" t="str">
        <f t="shared" si="4"/>
        <v/>
      </c>
      <c r="AW75" s="416" t="str">
        <f>IF($B75=0,"",IFERROR(VLOOKUP(Envoltória!$B83,Aux_Lista!$O:$U,AW$9,FALSE),0))</f>
        <v/>
      </c>
      <c r="AX75" s="416" t="str">
        <f>IF($B75=0,"",IFERROR(VLOOKUP(Envoltória!$B83,Aux_Lista!$O:$U,AX$9,FALSE),0))</f>
        <v/>
      </c>
      <c r="AY75" s="416" t="str">
        <f>IF($B75=0,"",IFERROR(VLOOKUP(Envoltória!$B83,Aux_Lista!$O:$U,AY$9,FALSE),0))</f>
        <v/>
      </c>
      <c r="AZ75" s="416" t="str">
        <f>IF($B75=0,"",IFERROR(VLOOKUP(Envoltória!$B83,Aux_Lista!$O:$U,AZ$9,FALSE),0))</f>
        <v/>
      </c>
      <c r="BA75" s="416" t="str">
        <f>IF($B75=0,"",IFERROR(VLOOKUP(Envoltória!$B83,Aux_Lista!$O:$U,BA$9,FALSE),0))</f>
        <v/>
      </c>
      <c r="BB75" s="416" t="str">
        <f>IF($B75=0,"",IFERROR(VLOOKUP(Envoltória!$B83,Aux_Lista!$O:$U,BB$9,FALSE),0))</f>
        <v/>
      </c>
      <c r="BC75" s="416" t="str">
        <f>IFERROR(VLOOKUP(Envoltória!$H83,Aux_Lista!$W$2:$Y$3,BC$9,FALSE),"")</f>
        <v/>
      </c>
      <c r="BD75" s="416" t="str">
        <f>IFERROR(VLOOKUP(Envoltória!$H83,Aux_Lista!$W$2:$Y$3,BD$9,FALSE),"")</f>
        <v/>
      </c>
      <c r="BE75" s="430" t="str">
        <f t="shared" si="1"/>
        <v/>
      </c>
      <c r="BF75" s="430" t="str">
        <f>IF(B75=0,"",IF(Envoltória!F83="Perimetral",1,0))</f>
        <v/>
      </c>
      <c r="BG75" s="430" t="str">
        <f>IFERROR(VLOOKUP(Envoltória!$G83,$BQ$35:$BZ$43,BG$9,FALSE),"")</f>
        <v/>
      </c>
      <c r="BH75" s="430" t="str">
        <f>IFERROR(VLOOKUP(Envoltória!$G83,$BQ$35:$BZ$43,BH$9,FALSE),"")</f>
        <v/>
      </c>
      <c r="BI75" s="430" t="str">
        <f>IFERROR(VLOOKUP(Envoltória!$G83,$BQ$35:$BZ$43,BI$9,FALSE),"")</f>
        <v/>
      </c>
      <c r="BJ75" s="430" t="str">
        <f>IFERROR(VLOOKUP(Envoltória!$G83,$BQ$35:$BZ$43,BJ$9,FALSE),"")</f>
        <v/>
      </c>
      <c r="BK75" s="430" t="str">
        <f>IFERROR(VLOOKUP(Envoltória!$G83,$BQ$35:$BZ$43,BK$9,FALSE),"")</f>
        <v/>
      </c>
      <c r="BL75" s="430" t="str">
        <f>IFERROR(VLOOKUP(Envoltória!$G83,$BQ$35:$BZ$43,BL$9,FALSE),"")</f>
        <v/>
      </c>
      <c r="BM75" s="430" t="str">
        <f>IFERROR(VLOOKUP(Envoltória!$G83,$BQ$35:$BZ$43,BM$9,FALSE),"")</f>
        <v/>
      </c>
      <c r="BN75" s="430" t="str">
        <f>IFERROR(VLOOKUP(Envoltória!$G83,$BQ$35:$BZ$43,BN$9,FALSE),"")</f>
        <v/>
      </c>
      <c r="BO75" s="430" t="str">
        <f>IFERROR(VLOOKUP(Envoltória!$G83,$BQ$35:$BZ$43,BO$9,FALSE),"")</f>
        <v/>
      </c>
      <c r="BP75" s="2"/>
    </row>
    <row r="76" spans="1:68" s="13" customFormat="1" x14ac:dyDescent="0.25">
      <c r="A76" s="2">
        <v>66</v>
      </c>
      <c r="B76" s="410">
        <f>Envoltória!I84</f>
        <v>0</v>
      </c>
      <c r="C76" s="410">
        <f>Envoltória!B84</f>
        <v>0</v>
      </c>
      <c r="D76" s="410">
        <f>Envoltória!C84</f>
        <v>0</v>
      </c>
      <c r="E76" s="410">
        <f>Envoltória!D84</f>
        <v>0</v>
      </c>
      <c r="F76" s="430" t="str">
        <f>IF(B76=0,"",Envoltória!E84)</f>
        <v/>
      </c>
      <c r="G76" s="430" t="str">
        <f t="shared" ref="G76:G110" si="5">IF(B76=0,"",IF(BF76=1,(((2/4.5)*E76)+9)/2,SQRT(E76)))</f>
        <v/>
      </c>
      <c r="H76" s="430" t="str">
        <f>IF(B76=0,"",Envoltória!O84/100)</f>
        <v/>
      </c>
      <c r="I76" s="430" t="str">
        <f>IF(B76=0,"",IF(BF76=1,VLOOKUP(Envoltória!N84,Componentes!AV:AY,2,FALSE),89))</f>
        <v/>
      </c>
      <c r="J76" s="416" t="str">
        <f>IF(B76=0,"",IFERROR(VLOOKUP(Envoltória!M84,Componentes!$P:$R,2,FALSE),""))</f>
        <v/>
      </c>
      <c r="K76" s="416" t="str">
        <f>IF(B76=0,"",IFERROR(VLOOKUP(Envoltória!M84,Componentes!$P:$R,3,FALSE),""))</f>
        <v/>
      </c>
      <c r="L76" s="431" t="str">
        <f>IF(B76=0,"",IFERROR(IF(BB76&lt;&gt;0,VLOOKUP(Envoltória!L84,Componentes!K:N,2,FALSE),0),""))</f>
        <v/>
      </c>
      <c r="M76" s="431" t="str">
        <f>IF(B76=0,"",IFERROR(IF(BB76&lt;&gt;0,VLOOKUP(Envoltória!L84,Componentes!K:N,3,FALSE),0),""))</f>
        <v/>
      </c>
      <c r="N76" s="431" t="str">
        <f>IF(B76=0,"",IFERROR(IF(BB76&lt;&gt;0,VLOOKUP(Envoltória!L84,Componentes!K:N,4,FALSE),0),""))</f>
        <v/>
      </c>
      <c r="O76" s="430" t="str">
        <f>IF(B76=0,"",IF(BF76=1,VLOOKUP(Envoltória!J84,Componentes!B:E,2,FALSE),-6))</f>
        <v/>
      </c>
      <c r="P76" s="430" t="str">
        <f>IF(B76=0,"",IF(BF76=1,VLOOKUP(Envoltória!J84,Componentes!B:E,3,FALSE),-400))</f>
        <v/>
      </c>
      <c r="Q76" s="430" t="str">
        <f>IF(B76=0,"",IF(BF76=1,VLOOKUP(Envoltória!J84,Componentes!B:E,4,FALSE),0))</f>
        <v/>
      </c>
      <c r="R76" s="416" t="str">
        <f>IF(B76=0,"",IFERROR(VLOOKUP(Envoltória!K84,Componentes!G:I,2,FALSE),""))</f>
        <v/>
      </c>
      <c r="S76" s="416" t="str">
        <f>IF(B76=0,"",IFERROR(VLOOKUP(Envoltória!K84,Componentes!G:I,3,FALSE),""))</f>
        <v/>
      </c>
      <c r="T76" s="430" t="str">
        <f>IF(B76=0,"",IFERROR(IF(H76&lt;&gt;0,VLOOKUP(Envoltória!N84,Componentes!T:V,3,FALSE),0),""))</f>
        <v/>
      </c>
      <c r="U76" s="430" t="str">
        <f>IF(B76=0,"",IFERROR(IF(H76&lt;&gt;0,VLOOKUP(Envoltória!N84,Componentes!T:V,2,FALSE),0),""))</f>
        <v/>
      </c>
      <c r="V76" s="416" t="str">
        <f>IF(B76=0,"",IFERROR(IF(AA76&lt;&gt;0,VLOOKUP(Envoltória!U84,Componentes!X:Z,2,FALSE),0),0))</f>
        <v/>
      </c>
      <c r="W76" s="416" t="str">
        <f>IF(B76=0,"",IFERROR(IF(AA76&lt;&gt;0,VLOOKUP(Envoltória!U84,Componentes!X:Z,3,FALSE),0),0))</f>
        <v/>
      </c>
      <c r="X76" s="430" t="str">
        <f>IF(B76=0,"",Envoltória!U84)</f>
        <v/>
      </c>
      <c r="Y76" s="430" t="str">
        <f>IF(B76=0,"",Envoltória!S84)</f>
        <v/>
      </c>
      <c r="Z76" s="430" t="str">
        <f>IF(B76=0,"",Envoltória!T84)</f>
        <v/>
      </c>
      <c r="AA76" s="416" t="str">
        <f>IF(B76=0,"",Envoltória!Q84/100)</f>
        <v/>
      </c>
      <c r="AB76" s="434" t="str">
        <f>IF($B76=0,"",VLOOKUP(Aux_Lista!$DR$2,Aux_Clima!$A:$O,AB$8,FALSE))</f>
        <v/>
      </c>
      <c r="AC76" s="434" t="str">
        <f>IF($B76=0,"",VLOOKUP(Aux_Lista!$DR$2,Aux_Clima!$A:$O,AC$8,FALSE))</f>
        <v/>
      </c>
      <c r="AD76" s="434" t="str">
        <f>IF($B76=0,"",ROUND(VLOOKUP(Aux_Lista!$DR$2,Aux_Clima!$A:$O,AD$8,FALSE),8))</f>
        <v/>
      </c>
      <c r="AE76" s="434" t="str">
        <f>IF($B76=0,"",ROUND(VLOOKUP(Aux_Lista!$DR$2,Aux_Clima!$A:$O,AE$8,FALSE),8))</f>
        <v/>
      </c>
      <c r="AF76" s="434" t="str">
        <f>IF($B76=0,"",ROUND(VLOOKUP(Aux_Lista!$DR$2,Aux_Clima!$A:$O,AF$8,FALSE),8))</f>
        <v/>
      </c>
      <c r="AG76" s="434" t="str">
        <f>IF($B76=0,"",ROUND(VLOOKUP(Aux_Lista!$DR$2,Aux_Clima!$A:$O,AG$8,FALSE),8))</f>
        <v/>
      </c>
      <c r="AH76" s="434" t="str">
        <f>IF($B76=0,"",ROUND(VLOOKUP(Aux_Lista!$DR$2,Aux_Clima!$A:$O,AH$8,FALSE),8))</f>
        <v/>
      </c>
      <c r="AI76" s="434" t="str">
        <f>IF($B76=0,"",ROUND(VLOOKUP(Aux_Lista!$DR$2,Aux_Clima!$A:$O,AI$8,FALSE),8))</f>
        <v/>
      </c>
      <c r="AJ76" s="434" t="str">
        <f>IF($B76=0,"",ROUND(VLOOKUP(Aux_Lista!$DR$2,Aux_Clima!$A:$O,AJ$8,FALSE),3))</f>
        <v/>
      </c>
      <c r="AK76" s="434" t="str">
        <f>IF($B76=0,"",ROUND(VLOOKUP(Aux_Lista!$DR$2,Aux_Clima!$A:$O,AK$8,FALSE),3))</f>
        <v/>
      </c>
      <c r="AL76" s="434" t="str">
        <f>IF($B76=0,"",ROUND(VLOOKUP(Aux_Lista!$DR$2,Aux_Clima!$A:$O,AL$8,FALSE),3))</f>
        <v/>
      </c>
      <c r="AM76" s="434" t="str">
        <f>IF($B76=0,"",ROUND(VLOOKUP(Aux_Lista!$DR$2,Aux_Clima!$A:$O,AM$8,FALSE),8))</f>
        <v/>
      </c>
      <c r="AN76" s="434" t="str">
        <f>IF($B76=0,"",ROUND(VLOOKUP(Aux_Lista!$DR$2,Aux_Clima!$A:$O,AN$8,FALSE),8))</f>
        <v/>
      </c>
      <c r="AO76" s="434" t="str">
        <f>IF($B76=0,"",ROUND(VLOOKUP(Aux_Lista!$DR$2,Aux_Clima!$A:$O,AO$8,FALSE),8))</f>
        <v/>
      </c>
      <c r="AP76" s="430" t="str">
        <f>IF(B76=0,"",IF(BF76=0,84,VLOOKUP(Envoltória!N84,Componentes!AV:AY,4,FALSE)))</f>
        <v/>
      </c>
      <c r="AQ76" s="430" t="str">
        <f>IF(B76=0,"",IF(BF76=0,90,VLOOKUP(Envoltória!N84,Componentes!AV:AY,3,FALSE)))</f>
        <v/>
      </c>
      <c r="AR76" s="430" t="str">
        <f t="shared" ref="AR76:AV110" si="6">IFERROR(VLOOKUP($B76,$BQ$21:$BW$31,AR$9,FALSE),"")</f>
        <v/>
      </c>
      <c r="AS76" s="430" t="str">
        <f t="shared" si="6"/>
        <v/>
      </c>
      <c r="AT76" s="430" t="str">
        <f t="shared" si="6"/>
        <v/>
      </c>
      <c r="AU76" s="430" t="str">
        <f t="shared" si="6"/>
        <v/>
      </c>
      <c r="AV76" s="430" t="str">
        <f t="shared" si="6"/>
        <v/>
      </c>
      <c r="AW76" s="416" t="str">
        <f>IF($B76=0,"",IFERROR(VLOOKUP(Envoltória!$B84,Aux_Lista!$O:$U,AW$9,FALSE),0))</f>
        <v/>
      </c>
      <c r="AX76" s="416" t="str">
        <f>IF($B76=0,"",IFERROR(VLOOKUP(Envoltória!$B84,Aux_Lista!$O:$U,AX$9,FALSE),0))</f>
        <v/>
      </c>
      <c r="AY76" s="416" t="str">
        <f>IF($B76=0,"",IFERROR(VLOOKUP(Envoltória!$B84,Aux_Lista!$O:$U,AY$9,FALSE),0))</f>
        <v/>
      </c>
      <c r="AZ76" s="416" t="str">
        <f>IF($B76=0,"",IFERROR(VLOOKUP(Envoltória!$B84,Aux_Lista!$O:$U,AZ$9,FALSE),0))</f>
        <v/>
      </c>
      <c r="BA76" s="416" t="str">
        <f>IF($B76=0,"",IFERROR(VLOOKUP(Envoltória!$B84,Aux_Lista!$O:$U,BA$9,FALSE),0))</f>
        <v/>
      </c>
      <c r="BB76" s="416" t="str">
        <f>IF($B76=0,"",IFERROR(VLOOKUP(Envoltória!$B84,Aux_Lista!$O:$U,BB$9,FALSE),0))</f>
        <v/>
      </c>
      <c r="BC76" s="416" t="str">
        <f>IFERROR(VLOOKUP(Envoltória!$H84,Aux_Lista!$W$2:$Y$3,BC$9,FALSE),"")</f>
        <v/>
      </c>
      <c r="BD76" s="416" t="str">
        <f>IFERROR(VLOOKUP(Envoltória!$H84,Aux_Lista!$W$2:$Y$3,BD$9,FALSE),"")</f>
        <v/>
      </c>
      <c r="BE76" s="430" t="str">
        <f t="shared" ref="BE76:BE110" si="7">IF(B76=0,"",IF(BF76=0,1,0))</f>
        <v/>
      </c>
      <c r="BF76" s="430" t="str">
        <f>IF(B76=0,"",IF(Envoltória!F84="Perimetral",1,0))</f>
        <v/>
      </c>
      <c r="BG76" s="430" t="str">
        <f>IFERROR(VLOOKUP(Envoltória!$G84,$BQ$35:$BZ$43,BG$9,FALSE),"")</f>
        <v/>
      </c>
      <c r="BH76" s="430" t="str">
        <f>IFERROR(VLOOKUP(Envoltória!$G84,$BQ$35:$BZ$43,BH$9,FALSE),"")</f>
        <v/>
      </c>
      <c r="BI76" s="430" t="str">
        <f>IFERROR(VLOOKUP(Envoltória!$G84,$BQ$35:$BZ$43,BI$9,FALSE),"")</f>
        <v/>
      </c>
      <c r="BJ76" s="430" t="str">
        <f>IFERROR(VLOOKUP(Envoltória!$G84,$BQ$35:$BZ$43,BJ$9,FALSE),"")</f>
        <v/>
      </c>
      <c r="BK76" s="430" t="str">
        <f>IFERROR(VLOOKUP(Envoltória!$G84,$BQ$35:$BZ$43,BK$9,FALSE),"")</f>
        <v/>
      </c>
      <c r="BL76" s="430" t="str">
        <f>IFERROR(VLOOKUP(Envoltória!$G84,$BQ$35:$BZ$43,BL$9,FALSE),"")</f>
        <v/>
      </c>
      <c r="BM76" s="430" t="str">
        <f>IFERROR(VLOOKUP(Envoltória!$G84,$BQ$35:$BZ$43,BM$9,FALSE),"")</f>
        <v/>
      </c>
      <c r="BN76" s="430" t="str">
        <f>IFERROR(VLOOKUP(Envoltória!$G84,$BQ$35:$BZ$43,BN$9,FALSE),"")</f>
        <v/>
      </c>
      <c r="BO76" s="430" t="str">
        <f>IFERROR(VLOOKUP(Envoltória!$G84,$BQ$35:$BZ$43,BO$9,FALSE),"")</f>
        <v/>
      </c>
      <c r="BP76" s="2"/>
    </row>
    <row r="77" spans="1:68" s="13" customFormat="1" x14ac:dyDescent="0.25">
      <c r="A77" s="2">
        <v>67</v>
      </c>
      <c r="B77" s="410">
        <f>Envoltória!I85</f>
        <v>0</v>
      </c>
      <c r="C77" s="410">
        <f>Envoltória!B85</f>
        <v>0</v>
      </c>
      <c r="D77" s="410">
        <f>Envoltória!C85</f>
        <v>0</v>
      </c>
      <c r="E77" s="410">
        <f>Envoltória!D85</f>
        <v>0</v>
      </c>
      <c r="F77" s="430" t="str">
        <f>IF(B77=0,"",Envoltória!E85)</f>
        <v/>
      </c>
      <c r="G77" s="430" t="str">
        <f t="shared" si="5"/>
        <v/>
      </c>
      <c r="H77" s="430" t="str">
        <f>IF(B77=0,"",Envoltória!O85/100)</f>
        <v/>
      </c>
      <c r="I77" s="430" t="str">
        <f>IF(B77=0,"",IF(BF77=1,VLOOKUP(Envoltória!N85,Componentes!AV:AY,2,FALSE),89))</f>
        <v/>
      </c>
      <c r="J77" s="416" t="str">
        <f>IF(B77=0,"",IFERROR(VLOOKUP(Envoltória!M85,Componentes!$P:$R,2,FALSE),""))</f>
        <v/>
      </c>
      <c r="K77" s="416" t="str">
        <f>IF(B77=0,"",IFERROR(VLOOKUP(Envoltória!M85,Componentes!$P:$R,3,FALSE),""))</f>
        <v/>
      </c>
      <c r="L77" s="431" t="str">
        <f>IF(B77=0,"",IFERROR(IF(BB77&lt;&gt;0,VLOOKUP(Envoltória!L85,Componentes!K:N,2,FALSE),0),""))</f>
        <v/>
      </c>
      <c r="M77" s="431" t="str">
        <f>IF(B77=0,"",IFERROR(IF(BB77&lt;&gt;0,VLOOKUP(Envoltória!L85,Componentes!K:N,3,FALSE),0),""))</f>
        <v/>
      </c>
      <c r="N77" s="431" t="str">
        <f>IF(B77=0,"",IFERROR(IF(BB77&lt;&gt;0,VLOOKUP(Envoltória!L85,Componentes!K:N,4,FALSE),0),""))</f>
        <v/>
      </c>
      <c r="O77" s="430" t="str">
        <f>IF(B77=0,"",IF(BF77=1,VLOOKUP(Envoltória!J85,Componentes!B:E,2,FALSE),-6))</f>
        <v/>
      </c>
      <c r="P77" s="430" t="str">
        <f>IF(B77=0,"",IF(BF77=1,VLOOKUP(Envoltória!J85,Componentes!B:E,3,FALSE),-400))</f>
        <v/>
      </c>
      <c r="Q77" s="430" t="str">
        <f>IF(B77=0,"",IF(BF77=1,VLOOKUP(Envoltória!J85,Componentes!B:E,4,FALSE),0))</f>
        <v/>
      </c>
      <c r="R77" s="416" t="str">
        <f>IF(B77=0,"",IFERROR(VLOOKUP(Envoltória!K85,Componentes!G:I,2,FALSE),""))</f>
        <v/>
      </c>
      <c r="S77" s="416" t="str">
        <f>IF(B77=0,"",IFERROR(VLOOKUP(Envoltória!K85,Componentes!G:I,3,FALSE),""))</f>
        <v/>
      </c>
      <c r="T77" s="430" t="str">
        <f>IF(B77=0,"",IFERROR(IF(H77&lt;&gt;0,VLOOKUP(Envoltória!N85,Componentes!T:V,3,FALSE),0),""))</f>
        <v/>
      </c>
      <c r="U77" s="430" t="str">
        <f>IF(B77=0,"",IFERROR(IF(H77&lt;&gt;0,VLOOKUP(Envoltória!N85,Componentes!T:V,2,FALSE),0),""))</f>
        <v/>
      </c>
      <c r="V77" s="416" t="str">
        <f>IF(B77=0,"",IFERROR(IF(AA77&lt;&gt;0,VLOOKUP(Envoltória!U85,Componentes!X:Z,2,FALSE),0),0))</f>
        <v/>
      </c>
      <c r="W77" s="416" t="str">
        <f>IF(B77=0,"",IFERROR(IF(AA77&lt;&gt;0,VLOOKUP(Envoltória!U85,Componentes!X:Z,3,FALSE),0),0))</f>
        <v/>
      </c>
      <c r="X77" s="430" t="str">
        <f>IF(B77=0,"",Envoltória!U85)</f>
        <v/>
      </c>
      <c r="Y77" s="430" t="str">
        <f>IF(B77=0,"",Envoltória!S85)</f>
        <v/>
      </c>
      <c r="Z77" s="430" t="str">
        <f>IF(B77=0,"",Envoltória!T85)</f>
        <v/>
      </c>
      <c r="AA77" s="416" t="str">
        <f>IF(B77=0,"",Envoltória!Q85/100)</f>
        <v/>
      </c>
      <c r="AB77" s="434" t="str">
        <f>IF($B77=0,"",VLOOKUP(Aux_Lista!$DR$2,Aux_Clima!$A:$O,AB$8,FALSE))</f>
        <v/>
      </c>
      <c r="AC77" s="434" t="str">
        <f>IF($B77=0,"",VLOOKUP(Aux_Lista!$DR$2,Aux_Clima!$A:$O,AC$8,FALSE))</f>
        <v/>
      </c>
      <c r="AD77" s="434" t="str">
        <f>IF($B77=0,"",ROUND(VLOOKUP(Aux_Lista!$DR$2,Aux_Clima!$A:$O,AD$8,FALSE),8))</f>
        <v/>
      </c>
      <c r="AE77" s="434" t="str">
        <f>IF($B77=0,"",ROUND(VLOOKUP(Aux_Lista!$DR$2,Aux_Clima!$A:$O,AE$8,FALSE),8))</f>
        <v/>
      </c>
      <c r="AF77" s="434" t="str">
        <f>IF($B77=0,"",ROUND(VLOOKUP(Aux_Lista!$DR$2,Aux_Clima!$A:$O,AF$8,FALSE),8))</f>
        <v/>
      </c>
      <c r="AG77" s="434" t="str">
        <f>IF($B77=0,"",ROUND(VLOOKUP(Aux_Lista!$DR$2,Aux_Clima!$A:$O,AG$8,FALSE),8))</f>
        <v/>
      </c>
      <c r="AH77" s="434" t="str">
        <f>IF($B77=0,"",ROUND(VLOOKUP(Aux_Lista!$DR$2,Aux_Clima!$A:$O,AH$8,FALSE),8))</f>
        <v/>
      </c>
      <c r="AI77" s="434" t="str">
        <f>IF($B77=0,"",ROUND(VLOOKUP(Aux_Lista!$DR$2,Aux_Clima!$A:$O,AI$8,FALSE),8))</f>
        <v/>
      </c>
      <c r="AJ77" s="434" t="str">
        <f>IF($B77=0,"",ROUND(VLOOKUP(Aux_Lista!$DR$2,Aux_Clima!$A:$O,AJ$8,FALSE),3))</f>
        <v/>
      </c>
      <c r="AK77" s="434" t="str">
        <f>IF($B77=0,"",ROUND(VLOOKUP(Aux_Lista!$DR$2,Aux_Clima!$A:$O,AK$8,FALSE),3))</f>
        <v/>
      </c>
      <c r="AL77" s="434" t="str">
        <f>IF($B77=0,"",ROUND(VLOOKUP(Aux_Lista!$DR$2,Aux_Clima!$A:$O,AL$8,FALSE),3))</f>
        <v/>
      </c>
      <c r="AM77" s="434" t="str">
        <f>IF($B77=0,"",ROUND(VLOOKUP(Aux_Lista!$DR$2,Aux_Clima!$A:$O,AM$8,FALSE),8))</f>
        <v/>
      </c>
      <c r="AN77" s="434" t="str">
        <f>IF($B77=0,"",ROUND(VLOOKUP(Aux_Lista!$DR$2,Aux_Clima!$A:$O,AN$8,FALSE),8))</f>
        <v/>
      </c>
      <c r="AO77" s="434" t="str">
        <f>IF($B77=0,"",ROUND(VLOOKUP(Aux_Lista!$DR$2,Aux_Clima!$A:$O,AO$8,FALSE),8))</f>
        <v/>
      </c>
      <c r="AP77" s="430" t="str">
        <f>IF(B77=0,"",IF(BF77=0,84,VLOOKUP(Envoltória!N85,Componentes!AV:AY,4,FALSE)))</f>
        <v/>
      </c>
      <c r="AQ77" s="430" t="str">
        <f>IF(B77=0,"",IF(BF77=0,90,VLOOKUP(Envoltória!N85,Componentes!AV:AY,3,FALSE)))</f>
        <v/>
      </c>
      <c r="AR77" s="430" t="str">
        <f t="shared" si="6"/>
        <v/>
      </c>
      <c r="AS77" s="430" t="str">
        <f t="shared" si="6"/>
        <v/>
      </c>
      <c r="AT77" s="430" t="str">
        <f t="shared" si="6"/>
        <v/>
      </c>
      <c r="AU77" s="430" t="str">
        <f t="shared" si="6"/>
        <v/>
      </c>
      <c r="AV77" s="430" t="str">
        <f t="shared" si="6"/>
        <v/>
      </c>
      <c r="AW77" s="416" t="str">
        <f>IF($B77=0,"",IFERROR(VLOOKUP(Envoltória!$B85,Aux_Lista!$O:$U,AW$9,FALSE),0))</f>
        <v/>
      </c>
      <c r="AX77" s="416" t="str">
        <f>IF($B77=0,"",IFERROR(VLOOKUP(Envoltória!$B85,Aux_Lista!$O:$U,AX$9,FALSE),0))</f>
        <v/>
      </c>
      <c r="AY77" s="416" t="str">
        <f>IF($B77=0,"",IFERROR(VLOOKUP(Envoltória!$B85,Aux_Lista!$O:$U,AY$9,FALSE),0))</f>
        <v/>
      </c>
      <c r="AZ77" s="416" t="str">
        <f>IF($B77=0,"",IFERROR(VLOOKUP(Envoltória!$B85,Aux_Lista!$O:$U,AZ$9,FALSE),0))</f>
        <v/>
      </c>
      <c r="BA77" s="416" t="str">
        <f>IF($B77=0,"",IFERROR(VLOOKUP(Envoltória!$B85,Aux_Lista!$O:$U,BA$9,FALSE),0))</f>
        <v/>
      </c>
      <c r="BB77" s="416" t="str">
        <f>IF($B77=0,"",IFERROR(VLOOKUP(Envoltória!$B85,Aux_Lista!$O:$U,BB$9,FALSE),0))</f>
        <v/>
      </c>
      <c r="BC77" s="416" t="str">
        <f>IFERROR(VLOOKUP(Envoltória!$H85,Aux_Lista!$W$2:$Y$3,BC$9,FALSE),"")</f>
        <v/>
      </c>
      <c r="BD77" s="416" t="str">
        <f>IFERROR(VLOOKUP(Envoltória!$H85,Aux_Lista!$W$2:$Y$3,BD$9,FALSE),"")</f>
        <v/>
      </c>
      <c r="BE77" s="430" t="str">
        <f t="shared" si="7"/>
        <v/>
      </c>
      <c r="BF77" s="430" t="str">
        <f>IF(B77=0,"",IF(Envoltória!F85="Perimetral",1,0))</f>
        <v/>
      </c>
      <c r="BG77" s="430" t="str">
        <f>IFERROR(VLOOKUP(Envoltória!$G85,$BQ$35:$BZ$43,BG$9,FALSE),"")</f>
        <v/>
      </c>
      <c r="BH77" s="430" t="str">
        <f>IFERROR(VLOOKUP(Envoltória!$G85,$BQ$35:$BZ$43,BH$9,FALSE),"")</f>
        <v/>
      </c>
      <c r="BI77" s="430" t="str">
        <f>IFERROR(VLOOKUP(Envoltória!$G85,$BQ$35:$BZ$43,BI$9,FALSE),"")</f>
        <v/>
      </c>
      <c r="BJ77" s="430" t="str">
        <f>IFERROR(VLOOKUP(Envoltória!$G85,$BQ$35:$BZ$43,BJ$9,FALSE),"")</f>
        <v/>
      </c>
      <c r="BK77" s="430" t="str">
        <f>IFERROR(VLOOKUP(Envoltória!$G85,$BQ$35:$BZ$43,BK$9,FALSE),"")</f>
        <v/>
      </c>
      <c r="BL77" s="430" t="str">
        <f>IFERROR(VLOOKUP(Envoltória!$G85,$BQ$35:$BZ$43,BL$9,FALSE),"")</f>
        <v/>
      </c>
      <c r="BM77" s="430" t="str">
        <f>IFERROR(VLOOKUP(Envoltória!$G85,$BQ$35:$BZ$43,BM$9,FALSE),"")</f>
        <v/>
      </c>
      <c r="BN77" s="430" t="str">
        <f>IFERROR(VLOOKUP(Envoltória!$G85,$BQ$35:$BZ$43,BN$9,FALSE),"")</f>
        <v/>
      </c>
      <c r="BO77" s="430" t="str">
        <f>IFERROR(VLOOKUP(Envoltória!$G85,$BQ$35:$BZ$43,BO$9,FALSE),"")</f>
        <v/>
      </c>
      <c r="BP77" s="2"/>
    </row>
    <row r="78" spans="1:68" s="13" customFormat="1" x14ac:dyDescent="0.25">
      <c r="A78" s="2">
        <v>68</v>
      </c>
      <c r="B78" s="410">
        <f>Envoltória!I86</f>
        <v>0</v>
      </c>
      <c r="C78" s="410">
        <f>Envoltória!B86</f>
        <v>0</v>
      </c>
      <c r="D78" s="410">
        <f>Envoltória!C86</f>
        <v>0</v>
      </c>
      <c r="E78" s="410">
        <f>Envoltória!D86</f>
        <v>0</v>
      </c>
      <c r="F78" s="430" t="str">
        <f>IF(B78=0,"",Envoltória!E86)</f>
        <v/>
      </c>
      <c r="G78" s="430" t="str">
        <f t="shared" si="5"/>
        <v/>
      </c>
      <c r="H78" s="430" t="str">
        <f>IF(B78=0,"",Envoltória!O86/100)</f>
        <v/>
      </c>
      <c r="I78" s="430" t="str">
        <f>IF(B78=0,"",IF(BF78=1,VLOOKUP(Envoltória!N86,Componentes!AV:AY,2,FALSE),89))</f>
        <v/>
      </c>
      <c r="J78" s="416" t="str">
        <f>IF(B78=0,"",IFERROR(VLOOKUP(Envoltória!M86,Componentes!$P:$R,2,FALSE),""))</f>
        <v/>
      </c>
      <c r="K78" s="416" t="str">
        <f>IF(B78=0,"",IFERROR(VLOOKUP(Envoltória!M86,Componentes!$P:$R,3,FALSE),""))</f>
        <v/>
      </c>
      <c r="L78" s="431" t="str">
        <f>IF(B78=0,"",IFERROR(IF(BB78&lt;&gt;0,VLOOKUP(Envoltória!L86,Componentes!K:N,2,FALSE),0),""))</f>
        <v/>
      </c>
      <c r="M78" s="431" t="str">
        <f>IF(B78=0,"",IFERROR(IF(BB78&lt;&gt;0,VLOOKUP(Envoltória!L86,Componentes!K:N,3,FALSE),0),""))</f>
        <v/>
      </c>
      <c r="N78" s="431" t="str">
        <f>IF(B78=0,"",IFERROR(IF(BB78&lt;&gt;0,VLOOKUP(Envoltória!L86,Componentes!K:N,4,FALSE),0),""))</f>
        <v/>
      </c>
      <c r="O78" s="430" t="str">
        <f>IF(B78=0,"",IF(BF78=1,VLOOKUP(Envoltória!J86,Componentes!B:E,2,FALSE),-6))</f>
        <v/>
      </c>
      <c r="P78" s="430" t="str">
        <f>IF(B78=0,"",IF(BF78=1,VLOOKUP(Envoltória!J86,Componentes!B:E,3,FALSE),-400))</f>
        <v/>
      </c>
      <c r="Q78" s="430" t="str">
        <f>IF(B78=0,"",IF(BF78=1,VLOOKUP(Envoltória!J86,Componentes!B:E,4,FALSE),0))</f>
        <v/>
      </c>
      <c r="R78" s="416" t="str">
        <f>IF(B78=0,"",IFERROR(VLOOKUP(Envoltória!K86,Componentes!G:I,2,FALSE),""))</f>
        <v/>
      </c>
      <c r="S78" s="416" t="str">
        <f>IF(B78=0,"",IFERROR(VLOOKUP(Envoltória!K86,Componentes!G:I,3,FALSE),""))</f>
        <v/>
      </c>
      <c r="T78" s="430" t="str">
        <f>IF(B78=0,"",IFERROR(IF(H78&lt;&gt;0,VLOOKUP(Envoltória!N86,Componentes!T:V,3,FALSE),0),""))</f>
        <v/>
      </c>
      <c r="U78" s="430" t="str">
        <f>IF(B78=0,"",IFERROR(IF(H78&lt;&gt;0,VLOOKUP(Envoltória!N86,Componentes!T:V,2,FALSE),0),""))</f>
        <v/>
      </c>
      <c r="V78" s="416" t="str">
        <f>IF(B78=0,"",IFERROR(IF(AA78&lt;&gt;0,VLOOKUP(Envoltória!U86,Componentes!X:Z,2,FALSE),0),0))</f>
        <v/>
      </c>
      <c r="W78" s="416" t="str">
        <f>IF(B78=0,"",IFERROR(IF(AA78&lt;&gt;0,VLOOKUP(Envoltória!U86,Componentes!X:Z,3,FALSE),0),0))</f>
        <v/>
      </c>
      <c r="X78" s="430" t="str">
        <f>IF(B78=0,"",Envoltória!U86)</f>
        <v/>
      </c>
      <c r="Y78" s="430" t="str">
        <f>IF(B78=0,"",Envoltória!S86)</f>
        <v/>
      </c>
      <c r="Z78" s="430" t="str">
        <f>IF(B78=0,"",Envoltória!T86)</f>
        <v/>
      </c>
      <c r="AA78" s="416" t="str">
        <f>IF(B78=0,"",Envoltória!Q86/100)</f>
        <v/>
      </c>
      <c r="AB78" s="434" t="str">
        <f>IF($B78=0,"",VLOOKUP(Aux_Lista!$DR$2,Aux_Clima!$A:$O,AB$8,FALSE))</f>
        <v/>
      </c>
      <c r="AC78" s="434" t="str">
        <f>IF($B78=0,"",VLOOKUP(Aux_Lista!$DR$2,Aux_Clima!$A:$O,AC$8,FALSE))</f>
        <v/>
      </c>
      <c r="AD78" s="434" t="str">
        <f>IF($B78=0,"",ROUND(VLOOKUP(Aux_Lista!$DR$2,Aux_Clima!$A:$O,AD$8,FALSE),8))</f>
        <v/>
      </c>
      <c r="AE78" s="434" t="str">
        <f>IF($B78=0,"",ROUND(VLOOKUP(Aux_Lista!$DR$2,Aux_Clima!$A:$O,AE$8,FALSE),8))</f>
        <v/>
      </c>
      <c r="AF78" s="434" t="str">
        <f>IF($B78=0,"",ROUND(VLOOKUP(Aux_Lista!$DR$2,Aux_Clima!$A:$O,AF$8,FALSE),8))</f>
        <v/>
      </c>
      <c r="AG78" s="434" t="str">
        <f>IF($B78=0,"",ROUND(VLOOKUP(Aux_Lista!$DR$2,Aux_Clima!$A:$O,AG$8,FALSE),8))</f>
        <v/>
      </c>
      <c r="AH78" s="434" t="str">
        <f>IF($B78=0,"",ROUND(VLOOKUP(Aux_Lista!$DR$2,Aux_Clima!$A:$O,AH$8,FALSE),8))</f>
        <v/>
      </c>
      <c r="AI78" s="434" t="str">
        <f>IF($B78=0,"",ROUND(VLOOKUP(Aux_Lista!$DR$2,Aux_Clima!$A:$O,AI$8,FALSE),8))</f>
        <v/>
      </c>
      <c r="AJ78" s="434" t="str">
        <f>IF($B78=0,"",ROUND(VLOOKUP(Aux_Lista!$DR$2,Aux_Clima!$A:$O,AJ$8,FALSE),3))</f>
        <v/>
      </c>
      <c r="AK78" s="434" t="str">
        <f>IF($B78=0,"",ROUND(VLOOKUP(Aux_Lista!$DR$2,Aux_Clima!$A:$O,AK$8,FALSE),3))</f>
        <v/>
      </c>
      <c r="AL78" s="434" t="str">
        <f>IF($B78=0,"",ROUND(VLOOKUP(Aux_Lista!$DR$2,Aux_Clima!$A:$O,AL$8,FALSE),3))</f>
        <v/>
      </c>
      <c r="AM78" s="434" t="str">
        <f>IF($B78=0,"",ROUND(VLOOKUP(Aux_Lista!$DR$2,Aux_Clima!$A:$O,AM$8,FALSE),8))</f>
        <v/>
      </c>
      <c r="AN78" s="434" t="str">
        <f>IF($B78=0,"",ROUND(VLOOKUP(Aux_Lista!$DR$2,Aux_Clima!$A:$O,AN$8,FALSE),8))</f>
        <v/>
      </c>
      <c r="AO78" s="434" t="str">
        <f>IF($B78=0,"",ROUND(VLOOKUP(Aux_Lista!$DR$2,Aux_Clima!$A:$O,AO$8,FALSE),8))</f>
        <v/>
      </c>
      <c r="AP78" s="430" t="str">
        <f>IF(B78=0,"",IF(BF78=0,84,VLOOKUP(Envoltória!N86,Componentes!AV:AY,4,FALSE)))</f>
        <v/>
      </c>
      <c r="AQ78" s="430" t="str">
        <f>IF(B78=0,"",IF(BF78=0,90,VLOOKUP(Envoltória!N86,Componentes!AV:AY,3,FALSE)))</f>
        <v/>
      </c>
      <c r="AR78" s="430" t="str">
        <f t="shared" si="6"/>
        <v/>
      </c>
      <c r="AS78" s="430" t="str">
        <f t="shared" si="6"/>
        <v/>
      </c>
      <c r="AT78" s="430" t="str">
        <f t="shared" si="6"/>
        <v/>
      </c>
      <c r="AU78" s="430" t="str">
        <f t="shared" si="6"/>
        <v/>
      </c>
      <c r="AV78" s="430" t="str">
        <f t="shared" si="6"/>
        <v/>
      </c>
      <c r="AW78" s="416" t="str">
        <f>IF($B78=0,"",IFERROR(VLOOKUP(Envoltória!$B86,Aux_Lista!$O:$U,AW$9,FALSE),0))</f>
        <v/>
      </c>
      <c r="AX78" s="416" t="str">
        <f>IF($B78=0,"",IFERROR(VLOOKUP(Envoltória!$B86,Aux_Lista!$O:$U,AX$9,FALSE),0))</f>
        <v/>
      </c>
      <c r="AY78" s="416" t="str">
        <f>IF($B78=0,"",IFERROR(VLOOKUP(Envoltória!$B86,Aux_Lista!$O:$U,AY$9,FALSE),0))</f>
        <v/>
      </c>
      <c r="AZ78" s="416" t="str">
        <f>IF($B78=0,"",IFERROR(VLOOKUP(Envoltória!$B86,Aux_Lista!$O:$U,AZ$9,FALSE),0))</f>
        <v/>
      </c>
      <c r="BA78" s="416" t="str">
        <f>IF($B78=0,"",IFERROR(VLOOKUP(Envoltória!$B86,Aux_Lista!$O:$U,BA$9,FALSE),0))</f>
        <v/>
      </c>
      <c r="BB78" s="416" t="str">
        <f>IF($B78=0,"",IFERROR(VLOOKUP(Envoltória!$B86,Aux_Lista!$O:$U,BB$9,FALSE),0))</f>
        <v/>
      </c>
      <c r="BC78" s="416" t="str">
        <f>IFERROR(VLOOKUP(Envoltória!$H86,Aux_Lista!$W$2:$Y$3,BC$9,FALSE),"")</f>
        <v/>
      </c>
      <c r="BD78" s="416" t="str">
        <f>IFERROR(VLOOKUP(Envoltória!$H86,Aux_Lista!$W$2:$Y$3,BD$9,FALSE),"")</f>
        <v/>
      </c>
      <c r="BE78" s="430" t="str">
        <f t="shared" si="7"/>
        <v/>
      </c>
      <c r="BF78" s="430" t="str">
        <f>IF(B78=0,"",IF(Envoltória!F86="Perimetral",1,0))</f>
        <v/>
      </c>
      <c r="BG78" s="430" t="str">
        <f>IFERROR(VLOOKUP(Envoltória!$G86,$BQ$35:$BZ$43,BG$9,FALSE),"")</f>
        <v/>
      </c>
      <c r="BH78" s="430" t="str">
        <f>IFERROR(VLOOKUP(Envoltória!$G86,$BQ$35:$BZ$43,BH$9,FALSE),"")</f>
        <v/>
      </c>
      <c r="BI78" s="430" t="str">
        <f>IFERROR(VLOOKUP(Envoltória!$G86,$BQ$35:$BZ$43,BI$9,FALSE),"")</f>
        <v/>
      </c>
      <c r="BJ78" s="430" t="str">
        <f>IFERROR(VLOOKUP(Envoltória!$G86,$BQ$35:$BZ$43,BJ$9,FALSE),"")</f>
        <v/>
      </c>
      <c r="BK78" s="430" t="str">
        <f>IFERROR(VLOOKUP(Envoltória!$G86,$BQ$35:$BZ$43,BK$9,FALSE),"")</f>
        <v/>
      </c>
      <c r="BL78" s="430" t="str">
        <f>IFERROR(VLOOKUP(Envoltória!$G86,$BQ$35:$BZ$43,BL$9,FALSE),"")</f>
        <v/>
      </c>
      <c r="BM78" s="430" t="str">
        <f>IFERROR(VLOOKUP(Envoltória!$G86,$BQ$35:$BZ$43,BM$9,FALSE),"")</f>
        <v/>
      </c>
      <c r="BN78" s="430" t="str">
        <f>IFERROR(VLOOKUP(Envoltória!$G86,$BQ$35:$BZ$43,BN$9,FALSE),"")</f>
        <v/>
      </c>
      <c r="BO78" s="430" t="str">
        <f>IFERROR(VLOOKUP(Envoltória!$G86,$BQ$35:$BZ$43,BO$9,FALSE),"")</f>
        <v/>
      </c>
      <c r="BP78" s="2"/>
    </row>
    <row r="79" spans="1:68" s="13" customFormat="1" x14ac:dyDescent="0.25">
      <c r="A79" s="2">
        <v>69</v>
      </c>
      <c r="B79" s="410">
        <f>Envoltória!I87</f>
        <v>0</v>
      </c>
      <c r="C79" s="410">
        <f>Envoltória!B87</f>
        <v>0</v>
      </c>
      <c r="D79" s="410">
        <f>Envoltória!C87</f>
        <v>0</v>
      </c>
      <c r="E79" s="410">
        <f>Envoltória!D87</f>
        <v>0</v>
      </c>
      <c r="F79" s="430" t="str">
        <f>IF(B79=0,"",Envoltória!E87)</f>
        <v/>
      </c>
      <c r="G79" s="430" t="str">
        <f t="shared" si="5"/>
        <v/>
      </c>
      <c r="H79" s="430" t="str">
        <f>IF(B79=0,"",Envoltória!O87/100)</f>
        <v/>
      </c>
      <c r="I79" s="430" t="str">
        <f>IF(B79=0,"",IF(BF79=1,VLOOKUP(Envoltória!N87,Componentes!AV:AY,2,FALSE),89))</f>
        <v/>
      </c>
      <c r="J79" s="416" t="str">
        <f>IF(B79=0,"",IFERROR(VLOOKUP(Envoltória!M87,Componentes!$P:$R,2,FALSE),""))</f>
        <v/>
      </c>
      <c r="K79" s="416" t="str">
        <f>IF(B79=0,"",IFERROR(VLOOKUP(Envoltória!M87,Componentes!$P:$R,3,FALSE),""))</f>
        <v/>
      </c>
      <c r="L79" s="431" t="str">
        <f>IF(B79=0,"",IFERROR(IF(BB79&lt;&gt;0,VLOOKUP(Envoltória!L87,Componentes!K:N,2,FALSE),0),""))</f>
        <v/>
      </c>
      <c r="M79" s="431" t="str">
        <f>IF(B79=0,"",IFERROR(IF(BB79&lt;&gt;0,VLOOKUP(Envoltória!L87,Componentes!K:N,3,FALSE),0),""))</f>
        <v/>
      </c>
      <c r="N79" s="431" t="str">
        <f>IF(B79=0,"",IFERROR(IF(BB79&lt;&gt;0,VLOOKUP(Envoltória!L87,Componentes!K:N,4,FALSE),0),""))</f>
        <v/>
      </c>
      <c r="O79" s="430" t="str">
        <f>IF(B79=0,"",IF(BF79=1,VLOOKUP(Envoltória!J87,Componentes!B:E,2,FALSE),-6))</f>
        <v/>
      </c>
      <c r="P79" s="430" t="str">
        <f>IF(B79=0,"",IF(BF79=1,VLOOKUP(Envoltória!J87,Componentes!B:E,3,FALSE),-400))</f>
        <v/>
      </c>
      <c r="Q79" s="430" t="str">
        <f>IF(B79=0,"",IF(BF79=1,VLOOKUP(Envoltória!J87,Componentes!B:E,4,FALSE),0))</f>
        <v/>
      </c>
      <c r="R79" s="416" t="str">
        <f>IF(B79=0,"",IFERROR(VLOOKUP(Envoltória!K87,Componentes!G:I,2,FALSE),""))</f>
        <v/>
      </c>
      <c r="S79" s="416" t="str">
        <f>IF(B79=0,"",IFERROR(VLOOKUP(Envoltória!K87,Componentes!G:I,3,FALSE),""))</f>
        <v/>
      </c>
      <c r="T79" s="430" t="str">
        <f>IF(B79=0,"",IFERROR(IF(H79&lt;&gt;0,VLOOKUP(Envoltória!N87,Componentes!T:V,3,FALSE),0),""))</f>
        <v/>
      </c>
      <c r="U79" s="430" t="str">
        <f>IF(B79=0,"",IFERROR(IF(H79&lt;&gt;0,VLOOKUP(Envoltória!N87,Componentes!T:V,2,FALSE),0),""))</f>
        <v/>
      </c>
      <c r="V79" s="416" t="str">
        <f>IF(B79=0,"",IFERROR(IF(AA79&lt;&gt;0,VLOOKUP(Envoltória!U87,Componentes!X:Z,2,FALSE),0),0))</f>
        <v/>
      </c>
      <c r="W79" s="416" t="str">
        <f>IF(B79=0,"",IFERROR(IF(AA79&lt;&gt;0,VLOOKUP(Envoltória!U87,Componentes!X:Z,3,FALSE),0),0))</f>
        <v/>
      </c>
      <c r="X79" s="430" t="str">
        <f>IF(B79=0,"",Envoltória!U87)</f>
        <v/>
      </c>
      <c r="Y79" s="430" t="str">
        <f>IF(B79=0,"",Envoltória!S87)</f>
        <v/>
      </c>
      <c r="Z79" s="430" t="str">
        <f>IF(B79=0,"",Envoltória!T87)</f>
        <v/>
      </c>
      <c r="AA79" s="416" t="str">
        <f>IF(B79=0,"",Envoltória!Q87/100)</f>
        <v/>
      </c>
      <c r="AB79" s="434" t="str">
        <f>IF($B79=0,"",VLOOKUP(Aux_Lista!$DR$2,Aux_Clima!$A:$O,AB$8,FALSE))</f>
        <v/>
      </c>
      <c r="AC79" s="434" t="str">
        <f>IF($B79=0,"",VLOOKUP(Aux_Lista!$DR$2,Aux_Clima!$A:$O,AC$8,FALSE))</f>
        <v/>
      </c>
      <c r="AD79" s="434" t="str">
        <f>IF($B79=0,"",ROUND(VLOOKUP(Aux_Lista!$DR$2,Aux_Clima!$A:$O,AD$8,FALSE),8))</f>
        <v/>
      </c>
      <c r="AE79" s="434" t="str">
        <f>IF($B79=0,"",ROUND(VLOOKUP(Aux_Lista!$DR$2,Aux_Clima!$A:$O,AE$8,FALSE),8))</f>
        <v/>
      </c>
      <c r="AF79" s="434" t="str">
        <f>IF($B79=0,"",ROUND(VLOOKUP(Aux_Lista!$DR$2,Aux_Clima!$A:$O,AF$8,FALSE),8))</f>
        <v/>
      </c>
      <c r="AG79" s="434" t="str">
        <f>IF($B79=0,"",ROUND(VLOOKUP(Aux_Lista!$DR$2,Aux_Clima!$A:$O,AG$8,FALSE),8))</f>
        <v/>
      </c>
      <c r="AH79" s="434" t="str">
        <f>IF($B79=0,"",ROUND(VLOOKUP(Aux_Lista!$DR$2,Aux_Clima!$A:$O,AH$8,FALSE),8))</f>
        <v/>
      </c>
      <c r="AI79" s="434" t="str">
        <f>IF($B79=0,"",ROUND(VLOOKUP(Aux_Lista!$DR$2,Aux_Clima!$A:$O,AI$8,FALSE),8))</f>
        <v/>
      </c>
      <c r="AJ79" s="434" t="str">
        <f>IF($B79=0,"",ROUND(VLOOKUP(Aux_Lista!$DR$2,Aux_Clima!$A:$O,AJ$8,FALSE),3))</f>
        <v/>
      </c>
      <c r="AK79" s="434" t="str">
        <f>IF($B79=0,"",ROUND(VLOOKUP(Aux_Lista!$DR$2,Aux_Clima!$A:$O,AK$8,FALSE),3))</f>
        <v/>
      </c>
      <c r="AL79" s="434" t="str">
        <f>IF($B79=0,"",ROUND(VLOOKUP(Aux_Lista!$DR$2,Aux_Clima!$A:$O,AL$8,FALSE),3))</f>
        <v/>
      </c>
      <c r="AM79" s="434" t="str">
        <f>IF($B79=0,"",ROUND(VLOOKUP(Aux_Lista!$DR$2,Aux_Clima!$A:$O,AM$8,FALSE),8))</f>
        <v/>
      </c>
      <c r="AN79" s="434" t="str">
        <f>IF($B79=0,"",ROUND(VLOOKUP(Aux_Lista!$DR$2,Aux_Clima!$A:$O,AN$8,FALSE),8))</f>
        <v/>
      </c>
      <c r="AO79" s="434" t="str">
        <f>IF($B79=0,"",ROUND(VLOOKUP(Aux_Lista!$DR$2,Aux_Clima!$A:$O,AO$8,FALSE),8))</f>
        <v/>
      </c>
      <c r="AP79" s="430" t="str">
        <f>IF(B79=0,"",IF(BF79=0,84,VLOOKUP(Envoltória!N87,Componentes!AV:AY,4,FALSE)))</f>
        <v/>
      </c>
      <c r="AQ79" s="430" t="str">
        <f>IF(B79=0,"",IF(BF79=0,90,VLOOKUP(Envoltória!N87,Componentes!AV:AY,3,FALSE)))</f>
        <v/>
      </c>
      <c r="AR79" s="430" t="str">
        <f t="shared" si="6"/>
        <v/>
      </c>
      <c r="AS79" s="430" t="str">
        <f t="shared" si="6"/>
        <v/>
      </c>
      <c r="AT79" s="430" t="str">
        <f t="shared" si="6"/>
        <v/>
      </c>
      <c r="AU79" s="430" t="str">
        <f t="shared" si="6"/>
        <v/>
      </c>
      <c r="AV79" s="430" t="str">
        <f t="shared" si="6"/>
        <v/>
      </c>
      <c r="AW79" s="416" t="str">
        <f>IF($B79=0,"",IFERROR(VLOOKUP(Envoltória!$B87,Aux_Lista!$O:$U,AW$9,FALSE),0))</f>
        <v/>
      </c>
      <c r="AX79" s="416" t="str">
        <f>IF($B79=0,"",IFERROR(VLOOKUP(Envoltória!$B87,Aux_Lista!$O:$U,AX$9,FALSE),0))</f>
        <v/>
      </c>
      <c r="AY79" s="416" t="str">
        <f>IF($B79=0,"",IFERROR(VLOOKUP(Envoltória!$B87,Aux_Lista!$O:$U,AY$9,FALSE),0))</f>
        <v/>
      </c>
      <c r="AZ79" s="416" t="str">
        <f>IF($B79=0,"",IFERROR(VLOOKUP(Envoltória!$B87,Aux_Lista!$O:$U,AZ$9,FALSE),0))</f>
        <v/>
      </c>
      <c r="BA79" s="416" t="str">
        <f>IF($B79=0,"",IFERROR(VLOOKUP(Envoltória!$B87,Aux_Lista!$O:$U,BA$9,FALSE),0))</f>
        <v/>
      </c>
      <c r="BB79" s="416" t="str">
        <f>IF($B79=0,"",IFERROR(VLOOKUP(Envoltória!$B87,Aux_Lista!$O:$U,BB$9,FALSE),0))</f>
        <v/>
      </c>
      <c r="BC79" s="416" t="str">
        <f>IFERROR(VLOOKUP(Envoltória!$H87,Aux_Lista!$W$2:$Y$3,BC$9,FALSE),"")</f>
        <v/>
      </c>
      <c r="BD79" s="416" t="str">
        <f>IFERROR(VLOOKUP(Envoltória!$H87,Aux_Lista!$W$2:$Y$3,BD$9,FALSE),"")</f>
        <v/>
      </c>
      <c r="BE79" s="430" t="str">
        <f t="shared" si="7"/>
        <v/>
      </c>
      <c r="BF79" s="430" t="str">
        <f>IF(B79=0,"",IF(Envoltória!F87="Perimetral",1,0))</f>
        <v/>
      </c>
      <c r="BG79" s="430" t="str">
        <f>IFERROR(VLOOKUP(Envoltória!$G87,$BQ$35:$BZ$43,BG$9,FALSE),"")</f>
        <v/>
      </c>
      <c r="BH79" s="430" t="str">
        <f>IFERROR(VLOOKUP(Envoltória!$G87,$BQ$35:$BZ$43,BH$9,FALSE),"")</f>
        <v/>
      </c>
      <c r="BI79" s="430" t="str">
        <f>IFERROR(VLOOKUP(Envoltória!$G87,$BQ$35:$BZ$43,BI$9,FALSE),"")</f>
        <v/>
      </c>
      <c r="BJ79" s="430" t="str">
        <f>IFERROR(VLOOKUP(Envoltória!$G87,$BQ$35:$BZ$43,BJ$9,FALSE),"")</f>
        <v/>
      </c>
      <c r="BK79" s="430" t="str">
        <f>IFERROR(VLOOKUP(Envoltória!$G87,$BQ$35:$BZ$43,BK$9,FALSE),"")</f>
        <v/>
      </c>
      <c r="BL79" s="430" t="str">
        <f>IFERROR(VLOOKUP(Envoltória!$G87,$BQ$35:$BZ$43,BL$9,FALSE),"")</f>
        <v/>
      </c>
      <c r="BM79" s="430" t="str">
        <f>IFERROR(VLOOKUP(Envoltória!$G87,$BQ$35:$BZ$43,BM$9,FALSE),"")</f>
        <v/>
      </c>
      <c r="BN79" s="430" t="str">
        <f>IFERROR(VLOOKUP(Envoltória!$G87,$BQ$35:$BZ$43,BN$9,FALSE),"")</f>
        <v/>
      </c>
      <c r="BO79" s="430" t="str">
        <f>IFERROR(VLOOKUP(Envoltória!$G87,$BQ$35:$BZ$43,BO$9,FALSE),"")</f>
        <v/>
      </c>
      <c r="BP79" s="2"/>
    </row>
    <row r="80" spans="1:68" s="13" customFormat="1" x14ac:dyDescent="0.25">
      <c r="A80" s="2">
        <v>70</v>
      </c>
      <c r="B80" s="410">
        <f>Envoltória!I88</f>
        <v>0</v>
      </c>
      <c r="C80" s="410">
        <f>Envoltória!B88</f>
        <v>0</v>
      </c>
      <c r="D80" s="410">
        <f>Envoltória!C88</f>
        <v>0</v>
      </c>
      <c r="E80" s="410">
        <f>Envoltória!D88</f>
        <v>0</v>
      </c>
      <c r="F80" s="430" t="str">
        <f>IF(B80=0,"",Envoltória!E88)</f>
        <v/>
      </c>
      <c r="G80" s="430" t="str">
        <f t="shared" si="5"/>
        <v/>
      </c>
      <c r="H80" s="430" t="str">
        <f>IF(B80=0,"",Envoltória!O88/100)</f>
        <v/>
      </c>
      <c r="I80" s="430" t="str">
        <f>IF(B80=0,"",IF(BF80=1,VLOOKUP(Envoltória!N88,Componentes!AV:AY,2,FALSE),89))</f>
        <v/>
      </c>
      <c r="J80" s="416" t="str">
        <f>IF(B80=0,"",IFERROR(VLOOKUP(Envoltória!M88,Componentes!$P:$R,2,FALSE),""))</f>
        <v/>
      </c>
      <c r="K80" s="416" t="str">
        <f>IF(B80=0,"",IFERROR(VLOOKUP(Envoltória!M88,Componentes!$P:$R,3,FALSE),""))</f>
        <v/>
      </c>
      <c r="L80" s="431" t="str">
        <f>IF(B80=0,"",IFERROR(IF(BB80&lt;&gt;0,VLOOKUP(Envoltória!L88,Componentes!K:N,2,FALSE),0),""))</f>
        <v/>
      </c>
      <c r="M80" s="431" t="str">
        <f>IF(B80=0,"",IFERROR(IF(BB80&lt;&gt;0,VLOOKUP(Envoltória!L88,Componentes!K:N,3,FALSE),0),""))</f>
        <v/>
      </c>
      <c r="N80" s="431" t="str">
        <f>IF(B80=0,"",IFERROR(IF(BB80&lt;&gt;0,VLOOKUP(Envoltória!L88,Componentes!K:N,4,FALSE),0),""))</f>
        <v/>
      </c>
      <c r="O80" s="430" t="str">
        <f>IF(B80=0,"",IF(BF80=1,VLOOKUP(Envoltória!J88,Componentes!B:E,2,FALSE),-6))</f>
        <v/>
      </c>
      <c r="P80" s="430" t="str">
        <f>IF(B80=0,"",IF(BF80=1,VLOOKUP(Envoltória!J88,Componentes!B:E,3,FALSE),-400))</f>
        <v/>
      </c>
      <c r="Q80" s="430" t="str">
        <f>IF(B80=0,"",IF(BF80=1,VLOOKUP(Envoltória!J88,Componentes!B:E,4,FALSE),0))</f>
        <v/>
      </c>
      <c r="R80" s="416" t="str">
        <f>IF(B80=0,"",IFERROR(VLOOKUP(Envoltória!K88,Componentes!G:I,2,FALSE),""))</f>
        <v/>
      </c>
      <c r="S80" s="416" t="str">
        <f>IF(B80=0,"",IFERROR(VLOOKUP(Envoltória!K88,Componentes!G:I,3,FALSE),""))</f>
        <v/>
      </c>
      <c r="T80" s="430" t="str">
        <f>IF(B80=0,"",IFERROR(IF(H80&lt;&gt;0,VLOOKUP(Envoltória!N88,Componentes!T:V,3,FALSE),0),""))</f>
        <v/>
      </c>
      <c r="U80" s="430" t="str">
        <f>IF(B80=0,"",IFERROR(IF(H80&lt;&gt;0,VLOOKUP(Envoltória!N88,Componentes!T:V,2,FALSE),0),""))</f>
        <v/>
      </c>
      <c r="V80" s="416" t="str">
        <f>IF(B80=0,"",IFERROR(IF(AA80&lt;&gt;0,VLOOKUP(Envoltória!U88,Componentes!X:Z,2,FALSE),0),0))</f>
        <v/>
      </c>
      <c r="W80" s="416" t="str">
        <f>IF(B80=0,"",IFERROR(IF(AA80&lt;&gt;0,VLOOKUP(Envoltória!U88,Componentes!X:Z,3,FALSE),0),0))</f>
        <v/>
      </c>
      <c r="X80" s="430" t="str">
        <f>IF(B80=0,"",Envoltória!U88)</f>
        <v/>
      </c>
      <c r="Y80" s="430" t="str">
        <f>IF(B80=0,"",Envoltória!S88)</f>
        <v/>
      </c>
      <c r="Z80" s="430" t="str">
        <f>IF(B80=0,"",Envoltória!T88)</f>
        <v/>
      </c>
      <c r="AA80" s="416" t="str">
        <f>IF(B80=0,"",Envoltória!Q88/100)</f>
        <v/>
      </c>
      <c r="AB80" s="434" t="str">
        <f>IF($B80=0,"",VLOOKUP(Aux_Lista!$DR$2,Aux_Clima!$A:$O,AB$8,FALSE))</f>
        <v/>
      </c>
      <c r="AC80" s="434" t="str">
        <f>IF($B80=0,"",VLOOKUP(Aux_Lista!$DR$2,Aux_Clima!$A:$O,AC$8,FALSE))</f>
        <v/>
      </c>
      <c r="AD80" s="434" t="str">
        <f>IF($B80=0,"",ROUND(VLOOKUP(Aux_Lista!$DR$2,Aux_Clima!$A:$O,AD$8,FALSE),8))</f>
        <v/>
      </c>
      <c r="AE80" s="434" t="str">
        <f>IF($B80=0,"",ROUND(VLOOKUP(Aux_Lista!$DR$2,Aux_Clima!$A:$O,AE$8,FALSE),8))</f>
        <v/>
      </c>
      <c r="AF80" s="434" t="str">
        <f>IF($B80=0,"",ROUND(VLOOKUP(Aux_Lista!$DR$2,Aux_Clima!$A:$O,AF$8,FALSE),8))</f>
        <v/>
      </c>
      <c r="AG80" s="434" t="str">
        <f>IF($B80=0,"",ROUND(VLOOKUP(Aux_Lista!$DR$2,Aux_Clima!$A:$O,AG$8,FALSE),8))</f>
        <v/>
      </c>
      <c r="AH80" s="434" t="str">
        <f>IF($B80=0,"",ROUND(VLOOKUP(Aux_Lista!$DR$2,Aux_Clima!$A:$O,AH$8,FALSE),8))</f>
        <v/>
      </c>
      <c r="AI80" s="434" t="str">
        <f>IF($B80=0,"",ROUND(VLOOKUP(Aux_Lista!$DR$2,Aux_Clima!$A:$O,AI$8,FALSE),8))</f>
        <v/>
      </c>
      <c r="AJ80" s="434" t="str">
        <f>IF($B80=0,"",ROUND(VLOOKUP(Aux_Lista!$DR$2,Aux_Clima!$A:$O,AJ$8,FALSE),3))</f>
        <v/>
      </c>
      <c r="AK80" s="434" t="str">
        <f>IF($B80=0,"",ROUND(VLOOKUP(Aux_Lista!$DR$2,Aux_Clima!$A:$O,AK$8,FALSE),3))</f>
        <v/>
      </c>
      <c r="AL80" s="434" t="str">
        <f>IF($B80=0,"",ROUND(VLOOKUP(Aux_Lista!$DR$2,Aux_Clima!$A:$O,AL$8,FALSE),3))</f>
        <v/>
      </c>
      <c r="AM80" s="434" t="str">
        <f>IF($B80=0,"",ROUND(VLOOKUP(Aux_Lista!$DR$2,Aux_Clima!$A:$O,AM$8,FALSE),8))</f>
        <v/>
      </c>
      <c r="AN80" s="434" t="str">
        <f>IF($B80=0,"",ROUND(VLOOKUP(Aux_Lista!$DR$2,Aux_Clima!$A:$O,AN$8,FALSE),8))</f>
        <v/>
      </c>
      <c r="AO80" s="434" t="str">
        <f>IF($B80=0,"",ROUND(VLOOKUP(Aux_Lista!$DR$2,Aux_Clima!$A:$O,AO$8,FALSE),8))</f>
        <v/>
      </c>
      <c r="AP80" s="430" t="str">
        <f>IF(B80=0,"",IF(BF80=0,84,VLOOKUP(Envoltória!N88,Componentes!AV:AY,4,FALSE)))</f>
        <v/>
      </c>
      <c r="AQ80" s="430" t="str">
        <f>IF(B80=0,"",IF(BF80=0,90,VLOOKUP(Envoltória!N88,Componentes!AV:AY,3,FALSE)))</f>
        <v/>
      </c>
      <c r="AR80" s="430" t="str">
        <f t="shared" si="6"/>
        <v/>
      </c>
      <c r="AS80" s="430" t="str">
        <f t="shared" si="6"/>
        <v/>
      </c>
      <c r="AT80" s="430" t="str">
        <f t="shared" si="6"/>
        <v/>
      </c>
      <c r="AU80" s="430" t="str">
        <f t="shared" si="6"/>
        <v/>
      </c>
      <c r="AV80" s="430" t="str">
        <f t="shared" si="6"/>
        <v/>
      </c>
      <c r="AW80" s="416" t="str">
        <f>IF($B80=0,"",IFERROR(VLOOKUP(Envoltória!$B88,Aux_Lista!$O:$U,AW$9,FALSE),0))</f>
        <v/>
      </c>
      <c r="AX80" s="416" t="str">
        <f>IF($B80=0,"",IFERROR(VLOOKUP(Envoltória!$B88,Aux_Lista!$O:$U,AX$9,FALSE),0))</f>
        <v/>
      </c>
      <c r="AY80" s="416" t="str">
        <f>IF($B80=0,"",IFERROR(VLOOKUP(Envoltória!$B88,Aux_Lista!$O:$U,AY$9,FALSE),0))</f>
        <v/>
      </c>
      <c r="AZ80" s="416" t="str">
        <f>IF($B80=0,"",IFERROR(VLOOKUP(Envoltória!$B88,Aux_Lista!$O:$U,AZ$9,FALSE),0))</f>
        <v/>
      </c>
      <c r="BA80" s="416" t="str">
        <f>IF($B80=0,"",IFERROR(VLOOKUP(Envoltória!$B88,Aux_Lista!$O:$U,BA$9,FALSE),0))</f>
        <v/>
      </c>
      <c r="BB80" s="416" t="str">
        <f>IF($B80=0,"",IFERROR(VLOOKUP(Envoltória!$B88,Aux_Lista!$O:$U,BB$9,FALSE),0))</f>
        <v/>
      </c>
      <c r="BC80" s="416" t="str">
        <f>IFERROR(VLOOKUP(Envoltória!$H88,Aux_Lista!$W$2:$Y$3,BC$9,FALSE),"")</f>
        <v/>
      </c>
      <c r="BD80" s="416" t="str">
        <f>IFERROR(VLOOKUP(Envoltória!$H88,Aux_Lista!$W$2:$Y$3,BD$9,FALSE),"")</f>
        <v/>
      </c>
      <c r="BE80" s="430" t="str">
        <f t="shared" si="7"/>
        <v/>
      </c>
      <c r="BF80" s="430" t="str">
        <f>IF(B80=0,"",IF(Envoltória!F88="Perimetral",1,0))</f>
        <v/>
      </c>
      <c r="BG80" s="430" t="str">
        <f>IFERROR(VLOOKUP(Envoltória!$G88,$BQ$35:$BZ$43,BG$9,FALSE),"")</f>
        <v/>
      </c>
      <c r="BH80" s="430" t="str">
        <f>IFERROR(VLOOKUP(Envoltória!$G88,$BQ$35:$BZ$43,BH$9,FALSE),"")</f>
        <v/>
      </c>
      <c r="BI80" s="430" t="str">
        <f>IFERROR(VLOOKUP(Envoltória!$G88,$BQ$35:$BZ$43,BI$9,FALSE),"")</f>
        <v/>
      </c>
      <c r="BJ80" s="430" t="str">
        <f>IFERROR(VLOOKUP(Envoltória!$G88,$BQ$35:$BZ$43,BJ$9,FALSE),"")</f>
        <v/>
      </c>
      <c r="BK80" s="430" t="str">
        <f>IFERROR(VLOOKUP(Envoltória!$G88,$BQ$35:$BZ$43,BK$9,FALSE),"")</f>
        <v/>
      </c>
      <c r="BL80" s="430" t="str">
        <f>IFERROR(VLOOKUP(Envoltória!$G88,$BQ$35:$BZ$43,BL$9,FALSE),"")</f>
        <v/>
      </c>
      <c r="BM80" s="430" t="str">
        <f>IFERROR(VLOOKUP(Envoltória!$G88,$BQ$35:$BZ$43,BM$9,FALSE),"")</f>
        <v/>
      </c>
      <c r="BN80" s="430" t="str">
        <f>IFERROR(VLOOKUP(Envoltória!$G88,$BQ$35:$BZ$43,BN$9,FALSE),"")</f>
        <v/>
      </c>
      <c r="BO80" s="430" t="str">
        <f>IFERROR(VLOOKUP(Envoltória!$G88,$BQ$35:$BZ$43,BO$9,FALSE),"")</f>
        <v/>
      </c>
      <c r="BP80" s="2"/>
    </row>
    <row r="81" spans="1:68" s="13" customFormat="1" x14ac:dyDescent="0.25">
      <c r="A81" s="2">
        <v>71</v>
      </c>
      <c r="B81" s="410">
        <f>Envoltória!I89</f>
        <v>0</v>
      </c>
      <c r="C81" s="410">
        <f>Envoltória!B89</f>
        <v>0</v>
      </c>
      <c r="D81" s="410">
        <f>Envoltória!C89</f>
        <v>0</v>
      </c>
      <c r="E81" s="410">
        <f>Envoltória!D89</f>
        <v>0</v>
      </c>
      <c r="F81" s="430" t="str">
        <f>IF(B81=0,"",Envoltória!E89)</f>
        <v/>
      </c>
      <c r="G81" s="430" t="str">
        <f t="shared" si="5"/>
        <v/>
      </c>
      <c r="H81" s="430" t="str">
        <f>IF(B81=0,"",Envoltória!O89/100)</f>
        <v/>
      </c>
      <c r="I81" s="430" t="str">
        <f>IF(B81=0,"",IF(BF81=1,VLOOKUP(Envoltória!N89,Componentes!AV:AY,2,FALSE),89))</f>
        <v/>
      </c>
      <c r="J81" s="416" t="str">
        <f>IF(B81=0,"",IFERROR(VLOOKUP(Envoltória!M89,Componentes!$P:$R,2,FALSE),""))</f>
        <v/>
      </c>
      <c r="K81" s="416" t="str">
        <f>IF(B81=0,"",IFERROR(VLOOKUP(Envoltória!M89,Componentes!$P:$R,3,FALSE),""))</f>
        <v/>
      </c>
      <c r="L81" s="431" t="str">
        <f>IF(B81=0,"",IFERROR(IF(BB81&lt;&gt;0,VLOOKUP(Envoltória!L89,Componentes!K:N,2,FALSE),0),""))</f>
        <v/>
      </c>
      <c r="M81" s="431" t="str">
        <f>IF(B81=0,"",IFERROR(IF(BB81&lt;&gt;0,VLOOKUP(Envoltória!L89,Componentes!K:N,3,FALSE),0),""))</f>
        <v/>
      </c>
      <c r="N81" s="431" t="str">
        <f>IF(B81=0,"",IFERROR(IF(BB81&lt;&gt;0,VLOOKUP(Envoltória!L89,Componentes!K:N,4,FALSE),0),""))</f>
        <v/>
      </c>
      <c r="O81" s="430" t="str">
        <f>IF(B81=0,"",IF(BF81=1,VLOOKUP(Envoltória!J89,Componentes!B:E,2,FALSE),-6))</f>
        <v/>
      </c>
      <c r="P81" s="430" t="str">
        <f>IF(B81=0,"",IF(BF81=1,VLOOKUP(Envoltória!J89,Componentes!B:E,3,FALSE),-400))</f>
        <v/>
      </c>
      <c r="Q81" s="430" t="str">
        <f>IF(B81=0,"",IF(BF81=1,VLOOKUP(Envoltória!J89,Componentes!B:E,4,FALSE),0))</f>
        <v/>
      </c>
      <c r="R81" s="416" t="str">
        <f>IF(B81=0,"",IFERROR(VLOOKUP(Envoltória!K89,Componentes!G:I,2,FALSE),""))</f>
        <v/>
      </c>
      <c r="S81" s="416" t="str">
        <f>IF(B81=0,"",IFERROR(VLOOKUP(Envoltória!K89,Componentes!G:I,3,FALSE),""))</f>
        <v/>
      </c>
      <c r="T81" s="430" t="str">
        <f>IF(B81=0,"",IFERROR(IF(H81&lt;&gt;0,VLOOKUP(Envoltória!N89,Componentes!T:V,3,FALSE),0),""))</f>
        <v/>
      </c>
      <c r="U81" s="430" t="str">
        <f>IF(B81=0,"",IFERROR(IF(H81&lt;&gt;0,VLOOKUP(Envoltória!N89,Componentes!T:V,2,FALSE),0),""))</f>
        <v/>
      </c>
      <c r="V81" s="416" t="str">
        <f>IF(B81=0,"",IFERROR(IF(AA81&lt;&gt;0,VLOOKUP(Envoltória!U89,Componentes!X:Z,2,FALSE),0),0))</f>
        <v/>
      </c>
      <c r="W81" s="416" t="str">
        <f>IF(B81=0,"",IFERROR(IF(AA81&lt;&gt;0,VLOOKUP(Envoltória!U89,Componentes!X:Z,3,FALSE),0),0))</f>
        <v/>
      </c>
      <c r="X81" s="430" t="str">
        <f>IF(B81=0,"",Envoltória!U89)</f>
        <v/>
      </c>
      <c r="Y81" s="430" t="str">
        <f>IF(B81=0,"",Envoltória!S89)</f>
        <v/>
      </c>
      <c r="Z81" s="430" t="str">
        <f>IF(B81=0,"",Envoltória!T89)</f>
        <v/>
      </c>
      <c r="AA81" s="416" t="str">
        <f>IF(B81=0,"",Envoltória!Q89/100)</f>
        <v/>
      </c>
      <c r="AB81" s="434" t="str">
        <f>IF($B81=0,"",VLOOKUP(Aux_Lista!$DR$2,Aux_Clima!$A:$O,AB$8,FALSE))</f>
        <v/>
      </c>
      <c r="AC81" s="434" t="str">
        <f>IF($B81=0,"",VLOOKUP(Aux_Lista!$DR$2,Aux_Clima!$A:$O,AC$8,FALSE))</f>
        <v/>
      </c>
      <c r="AD81" s="434" t="str">
        <f>IF($B81=0,"",ROUND(VLOOKUP(Aux_Lista!$DR$2,Aux_Clima!$A:$O,AD$8,FALSE),8))</f>
        <v/>
      </c>
      <c r="AE81" s="434" t="str">
        <f>IF($B81=0,"",ROUND(VLOOKUP(Aux_Lista!$DR$2,Aux_Clima!$A:$O,AE$8,FALSE),8))</f>
        <v/>
      </c>
      <c r="AF81" s="434" t="str">
        <f>IF($B81=0,"",ROUND(VLOOKUP(Aux_Lista!$DR$2,Aux_Clima!$A:$O,AF$8,FALSE),8))</f>
        <v/>
      </c>
      <c r="AG81" s="434" t="str">
        <f>IF($B81=0,"",ROUND(VLOOKUP(Aux_Lista!$DR$2,Aux_Clima!$A:$O,AG$8,FALSE),8))</f>
        <v/>
      </c>
      <c r="AH81" s="434" t="str">
        <f>IF($B81=0,"",ROUND(VLOOKUP(Aux_Lista!$DR$2,Aux_Clima!$A:$O,AH$8,FALSE),8))</f>
        <v/>
      </c>
      <c r="AI81" s="434" t="str">
        <f>IF($B81=0,"",ROUND(VLOOKUP(Aux_Lista!$DR$2,Aux_Clima!$A:$O,AI$8,FALSE),8))</f>
        <v/>
      </c>
      <c r="AJ81" s="434" t="str">
        <f>IF($B81=0,"",ROUND(VLOOKUP(Aux_Lista!$DR$2,Aux_Clima!$A:$O,AJ$8,FALSE),3))</f>
        <v/>
      </c>
      <c r="AK81" s="434" t="str">
        <f>IF($B81=0,"",ROUND(VLOOKUP(Aux_Lista!$DR$2,Aux_Clima!$A:$O,AK$8,FALSE),3))</f>
        <v/>
      </c>
      <c r="AL81" s="434" t="str">
        <f>IF($B81=0,"",ROUND(VLOOKUP(Aux_Lista!$DR$2,Aux_Clima!$A:$O,AL$8,FALSE),3))</f>
        <v/>
      </c>
      <c r="AM81" s="434" t="str">
        <f>IF($B81=0,"",ROUND(VLOOKUP(Aux_Lista!$DR$2,Aux_Clima!$A:$O,AM$8,FALSE),8))</f>
        <v/>
      </c>
      <c r="AN81" s="434" t="str">
        <f>IF($B81=0,"",ROUND(VLOOKUP(Aux_Lista!$DR$2,Aux_Clima!$A:$O,AN$8,FALSE),8))</f>
        <v/>
      </c>
      <c r="AO81" s="434" t="str">
        <f>IF($B81=0,"",ROUND(VLOOKUP(Aux_Lista!$DR$2,Aux_Clima!$A:$O,AO$8,FALSE),8))</f>
        <v/>
      </c>
      <c r="AP81" s="430" t="str">
        <f>IF(B81=0,"",IF(BF81=0,84,VLOOKUP(Envoltória!N89,Componentes!AV:AY,4,FALSE)))</f>
        <v/>
      </c>
      <c r="AQ81" s="430" t="str">
        <f>IF(B81=0,"",IF(BF81=0,90,VLOOKUP(Envoltória!N89,Componentes!AV:AY,3,FALSE)))</f>
        <v/>
      </c>
      <c r="AR81" s="430" t="str">
        <f t="shared" si="6"/>
        <v/>
      </c>
      <c r="AS81" s="430" t="str">
        <f t="shared" si="6"/>
        <v/>
      </c>
      <c r="AT81" s="430" t="str">
        <f t="shared" si="6"/>
        <v/>
      </c>
      <c r="AU81" s="430" t="str">
        <f t="shared" si="6"/>
        <v/>
      </c>
      <c r="AV81" s="430" t="str">
        <f t="shared" si="6"/>
        <v/>
      </c>
      <c r="AW81" s="416" t="str">
        <f>IF($B81=0,"",IFERROR(VLOOKUP(Envoltória!$B89,Aux_Lista!$O:$U,AW$9,FALSE),0))</f>
        <v/>
      </c>
      <c r="AX81" s="416" t="str">
        <f>IF($B81=0,"",IFERROR(VLOOKUP(Envoltória!$B89,Aux_Lista!$O:$U,AX$9,FALSE),0))</f>
        <v/>
      </c>
      <c r="AY81" s="416" t="str">
        <f>IF($B81=0,"",IFERROR(VLOOKUP(Envoltória!$B89,Aux_Lista!$O:$U,AY$9,FALSE),0))</f>
        <v/>
      </c>
      <c r="AZ81" s="416" t="str">
        <f>IF($B81=0,"",IFERROR(VLOOKUP(Envoltória!$B89,Aux_Lista!$O:$U,AZ$9,FALSE),0))</f>
        <v/>
      </c>
      <c r="BA81" s="416" t="str">
        <f>IF($B81=0,"",IFERROR(VLOOKUP(Envoltória!$B89,Aux_Lista!$O:$U,BA$9,FALSE),0))</f>
        <v/>
      </c>
      <c r="BB81" s="416" t="str">
        <f>IF($B81=0,"",IFERROR(VLOOKUP(Envoltória!$B89,Aux_Lista!$O:$U,BB$9,FALSE),0))</f>
        <v/>
      </c>
      <c r="BC81" s="416" t="str">
        <f>IFERROR(VLOOKUP(Envoltória!$H89,Aux_Lista!$W$2:$Y$3,BC$9,FALSE),"")</f>
        <v/>
      </c>
      <c r="BD81" s="416" t="str">
        <f>IFERROR(VLOOKUP(Envoltória!$H89,Aux_Lista!$W$2:$Y$3,BD$9,FALSE),"")</f>
        <v/>
      </c>
      <c r="BE81" s="430" t="str">
        <f t="shared" si="7"/>
        <v/>
      </c>
      <c r="BF81" s="430" t="str">
        <f>IF(B81=0,"",IF(Envoltória!F89="Perimetral",1,0))</f>
        <v/>
      </c>
      <c r="BG81" s="430" t="str">
        <f>IFERROR(VLOOKUP(Envoltória!$G89,$BQ$35:$BZ$43,BG$9,FALSE),"")</f>
        <v/>
      </c>
      <c r="BH81" s="430" t="str">
        <f>IFERROR(VLOOKUP(Envoltória!$G89,$BQ$35:$BZ$43,BH$9,FALSE),"")</f>
        <v/>
      </c>
      <c r="BI81" s="430" t="str">
        <f>IFERROR(VLOOKUP(Envoltória!$G89,$BQ$35:$BZ$43,BI$9,FALSE),"")</f>
        <v/>
      </c>
      <c r="BJ81" s="430" t="str">
        <f>IFERROR(VLOOKUP(Envoltória!$G89,$BQ$35:$BZ$43,BJ$9,FALSE),"")</f>
        <v/>
      </c>
      <c r="BK81" s="430" t="str">
        <f>IFERROR(VLOOKUP(Envoltória!$G89,$BQ$35:$BZ$43,BK$9,FALSE),"")</f>
        <v/>
      </c>
      <c r="BL81" s="430" t="str">
        <f>IFERROR(VLOOKUP(Envoltória!$G89,$BQ$35:$BZ$43,BL$9,FALSE),"")</f>
        <v/>
      </c>
      <c r="BM81" s="430" t="str">
        <f>IFERROR(VLOOKUP(Envoltória!$G89,$BQ$35:$BZ$43,BM$9,FALSE),"")</f>
        <v/>
      </c>
      <c r="BN81" s="430" t="str">
        <f>IFERROR(VLOOKUP(Envoltória!$G89,$BQ$35:$BZ$43,BN$9,FALSE),"")</f>
        <v/>
      </c>
      <c r="BO81" s="430" t="str">
        <f>IFERROR(VLOOKUP(Envoltória!$G89,$BQ$35:$BZ$43,BO$9,FALSE),"")</f>
        <v/>
      </c>
      <c r="BP81" s="2"/>
    </row>
    <row r="82" spans="1:68" s="13" customFormat="1" x14ac:dyDescent="0.25">
      <c r="A82" s="2">
        <v>72</v>
      </c>
      <c r="B82" s="410">
        <f>Envoltória!I90</f>
        <v>0</v>
      </c>
      <c r="C82" s="410">
        <f>Envoltória!B90</f>
        <v>0</v>
      </c>
      <c r="D82" s="410">
        <f>Envoltória!C90</f>
        <v>0</v>
      </c>
      <c r="E82" s="410">
        <f>Envoltória!D90</f>
        <v>0</v>
      </c>
      <c r="F82" s="430" t="str">
        <f>IF(B82=0,"",Envoltória!E90)</f>
        <v/>
      </c>
      <c r="G82" s="430" t="str">
        <f t="shared" si="5"/>
        <v/>
      </c>
      <c r="H82" s="430" t="str">
        <f>IF(B82=0,"",Envoltória!O90/100)</f>
        <v/>
      </c>
      <c r="I82" s="430" t="str">
        <f>IF(B82=0,"",IF(BF82=1,VLOOKUP(Envoltória!N90,Componentes!AV:AY,2,FALSE),89))</f>
        <v/>
      </c>
      <c r="J82" s="416" t="str">
        <f>IF(B82=0,"",IFERROR(VLOOKUP(Envoltória!M90,Componentes!$P:$R,2,FALSE),""))</f>
        <v/>
      </c>
      <c r="K82" s="416" t="str">
        <f>IF(B82=0,"",IFERROR(VLOOKUP(Envoltória!M90,Componentes!$P:$R,3,FALSE),""))</f>
        <v/>
      </c>
      <c r="L82" s="431" t="str">
        <f>IF(B82=0,"",IFERROR(IF(BB82&lt;&gt;0,VLOOKUP(Envoltória!L90,Componentes!K:N,2,FALSE),0),""))</f>
        <v/>
      </c>
      <c r="M82" s="431" t="str">
        <f>IF(B82=0,"",IFERROR(IF(BB82&lt;&gt;0,VLOOKUP(Envoltória!L90,Componentes!K:N,3,FALSE),0),""))</f>
        <v/>
      </c>
      <c r="N82" s="431" t="str">
        <f>IF(B82=0,"",IFERROR(IF(BB82&lt;&gt;0,VLOOKUP(Envoltória!L90,Componentes!K:N,4,FALSE),0),""))</f>
        <v/>
      </c>
      <c r="O82" s="430" t="str">
        <f>IF(B82=0,"",IF(BF82=1,VLOOKUP(Envoltória!J90,Componentes!B:E,2,FALSE),-6))</f>
        <v/>
      </c>
      <c r="P82" s="430" t="str">
        <f>IF(B82=0,"",IF(BF82=1,VLOOKUP(Envoltória!J90,Componentes!B:E,3,FALSE),-400))</f>
        <v/>
      </c>
      <c r="Q82" s="430" t="str">
        <f>IF(B82=0,"",IF(BF82=1,VLOOKUP(Envoltória!J90,Componentes!B:E,4,FALSE),0))</f>
        <v/>
      </c>
      <c r="R82" s="416" t="str">
        <f>IF(B82=0,"",IFERROR(VLOOKUP(Envoltória!K90,Componentes!G:I,2,FALSE),""))</f>
        <v/>
      </c>
      <c r="S82" s="416" t="str">
        <f>IF(B82=0,"",IFERROR(VLOOKUP(Envoltória!K90,Componentes!G:I,3,FALSE),""))</f>
        <v/>
      </c>
      <c r="T82" s="430" t="str">
        <f>IF(B82=0,"",IFERROR(IF(H82&lt;&gt;0,VLOOKUP(Envoltória!N90,Componentes!T:V,3,FALSE),0),""))</f>
        <v/>
      </c>
      <c r="U82" s="430" t="str">
        <f>IF(B82=0,"",IFERROR(IF(H82&lt;&gt;0,VLOOKUP(Envoltória!N90,Componentes!T:V,2,FALSE),0),""))</f>
        <v/>
      </c>
      <c r="V82" s="416" t="str">
        <f>IF(B82=0,"",IFERROR(IF(AA82&lt;&gt;0,VLOOKUP(Envoltória!U90,Componentes!X:Z,2,FALSE),0),0))</f>
        <v/>
      </c>
      <c r="W82" s="416" t="str">
        <f>IF(B82=0,"",IFERROR(IF(AA82&lt;&gt;0,VLOOKUP(Envoltória!U90,Componentes!X:Z,3,FALSE),0),0))</f>
        <v/>
      </c>
      <c r="X82" s="430" t="str">
        <f>IF(B82=0,"",Envoltória!U90)</f>
        <v/>
      </c>
      <c r="Y82" s="430" t="str">
        <f>IF(B82=0,"",Envoltória!S90)</f>
        <v/>
      </c>
      <c r="Z82" s="430" t="str">
        <f>IF(B82=0,"",Envoltória!T90)</f>
        <v/>
      </c>
      <c r="AA82" s="416" t="str">
        <f>IF(B82=0,"",Envoltória!Q90/100)</f>
        <v/>
      </c>
      <c r="AB82" s="434" t="str">
        <f>IF($B82=0,"",VLOOKUP(Aux_Lista!$DR$2,Aux_Clima!$A:$O,AB$8,FALSE))</f>
        <v/>
      </c>
      <c r="AC82" s="434" t="str">
        <f>IF($B82=0,"",VLOOKUP(Aux_Lista!$DR$2,Aux_Clima!$A:$O,AC$8,FALSE))</f>
        <v/>
      </c>
      <c r="AD82" s="434" t="str">
        <f>IF($B82=0,"",ROUND(VLOOKUP(Aux_Lista!$DR$2,Aux_Clima!$A:$O,AD$8,FALSE),8))</f>
        <v/>
      </c>
      <c r="AE82" s="434" t="str">
        <f>IF($B82=0,"",ROUND(VLOOKUP(Aux_Lista!$DR$2,Aux_Clima!$A:$O,AE$8,FALSE),8))</f>
        <v/>
      </c>
      <c r="AF82" s="434" t="str">
        <f>IF($B82=0,"",ROUND(VLOOKUP(Aux_Lista!$DR$2,Aux_Clima!$A:$O,AF$8,FALSE),8))</f>
        <v/>
      </c>
      <c r="AG82" s="434" t="str">
        <f>IF($B82=0,"",ROUND(VLOOKUP(Aux_Lista!$DR$2,Aux_Clima!$A:$O,AG$8,FALSE),8))</f>
        <v/>
      </c>
      <c r="AH82" s="434" t="str">
        <f>IF($B82=0,"",ROUND(VLOOKUP(Aux_Lista!$DR$2,Aux_Clima!$A:$O,AH$8,FALSE),8))</f>
        <v/>
      </c>
      <c r="AI82" s="434" t="str">
        <f>IF($B82=0,"",ROUND(VLOOKUP(Aux_Lista!$DR$2,Aux_Clima!$A:$O,AI$8,FALSE),8))</f>
        <v/>
      </c>
      <c r="AJ82" s="434" t="str">
        <f>IF($B82=0,"",ROUND(VLOOKUP(Aux_Lista!$DR$2,Aux_Clima!$A:$O,AJ$8,FALSE),3))</f>
        <v/>
      </c>
      <c r="AK82" s="434" t="str">
        <f>IF($B82=0,"",ROUND(VLOOKUP(Aux_Lista!$DR$2,Aux_Clima!$A:$O,AK$8,FALSE),3))</f>
        <v/>
      </c>
      <c r="AL82" s="434" t="str">
        <f>IF($B82=0,"",ROUND(VLOOKUP(Aux_Lista!$DR$2,Aux_Clima!$A:$O,AL$8,FALSE),3))</f>
        <v/>
      </c>
      <c r="AM82" s="434" t="str">
        <f>IF($B82=0,"",ROUND(VLOOKUP(Aux_Lista!$DR$2,Aux_Clima!$A:$O,AM$8,FALSE),8))</f>
        <v/>
      </c>
      <c r="AN82" s="434" t="str">
        <f>IF($B82=0,"",ROUND(VLOOKUP(Aux_Lista!$DR$2,Aux_Clima!$A:$O,AN$8,FALSE),8))</f>
        <v/>
      </c>
      <c r="AO82" s="434" t="str">
        <f>IF($B82=0,"",ROUND(VLOOKUP(Aux_Lista!$DR$2,Aux_Clima!$A:$O,AO$8,FALSE),8))</f>
        <v/>
      </c>
      <c r="AP82" s="430" t="str">
        <f>IF(B82=0,"",IF(BF82=0,84,VLOOKUP(Envoltória!N90,Componentes!AV:AY,4,FALSE)))</f>
        <v/>
      </c>
      <c r="AQ82" s="430" t="str">
        <f>IF(B82=0,"",IF(BF82=0,90,VLOOKUP(Envoltória!N90,Componentes!AV:AY,3,FALSE)))</f>
        <v/>
      </c>
      <c r="AR82" s="430" t="str">
        <f t="shared" si="6"/>
        <v/>
      </c>
      <c r="AS82" s="430" t="str">
        <f t="shared" si="6"/>
        <v/>
      </c>
      <c r="AT82" s="430" t="str">
        <f t="shared" si="6"/>
        <v/>
      </c>
      <c r="AU82" s="430" t="str">
        <f t="shared" si="6"/>
        <v/>
      </c>
      <c r="AV82" s="430" t="str">
        <f t="shared" si="6"/>
        <v/>
      </c>
      <c r="AW82" s="416" t="str">
        <f>IF($B82=0,"",IFERROR(VLOOKUP(Envoltória!$B90,Aux_Lista!$O:$U,AW$9,FALSE),0))</f>
        <v/>
      </c>
      <c r="AX82" s="416" t="str">
        <f>IF($B82=0,"",IFERROR(VLOOKUP(Envoltória!$B90,Aux_Lista!$O:$U,AX$9,FALSE),0))</f>
        <v/>
      </c>
      <c r="AY82" s="416" t="str">
        <f>IF($B82=0,"",IFERROR(VLOOKUP(Envoltória!$B90,Aux_Lista!$O:$U,AY$9,FALSE),0))</f>
        <v/>
      </c>
      <c r="AZ82" s="416" t="str">
        <f>IF($B82=0,"",IFERROR(VLOOKUP(Envoltória!$B90,Aux_Lista!$O:$U,AZ$9,FALSE),0))</f>
        <v/>
      </c>
      <c r="BA82" s="416" t="str">
        <f>IF($B82=0,"",IFERROR(VLOOKUP(Envoltória!$B90,Aux_Lista!$O:$U,BA$9,FALSE),0))</f>
        <v/>
      </c>
      <c r="BB82" s="416" t="str">
        <f>IF($B82=0,"",IFERROR(VLOOKUP(Envoltória!$B90,Aux_Lista!$O:$U,BB$9,FALSE),0))</f>
        <v/>
      </c>
      <c r="BC82" s="416" t="str">
        <f>IFERROR(VLOOKUP(Envoltória!$H90,Aux_Lista!$W$2:$Y$3,BC$9,FALSE),"")</f>
        <v/>
      </c>
      <c r="BD82" s="416" t="str">
        <f>IFERROR(VLOOKUP(Envoltória!$H90,Aux_Lista!$W$2:$Y$3,BD$9,FALSE),"")</f>
        <v/>
      </c>
      <c r="BE82" s="430" t="str">
        <f t="shared" si="7"/>
        <v/>
      </c>
      <c r="BF82" s="430" t="str">
        <f>IF(B82=0,"",IF(Envoltória!F90="Perimetral",1,0))</f>
        <v/>
      </c>
      <c r="BG82" s="430" t="str">
        <f>IFERROR(VLOOKUP(Envoltória!$G90,$BQ$35:$BZ$43,BG$9,FALSE),"")</f>
        <v/>
      </c>
      <c r="BH82" s="430" t="str">
        <f>IFERROR(VLOOKUP(Envoltória!$G90,$BQ$35:$BZ$43,BH$9,FALSE),"")</f>
        <v/>
      </c>
      <c r="BI82" s="430" t="str">
        <f>IFERROR(VLOOKUP(Envoltória!$G90,$BQ$35:$BZ$43,BI$9,FALSE),"")</f>
        <v/>
      </c>
      <c r="BJ82" s="430" t="str">
        <f>IFERROR(VLOOKUP(Envoltória!$G90,$BQ$35:$BZ$43,BJ$9,FALSE),"")</f>
        <v/>
      </c>
      <c r="BK82" s="430" t="str">
        <f>IFERROR(VLOOKUP(Envoltória!$G90,$BQ$35:$BZ$43,BK$9,FALSE),"")</f>
        <v/>
      </c>
      <c r="BL82" s="430" t="str">
        <f>IFERROR(VLOOKUP(Envoltória!$G90,$BQ$35:$BZ$43,BL$9,FALSE),"")</f>
        <v/>
      </c>
      <c r="BM82" s="430" t="str">
        <f>IFERROR(VLOOKUP(Envoltória!$G90,$BQ$35:$BZ$43,BM$9,FALSE),"")</f>
        <v/>
      </c>
      <c r="BN82" s="430" t="str">
        <f>IFERROR(VLOOKUP(Envoltória!$G90,$BQ$35:$BZ$43,BN$9,FALSE),"")</f>
        <v/>
      </c>
      <c r="BO82" s="430" t="str">
        <f>IFERROR(VLOOKUP(Envoltória!$G90,$BQ$35:$BZ$43,BO$9,FALSE),"")</f>
        <v/>
      </c>
      <c r="BP82" s="2"/>
    </row>
    <row r="83" spans="1:68" s="13" customFormat="1" x14ac:dyDescent="0.25">
      <c r="A83" s="2">
        <v>73</v>
      </c>
      <c r="B83" s="410">
        <f>Envoltória!I91</f>
        <v>0</v>
      </c>
      <c r="C83" s="410">
        <f>Envoltória!B91</f>
        <v>0</v>
      </c>
      <c r="D83" s="410">
        <f>Envoltória!C91</f>
        <v>0</v>
      </c>
      <c r="E83" s="410">
        <f>Envoltória!D91</f>
        <v>0</v>
      </c>
      <c r="F83" s="430" t="str">
        <f>IF(B83=0,"",Envoltória!E91)</f>
        <v/>
      </c>
      <c r="G83" s="430" t="str">
        <f t="shared" si="5"/>
        <v/>
      </c>
      <c r="H83" s="430" t="str">
        <f>IF(B83=0,"",Envoltória!O91/100)</f>
        <v/>
      </c>
      <c r="I83" s="430" t="str">
        <f>IF(B83=0,"",IF(BF83=1,VLOOKUP(Envoltória!N91,Componentes!AV:AY,2,FALSE),89))</f>
        <v/>
      </c>
      <c r="J83" s="416" t="str">
        <f>IF(B83=0,"",IFERROR(VLOOKUP(Envoltória!M91,Componentes!$P:$R,2,FALSE),""))</f>
        <v/>
      </c>
      <c r="K83" s="416" t="str">
        <f>IF(B83=0,"",IFERROR(VLOOKUP(Envoltória!M91,Componentes!$P:$R,3,FALSE),""))</f>
        <v/>
      </c>
      <c r="L83" s="431" t="str">
        <f>IF(B83=0,"",IFERROR(IF(BB83&lt;&gt;0,VLOOKUP(Envoltória!L91,Componentes!K:N,2,FALSE),0),""))</f>
        <v/>
      </c>
      <c r="M83" s="431" t="str">
        <f>IF(B83=0,"",IFERROR(IF(BB83&lt;&gt;0,VLOOKUP(Envoltória!L91,Componentes!K:N,3,FALSE),0),""))</f>
        <v/>
      </c>
      <c r="N83" s="431" t="str">
        <f>IF(B83=0,"",IFERROR(IF(BB83&lt;&gt;0,VLOOKUP(Envoltória!L91,Componentes!K:N,4,FALSE),0),""))</f>
        <v/>
      </c>
      <c r="O83" s="430" t="str">
        <f>IF(B83=0,"",IF(BF83=1,VLOOKUP(Envoltória!J91,Componentes!B:E,2,FALSE),-6))</f>
        <v/>
      </c>
      <c r="P83" s="430" t="str">
        <f>IF(B83=0,"",IF(BF83=1,VLOOKUP(Envoltória!J91,Componentes!B:E,3,FALSE),-400))</f>
        <v/>
      </c>
      <c r="Q83" s="430" t="str">
        <f>IF(B83=0,"",IF(BF83=1,VLOOKUP(Envoltória!J91,Componentes!B:E,4,FALSE),0))</f>
        <v/>
      </c>
      <c r="R83" s="416" t="str">
        <f>IF(B83=0,"",IFERROR(VLOOKUP(Envoltória!K91,Componentes!G:I,2,FALSE),""))</f>
        <v/>
      </c>
      <c r="S83" s="416" t="str">
        <f>IF(B83=0,"",IFERROR(VLOOKUP(Envoltória!K91,Componentes!G:I,3,FALSE),""))</f>
        <v/>
      </c>
      <c r="T83" s="430" t="str">
        <f>IF(B83=0,"",IFERROR(IF(H83&lt;&gt;0,VLOOKUP(Envoltória!N91,Componentes!T:V,3,FALSE),0),""))</f>
        <v/>
      </c>
      <c r="U83" s="430" t="str">
        <f>IF(B83=0,"",IFERROR(IF(H83&lt;&gt;0,VLOOKUP(Envoltória!N91,Componentes!T:V,2,FALSE),0),""))</f>
        <v/>
      </c>
      <c r="V83" s="416" t="str">
        <f>IF(B83=0,"",IFERROR(IF(AA83&lt;&gt;0,VLOOKUP(Envoltória!U91,Componentes!X:Z,2,FALSE),0),0))</f>
        <v/>
      </c>
      <c r="W83" s="416" t="str">
        <f>IF(B83=0,"",IFERROR(IF(AA83&lt;&gt;0,VLOOKUP(Envoltória!U91,Componentes!X:Z,3,FALSE),0),0))</f>
        <v/>
      </c>
      <c r="X83" s="430" t="str">
        <f>IF(B83=0,"",Envoltória!U91)</f>
        <v/>
      </c>
      <c r="Y83" s="430" t="str">
        <f>IF(B83=0,"",Envoltória!S91)</f>
        <v/>
      </c>
      <c r="Z83" s="430" t="str">
        <f>IF(B83=0,"",Envoltória!T91)</f>
        <v/>
      </c>
      <c r="AA83" s="416" t="str">
        <f>IF(B83=0,"",Envoltória!Q91/100)</f>
        <v/>
      </c>
      <c r="AB83" s="434" t="str">
        <f>IF($B83=0,"",VLOOKUP(Aux_Lista!$DR$2,Aux_Clima!$A:$O,AB$8,FALSE))</f>
        <v/>
      </c>
      <c r="AC83" s="434" t="str">
        <f>IF($B83=0,"",VLOOKUP(Aux_Lista!$DR$2,Aux_Clima!$A:$O,AC$8,FALSE))</f>
        <v/>
      </c>
      <c r="AD83" s="434" t="str">
        <f>IF($B83=0,"",ROUND(VLOOKUP(Aux_Lista!$DR$2,Aux_Clima!$A:$O,AD$8,FALSE),8))</f>
        <v/>
      </c>
      <c r="AE83" s="434" t="str">
        <f>IF($B83=0,"",ROUND(VLOOKUP(Aux_Lista!$DR$2,Aux_Clima!$A:$O,AE$8,FALSE),8))</f>
        <v/>
      </c>
      <c r="AF83" s="434" t="str">
        <f>IF($B83=0,"",ROUND(VLOOKUP(Aux_Lista!$DR$2,Aux_Clima!$A:$O,AF$8,FALSE),8))</f>
        <v/>
      </c>
      <c r="AG83" s="434" t="str">
        <f>IF($B83=0,"",ROUND(VLOOKUP(Aux_Lista!$DR$2,Aux_Clima!$A:$O,AG$8,FALSE),8))</f>
        <v/>
      </c>
      <c r="AH83" s="434" t="str">
        <f>IF($B83=0,"",ROUND(VLOOKUP(Aux_Lista!$DR$2,Aux_Clima!$A:$O,AH$8,FALSE),8))</f>
        <v/>
      </c>
      <c r="AI83" s="434" t="str">
        <f>IF($B83=0,"",ROUND(VLOOKUP(Aux_Lista!$DR$2,Aux_Clima!$A:$O,AI$8,FALSE),8))</f>
        <v/>
      </c>
      <c r="AJ83" s="434" t="str">
        <f>IF($B83=0,"",ROUND(VLOOKUP(Aux_Lista!$DR$2,Aux_Clima!$A:$O,AJ$8,FALSE),3))</f>
        <v/>
      </c>
      <c r="AK83" s="434" t="str">
        <f>IF($B83=0,"",ROUND(VLOOKUP(Aux_Lista!$DR$2,Aux_Clima!$A:$O,AK$8,FALSE),3))</f>
        <v/>
      </c>
      <c r="AL83" s="434" t="str">
        <f>IF($B83=0,"",ROUND(VLOOKUP(Aux_Lista!$DR$2,Aux_Clima!$A:$O,AL$8,FALSE),3))</f>
        <v/>
      </c>
      <c r="AM83" s="434" t="str">
        <f>IF($B83=0,"",ROUND(VLOOKUP(Aux_Lista!$DR$2,Aux_Clima!$A:$O,AM$8,FALSE),8))</f>
        <v/>
      </c>
      <c r="AN83" s="434" t="str">
        <f>IF($B83=0,"",ROUND(VLOOKUP(Aux_Lista!$DR$2,Aux_Clima!$A:$O,AN$8,FALSE),8))</f>
        <v/>
      </c>
      <c r="AO83" s="434" t="str">
        <f>IF($B83=0,"",ROUND(VLOOKUP(Aux_Lista!$DR$2,Aux_Clima!$A:$O,AO$8,FALSE),8))</f>
        <v/>
      </c>
      <c r="AP83" s="430" t="str">
        <f>IF(B83=0,"",IF(BF83=0,84,VLOOKUP(Envoltória!N91,Componentes!AV:AY,4,FALSE)))</f>
        <v/>
      </c>
      <c r="AQ83" s="430" t="str">
        <f>IF(B83=0,"",IF(BF83=0,90,VLOOKUP(Envoltória!N91,Componentes!AV:AY,3,FALSE)))</f>
        <v/>
      </c>
      <c r="AR83" s="430" t="str">
        <f t="shared" si="6"/>
        <v/>
      </c>
      <c r="AS83" s="430" t="str">
        <f t="shared" si="6"/>
        <v/>
      </c>
      <c r="AT83" s="430" t="str">
        <f t="shared" si="6"/>
        <v/>
      </c>
      <c r="AU83" s="430" t="str">
        <f t="shared" si="6"/>
        <v/>
      </c>
      <c r="AV83" s="430" t="str">
        <f t="shared" si="6"/>
        <v/>
      </c>
      <c r="AW83" s="416" t="str">
        <f>IF($B83=0,"",IFERROR(VLOOKUP(Envoltória!$B91,Aux_Lista!$O:$U,AW$9,FALSE),0))</f>
        <v/>
      </c>
      <c r="AX83" s="416" t="str">
        <f>IF($B83=0,"",IFERROR(VLOOKUP(Envoltória!$B91,Aux_Lista!$O:$U,AX$9,FALSE),0))</f>
        <v/>
      </c>
      <c r="AY83" s="416" t="str">
        <f>IF($B83=0,"",IFERROR(VLOOKUP(Envoltória!$B91,Aux_Lista!$O:$U,AY$9,FALSE),0))</f>
        <v/>
      </c>
      <c r="AZ83" s="416" t="str">
        <f>IF($B83=0,"",IFERROR(VLOOKUP(Envoltória!$B91,Aux_Lista!$O:$U,AZ$9,FALSE),0))</f>
        <v/>
      </c>
      <c r="BA83" s="416" t="str">
        <f>IF($B83=0,"",IFERROR(VLOOKUP(Envoltória!$B91,Aux_Lista!$O:$U,BA$9,FALSE),0))</f>
        <v/>
      </c>
      <c r="BB83" s="416" t="str">
        <f>IF($B83=0,"",IFERROR(VLOOKUP(Envoltória!$B91,Aux_Lista!$O:$U,BB$9,FALSE),0))</f>
        <v/>
      </c>
      <c r="BC83" s="416" t="str">
        <f>IFERROR(VLOOKUP(Envoltória!$H91,Aux_Lista!$W$2:$Y$3,BC$9,FALSE),"")</f>
        <v/>
      </c>
      <c r="BD83" s="416" t="str">
        <f>IFERROR(VLOOKUP(Envoltória!$H91,Aux_Lista!$W$2:$Y$3,BD$9,FALSE),"")</f>
        <v/>
      </c>
      <c r="BE83" s="430" t="str">
        <f t="shared" si="7"/>
        <v/>
      </c>
      <c r="BF83" s="430" t="str">
        <f>IF(B83=0,"",IF(Envoltória!F91="Perimetral",1,0))</f>
        <v/>
      </c>
      <c r="BG83" s="430" t="str">
        <f>IFERROR(VLOOKUP(Envoltória!$G91,$BQ$35:$BZ$43,BG$9,FALSE),"")</f>
        <v/>
      </c>
      <c r="BH83" s="430" t="str">
        <f>IFERROR(VLOOKUP(Envoltória!$G91,$BQ$35:$BZ$43,BH$9,FALSE),"")</f>
        <v/>
      </c>
      <c r="BI83" s="430" t="str">
        <f>IFERROR(VLOOKUP(Envoltória!$G91,$BQ$35:$BZ$43,BI$9,FALSE),"")</f>
        <v/>
      </c>
      <c r="BJ83" s="430" t="str">
        <f>IFERROR(VLOOKUP(Envoltória!$G91,$BQ$35:$BZ$43,BJ$9,FALSE),"")</f>
        <v/>
      </c>
      <c r="BK83" s="430" t="str">
        <f>IFERROR(VLOOKUP(Envoltória!$G91,$BQ$35:$BZ$43,BK$9,FALSE),"")</f>
        <v/>
      </c>
      <c r="BL83" s="430" t="str">
        <f>IFERROR(VLOOKUP(Envoltória!$G91,$BQ$35:$BZ$43,BL$9,FALSE),"")</f>
        <v/>
      </c>
      <c r="BM83" s="430" t="str">
        <f>IFERROR(VLOOKUP(Envoltória!$G91,$BQ$35:$BZ$43,BM$9,FALSE),"")</f>
        <v/>
      </c>
      <c r="BN83" s="430" t="str">
        <f>IFERROR(VLOOKUP(Envoltória!$G91,$BQ$35:$BZ$43,BN$9,FALSE),"")</f>
        <v/>
      </c>
      <c r="BO83" s="430" t="str">
        <f>IFERROR(VLOOKUP(Envoltória!$G91,$BQ$35:$BZ$43,BO$9,FALSE),"")</f>
        <v/>
      </c>
      <c r="BP83" s="2"/>
    </row>
    <row r="84" spans="1:68" s="13" customFormat="1" x14ac:dyDescent="0.25">
      <c r="A84" s="2">
        <v>74</v>
      </c>
      <c r="B84" s="410">
        <f>Envoltória!I92</f>
        <v>0</v>
      </c>
      <c r="C84" s="410">
        <f>Envoltória!B92</f>
        <v>0</v>
      </c>
      <c r="D84" s="410">
        <f>Envoltória!C92</f>
        <v>0</v>
      </c>
      <c r="E84" s="410">
        <f>Envoltória!D92</f>
        <v>0</v>
      </c>
      <c r="F84" s="430" t="str">
        <f>IF(B84=0,"",Envoltória!E92)</f>
        <v/>
      </c>
      <c r="G84" s="430" t="str">
        <f t="shared" si="5"/>
        <v/>
      </c>
      <c r="H84" s="430" t="str">
        <f>IF(B84=0,"",Envoltória!O92/100)</f>
        <v/>
      </c>
      <c r="I84" s="430" t="str">
        <f>IF(B84=0,"",IF(BF84=1,VLOOKUP(Envoltória!N92,Componentes!AV:AY,2,FALSE),89))</f>
        <v/>
      </c>
      <c r="J84" s="416" t="str">
        <f>IF(B84=0,"",IFERROR(VLOOKUP(Envoltória!M92,Componentes!$P:$R,2,FALSE),""))</f>
        <v/>
      </c>
      <c r="K84" s="416" t="str">
        <f>IF(B84=0,"",IFERROR(VLOOKUP(Envoltória!M92,Componentes!$P:$R,3,FALSE),""))</f>
        <v/>
      </c>
      <c r="L84" s="431" t="str">
        <f>IF(B84=0,"",IFERROR(IF(BB84&lt;&gt;0,VLOOKUP(Envoltória!L92,Componentes!K:N,2,FALSE),0),""))</f>
        <v/>
      </c>
      <c r="M84" s="431" t="str">
        <f>IF(B84=0,"",IFERROR(IF(BB84&lt;&gt;0,VLOOKUP(Envoltória!L92,Componentes!K:N,3,FALSE),0),""))</f>
        <v/>
      </c>
      <c r="N84" s="431" t="str">
        <f>IF(B84=0,"",IFERROR(IF(BB84&lt;&gt;0,VLOOKUP(Envoltória!L92,Componentes!K:N,4,FALSE),0),""))</f>
        <v/>
      </c>
      <c r="O84" s="430" t="str">
        <f>IF(B84=0,"",IF(BF84=1,VLOOKUP(Envoltória!J92,Componentes!B:E,2,FALSE),-6))</f>
        <v/>
      </c>
      <c r="P84" s="430" t="str">
        <f>IF(B84=0,"",IF(BF84=1,VLOOKUP(Envoltória!J92,Componentes!B:E,3,FALSE),-400))</f>
        <v/>
      </c>
      <c r="Q84" s="430" t="str">
        <f>IF(B84=0,"",IF(BF84=1,VLOOKUP(Envoltória!J92,Componentes!B:E,4,FALSE),0))</f>
        <v/>
      </c>
      <c r="R84" s="416" t="str">
        <f>IF(B84=0,"",IFERROR(VLOOKUP(Envoltória!K92,Componentes!G:I,2,FALSE),""))</f>
        <v/>
      </c>
      <c r="S84" s="416" t="str">
        <f>IF(B84=0,"",IFERROR(VLOOKUP(Envoltória!K92,Componentes!G:I,3,FALSE),""))</f>
        <v/>
      </c>
      <c r="T84" s="430" t="str">
        <f>IF(B84=0,"",IFERROR(IF(H84&lt;&gt;0,VLOOKUP(Envoltória!N92,Componentes!T:V,3,FALSE),0),""))</f>
        <v/>
      </c>
      <c r="U84" s="430" t="str">
        <f>IF(B84=0,"",IFERROR(IF(H84&lt;&gt;0,VLOOKUP(Envoltória!N92,Componentes!T:V,2,FALSE),0),""))</f>
        <v/>
      </c>
      <c r="V84" s="416" t="str">
        <f>IF(B84=0,"",IFERROR(IF(AA84&lt;&gt;0,VLOOKUP(Envoltória!U92,Componentes!X:Z,2,FALSE),0),0))</f>
        <v/>
      </c>
      <c r="W84" s="416" t="str">
        <f>IF(B84=0,"",IFERROR(IF(AA84&lt;&gt;0,VLOOKUP(Envoltória!U92,Componentes!X:Z,3,FALSE),0),0))</f>
        <v/>
      </c>
      <c r="X84" s="430" t="str">
        <f>IF(B84=0,"",Envoltória!U92)</f>
        <v/>
      </c>
      <c r="Y84" s="430" t="str">
        <f>IF(B84=0,"",Envoltória!S92)</f>
        <v/>
      </c>
      <c r="Z84" s="430" t="str">
        <f>IF(B84=0,"",Envoltória!T92)</f>
        <v/>
      </c>
      <c r="AA84" s="416" t="str">
        <f>IF(B84=0,"",Envoltória!Q92/100)</f>
        <v/>
      </c>
      <c r="AB84" s="434" t="str">
        <f>IF($B84=0,"",VLOOKUP(Aux_Lista!$DR$2,Aux_Clima!$A:$O,AB$8,FALSE))</f>
        <v/>
      </c>
      <c r="AC84" s="434" t="str">
        <f>IF($B84=0,"",VLOOKUP(Aux_Lista!$DR$2,Aux_Clima!$A:$O,AC$8,FALSE))</f>
        <v/>
      </c>
      <c r="AD84" s="434" t="str">
        <f>IF($B84=0,"",ROUND(VLOOKUP(Aux_Lista!$DR$2,Aux_Clima!$A:$O,AD$8,FALSE),8))</f>
        <v/>
      </c>
      <c r="AE84" s="434" t="str">
        <f>IF($B84=0,"",ROUND(VLOOKUP(Aux_Lista!$DR$2,Aux_Clima!$A:$O,AE$8,FALSE),8))</f>
        <v/>
      </c>
      <c r="AF84" s="434" t="str">
        <f>IF($B84=0,"",ROUND(VLOOKUP(Aux_Lista!$DR$2,Aux_Clima!$A:$O,AF$8,FALSE),8))</f>
        <v/>
      </c>
      <c r="AG84" s="434" t="str">
        <f>IF($B84=0,"",ROUND(VLOOKUP(Aux_Lista!$DR$2,Aux_Clima!$A:$O,AG$8,FALSE),8))</f>
        <v/>
      </c>
      <c r="AH84" s="434" t="str">
        <f>IF($B84=0,"",ROUND(VLOOKUP(Aux_Lista!$DR$2,Aux_Clima!$A:$O,AH$8,FALSE),8))</f>
        <v/>
      </c>
      <c r="AI84" s="434" t="str">
        <f>IF($B84=0,"",ROUND(VLOOKUP(Aux_Lista!$DR$2,Aux_Clima!$A:$O,AI$8,FALSE),8))</f>
        <v/>
      </c>
      <c r="AJ84" s="434" t="str">
        <f>IF($B84=0,"",ROUND(VLOOKUP(Aux_Lista!$DR$2,Aux_Clima!$A:$O,AJ$8,FALSE),3))</f>
        <v/>
      </c>
      <c r="AK84" s="434" t="str">
        <f>IF($B84=0,"",ROUND(VLOOKUP(Aux_Lista!$DR$2,Aux_Clima!$A:$O,AK$8,FALSE),3))</f>
        <v/>
      </c>
      <c r="AL84" s="434" t="str">
        <f>IF($B84=0,"",ROUND(VLOOKUP(Aux_Lista!$DR$2,Aux_Clima!$A:$O,AL$8,FALSE),3))</f>
        <v/>
      </c>
      <c r="AM84" s="434" t="str">
        <f>IF($B84=0,"",ROUND(VLOOKUP(Aux_Lista!$DR$2,Aux_Clima!$A:$O,AM$8,FALSE),8))</f>
        <v/>
      </c>
      <c r="AN84" s="434" t="str">
        <f>IF($B84=0,"",ROUND(VLOOKUP(Aux_Lista!$DR$2,Aux_Clima!$A:$O,AN$8,FALSE),8))</f>
        <v/>
      </c>
      <c r="AO84" s="434" t="str">
        <f>IF($B84=0,"",ROUND(VLOOKUP(Aux_Lista!$DR$2,Aux_Clima!$A:$O,AO$8,FALSE),8))</f>
        <v/>
      </c>
      <c r="AP84" s="430" t="str">
        <f>IF(B84=0,"",IF(BF84=0,84,VLOOKUP(Envoltória!N92,Componentes!AV:AY,4,FALSE)))</f>
        <v/>
      </c>
      <c r="AQ84" s="430" t="str">
        <f>IF(B84=0,"",IF(BF84=0,90,VLOOKUP(Envoltória!N92,Componentes!AV:AY,3,FALSE)))</f>
        <v/>
      </c>
      <c r="AR84" s="430" t="str">
        <f t="shared" si="6"/>
        <v/>
      </c>
      <c r="AS84" s="430" t="str">
        <f t="shared" si="6"/>
        <v/>
      </c>
      <c r="AT84" s="430" t="str">
        <f t="shared" si="6"/>
        <v/>
      </c>
      <c r="AU84" s="430" t="str">
        <f t="shared" si="6"/>
        <v/>
      </c>
      <c r="AV84" s="430" t="str">
        <f t="shared" si="6"/>
        <v/>
      </c>
      <c r="AW84" s="416" t="str">
        <f>IF($B84=0,"",IFERROR(VLOOKUP(Envoltória!$B92,Aux_Lista!$O:$U,AW$9,FALSE),0))</f>
        <v/>
      </c>
      <c r="AX84" s="416" t="str">
        <f>IF($B84=0,"",IFERROR(VLOOKUP(Envoltória!$B92,Aux_Lista!$O:$U,AX$9,FALSE),0))</f>
        <v/>
      </c>
      <c r="AY84" s="416" t="str">
        <f>IF($B84=0,"",IFERROR(VLOOKUP(Envoltória!$B92,Aux_Lista!$O:$U,AY$9,FALSE),0))</f>
        <v/>
      </c>
      <c r="AZ84" s="416" t="str">
        <f>IF($B84=0,"",IFERROR(VLOOKUP(Envoltória!$B92,Aux_Lista!$O:$U,AZ$9,FALSE),0))</f>
        <v/>
      </c>
      <c r="BA84" s="416" t="str">
        <f>IF($B84=0,"",IFERROR(VLOOKUP(Envoltória!$B92,Aux_Lista!$O:$U,BA$9,FALSE),0))</f>
        <v/>
      </c>
      <c r="BB84" s="416" t="str">
        <f>IF($B84=0,"",IFERROR(VLOOKUP(Envoltória!$B92,Aux_Lista!$O:$U,BB$9,FALSE),0))</f>
        <v/>
      </c>
      <c r="BC84" s="416" t="str">
        <f>IFERROR(VLOOKUP(Envoltória!$H92,Aux_Lista!$W$2:$Y$3,BC$9,FALSE),"")</f>
        <v/>
      </c>
      <c r="BD84" s="416" t="str">
        <f>IFERROR(VLOOKUP(Envoltória!$H92,Aux_Lista!$W$2:$Y$3,BD$9,FALSE),"")</f>
        <v/>
      </c>
      <c r="BE84" s="430" t="str">
        <f t="shared" si="7"/>
        <v/>
      </c>
      <c r="BF84" s="430" t="str">
        <f>IF(B84=0,"",IF(Envoltória!F92="Perimetral",1,0))</f>
        <v/>
      </c>
      <c r="BG84" s="430" t="str">
        <f>IFERROR(VLOOKUP(Envoltória!$G92,$BQ$35:$BZ$43,BG$9,FALSE),"")</f>
        <v/>
      </c>
      <c r="BH84" s="430" t="str">
        <f>IFERROR(VLOOKUP(Envoltória!$G92,$BQ$35:$BZ$43,BH$9,FALSE),"")</f>
        <v/>
      </c>
      <c r="BI84" s="430" t="str">
        <f>IFERROR(VLOOKUP(Envoltória!$G92,$BQ$35:$BZ$43,BI$9,FALSE),"")</f>
        <v/>
      </c>
      <c r="BJ84" s="430" t="str">
        <f>IFERROR(VLOOKUP(Envoltória!$G92,$BQ$35:$BZ$43,BJ$9,FALSE),"")</f>
        <v/>
      </c>
      <c r="BK84" s="430" t="str">
        <f>IFERROR(VLOOKUP(Envoltória!$G92,$BQ$35:$BZ$43,BK$9,FALSE),"")</f>
        <v/>
      </c>
      <c r="BL84" s="430" t="str">
        <f>IFERROR(VLOOKUP(Envoltória!$G92,$BQ$35:$BZ$43,BL$9,FALSE),"")</f>
        <v/>
      </c>
      <c r="BM84" s="430" t="str">
        <f>IFERROR(VLOOKUP(Envoltória!$G92,$BQ$35:$BZ$43,BM$9,FALSE),"")</f>
        <v/>
      </c>
      <c r="BN84" s="430" t="str">
        <f>IFERROR(VLOOKUP(Envoltória!$G92,$BQ$35:$BZ$43,BN$9,FALSE),"")</f>
        <v/>
      </c>
      <c r="BO84" s="430" t="str">
        <f>IFERROR(VLOOKUP(Envoltória!$G92,$BQ$35:$BZ$43,BO$9,FALSE),"")</f>
        <v/>
      </c>
      <c r="BP84" s="2"/>
    </row>
    <row r="85" spans="1:68" s="13" customFormat="1" x14ac:dyDescent="0.25">
      <c r="A85" s="2">
        <v>75</v>
      </c>
      <c r="B85" s="410">
        <f>Envoltória!I93</f>
        <v>0</v>
      </c>
      <c r="C85" s="410">
        <f>Envoltória!B93</f>
        <v>0</v>
      </c>
      <c r="D85" s="410">
        <f>Envoltória!C93</f>
        <v>0</v>
      </c>
      <c r="E85" s="410">
        <f>Envoltória!D93</f>
        <v>0</v>
      </c>
      <c r="F85" s="430" t="str">
        <f>IF(B85=0,"",Envoltória!E93)</f>
        <v/>
      </c>
      <c r="G85" s="430" t="str">
        <f t="shared" si="5"/>
        <v/>
      </c>
      <c r="H85" s="430" t="str">
        <f>IF(B85=0,"",Envoltória!O93/100)</f>
        <v/>
      </c>
      <c r="I85" s="430" t="str">
        <f>IF(B85=0,"",IF(BF85=1,VLOOKUP(Envoltória!N93,Componentes!AV:AY,2,FALSE),89))</f>
        <v/>
      </c>
      <c r="J85" s="416" t="str">
        <f>IF(B85=0,"",IFERROR(VLOOKUP(Envoltória!M93,Componentes!$P:$R,2,FALSE),""))</f>
        <v/>
      </c>
      <c r="K85" s="416" t="str">
        <f>IF(B85=0,"",IFERROR(VLOOKUP(Envoltória!M93,Componentes!$P:$R,3,FALSE),""))</f>
        <v/>
      </c>
      <c r="L85" s="431" t="str">
        <f>IF(B85=0,"",IFERROR(IF(BB85&lt;&gt;0,VLOOKUP(Envoltória!L93,Componentes!K:N,2,FALSE),0),""))</f>
        <v/>
      </c>
      <c r="M85" s="431" t="str">
        <f>IF(B85=0,"",IFERROR(IF(BB85&lt;&gt;0,VLOOKUP(Envoltória!L93,Componentes!K:N,3,FALSE),0),""))</f>
        <v/>
      </c>
      <c r="N85" s="431" t="str">
        <f>IF(B85=0,"",IFERROR(IF(BB85&lt;&gt;0,VLOOKUP(Envoltória!L93,Componentes!K:N,4,FALSE),0),""))</f>
        <v/>
      </c>
      <c r="O85" s="430" t="str">
        <f>IF(B85=0,"",IF(BF85=1,VLOOKUP(Envoltória!J93,Componentes!B:E,2,FALSE),-6))</f>
        <v/>
      </c>
      <c r="P85" s="430" t="str">
        <f>IF(B85=0,"",IF(BF85=1,VLOOKUP(Envoltória!J93,Componentes!B:E,3,FALSE),-400))</f>
        <v/>
      </c>
      <c r="Q85" s="430" t="str">
        <f>IF(B85=0,"",IF(BF85=1,VLOOKUP(Envoltória!J93,Componentes!B:E,4,FALSE),0))</f>
        <v/>
      </c>
      <c r="R85" s="416" t="str">
        <f>IF(B85=0,"",IFERROR(VLOOKUP(Envoltória!K93,Componentes!G:I,2,FALSE),""))</f>
        <v/>
      </c>
      <c r="S85" s="416" t="str">
        <f>IF(B85=0,"",IFERROR(VLOOKUP(Envoltória!K93,Componentes!G:I,3,FALSE),""))</f>
        <v/>
      </c>
      <c r="T85" s="430" t="str">
        <f>IF(B85=0,"",IFERROR(IF(H85&lt;&gt;0,VLOOKUP(Envoltória!N93,Componentes!T:V,3,FALSE),0),""))</f>
        <v/>
      </c>
      <c r="U85" s="430" t="str">
        <f>IF(B85=0,"",IFERROR(IF(H85&lt;&gt;0,VLOOKUP(Envoltória!N93,Componentes!T:V,2,FALSE),0),""))</f>
        <v/>
      </c>
      <c r="V85" s="416" t="str">
        <f>IF(B85=0,"",IFERROR(IF(AA85&lt;&gt;0,VLOOKUP(Envoltória!U93,Componentes!X:Z,2,FALSE),0),0))</f>
        <v/>
      </c>
      <c r="W85" s="416" t="str">
        <f>IF(B85=0,"",IFERROR(IF(AA85&lt;&gt;0,VLOOKUP(Envoltória!U93,Componentes!X:Z,3,FALSE),0),0))</f>
        <v/>
      </c>
      <c r="X85" s="430" t="str">
        <f>IF(B85=0,"",Envoltória!U93)</f>
        <v/>
      </c>
      <c r="Y85" s="430" t="str">
        <f>IF(B85=0,"",Envoltória!S93)</f>
        <v/>
      </c>
      <c r="Z85" s="430" t="str">
        <f>IF(B85=0,"",Envoltória!T93)</f>
        <v/>
      </c>
      <c r="AA85" s="416" t="str">
        <f>IF(B85=0,"",Envoltória!Q93/100)</f>
        <v/>
      </c>
      <c r="AB85" s="434" t="str">
        <f>IF($B85=0,"",VLOOKUP(Aux_Lista!$DR$2,Aux_Clima!$A:$O,AB$8,FALSE))</f>
        <v/>
      </c>
      <c r="AC85" s="434" t="str">
        <f>IF($B85=0,"",VLOOKUP(Aux_Lista!$DR$2,Aux_Clima!$A:$O,AC$8,FALSE))</f>
        <v/>
      </c>
      <c r="AD85" s="434" t="str">
        <f>IF($B85=0,"",ROUND(VLOOKUP(Aux_Lista!$DR$2,Aux_Clima!$A:$O,AD$8,FALSE),8))</f>
        <v/>
      </c>
      <c r="AE85" s="434" t="str">
        <f>IF($B85=0,"",ROUND(VLOOKUP(Aux_Lista!$DR$2,Aux_Clima!$A:$O,AE$8,FALSE),8))</f>
        <v/>
      </c>
      <c r="AF85" s="434" t="str">
        <f>IF($B85=0,"",ROUND(VLOOKUP(Aux_Lista!$DR$2,Aux_Clima!$A:$O,AF$8,FALSE),8))</f>
        <v/>
      </c>
      <c r="AG85" s="434" t="str">
        <f>IF($B85=0,"",ROUND(VLOOKUP(Aux_Lista!$DR$2,Aux_Clima!$A:$O,AG$8,FALSE),8))</f>
        <v/>
      </c>
      <c r="AH85" s="434" t="str">
        <f>IF($B85=0,"",ROUND(VLOOKUP(Aux_Lista!$DR$2,Aux_Clima!$A:$O,AH$8,FALSE),8))</f>
        <v/>
      </c>
      <c r="AI85" s="434" t="str">
        <f>IF($B85=0,"",ROUND(VLOOKUP(Aux_Lista!$DR$2,Aux_Clima!$A:$O,AI$8,FALSE),8))</f>
        <v/>
      </c>
      <c r="AJ85" s="434" t="str">
        <f>IF($B85=0,"",ROUND(VLOOKUP(Aux_Lista!$DR$2,Aux_Clima!$A:$O,AJ$8,FALSE),3))</f>
        <v/>
      </c>
      <c r="AK85" s="434" t="str">
        <f>IF($B85=0,"",ROUND(VLOOKUP(Aux_Lista!$DR$2,Aux_Clima!$A:$O,AK$8,FALSE),3))</f>
        <v/>
      </c>
      <c r="AL85" s="434" t="str">
        <f>IF($B85=0,"",ROUND(VLOOKUP(Aux_Lista!$DR$2,Aux_Clima!$A:$O,AL$8,FALSE),3))</f>
        <v/>
      </c>
      <c r="AM85" s="434" t="str">
        <f>IF($B85=0,"",ROUND(VLOOKUP(Aux_Lista!$DR$2,Aux_Clima!$A:$O,AM$8,FALSE),8))</f>
        <v/>
      </c>
      <c r="AN85" s="434" t="str">
        <f>IF($B85=0,"",ROUND(VLOOKUP(Aux_Lista!$DR$2,Aux_Clima!$A:$O,AN$8,FALSE),8))</f>
        <v/>
      </c>
      <c r="AO85" s="434" t="str">
        <f>IF($B85=0,"",ROUND(VLOOKUP(Aux_Lista!$DR$2,Aux_Clima!$A:$O,AO$8,FALSE),8))</f>
        <v/>
      </c>
      <c r="AP85" s="430" t="str">
        <f>IF(B85=0,"",IF(BF85=0,84,VLOOKUP(Envoltória!N93,Componentes!AV:AY,4,FALSE)))</f>
        <v/>
      </c>
      <c r="AQ85" s="430" t="str">
        <f>IF(B85=0,"",IF(BF85=0,90,VLOOKUP(Envoltória!N93,Componentes!AV:AY,3,FALSE)))</f>
        <v/>
      </c>
      <c r="AR85" s="430" t="str">
        <f t="shared" si="6"/>
        <v/>
      </c>
      <c r="AS85" s="430" t="str">
        <f t="shared" si="6"/>
        <v/>
      </c>
      <c r="AT85" s="430" t="str">
        <f t="shared" si="6"/>
        <v/>
      </c>
      <c r="AU85" s="430" t="str">
        <f t="shared" si="6"/>
        <v/>
      </c>
      <c r="AV85" s="430" t="str">
        <f t="shared" si="6"/>
        <v/>
      </c>
      <c r="AW85" s="416" t="str">
        <f>IF($B85=0,"",IFERROR(VLOOKUP(Envoltória!$B93,Aux_Lista!$O:$U,AW$9,FALSE),0))</f>
        <v/>
      </c>
      <c r="AX85" s="416" t="str">
        <f>IF($B85=0,"",IFERROR(VLOOKUP(Envoltória!$B93,Aux_Lista!$O:$U,AX$9,FALSE),0))</f>
        <v/>
      </c>
      <c r="AY85" s="416" t="str">
        <f>IF($B85=0,"",IFERROR(VLOOKUP(Envoltória!$B93,Aux_Lista!$O:$U,AY$9,FALSE),0))</f>
        <v/>
      </c>
      <c r="AZ85" s="416" t="str">
        <f>IF($B85=0,"",IFERROR(VLOOKUP(Envoltória!$B93,Aux_Lista!$O:$U,AZ$9,FALSE),0))</f>
        <v/>
      </c>
      <c r="BA85" s="416" t="str">
        <f>IF($B85=0,"",IFERROR(VLOOKUP(Envoltória!$B93,Aux_Lista!$O:$U,BA$9,FALSE),0))</f>
        <v/>
      </c>
      <c r="BB85" s="416" t="str">
        <f>IF($B85=0,"",IFERROR(VLOOKUP(Envoltória!$B93,Aux_Lista!$O:$U,BB$9,FALSE),0))</f>
        <v/>
      </c>
      <c r="BC85" s="416" t="str">
        <f>IFERROR(VLOOKUP(Envoltória!$H93,Aux_Lista!$W$2:$Y$3,BC$9,FALSE),"")</f>
        <v/>
      </c>
      <c r="BD85" s="416" t="str">
        <f>IFERROR(VLOOKUP(Envoltória!$H93,Aux_Lista!$W$2:$Y$3,BD$9,FALSE),"")</f>
        <v/>
      </c>
      <c r="BE85" s="430" t="str">
        <f t="shared" si="7"/>
        <v/>
      </c>
      <c r="BF85" s="430" t="str">
        <f>IF(B85=0,"",IF(Envoltória!F93="Perimetral",1,0))</f>
        <v/>
      </c>
      <c r="BG85" s="430" t="str">
        <f>IFERROR(VLOOKUP(Envoltória!$G93,$BQ$35:$BZ$43,BG$9,FALSE),"")</f>
        <v/>
      </c>
      <c r="BH85" s="430" t="str">
        <f>IFERROR(VLOOKUP(Envoltória!$G93,$BQ$35:$BZ$43,BH$9,FALSE),"")</f>
        <v/>
      </c>
      <c r="BI85" s="430" t="str">
        <f>IFERROR(VLOOKUP(Envoltória!$G93,$BQ$35:$BZ$43,BI$9,FALSE),"")</f>
        <v/>
      </c>
      <c r="BJ85" s="430" t="str">
        <f>IFERROR(VLOOKUP(Envoltória!$G93,$BQ$35:$BZ$43,BJ$9,FALSE),"")</f>
        <v/>
      </c>
      <c r="BK85" s="430" t="str">
        <f>IFERROR(VLOOKUP(Envoltória!$G93,$BQ$35:$BZ$43,BK$9,FALSE),"")</f>
        <v/>
      </c>
      <c r="BL85" s="430" t="str">
        <f>IFERROR(VLOOKUP(Envoltória!$G93,$BQ$35:$BZ$43,BL$9,FALSE),"")</f>
        <v/>
      </c>
      <c r="BM85" s="430" t="str">
        <f>IFERROR(VLOOKUP(Envoltória!$G93,$BQ$35:$BZ$43,BM$9,FALSE),"")</f>
        <v/>
      </c>
      <c r="BN85" s="430" t="str">
        <f>IFERROR(VLOOKUP(Envoltória!$G93,$BQ$35:$BZ$43,BN$9,FALSE),"")</f>
        <v/>
      </c>
      <c r="BO85" s="430" t="str">
        <f>IFERROR(VLOOKUP(Envoltória!$G93,$BQ$35:$BZ$43,BO$9,FALSE),"")</f>
        <v/>
      </c>
      <c r="BP85" s="2"/>
    </row>
    <row r="86" spans="1:68" s="13" customFormat="1" x14ac:dyDescent="0.25">
      <c r="A86" s="2">
        <v>76</v>
      </c>
      <c r="B86" s="410">
        <f>Envoltória!I94</f>
        <v>0</v>
      </c>
      <c r="C86" s="410">
        <f>Envoltória!B94</f>
        <v>0</v>
      </c>
      <c r="D86" s="410">
        <f>Envoltória!C94</f>
        <v>0</v>
      </c>
      <c r="E86" s="410">
        <f>Envoltória!D94</f>
        <v>0</v>
      </c>
      <c r="F86" s="430" t="str">
        <f>IF(B86=0,"",Envoltória!E94)</f>
        <v/>
      </c>
      <c r="G86" s="430" t="str">
        <f t="shared" si="5"/>
        <v/>
      </c>
      <c r="H86" s="430" t="str">
        <f>IF(B86=0,"",Envoltória!O94/100)</f>
        <v/>
      </c>
      <c r="I86" s="430" t="str">
        <f>IF(B86=0,"",IF(BF86=1,VLOOKUP(Envoltória!N94,Componentes!AV:AY,2,FALSE),89))</f>
        <v/>
      </c>
      <c r="J86" s="416" t="str">
        <f>IF(B86=0,"",IFERROR(VLOOKUP(Envoltória!M94,Componentes!$P:$R,2,FALSE),""))</f>
        <v/>
      </c>
      <c r="K86" s="416" t="str">
        <f>IF(B86=0,"",IFERROR(VLOOKUP(Envoltória!M94,Componentes!$P:$R,3,FALSE),""))</f>
        <v/>
      </c>
      <c r="L86" s="431" t="str">
        <f>IF(B86=0,"",IFERROR(IF(BB86&lt;&gt;0,VLOOKUP(Envoltória!L94,Componentes!K:N,2,FALSE),0),""))</f>
        <v/>
      </c>
      <c r="M86" s="431" t="str">
        <f>IF(B86=0,"",IFERROR(IF(BB86&lt;&gt;0,VLOOKUP(Envoltória!L94,Componentes!K:N,3,FALSE),0),""))</f>
        <v/>
      </c>
      <c r="N86" s="431" t="str">
        <f>IF(B86=0,"",IFERROR(IF(BB86&lt;&gt;0,VLOOKUP(Envoltória!L94,Componentes!K:N,4,FALSE),0),""))</f>
        <v/>
      </c>
      <c r="O86" s="430" t="str">
        <f>IF(B86=0,"",IF(BF86=1,VLOOKUP(Envoltória!J94,Componentes!B:E,2,FALSE),-6))</f>
        <v/>
      </c>
      <c r="P86" s="430" t="str">
        <f>IF(B86=0,"",IF(BF86=1,VLOOKUP(Envoltória!J94,Componentes!B:E,3,FALSE),-400))</f>
        <v/>
      </c>
      <c r="Q86" s="430" t="str">
        <f>IF(B86=0,"",IF(BF86=1,VLOOKUP(Envoltória!J94,Componentes!B:E,4,FALSE),0))</f>
        <v/>
      </c>
      <c r="R86" s="416" t="str">
        <f>IF(B86=0,"",IFERROR(VLOOKUP(Envoltória!K94,Componentes!G:I,2,FALSE),""))</f>
        <v/>
      </c>
      <c r="S86" s="416" t="str">
        <f>IF(B86=0,"",IFERROR(VLOOKUP(Envoltória!K94,Componentes!G:I,3,FALSE),""))</f>
        <v/>
      </c>
      <c r="T86" s="430" t="str">
        <f>IF(B86=0,"",IFERROR(IF(H86&lt;&gt;0,VLOOKUP(Envoltória!N94,Componentes!T:V,3,FALSE),0),""))</f>
        <v/>
      </c>
      <c r="U86" s="430" t="str">
        <f>IF(B86=0,"",IFERROR(IF(H86&lt;&gt;0,VLOOKUP(Envoltória!N94,Componentes!T:V,2,FALSE),0),""))</f>
        <v/>
      </c>
      <c r="V86" s="416" t="str">
        <f>IF(B86=0,"",IFERROR(IF(AA86&lt;&gt;0,VLOOKUP(Envoltória!U94,Componentes!X:Z,2,FALSE),0),0))</f>
        <v/>
      </c>
      <c r="W86" s="416" t="str">
        <f>IF(B86=0,"",IFERROR(IF(AA86&lt;&gt;0,VLOOKUP(Envoltória!U94,Componentes!X:Z,3,FALSE),0),0))</f>
        <v/>
      </c>
      <c r="X86" s="430" t="str">
        <f>IF(B86=0,"",Envoltória!U94)</f>
        <v/>
      </c>
      <c r="Y86" s="430" t="str">
        <f>IF(B86=0,"",Envoltória!S94)</f>
        <v/>
      </c>
      <c r="Z86" s="430" t="str">
        <f>IF(B86=0,"",Envoltória!T94)</f>
        <v/>
      </c>
      <c r="AA86" s="416" t="str">
        <f>IF(B86=0,"",Envoltória!Q94/100)</f>
        <v/>
      </c>
      <c r="AB86" s="434" t="str">
        <f>IF($B86=0,"",VLOOKUP(Aux_Lista!$DR$2,Aux_Clima!$A:$O,AB$8,FALSE))</f>
        <v/>
      </c>
      <c r="AC86" s="434" t="str">
        <f>IF($B86=0,"",VLOOKUP(Aux_Lista!$DR$2,Aux_Clima!$A:$O,AC$8,FALSE))</f>
        <v/>
      </c>
      <c r="AD86" s="434" t="str">
        <f>IF($B86=0,"",ROUND(VLOOKUP(Aux_Lista!$DR$2,Aux_Clima!$A:$O,AD$8,FALSE),8))</f>
        <v/>
      </c>
      <c r="AE86" s="434" t="str">
        <f>IF($B86=0,"",ROUND(VLOOKUP(Aux_Lista!$DR$2,Aux_Clima!$A:$O,AE$8,FALSE),8))</f>
        <v/>
      </c>
      <c r="AF86" s="434" t="str">
        <f>IF($B86=0,"",ROUND(VLOOKUP(Aux_Lista!$DR$2,Aux_Clima!$A:$O,AF$8,FALSE),8))</f>
        <v/>
      </c>
      <c r="AG86" s="434" t="str">
        <f>IF($B86=0,"",ROUND(VLOOKUP(Aux_Lista!$DR$2,Aux_Clima!$A:$O,AG$8,FALSE),8))</f>
        <v/>
      </c>
      <c r="AH86" s="434" t="str">
        <f>IF($B86=0,"",ROUND(VLOOKUP(Aux_Lista!$DR$2,Aux_Clima!$A:$O,AH$8,FALSE),8))</f>
        <v/>
      </c>
      <c r="AI86" s="434" t="str">
        <f>IF($B86=0,"",ROUND(VLOOKUP(Aux_Lista!$DR$2,Aux_Clima!$A:$O,AI$8,FALSE),8))</f>
        <v/>
      </c>
      <c r="AJ86" s="434" t="str">
        <f>IF($B86=0,"",ROUND(VLOOKUP(Aux_Lista!$DR$2,Aux_Clima!$A:$O,AJ$8,FALSE),3))</f>
        <v/>
      </c>
      <c r="AK86" s="434" t="str">
        <f>IF($B86=0,"",ROUND(VLOOKUP(Aux_Lista!$DR$2,Aux_Clima!$A:$O,AK$8,FALSE),3))</f>
        <v/>
      </c>
      <c r="AL86" s="434" t="str">
        <f>IF($B86=0,"",ROUND(VLOOKUP(Aux_Lista!$DR$2,Aux_Clima!$A:$O,AL$8,FALSE),3))</f>
        <v/>
      </c>
      <c r="AM86" s="434" t="str">
        <f>IF($B86=0,"",ROUND(VLOOKUP(Aux_Lista!$DR$2,Aux_Clima!$A:$O,AM$8,FALSE),8))</f>
        <v/>
      </c>
      <c r="AN86" s="434" t="str">
        <f>IF($B86=0,"",ROUND(VLOOKUP(Aux_Lista!$DR$2,Aux_Clima!$A:$O,AN$8,FALSE),8))</f>
        <v/>
      </c>
      <c r="AO86" s="434" t="str">
        <f>IF($B86=0,"",ROUND(VLOOKUP(Aux_Lista!$DR$2,Aux_Clima!$A:$O,AO$8,FALSE),8))</f>
        <v/>
      </c>
      <c r="AP86" s="430" t="str">
        <f>IF(B86=0,"",IF(BF86=0,84,VLOOKUP(Envoltória!N94,Componentes!AV:AY,4,FALSE)))</f>
        <v/>
      </c>
      <c r="AQ86" s="430" t="str">
        <f>IF(B86=0,"",IF(BF86=0,90,VLOOKUP(Envoltória!N94,Componentes!AV:AY,3,FALSE)))</f>
        <v/>
      </c>
      <c r="AR86" s="430" t="str">
        <f t="shared" si="6"/>
        <v/>
      </c>
      <c r="AS86" s="430" t="str">
        <f t="shared" si="6"/>
        <v/>
      </c>
      <c r="AT86" s="430" t="str">
        <f t="shared" si="6"/>
        <v/>
      </c>
      <c r="AU86" s="430" t="str">
        <f t="shared" si="6"/>
        <v/>
      </c>
      <c r="AV86" s="430" t="str">
        <f t="shared" si="6"/>
        <v/>
      </c>
      <c r="AW86" s="416" t="str">
        <f>IF($B86=0,"",IFERROR(VLOOKUP(Envoltória!$B94,Aux_Lista!$O:$U,AW$9,FALSE),0))</f>
        <v/>
      </c>
      <c r="AX86" s="416" t="str">
        <f>IF($B86=0,"",IFERROR(VLOOKUP(Envoltória!$B94,Aux_Lista!$O:$U,AX$9,FALSE),0))</f>
        <v/>
      </c>
      <c r="AY86" s="416" t="str">
        <f>IF($B86=0,"",IFERROR(VLOOKUP(Envoltória!$B94,Aux_Lista!$O:$U,AY$9,FALSE),0))</f>
        <v/>
      </c>
      <c r="AZ86" s="416" t="str">
        <f>IF($B86=0,"",IFERROR(VLOOKUP(Envoltória!$B94,Aux_Lista!$O:$U,AZ$9,FALSE),0))</f>
        <v/>
      </c>
      <c r="BA86" s="416" t="str">
        <f>IF($B86=0,"",IFERROR(VLOOKUP(Envoltória!$B94,Aux_Lista!$O:$U,BA$9,FALSE),0))</f>
        <v/>
      </c>
      <c r="BB86" s="416" t="str">
        <f>IF($B86=0,"",IFERROR(VLOOKUP(Envoltória!$B94,Aux_Lista!$O:$U,BB$9,FALSE),0))</f>
        <v/>
      </c>
      <c r="BC86" s="416" t="str">
        <f>IFERROR(VLOOKUP(Envoltória!$H94,Aux_Lista!$W$2:$Y$3,BC$9,FALSE),"")</f>
        <v/>
      </c>
      <c r="BD86" s="416" t="str">
        <f>IFERROR(VLOOKUP(Envoltória!$H94,Aux_Lista!$W$2:$Y$3,BD$9,FALSE),"")</f>
        <v/>
      </c>
      <c r="BE86" s="430" t="str">
        <f t="shared" si="7"/>
        <v/>
      </c>
      <c r="BF86" s="430" t="str">
        <f>IF(B86=0,"",IF(Envoltória!F94="Perimetral",1,0))</f>
        <v/>
      </c>
      <c r="BG86" s="430" t="str">
        <f>IFERROR(VLOOKUP(Envoltória!$G94,$BQ$35:$BZ$43,BG$9,FALSE),"")</f>
        <v/>
      </c>
      <c r="BH86" s="430" t="str">
        <f>IFERROR(VLOOKUP(Envoltória!$G94,$BQ$35:$BZ$43,BH$9,FALSE),"")</f>
        <v/>
      </c>
      <c r="BI86" s="430" t="str">
        <f>IFERROR(VLOOKUP(Envoltória!$G94,$BQ$35:$BZ$43,BI$9,FALSE),"")</f>
        <v/>
      </c>
      <c r="BJ86" s="430" t="str">
        <f>IFERROR(VLOOKUP(Envoltória!$G94,$BQ$35:$BZ$43,BJ$9,FALSE),"")</f>
        <v/>
      </c>
      <c r="BK86" s="430" t="str">
        <f>IFERROR(VLOOKUP(Envoltória!$G94,$BQ$35:$BZ$43,BK$9,FALSE),"")</f>
        <v/>
      </c>
      <c r="BL86" s="430" t="str">
        <f>IFERROR(VLOOKUP(Envoltória!$G94,$BQ$35:$BZ$43,BL$9,FALSE),"")</f>
        <v/>
      </c>
      <c r="BM86" s="430" t="str">
        <f>IFERROR(VLOOKUP(Envoltória!$G94,$BQ$35:$BZ$43,BM$9,FALSE),"")</f>
        <v/>
      </c>
      <c r="BN86" s="430" t="str">
        <f>IFERROR(VLOOKUP(Envoltória!$G94,$BQ$35:$BZ$43,BN$9,FALSE),"")</f>
        <v/>
      </c>
      <c r="BO86" s="430" t="str">
        <f>IFERROR(VLOOKUP(Envoltória!$G94,$BQ$35:$BZ$43,BO$9,FALSE),"")</f>
        <v/>
      </c>
      <c r="BP86" s="2"/>
    </row>
    <row r="87" spans="1:68" x14ac:dyDescent="0.25">
      <c r="A87" s="1">
        <v>77</v>
      </c>
      <c r="B87" s="409">
        <f>Envoltória!I95</f>
        <v>0</v>
      </c>
      <c r="C87" s="410">
        <f>Envoltória!B95</f>
        <v>0</v>
      </c>
      <c r="D87" s="410">
        <f>Envoltória!C95</f>
        <v>0</v>
      </c>
      <c r="E87" s="411">
        <f>Envoltória!D95</f>
        <v>0</v>
      </c>
      <c r="F87" s="412" t="str">
        <f>IF(B87=0,"",Envoltória!E95)</f>
        <v/>
      </c>
      <c r="G87" s="412" t="str">
        <f t="shared" si="5"/>
        <v/>
      </c>
      <c r="H87" s="413" t="str">
        <f>IF(B87=0,"",Envoltória!O95/100)</f>
        <v/>
      </c>
      <c r="I87" s="413" t="str">
        <f>IF(B87=0,"",IF(BF87=1,VLOOKUP(Envoltória!N95,Componentes!AV:AY,2,FALSE),89))</f>
        <v/>
      </c>
      <c r="J87" s="414" t="str">
        <f>IF(B87=0,"",IFERROR(VLOOKUP(Envoltória!M95,Componentes!$P:$R,2,FALSE),""))</f>
        <v/>
      </c>
      <c r="K87" s="414" t="str">
        <f>IF(B87=0,"",IFERROR(VLOOKUP(Envoltória!M95,Componentes!$P:$R,3,FALSE),""))</f>
        <v/>
      </c>
      <c r="L87" s="415" t="str">
        <f>IF(B87=0,"",IFERROR(IF(BB87&lt;&gt;0,VLOOKUP(Envoltória!L95,Componentes!K:N,2,FALSE),0),""))</f>
        <v/>
      </c>
      <c r="M87" s="415" t="str">
        <f>IF(B87=0,"",IFERROR(IF(BB87&lt;&gt;0,VLOOKUP(Envoltória!L95,Componentes!K:N,3,FALSE),0),""))</f>
        <v/>
      </c>
      <c r="N87" s="415" t="str">
        <f>IF(B87=0,"",IFERROR(IF(BB87&lt;&gt;0,VLOOKUP(Envoltória!L95,Componentes!K:N,4,FALSE),0),""))</f>
        <v/>
      </c>
      <c r="O87" s="413" t="str">
        <f>IF(B87=0,"",IF(BF87=1,VLOOKUP(Envoltória!J95,Componentes!B:E,2,FALSE),-6))</f>
        <v/>
      </c>
      <c r="P87" s="413" t="str">
        <f>IF(B87=0,"",IF(BF87=1,VLOOKUP(Envoltória!J95,Componentes!B:E,3,FALSE),-400))</f>
        <v/>
      </c>
      <c r="Q87" s="413" t="str">
        <f>IF(B87=0,"",IF(BF87=1,VLOOKUP(Envoltória!J95,Componentes!B:E,4,FALSE),0))</f>
        <v/>
      </c>
      <c r="R87" s="414" t="str">
        <f>IF(B87=0,"",IFERROR(VLOOKUP(Envoltória!K95,Componentes!G:I,2,FALSE),""))</f>
        <v/>
      </c>
      <c r="S87" s="414" t="str">
        <f>IF(B87=0,"",IFERROR(VLOOKUP(Envoltória!K95,Componentes!G:I,3,FALSE),""))</f>
        <v/>
      </c>
      <c r="T87" s="413" t="str">
        <f>IF(B87=0,"",IFERROR(IF(H87&lt;&gt;0,VLOOKUP(Envoltória!N95,Componentes!T:V,3,FALSE),0),""))</f>
        <v/>
      </c>
      <c r="U87" s="413" t="str">
        <f>IF(B87=0,"",IFERROR(IF(H87&lt;&gt;0,VLOOKUP(Envoltória!N95,Componentes!T:V,2,FALSE),0),""))</f>
        <v/>
      </c>
      <c r="V87" s="414" t="str">
        <f>IF(B87=0,"",IFERROR(IF(AA87&lt;&gt;0,VLOOKUP(Envoltória!U95,Componentes!X:Z,2,FALSE),0),0))</f>
        <v/>
      </c>
      <c r="W87" s="414" t="str">
        <f>IF(B87=0,"",IFERROR(IF(AA87&lt;&gt;0,VLOOKUP(Envoltória!U95,Componentes!X:Z,3,FALSE),0),0))</f>
        <v/>
      </c>
      <c r="X87" s="413" t="str">
        <f>IF(B87=0,"",Envoltória!U95)</f>
        <v/>
      </c>
      <c r="Y87" s="413" t="str">
        <f>IF(B87=0,"",Envoltória!S95)</f>
        <v/>
      </c>
      <c r="Z87" s="413" t="str">
        <f>IF(B87=0,"",Envoltória!T95)</f>
        <v/>
      </c>
      <c r="AA87" s="416" t="str">
        <f>IF(B87=0,"",Envoltória!Q95/100)</f>
        <v/>
      </c>
      <c r="AB87" s="417" t="str">
        <f>IF($B87=0,"",VLOOKUP(Aux_Lista!$DR$2,Aux_Clima!$A:$O,AB$8,FALSE))</f>
        <v/>
      </c>
      <c r="AC87" s="417" t="str">
        <f>IF($B87=0,"",VLOOKUP(Aux_Lista!$DR$2,Aux_Clima!$A:$O,AC$8,FALSE))</f>
        <v/>
      </c>
      <c r="AD87" s="417" t="str">
        <f>IF($B87=0,"",ROUND(VLOOKUP(Aux_Lista!$DR$2,Aux_Clima!$A:$O,AD$8,FALSE),8))</f>
        <v/>
      </c>
      <c r="AE87" s="417" t="str">
        <f>IF($B87=0,"",ROUND(VLOOKUP(Aux_Lista!$DR$2,Aux_Clima!$A:$O,AE$8,FALSE),8))</f>
        <v/>
      </c>
      <c r="AF87" s="417" t="str">
        <f>IF($B87=0,"",ROUND(VLOOKUP(Aux_Lista!$DR$2,Aux_Clima!$A:$O,AF$8,FALSE),8))</f>
        <v/>
      </c>
      <c r="AG87" s="417" t="str">
        <f>IF($B87=0,"",ROUND(VLOOKUP(Aux_Lista!$DR$2,Aux_Clima!$A:$O,AG$8,FALSE),8))</f>
        <v/>
      </c>
      <c r="AH87" s="417" t="str">
        <f>IF($B87=0,"",ROUND(VLOOKUP(Aux_Lista!$DR$2,Aux_Clima!$A:$O,AH$8,FALSE),8))</f>
        <v/>
      </c>
      <c r="AI87" s="417" t="str">
        <f>IF($B87=0,"",ROUND(VLOOKUP(Aux_Lista!$DR$2,Aux_Clima!$A:$O,AI$8,FALSE),8))</f>
        <v/>
      </c>
      <c r="AJ87" s="417" t="str">
        <f>IF($B87=0,"",ROUND(VLOOKUP(Aux_Lista!$DR$2,Aux_Clima!$A:$O,AJ$8,FALSE),3))</f>
        <v/>
      </c>
      <c r="AK87" s="417" t="str">
        <f>IF($B87=0,"",ROUND(VLOOKUP(Aux_Lista!$DR$2,Aux_Clima!$A:$O,AK$8,FALSE),3))</f>
        <v/>
      </c>
      <c r="AL87" s="417" t="str">
        <f>IF($B87=0,"",ROUND(VLOOKUP(Aux_Lista!$DR$2,Aux_Clima!$A:$O,AL$8,FALSE),3))</f>
        <v/>
      </c>
      <c r="AM87" s="417" t="str">
        <f>IF($B87=0,"",ROUND(VLOOKUP(Aux_Lista!$DR$2,Aux_Clima!$A:$O,AM$8,FALSE),8))</f>
        <v/>
      </c>
      <c r="AN87" s="417" t="str">
        <f>IF($B87=0,"",ROUND(VLOOKUP(Aux_Lista!$DR$2,Aux_Clima!$A:$O,AN$8,FALSE),8))</f>
        <v/>
      </c>
      <c r="AO87" s="417" t="str">
        <f>IF($B87=0,"",ROUND(VLOOKUP(Aux_Lista!$DR$2,Aux_Clima!$A:$O,AO$8,FALSE),8))</f>
        <v/>
      </c>
      <c r="AP87" s="413" t="str">
        <f>IF(B87=0,"",IF(BF87=0,84,VLOOKUP(Envoltória!N95,Componentes!AV:AY,4,FALSE)))</f>
        <v/>
      </c>
      <c r="AQ87" s="413" t="str">
        <f>IF(B87=0,"",IF(BF87=0,90,VLOOKUP(Envoltória!N95,Componentes!AV:AY,3,FALSE)))</f>
        <v/>
      </c>
      <c r="AR87" s="413" t="str">
        <f t="shared" si="6"/>
        <v/>
      </c>
      <c r="AS87" s="413" t="str">
        <f t="shared" si="6"/>
        <v/>
      </c>
      <c r="AT87" s="413" t="str">
        <f t="shared" si="6"/>
        <v/>
      </c>
      <c r="AU87" s="413" t="str">
        <f t="shared" si="6"/>
        <v/>
      </c>
      <c r="AV87" s="413" t="str">
        <f t="shared" si="6"/>
        <v/>
      </c>
      <c r="AW87" s="414" t="str">
        <f>IF($B87=0,"",IFERROR(VLOOKUP(Envoltória!$B95,Aux_Lista!$O:$U,AW$9,FALSE),0))</f>
        <v/>
      </c>
      <c r="AX87" s="414" t="str">
        <f>IF($B87=0,"",IFERROR(VLOOKUP(Envoltória!$B95,Aux_Lista!$O:$U,AX$9,FALSE),0))</f>
        <v/>
      </c>
      <c r="AY87" s="414" t="str">
        <f>IF($B87=0,"",IFERROR(VLOOKUP(Envoltória!$B95,Aux_Lista!$O:$U,AY$9,FALSE),0))</f>
        <v/>
      </c>
      <c r="AZ87" s="414" t="str">
        <f>IF($B87=0,"",IFERROR(VLOOKUP(Envoltória!$B95,Aux_Lista!$O:$U,AZ$9,FALSE),0))</f>
        <v/>
      </c>
      <c r="BA87" s="414" t="str">
        <f>IF($B87=0,"",IFERROR(VLOOKUP(Envoltória!$B95,Aux_Lista!$O:$U,BA$9,FALSE),0))</f>
        <v/>
      </c>
      <c r="BB87" s="414" t="str">
        <f>IF($B87=0,"",IFERROR(VLOOKUP(Envoltória!$B95,Aux_Lista!$O:$U,BB$9,FALSE),0))</f>
        <v/>
      </c>
      <c r="BC87" s="414" t="str">
        <f>IFERROR(VLOOKUP(Envoltória!$H95,Aux_Lista!$W$2:$Y$3,BC$9,FALSE),"")</f>
        <v/>
      </c>
      <c r="BD87" s="414" t="str">
        <f>IFERROR(VLOOKUP(Envoltória!$H95,Aux_Lista!$W$2:$Y$3,BD$9,FALSE),"")</f>
        <v/>
      </c>
      <c r="BE87" s="412" t="str">
        <f t="shared" si="7"/>
        <v/>
      </c>
      <c r="BF87" s="412" t="str">
        <f>IF(B87=0,"",IF(Envoltória!F95="Perimetral",1,0))</f>
        <v/>
      </c>
      <c r="BG87" s="412" t="str">
        <f>IFERROR(VLOOKUP(Envoltória!$G95,$BQ$35:$BZ$43,BG$9,FALSE),"")</f>
        <v/>
      </c>
      <c r="BH87" s="412" t="str">
        <f>IFERROR(VLOOKUP(Envoltória!$G95,$BQ$35:$BZ$43,BH$9,FALSE),"")</f>
        <v/>
      </c>
      <c r="BI87" s="412" t="str">
        <f>IFERROR(VLOOKUP(Envoltória!$G95,$BQ$35:$BZ$43,BI$9,FALSE),"")</f>
        <v/>
      </c>
      <c r="BJ87" s="412" t="str">
        <f>IFERROR(VLOOKUP(Envoltória!$G95,$BQ$35:$BZ$43,BJ$9,FALSE),"")</f>
        <v/>
      </c>
      <c r="BK87" s="412" t="str">
        <f>IFERROR(VLOOKUP(Envoltória!$G95,$BQ$35:$BZ$43,BK$9,FALSE),"")</f>
        <v/>
      </c>
      <c r="BL87" s="412" t="str">
        <f>IFERROR(VLOOKUP(Envoltória!$G95,$BQ$35:$BZ$43,BL$9,FALSE),"")</f>
        <v/>
      </c>
      <c r="BM87" s="412" t="str">
        <f>IFERROR(VLOOKUP(Envoltória!$G95,$BQ$35:$BZ$43,BM$9,FALSE),"")</f>
        <v/>
      </c>
      <c r="BN87" s="412" t="str">
        <f>IFERROR(VLOOKUP(Envoltória!$G95,$BQ$35:$BZ$43,BN$9,FALSE),"")</f>
        <v/>
      </c>
      <c r="BO87" s="412" t="str">
        <f>IFERROR(VLOOKUP(Envoltória!$G95,$BQ$35:$BZ$43,BO$9,FALSE),"")</f>
        <v/>
      </c>
    </row>
    <row r="88" spans="1:68" x14ac:dyDescent="0.25">
      <c r="A88" s="1">
        <v>78</v>
      </c>
      <c r="B88" s="409">
        <f>Envoltória!I96</f>
        <v>0</v>
      </c>
      <c r="C88" s="410">
        <f>Envoltória!B96</f>
        <v>0</v>
      </c>
      <c r="D88" s="410">
        <f>Envoltória!C96</f>
        <v>0</v>
      </c>
      <c r="E88" s="411">
        <f>Envoltória!D96</f>
        <v>0</v>
      </c>
      <c r="F88" s="412" t="str">
        <f>IF(B88=0,"",Envoltória!E96)</f>
        <v/>
      </c>
      <c r="G88" s="412" t="str">
        <f t="shared" si="5"/>
        <v/>
      </c>
      <c r="H88" s="413" t="str">
        <f>IF(B88=0,"",Envoltória!O96/100)</f>
        <v/>
      </c>
      <c r="I88" s="413" t="str">
        <f>IF(B88=0,"",IF(BF88=1,VLOOKUP(Envoltória!N96,Componentes!AV:AY,2,FALSE),89))</f>
        <v/>
      </c>
      <c r="J88" s="414" t="str">
        <f>IF(B88=0,"",IFERROR(VLOOKUP(Envoltória!M96,Componentes!$P:$R,2,FALSE),""))</f>
        <v/>
      </c>
      <c r="K88" s="414" t="str">
        <f>IF(B88=0,"",IFERROR(VLOOKUP(Envoltória!M96,Componentes!$P:$R,3,FALSE),""))</f>
        <v/>
      </c>
      <c r="L88" s="415" t="str">
        <f>IF(B88=0,"",IFERROR(IF(BB88&lt;&gt;0,VLOOKUP(Envoltória!L96,Componentes!K:N,2,FALSE),0),""))</f>
        <v/>
      </c>
      <c r="M88" s="415" t="str">
        <f>IF(B88=0,"",IFERROR(IF(BB88&lt;&gt;0,VLOOKUP(Envoltória!L96,Componentes!K:N,3,FALSE),0),""))</f>
        <v/>
      </c>
      <c r="N88" s="415" t="str">
        <f>IF(B88=0,"",IFERROR(IF(BB88&lt;&gt;0,VLOOKUP(Envoltória!L96,Componentes!K:N,4,FALSE),0),""))</f>
        <v/>
      </c>
      <c r="O88" s="413" t="str">
        <f>IF(B88=0,"",IF(BF88=1,VLOOKUP(Envoltória!J96,Componentes!B:E,2,FALSE),-6))</f>
        <v/>
      </c>
      <c r="P88" s="413" t="str">
        <f>IF(B88=0,"",IF(BF88=1,VLOOKUP(Envoltória!J96,Componentes!B:E,3,FALSE),-400))</f>
        <v/>
      </c>
      <c r="Q88" s="413" t="str">
        <f>IF(B88=0,"",IF(BF88=1,VLOOKUP(Envoltória!J96,Componentes!B:E,4,FALSE),0))</f>
        <v/>
      </c>
      <c r="R88" s="414" t="str">
        <f>IF(B88=0,"",IFERROR(VLOOKUP(Envoltória!K96,Componentes!G:I,2,FALSE),""))</f>
        <v/>
      </c>
      <c r="S88" s="414" t="str">
        <f>IF(B88=0,"",IFERROR(VLOOKUP(Envoltória!K96,Componentes!G:I,3,FALSE),""))</f>
        <v/>
      </c>
      <c r="T88" s="413" t="str">
        <f>IF(B88=0,"",IFERROR(IF(H88&lt;&gt;0,VLOOKUP(Envoltória!N96,Componentes!T:V,3,FALSE),0),""))</f>
        <v/>
      </c>
      <c r="U88" s="413" t="str">
        <f>IF(B88=0,"",IFERROR(IF(H88&lt;&gt;0,VLOOKUP(Envoltória!N96,Componentes!T:V,2,FALSE),0),""))</f>
        <v/>
      </c>
      <c r="V88" s="414" t="str">
        <f>IF(B88=0,"",IFERROR(IF(AA88&lt;&gt;0,VLOOKUP(Envoltória!U96,Componentes!X:Z,2,FALSE),0),0))</f>
        <v/>
      </c>
      <c r="W88" s="414" t="str">
        <f>IF(B88=0,"",IFERROR(IF(AA88&lt;&gt;0,VLOOKUP(Envoltória!U96,Componentes!X:Z,3,FALSE),0),0))</f>
        <v/>
      </c>
      <c r="X88" s="413" t="str">
        <f>IF(B88=0,"",Envoltória!U96)</f>
        <v/>
      </c>
      <c r="Y88" s="413" t="str">
        <f>IF(B88=0,"",Envoltória!S96)</f>
        <v/>
      </c>
      <c r="Z88" s="413" t="str">
        <f>IF(B88=0,"",Envoltória!T96)</f>
        <v/>
      </c>
      <c r="AA88" s="416" t="str">
        <f>IF(B88=0,"",Envoltória!Q96/100)</f>
        <v/>
      </c>
      <c r="AB88" s="417" t="str">
        <f>IF($B88=0,"",VLOOKUP(Aux_Lista!$DR$2,Aux_Clima!$A:$O,AB$8,FALSE))</f>
        <v/>
      </c>
      <c r="AC88" s="417" t="str">
        <f>IF($B88=0,"",VLOOKUP(Aux_Lista!$DR$2,Aux_Clima!$A:$O,AC$8,FALSE))</f>
        <v/>
      </c>
      <c r="AD88" s="417" t="str">
        <f>IF($B88=0,"",ROUND(VLOOKUP(Aux_Lista!$DR$2,Aux_Clima!$A:$O,AD$8,FALSE),8))</f>
        <v/>
      </c>
      <c r="AE88" s="417" t="str">
        <f>IF($B88=0,"",ROUND(VLOOKUP(Aux_Lista!$DR$2,Aux_Clima!$A:$O,AE$8,FALSE),8))</f>
        <v/>
      </c>
      <c r="AF88" s="417" t="str">
        <f>IF($B88=0,"",ROUND(VLOOKUP(Aux_Lista!$DR$2,Aux_Clima!$A:$O,AF$8,FALSE),8))</f>
        <v/>
      </c>
      <c r="AG88" s="417" t="str">
        <f>IF($B88=0,"",ROUND(VLOOKUP(Aux_Lista!$DR$2,Aux_Clima!$A:$O,AG$8,FALSE),8))</f>
        <v/>
      </c>
      <c r="AH88" s="417" t="str">
        <f>IF($B88=0,"",ROUND(VLOOKUP(Aux_Lista!$DR$2,Aux_Clima!$A:$O,AH$8,FALSE),8))</f>
        <v/>
      </c>
      <c r="AI88" s="417" t="str">
        <f>IF($B88=0,"",ROUND(VLOOKUP(Aux_Lista!$DR$2,Aux_Clima!$A:$O,AI$8,FALSE),8))</f>
        <v/>
      </c>
      <c r="AJ88" s="417" t="str">
        <f>IF($B88=0,"",ROUND(VLOOKUP(Aux_Lista!$DR$2,Aux_Clima!$A:$O,AJ$8,FALSE),3))</f>
        <v/>
      </c>
      <c r="AK88" s="417" t="str">
        <f>IF($B88=0,"",ROUND(VLOOKUP(Aux_Lista!$DR$2,Aux_Clima!$A:$O,AK$8,FALSE),3))</f>
        <v/>
      </c>
      <c r="AL88" s="417" t="str">
        <f>IF($B88=0,"",ROUND(VLOOKUP(Aux_Lista!$DR$2,Aux_Clima!$A:$O,AL$8,FALSE),3))</f>
        <v/>
      </c>
      <c r="AM88" s="417" t="str">
        <f>IF($B88=0,"",ROUND(VLOOKUP(Aux_Lista!$DR$2,Aux_Clima!$A:$O,AM$8,FALSE),8))</f>
        <v/>
      </c>
      <c r="AN88" s="417" t="str">
        <f>IF($B88=0,"",ROUND(VLOOKUP(Aux_Lista!$DR$2,Aux_Clima!$A:$O,AN$8,FALSE),8))</f>
        <v/>
      </c>
      <c r="AO88" s="417" t="str">
        <f>IF($B88=0,"",ROUND(VLOOKUP(Aux_Lista!$DR$2,Aux_Clima!$A:$O,AO$8,FALSE),8))</f>
        <v/>
      </c>
      <c r="AP88" s="413" t="str">
        <f>IF(B88=0,"",IF(BF88=0,84,VLOOKUP(Envoltória!N96,Componentes!AV:AY,4,FALSE)))</f>
        <v/>
      </c>
      <c r="AQ88" s="413" t="str">
        <f>IF(B88=0,"",IF(BF88=0,90,VLOOKUP(Envoltória!N96,Componentes!AV:AY,3,FALSE)))</f>
        <v/>
      </c>
      <c r="AR88" s="413" t="str">
        <f t="shared" si="6"/>
        <v/>
      </c>
      <c r="AS88" s="413" t="str">
        <f t="shared" si="6"/>
        <v/>
      </c>
      <c r="AT88" s="413" t="str">
        <f t="shared" si="6"/>
        <v/>
      </c>
      <c r="AU88" s="413" t="str">
        <f t="shared" si="6"/>
        <v/>
      </c>
      <c r="AV88" s="413" t="str">
        <f t="shared" si="6"/>
        <v/>
      </c>
      <c r="AW88" s="414" t="str">
        <f>IF($B88=0,"",IFERROR(VLOOKUP(Envoltória!$B96,Aux_Lista!$O:$U,AW$9,FALSE),0))</f>
        <v/>
      </c>
      <c r="AX88" s="414" t="str">
        <f>IF($B88=0,"",IFERROR(VLOOKUP(Envoltória!$B96,Aux_Lista!$O:$U,AX$9,FALSE),0))</f>
        <v/>
      </c>
      <c r="AY88" s="414" t="str">
        <f>IF($B88=0,"",IFERROR(VLOOKUP(Envoltória!$B96,Aux_Lista!$O:$U,AY$9,FALSE),0))</f>
        <v/>
      </c>
      <c r="AZ88" s="414" t="str">
        <f>IF($B88=0,"",IFERROR(VLOOKUP(Envoltória!$B96,Aux_Lista!$O:$U,AZ$9,FALSE),0))</f>
        <v/>
      </c>
      <c r="BA88" s="414" t="str">
        <f>IF($B88=0,"",IFERROR(VLOOKUP(Envoltória!$B96,Aux_Lista!$O:$U,BA$9,FALSE),0))</f>
        <v/>
      </c>
      <c r="BB88" s="414" t="str">
        <f>IF($B88=0,"",IFERROR(VLOOKUP(Envoltória!$B96,Aux_Lista!$O:$U,BB$9,FALSE),0))</f>
        <v/>
      </c>
      <c r="BC88" s="414" t="str">
        <f>IFERROR(VLOOKUP(Envoltória!$H96,Aux_Lista!$W$2:$Y$3,BC$9,FALSE),"")</f>
        <v/>
      </c>
      <c r="BD88" s="414" t="str">
        <f>IFERROR(VLOOKUP(Envoltória!$H96,Aux_Lista!$W$2:$Y$3,BD$9,FALSE),"")</f>
        <v/>
      </c>
      <c r="BE88" s="412" t="str">
        <f t="shared" si="7"/>
        <v/>
      </c>
      <c r="BF88" s="412" t="str">
        <f>IF(B88=0,"",IF(Envoltória!F96="Perimetral",1,0))</f>
        <v/>
      </c>
      <c r="BG88" s="412" t="str">
        <f>IFERROR(VLOOKUP(Envoltória!$G96,$BQ$35:$BZ$43,BG$9,FALSE),"")</f>
        <v/>
      </c>
      <c r="BH88" s="412" t="str">
        <f>IFERROR(VLOOKUP(Envoltória!$G96,$BQ$35:$BZ$43,BH$9,FALSE),"")</f>
        <v/>
      </c>
      <c r="BI88" s="412" t="str">
        <f>IFERROR(VLOOKUP(Envoltória!$G96,$BQ$35:$BZ$43,BI$9,FALSE),"")</f>
        <v/>
      </c>
      <c r="BJ88" s="412" t="str">
        <f>IFERROR(VLOOKUP(Envoltória!$G96,$BQ$35:$BZ$43,BJ$9,FALSE),"")</f>
        <v/>
      </c>
      <c r="BK88" s="412" t="str">
        <f>IFERROR(VLOOKUP(Envoltória!$G96,$BQ$35:$BZ$43,BK$9,FALSE),"")</f>
        <v/>
      </c>
      <c r="BL88" s="412" t="str">
        <f>IFERROR(VLOOKUP(Envoltória!$G96,$BQ$35:$BZ$43,BL$9,FALSE),"")</f>
        <v/>
      </c>
      <c r="BM88" s="412" t="str">
        <f>IFERROR(VLOOKUP(Envoltória!$G96,$BQ$35:$BZ$43,BM$9,FALSE),"")</f>
        <v/>
      </c>
      <c r="BN88" s="412" t="str">
        <f>IFERROR(VLOOKUP(Envoltória!$G96,$BQ$35:$BZ$43,BN$9,FALSE),"")</f>
        <v/>
      </c>
      <c r="BO88" s="412" t="str">
        <f>IFERROR(VLOOKUP(Envoltória!$G96,$BQ$35:$BZ$43,BO$9,FALSE),"")</f>
        <v/>
      </c>
    </row>
    <row r="89" spans="1:68" x14ac:dyDescent="0.25">
      <c r="A89" s="1">
        <v>79</v>
      </c>
      <c r="B89" s="409">
        <f>Envoltória!I97</f>
        <v>0</v>
      </c>
      <c r="C89" s="410">
        <f>Envoltória!B97</f>
        <v>0</v>
      </c>
      <c r="D89" s="410">
        <f>Envoltória!C97</f>
        <v>0</v>
      </c>
      <c r="E89" s="411">
        <f>Envoltória!D97</f>
        <v>0</v>
      </c>
      <c r="F89" s="412" t="str">
        <f>IF(B89=0,"",Envoltória!E97)</f>
        <v/>
      </c>
      <c r="G89" s="412" t="str">
        <f t="shared" si="5"/>
        <v/>
      </c>
      <c r="H89" s="413" t="str">
        <f>IF(B89=0,"",Envoltória!O97/100)</f>
        <v/>
      </c>
      <c r="I89" s="413" t="str">
        <f>IF(B89=0,"",IF(BF89=1,VLOOKUP(Envoltória!N97,Componentes!AV:AY,2,FALSE),89))</f>
        <v/>
      </c>
      <c r="J89" s="414" t="str">
        <f>IF(B89=0,"",IFERROR(VLOOKUP(Envoltória!M97,Componentes!$P:$R,2,FALSE),""))</f>
        <v/>
      </c>
      <c r="K89" s="414" t="str">
        <f>IF(B89=0,"",IFERROR(VLOOKUP(Envoltória!M97,Componentes!$P:$R,3,FALSE),""))</f>
        <v/>
      </c>
      <c r="L89" s="415" t="str">
        <f>IF(B89=0,"",IFERROR(IF(BB89&lt;&gt;0,VLOOKUP(Envoltória!L97,Componentes!K:N,2,FALSE),0),""))</f>
        <v/>
      </c>
      <c r="M89" s="415" t="str">
        <f>IF(B89=0,"",IFERROR(IF(BB89&lt;&gt;0,VLOOKUP(Envoltória!L97,Componentes!K:N,3,FALSE),0),""))</f>
        <v/>
      </c>
      <c r="N89" s="415" t="str">
        <f>IF(B89=0,"",IFERROR(IF(BB89&lt;&gt;0,VLOOKUP(Envoltória!L97,Componentes!K:N,4,FALSE),0),""))</f>
        <v/>
      </c>
      <c r="O89" s="413" t="str">
        <f>IF(B89=0,"",IF(BF89=1,VLOOKUP(Envoltória!J97,Componentes!B:E,2,FALSE),-6))</f>
        <v/>
      </c>
      <c r="P89" s="413" t="str">
        <f>IF(B89=0,"",IF(BF89=1,VLOOKUP(Envoltória!J97,Componentes!B:E,3,FALSE),-400))</f>
        <v/>
      </c>
      <c r="Q89" s="413" t="str">
        <f>IF(B89=0,"",IF(BF89=1,VLOOKUP(Envoltória!J97,Componentes!B:E,4,FALSE),0))</f>
        <v/>
      </c>
      <c r="R89" s="414" t="str">
        <f>IF(B89=0,"",IFERROR(VLOOKUP(Envoltória!K97,Componentes!G:I,2,FALSE),""))</f>
        <v/>
      </c>
      <c r="S89" s="414" t="str">
        <f>IF(B89=0,"",IFERROR(VLOOKUP(Envoltória!K97,Componentes!G:I,3,FALSE),""))</f>
        <v/>
      </c>
      <c r="T89" s="413" t="str">
        <f>IF(B89=0,"",IFERROR(IF(H89&lt;&gt;0,VLOOKUP(Envoltória!N97,Componentes!T:V,3,FALSE),0),""))</f>
        <v/>
      </c>
      <c r="U89" s="413" t="str">
        <f>IF(B89=0,"",IFERROR(IF(H89&lt;&gt;0,VLOOKUP(Envoltória!N97,Componentes!T:V,2,FALSE),0),""))</f>
        <v/>
      </c>
      <c r="V89" s="414" t="str">
        <f>IF(B89=0,"",IFERROR(IF(AA89&lt;&gt;0,VLOOKUP(Envoltória!U97,Componentes!X:Z,2,FALSE),0),0))</f>
        <v/>
      </c>
      <c r="W89" s="414" t="str">
        <f>IF(B89=0,"",IFERROR(IF(AA89&lt;&gt;0,VLOOKUP(Envoltória!U97,Componentes!X:Z,3,FALSE),0),0))</f>
        <v/>
      </c>
      <c r="X89" s="413" t="str">
        <f>IF(B89=0,"",Envoltória!U97)</f>
        <v/>
      </c>
      <c r="Y89" s="413" t="str">
        <f>IF(B89=0,"",Envoltória!S97)</f>
        <v/>
      </c>
      <c r="Z89" s="413" t="str">
        <f>IF(B89=0,"",Envoltória!T97)</f>
        <v/>
      </c>
      <c r="AA89" s="416" t="str">
        <f>IF(B89=0,"",Envoltória!Q97/100)</f>
        <v/>
      </c>
      <c r="AB89" s="417" t="str">
        <f>IF($B89=0,"",VLOOKUP(Aux_Lista!$DR$2,Aux_Clima!$A:$O,AB$8,FALSE))</f>
        <v/>
      </c>
      <c r="AC89" s="417" t="str">
        <f>IF($B89=0,"",VLOOKUP(Aux_Lista!$DR$2,Aux_Clima!$A:$O,AC$8,FALSE))</f>
        <v/>
      </c>
      <c r="AD89" s="417" t="str">
        <f>IF($B89=0,"",ROUND(VLOOKUP(Aux_Lista!$DR$2,Aux_Clima!$A:$O,AD$8,FALSE),8))</f>
        <v/>
      </c>
      <c r="AE89" s="417" t="str">
        <f>IF($B89=0,"",ROUND(VLOOKUP(Aux_Lista!$DR$2,Aux_Clima!$A:$O,AE$8,FALSE),8))</f>
        <v/>
      </c>
      <c r="AF89" s="417" t="str">
        <f>IF($B89=0,"",ROUND(VLOOKUP(Aux_Lista!$DR$2,Aux_Clima!$A:$O,AF$8,FALSE),8))</f>
        <v/>
      </c>
      <c r="AG89" s="417" t="str">
        <f>IF($B89=0,"",ROUND(VLOOKUP(Aux_Lista!$DR$2,Aux_Clima!$A:$O,AG$8,FALSE),8))</f>
        <v/>
      </c>
      <c r="AH89" s="417" t="str">
        <f>IF($B89=0,"",ROUND(VLOOKUP(Aux_Lista!$DR$2,Aux_Clima!$A:$O,AH$8,FALSE),8))</f>
        <v/>
      </c>
      <c r="AI89" s="417" t="str">
        <f>IF($B89=0,"",ROUND(VLOOKUP(Aux_Lista!$DR$2,Aux_Clima!$A:$O,AI$8,FALSE),8))</f>
        <v/>
      </c>
      <c r="AJ89" s="417" t="str">
        <f>IF($B89=0,"",ROUND(VLOOKUP(Aux_Lista!$DR$2,Aux_Clima!$A:$O,AJ$8,FALSE),3))</f>
        <v/>
      </c>
      <c r="AK89" s="417" t="str">
        <f>IF($B89=0,"",ROUND(VLOOKUP(Aux_Lista!$DR$2,Aux_Clima!$A:$O,AK$8,FALSE),3))</f>
        <v/>
      </c>
      <c r="AL89" s="417" t="str">
        <f>IF($B89=0,"",ROUND(VLOOKUP(Aux_Lista!$DR$2,Aux_Clima!$A:$O,AL$8,FALSE),3))</f>
        <v/>
      </c>
      <c r="AM89" s="417" t="str">
        <f>IF($B89=0,"",ROUND(VLOOKUP(Aux_Lista!$DR$2,Aux_Clima!$A:$O,AM$8,FALSE),8))</f>
        <v/>
      </c>
      <c r="AN89" s="417" t="str">
        <f>IF($B89=0,"",ROUND(VLOOKUP(Aux_Lista!$DR$2,Aux_Clima!$A:$O,AN$8,FALSE),8))</f>
        <v/>
      </c>
      <c r="AO89" s="417" t="str">
        <f>IF($B89=0,"",ROUND(VLOOKUP(Aux_Lista!$DR$2,Aux_Clima!$A:$O,AO$8,FALSE),8))</f>
        <v/>
      </c>
      <c r="AP89" s="413" t="str">
        <f>IF(B89=0,"",IF(BF89=0,84,VLOOKUP(Envoltória!N97,Componentes!AV:AY,4,FALSE)))</f>
        <v/>
      </c>
      <c r="AQ89" s="413" t="str">
        <f>IF(B89=0,"",IF(BF89=0,90,VLOOKUP(Envoltória!N97,Componentes!AV:AY,3,FALSE)))</f>
        <v/>
      </c>
      <c r="AR89" s="413" t="str">
        <f t="shared" si="6"/>
        <v/>
      </c>
      <c r="AS89" s="413" t="str">
        <f t="shared" si="6"/>
        <v/>
      </c>
      <c r="AT89" s="413" t="str">
        <f t="shared" si="6"/>
        <v/>
      </c>
      <c r="AU89" s="413" t="str">
        <f t="shared" si="6"/>
        <v/>
      </c>
      <c r="AV89" s="413" t="str">
        <f t="shared" si="6"/>
        <v/>
      </c>
      <c r="AW89" s="414" t="str">
        <f>IF($B89=0,"",IFERROR(VLOOKUP(Envoltória!$B97,Aux_Lista!$O:$U,AW$9,FALSE),0))</f>
        <v/>
      </c>
      <c r="AX89" s="414" t="str">
        <f>IF($B89=0,"",IFERROR(VLOOKUP(Envoltória!$B97,Aux_Lista!$O:$U,AX$9,FALSE),0))</f>
        <v/>
      </c>
      <c r="AY89" s="414" t="str">
        <f>IF($B89=0,"",IFERROR(VLOOKUP(Envoltória!$B97,Aux_Lista!$O:$U,AY$9,FALSE),0))</f>
        <v/>
      </c>
      <c r="AZ89" s="414" t="str">
        <f>IF($B89=0,"",IFERROR(VLOOKUP(Envoltória!$B97,Aux_Lista!$O:$U,AZ$9,FALSE),0))</f>
        <v/>
      </c>
      <c r="BA89" s="414" t="str">
        <f>IF($B89=0,"",IFERROR(VLOOKUP(Envoltória!$B97,Aux_Lista!$O:$U,BA$9,FALSE),0))</f>
        <v/>
      </c>
      <c r="BB89" s="414" t="str">
        <f>IF($B89=0,"",IFERROR(VLOOKUP(Envoltória!$B97,Aux_Lista!$O:$U,BB$9,FALSE),0))</f>
        <v/>
      </c>
      <c r="BC89" s="414" t="str">
        <f>IFERROR(VLOOKUP(Envoltória!$H97,Aux_Lista!$W$2:$Y$3,BC$9,FALSE),"")</f>
        <v/>
      </c>
      <c r="BD89" s="414" t="str">
        <f>IFERROR(VLOOKUP(Envoltória!$H97,Aux_Lista!$W$2:$Y$3,BD$9,FALSE),"")</f>
        <v/>
      </c>
      <c r="BE89" s="412" t="str">
        <f t="shared" si="7"/>
        <v/>
      </c>
      <c r="BF89" s="412" t="str">
        <f>IF(B89=0,"",IF(Envoltória!F97="Perimetral",1,0))</f>
        <v/>
      </c>
      <c r="BG89" s="412" t="str">
        <f>IFERROR(VLOOKUP(Envoltória!$G97,$BQ$35:$BZ$43,BG$9,FALSE),"")</f>
        <v/>
      </c>
      <c r="BH89" s="412" t="str">
        <f>IFERROR(VLOOKUP(Envoltória!$G97,$BQ$35:$BZ$43,BH$9,FALSE),"")</f>
        <v/>
      </c>
      <c r="BI89" s="412" t="str">
        <f>IFERROR(VLOOKUP(Envoltória!$G97,$BQ$35:$BZ$43,BI$9,FALSE),"")</f>
        <v/>
      </c>
      <c r="BJ89" s="412" t="str">
        <f>IFERROR(VLOOKUP(Envoltória!$G97,$BQ$35:$BZ$43,BJ$9,FALSE),"")</f>
        <v/>
      </c>
      <c r="BK89" s="412" t="str">
        <f>IFERROR(VLOOKUP(Envoltória!$G97,$BQ$35:$BZ$43,BK$9,FALSE),"")</f>
        <v/>
      </c>
      <c r="BL89" s="412" t="str">
        <f>IFERROR(VLOOKUP(Envoltória!$G97,$BQ$35:$BZ$43,BL$9,FALSE),"")</f>
        <v/>
      </c>
      <c r="BM89" s="412" t="str">
        <f>IFERROR(VLOOKUP(Envoltória!$G97,$BQ$35:$BZ$43,BM$9,FALSE),"")</f>
        <v/>
      </c>
      <c r="BN89" s="412" t="str">
        <f>IFERROR(VLOOKUP(Envoltória!$G97,$BQ$35:$BZ$43,BN$9,FALSE),"")</f>
        <v/>
      </c>
      <c r="BO89" s="412" t="str">
        <f>IFERROR(VLOOKUP(Envoltória!$G97,$BQ$35:$BZ$43,BO$9,FALSE),"")</f>
        <v/>
      </c>
    </row>
    <row r="90" spans="1:68" x14ac:dyDescent="0.25">
      <c r="A90" s="1">
        <v>80</v>
      </c>
      <c r="B90" s="409">
        <f>Envoltória!I98</f>
        <v>0</v>
      </c>
      <c r="C90" s="410">
        <f>Envoltória!B98</f>
        <v>0</v>
      </c>
      <c r="D90" s="410">
        <f>Envoltória!C98</f>
        <v>0</v>
      </c>
      <c r="E90" s="411">
        <f>Envoltória!D98</f>
        <v>0</v>
      </c>
      <c r="F90" s="412" t="str">
        <f>IF(B90=0,"",Envoltória!E98)</f>
        <v/>
      </c>
      <c r="G90" s="412" t="str">
        <f t="shared" si="5"/>
        <v/>
      </c>
      <c r="H90" s="413" t="str">
        <f>IF(B90=0,"",Envoltória!O98/100)</f>
        <v/>
      </c>
      <c r="I90" s="413" t="str">
        <f>IF(B90=0,"",IF(BF90=1,VLOOKUP(Envoltória!N98,Componentes!AV:AY,2,FALSE),89))</f>
        <v/>
      </c>
      <c r="J90" s="414" t="str">
        <f>IF(B90=0,"",IFERROR(VLOOKUP(Envoltória!M98,Componentes!$P:$R,2,FALSE),""))</f>
        <v/>
      </c>
      <c r="K90" s="414" t="str">
        <f>IF(B90=0,"",IFERROR(VLOOKUP(Envoltória!M98,Componentes!$P:$R,3,FALSE),""))</f>
        <v/>
      </c>
      <c r="L90" s="415" t="str">
        <f>IF(B90=0,"",IFERROR(IF(BB90&lt;&gt;0,VLOOKUP(Envoltória!L98,Componentes!K:N,2,FALSE),0),""))</f>
        <v/>
      </c>
      <c r="M90" s="415" t="str">
        <f>IF(B90=0,"",IFERROR(IF(BB90&lt;&gt;0,VLOOKUP(Envoltória!L98,Componentes!K:N,3,FALSE),0),""))</f>
        <v/>
      </c>
      <c r="N90" s="415" t="str">
        <f>IF(B90=0,"",IFERROR(IF(BB90&lt;&gt;0,VLOOKUP(Envoltória!L98,Componentes!K:N,4,FALSE),0),""))</f>
        <v/>
      </c>
      <c r="O90" s="413" t="str">
        <f>IF(B90=0,"",IF(BF90=1,VLOOKUP(Envoltória!J98,Componentes!B:E,2,FALSE),-6))</f>
        <v/>
      </c>
      <c r="P90" s="413" t="str">
        <f>IF(B90=0,"",IF(BF90=1,VLOOKUP(Envoltória!J98,Componentes!B:E,3,FALSE),-400))</f>
        <v/>
      </c>
      <c r="Q90" s="413" t="str">
        <f>IF(B90=0,"",IF(BF90=1,VLOOKUP(Envoltória!J98,Componentes!B:E,4,FALSE),0))</f>
        <v/>
      </c>
      <c r="R90" s="414" t="str">
        <f>IF(B90=0,"",IFERROR(VLOOKUP(Envoltória!K98,Componentes!G:I,2,FALSE),""))</f>
        <v/>
      </c>
      <c r="S90" s="414" t="str">
        <f>IF(B90=0,"",IFERROR(VLOOKUP(Envoltória!K98,Componentes!G:I,3,FALSE),""))</f>
        <v/>
      </c>
      <c r="T90" s="413" t="str">
        <f>IF(B90=0,"",IFERROR(IF(H90&lt;&gt;0,VLOOKUP(Envoltória!N98,Componentes!T:V,3,FALSE),0),""))</f>
        <v/>
      </c>
      <c r="U90" s="413" t="str">
        <f>IF(B90=0,"",IFERROR(IF(H90&lt;&gt;0,VLOOKUP(Envoltória!N98,Componentes!T:V,2,FALSE),0),""))</f>
        <v/>
      </c>
      <c r="V90" s="414" t="str">
        <f>IF(B90=0,"",IFERROR(IF(AA90&lt;&gt;0,VLOOKUP(Envoltória!U98,Componentes!X:Z,2,FALSE),0),0))</f>
        <v/>
      </c>
      <c r="W90" s="414" t="str">
        <f>IF(B90=0,"",IFERROR(IF(AA90&lt;&gt;0,VLOOKUP(Envoltória!U98,Componentes!X:Z,3,FALSE),0),0))</f>
        <v/>
      </c>
      <c r="X90" s="413" t="str">
        <f>IF(B90=0,"",Envoltória!U98)</f>
        <v/>
      </c>
      <c r="Y90" s="413" t="str">
        <f>IF(B90=0,"",Envoltória!S98)</f>
        <v/>
      </c>
      <c r="Z90" s="413" t="str">
        <f>IF(B90=0,"",Envoltória!T98)</f>
        <v/>
      </c>
      <c r="AA90" s="416" t="str">
        <f>IF(B90=0,"",Envoltória!Q98/100)</f>
        <v/>
      </c>
      <c r="AB90" s="417" t="str">
        <f>IF($B90=0,"",VLOOKUP(Aux_Lista!$DR$2,Aux_Clima!$A:$O,AB$8,FALSE))</f>
        <v/>
      </c>
      <c r="AC90" s="417" t="str">
        <f>IF($B90=0,"",VLOOKUP(Aux_Lista!$DR$2,Aux_Clima!$A:$O,AC$8,FALSE))</f>
        <v/>
      </c>
      <c r="AD90" s="417" t="str">
        <f>IF($B90=0,"",ROUND(VLOOKUP(Aux_Lista!$DR$2,Aux_Clima!$A:$O,AD$8,FALSE),8))</f>
        <v/>
      </c>
      <c r="AE90" s="417" t="str">
        <f>IF($B90=0,"",ROUND(VLOOKUP(Aux_Lista!$DR$2,Aux_Clima!$A:$O,AE$8,FALSE),8))</f>
        <v/>
      </c>
      <c r="AF90" s="417" t="str">
        <f>IF($B90=0,"",ROUND(VLOOKUP(Aux_Lista!$DR$2,Aux_Clima!$A:$O,AF$8,FALSE),8))</f>
        <v/>
      </c>
      <c r="AG90" s="417" t="str">
        <f>IF($B90=0,"",ROUND(VLOOKUP(Aux_Lista!$DR$2,Aux_Clima!$A:$O,AG$8,FALSE),8))</f>
        <v/>
      </c>
      <c r="AH90" s="417" t="str">
        <f>IF($B90=0,"",ROUND(VLOOKUP(Aux_Lista!$DR$2,Aux_Clima!$A:$O,AH$8,FALSE),8))</f>
        <v/>
      </c>
      <c r="AI90" s="417" t="str">
        <f>IF($B90=0,"",ROUND(VLOOKUP(Aux_Lista!$DR$2,Aux_Clima!$A:$O,AI$8,FALSE),8))</f>
        <v/>
      </c>
      <c r="AJ90" s="417" t="str">
        <f>IF($B90=0,"",ROUND(VLOOKUP(Aux_Lista!$DR$2,Aux_Clima!$A:$O,AJ$8,FALSE),3))</f>
        <v/>
      </c>
      <c r="AK90" s="417" t="str">
        <f>IF($B90=0,"",ROUND(VLOOKUP(Aux_Lista!$DR$2,Aux_Clima!$A:$O,AK$8,FALSE),3))</f>
        <v/>
      </c>
      <c r="AL90" s="417" t="str">
        <f>IF($B90=0,"",ROUND(VLOOKUP(Aux_Lista!$DR$2,Aux_Clima!$A:$O,AL$8,FALSE),3))</f>
        <v/>
      </c>
      <c r="AM90" s="417" t="str">
        <f>IF($B90=0,"",ROUND(VLOOKUP(Aux_Lista!$DR$2,Aux_Clima!$A:$O,AM$8,FALSE),8))</f>
        <v/>
      </c>
      <c r="AN90" s="417" t="str">
        <f>IF($B90=0,"",ROUND(VLOOKUP(Aux_Lista!$DR$2,Aux_Clima!$A:$O,AN$8,FALSE),8))</f>
        <v/>
      </c>
      <c r="AO90" s="417" t="str">
        <f>IF($B90=0,"",ROUND(VLOOKUP(Aux_Lista!$DR$2,Aux_Clima!$A:$O,AO$8,FALSE),8))</f>
        <v/>
      </c>
      <c r="AP90" s="413" t="str">
        <f>IF(B90=0,"",IF(BF90=0,84,VLOOKUP(Envoltória!N98,Componentes!AV:AY,4,FALSE)))</f>
        <v/>
      </c>
      <c r="AQ90" s="413" t="str">
        <f>IF(B90=0,"",IF(BF90=0,90,VLOOKUP(Envoltória!N98,Componentes!AV:AY,3,FALSE)))</f>
        <v/>
      </c>
      <c r="AR90" s="413" t="str">
        <f t="shared" si="6"/>
        <v/>
      </c>
      <c r="AS90" s="413" t="str">
        <f t="shared" si="6"/>
        <v/>
      </c>
      <c r="AT90" s="413" t="str">
        <f t="shared" si="6"/>
        <v/>
      </c>
      <c r="AU90" s="413" t="str">
        <f t="shared" si="6"/>
        <v/>
      </c>
      <c r="AV90" s="413" t="str">
        <f t="shared" si="6"/>
        <v/>
      </c>
      <c r="AW90" s="414" t="str">
        <f>IF($B90=0,"",IFERROR(VLOOKUP(Envoltória!$B98,Aux_Lista!$O:$U,AW$9,FALSE),0))</f>
        <v/>
      </c>
      <c r="AX90" s="414" t="str">
        <f>IF($B90=0,"",IFERROR(VLOOKUP(Envoltória!$B98,Aux_Lista!$O:$U,AX$9,FALSE),0))</f>
        <v/>
      </c>
      <c r="AY90" s="414" t="str">
        <f>IF($B90=0,"",IFERROR(VLOOKUP(Envoltória!$B98,Aux_Lista!$O:$U,AY$9,FALSE),0))</f>
        <v/>
      </c>
      <c r="AZ90" s="414" t="str">
        <f>IF($B90=0,"",IFERROR(VLOOKUP(Envoltória!$B98,Aux_Lista!$O:$U,AZ$9,FALSE),0))</f>
        <v/>
      </c>
      <c r="BA90" s="414" t="str">
        <f>IF($B90=0,"",IFERROR(VLOOKUP(Envoltória!$B98,Aux_Lista!$O:$U,BA$9,FALSE),0))</f>
        <v/>
      </c>
      <c r="BB90" s="414" t="str">
        <f>IF($B90=0,"",IFERROR(VLOOKUP(Envoltória!$B98,Aux_Lista!$O:$U,BB$9,FALSE),0))</f>
        <v/>
      </c>
      <c r="BC90" s="414" t="str">
        <f>IFERROR(VLOOKUP(Envoltória!$H98,Aux_Lista!$W$2:$Y$3,BC$9,FALSE),"")</f>
        <v/>
      </c>
      <c r="BD90" s="414" t="str">
        <f>IFERROR(VLOOKUP(Envoltória!$H98,Aux_Lista!$W$2:$Y$3,BD$9,FALSE),"")</f>
        <v/>
      </c>
      <c r="BE90" s="412" t="str">
        <f t="shared" si="7"/>
        <v/>
      </c>
      <c r="BF90" s="412" t="str">
        <f>IF(B90=0,"",IF(Envoltória!F98="Perimetral",1,0))</f>
        <v/>
      </c>
      <c r="BG90" s="412" t="str">
        <f>IFERROR(VLOOKUP(Envoltória!$G98,$BQ$35:$BZ$43,BG$9,FALSE),"")</f>
        <v/>
      </c>
      <c r="BH90" s="412" t="str">
        <f>IFERROR(VLOOKUP(Envoltória!$G98,$BQ$35:$BZ$43,BH$9,FALSE),"")</f>
        <v/>
      </c>
      <c r="BI90" s="412" t="str">
        <f>IFERROR(VLOOKUP(Envoltória!$G98,$BQ$35:$BZ$43,BI$9,FALSE),"")</f>
        <v/>
      </c>
      <c r="BJ90" s="412" t="str">
        <f>IFERROR(VLOOKUP(Envoltória!$G98,$BQ$35:$BZ$43,BJ$9,FALSE),"")</f>
        <v/>
      </c>
      <c r="BK90" s="412" t="str">
        <f>IFERROR(VLOOKUP(Envoltória!$G98,$BQ$35:$BZ$43,BK$9,FALSE),"")</f>
        <v/>
      </c>
      <c r="BL90" s="412" t="str">
        <f>IFERROR(VLOOKUP(Envoltória!$G98,$BQ$35:$BZ$43,BL$9,FALSE),"")</f>
        <v/>
      </c>
      <c r="BM90" s="412" t="str">
        <f>IFERROR(VLOOKUP(Envoltória!$G98,$BQ$35:$BZ$43,BM$9,FALSE),"")</f>
        <v/>
      </c>
      <c r="BN90" s="412" t="str">
        <f>IFERROR(VLOOKUP(Envoltória!$G98,$BQ$35:$BZ$43,BN$9,FALSE),"")</f>
        <v/>
      </c>
      <c r="BO90" s="412" t="str">
        <f>IFERROR(VLOOKUP(Envoltória!$G98,$BQ$35:$BZ$43,BO$9,FALSE),"")</f>
        <v/>
      </c>
    </row>
    <row r="91" spans="1:68" x14ac:dyDescent="0.25">
      <c r="A91" s="1">
        <v>81</v>
      </c>
      <c r="B91" s="409">
        <f>Envoltória!I99</f>
        <v>0</v>
      </c>
      <c r="C91" s="410">
        <f>Envoltória!B99</f>
        <v>0</v>
      </c>
      <c r="D91" s="410">
        <f>Envoltória!C99</f>
        <v>0</v>
      </c>
      <c r="E91" s="411">
        <f>Envoltória!D99</f>
        <v>0</v>
      </c>
      <c r="F91" s="412" t="str">
        <f>IF(B91=0,"",Envoltória!E99)</f>
        <v/>
      </c>
      <c r="G91" s="412" t="str">
        <f t="shared" si="5"/>
        <v/>
      </c>
      <c r="H91" s="413" t="str">
        <f>IF(B91=0,"",Envoltória!O99/100)</f>
        <v/>
      </c>
      <c r="I91" s="413" t="str">
        <f>IF(B91=0,"",IF(BF91=1,VLOOKUP(Envoltória!N99,Componentes!AV:AY,2,FALSE),89))</f>
        <v/>
      </c>
      <c r="J91" s="414" t="str">
        <f>IF(B91=0,"",IFERROR(VLOOKUP(Envoltória!M99,Componentes!$P:$R,2,FALSE),""))</f>
        <v/>
      </c>
      <c r="K91" s="414" t="str">
        <f>IF(B91=0,"",IFERROR(VLOOKUP(Envoltória!M99,Componentes!$P:$R,3,FALSE),""))</f>
        <v/>
      </c>
      <c r="L91" s="415" t="str">
        <f>IF(B91=0,"",IFERROR(IF(BB91&lt;&gt;0,VLOOKUP(Envoltória!L99,Componentes!K:N,2,FALSE),0),""))</f>
        <v/>
      </c>
      <c r="M91" s="415" t="str">
        <f>IF(B91=0,"",IFERROR(IF(BB91&lt;&gt;0,VLOOKUP(Envoltória!L99,Componentes!K:N,3,FALSE),0),""))</f>
        <v/>
      </c>
      <c r="N91" s="415" t="str">
        <f>IF(B91=0,"",IFERROR(IF(BB91&lt;&gt;0,VLOOKUP(Envoltória!L99,Componentes!K:N,4,FALSE),0),""))</f>
        <v/>
      </c>
      <c r="O91" s="413" t="str">
        <f>IF(B91=0,"",IF(BF91=1,VLOOKUP(Envoltória!J99,Componentes!B:E,2,FALSE),-6))</f>
        <v/>
      </c>
      <c r="P91" s="413" t="str">
        <f>IF(B91=0,"",IF(BF91=1,VLOOKUP(Envoltória!J99,Componentes!B:E,3,FALSE),-400))</f>
        <v/>
      </c>
      <c r="Q91" s="413" t="str">
        <f>IF(B91=0,"",IF(BF91=1,VLOOKUP(Envoltória!J99,Componentes!B:E,4,FALSE),0))</f>
        <v/>
      </c>
      <c r="R91" s="414" t="str">
        <f>IF(B91=0,"",IFERROR(VLOOKUP(Envoltória!K99,Componentes!G:I,2,FALSE),""))</f>
        <v/>
      </c>
      <c r="S91" s="414" t="str">
        <f>IF(B91=0,"",IFERROR(VLOOKUP(Envoltória!K99,Componentes!G:I,3,FALSE),""))</f>
        <v/>
      </c>
      <c r="T91" s="413" t="str">
        <f>IF(B91=0,"",IFERROR(IF(H91&lt;&gt;0,VLOOKUP(Envoltória!N99,Componentes!T:V,3,FALSE),0),""))</f>
        <v/>
      </c>
      <c r="U91" s="413" t="str">
        <f>IF(B91=0,"",IFERROR(IF(H91&lt;&gt;0,VLOOKUP(Envoltória!N99,Componentes!T:V,2,FALSE),0),""))</f>
        <v/>
      </c>
      <c r="V91" s="414" t="str">
        <f>IF(B91=0,"",IFERROR(IF(AA91&lt;&gt;0,VLOOKUP(Envoltória!U99,Componentes!X:Z,2,FALSE),0),0))</f>
        <v/>
      </c>
      <c r="W91" s="414" t="str">
        <f>IF(B91=0,"",IFERROR(IF(AA91&lt;&gt;0,VLOOKUP(Envoltória!U99,Componentes!X:Z,3,FALSE),0),0))</f>
        <v/>
      </c>
      <c r="X91" s="413" t="str">
        <f>IF(B91=0,"",Envoltória!U99)</f>
        <v/>
      </c>
      <c r="Y91" s="413" t="str">
        <f>IF(B91=0,"",Envoltória!S99)</f>
        <v/>
      </c>
      <c r="Z91" s="413" t="str">
        <f>IF(B91=0,"",Envoltória!T99)</f>
        <v/>
      </c>
      <c r="AA91" s="416" t="str">
        <f>IF(B91=0,"",Envoltória!Q99/100)</f>
        <v/>
      </c>
      <c r="AB91" s="417" t="str">
        <f>IF($B91=0,"",VLOOKUP(Aux_Lista!$DR$2,Aux_Clima!$A:$O,AB$8,FALSE))</f>
        <v/>
      </c>
      <c r="AC91" s="417" t="str">
        <f>IF($B91=0,"",VLOOKUP(Aux_Lista!$DR$2,Aux_Clima!$A:$O,AC$8,FALSE))</f>
        <v/>
      </c>
      <c r="AD91" s="417" t="str">
        <f>IF($B91=0,"",ROUND(VLOOKUP(Aux_Lista!$DR$2,Aux_Clima!$A:$O,AD$8,FALSE),8))</f>
        <v/>
      </c>
      <c r="AE91" s="417" t="str">
        <f>IF($B91=0,"",ROUND(VLOOKUP(Aux_Lista!$DR$2,Aux_Clima!$A:$O,AE$8,FALSE),8))</f>
        <v/>
      </c>
      <c r="AF91" s="417" t="str">
        <f>IF($B91=0,"",ROUND(VLOOKUP(Aux_Lista!$DR$2,Aux_Clima!$A:$O,AF$8,FALSE),8))</f>
        <v/>
      </c>
      <c r="AG91" s="417" t="str">
        <f>IF($B91=0,"",ROUND(VLOOKUP(Aux_Lista!$DR$2,Aux_Clima!$A:$O,AG$8,FALSE),8))</f>
        <v/>
      </c>
      <c r="AH91" s="417" t="str">
        <f>IF($B91=0,"",ROUND(VLOOKUP(Aux_Lista!$DR$2,Aux_Clima!$A:$O,AH$8,FALSE),8))</f>
        <v/>
      </c>
      <c r="AI91" s="417" t="str">
        <f>IF($B91=0,"",ROUND(VLOOKUP(Aux_Lista!$DR$2,Aux_Clima!$A:$O,AI$8,FALSE),8))</f>
        <v/>
      </c>
      <c r="AJ91" s="417" t="str">
        <f>IF($B91=0,"",ROUND(VLOOKUP(Aux_Lista!$DR$2,Aux_Clima!$A:$O,AJ$8,FALSE),3))</f>
        <v/>
      </c>
      <c r="AK91" s="417" t="str">
        <f>IF($B91=0,"",ROUND(VLOOKUP(Aux_Lista!$DR$2,Aux_Clima!$A:$O,AK$8,FALSE),3))</f>
        <v/>
      </c>
      <c r="AL91" s="417" t="str">
        <f>IF($B91=0,"",ROUND(VLOOKUP(Aux_Lista!$DR$2,Aux_Clima!$A:$O,AL$8,FALSE),3))</f>
        <v/>
      </c>
      <c r="AM91" s="417" t="str">
        <f>IF($B91=0,"",ROUND(VLOOKUP(Aux_Lista!$DR$2,Aux_Clima!$A:$O,AM$8,FALSE),8))</f>
        <v/>
      </c>
      <c r="AN91" s="417" t="str">
        <f>IF($B91=0,"",ROUND(VLOOKUP(Aux_Lista!$DR$2,Aux_Clima!$A:$O,AN$8,FALSE),8))</f>
        <v/>
      </c>
      <c r="AO91" s="417" t="str">
        <f>IF($B91=0,"",ROUND(VLOOKUP(Aux_Lista!$DR$2,Aux_Clima!$A:$O,AO$8,FALSE),8))</f>
        <v/>
      </c>
      <c r="AP91" s="413" t="str">
        <f>IF(B91=0,"",IF(BF91=0,84,VLOOKUP(Envoltória!N99,Componentes!AV:AY,4,FALSE)))</f>
        <v/>
      </c>
      <c r="AQ91" s="413" t="str">
        <f>IF(B91=0,"",IF(BF91=0,90,VLOOKUP(Envoltória!N99,Componentes!AV:AY,3,FALSE)))</f>
        <v/>
      </c>
      <c r="AR91" s="413" t="str">
        <f t="shared" si="6"/>
        <v/>
      </c>
      <c r="AS91" s="413" t="str">
        <f t="shared" si="6"/>
        <v/>
      </c>
      <c r="AT91" s="413" t="str">
        <f t="shared" si="6"/>
        <v/>
      </c>
      <c r="AU91" s="413" t="str">
        <f t="shared" si="6"/>
        <v/>
      </c>
      <c r="AV91" s="413" t="str">
        <f t="shared" si="6"/>
        <v/>
      </c>
      <c r="AW91" s="414" t="str">
        <f>IF($B91=0,"",IFERROR(VLOOKUP(Envoltória!$B99,Aux_Lista!$O:$U,AW$9,FALSE),0))</f>
        <v/>
      </c>
      <c r="AX91" s="414" t="str">
        <f>IF($B91=0,"",IFERROR(VLOOKUP(Envoltória!$B99,Aux_Lista!$O:$U,AX$9,FALSE),0))</f>
        <v/>
      </c>
      <c r="AY91" s="414" t="str">
        <f>IF($B91=0,"",IFERROR(VLOOKUP(Envoltória!$B99,Aux_Lista!$O:$U,AY$9,FALSE),0))</f>
        <v/>
      </c>
      <c r="AZ91" s="414" t="str">
        <f>IF($B91=0,"",IFERROR(VLOOKUP(Envoltória!$B99,Aux_Lista!$O:$U,AZ$9,FALSE),0))</f>
        <v/>
      </c>
      <c r="BA91" s="414" t="str">
        <f>IF($B91=0,"",IFERROR(VLOOKUP(Envoltória!$B99,Aux_Lista!$O:$U,BA$9,FALSE),0))</f>
        <v/>
      </c>
      <c r="BB91" s="414" t="str">
        <f>IF($B91=0,"",IFERROR(VLOOKUP(Envoltória!$B99,Aux_Lista!$O:$U,BB$9,FALSE),0))</f>
        <v/>
      </c>
      <c r="BC91" s="414" t="str">
        <f>IFERROR(VLOOKUP(Envoltória!$H99,Aux_Lista!$W$2:$Y$3,BC$9,FALSE),"")</f>
        <v/>
      </c>
      <c r="BD91" s="414" t="str">
        <f>IFERROR(VLOOKUP(Envoltória!$H99,Aux_Lista!$W$2:$Y$3,BD$9,FALSE),"")</f>
        <v/>
      </c>
      <c r="BE91" s="412" t="str">
        <f t="shared" si="7"/>
        <v/>
      </c>
      <c r="BF91" s="412" t="str">
        <f>IF(B91=0,"",IF(Envoltória!F99="Perimetral",1,0))</f>
        <v/>
      </c>
      <c r="BG91" s="412" t="str">
        <f>IFERROR(VLOOKUP(Envoltória!$G99,$BQ$35:$BZ$43,BG$9,FALSE),"")</f>
        <v/>
      </c>
      <c r="BH91" s="412" t="str">
        <f>IFERROR(VLOOKUP(Envoltória!$G99,$BQ$35:$BZ$43,BH$9,FALSE),"")</f>
        <v/>
      </c>
      <c r="BI91" s="412" t="str">
        <f>IFERROR(VLOOKUP(Envoltória!$G99,$BQ$35:$BZ$43,BI$9,FALSE),"")</f>
        <v/>
      </c>
      <c r="BJ91" s="412" t="str">
        <f>IFERROR(VLOOKUP(Envoltória!$G99,$BQ$35:$BZ$43,BJ$9,FALSE),"")</f>
        <v/>
      </c>
      <c r="BK91" s="412" t="str">
        <f>IFERROR(VLOOKUP(Envoltória!$G99,$BQ$35:$BZ$43,BK$9,FALSE),"")</f>
        <v/>
      </c>
      <c r="BL91" s="412" t="str">
        <f>IFERROR(VLOOKUP(Envoltória!$G99,$BQ$35:$BZ$43,BL$9,FALSE),"")</f>
        <v/>
      </c>
      <c r="BM91" s="412" t="str">
        <f>IFERROR(VLOOKUP(Envoltória!$G99,$BQ$35:$BZ$43,BM$9,FALSE),"")</f>
        <v/>
      </c>
      <c r="BN91" s="412" t="str">
        <f>IFERROR(VLOOKUP(Envoltória!$G99,$BQ$35:$BZ$43,BN$9,FALSE),"")</f>
        <v/>
      </c>
      <c r="BO91" s="412" t="str">
        <f>IFERROR(VLOOKUP(Envoltória!$G99,$BQ$35:$BZ$43,BO$9,FALSE),"")</f>
        <v/>
      </c>
    </row>
    <row r="92" spans="1:68" x14ac:dyDescent="0.25">
      <c r="A92" s="1">
        <v>82</v>
      </c>
      <c r="B92" s="409">
        <f>Envoltória!I100</f>
        <v>0</v>
      </c>
      <c r="C92" s="410">
        <f>Envoltória!B100</f>
        <v>0</v>
      </c>
      <c r="D92" s="410">
        <f>Envoltória!C100</f>
        <v>0</v>
      </c>
      <c r="E92" s="411">
        <f>Envoltória!D100</f>
        <v>0</v>
      </c>
      <c r="F92" s="412" t="str">
        <f>IF(B92=0,"",Envoltória!E100)</f>
        <v/>
      </c>
      <c r="G92" s="412" t="str">
        <f t="shared" si="5"/>
        <v/>
      </c>
      <c r="H92" s="413" t="str">
        <f>IF(B92=0,"",Envoltória!O100/100)</f>
        <v/>
      </c>
      <c r="I92" s="413" t="str">
        <f>IF(B92=0,"",IF(BF92=1,VLOOKUP(Envoltória!N100,Componentes!AV:AY,2,FALSE),89))</f>
        <v/>
      </c>
      <c r="J92" s="414" t="str">
        <f>IF(B92=0,"",IFERROR(VLOOKUP(Envoltória!M100,Componentes!$P:$R,2,FALSE),""))</f>
        <v/>
      </c>
      <c r="K92" s="414" t="str">
        <f>IF(B92=0,"",IFERROR(VLOOKUP(Envoltória!M100,Componentes!$P:$R,3,FALSE),""))</f>
        <v/>
      </c>
      <c r="L92" s="415" t="str">
        <f>IF(B92=0,"",IFERROR(IF(BB92&lt;&gt;0,VLOOKUP(Envoltória!L100,Componentes!K:N,2,FALSE),0),""))</f>
        <v/>
      </c>
      <c r="M92" s="415" t="str">
        <f>IF(B92=0,"",IFERROR(IF(BB92&lt;&gt;0,VLOOKUP(Envoltória!L100,Componentes!K:N,3,FALSE),0),""))</f>
        <v/>
      </c>
      <c r="N92" s="415" t="str">
        <f>IF(B92=0,"",IFERROR(IF(BB92&lt;&gt;0,VLOOKUP(Envoltória!L100,Componentes!K:N,4,FALSE),0),""))</f>
        <v/>
      </c>
      <c r="O92" s="413" t="str">
        <f>IF(B92=0,"",IF(BF92=1,VLOOKUP(Envoltória!J100,Componentes!B:E,2,FALSE),-6))</f>
        <v/>
      </c>
      <c r="P92" s="413" t="str">
        <f>IF(B92=0,"",IF(BF92=1,VLOOKUP(Envoltória!J100,Componentes!B:E,3,FALSE),-400))</f>
        <v/>
      </c>
      <c r="Q92" s="413" t="str">
        <f>IF(B92=0,"",IF(BF92=1,VLOOKUP(Envoltória!J100,Componentes!B:E,4,FALSE),0))</f>
        <v/>
      </c>
      <c r="R92" s="414" t="str">
        <f>IF(B92=0,"",IFERROR(VLOOKUP(Envoltória!K100,Componentes!G:I,2,FALSE),""))</f>
        <v/>
      </c>
      <c r="S92" s="414" t="str">
        <f>IF(B92=0,"",IFERROR(VLOOKUP(Envoltória!K100,Componentes!G:I,3,FALSE),""))</f>
        <v/>
      </c>
      <c r="T92" s="413" t="str">
        <f>IF(B92=0,"",IFERROR(IF(H92&lt;&gt;0,VLOOKUP(Envoltória!N100,Componentes!T:V,3,FALSE),0),""))</f>
        <v/>
      </c>
      <c r="U92" s="413" t="str">
        <f>IF(B92=0,"",IFERROR(IF(H92&lt;&gt;0,VLOOKUP(Envoltória!N100,Componentes!T:V,2,FALSE),0),""))</f>
        <v/>
      </c>
      <c r="V92" s="414" t="str">
        <f>IF(B92=0,"",IFERROR(IF(AA92&lt;&gt;0,VLOOKUP(Envoltória!U100,Componentes!X:Z,2,FALSE),0),0))</f>
        <v/>
      </c>
      <c r="W92" s="414" t="str">
        <f>IF(B92=0,"",IFERROR(IF(AA92&lt;&gt;0,VLOOKUP(Envoltória!U100,Componentes!X:Z,3,FALSE),0),0))</f>
        <v/>
      </c>
      <c r="X92" s="413" t="str">
        <f>IF(B92=0,"",Envoltória!U100)</f>
        <v/>
      </c>
      <c r="Y92" s="413" t="str">
        <f>IF(B92=0,"",Envoltória!S100)</f>
        <v/>
      </c>
      <c r="Z92" s="413" t="str">
        <f>IF(B92=0,"",Envoltória!T100)</f>
        <v/>
      </c>
      <c r="AA92" s="416" t="str">
        <f>IF(B92=0,"",Envoltória!Q100/100)</f>
        <v/>
      </c>
      <c r="AB92" s="417" t="str">
        <f>IF($B92=0,"",VLOOKUP(Aux_Lista!$DR$2,Aux_Clima!$A:$O,AB$8,FALSE))</f>
        <v/>
      </c>
      <c r="AC92" s="417" t="str">
        <f>IF($B92=0,"",VLOOKUP(Aux_Lista!$DR$2,Aux_Clima!$A:$O,AC$8,FALSE))</f>
        <v/>
      </c>
      <c r="AD92" s="417" t="str">
        <f>IF($B92=0,"",ROUND(VLOOKUP(Aux_Lista!$DR$2,Aux_Clima!$A:$O,AD$8,FALSE),8))</f>
        <v/>
      </c>
      <c r="AE92" s="417" t="str">
        <f>IF($B92=0,"",ROUND(VLOOKUP(Aux_Lista!$DR$2,Aux_Clima!$A:$O,AE$8,FALSE),8))</f>
        <v/>
      </c>
      <c r="AF92" s="417" t="str">
        <f>IF($B92=0,"",ROUND(VLOOKUP(Aux_Lista!$DR$2,Aux_Clima!$A:$O,AF$8,FALSE),8))</f>
        <v/>
      </c>
      <c r="AG92" s="417" t="str">
        <f>IF($B92=0,"",ROUND(VLOOKUP(Aux_Lista!$DR$2,Aux_Clima!$A:$O,AG$8,FALSE),8))</f>
        <v/>
      </c>
      <c r="AH92" s="417" t="str">
        <f>IF($B92=0,"",ROUND(VLOOKUP(Aux_Lista!$DR$2,Aux_Clima!$A:$O,AH$8,FALSE),8))</f>
        <v/>
      </c>
      <c r="AI92" s="417" t="str">
        <f>IF($B92=0,"",ROUND(VLOOKUP(Aux_Lista!$DR$2,Aux_Clima!$A:$O,AI$8,FALSE),8))</f>
        <v/>
      </c>
      <c r="AJ92" s="417" t="str">
        <f>IF($B92=0,"",ROUND(VLOOKUP(Aux_Lista!$DR$2,Aux_Clima!$A:$O,AJ$8,FALSE),3))</f>
        <v/>
      </c>
      <c r="AK92" s="417" t="str">
        <f>IF($B92=0,"",ROUND(VLOOKUP(Aux_Lista!$DR$2,Aux_Clima!$A:$O,AK$8,FALSE),3))</f>
        <v/>
      </c>
      <c r="AL92" s="417" t="str">
        <f>IF($B92=0,"",ROUND(VLOOKUP(Aux_Lista!$DR$2,Aux_Clima!$A:$O,AL$8,FALSE),3))</f>
        <v/>
      </c>
      <c r="AM92" s="417" t="str">
        <f>IF($B92=0,"",ROUND(VLOOKUP(Aux_Lista!$DR$2,Aux_Clima!$A:$O,AM$8,FALSE),8))</f>
        <v/>
      </c>
      <c r="AN92" s="417" t="str">
        <f>IF($B92=0,"",ROUND(VLOOKUP(Aux_Lista!$DR$2,Aux_Clima!$A:$O,AN$8,FALSE),8))</f>
        <v/>
      </c>
      <c r="AO92" s="417" t="str">
        <f>IF($B92=0,"",ROUND(VLOOKUP(Aux_Lista!$DR$2,Aux_Clima!$A:$O,AO$8,FALSE),8))</f>
        <v/>
      </c>
      <c r="AP92" s="413" t="str">
        <f>IF(B92=0,"",IF(BF92=0,84,VLOOKUP(Envoltória!N100,Componentes!AV:AY,4,FALSE)))</f>
        <v/>
      </c>
      <c r="AQ92" s="413" t="str">
        <f>IF(B92=0,"",IF(BF92=0,90,VLOOKUP(Envoltória!N100,Componentes!AV:AY,3,FALSE)))</f>
        <v/>
      </c>
      <c r="AR92" s="413" t="str">
        <f t="shared" si="6"/>
        <v/>
      </c>
      <c r="AS92" s="413" t="str">
        <f t="shared" si="6"/>
        <v/>
      </c>
      <c r="AT92" s="413" t="str">
        <f t="shared" si="6"/>
        <v/>
      </c>
      <c r="AU92" s="413" t="str">
        <f t="shared" si="6"/>
        <v/>
      </c>
      <c r="AV92" s="413" t="str">
        <f t="shared" si="6"/>
        <v/>
      </c>
      <c r="AW92" s="414" t="str">
        <f>IF($B92=0,"",IFERROR(VLOOKUP(Envoltória!$B100,Aux_Lista!$O:$U,AW$9,FALSE),0))</f>
        <v/>
      </c>
      <c r="AX92" s="414" t="str">
        <f>IF($B92=0,"",IFERROR(VLOOKUP(Envoltória!$B100,Aux_Lista!$O:$U,AX$9,FALSE),0))</f>
        <v/>
      </c>
      <c r="AY92" s="414" t="str">
        <f>IF($B92=0,"",IFERROR(VLOOKUP(Envoltória!$B100,Aux_Lista!$O:$U,AY$9,FALSE),0))</f>
        <v/>
      </c>
      <c r="AZ92" s="414" t="str">
        <f>IF($B92=0,"",IFERROR(VLOOKUP(Envoltória!$B100,Aux_Lista!$O:$U,AZ$9,FALSE),0))</f>
        <v/>
      </c>
      <c r="BA92" s="414" t="str">
        <f>IF($B92=0,"",IFERROR(VLOOKUP(Envoltória!$B100,Aux_Lista!$O:$U,BA$9,FALSE),0))</f>
        <v/>
      </c>
      <c r="BB92" s="414" t="str">
        <f>IF($B92=0,"",IFERROR(VLOOKUP(Envoltória!$B100,Aux_Lista!$O:$U,BB$9,FALSE),0))</f>
        <v/>
      </c>
      <c r="BC92" s="414" t="str">
        <f>IFERROR(VLOOKUP(Envoltória!$H100,Aux_Lista!$W$2:$Y$3,BC$9,FALSE),"")</f>
        <v/>
      </c>
      <c r="BD92" s="414" t="str">
        <f>IFERROR(VLOOKUP(Envoltória!$H100,Aux_Lista!$W$2:$Y$3,BD$9,FALSE),"")</f>
        <v/>
      </c>
      <c r="BE92" s="412" t="str">
        <f t="shared" si="7"/>
        <v/>
      </c>
      <c r="BF92" s="412" t="str">
        <f>IF(B92=0,"",IF(Envoltória!F100="Perimetral",1,0))</f>
        <v/>
      </c>
      <c r="BG92" s="412" t="str">
        <f>IFERROR(VLOOKUP(Envoltória!$G100,$BQ$35:$BZ$43,BG$9,FALSE),"")</f>
        <v/>
      </c>
      <c r="BH92" s="412" t="str">
        <f>IFERROR(VLOOKUP(Envoltória!$G100,$BQ$35:$BZ$43,BH$9,FALSE),"")</f>
        <v/>
      </c>
      <c r="BI92" s="412" t="str">
        <f>IFERROR(VLOOKUP(Envoltória!$G100,$BQ$35:$BZ$43,BI$9,FALSE),"")</f>
        <v/>
      </c>
      <c r="BJ92" s="412" t="str">
        <f>IFERROR(VLOOKUP(Envoltória!$G100,$BQ$35:$BZ$43,BJ$9,FALSE),"")</f>
        <v/>
      </c>
      <c r="BK92" s="412" t="str">
        <f>IFERROR(VLOOKUP(Envoltória!$G100,$BQ$35:$BZ$43,BK$9,FALSE),"")</f>
        <v/>
      </c>
      <c r="BL92" s="412" t="str">
        <f>IFERROR(VLOOKUP(Envoltória!$G100,$BQ$35:$BZ$43,BL$9,FALSE),"")</f>
        <v/>
      </c>
      <c r="BM92" s="412" t="str">
        <f>IFERROR(VLOOKUP(Envoltória!$G100,$BQ$35:$BZ$43,BM$9,FALSE),"")</f>
        <v/>
      </c>
      <c r="BN92" s="412" t="str">
        <f>IFERROR(VLOOKUP(Envoltória!$G100,$BQ$35:$BZ$43,BN$9,FALSE),"")</f>
        <v/>
      </c>
      <c r="BO92" s="412" t="str">
        <f>IFERROR(VLOOKUP(Envoltória!$G100,$BQ$35:$BZ$43,BO$9,FALSE),"")</f>
        <v/>
      </c>
    </row>
    <row r="93" spans="1:68" x14ac:dyDescent="0.25">
      <c r="A93" s="1">
        <v>83</v>
      </c>
      <c r="B93" s="409">
        <f>Envoltória!I101</f>
        <v>0</v>
      </c>
      <c r="C93" s="410">
        <f>Envoltória!B101</f>
        <v>0</v>
      </c>
      <c r="D93" s="410">
        <f>Envoltória!C101</f>
        <v>0</v>
      </c>
      <c r="E93" s="411">
        <f>Envoltória!D101</f>
        <v>0</v>
      </c>
      <c r="F93" s="412" t="str">
        <f>IF(B93=0,"",Envoltória!E101)</f>
        <v/>
      </c>
      <c r="G93" s="412" t="str">
        <f t="shared" si="5"/>
        <v/>
      </c>
      <c r="H93" s="413" t="str">
        <f>IF(B93=0,"",Envoltória!O101/100)</f>
        <v/>
      </c>
      <c r="I93" s="413" t="str">
        <f>IF(B93=0,"",IF(BF93=1,VLOOKUP(Envoltória!N101,Componentes!AV:AY,2,FALSE),89))</f>
        <v/>
      </c>
      <c r="J93" s="414" t="str">
        <f>IF(B93=0,"",IFERROR(VLOOKUP(Envoltória!M101,Componentes!$P:$R,2,FALSE),""))</f>
        <v/>
      </c>
      <c r="K93" s="414" t="str">
        <f>IF(B93=0,"",IFERROR(VLOOKUP(Envoltória!M101,Componentes!$P:$R,3,FALSE),""))</f>
        <v/>
      </c>
      <c r="L93" s="415" t="str">
        <f>IF(B93=0,"",IFERROR(IF(BB93&lt;&gt;0,VLOOKUP(Envoltória!L101,Componentes!K:N,2,FALSE),0),""))</f>
        <v/>
      </c>
      <c r="M93" s="415" t="str">
        <f>IF(B93=0,"",IFERROR(IF(BB93&lt;&gt;0,VLOOKUP(Envoltória!L101,Componentes!K:N,3,FALSE),0),""))</f>
        <v/>
      </c>
      <c r="N93" s="415" t="str">
        <f>IF(B93=0,"",IFERROR(IF(BB93&lt;&gt;0,VLOOKUP(Envoltória!L101,Componentes!K:N,4,FALSE),0),""))</f>
        <v/>
      </c>
      <c r="O93" s="413" t="str">
        <f>IF(B93=0,"",IF(BF93=1,VLOOKUP(Envoltória!J101,Componentes!B:E,2,FALSE),-6))</f>
        <v/>
      </c>
      <c r="P93" s="413" t="str">
        <f>IF(B93=0,"",IF(BF93=1,VLOOKUP(Envoltória!J101,Componentes!B:E,3,FALSE),-400))</f>
        <v/>
      </c>
      <c r="Q93" s="413" t="str">
        <f>IF(B93=0,"",IF(BF93=1,VLOOKUP(Envoltória!J101,Componentes!B:E,4,FALSE),0))</f>
        <v/>
      </c>
      <c r="R93" s="414" t="str">
        <f>IF(B93=0,"",IFERROR(VLOOKUP(Envoltória!K101,Componentes!G:I,2,FALSE),""))</f>
        <v/>
      </c>
      <c r="S93" s="414" t="str">
        <f>IF(B93=0,"",IFERROR(VLOOKUP(Envoltória!K101,Componentes!G:I,3,FALSE),""))</f>
        <v/>
      </c>
      <c r="T93" s="413" t="str">
        <f>IF(B93=0,"",IFERROR(IF(H93&lt;&gt;0,VLOOKUP(Envoltória!N101,Componentes!T:V,3,FALSE),0),""))</f>
        <v/>
      </c>
      <c r="U93" s="413" t="str">
        <f>IF(B93=0,"",IFERROR(IF(H93&lt;&gt;0,VLOOKUP(Envoltória!N101,Componentes!T:V,2,FALSE),0),""))</f>
        <v/>
      </c>
      <c r="V93" s="414" t="str">
        <f>IF(B93=0,"",IFERROR(IF(AA93&lt;&gt;0,VLOOKUP(Envoltória!U101,Componentes!X:Z,2,FALSE),0),0))</f>
        <v/>
      </c>
      <c r="W93" s="414" t="str">
        <f>IF(B93=0,"",IFERROR(IF(AA93&lt;&gt;0,VLOOKUP(Envoltória!U101,Componentes!X:Z,3,FALSE),0),0))</f>
        <v/>
      </c>
      <c r="X93" s="413" t="str">
        <f>IF(B93=0,"",Envoltória!U101)</f>
        <v/>
      </c>
      <c r="Y93" s="413" t="str">
        <f>IF(B93=0,"",Envoltória!S101)</f>
        <v/>
      </c>
      <c r="Z93" s="413" t="str">
        <f>IF(B93=0,"",Envoltória!T101)</f>
        <v/>
      </c>
      <c r="AA93" s="416" t="str">
        <f>IF(B93=0,"",Envoltória!Q101/100)</f>
        <v/>
      </c>
      <c r="AB93" s="417" t="str">
        <f>IF($B93=0,"",VLOOKUP(Aux_Lista!$DR$2,Aux_Clima!$A:$O,AB$8,FALSE))</f>
        <v/>
      </c>
      <c r="AC93" s="417" t="str">
        <f>IF($B93=0,"",VLOOKUP(Aux_Lista!$DR$2,Aux_Clima!$A:$O,AC$8,FALSE))</f>
        <v/>
      </c>
      <c r="AD93" s="417" t="str">
        <f>IF($B93=0,"",ROUND(VLOOKUP(Aux_Lista!$DR$2,Aux_Clima!$A:$O,AD$8,FALSE),8))</f>
        <v/>
      </c>
      <c r="AE93" s="417" t="str">
        <f>IF($B93=0,"",ROUND(VLOOKUP(Aux_Lista!$DR$2,Aux_Clima!$A:$O,AE$8,FALSE),8))</f>
        <v/>
      </c>
      <c r="AF93" s="417" t="str">
        <f>IF($B93=0,"",ROUND(VLOOKUP(Aux_Lista!$DR$2,Aux_Clima!$A:$O,AF$8,FALSE),8))</f>
        <v/>
      </c>
      <c r="AG93" s="417" t="str">
        <f>IF($B93=0,"",ROUND(VLOOKUP(Aux_Lista!$DR$2,Aux_Clima!$A:$O,AG$8,FALSE),8))</f>
        <v/>
      </c>
      <c r="AH93" s="417" t="str">
        <f>IF($B93=0,"",ROUND(VLOOKUP(Aux_Lista!$DR$2,Aux_Clima!$A:$O,AH$8,FALSE),8))</f>
        <v/>
      </c>
      <c r="AI93" s="417" t="str">
        <f>IF($B93=0,"",ROUND(VLOOKUP(Aux_Lista!$DR$2,Aux_Clima!$A:$O,AI$8,FALSE),8))</f>
        <v/>
      </c>
      <c r="AJ93" s="417" t="str">
        <f>IF($B93=0,"",ROUND(VLOOKUP(Aux_Lista!$DR$2,Aux_Clima!$A:$O,AJ$8,FALSE),3))</f>
        <v/>
      </c>
      <c r="AK93" s="417" t="str">
        <f>IF($B93=0,"",ROUND(VLOOKUP(Aux_Lista!$DR$2,Aux_Clima!$A:$O,AK$8,FALSE),3))</f>
        <v/>
      </c>
      <c r="AL93" s="417" t="str">
        <f>IF($B93=0,"",ROUND(VLOOKUP(Aux_Lista!$DR$2,Aux_Clima!$A:$O,AL$8,FALSE),3))</f>
        <v/>
      </c>
      <c r="AM93" s="417" t="str">
        <f>IF($B93=0,"",ROUND(VLOOKUP(Aux_Lista!$DR$2,Aux_Clima!$A:$O,AM$8,FALSE),8))</f>
        <v/>
      </c>
      <c r="AN93" s="417" t="str">
        <f>IF($B93=0,"",ROUND(VLOOKUP(Aux_Lista!$DR$2,Aux_Clima!$A:$O,AN$8,FALSE),8))</f>
        <v/>
      </c>
      <c r="AO93" s="417" t="str">
        <f>IF($B93=0,"",ROUND(VLOOKUP(Aux_Lista!$DR$2,Aux_Clima!$A:$O,AO$8,FALSE),8))</f>
        <v/>
      </c>
      <c r="AP93" s="413" t="str">
        <f>IF(B93=0,"",IF(BF93=0,84,VLOOKUP(Envoltória!N101,Componentes!AV:AY,4,FALSE)))</f>
        <v/>
      </c>
      <c r="AQ93" s="413" t="str">
        <f>IF(B93=0,"",IF(BF93=0,90,VLOOKUP(Envoltória!N101,Componentes!AV:AY,3,FALSE)))</f>
        <v/>
      </c>
      <c r="AR93" s="413" t="str">
        <f t="shared" si="6"/>
        <v/>
      </c>
      <c r="AS93" s="413" t="str">
        <f t="shared" si="6"/>
        <v/>
      </c>
      <c r="AT93" s="413" t="str">
        <f t="shared" si="6"/>
        <v/>
      </c>
      <c r="AU93" s="413" t="str">
        <f t="shared" si="6"/>
        <v/>
      </c>
      <c r="AV93" s="413" t="str">
        <f t="shared" si="6"/>
        <v/>
      </c>
      <c r="AW93" s="414" t="str">
        <f>IF($B93=0,"",IFERROR(VLOOKUP(Envoltória!$B101,Aux_Lista!$O:$U,AW$9,FALSE),0))</f>
        <v/>
      </c>
      <c r="AX93" s="414" t="str">
        <f>IF($B93=0,"",IFERROR(VLOOKUP(Envoltória!$B101,Aux_Lista!$O:$U,AX$9,FALSE),0))</f>
        <v/>
      </c>
      <c r="AY93" s="414" t="str">
        <f>IF($B93=0,"",IFERROR(VLOOKUP(Envoltória!$B101,Aux_Lista!$O:$U,AY$9,FALSE),0))</f>
        <v/>
      </c>
      <c r="AZ93" s="414" t="str">
        <f>IF($B93=0,"",IFERROR(VLOOKUP(Envoltória!$B101,Aux_Lista!$O:$U,AZ$9,FALSE),0))</f>
        <v/>
      </c>
      <c r="BA93" s="414" t="str">
        <f>IF($B93=0,"",IFERROR(VLOOKUP(Envoltória!$B101,Aux_Lista!$O:$U,BA$9,FALSE),0))</f>
        <v/>
      </c>
      <c r="BB93" s="414" t="str">
        <f>IF($B93=0,"",IFERROR(VLOOKUP(Envoltória!$B101,Aux_Lista!$O:$U,BB$9,FALSE),0))</f>
        <v/>
      </c>
      <c r="BC93" s="414" t="str">
        <f>IFERROR(VLOOKUP(Envoltória!$H101,Aux_Lista!$W$2:$Y$3,BC$9,FALSE),"")</f>
        <v/>
      </c>
      <c r="BD93" s="414" t="str">
        <f>IFERROR(VLOOKUP(Envoltória!$H101,Aux_Lista!$W$2:$Y$3,BD$9,FALSE),"")</f>
        <v/>
      </c>
      <c r="BE93" s="412" t="str">
        <f t="shared" si="7"/>
        <v/>
      </c>
      <c r="BF93" s="412" t="str">
        <f>IF(B93=0,"",IF(Envoltória!F101="Perimetral",1,0))</f>
        <v/>
      </c>
      <c r="BG93" s="412" t="str">
        <f>IFERROR(VLOOKUP(Envoltória!$G101,$BQ$35:$BZ$43,BG$9,FALSE),"")</f>
        <v/>
      </c>
      <c r="BH93" s="412" t="str">
        <f>IFERROR(VLOOKUP(Envoltória!$G101,$BQ$35:$BZ$43,BH$9,FALSE),"")</f>
        <v/>
      </c>
      <c r="BI93" s="412" t="str">
        <f>IFERROR(VLOOKUP(Envoltória!$G101,$BQ$35:$BZ$43,BI$9,FALSE),"")</f>
        <v/>
      </c>
      <c r="BJ93" s="412" t="str">
        <f>IFERROR(VLOOKUP(Envoltória!$G101,$BQ$35:$BZ$43,BJ$9,FALSE),"")</f>
        <v/>
      </c>
      <c r="BK93" s="412" t="str">
        <f>IFERROR(VLOOKUP(Envoltória!$G101,$BQ$35:$BZ$43,BK$9,FALSE),"")</f>
        <v/>
      </c>
      <c r="BL93" s="412" t="str">
        <f>IFERROR(VLOOKUP(Envoltória!$G101,$BQ$35:$BZ$43,BL$9,FALSE),"")</f>
        <v/>
      </c>
      <c r="BM93" s="412" t="str">
        <f>IFERROR(VLOOKUP(Envoltória!$G101,$BQ$35:$BZ$43,BM$9,FALSE),"")</f>
        <v/>
      </c>
      <c r="BN93" s="412" t="str">
        <f>IFERROR(VLOOKUP(Envoltória!$G101,$BQ$35:$BZ$43,BN$9,FALSE),"")</f>
        <v/>
      </c>
      <c r="BO93" s="412" t="str">
        <f>IFERROR(VLOOKUP(Envoltória!$G101,$BQ$35:$BZ$43,BO$9,FALSE),"")</f>
        <v/>
      </c>
    </row>
    <row r="94" spans="1:68" x14ac:dyDescent="0.25">
      <c r="A94" s="1">
        <v>84</v>
      </c>
      <c r="B94" s="409">
        <f>Envoltória!I102</f>
        <v>0</v>
      </c>
      <c r="C94" s="410">
        <f>Envoltória!B102</f>
        <v>0</v>
      </c>
      <c r="D94" s="410">
        <f>Envoltória!C102</f>
        <v>0</v>
      </c>
      <c r="E94" s="411">
        <f>Envoltória!D102</f>
        <v>0</v>
      </c>
      <c r="F94" s="412" t="str">
        <f>IF(B94=0,"",Envoltória!E102)</f>
        <v/>
      </c>
      <c r="G94" s="412" t="str">
        <f t="shared" si="5"/>
        <v/>
      </c>
      <c r="H94" s="413" t="str">
        <f>IF(B94=0,"",Envoltória!O102/100)</f>
        <v/>
      </c>
      <c r="I94" s="413" t="str">
        <f>IF(B94=0,"",IF(BF94=1,VLOOKUP(Envoltória!N102,Componentes!AV:AY,2,FALSE),89))</f>
        <v/>
      </c>
      <c r="J94" s="414" t="str">
        <f>IF(B94=0,"",IFERROR(VLOOKUP(Envoltória!M102,Componentes!$P:$R,2,FALSE),""))</f>
        <v/>
      </c>
      <c r="K94" s="414" t="str">
        <f>IF(B94=0,"",IFERROR(VLOOKUP(Envoltória!M102,Componentes!$P:$R,3,FALSE),""))</f>
        <v/>
      </c>
      <c r="L94" s="415" t="str">
        <f>IF(B94=0,"",IFERROR(IF(BB94&lt;&gt;0,VLOOKUP(Envoltória!L102,Componentes!K:N,2,FALSE),0),""))</f>
        <v/>
      </c>
      <c r="M94" s="415" t="str">
        <f>IF(B94=0,"",IFERROR(IF(BB94&lt;&gt;0,VLOOKUP(Envoltória!L102,Componentes!K:N,3,FALSE),0),""))</f>
        <v/>
      </c>
      <c r="N94" s="415" t="str">
        <f>IF(B94=0,"",IFERROR(IF(BB94&lt;&gt;0,VLOOKUP(Envoltória!L102,Componentes!K:N,4,FALSE),0),""))</f>
        <v/>
      </c>
      <c r="O94" s="413" t="str">
        <f>IF(B94=0,"",IF(BF94=1,VLOOKUP(Envoltória!J102,Componentes!B:E,2,FALSE),-6))</f>
        <v/>
      </c>
      <c r="P94" s="413" t="str">
        <f>IF(B94=0,"",IF(BF94=1,VLOOKUP(Envoltória!J102,Componentes!B:E,3,FALSE),-400))</f>
        <v/>
      </c>
      <c r="Q94" s="413" t="str">
        <f>IF(B94=0,"",IF(BF94=1,VLOOKUP(Envoltória!J102,Componentes!B:E,4,FALSE),0))</f>
        <v/>
      </c>
      <c r="R94" s="414" t="str">
        <f>IF(B94=0,"",IFERROR(VLOOKUP(Envoltória!K102,Componentes!G:I,2,FALSE),""))</f>
        <v/>
      </c>
      <c r="S94" s="414" t="str">
        <f>IF(B94=0,"",IFERROR(VLOOKUP(Envoltória!K102,Componentes!G:I,3,FALSE),""))</f>
        <v/>
      </c>
      <c r="T94" s="413" t="str">
        <f>IF(B94=0,"",IFERROR(IF(H94&lt;&gt;0,VLOOKUP(Envoltória!N102,Componentes!T:V,3,FALSE),0),""))</f>
        <v/>
      </c>
      <c r="U94" s="413" t="str">
        <f>IF(B94=0,"",IFERROR(IF(H94&lt;&gt;0,VLOOKUP(Envoltória!N102,Componentes!T:V,2,FALSE),0),""))</f>
        <v/>
      </c>
      <c r="V94" s="414" t="str">
        <f>IF(B94=0,"",IFERROR(IF(AA94&lt;&gt;0,VLOOKUP(Envoltória!U102,Componentes!X:Z,2,FALSE),0),0))</f>
        <v/>
      </c>
      <c r="W94" s="414" t="str">
        <f>IF(B94=0,"",IFERROR(IF(AA94&lt;&gt;0,VLOOKUP(Envoltória!U102,Componentes!X:Z,3,FALSE),0),0))</f>
        <v/>
      </c>
      <c r="X94" s="413" t="str">
        <f>IF(B94=0,"",Envoltória!U102)</f>
        <v/>
      </c>
      <c r="Y94" s="413" t="str">
        <f>IF(B94=0,"",Envoltória!S102)</f>
        <v/>
      </c>
      <c r="Z94" s="413" t="str">
        <f>IF(B94=0,"",Envoltória!T102)</f>
        <v/>
      </c>
      <c r="AA94" s="416" t="str">
        <f>IF(B94=0,"",Envoltória!Q102/100)</f>
        <v/>
      </c>
      <c r="AB94" s="417" t="str">
        <f>IF($B94=0,"",VLOOKUP(Aux_Lista!$DR$2,Aux_Clima!$A:$O,AB$8,FALSE))</f>
        <v/>
      </c>
      <c r="AC94" s="417" t="str">
        <f>IF($B94=0,"",VLOOKUP(Aux_Lista!$DR$2,Aux_Clima!$A:$O,AC$8,FALSE))</f>
        <v/>
      </c>
      <c r="AD94" s="417" t="str">
        <f>IF($B94=0,"",ROUND(VLOOKUP(Aux_Lista!$DR$2,Aux_Clima!$A:$O,AD$8,FALSE),8))</f>
        <v/>
      </c>
      <c r="AE94" s="417" t="str">
        <f>IF($B94=0,"",ROUND(VLOOKUP(Aux_Lista!$DR$2,Aux_Clima!$A:$O,AE$8,FALSE),8))</f>
        <v/>
      </c>
      <c r="AF94" s="417" t="str">
        <f>IF($B94=0,"",ROUND(VLOOKUP(Aux_Lista!$DR$2,Aux_Clima!$A:$O,AF$8,FALSE),8))</f>
        <v/>
      </c>
      <c r="AG94" s="417" t="str">
        <f>IF($B94=0,"",ROUND(VLOOKUP(Aux_Lista!$DR$2,Aux_Clima!$A:$O,AG$8,FALSE),8))</f>
        <v/>
      </c>
      <c r="AH94" s="417" t="str">
        <f>IF($B94=0,"",ROUND(VLOOKUP(Aux_Lista!$DR$2,Aux_Clima!$A:$O,AH$8,FALSE),8))</f>
        <v/>
      </c>
      <c r="AI94" s="417" t="str">
        <f>IF($B94=0,"",ROUND(VLOOKUP(Aux_Lista!$DR$2,Aux_Clima!$A:$O,AI$8,FALSE),8))</f>
        <v/>
      </c>
      <c r="AJ94" s="417" t="str">
        <f>IF($B94=0,"",ROUND(VLOOKUP(Aux_Lista!$DR$2,Aux_Clima!$A:$O,AJ$8,FALSE),3))</f>
        <v/>
      </c>
      <c r="AK94" s="417" t="str">
        <f>IF($B94=0,"",ROUND(VLOOKUP(Aux_Lista!$DR$2,Aux_Clima!$A:$O,AK$8,FALSE),3))</f>
        <v/>
      </c>
      <c r="AL94" s="417" t="str">
        <f>IF($B94=0,"",ROUND(VLOOKUP(Aux_Lista!$DR$2,Aux_Clima!$A:$O,AL$8,FALSE),3))</f>
        <v/>
      </c>
      <c r="AM94" s="417" t="str">
        <f>IF($B94=0,"",ROUND(VLOOKUP(Aux_Lista!$DR$2,Aux_Clima!$A:$O,AM$8,FALSE),8))</f>
        <v/>
      </c>
      <c r="AN94" s="417" t="str">
        <f>IF($B94=0,"",ROUND(VLOOKUP(Aux_Lista!$DR$2,Aux_Clima!$A:$O,AN$8,FALSE),8))</f>
        <v/>
      </c>
      <c r="AO94" s="417" t="str">
        <f>IF($B94=0,"",ROUND(VLOOKUP(Aux_Lista!$DR$2,Aux_Clima!$A:$O,AO$8,FALSE),8))</f>
        <v/>
      </c>
      <c r="AP94" s="413" t="str">
        <f>IF(B94=0,"",IF(BF94=0,84,VLOOKUP(Envoltória!N102,Componentes!AV:AY,4,FALSE)))</f>
        <v/>
      </c>
      <c r="AQ94" s="413" t="str">
        <f>IF(B94=0,"",IF(BF94=0,90,VLOOKUP(Envoltória!N102,Componentes!AV:AY,3,FALSE)))</f>
        <v/>
      </c>
      <c r="AR94" s="413" t="str">
        <f t="shared" si="6"/>
        <v/>
      </c>
      <c r="AS94" s="413" t="str">
        <f t="shared" si="6"/>
        <v/>
      </c>
      <c r="AT94" s="413" t="str">
        <f t="shared" si="6"/>
        <v/>
      </c>
      <c r="AU94" s="413" t="str">
        <f t="shared" si="6"/>
        <v/>
      </c>
      <c r="AV94" s="413" t="str">
        <f t="shared" si="6"/>
        <v/>
      </c>
      <c r="AW94" s="414" t="str">
        <f>IF($B94=0,"",IFERROR(VLOOKUP(Envoltória!$B102,Aux_Lista!$O:$U,AW$9,FALSE),0))</f>
        <v/>
      </c>
      <c r="AX94" s="414" t="str">
        <f>IF($B94=0,"",IFERROR(VLOOKUP(Envoltória!$B102,Aux_Lista!$O:$U,AX$9,FALSE),0))</f>
        <v/>
      </c>
      <c r="AY94" s="414" t="str">
        <f>IF($B94=0,"",IFERROR(VLOOKUP(Envoltória!$B102,Aux_Lista!$O:$U,AY$9,FALSE),0))</f>
        <v/>
      </c>
      <c r="AZ94" s="414" t="str">
        <f>IF($B94=0,"",IFERROR(VLOOKUP(Envoltória!$B102,Aux_Lista!$O:$U,AZ$9,FALSE),0))</f>
        <v/>
      </c>
      <c r="BA94" s="414" t="str">
        <f>IF($B94=0,"",IFERROR(VLOOKUP(Envoltória!$B102,Aux_Lista!$O:$U,BA$9,FALSE),0))</f>
        <v/>
      </c>
      <c r="BB94" s="414" t="str">
        <f>IF($B94=0,"",IFERROR(VLOOKUP(Envoltória!$B102,Aux_Lista!$O:$U,BB$9,FALSE),0))</f>
        <v/>
      </c>
      <c r="BC94" s="414" t="str">
        <f>IFERROR(VLOOKUP(Envoltória!$H102,Aux_Lista!$W$2:$Y$3,BC$9,FALSE),"")</f>
        <v/>
      </c>
      <c r="BD94" s="414" t="str">
        <f>IFERROR(VLOOKUP(Envoltória!$H102,Aux_Lista!$W$2:$Y$3,BD$9,FALSE),"")</f>
        <v/>
      </c>
      <c r="BE94" s="412" t="str">
        <f t="shared" si="7"/>
        <v/>
      </c>
      <c r="BF94" s="412" t="str">
        <f>IF(B94=0,"",IF(Envoltória!F102="Perimetral",1,0))</f>
        <v/>
      </c>
      <c r="BG94" s="412" t="str">
        <f>IFERROR(VLOOKUP(Envoltória!$G102,$BQ$35:$BZ$43,BG$9,FALSE),"")</f>
        <v/>
      </c>
      <c r="BH94" s="412" t="str">
        <f>IFERROR(VLOOKUP(Envoltória!$G102,$BQ$35:$BZ$43,BH$9,FALSE),"")</f>
        <v/>
      </c>
      <c r="BI94" s="412" t="str">
        <f>IFERROR(VLOOKUP(Envoltória!$G102,$BQ$35:$BZ$43,BI$9,FALSE),"")</f>
        <v/>
      </c>
      <c r="BJ94" s="412" t="str">
        <f>IFERROR(VLOOKUP(Envoltória!$G102,$BQ$35:$BZ$43,BJ$9,FALSE),"")</f>
        <v/>
      </c>
      <c r="BK94" s="412" t="str">
        <f>IFERROR(VLOOKUP(Envoltória!$G102,$BQ$35:$BZ$43,BK$9,FALSE),"")</f>
        <v/>
      </c>
      <c r="BL94" s="412" t="str">
        <f>IFERROR(VLOOKUP(Envoltória!$G102,$BQ$35:$BZ$43,BL$9,FALSE),"")</f>
        <v/>
      </c>
      <c r="BM94" s="412" t="str">
        <f>IFERROR(VLOOKUP(Envoltória!$G102,$BQ$35:$BZ$43,BM$9,FALSE),"")</f>
        <v/>
      </c>
      <c r="BN94" s="412" t="str">
        <f>IFERROR(VLOOKUP(Envoltória!$G102,$BQ$35:$BZ$43,BN$9,FALSE),"")</f>
        <v/>
      </c>
      <c r="BO94" s="412" t="str">
        <f>IFERROR(VLOOKUP(Envoltória!$G102,$BQ$35:$BZ$43,BO$9,FALSE),"")</f>
        <v/>
      </c>
    </row>
    <row r="95" spans="1:68" x14ac:dyDescent="0.25">
      <c r="A95" s="1">
        <v>85</v>
      </c>
      <c r="B95" s="409">
        <f>Envoltória!I103</f>
        <v>0</v>
      </c>
      <c r="C95" s="410">
        <f>Envoltória!B103</f>
        <v>0</v>
      </c>
      <c r="D95" s="410">
        <f>Envoltória!C103</f>
        <v>0</v>
      </c>
      <c r="E95" s="411">
        <f>Envoltória!D103</f>
        <v>0</v>
      </c>
      <c r="F95" s="412" t="str">
        <f>IF(B95=0,"",Envoltória!E103)</f>
        <v/>
      </c>
      <c r="G95" s="412" t="str">
        <f t="shared" si="5"/>
        <v/>
      </c>
      <c r="H95" s="413" t="str">
        <f>IF(B95=0,"",Envoltória!O103/100)</f>
        <v/>
      </c>
      <c r="I95" s="413" t="str">
        <f>IF(B95=0,"",IF(BF95=1,VLOOKUP(Envoltória!N103,Componentes!AV:AY,2,FALSE),89))</f>
        <v/>
      </c>
      <c r="J95" s="414" t="str">
        <f>IF(B95=0,"",IFERROR(VLOOKUP(Envoltória!M103,Componentes!$P:$R,2,FALSE),""))</f>
        <v/>
      </c>
      <c r="K95" s="414" t="str">
        <f>IF(B95=0,"",IFERROR(VLOOKUP(Envoltória!M103,Componentes!$P:$R,3,FALSE),""))</f>
        <v/>
      </c>
      <c r="L95" s="415" t="str">
        <f>IF(B95=0,"",IFERROR(IF(BB95&lt;&gt;0,VLOOKUP(Envoltória!L103,Componentes!K:N,2,FALSE),0),""))</f>
        <v/>
      </c>
      <c r="M95" s="415" t="str">
        <f>IF(B95=0,"",IFERROR(IF(BB95&lt;&gt;0,VLOOKUP(Envoltória!L103,Componentes!K:N,3,FALSE),0),""))</f>
        <v/>
      </c>
      <c r="N95" s="415" t="str">
        <f>IF(B95=0,"",IFERROR(IF(BB95&lt;&gt;0,VLOOKUP(Envoltória!L103,Componentes!K:N,4,FALSE),0),""))</f>
        <v/>
      </c>
      <c r="O95" s="413" t="str">
        <f>IF(B95=0,"",IF(BF95=1,VLOOKUP(Envoltória!J103,Componentes!B:E,2,FALSE),-6))</f>
        <v/>
      </c>
      <c r="P95" s="413" t="str">
        <f>IF(B95=0,"",IF(BF95=1,VLOOKUP(Envoltória!J103,Componentes!B:E,3,FALSE),-400))</f>
        <v/>
      </c>
      <c r="Q95" s="413" t="str">
        <f>IF(B95=0,"",IF(BF95=1,VLOOKUP(Envoltória!J103,Componentes!B:E,4,FALSE),0))</f>
        <v/>
      </c>
      <c r="R95" s="414" t="str">
        <f>IF(B95=0,"",IFERROR(VLOOKUP(Envoltória!K103,Componentes!G:I,2,FALSE),""))</f>
        <v/>
      </c>
      <c r="S95" s="414" t="str">
        <f>IF(B95=0,"",IFERROR(VLOOKUP(Envoltória!K103,Componentes!G:I,3,FALSE),""))</f>
        <v/>
      </c>
      <c r="T95" s="413" t="str">
        <f>IF(B95=0,"",IFERROR(IF(H95&lt;&gt;0,VLOOKUP(Envoltória!N103,Componentes!T:V,3,FALSE),0),""))</f>
        <v/>
      </c>
      <c r="U95" s="413" t="str">
        <f>IF(B95=0,"",IFERROR(IF(H95&lt;&gt;0,VLOOKUP(Envoltória!N103,Componentes!T:V,2,FALSE),0),""))</f>
        <v/>
      </c>
      <c r="V95" s="414" t="str">
        <f>IF(B95=0,"",IFERROR(IF(AA95&lt;&gt;0,VLOOKUP(Envoltória!U103,Componentes!X:Z,2,FALSE),0),0))</f>
        <v/>
      </c>
      <c r="W95" s="414" t="str">
        <f>IF(B95=0,"",IFERROR(IF(AA95&lt;&gt;0,VLOOKUP(Envoltória!U103,Componentes!X:Z,3,FALSE),0),0))</f>
        <v/>
      </c>
      <c r="X95" s="413" t="str">
        <f>IF(B95=0,"",Envoltória!U103)</f>
        <v/>
      </c>
      <c r="Y95" s="413" t="str">
        <f>IF(B95=0,"",Envoltória!S103)</f>
        <v/>
      </c>
      <c r="Z95" s="413" t="str">
        <f>IF(B95=0,"",Envoltória!T103)</f>
        <v/>
      </c>
      <c r="AA95" s="416" t="str">
        <f>IF(B95=0,"",Envoltória!Q103/100)</f>
        <v/>
      </c>
      <c r="AB95" s="417" t="str">
        <f>IF($B95=0,"",VLOOKUP(Aux_Lista!$DR$2,Aux_Clima!$A:$O,AB$8,FALSE))</f>
        <v/>
      </c>
      <c r="AC95" s="417" t="str">
        <f>IF($B95=0,"",VLOOKUP(Aux_Lista!$DR$2,Aux_Clima!$A:$O,AC$8,FALSE))</f>
        <v/>
      </c>
      <c r="AD95" s="417" t="str">
        <f>IF($B95=0,"",ROUND(VLOOKUP(Aux_Lista!$DR$2,Aux_Clima!$A:$O,AD$8,FALSE),8))</f>
        <v/>
      </c>
      <c r="AE95" s="417" t="str">
        <f>IF($B95=0,"",ROUND(VLOOKUP(Aux_Lista!$DR$2,Aux_Clima!$A:$O,AE$8,FALSE),8))</f>
        <v/>
      </c>
      <c r="AF95" s="417" t="str">
        <f>IF($B95=0,"",ROUND(VLOOKUP(Aux_Lista!$DR$2,Aux_Clima!$A:$O,AF$8,FALSE),8))</f>
        <v/>
      </c>
      <c r="AG95" s="417" t="str">
        <f>IF($B95=0,"",ROUND(VLOOKUP(Aux_Lista!$DR$2,Aux_Clima!$A:$O,AG$8,FALSE),8))</f>
        <v/>
      </c>
      <c r="AH95" s="417" t="str">
        <f>IF($B95=0,"",ROUND(VLOOKUP(Aux_Lista!$DR$2,Aux_Clima!$A:$O,AH$8,FALSE),8))</f>
        <v/>
      </c>
      <c r="AI95" s="417" t="str">
        <f>IF($B95=0,"",ROUND(VLOOKUP(Aux_Lista!$DR$2,Aux_Clima!$A:$O,AI$8,FALSE),8))</f>
        <v/>
      </c>
      <c r="AJ95" s="417" t="str">
        <f>IF($B95=0,"",ROUND(VLOOKUP(Aux_Lista!$DR$2,Aux_Clima!$A:$O,AJ$8,FALSE),3))</f>
        <v/>
      </c>
      <c r="AK95" s="417" t="str">
        <f>IF($B95=0,"",ROUND(VLOOKUP(Aux_Lista!$DR$2,Aux_Clima!$A:$O,AK$8,FALSE),3))</f>
        <v/>
      </c>
      <c r="AL95" s="417" t="str">
        <f>IF($B95=0,"",ROUND(VLOOKUP(Aux_Lista!$DR$2,Aux_Clima!$A:$O,AL$8,FALSE),3))</f>
        <v/>
      </c>
      <c r="AM95" s="417" t="str">
        <f>IF($B95=0,"",ROUND(VLOOKUP(Aux_Lista!$DR$2,Aux_Clima!$A:$O,AM$8,FALSE),8))</f>
        <v/>
      </c>
      <c r="AN95" s="417" t="str">
        <f>IF($B95=0,"",ROUND(VLOOKUP(Aux_Lista!$DR$2,Aux_Clima!$A:$O,AN$8,FALSE),8))</f>
        <v/>
      </c>
      <c r="AO95" s="417" t="str">
        <f>IF($B95=0,"",ROUND(VLOOKUP(Aux_Lista!$DR$2,Aux_Clima!$A:$O,AO$8,FALSE),8))</f>
        <v/>
      </c>
      <c r="AP95" s="413" t="str">
        <f>IF(B95=0,"",IF(BF95=0,84,VLOOKUP(Envoltória!N103,Componentes!AV:AY,4,FALSE)))</f>
        <v/>
      </c>
      <c r="AQ95" s="413" t="str">
        <f>IF(B95=0,"",IF(BF95=0,90,VLOOKUP(Envoltória!N103,Componentes!AV:AY,3,FALSE)))</f>
        <v/>
      </c>
      <c r="AR95" s="413" t="str">
        <f t="shared" si="6"/>
        <v/>
      </c>
      <c r="AS95" s="413" t="str">
        <f t="shared" si="6"/>
        <v/>
      </c>
      <c r="AT95" s="413" t="str">
        <f t="shared" si="6"/>
        <v/>
      </c>
      <c r="AU95" s="413" t="str">
        <f t="shared" si="6"/>
        <v/>
      </c>
      <c r="AV95" s="413" t="str">
        <f t="shared" si="6"/>
        <v/>
      </c>
      <c r="AW95" s="414" t="str">
        <f>IF($B95=0,"",IFERROR(VLOOKUP(Envoltória!$B103,Aux_Lista!$O:$U,AW$9,FALSE),0))</f>
        <v/>
      </c>
      <c r="AX95" s="414" t="str">
        <f>IF($B95=0,"",IFERROR(VLOOKUP(Envoltória!$B103,Aux_Lista!$O:$U,AX$9,FALSE),0))</f>
        <v/>
      </c>
      <c r="AY95" s="414" t="str">
        <f>IF($B95=0,"",IFERROR(VLOOKUP(Envoltória!$B103,Aux_Lista!$O:$U,AY$9,FALSE),0))</f>
        <v/>
      </c>
      <c r="AZ95" s="414" t="str">
        <f>IF($B95=0,"",IFERROR(VLOOKUP(Envoltória!$B103,Aux_Lista!$O:$U,AZ$9,FALSE),0))</f>
        <v/>
      </c>
      <c r="BA95" s="414" t="str">
        <f>IF($B95=0,"",IFERROR(VLOOKUP(Envoltória!$B103,Aux_Lista!$O:$U,BA$9,FALSE),0))</f>
        <v/>
      </c>
      <c r="BB95" s="414" t="str">
        <f>IF($B95=0,"",IFERROR(VLOOKUP(Envoltória!$B103,Aux_Lista!$O:$U,BB$9,FALSE),0))</f>
        <v/>
      </c>
      <c r="BC95" s="414" t="str">
        <f>IFERROR(VLOOKUP(Envoltória!$H103,Aux_Lista!$W$2:$Y$3,BC$9,FALSE),"")</f>
        <v/>
      </c>
      <c r="BD95" s="414" t="str">
        <f>IFERROR(VLOOKUP(Envoltória!$H103,Aux_Lista!$W$2:$Y$3,BD$9,FALSE),"")</f>
        <v/>
      </c>
      <c r="BE95" s="412" t="str">
        <f t="shared" si="7"/>
        <v/>
      </c>
      <c r="BF95" s="412" t="str">
        <f>IF(B95=0,"",IF(Envoltória!F103="Perimetral",1,0))</f>
        <v/>
      </c>
      <c r="BG95" s="412" t="str">
        <f>IFERROR(VLOOKUP(Envoltória!$G103,$BQ$35:$BZ$43,BG$9,FALSE),"")</f>
        <v/>
      </c>
      <c r="BH95" s="412" t="str">
        <f>IFERROR(VLOOKUP(Envoltória!$G103,$BQ$35:$BZ$43,BH$9,FALSE),"")</f>
        <v/>
      </c>
      <c r="BI95" s="412" t="str">
        <f>IFERROR(VLOOKUP(Envoltória!$G103,$BQ$35:$BZ$43,BI$9,FALSE),"")</f>
        <v/>
      </c>
      <c r="BJ95" s="412" t="str">
        <f>IFERROR(VLOOKUP(Envoltória!$G103,$BQ$35:$BZ$43,BJ$9,FALSE),"")</f>
        <v/>
      </c>
      <c r="BK95" s="412" t="str">
        <f>IFERROR(VLOOKUP(Envoltória!$G103,$BQ$35:$BZ$43,BK$9,FALSE),"")</f>
        <v/>
      </c>
      <c r="BL95" s="412" t="str">
        <f>IFERROR(VLOOKUP(Envoltória!$G103,$BQ$35:$BZ$43,BL$9,FALSE),"")</f>
        <v/>
      </c>
      <c r="BM95" s="412" t="str">
        <f>IFERROR(VLOOKUP(Envoltória!$G103,$BQ$35:$BZ$43,BM$9,FALSE),"")</f>
        <v/>
      </c>
      <c r="BN95" s="412" t="str">
        <f>IFERROR(VLOOKUP(Envoltória!$G103,$BQ$35:$BZ$43,BN$9,FALSE),"")</f>
        <v/>
      </c>
      <c r="BO95" s="412" t="str">
        <f>IFERROR(VLOOKUP(Envoltória!$G103,$BQ$35:$BZ$43,BO$9,FALSE),"")</f>
        <v/>
      </c>
    </row>
    <row r="96" spans="1:68" x14ac:dyDescent="0.25">
      <c r="A96" s="1">
        <v>86</v>
      </c>
      <c r="B96" s="409">
        <f>Envoltória!I104</f>
        <v>0</v>
      </c>
      <c r="C96" s="410">
        <f>Envoltória!B104</f>
        <v>0</v>
      </c>
      <c r="D96" s="410">
        <f>Envoltória!C104</f>
        <v>0</v>
      </c>
      <c r="E96" s="411">
        <f>Envoltória!D104</f>
        <v>0</v>
      </c>
      <c r="F96" s="412" t="str">
        <f>IF(B96=0,"",Envoltória!E104)</f>
        <v/>
      </c>
      <c r="G96" s="412" t="str">
        <f t="shared" si="5"/>
        <v/>
      </c>
      <c r="H96" s="413" t="str">
        <f>IF(B96=0,"",Envoltória!O104/100)</f>
        <v/>
      </c>
      <c r="I96" s="413" t="str">
        <f>IF(B96=0,"",IF(BF96=1,VLOOKUP(Envoltória!N104,Componentes!AV:AY,2,FALSE),89))</f>
        <v/>
      </c>
      <c r="J96" s="414" t="str">
        <f>IF(B96=0,"",IFERROR(VLOOKUP(Envoltória!M104,Componentes!$P:$R,2,FALSE),""))</f>
        <v/>
      </c>
      <c r="K96" s="414" t="str">
        <f>IF(B96=0,"",IFERROR(VLOOKUP(Envoltória!M104,Componentes!$P:$R,3,FALSE),""))</f>
        <v/>
      </c>
      <c r="L96" s="415" t="str">
        <f>IF(B96=0,"",IFERROR(IF(BB96&lt;&gt;0,VLOOKUP(Envoltória!L104,Componentes!K:N,2,FALSE),0),""))</f>
        <v/>
      </c>
      <c r="M96" s="415" t="str">
        <f>IF(B96=0,"",IFERROR(IF(BB96&lt;&gt;0,VLOOKUP(Envoltória!L104,Componentes!K:N,3,FALSE),0),""))</f>
        <v/>
      </c>
      <c r="N96" s="415" t="str">
        <f>IF(B96=0,"",IFERROR(IF(BB96&lt;&gt;0,VLOOKUP(Envoltória!L104,Componentes!K:N,4,FALSE),0),""))</f>
        <v/>
      </c>
      <c r="O96" s="413" t="str">
        <f>IF(B96=0,"",IF(BF96=1,VLOOKUP(Envoltória!J104,Componentes!B:E,2,FALSE),-6))</f>
        <v/>
      </c>
      <c r="P96" s="413" t="str">
        <f>IF(B96=0,"",IF(BF96=1,VLOOKUP(Envoltória!J104,Componentes!B:E,3,FALSE),-400))</f>
        <v/>
      </c>
      <c r="Q96" s="413" t="str">
        <f>IF(B96=0,"",IF(BF96=1,VLOOKUP(Envoltória!J104,Componentes!B:E,4,FALSE),0))</f>
        <v/>
      </c>
      <c r="R96" s="414" t="str">
        <f>IF(B96=0,"",IFERROR(VLOOKUP(Envoltória!K104,Componentes!G:I,2,FALSE),""))</f>
        <v/>
      </c>
      <c r="S96" s="414" t="str">
        <f>IF(B96=0,"",IFERROR(VLOOKUP(Envoltória!K104,Componentes!G:I,3,FALSE),""))</f>
        <v/>
      </c>
      <c r="T96" s="413" t="str">
        <f>IF(B96=0,"",IFERROR(IF(H96&lt;&gt;0,VLOOKUP(Envoltória!N104,Componentes!T:V,3,FALSE),0),""))</f>
        <v/>
      </c>
      <c r="U96" s="413" t="str">
        <f>IF(B96=0,"",IFERROR(IF(H96&lt;&gt;0,VLOOKUP(Envoltória!N104,Componentes!T:V,2,FALSE),0),""))</f>
        <v/>
      </c>
      <c r="V96" s="414" t="str">
        <f>IF(B96=0,"",IFERROR(IF(AA96&lt;&gt;0,VLOOKUP(Envoltória!U104,Componentes!X:Z,2,FALSE),0),0))</f>
        <v/>
      </c>
      <c r="W96" s="414" t="str">
        <f>IF(B96=0,"",IFERROR(IF(AA96&lt;&gt;0,VLOOKUP(Envoltória!U104,Componentes!X:Z,3,FALSE),0),0))</f>
        <v/>
      </c>
      <c r="X96" s="413" t="str">
        <f>IF(B96=0,"",Envoltória!U104)</f>
        <v/>
      </c>
      <c r="Y96" s="413" t="str">
        <f>IF(B96=0,"",Envoltória!S104)</f>
        <v/>
      </c>
      <c r="Z96" s="413" t="str">
        <f>IF(B96=0,"",Envoltória!T104)</f>
        <v/>
      </c>
      <c r="AA96" s="416" t="str">
        <f>IF(B96=0,"",Envoltória!Q104/100)</f>
        <v/>
      </c>
      <c r="AB96" s="417" t="str">
        <f>IF($B96=0,"",VLOOKUP(Aux_Lista!$DR$2,Aux_Clima!$A:$O,AB$8,FALSE))</f>
        <v/>
      </c>
      <c r="AC96" s="417" t="str">
        <f>IF($B96=0,"",VLOOKUP(Aux_Lista!$DR$2,Aux_Clima!$A:$O,AC$8,FALSE))</f>
        <v/>
      </c>
      <c r="AD96" s="417" t="str">
        <f>IF($B96=0,"",ROUND(VLOOKUP(Aux_Lista!$DR$2,Aux_Clima!$A:$O,AD$8,FALSE),8))</f>
        <v/>
      </c>
      <c r="AE96" s="417" t="str">
        <f>IF($B96=0,"",ROUND(VLOOKUP(Aux_Lista!$DR$2,Aux_Clima!$A:$O,AE$8,FALSE),8))</f>
        <v/>
      </c>
      <c r="AF96" s="417" t="str">
        <f>IF($B96=0,"",ROUND(VLOOKUP(Aux_Lista!$DR$2,Aux_Clima!$A:$O,AF$8,FALSE),8))</f>
        <v/>
      </c>
      <c r="AG96" s="417" t="str">
        <f>IF($B96=0,"",ROUND(VLOOKUP(Aux_Lista!$DR$2,Aux_Clima!$A:$O,AG$8,FALSE),8))</f>
        <v/>
      </c>
      <c r="AH96" s="417" t="str">
        <f>IF($B96=0,"",ROUND(VLOOKUP(Aux_Lista!$DR$2,Aux_Clima!$A:$O,AH$8,FALSE),8))</f>
        <v/>
      </c>
      <c r="AI96" s="417" t="str">
        <f>IF($B96=0,"",ROUND(VLOOKUP(Aux_Lista!$DR$2,Aux_Clima!$A:$O,AI$8,FALSE),8))</f>
        <v/>
      </c>
      <c r="AJ96" s="417" t="str">
        <f>IF($B96=0,"",ROUND(VLOOKUP(Aux_Lista!$DR$2,Aux_Clima!$A:$O,AJ$8,FALSE),3))</f>
        <v/>
      </c>
      <c r="AK96" s="417" t="str">
        <f>IF($B96=0,"",ROUND(VLOOKUP(Aux_Lista!$DR$2,Aux_Clima!$A:$O,AK$8,FALSE),3))</f>
        <v/>
      </c>
      <c r="AL96" s="417" t="str">
        <f>IF($B96=0,"",ROUND(VLOOKUP(Aux_Lista!$DR$2,Aux_Clima!$A:$O,AL$8,FALSE),3))</f>
        <v/>
      </c>
      <c r="AM96" s="417" t="str">
        <f>IF($B96=0,"",ROUND(VLOOKUP(Aux_Lista!$DR$2,Aux_Clima!$A:$O,AM$8,FALSE),8))</f>
        <v/>
      </c>
      <c r="AN96" s="417" t="str">
        <f>IF($B96=0,"",ROUND(VLOOKUP(Aux_Lista!$DR$2,Aux_Clima!$A:$O,AN$8,FALSE),8))</f>
        <v/>
      </c>
      <c r="AO96" s="417" t="str">
        <f>IF($B96=0,"",ROUND(VLOOKUP(Aux_Lista!$DR$2,Aux_Clima!$A:$O,AO$8,FALSE),8))</f>
        <v/>
      </c>
      <c r="AP96" s="413" t="str">
        <f>IF(B96=0,"",IF(BF96=0,84,VLOOKUP(Envoltória!N104,Componentes!AV:AY,4,FALSE)))</f>
        <v/>
      </c>
      <c r="AQ96" s="413" t="str">
        <f>IF(B96=0,"",IF(BF96=0,90,VLOOKUP(Envoltória!N104,Componentes!AV:AY,3,FALSE)))</f>
        <v/>
      </c>
      <c r="AR96" s="413" t="str">
        <f t="shared" si="6"/>
        <v/>
      </c>
      <c r="AS96" s="413" t="str">
        <f t="shared" si="6"/>
        <v/>
      </c>
      <c r="AT96" s="413" t="str">
        <f t="shared" si="6"/>
        <v/>
      </c>
      <c r="AU96" s="413" t="str">
        <f t="shared" si="6"/>
        <v/>
      </c>
      <c r="AV96" s="413" t="str">
        <f t="shared" si="6"/>
        <v/>
      </c>
      <c r="AW96" s="414" t="str">
        <f>IF($B96=0,"",IFERROR(VLOOKUP(Envoltória!$B104,Aux_Lista!$O:$U,AW$9,FALSE),0))</f>
        <v/>
      </c>
      <c r="AX96" s="414" t="str">
        <f>IF($B96=0,"",IFERROR(VLOOKUP(Envoltória!$B104,Aux_Lista!$O:$U,AX$9,FALSE),0))</f>
        <v/>
      </c>
      <c r="AY96" s="414" t="str">
        <f>IF($B96=0,"",IFERROR(VLOOKUP(Envoltória!$B104,Aux_Lista!$O:$U,AY$9,FALSE),0))</f>
        <v/>
      </c>
      <c r="AZ96" s="414" t="str">
        <f>IF($B96=0,"",IFERROR(VLOOKUP(Envoltória!$B104,Aux_Lista!$O:$U,AZ$9,FALSE),0))</f>
        <v/>
      </c>
      <c r="BA96" s="414" t="str">
        <f>IF($B96=0,"",IFERROR(VLOOKUP(Envoltória!$B104,Aux_Lista!$O:$U,BA$9,FALSE),0))</f>
        <v/>
      </c>
      <c r="BB96" s="414" t="str">
        <f>IF($B96=0,"",IFERROR(VLOOKUP(Envoltória!$B104,Aux_Lista!$O:$U,BB$9,FALSE),0))</f>
        <v/>
      </c>
      <c r="BC96" s="414" t="str">
        <f>IFERROR(VLOOKUP(Envoltória!$H104,Aux_Lista!$W$2:$Y$3,BC$9,FALSE),"")</f>
        <v/>
      </c>
      <c r="BD96" s="414" t="str">
        <f>IFERROR(VLOOKUP(Envoltória!$H104,Aux_Lista!$W$2:$Y$3,BD$9,FALSE),"")</f>
        <v/>
      </c>
      <c r="BE96" s="412" t="str">
        <f t="shared" si="7"/>
        <v/>
      </c>
      <c r="BF96" s="412" t="str">
        <f>IF(B96=0,"",IF(Envoltória!F104="Perimetral",1,0))</f>
        <v/>
      </c>
      <c r="BG96" s="412" t="str">
        <f>IFERROR(VLOOKUP(Envoltória!$G104,$BQ$35:$BZ$43,BG$9,FALSE),"")</f>
        <v/>
      </c>
      <c r="BH96" s="412" t="str">
        <f>IFERROR(VLOOKUP(Envoltória!$G104,$BQ$35:$BZ$43,BH$9,FALSE),"")</f>
        <v/>
      </c>
      <c r="BI96" s="412" t="str">
        <f>IFERROR(VLOOKUP(Envoltória!$G104,$BQ$35:$BZ$43,BI$9,FALSE),"")</f>
        <v/>
      </c>
      <c r="BJ96" s="412" t="str">
        <f>IFERROR(VLOOKUP(Envoltória!$G104,$BQ$35:$BZ$43,BJ$9,FALSE),"")</f>
        <v/>
      </c>
      <c r="BK96" s="412" t="str">
        <f>IFERROR(VLOOKUP(Envoltória!$G104,$BQ$35:$BZ$43,BK$9,FALSE),"")</f>
        <v/>
      </c>
      <c r="BL96" s="412" t="str">
        <f>IFERROR(VLOOKUP(Envoltória!$G104,$BQ$35:$BZ$43,BL$9,FALSE),"")</f>
        <v/>
      </c>
      <c r="BM96" s="412" t="str">
        <f>IFERROR(VLOOKUP(Envoltória!$G104,$BQ$35:$BZ$43,BM$9,FALSE),"")</f>
        <v/>
      </c>
      <c r="BN96" s="412" t="str">
        <f>IFERROR(VLOOKUP(Envoltória!$G104,$BQ$35:$BZ$43,BN$9,FALSE),"")</f>
        <v/>
      </c>
      <c r="BO96" s="412" t="str">
        <f>IFERROR(VLOOKUP(Envoltória!$G104,$BQ$35:$BZ$43,BO$9,FALSE),"")</f>
        <v/>
      </c>
    </row>
    <row r="97" spans="1:67" x14ac:dyDescent="0.25">
      <c r="A97" s="1">
        <v>87</v>
      </c>
      <c r="B97" s="409">
        <f>Envoltória!I105</f>
        <v>0</v>
      </c>
      <c r="C97" s="410">
        <f>Envoltória!B105</f>
        <v>0</v>
      </c>
      <c r="D97" s="410">
        <f>Envoltória!C105</f>
        <v>0</v>
      </c>
      <c r="E97" s="411">
        <f>Envoltória!D105</f>
        <v>0</v>
      </c>
      <c r="F97" s="412" t="str">
        <f>IF(B97=0,"",Envoltória!E105)</f>
        <v/>
      </c>
      <c r="G97" s="412" t="str">
        <f t="shared" si="5"/>
        <v/>
      </c>
      <c r="H97" s="413" t="str">
        <f>IF(B97=0,"",Envoltória!O105/100)</f>
        <v/>
      </c>
      <c r="I97" s="413" t="str">
        <f>IF(B97=0,"",IF(BF97=1,VLOOKUP(Envoltória!N105,Componentes!AV:AY,2,FALSE),89))</f>
        <v/>
      </c>
      <c r="J97" s="414" t="str">
        <f>IF(B97=0,"",IFERROR(VLOOKUP(Envoltória!M105,Componentes!$P:$R,2,FALSE),""))</f>
        <v/>
      </c>
      <c r="K97" s="414" t="str">
        <f>IF(B97=0,"",IFERROR(VLOOKUP(Envoltória!M105,Componentes!$P:$R,3,FALSE),""))</f>
        <v/>
      </c>
      <c r="L97" s="415" t="str">
        <f>IF(B97=0,"",IFERROR(IF(BB97&lt;&gt;0,VLOOKUP(Envoltória!L105,Componentes!K:N,2,FALSE),0),""))</f>
        <v/>
      </c>
      <c r="M97" s="415" t="str">
        <f>IF(B97=0,"",IFERROR(IF(BB97&lt;&gt;0,VLOOKUP(Envoltória!L105,Componentes!K:N,3,FALSE),0),""))</f>
        <v/>
      </c>
      <c r="N97" s="415" t="str">
        <f>IF(B97=0,"",IFERROR(IF(BB97&lt;&gt;0,VLOOKUP(Envoltória!L105,Componentes!K:N,4,FALSE),0),""))</f>
        <v/>
      </c>
      <c r="O97" s="413" t="str">
        <f>IF(B97=0,"",IF(BF97=1,VLOOKUP(Envoltória!J105,Componentes!B:E,2,FALSE),-6))</f>
        <v/>
      </c>
      <c r="P97" s="413" t="str">
        <f>IF(B97=0,"",IF(BF97=1,VLOOKUP(Envoltória!J105,Componentes!B:E,3,FALSE),-400))</f>
        <v/>
      </c>
      <c r="Q97" s="413" t="str">
        <f>IF(B97=0,"",IF(BF97=1,VLOOKUP(Envoltória!J105,Componentes!B:E,4,FALSE),0))</f>
        <v/>
      </c>
      <c r="R97" s="414" t="str">
        <f>IF(B97=0,"",IFERROR(VLOOKUP(Envoltória!K105,Componentes!G:I,2,FALSE),""))</f>
        <v/>
      </c>
      <c r="S97" s="414" t="str">
        <f>IF(B97=0,"",IFERROR(VLOOKUP(Envoltória!K105,Componentes!G:I,3,FALSE),""))</f>
        <v/>
      </c>
      <c r="T97" s="413" t="str">
        <f>IF(B97=0,"",IFERROR(IF(H97&lt;&gt;0,VLOOKUP(Envoltória!N105,Componentes!T:V,3,FALSE),0),""))</f>
        <v/>
      </c>
      <c r="U97" s="413" t="str">
        <f>IF(B97=0,"",IFERROR(IF(H97&lt;&gt;0,VLOOKUP(Envoltória!N105,Componentes!T:V,2,FALSE),0),""))</f>
        <v/>
      </c>
      <c r="V97" s="414" t="str">
        <f>IF(B97=0,"",IFERROR(IF(AA97&lt;&gt;0,VLOOKUP(Envoltória!U105,Componentes!X:Z,2,FALSE),0),0))</f>
        <v/>
      </c>
      <c r="W97" s="414" t="str">
        <f>IF(B97=0,"",IFERROR(IF(AA97&lt;&gt;0,VLOOKUP(Envoltória!U105,Componentes!X:Z,3,FALSE),0),0))</f>
        <v/>
      </c>
      <c r="X97" s="413" t="str">
        <f>IF(B97=0,"",Envoltória!U105)</f>
        <v/>
      </c>
      <c r="Y97" s="413" t="str">
        <f>IF(B97=0,"",Envoltória!S105)</f>
        <v/>
      </c>
      <c r="Z97" s="413" t="str">
        <f>IF(B97=0,"",Envoltória!T105)</f>
        <v/>
      </c>
      <c r="AA97" s="416" t="str">
        <f>IF(B97=0,"",Envoltória!Q105/100)</f>
        <v/>
      </c>
      <c r="AB97" s="417" t="str">
        <f>IF($B97=0,"",VLOOKUP(Aux_Lista!$DR$2,Aux_Clima!$A:$O,AB$8,FALSE))</f>
        <v/>
      </c>
      <c r="AC97" s="417" t="str">
        <f>IF($B97=0,"",VLOOKUP(Aux_Lista!$DR$2,Aux_Clima!$A:$O,AC$8,FALSE))</f>
        <v/>
      </c>
      <c r="AD97" s="417" t="str">
        <f>IF($B97=0,"",ROUND(VLOOKUP(Aux_Lista!$DR$2,Aux_Clima!$A:$O,AD$8,FALSE),8))</f>
        <v/>
      </c>
      <c r="AE97" s="417" t="str">
        <f>IF($B97=0,"",ROUND(VLOOKUP(Aux_Lista!$DR$2,Aux_Clima!$A:$O,AE$8,FALSE),8))</f>
        <v/>
      </c>
      <c r="AF97" s="417" t="str">
        <f>IF($B97=0,"",ROUND(VLOOKUP(Aux_Lista!$DR$2,Aux_Clima!$A:$O,AF$8,FALSE),8))</f>
        <v/>
      </c>
      <c r="AG97" s="417" t="str">
        <f>IF($B97=0,"",ROUND(VLOOKUP(Aux_Lista!$DR$2,Aux_Clima!$A:$O,AG$8,FALSE),8))</f>
        <v/>
      </c>
      <c r="AH97" s="417" t="str">
        <f>IF($B97=0,"",ROUND(VLOOKUP(Aux_Lista!$DR$2,Aux_Clima!$A:$O,AH$8,FALSE),8))</f>
        <v/>
      </c>
      <c r="AI97" s="417" t="str">
        <f>IF($B97=0,"",ROUND(VLOOKUP(Aux_Lista!$DR$2,Aux_Clima!$A:$O,AI$8,FALSE),8))</f>
        <v/>
      </c>
      <c r="AJ97" s="417" t="str">
        <f>IF($B97=0,"",ROUND(VLOOKUP(Aux_Lista!$DR$2,Aux_Clima!$A:$O,AJ$8,FALSE),3))</f>
        <v/>
      </c>
      <c r="AK97" s="417" t="str">
        <f>IF($B97=0,"",ROUND(VLOOKUP(Aux_Lista!$DR$2,Aux_Clima!$A:$O,AK$8,FALSE),3))</f>
        <v/>
      </c>
      <c r="AL97" s="417" t="str">
        <f>IF($B97=0,"",ROUND(VLOOKUP(Aux_Lista!$DR$2,Aux_Clima!$A:$O,AL$8,FALSE),3))</f>
        <v/>
      </c>
      <c r="AM97" s="417" t="str">
        <f>IF($B97=0,"",ROUND(VLOOKUP(Aux_Lista!$DR$2,Aux_Clima!$A:$O,AM$8,FALSE),8))</f>
        <v/>
      </c>
      <c r="AN97" s="417" t="str">
        <f>IF($B97=0,"",ROUND(VLOOKUP(Aux_Lista!$DR$2,Aux_Clima!$A:$O,AN$8,FALSE),8))</f>
        <v/>
      </c>
      <c r="AO97" s="417" t="str">
        <f>IF($B97=0,"",ROUND(VLOOKUP(Aux_Lista!$DR$2,Aux_Clima!$A:$O,AO$8,FALSE),8))</f>
        <v/>
      </c>
      <c r="AP97" s="413" t="str">
        <f>IF(B97=0,"",IF(BF97=0,84,VLOOKUP(Envoltória!N105,Componentes!AV:AY,4,FALSE)))</f>
        <v/>
      </c>
      <c r="AQ97" s="413" t="str">
        <f>IF(B97=0,"",IF(BF97=0,90,VLOOKUP(Envoltória!N105,Componentes!AV:AY,3,FALSE)))</f>
        <v/>
      </c>
      <c r="AR97" s="413" t="str">
        <f t="shared" si="6"/>
        <v/>
      </c>
      <c r="AS97" s="413" t="str">
        <f t="shared" si="6"/>
        <v/>
      </c>
      <c r="AT97" s="413" t="str">
        <f t="shared" si="6"/>
        <v/>
      </c>
      <c r="AU97" s="413" t="str">
        <f t="shared" si="6"/>
        <v/>
      </c>
      <c r="AV97" s="413" t="str">
        <f t="shared" si="6"/>
        <v/>
      </c>
      <c r="AW97" s="414" t="str">
        <f>IF($B97=0,"",IFERROR(VLOOKUP(Envoltória!$B105,Aux_Lista!$O:$U,AW$9,FALSE),0))</f>
        <v/>
      </c>
      <c r="AX97" s="414" t="str">
        <f>IF($B97=0,"",IFERROR(VLOOKUP(Envoltória!$B105,Aux_Lista!$O:$U,AX$9,FALSE),0))</f>
        <v/>
      </c>
      <c r="AY97" s="414" t="str">
        <f>IF($B97=0,"",IFERROR(VLOOKUP(Envoltória!$B105,Aux_Lista!$O:$U,AY$9,FALSE),0))</f>
        <v/>
      </c>
      <c r="AZ97" s="414" t="str">
        <f>IF($B97=0,"",IFERROR(VLOOKUP(Envoltória!$B105,Aux_Lista!$O:$U,AZ$9,FALSE),0))</f>
        <v/>
      </c>
      <c r="BA97" s="414" t="str">
        <f>IF($B97=0,"",IFERROR(VLOOKUP(Envoltória!$B105,Aux_Lista!$O:$U,BA$9,FALSE),0))</f>
        <v/>
      </c>
      <c r="BB97" s="414" t="str">
        <f>IF($B97=0,"",IFERROR(VLOOKUP(Envoltória!$B105,Aux_Lista!$O:$U,BB$9,FALSE),0))</f>
        <v/>
      </c>
      <c r="BC97" s="414" t="str">
        <f>IFERROR(VLOOKUP(Envoltória!$H105,Aux_Lista!$W$2:$Y$3,BC$9,FALSE),"")</f>
        <v/>
      </c>
      <c r="BD97" s="414" t="str">
        <f>IFERROR(VLOOKUP(Envoltória!$H105,Aux_Lista!$W$2:$Y$3,BD$9,FALSE),"")</f>
        <v/>
      </c>
      <c r="BE97" s="412" t="str">
        <f t="shared" si="7"/>
        <v/>
      </c>
      <c r="BF97" s="412" t="str">
        <f>IF(B97=0,"",IF(Envoltória!F105="Perimetral",1,0))</f>
        <v/>
      </c>
      <c r="BG97" s="412" t="str">
        <f>IFERROR(VLOOKUP(Envoltória!$G105,$BQ$35:$BZ$43,BG$9,FALSE),"")</f>
        <v/>
      </c>
      <c r="BH97" s="412" t="str">
        <f>IFERROR(VLOOKUP(Envoltória!$G105,$BQ$35:$BZ$43,BH$9,FALSE),"")</f>
        <v/>
      </c>
      <c r="BI97" s="412" t="str">
        <f>IFERROR(VLOOKUP(Envoltória!$G105,$BQ$35:$BZ$43,BI$9,FALSE),"")</f>
        <v/>
      </c>
      <c r="BJ97" s="412" t="str">
        <f>IFERROR(VLOOKUP(Envoltória!$G105,$BQ$35:$BZ$43,BJ$9,FALSE),"")</f>
        <v/>
      </c>
      <c r="BK97" s="412" t="str">
        <f>IFERROR(VLOOKUP(Envoltória!$G105,$BQ$35:$BZ$43,BK$9,FALSE),"")</f>
        <v/>
      </c>
      <c r="BL97" s="412" t="str">
        <f>IFERROR(VLOOKUP(Envoltória!$G105,$BQ$35:$BZ$43,BL$9,FALSE),"")</f>
        <v/>
      </c>
      <c r="BM97" s="412" t="str">
        <f>IFERROR(VLOOKUP(Envoltória!$G105,$BQ$35:$BZ$43,BM$9,FALSE),"")</f>
        <v/>
      </c>
      <c r="BN97" s="412" t="str">
        <f>IFERROR(VLOOKUP(Envoltória!$G105,$BQ$35:$BZ$43,BN$9,FALSE),"")</f>
        <v/>
      </c>
      <c r="BO97" s="412" t="str">
        <f>IFERROR(VLOOKUP(Envoltória!$G105,$BQ$35:$BZ$43,BO$9,FALSE),"")</f>
        <v/>
      </c>
    </row>
    <row r="98" spans="1:67" x14ac:dyDescent="0.25">
      <c r="A98" s="1">
        <v>88</v>
      </c>
      <c r="B98" s="409">
        <f>Envoltória!I106</f>
        <v>0</v>
      </c>
      <c r="C98" s="410">
        <f>Envoltória!B106</f>
        <v>0</v>
      </c>
      <c r="D98" s="410">
        <f>Envoltória!C106</f>
        <v>0</v>
      </c>
      <c r="E98" s="411">
        <f>Envoltória!D106</f>
        <v>0</v>
      </c>
      <c r="F98" s="412" t="str">
        <f>IF(B98=0,"",Envoltória!E106)</f>
        <v/>
      </c>
      <c r="G98" s="412" t="str">
        <f t="shared" si="5"/>
        <v/>
      </c>
      <c r="H98" s="413" t="str">
        <f>IF(B98=0,"",Envoltória!O106/100)</f>
        <v/>
      </c>
      <c r="I98" s="413" t="str">
        <f>IF(B98=0,"",IF(BF98=1,VLOOKUP(Envoltória!N106,Componentes!AV:AY,2,FALSE),89))</f>
        <v/>
      </c>
      <c r="J98" s="414" t="str">
        <f>IF(B98=0,"",IFERROR(VLOOKUP(Envoltória!M106,Componentes!$P:$R,2,FALSE),""))</f>
        <v/>
      </c>
      <c r="K98" s="414" t="str">
        <f>IF(B98=0,"",IFERROR(VLOOKUP(Envoltória!M106,Componentes!$P:$R,3,FALSE),""))</f>
        <v/>
      </c>
      <c r="L98" s="415" t="str">
        <f>IF(B98=0,"",IFERROR(IF(BB98&lt;&gt;0,VLOOKUP(Envoltória!L106,Componentes!K:N,2,FALSE),0),""))</f>
        <v/>
      </c>
      <c r="M98" s="415" t="str">
        <f>IF(B98=0,"",IFERROR(IF(BB98&lt;&gt;0,VLOOKUP(Envoltória!L106,Componentes!K:N,3,FALSE),0),""))</f>
        <v/>
      </c>
      <c r="N98" s="415" t="str">
        <f>IF(B98=0,"",IFERROR(IF(BB98&lt;&gt;0,VLOOKUP(Envoltória!L106,Componentes!K:N,4,FALSE),0),""))</f>
        <v/>
      </c>
      <c r="O98" s="413" t="str">
        <f>IF(B98=0,"",IF(BF98=1,VLOOKUP(Envoltória!J106,Componentes!B:E,2,FALSE),-6))</f>
        <v/>
      </c>
      <c r="P98" s="413" t="str">
        <f>IF(B98=0,"",IF(BF98=1,VLOOKUP(Envoltória!J106,Componentes!B:E,3,FALSE),-400))</f>
        <v/>
      </c>
      <c r="Q98" s="413" t="str">
        <f>IF(B98=0,"",IF(BF98=1,VLOOKUP(Envoltória!J106,Componentes!B:E,4,FALSE),0))</f>
        <v/>
      </c>
      <c r="R98" s="414" t="str">
        <f>IF(B98=0,"",IFERROR(VLOOKUP(Envoltória!K106,Componentes!G:I,2,FALSE),""))</f>
        <v/>
      </c>
      <c r="S98" s="414" t="str">
        <f>IF(B98=0,"",IFERROR(VLOOKUP(Envoltória!K106,Componentes!G:I,3,FALSE),""))</f>
        <v/>
      </c>
      <c r="T98" s="413" t="str">
        <f>IF(B98=0,"",IFERROR(IF(H98&lt;&gt;0,VLOOKUP(Envoltória!N106,Componentes!T:V,3,FALSE),0),""))</f>
        <v/>
      </c>
      <c r="U98" s="413" t="str">
        <f>IF(B98=0,"",IFERROR(IF(H98&lt;&gt;0,VLOOKUP(Envoltória!N106,Componentes!T:V,2,FALSE),0),""))</f>
        <v/>
      </c>
      <c r="V98" s="414" t="str">
        <f>IF(B98=0,"",IFERROR(IF(AA98&lt;&gt;0,VLOOKUP(Envoltória!U106,Componentes!X:Z,2,FALSE),0),0))</f>
        <v/>
      </c>
      <c r="W98" s="414" t="str">
        <f>IF(B98=0,"",IFERROR(IF(AA98&lt;&gt;0,VLOOKUP(Envoltória!U106,Componentes!X:Z,3,FALSE),0),0))</f>
        <v/>
      </c>
      <c r="X98" s="413" t="str">
        <f>IF(B98=0,"",Envoltória!U106)</f>
        <v/>
      </c>
      <c r="Y98" s="413" t="str">
        <f>IF(B98=0,"",Envoltória!S106)</f>
        <v/>
      </c>
      <c r="Z98" s="413" t="str">
        <f>IF(B98=0,"",Envoltória!T106)</f>
        <v/>
      </c>
      <c r="AA98" s="416" t="str">
        <f>IF(B98=0,"",Envoltória!Q106/100)</f>
        <v/>
      </c>
      <c r="AB98" s="417" t="str">
        <f>IF($B98=0,"",VLOOKUP(Aux_Lista!$DR$2,Aux_Clima!$A:$O,AB$8,FALSE))</f>
        <v/>
      </c>
      <c r="AC98" s="417" t="str">
        <f>IF($B98=0,"",VLOOKUP(Aux_Lista!$DR$2,Aux_Clima!$A:$O,AC$8,FALSE))</f>
        <v/>
      </c>
      <c r="AD98" s="417" t="str">
        <f>IF($B98=0,"",ROUND(VLOOKUP(Aux_Lista!$DR$2,Aux_Clima!$A:$O,AD$8,FALSE),8))</f>
        <v/>
      </c>
      <c r="AE98" s="417" t="str">
        <f>IF($B98=0,"",ROUND(VLOOKUP(Aux_Lista!$DR$2,Aux_Clima!$A:$O,AE$8,FALSE),8))</f>
        <v/>
      </c>
      <c r="AF98" s="417" t="str">
        <f>IF($B98=0,"",ROUND(VLOOKUP(Aux_Lista!$DR$2,Aux_Clima!$A:$O,AF$8,FALSE),8))</f>
        <v/>
      </c>
      <c r="AG98" s="417" t="str">
        <f>IF($B98=0,"",ROUND(VLOOKUP(Aux_Lista!$DR$2,Aux_Clima!$A:$O,AG$8,FALSE),8))</f>
        <v/>
      </c>
      <c r="AH98" s="417" t="str">
        <f>IF($B98=0,"",ROUND(VLOOKUP(Aux_Lista!$DR$2,Aux_Clima!$A:$O,AH$8,FALSE),8))</f>
        <v/>
      </c>
      <c r="AI98" s="417" t="str">
        <f>IF($B98=0,"",ROUND(VLOOKUP(Aux_Lista!$DR$2,Aux_Clima!$A:$O,AI$8,FALSE),8))</f>
        <v/>
      </c>
      <c r="AJ98" s="417" t="str">
        <f>IF($B98=0,"",ROUND(VLOOKUP(Aux_Lista!$DR$2,Aux_Clima!$A:$O,AJ$8,FALSE),3))</f>
        <v/>
      </c>
      <c r="AK98" s="417" t="str">
        <f>IF($B98=0,"",ROUND(VLOOKUP(Aux_Lista!$DR$2,Aux_Clima!$A:$O,AK$8,FALSE),3))</f>
        <v/>
      </c>
      <c r="AL98" s="417" t="str">
        <f>IF($B98=0,"",ROUND(VLOOKUP(Aux_Lista!$DR$2,Aux_Clima!$A:$O,AL$8,FALSE),3))</f>
        <v/>
      </c>
      <c r="AM98" s="417" t="str">
        <f>IF($B98=0,"",ROUND(VLOOKUP(Aux_Lista!$DR$2,Aux_Clima!$A:$O,AM$8,FALSE),8))</f>
        <v/>
      </c>
      <c r="AN98" s="417" t="str">
        <f>IF($B98=0,"",ROUND(VLOOKUP(Aux_Lista!$DR$2,Aux_Clima!$A:$O,AN$8,FALSE),8))</f>
        <v/>
      </c>
      <c r="AO98" s="417" t="str">
        <f>IF($B98=0,"",ROUND(VLOOKUP(Aux_Lista!$DR$2,Aux_Clima!$A:$O,AO$8,FALSE),8))</f>
        <v/>
      </c>
      <c r="AP98" s="413" t="str">
        <f>IF(B98=0,"",IF(BF98=0,84,VLOOKUP(Envoltória!N106,Componentes!AV:AY,4,FALSE)))</f>
        <v/>
      </c>
      <c r="AQ98" s="413" t="str">
        <f>IF(B98=0,"",IF(BF98=0,90,VLOOKUP(Envoltória!N106,Componentes!AV:AY,3,FALSE)))</f>
        <v/>
      </c>
      <c r="AR98" s="413" t="str">
        <f t="shared" si="6"/>
        <v/>
      </c>
      <c r="AS98" s="413" t="str">
        <f t="shared" si="6"/>
        <v/>
      </c>
      <c r="AT98" s="413" t="str">
        <f t="shared" si="6"/>
        <v/>
      </c>
      <c r="AU98" s="413" t="str">
        <f t="shared" si="6"/>
        <v/>
      </c>
      <c r="AV98" s="413" t="str">
        <f t="shared" si="6"/>
        <v/>
      </c>
      <c r="AW98" s="414" t="str">
        <f>IF($B98=0,"",IFERROR(VLOOKUP(Envoltória!$B106,Aux_Lista!$O:$U,AW$9,FALSE),0))</f>
        <v/>
      </c>
      <c r="AX98" s="414" t="str">
        <f>IF($B98=0,"",IFERROR(VLOOKUP(Envoltória!$B106,Aux_Lista!$O:$U,AX$9,FALSE),0))</f>
        <v/>
      </c>
      <c r="AY98" s="414" t="str">
        <f>IF($B98=0,"",IFERROR(VLOOKUP(Envoltória!$B106,Aux_Lista!$O:$U,AY$9,FALSE),0))</f>
        <v/>
      </c>
      <c r="AZ98" s="414" t="str">
        <f>IF($B98=0,"",IFERROR(VLOOKUP(Envoltória!$B106,Aux_Lista!$O:$U,AZ$9,FALSE),0))</f>
        <v/>
      </c>
      <c r="BA98" s="414" t="str">
        <f>IF($B98=0,"",IFERROR(VLOOKUP(Envoltória!$B106,Aux_Lista!$O:$U,BA$9,FALSE),0))</f>
        <v/>
      </c>
      <c r="BB98" s="414" t="str">
        <f>IF($B98=0,"",IFERROR(VLOOKUP(Envoltória!$B106,Aux_Lista!$O:$U,BB$9,FALSE),0))</f>
        <v/>
      </c>
      <c r="BC98" s="414" t="str">
        <f>IFERROR(VLOOKUP(Envoltória!$H106,Aux_Lista!$W$2:$Y$3,BC$9,FALSE),"")</f>
        <v/>
      </c>
      <c r="BD98" s="414" t="str">
        <f>IFERROR(VLOOKUP(Envoltória!$H106,Aux_Lista!$W$2:$Y$3,BD$9,FALSE),"")</f>
        <v/>
      </c>
      <c r="BE98" s="412" t="str">
        <f t="shared" si="7"/>
        <v/>
      </c>
      <c r="BF98" s="412" t="str">
        <f>IF(B98=0,"",IF(Envoltória!F106="Perimetral",1,0))</f>
        <v/>
      </c>
      <c r="BG98" s="412" t="str">
        <f>IFERROR(VLOOKUP(Envoltória!$G106,$BQ$35:$BZ$43,BG$9,FALSE),"")</f>
        <v/>
      </c>
      <c r="BH98" s="412" t="str">
        <f>IFERROR(VLOOKUP(Envoltória!$G106,$BQ$35:$BZ$43,BH$9,FALSE),"")</f>
        <v/>
      </c>
      <c r="BI98" s="412" t="str">
        <f>IFERROR(VLOOKUP(Envoltória!$G106,$BQ$35:$BZ$43,BI$9,FALSE),"")</f>
        <v/>
      </c>
      <c r="BJ98" s="412" t="str">
        <f>IFERROR(VLOOKUP(Envoltória!$G106,$BQ$35:$BZ$43,BJ$9,FALSE),"")</f>
        <v/>
      </c>
      <c r="BK98" s="412" t="str">
        <f>IFERROR(VLOOKUP(Envoltória!$G106,$BQ$35:$BZ$43,BK$9,FALSE),"")</f>
        <v/>
      </c>
      <c r="BL98" s="412" t="str">
        <f>IFERROR(VLOOKUP(Envoltória!$G106,$BQ$35:$BZ$43,BL$9,FALSE),"")</f>
        <v/>
      </c>
      <c r="BM98" s="412" t="str">
        <f>IFERROR(VLOOKUP(Envoltória!$G106,$BQ$35:$BZ$43,BM$9,FALSE),"")</f>
        <v/>
      </c>
      <c r="BN98" s="412" t="str">
        <f>IFERROR(VLOOKUP(Envoltória!$G106,$BQ$35:$BZ$43,BN$9,FALSE),"")</f>
        <v/>
      </c>
      <c r="BO98" s="412" t="str">
        <f>IFERROR(VLOOKUP(Envoltória!$G106,$BQ$35:$BZ$43,BO$9,FALSE),"")</f>
        <v/>
      </c>
    </row>
    <row r="99" spans="1:67" x14ac:dyDescent="0.25">
      <c r="A99" s="1">
        <v>89</v>
      </c>
      <c r="B99" s="409">
        <f>Envoltória!I107</f>
        <v>0</v>
      </c>
      <c r="C99" s="410">
        <f>Envoltória!B107</f>
        <v>0</v>
      </c>
      <c r="D99" s="410">
        <f>Envoltória!C107</f>
        <v>0</v>
      </c>
      <c r="E99" s="411">
        <f>Envoltória!D107</f>
        <v>0</v>
      </c>
      <c r="F99" s="412" t="str">
        <f>IF(B99=0,"",Envoltória!E107)</f>
        <v/>
      </c>
      <c r="G99" s="412" t="str">
        <f t="shared" si="5"/>
        <v/>
      </c>
      <c r="H99" s="413" t="str">
        <f>IF(B99=0,"",Envoltória!O107/100)</f>
        <v/>
      </c>
      <c r="I99" s="413" t="str">
        <f>IF(B99=0,"",IF(BF99=1,VLOOKUP(Envoltória!N107,Componentes!AV:AY,2,FALSE),89))</f>
        <v/>
      </c>
      <c r="J99" s="414" t="str">
        <f>IF(B99=0,"",IFERROR(VLOOKUP(Envoltória!M107,Componentes!$P:$R,2,FALSE),""))</f>
        <v/>
      </c>
      <c r="K99" s="414" t="str">
        <f>IF(B99=0,"",IFERROR(VLOOKUP(Envoltória!M107,Componentes!$P:$R,3,FALSE),""))</f>
        <v/>
      </c>
      <c r="L99" s="415" t="str">
        <f>IF(B99=0,"",IFERROR(IF(BB99&lt;&gt;0,VLOOKUP(Envoltória!L107,Componentes!K:N,2,FALSE),0),""))</f>
        <v/>
      </c>
      <c r="M99" s="415" t="str">
        <f>IF(B99=0,"",IFERROR(IF(BB99&lt;&gt;0,VLOOKUP(Envoltória!L107,Componentes!K:N,3,FALSE),0),""))</f>
        <v/>
      </c>
      <c r="N99" s="415" t="str">
        <f>IF(B99=0,"",IFERROR(IF(BB99&lt;&gt;0,VLOOKUP(Envoltória!L107,Componentes!K:N,4,FALSE),0),""))</f>
        <v/>
      </c>
      <c r="O99" s="413" t="str">
        <f>IF(B99=0,"",IF(BF99=1,VLOOKUP(Envoltória!J107,Componentes!B:E,2,FALSE),-6))</f>
        <v/>
      </c>
      <c r="P99" s="413" t="str">
        <f>IF(B99=0,"",IF(BF99=1,VLOOKUP(Envoltória!J107,Componentes!B:E,3,FALSE),-400))</f>
        <v/>
      </c>
      <c r="Q99" s="413" t="str">
        <f>IF(B99=0,"",IF(BF99=1,VLOOKUP(Envoltória!J107,Componentes!B:E,4,FALSE),0))</f>
        <v/>
      </c>
      <c r="R99" s="414" t="str">
        <f>IF(B99=0,"",IFERROR(VLOOKUP(Envoltória!K107,Componentes!G:I,2,FALSE),""))</f>
        <v/>
      </c>
      <c r="S99" s="414" t="str">
        <f>IF(B99=0,"",IFERROR(VLOOKUP(Envoltória!K107,Componentes!G:I,3,FALSE),""))</f>
        <v/>
      </c>
      <c r="T99" s="413" t="str">
        <f>IF(B99=0,"",IFERROR(IF(H99&lt;&gt;0,VLOOKUP(Envoltória!N107,Componentes!T:V,3,FALSE),0),""))</f>
        <v/>
      </c>
      <c r="U99" s="413" t="str">
        <f>IF(B99=0,"",IFERROR(IF(H99&lt;&gt;0,VLOOKUP(Envoltória!N107,Componentes!T:V,2,FALSE),0),""))</f>
        <v/>
      </c>
      <c r="V99" s="414" t="str">
        <f>IF(B99=0,"",IFERROR(IF(AA99&lt;&gt;0,VLOOKUP(Envoltória!U107,Componentes!X:Z,2,FALSE),0),0))</f>
        <v/>
      </c>
      <c r="W99" s="414" t="str">
        <f>IF(B99=0,"",IFERROR(IF(AA99&lt;&gt;0,VLOOKUP(Envoltória!U107,Componentes!X:Z,3,FALSE),0),0))</f>
        <v/>
      </c>
      <c r="X99" s="413" t="str">
        <f>IF(B99=0,"",Envoltória!U107)</f>
        <v/>
      </c>
      <c r="Y99" s="413" t="str">
        <f>IF(B99=0,"",Envoltória!S107)</f>
        <v/>
      </c>
      <c r="Z99" s="413" t="str">
        <f>IF(B99=0,"",Envoltória!T107)</f>
        <v/>
      </c>
      <c r="AA99" s="416" t="str">
        <f>IF(B99=0,"",Envoltória!Q107/100)</f>
        <v/>
      </c>
      <c r="AB99" s="417" t="str">
        <f>IF($B99=0,"",VLOOKUP(Aux_Lista!$DR$2,Aux_Clima!$A:$O,AB$8,FALSE))</f>
        <v/>
      </c>
      <c r="AC99" s="417" t="str">
        <f>IF($B99=0,"",VLOOKUP(Aux_Lista!$DR$2,Aux_Clima!$A:$O,AC$8,FALSE))</f>
        <v/>
      </c>
      <c r="AD99" s="417" t="str">
        <f>IF($B99=0,"",ROUND(VLOOKUP(Aux_Lista!$DR$2,Aux_Clima!$A:$O,AD$8,FALSE),8))</f>
        <v/>
      </c>
      <c r="AE99" s="417" t="str">
        <f>IF($B99=0,"",ROUND(VLOOKUP(Aux_Lista!$DR$2,Aux_Clima!$A:$O,AE$8,FALSE),8))</f>
        <v/>
      </c>
      <c r="AF99" s="417" t="str">
        <f>IF($B99=0,"",ROUND(VLOOKUP(Aux_Lista!$DR$2,Aux_Clima!$A:$O,AF$8,FALSE),8))</f>
        <v/>
      </c>
      <c r="AG99" s="417" t="str">
        <f>IF($B99=0,"",ROUND(VLOOKUP(Aux_Lista!$DR$2,Aux_Clima!$A:$O,AG$8,FALSE),8))</f>
        <v/>
      </c>
      <c r="AH99" s="417" t="str">
        <f>IF($B99=0,"",ROUND(VLOOKUP(Aux_Lista!$DR$2,Aux_Clima!$A:$O,AH$8,FALSE),8))</f>
        <v/>
      </c>
      <c r="AI99" s="417" t="str">
        <f>IF($B99=0,"",ROUND(VLOOKUP(Aux_Lista!$DR$2,Aux_Clima!$A:$O,AI$8,FALSE),8))</f>
        <v/>
      </c>
      <c r="AJ99" s="417" t="str">
        <f>IF($B99=0,"",ROUND(VLOOKUP(Aux_Lista!$DR$2,Aux_Clima!$A:$O,AJ$8,FALSE),3))</f>
        <v/>
      </c>
      <c r="AK99" s="417" t="str">
        <f>IF($B99=0,"",ROUND(VLOOKUP(Aux_Lista!$DR$2,Aux_Clima!$A:$O,AK$8,FALSE),3))</f>
        <v/>
      </c>
      <c r="AL99" s="417" t="str">
        <f>IF($B99=0,"",ROUND(VLOOKUP(Aux_Lista!$DR$2,Aux_Clima!$A:$O,AL$8,FALSE),3))</f>
        <v/>
      </c>
      <c r="AM99" s="417" t="str">
        <f>IF($B99=0,"",ROUND(VLOOKUP(Aux_Lista!$DR$2,Aux_Clima!$A:$O,AM$8,FALSE),8))</f>
        <v/>
      </c>
      <c r="AN99" s="417" t="str">
        <f>IF($B99=0,"",ROUND(VLOOKUP(Aux_Lista!$DR$2,Aux_Clima!$A:$O,AN$8,FALSE),8))</f>
        <v/>
      </c>
      <c r="AO99" s="417" t="str">
        <f>IF($B99=0,"",ROUND(VLOOKUP(Aux_Lista!$DR$2,Aux_Clima!$A:$O,AO$8,FALSE),8))</f>
        <v/>
      </c>
      <c r="AP99" s="413" t="str">
        <f>IF(B99=0,"",IF(BF99=0,84,VLOOKUP(Envoltória!N107,Componentes!AV:AY,4,FALSE)))</f>
        <v/>
      </c>
      <c r="AQ99" s="413" t="str">
        <f>IF(B99=0,"",IF(BF99=0,90,VLOOKUP(Envoltória!N107,Componentes!AV:AY,3,FALSE)))</f>
        <v/>
      </c>
      <c r="AR99" s="413" t="str">
        <f t="shared" si="6"/>
        <v/>
      </c>
      <c r="AS99" s="413" t="str">
        <f t="shared" si="6"/>
        <v/>
      </c>
      <c r="AT99" s="413" t="str">
        <f t="shared" si="6"/>
        <v/>
      </c>
      <c r="AU99" s="413" t="str">
        <f t="shared" si="6"/>
        <v/>
      </c>
      <c r="AV99" s="413" t="str">
        <f t="shared" si="6"/>
        <v/>
      </c>
      <c r="AW99" s="414" t="str">
        <f>IF($B99=0,"",IFERROR(VLOOKUP(Envoltória!$B107,Aux_Lista!$O:$U,AW$9,FALSE),0))</f>
        <v/>
      </c>
      <c r="AX99" s="414" t="str">
        <f>IF($B99=0,"",IFERROR(VLOOKUP(Envoltória!$B107,Aux_Lista!$O:$U,AX$9,FALSE),0))</f>
        <v/>
      </c>
      <c r="AY99" s="414" t="str">
        <f>IF($B99=0,"",IFERROR(VLOOKUP(Envoltória!$B107,Aux_Lista!$O:$U,AY$9,FALSE),0))</f>
        <v/>
      </c>
      <c r="AZ99" s="414" t="str">
        <f>IF($B99=0,"",IFERROR(VLOOKUP(Envoltória!$B107,Aux_Lista!$O:$U,AZ$9,FALSE),0))</f>
        <v/>
      </c>
      <c r="BA99" s="414" t="str">
        <f>IF($B99=0,"",IFERROR(VLOOKUP(Envoltória!$B107,Aux_Lista!$O:$U,BA$9,FALSE),0))</f>
        <v/>
      </c>
      <c r="BB99" s="414" t="str">
        <f>IF($B99=0,"",IFERROR(VLOOKUP(Envoltória!$B107,Aux_Lista!$O:$U,BB$9,FALSE),0))</f>
        <v/>
      </c>
      <c r="BC99" s="414" t="str">
        <f>IFERROR(VLOOKUP(Envoltória!$H107,Aux_Lista!$W$2:$Y$3,BC$9,FALSE),"")</f>
        <v/>
      </c>
      <c r="BD99" s="414" t="str">
        <f>IFERROR(VLOOKUP(Envoltória!$H107,Aux_Lista!$W$2:$Y$3,BD$9,FALSE),"")</f>
        <v/>
      </c>
      <c r="BE99" s="412" t="str">
        <f t="shared" si="7"/>
        <v/>
      </c>
      <c r="BF99" s="412" t="str">
        <f>IF(B99=0,"",IF(Envoltória!F107="Perimetral",1,0))</f>
        <v/>
      </c>
      <c r="BG99" s="412" t="str">
        <f>IFERROR(VLOOKUP(Envoltória!$G107,$BQ$35:$BZ$43,BG$9,FALSE),"")</f>
        <v/>
      </c>
      <c r="BH99" s="412" t="str">
        <f>IFERROR(VLOOKUP(Envoltória!$G107,$BQ$35:$BZ$43,BH$9,FALSE),"")</f>
        <v/>
      </c>
      <c r="BI99" s="412" t="str">
        <f>IFERROR(VLOOKUP(Envoltória!$G107,$BQ$35:$BZ$43,BI$9,FALSE),"")</f>
        <v/>
      </c>
      <c r="BJ99" s="412" t="str">
        <f>IFERROR(VLOOKUP(Envoltória!$G107,$BQ$35:$BZ$43,BJ$9,FALSE),"")</f>
        <v/>
      </c>
      <c r="BK99" s="412" t="str">
        <f>IFERROR(VLOOKUP(Envoltória!$G107,$BQ$35:$BZ$43,BK$9,FALSE),"")</f>
        <v/>
      </c>
      <c r="BL99" s="412" t="str">
        <f>IFERROR(VLOOKUP(Envoltória!$G107,$BQ$35:$BZ$43,BL$9,FALSE),"")</f>
        <v/>
      </c>
      <c r="BM99" s="412" t="str">
        <f>IFERROR(VLOOKUP(Envoltória!$G107,$BQ$35:$BZ$43,BM$9,FALSE),"")</f>
        <v/>
      </c>
      <c r="BN99" s="412" t="str">
        <f>IFERROR(VLOOKUP(Envoltória!$G107,$BQ$35:$BZ$43,BN$9,FALSE),"")</f>
        <v/>
      </c>
      <c r="BO99" s="412" t="str">
        <f>IFERROR(VLOOKUP(Envoltória!$G107,$BQ$35:$BZ$43,BO$9,FALSE),"")</f>
        <v/>
      </c>
    </row>
    <row r="100" spans="1:67" x14ac:dyDescent="0.25">
      <c r="A100" s="1">
        <v>90</v>
      </c>
      <c r="B100" s="409">
        <f>Envoltória!I108</f>
        <v>0</v>
      </c>
      <c r="C100" s="410">
        <f>Envoltória!B108</f>
        <v>0</v>
      </c>
      <c r="D100" s="410">
        <f>Envoltória!C108</f>
        <v>0</v>
      </c>
      <c r="E100" s="411">
        <f>Envoltória!D108</f>
        <v>0</v>
      </c>
      <c r="F100" s="412" t="str">
        <f>IF(B100=0,"",Envoltória!E108)</f>
        <v/>
      </c>
      <c r="G100" s="412" t="str">
        <f t="shared" si="5"/>
        <v/>
      </c>
      <c r="H100" s="413" t="str">
        <f>IF(B100=0,"",Envoltória!O108/100)</f>
        <v/>
      </c>
      <c r="I100" s="413" t="str">
        <f>IF(B100=0,"",IF(BF100=1,VLOOKUP(Envoltória!N108,Componentes!AV:AY,2,FALSE),89))</f>
        <v/>
      </c>
      <c r="J100" s="414" t="str">
        <f>IF(B100=0,"",IFERROR(VLOOKUP(Envoltória!M108,Componentes!$P:$R,2,FALSE),""))</f>
        <v/>
      </c>
      <c r="K100" s="414" t="str">
        <f>IF(B100=0,"",IFERROR(VLOOKUP(Envoltória!M108,Componentes!$P:$R,3,FALSE),""))</f>
        <v/>
      </c>
      <c r="L100" s="415" t="str">
        <f>IF(B100=0,"",IFERROR(IF(BB100&lt;&gt;0,VLOOKUP(Envoltória!L108,Componentes!K:N,2,FALSE),0),""))</f>
        <v/>
      </c>
      <c r="M100" s="415" t="str">
        <f>IF(B100=0,"",IFERROR(IF(BB100&lt;&gt;0,VLOOKUP(Envoltória!L108,Componentes!K:N,3,FALSE),0),""))</f>
        <v/>
      </c>
      <c r="N100" s="415" t="str">
        <f>IF(B100=0,"",IFERROR(IF(BB100&lt;&gt;0,VLOOKUP(Envoltória!L108,Componentes!K:N,4,FALSE),0),""))</f>
        <v/>
      </c>
      <c r="O100" s="413" t="str">
        <f>IF(B100=0,"",IF(BF100=1,VLOOKUP(Envoltória!J108,Componentes!B:E,2,FALSE),-6))</f>
        <v/>
      </c>
      <c r="P100" s="413" t="str">
        <f>IF(B100=0,"",IF(BF100=1,VLOOKUP(Envoltória!J108,Componentes!B:E,3,FALSE),-400))</f>
        <v/>
      </c>
      <c r="Q100" s="413" t="str">
        <f>IF(B100=0,"",IF(BF100=1,VLOOKUP(Envoltória!J108,Componentes!B:E,4,FALSE),0))</f>
        <v/>
      </c>
      <c r="R100" s="414" t="str">
        <f>IF(B100=0,"",IFERROR(VLOOKUP(Envoltória!K108,Componentes!G:I,2,FALSE),""))</f>
        <v/>
      </c>
      <c r="S100" s="414" t="str">
        <f>IF(B100=0,"",IFERROR(VLOOKUP(Envoltória!K108,Componentes!G:I,3,FALSE),""))</f>
        <v/>
      </c>
      <c r="T100" s="413" t="str">
        <f>IF(B100=0,"",IFERROR(IF(H100&lt;&gt;0,VLOOKUP(Envoltória!N108,Componentes!T:V,3,FALSE),0),""))</f>
        <v/>
      </c>
      <c r="U100" s="413" t="str">
        <f>IF(B100=0,"",IFERROR(IF(H100&lt;&gt;0,VLOOKUP(Envoltória!N108,Componentes!T:V,2,FALSE),0),""))</f>
        <v/>
      </c>
      <c r="V100" s="414" t="str">
        <f>IF(B100=0,"",IFERROR(IF(AA100&lt;&gt;0,VLOOKUP(Envoltória!U108,Componentes!X:Z,2,FALSE),0),0))</f>
        <v/>
      </c>
      <c r="W100" s="414" t="str">
        <f>IF(B100=0,"",IFERROR(IF(AA100&lt;&gt;0,VLOOKUP(Envoltória!U108,Componentes!X:Z,3,FALSE),0),0))</f>
        <v/>
      </c>
      <c r="X100" s="413" t="str">
        <f>IF(B100=0,"",Envoltória!U108)</f>
        <v/>
      </c>
      <c r="Y100" s="413" t="str">
        <f>IF(B100=0,"",Envoltória!S108)</f>
        <v/>
      </c>
      <c r="Z100" s="413" t="str">
        <f>IF(B100=0,"",Envoltória!T108)</f>
        <v/>
      </c>
      <c r="AA100" s="416" t="str">
        <f>IF(B100=0,"",Envoltória!Q108/100)</f>
        <v/>
      </c>
      <c r="AB100" s="417" t="str">
        <f>IF($B100=0,"",VLOOKUP(Aux_Lista!$DR$2,Aux_Clima!$A:$O,AB$8,FALSE))</f>
        <v/>
      </c>
      <c r="AC100" s="417" t="str">
        <f>IF($B100=0,"",VLOOKUP(Aux_Lista!$DR$2,Aux_Clima!$A:$O,AC$8,FALSE))</f>
        <v/>
      </c>
      <c r="AD100" s="417" t="str">
        <f>IF($B100=0,"",ROUND(VLOOKUP(Aux_Lista!$DR$2,Aux_Clima!$A:$O,AD$8,FALSE),8))</f>
        <v/>
      </c>
      <c r="AE100" s="417" t="str">
        <f>IF($B100=0,"",ROUND(VLOOKUP(Aux_Lista!$DR$2,Aux_Clima!$A:$O,AE$8,FALSE),8))</f>
        <v/>
      </c>
      <c r="AF100" s="417" t="str">
        <f>IF($B100=0,"",ROUND(VLOOKUP(Aux_Lista!$DR$2,Aux_Clima!$A:$O,AF$8,FALSE),8))</f>
        <v/>
      </c>
      <c r="AG100" s="417" t="str">
        <f>IF($B100=0,"",ROUND(VLOOKUP(Aux_Lista!$DR$2,Aux_Clima!$A:$O,AG$8,FALSE),8))</f>
        <v/>
      </c>
      <c r="AH100" s="417" t="str">
        <f>IF($B100=0,"",ROUND(VLOOKUP(Aux_Lista!$DR$2,Aux_Clima!$A:$O,AH$8,FALSE),8))</f>
        <v/>
      </c>
      <c r="AI100" s="417" t="str">
        <f>IF($B100=0,"",ROUND(VLOOKUP(Aux_Lista!$DR$2,Aux_Clima!$A:$O,AI$8,FALSE),8))</f>
        <v/>
      </c>
      <c r="AJ100" s="417" t="str">
        <f>IF($B100=0,"",ROUND(VLOOKUP(Aux_Lista!$DR$2,Aux_Clima!$A:$O,AJ$8,FALSE),3))</f>
        <v/>
      </c>
      <c r="AK100" s="417" t="str">
        <f>IF($B100=0,"",ROUND(VLOOKUP(Aux_Lista!$DR$2,Aux_Clima!$A:$O,AK$8,FALSE),3))</f>
        <v/>
      </c>
      <c r="AL100" s="417" t="str">
        <f>IF($B100=0,"",ROUND(VLOOKUP(Aux_Lista!$DR$2,Aux_Clima!$A:$O,AL$8,FALSE),3))</f>
        <v/>
      </c>
      <c r="AM100" s="417" t="str">
        <f>IF($B100=0,"",ROUND(VLOOKUP(Aux_Lista!$DR$2,Aux_Clima!$A:$O,AM$8,FALSE),8))</f>
        <v/>
      </c>
      <c r="AN100" s="417" t="str">
        <f>IF($B100=0,"",ROUND(VLOOKUP(Aux_Lista!$DR$2,Aux_Clima!$A:$O,AN$8,FALSE),8))</f>
        <v/>
      </c>
      <c r="AO100" s="417" t="str">
        <f>IF($B100=0,"",ROUND(VLOOKUP(Aux_Lista!$DR$2,Aux_Clima!$A:$O,AO$8,FALSE),8))</f>
        <v/>
      </c>
      <c r="AP100" s="413" t="str">
        <f>IF(B100=0,"",IF(BF100=0,84,VLOOKUP(Envoltória!N108,Componentes!AV:AY,4,FALSE)))</f>
        <v/>
      </c>
      <c r="AQ100" s="413" t="str">
        <f>IF(B100=0,"",IF(BF100=0,90,VLOOKUP(Envoltória!N108,Componentes!AV:AY,3,FALSE)))</f>
        <v/>
      </c>
      <c r="AR100" s="413" t="str">
        <f t="shared" si="6"/>
        <v/>
      </c>
      <c r="AS100" s="413" t="str">
        <f t="shared" si="6"/>
        <v/>
      </c>
      <c r="AT100" s="413" t="str">
        <f t="shared" si="6"/>
        <v/>
      </c>
      <c r="AU100" s="413" t="str">
        <f t="shared" si="6"/>
        <v/>
      </c>
      <c r="AV100" s="413" t="str">
        <f t="shared" si="6"/>
        <v/>
      </c>
      <c r="AW100" s="414" t="str">
        <f>IF($B100=0,"",IFERROR(VLOOKUP(Envoltória!$B108,Aux_Lista!$O:$U,AW$9,FALSE),0))</f>
        <v/>
      </c>
      <c r="AX100" s="414" t="str">
        <f>IF($B100=0,"",IFERROR(VLOOKUP(Envoltória!$B108,Aux_Lista!$O:$U,AX$9,FALSE),0))</f>
        <v/>
      </c>
      <c r="AY100" s="414" t="str">
        <f>IF($B100=0,"",IFERROR(VLOOKUP(Envoltória!$B108,Aux_Lista!$O:$U,AY$9,FALSE),0))</f>
        <v/>
      </c>
      <c r="AZ100" s="414" t="str">
        <f>IF($B100=0,"",IFERROR(VLOOKUP(Envoltória!$B108,Aux_Lista!$O:$U,AZ$9,FALSE),0))</f>
        <v/>
      </c>
      <c r="BA100" s="414" t="str">
        <f>IF($B100=0,"",IFERROR(VLOOKUP(Envoltória!$B108,Aux_Lista!$O:$U,BA$9,FALSE),0))</f>
        <v/>
      </c>
      <c r="BB100" s="414" t="str">
        <f>IF($B100=0,"",IFERROR(VLOOKUP(Envoltória!$B108,Aux_Lista!$O:$U,BB$9,FALSE),0))</f>
        <v/>
      </c>
      <c r="BC100" s="414" t="str">
        <f>IFERROR(VLOOKUP(Envoltória!$H108,Aux_Lista!$W$2:$Y$3,BC$9,FALSE),"")</f>
        <v/>
      </c>
      <c r="BD100" s="414" t="str">
        <f>IFERROR(VLOOKUP(Envoltória!$H108,Aux_Lista!$W$2:$Y$3,BD$9,FALSE),"")</f>
        <v/>
      </c>
      <c r="BE100" s="412" t="str">
        <f t="shared" si="7"/>
        <v/>
      </c>
      <c r="BF100" s="412" t="str">
        <f>IF(B100=0,"",IF(Envoltória!F108="Perimetral",1,0))</f>
        <v/>
      </c>
      <c r="BG100" s="412" t="str">
        <f>IFERROR(VLOOKUP(Envoltória!$G108,$BQ$35:$BZ$43,BG$9,FALSE),"")</f>
        <v/>
      </c>
      <c r="BH100" s="412" t="str">
        <f>IFERROR(VLOOKUP(Envoltória!$G108,$BQ$35:$BZ$43,BH$9,FALSE),"")</f>
        <v/>
      </c>
      <c r="BI100" s="412" t="str">
        <f>IFERROR(VLOOKUP(Envoltória!$G108,$BQ$35:$BZ$43,BI$9,FALSE),"")</f>
        <v/>
      </c>
      <c r="BJ100" s="412" t="str">
        <f>IFERROR(VLOOKUP(Envoltória!$G108,$BQ$35:$BZ$43,BJ$9,FALSE),"")</f>
        <v/>
      </c>
      <c r="BK100" s="412" t="str">
        <f>IFERROR(VLOOKUP(Envoltória!$G108,$BQ$35:$BZ$43,BK$9,FALSE),"")</f>
        <v/>
      </c>
      <c r="BL100" s="412" t="str">
        <f>IFERROR(VLOOKUP(Envoltória!$G108,$BQ$35:$BZ$43,BL$9,FALSE),"")</f>
        <v/>
      </c>
      <c r="BM100" s="412" t="str">
        <f>IFERROR(VLOOKUP(Envoltória!$G108,$BQ$35:$BZ$43,BM$9,FALSE),"")</f>
        <v/>
      </c>
      <c r="BN100" s="412" t="str">
        <f>IFERROR(VLOOKUP(Envoltória!$G108,$BQ$35:$BZ$43,BN$9,FALSE),"")</f>
        <v/>
      </c>
      <c r="BO100" s="412" t="str">
        <f>IFERROR(VLOOKUP(Envoltória!$G108,$BQ$35:$BZ$43,BO$9,FALSE),"")</f>
        <v/>
      </c>
    </row>
    <row r="101" spans="1:67" x14ac:dyDescent="0.25">
      <c r="A101" s="1">
        <v>91</v>
      </c>
      <c r="B101" s="409">
        <f>Envoltória!I109</f>
        <v>0</v>
      </c>
      <c r="C101" s="410">
        <f>Envoltória!B109</f>
        <v>0</v>
      </c>
      <c r="D101" s="410">
        <f>Envoltória!C109</f>
        <v>0</v>
      </c>
      <c r="E101" s="411">
        <f>Envoltória!D109</f>
        <v>0</v>
      </c>
      <c r="F101" s="412" t="str">
        <f>IF(B101=0,"",Envoltória!E109)</f>
        <v/>
      </c>
      <c r="G101" s="412" t="str">
        <f t="shared" si="5"/>
        <v/>
      </c>
      <c r="H101" s="413" t="str">
        <f>IF(B101=0,"",Envoltória!O109/100)</f>
        <v/>
      </c>
      <c r="I101" s="413" t="str">
        <f>IF(B101=0,"",IF(BF101=1,VLOOKUP(Envoltória!N109,Componentes!AV:AY,2,FALSE),89))</f>
        <v/>
      </c>
      <c r="J101" s="414" t="str">
        <f>IF(B101=0,"",IFERROR(VLOOKUP(Envoltória!M109,Componentes!$P:$R,2,FALSE),""))</f>
        <v/>
      </c>
      <c r="K101" s="414" t="str">
        <f>IF(B101=0,"",IFERROR(VLOOKUP(Envoltória!M109,Componentes!$P:$R,3,FALSE),""))</f>
        <v/>
      </c>
      <c r="L101" s="415" t="str">
        <f>IF(B101=0,"",IFERROR(IF(BB101&lt;&gt;0,VLOOKUP(Envoltória!L109,Componentes!K:N,2,FALSE),0),""))</f>
        <v/>
      </c>
      <c r="M101" s="415" t="str">
        <f>IF(B101=0,"",IFERROR(IF(BB101&lt;&gt;0,VLOOKUP(Envoltória!L109,Componentes!K:N,3,FALSE),0),""))</f>
        <v/>
      </c>
      <c r="N101" s="415" t="str">
        <f>IF(B101=0,"",IFERROR(IF(BB101&lt;&gt;0,VLOOKUP(Envoltória!L109,Componentes!K:N,4,FALSE),0),""))</f>
        <v/>
      </c>
      <c r="O101" s="413" t="str">
        <f>IF(B101=0,"",IF(BF101=1,VLOOKUP(Envoltória!J109,Componentes!B:E,2,FALSE),-6))</f>
        <v/>
      </c>
      <c r="P101" s="413" t="str">
        <f>IF(B101=0,"",IF(BF101=1,VLOOKUP(Envoltória!J109,Componentes!B:E,3,FALSE),-400))</f>
        <v/>
      </c>
      <c r="Q101" s="413" t="str">
        <f>IF(B101=0,"",IF(BF101=1,VLOOKUP(Envoltória!J109,Componentes!B:E,4,FALSE),0))</f>
        <v/>
      </c>
      <c r="R101" s="414" t="str">
        <f>IF(B101=0,"",IFERROR(VLOOKUP(Envoltória!K109,Componentes!G:I,2,FALSE),""))</f>
        <v/>
      </c>
      <c r="S101" s="414" t="str">
        <f>IF(B101=0,"",IFERROR(VLOOKUP(Envoltória!K109,Componentes!G:I,3,FALSE),""))</f>
        <v/>
      </c>
      <c r="T101" s="413" t="str">
        <f>IF(B101=0,"",IFERROR(IF(H101&lt;&gt;0,VLOOKUP(Envoltória!N109,Componentes!T:V,3,FALSE),0),""))</f>
        <v/>
      </c>
      <c r="U101" s="413" t="str">
        <f>IF(B101=0,"",IFERROR(IF(H101&lt;&gt;0,VLOOKUP(Envoltória!N109,Componentes!T:V,2,FALSE),0),""))</f>
        <v/>
      </c>
      <c r="V101" s="414" t="str">
        <f>IF(B101=0,"",IFERROR(IF(AA101&lt;&gt;0,VLOOKUP(Envoltória!U109,Componentes!X:Z,2,FALSE),0),0))</f>
        <v/>
      </c>
      <c r="W101" s="414" t="str">
        <f>IF(B101=0,"",IFERROR(IF(AA101&lt;&gt;0,VLOOKUP(Envoltória!U109,Componentes!X:Z,3,FALSE),0),0))</f>
        <v/>
      </c>
      <c r="X101" s="413" t="str">
        <f>IF(B101=0,"",Envoltória!U109)</f>
        <v/>
      </c>
      <c r="Y101" s="413" t="str">
        <f>IF(B101=0,"",Envoltória!S109)</f>
        <v/>
      </c>
      <c r="Z101" s="413" t="str">
        <f>IF(B101=0,"",Envoltória!T109)</f>
        <v/>
      </c>
      <c r="AA101" s="416" t="str">
        <f>IF(B101=0,"",Envoltória!Q109/100)</f>
        <v/>
      </c>
      <c r="AB101" s="417" t="str">
        <f>IF($B101=0,"",VLOOKUP(Aux_Lista!$DR$2,Aux_Clima!$A:$O,AB$8,FALSE))</f>
        <v/>
      </c>
      <c r="AC101" s="417" t="str">
        <f>IF($B101=0,"",VLOOKUP(Aux_Lista!$DR$2,Aux_Clima!$A:$O,AC$8,FALSE))</f>
        <v/>
      </c>
      <c r="AD101" s="417" t="str">
        <f>IF($B101=0,"",ROUND(VLOOKUP(Aux_Lista!$DR$2,Aux_Clima!$A:$O,AD$8,FALSE),8))</f>
        <v/>
      </c>
      <c r="AE101" s="417" t="str">
        <f>IF($B101=0,"",ROUND(VLOOKUP(Aux_Lista!$DR$2,Aux_Clima!$A:$O,AE$8,FALSE),8))</f>
        <v/>
      </c>
      <c r="AF101" s="417" t="str">
        <f>IF($B101=0,"",ROUND(VLOOKUP(Aux_Lista!$DR$2,Aux_Clima!$A:$O,AF$8,FALSE),8))</f>
        <v/>
      </c>
      <c r="AG101" s="417" t="str">
        <f>IF($B101=0,"",ROUND(VLOOKUP(Aux_Lista!$DR$2,Aux_Clima!$A:$O,AG$8,FALSE),8))</f>
        <v/>
      </c>
      <c r="AH101" s="417" t="str">
        <f>IF($B101=0,"",ROUND(VLOOKUP(Aux_Lista!$DR$2,Aux_Clima!$A:$O,AH$8,FALSE),8))</f>
        <v/>
      </c>
      <c r="AI101" s="417" t="str">
        <f>IF($B101=0,"",ROUND(VLOOKUP(Aux_Lista!$DR$2,Aux_Clima!$A:$O,AI$8,FALSE),8))</f>
        <v/>
      </c>
      <c r="AJ101" s="417" t="str">
        <f>IF($B101=0,"",ROUND(VLOOKUP(Aux_Lista!$DR$2,Aux_Clima!$A:$O,AJ$8,FALSE),3))</f>
        <v/>
      </c>
      <c r="AK101" s="417" t="str">
        <f>IF($B101=0,"",ROUND(VLOOKUP(Aux_Lista!$DR$2,Aux_Clima!$A:$O,AK$8,FALSE),3))</f>
        <v/>
      </c>
      <c r="AL101" s="417" t="str">
        <f>IF($B101=0,"",ROUND(VLOOKUP(Aux_Lista!$DR$2,Aux_Clima!$A:$O,AL$8,FALSE),3))</f>
        <v/>
      </c>
      <c r="AM101" s="417" t="str">
        <f>IF($B101=0,"",ROUND(VLOOKUP(Aux_Lista!$DR$2,Aux_Clima!$A:$O,AM$8,FALSE),8))</f>
        <v/>
      </c>
      <c r="AN101" s="417" t="str">
        <f>IF($B101=0,"",ROUND(VLOOKUP(Aux_Lista!$DR$2,Aux_Clima!$A:$O,AN$8,FALSE),8))</f>
        <v/>
      </c>
      <c r="AO101" s="417" t="str">
        <f>IF($B101=0,"",ROUND(VLOOKUP(Aux_Lista!$DR$2,Aux_Clima!$A:$O,AO$8,FALSE),8))</f>
        <v/>
      </c>
      <c r="AP101" s="413" t="str">
        <f>IF(B101=0,"",IF(BF101=0,84,VLOOKUP(Envoltória!N109,Componentes!AV:AY,4,FALSE)))</f>
        <v/>
      </c>
      <c r="AQ101" s="413" t="str">
        <f>IF(B101=0,"",IF(BF101=0,90,VLOOKUP(Envoltória!N109,Componentes!AV:AY,3,FALSE)))</f>
        <v/>
      </c>
      <c r="AR101" s="413" t="str">
        <f t="shared" si="6"/>
        <v/>
      </c>
      <c r="AS101" s="413" t="str">
        <f t="shared" si="6"/>
        <v/>
      </c>
      <c r="AT101" s="413" t="str">
        <f t="shared" si="6"/>
        <v/>
      </c>
      <c r="AU101" s="413" t="str">
        <f t="shared" si="6"/>
        <v/>
      </c>
      <c r="AV101" s="413" t="str">
        <f t="shared" si="6"/>
        <v/>
      </c>
      <c r="AW101" s="414" t="str">
        <f>IF($B101=0,"",IFERROR(VLOOKUP(Envoltória!$B109,Aux_Lista!$O:$U,AW$9,FALSE),0))</f>
        <v/>
      </c>
      <c r="AX101" s="414" t="str">
        <f>IF($B101=0,"",IFERROR(VLOOKUP(Envoltória!$B109,Aux_Lista!$O:$U,AX$9,FALSE),0))</f>
        <v/>
      </c>
      <c r="AY101" s="414" t="str">
        <f>IF($B101=0,"",IFERROR(VLOOKUP(Envoltória!$B109,Aux_Lista!$O:$U,AY$9,FALSE),0))</f>
        <v/>
      </c>
      <c r="AZ101" s="414" t="str">
        <f>IF($B101=0,"",IFERROR(VLOOKUP(Envoltória!$B109,Aux_Lista!$O:$U,AZ$9,FALSE),0))</f>
        <v/>
      </c>
      <c r="BA101" s="414" t="str">
        <f>IF($B101=0,"",IFERROR(VLOOKUP(Envoltória!$B109,Aux_Lista!$O:$U,BA$9,FALSE),0))</f>
        <v/>
      </c>
      <c r="BB101" s="414" t="str">
        <f>IF($B101=0,"",IFERROR(VLOOKUP(Envoltória!$B109,Aux_Lista!$O:$U,BB$9,FALSE),0))</f>
        <v/>
      </c>
      <c r="BC101" s="414" t="str">
        <f>IFERROR(VLOOKUP(Envoltória!$H109,Aux_Lista!$W$2:$Y$3,BC$9,FALSE),"")</f>
        <v/>
      </c>
      <c r="BD101" s="414" t="str">
        <f>IFERROR(VLOOKUP(Envoltória!$H109,Aux_Lista!$W$2:$Y$3,BD$9,FALSE),"")</f>
        <v/>
      </c>
      <c r="BE101" s="412" t="str">
        <f t="shared" si="7"/>
        <v/>
      </c>
      <c r="BF101" s="412" t="str">
        <f>IF(B101=0,"",IF(Envoltória!F109="Perimetral",1,0))</f>
        <v/>
      </c>
      <c r="BG101" s="412" t="str">
        <f>IFERROR(VLOOKUP(Envoltória!$G109,$BQ$35:$BZ$43,BG$9,FALSE),"")</f>
        <v/>
      </c>
      <c r="BH101" s="412" t="str">
        <f>IFERROR(VLOOKUP(Envoltória!$G109,$BQ$35:$BZ$43,BH$9,FALSE),"")</f>
        <v/>
      </c>
      <c r="BI101" s="412" t="str">
        <f>IFERROR(VLOOKUP(Envoltória!$G109,$BQ$35:$BZ$43,BI$9,FALSE),"")</f>
        <v/>
      </c>
      <c r="BJ101" s="412" t="str">
        <f>IFERROR(VLOOKUP(Envoltória!$G109,$BQ$35:$BZ$43,BJ$9,FALSE),"")</f>
        <v/>
      </c>
      <c r="BK101" s="412" t="str">
        <f>IFERROR(VLOOKUP(Envoltória!$G109,$BQ$35:$BZ$43,BK$9,FALSE),"")</f>
        <v/>
      </c>
      <c r="BL101" s="412" t="str">
        <f>IFERROR(VLOOKUP(Envoltória!$G109,$BQ$35:$BZ$43,BL$9,FALSE),"")</f>
        <v/>
      </c>
      <c r="BM101" s="412" t="str">
        <f>IFERROR(VLOOKUP(Envoltória!$G109,$BQ$35:$BZ$43,BM$9,FALSE),"")</f>
        <v/>
      </c>
      <c r="BN101" s="412" t="str">
        <f>IFERROR(VLOOKUP(Envoltória!$G109,$BQ$35:$BZ$43,BN$9,FALSE),"")</f>
        <v/>
      </c>
      <c r="BO101" s="412" t="str">
        <f>IFERROR(VLOOKUP(Envoltória!$G109,$BQ$35:$BZ$43,BO$9,FALSE),"")</f>
        <v/>
      </c>
    </row>
    <row r="102" spans="1:67" x14ac:dyDescent="0.25">
      <c r="A102" s="1">
        <v>92</v>
      </c>
      <c r="B102" s="409">
        <f>Envoltória!I110</f>
        <v>0</v>
      </c>
      <c r="C102" s="410">
        <f>Envoltória!B110</f>
        <v>0</v>
      </c>
      <c r="D102" s="410">
        <f>Envoltória!C110</f>
        <v>0</v>
      </c>
      <c r="E102" s="411">
        <f>Envoltória!D110</f>
        <v>0</v>
      </c>
      <c r="F102" s="412" t="str">
        <f>IF(B102=0,"",Envoltória!E110)</f>
        <v/>
      </c>
      <c r="G102" s="412" t="str">
        <f t="shared" si="5"/>
        <v/>
      </c>
      <c r="H102" s="413" t="str">
        <f>IF(B102=0,"",Envoltória!O110/100)</f>
        <v/>
      </c>
      <c r="I102" s="413" t="str">
        <f>IF(B102=0,"",IF(BF102=1,VLOOKUP(Envoltória!N110,Componentes!AV:AY,2,FALSE),89))</f>
        <v/>
      </c>
      <c r="J102" s="414" t="str">
        <f>IF(B102=0,"",IFERROR(VLOOKUP(Envoltória!M110,Componentes!$P:$R,2,FALSE),""))</f>
        <v/>
      </c>
      <c r="K102" s="414" t="str">
        <f>IF(B102=0,"",IFERROR(VLOOKUP(Envoltória!M110,Componentes!$P:$R,3,FALSE),""))</f>
        <v/>
      </c>
      <c r="L102" s="415" t="str">
        <f>IF(B102=0,"",IFERROR(IF(BB102&lt;&gt;0,VLOOKUP(Envoltória!L110,Componentes!K:N,2,FALSE),0),""))</f>
        <v/>
      </c>
      <c r="M102" s="415" t="str">
        <f>IF(B102=0,"",IFERROR(IF(BB102&lt;&gt;0,VLOOKUP(Envoltória!L110,Componentes!K:N,3,FALSE),0),""))</f>
        <v/>
      </c>
      <c r="N102" s="415" t="str">
        <f>IF(B102=0,"",IFERROR(IF(BB102&lt;&gt;0,VLOOKUP(Envoltória!L110,Componentes!K:N,4,FALSE),0),""))</f>
        <v/>
      </c>
      <c r="O102" s="413" t="str">
        <f>IF(B102=0,"",IF(BF102=1,VLOOKUP(Envoltória!J110,Componentes!B:E,2,FALSE),-6))</f>
        <v/>
      </c>
      <c r="P102" s="413" t="str">
        <f>IF(B102=0,"",IF(BF102=1,VLOOKUP(Envoltória!J110,Componentes!B:E,3,FALSE),-400))</f>
        <v/>
      </c>
      <c r="Q102" s="413" t="str">
        <f>IF(B102=0,"",IF(BF102=1,VLOOKUP(Envoltória!J110,Componentes!B:E,4,FALSE),0))</f>
        <v/>
      </c>
      <c r="R102" s="414" t="str">
        <f>IF(B102=0,"",IFERROR(VLOOKUP(Envoltória!K110,Componentes!G:I,2,FALSE),""))</f>
        <v/>
      </c>
      <c r="S102" s="414" t="str">
        <f>IF(B102=0,"",IFERROR(VLOOKUP(Envoltória!K110,Componentes!G:I,3,FALSE),""))</f>
        <v/>
      </c>
      <c r="T102" s="413" t="str">
        <f>IF(B102=0,"",IFERROR(IF(H102&lt;&gt;0,VLOOKUP(Envoltória!N110,Componentes!T:V,3,FALSE),0),""))</f>
        <v/>
      </c>
      <c r="U102" s="413" t="str">
        <f>IF(B102=0,"",IFERROR(IF(H102&lt;&gt;0,VLOOKUP(Envoltória!N110,Componentes!T:V,2,FALSE),0),""))</f>
        <v/>
      </c>
      <c r="V102" s="414" t="str">
        <f>IF(B102=0,"",IFERROR(IF(AA102&lt;&gt;0,VLOOKUP(Envoltória!U110,Componentes!X:Z,2,FALSE),0),0))</f>
        <v/>
      </c>
      <c r="W102" s="414" t="str">
        <f>IF(B102=0,"",IFERROR(IF(AA102&lt;&gt;0,VLOOKUP(Envoltória!U110,Componentes!X:Z,3,FALSE),0),0))</f>
        <v/>
      </c>
      <c r="X102" s="413" t="str">
        <f>IF(B102=0,"",Envoltória!U110)</f>
        <v/>
      </c>
      <c r="Y102" s="413" t="str">
        <f>IF(B102=0,"",Envoltória!S110)</f>
        <v/>
      </c>
      <c r="Z102" s="413" t="str">
        <f>IF(B102=0,"",Envoltória!T110)</f>
        <v/>
      </c>
      <c r="AA102" s="416" t="str">
        <f>IF(B102=0,"",Envoltória!Q110/100)</f>
        <v/>
      </c>
      <c r="AB102" s="417" t="str">
        <f>IF($B102=0,"",VLOOKUP(Aux_Lista!$DR$2,Aux_Clima!$A:$O,AB$8,FALSE))</f>
        <v/>
      </c>
      <c r="AC102" s="417" t="str">
        <f>IF($B102=0,"",VLOOKUP(Aux_Lista!$DR$2,Aux_Clima!$A:$O,AC$8,FALSE))</f>
        <v/>
      </c>
      <c r="AD102" s="417" t="str">
        <f>IF($B102=0,"",ROUND(VLOOKUP(Aux_Lista!$DR$2,Aux_Clima!$A:$O,AD$8,FALSE),8))</f>
        <v/>
      </c>
      <c r="AE102" s="417" t="str">
        <f>IF($B102=0,"",ROUND(VLOOKUP(Aux_Lista!$DR$2,Aux_Clima!$A:$O,AE$8,FALSE),8))</f>
        <v/>
      </c>
      <c r="AF102" s="417" t="str">
        <f>IF($B102=0,"",ROUND(VLOOKUP(Aux_Lista!$DR$2,Aux_Clima!$A:$O,AF$8,FALSE),8))</f>
        <v/>
      </c>
      <c r="AG102" s="417" t="str">
        <f>IF($B102=0,"",ROUND(VLOOKUP(Aux_Lista!$DR$2,Aux_Clima!$A:$O,AG$8,FALSE),8))</f>
        <v/>
      </c>
      <c r="AH102" s="417" t="str">
        <f>IF($B102=0,"",ROUND(VLOOKUP(Aux_Lista!$DR$2,Aux_Clima!$A:$O,AH$8,FALSE),8))</f>
        <v/>
      </c>
      <c r="AI102" s="417" t="str">
        <f>IF($B102=0,"",ROUND(VLOOKUP(Aux_Lista!$DR$2,Aux_Clima!$A:$O,AI$8,FALSE),8))</f>
        <v/>
      </c>
      <c r="AJ102" s="417" t="str">
        <f>IF($B102=0,"",ROUND(VLOOKUP(Aux_Lista!$DR$2,Aux_Clima!$A:$O,AJ$8,FALSE),3))</f>
        <v/>
      </c>
      <c r="AK102" s="417" t="str">
        <f>IF($B102=0,"",ROUND(VLOOKUP(Aux_Lista!$DR$2,Aux_Clima!$A:$O,AK$8,FALSE),3))</f>
        <v/>
      </c>
      <c r="AL102" s="417" t="str">
        <f>IF($B102=0,"",ROUND(VLOOKUP(Aux_Lista!$DR$2,Aux_Clima!$A:$O,AL$8,FALSE),3))</f>
        <v/>
      </c>
      <c r="AM102" s="417" t="str">
        <f>IF($B102=0,"",ROUND(VLOOKUP(Aux_Lista!$DR$2,Aux_Clima!$A:$O,AM$8,FALSE),8))</f>
        <v/>
      </c>
      <c r="AN102" s="417" t="str">
        <f>IF($B102=0,"",ROUND(VLOOKUP(Aux_Lista!$DR$2,Aux_Clima!$A:$O,AN$8,FALSE),8))</f>
        <v/>
      </c>
      <c r="AO102" s="417" t="str">
        <f>IF($B102=0,"",ROUND(VLOOKUP(Aux_Lista!$DR$2,Aux_Clima!$A:$O,AO$8,FALSE),8))</f>
        <v/>
      </c>
      <c r="AP102" s="413" t="str">
        <f>IF(B102=0,"",IF(BF102=0,84,VLOOKUP(Envoltória!N110,Componentes!AV:AY,4,FALSE)))</f>
        <v/>
      </c>
      <c r="AQ102" s="413" t="str">
        <f>IF(B102=0,"",IF(BF102=0,90,VLOOKUP(Envoltória!N110,Componentes!AV:AY,3,FALSE)))</f>
        <v/>
      </c>
      <c r="AR102" s="413" t="str">
        <f t="shared" si="6"/>
        <v/>
      </c>
      <c r="AS102" s="413" t="str">
        <f t="shared" si="6"/>
        <v/>
      </c>
      <c r="AT102" s="413" t="str">
        <f t="shared" si="6"/>
        <v/>
      </c>
      <c r="AU102" s="413" t="str">
        <f t="shared" si="6"/>
        <v/>
      </c>
      <c r="AV102" s="413" t="str">
        <f t="shared" si="6"/>
        <v/>
      </c>
      <c r="AW102" s="414" t="str">
        <f>IF($B102=0,"",IFERROR(VLOOKUP(Envoltória!$B110,Aux_Lista!$O:$U,AW$9,FALSE),0))</f>
        <v/>
      </c>
      <c r="AX102" s="414" t="str">
        <f>IF($B102=0,"",IFERROR(VLOOKUP(Envoltória!$B110,Aux_Lista!$O:$U,AX$9,FALSE),0))</f>
        <v/>
      </c>
      <c r="AY102" s="414" t="str">
        <f>IF($B102=0,"",IFERROR(VLOOKUP(Envoltória!$B110,Aux_Lista!$O:$U,AY$9,FALSE),0))</f>
        <v/>
      </c>
      <c r="AZ102" s="414" t="str">
        <f>IF($B102=0,"",IFERROR(VLOOKUP(Envoltória!$B110,Aux_Lista!$O:$U,AZ$9,FALSE),0))</f>
        <v/>
      </c>
      <c r="BA102" s="414" t="str">
        <f>IF($B102=0,"",IFERROR(VLOOKUP(Envoltória!$B110,Aux_Lista!$O:$U,BA$9,FALSE),0))</f>
        <v/>
      </c>
      <c r="BB102" s="414" t="str">
        <f>IF($B102=0,"",IFERROR(VLOOKUP(Envoltória!$B110,Aux_Lista!$O:$U,BB$9,FALSE),0))</f>
        <v/>
      </c>
      <c r="BC102" s="414" t="str">
        <f>IFERROR(VLOOKUP(Envoltória!$H110,Aux_Lista!$W$2:$Y$3,BC$9,FALSE),"")</f>
        <v/>
      </c>
      <c r="BD102" s="414" t="str">
        <f>IFERROR(VLOOKUP(Envoltória!$H110,Aux_Lista!$W$2:$Y$3,BD$9,FALSE),"")</f>
        <v/>
      </c>
      <c r="BE102" s="412" t="str">
        <f t="shared" si="7"/>
        <v/>
      </c>
      <c r="BF102" s="412" t="str">
        <f>IF(B102=0,"",IF(Envoltória!F110="Perimetral",1,0))</f>
        <v/>
      </c>
      <c r="BG102" s="412" t="str">
        <f>IFERROR(VLOOKUP(Envoltória!$G110,$BQ$35:$BZ$43,BG$9,FALSE),"")</f>
        <v/>
      </c>
      <c r="BH102" s="412" t="str">
        <f>IFERROR(VLOOKUP(Envoltória!$G110,$BQ$35:$BZ$43,BH$9,FALSE),"")</f>
        <v/>
      </c>
      <c r="BI102" s="412" t="str">
        <f>IFERROR(VLOOKUP(Envoltória!$G110,$BQ$35:$BZ$43,BI$9,FALSE),"")</f>
        <v/>
      </c>
      <c r="BJ102" s="412" t="str">
        <f>IFERROR(VLOOKUP(Envoltória!$G110,$BQ$35:$BZ$43,BJ$9,FALSE),"")</f>
        <v/>
      </c>
      <c r="BK102" s="412" t="str">
        <f>IFERROR(VLOOKUP(Envoltória!$G110,$BQ$35:$BZ$43,BK$9,FALSE),"")</f>
        <v/>
      </c>
      <c r="BL102" s="412" t="str">
        <f>IFERROR(VLOOKUP(Envoltória!$G110,$BQ$35:$BZ$43,BL$9,FALSE),"")</f>
        <v/>
      </c>
      <c r="BM102" s="412" t="str">
        <f>IFERROR(VLOOKUP(Envoltória!$G110,$BQ$35:$BZ$43,BM$9,FALSE),"")</f>
        <v/>
      </c>
      <c r="BN102" s="412" t="str">
        <f>IFERROR(VLOOKUP(Envoltória!$G110,$BQ$35:$BZ$43,BN$9,FALSE),"")</f>
        <v/>
      </c>
      <c r="BO102" s="412" t="str">
        <f>IFERROR(VLOOKUP(Envoltória!$G110,$BQ$35:$BZ$43,BO$9,FALSE),"")</f>
        <v/>
      </c>
    </row>
    <row r="103" spans="1:67" x14ac:dyDescent="0.25">
      <c r="A103" s="1">
        <v>93</v>
      </c>
      <c r="B103" s="409">
        <f>Envoltória!I111</f>
        <v>0</v>
      </c>
      <c r="C103" s="410">
        <f>Envoltória!B111</f>
        <v>0</v>
      </c>
      <c r="D103" s="410">
        <f>Envoltória!C111</f>
        <v>0</v>
      </c>
      <c r="E103" s="411">
        <f>Envoltória!D111</f>
        <v>0</v>
      </c>
      <c r="F103" s="412" t="str">
        <f>IF(B103=0,"",Envoltória!E111)</f>
        <v/>
      </c>
      <c r="G103" s="412" t="str">
        <f t="shared" si="5"/>
        <v/>
      </c>
      <c r="H103" s="413" t="str">
        <f>IF(B103=0,"",Envoltória!O111/100)</f>
        <v/>
      </c>
      <c r="I103" s="413" t="str">
        <f>IF(B103=0,"",IF(BF103=1,VLOOKUP(Envoltória!N111,Componentes!AV:AY,2,FALSE),89))</f>
        <v/>
      </c>
      <c r="J103" s="414" t="str">
        <f>IF(B103=0,"",IFERROR(VLOOKUP(Envoltória!M111,Componentes!$P:$R,2,FALSE),""))</f>
        <v/>
      </c>
      <c r="K103" s="414" t="str">
        <f>IF(B103=0,"",IFERROR(VLOOKUP(Envoltória!M111,Componentes!$P:$R,3,FALSE),""))</f>
        <v/>
      </c>
      <c r="L103" s="415" t="str">
        <f>IF(B103=0,"",IFERROR(IF(BB103&lt;&gt;0,VLOOKUP(Envoltória!L111,Componentes!K:N,2,FALSE),0),""))</f>
        <v/>
      </c>
      <c r="M103" s="415" t="str">
        <f>IF(B103=0,"",IFERROR(IF(BB103&lt;&gt;0,VLOOKUP(Envoltória!L111,Componentes!K:N,3,FALSE),0),""))</f>
        <v/>
      </c>
      <c r="N103" s="415" t="str">
        <f>IF(B103=0,"",IFERROR(IF(BB103&lt;&gt;0,VLOOKUP(Envoltória!L111,Componentes!K:N,4,FALSE),0),""))</f>
        <v/>
      </c>
      <c r="O103" s="413" t="str">
        <f>IF(B103=0,"",IF(BF103=1,VLOOKUP(Envoltória!J111,Componentes!B:E,2,FALSE),-6))</f>
        <v/>
      </c>
      <c r="P103" s="413" t="str">
        <f>IF(B103=0,"",IF(BF103=1,VLOOKUP(Envoltória!J111,Componentes!B:E,3,FALSE),-400))</f>
        <v/>
      </c>
      <c r="Q103" s="413" t="str">
        <f>IF(B103=0,"",IF(BF103=1,VLOOKUP(Envoltória!J111,Componentes!B:E,4,FALSE),0))</f>
        <v/>
      </c>
      <c r="R103" s="414" t="str">
        <f>IF(B103=0,"",IFERROR(VLOOKUP(Envoltória!K111,Componentes!G:I,2,FALSE),""))</f>
        <v/>
      </c>
      <c r="S103" s="414" t="str">
        <f>IF(B103=0,"",IFERROR(VLOOKUP(Envoltória!K111,Componentes!G:I,3,FALSE),""))</f>
        <v/>
      </c>
      <c r="T103" s="413" t="str">
        <f>IF(B103=0,"",IFERROR(IF(H103&lt;&gt;0,VLOOKUP(Envoltória!N111,Componentes!T:V,3,FALSE),0),""))</f>
        <v/>
      </c>
      <c r="U103" s="413" t="str">
        <f>IF(B103=0,"",IFERROR(IF(H103&lt;&gt;0,VLOOKUP(Envoltória!N111,Componentes!T:V,2,FALSE),0),""))</f>
        <v/>
      </c>
      <c r="V103" s="414" t="str">
        <f>IF(B103=0,"",IFERROR(IF(AA103&lt;&gt;0,VLOOKUP(Envoltória!U111,Componentes!X:Z,2,FALSE),0),0))</f>
        <v/>
      </c>
      <c r="W103" s="414" t="str">
        <f>IF(B103=0,"",IFERROR(IF(AA103&lt;&gt;0,VLOOKUP(Envoltória!U111,Componentes!X:Z,3,FALSE),0),0))</f>
        <v/>
      </c>
      <c r="X103" s="413" t="str">
        <f>IF(B103=0,"",Envoltória!U111)</f>
        <v/>
      </c>
      <c r="Y103" s="413" t="str">
        <f>IF(B103=0,"",Envoltória!S111)</f>
        <v/>
      </c>
      <c r="Z103" s="413" t="str">
        <f>IF(B103=0,"",Envoltória!T111)</f>
        <v/>
      </c>
      <c r="AA103" s="416" t="str">
        <f>IF(B103=0,"",Envoltória!Q111/100)</f>
        <v/>
      </c>
      <c r="AB103" s="417" t="str">
        <f>IF($B103=0,"",VLOOKUP(Aux_Lista!$DR$2,Aux_Clima!$A:$O,AB$8,FALSE))</f>
        <v/>
      </c>
      <c r="AC103" s="417" t="str">
        <f>IF($B103=0,"",VLOOKUP(Aux_Lista!$DR$2,Aux_Clima!$A:$O,AC$8,FALSE))</f>
        <v/>
      </c>
      <c r="AD103" s="417" t="str">
        <f>IF($B103=0,"",ROUND(VLOOKUP(Aux_Lista!$DR$2,Aux_Clima!$A:$O,AD$8,FALSE),8))</f>
        <v/>
      </c>
      <c r="AE103" s="417" t="str">
        <f>IF($B103=0,"",ROUND(VLOOKUP(Aux_Lista!$DR$2,Aux_Clima!$A:$O,AE$8,FALSE),8))</f>
        <v/>
      </c>
      <c r="AF103" s="417" t="str">
        <f>IF($B103=0,"",ROUND(VLOOKUP(Aux_Lista!$DR$2,Aux_Clima!$A:$O,AF$8,FALSE),8))</f>
        <v/>
      </c>
      <c r="AG103" s="417" t="str">
        <f>IF($B103=0,"",ROUND(VLOOKUP(Aux_Lista!$DR$2,Aux_Clima!$A:$O,AG$8,FALSE),8))</f>
        <v/>
      </c>
      <c r="AH103" s="417" t="str">
        <f>IF($B103=0,"",ROUND(VLOOKUP(Aux_Lista!$DR$2,Aux_Clima!$A:$O,AH$8,FALSE),8))</f>
        <v/>
      </c>
      <c r="AI103" s="417" t="str">
        <f>IF($B103=0,"",ROUND(VLOOKUP(Aux_Lista!$DR$2,Aux_Clima!$A:$O,AI$8,FALSE),8))</f>
        <v/>
      </c>
      <c r="AJ103" s="417" t="str">
        <f>IF($B103=0,"",ROUND(VLOOKUP(Aux_Lista!$DR$2,Aux_Clima!$A:$O,AJ$8,FALSE),3))</f>
        <v/>
      </c>
      <c r="AK103" s="417" t="str">
        <f>IF($B103=0,"",ROUND(VLOOKUP(Aux_Lista!$DR$2,Aux_Clima!$A:$O,AK$8,FALSE),3))</f>
        <v/>
      </c>
      <c r="AL103" s="417" t="str">
        <f>IF($B103=0,"",ROUND(VLOOKUP(Aux_Lista!$DR$2,Aux_Clima!$A:$O,AL$8,FALSE),3))</f>
        <v/>
      </c>
      <c r="AM103" s="417" t="str">
        <f>IF($B103=0,"",ROUND(VLOOKUP(Aux_Lista!$DR$2,Aux_Clima!$A:$O,AM$8,FALSE),8))</f>
        <v/>
      </c>
      <c r="AN103" s="417" t="str">
        <f>IF($B103=0,"",ROUND(VLOOKUP(Aux_Lista!$DR$2,Aux_Clima!$A:$O,AN$8,FALSE),8))</f>
        <v/>
      </c>
      <c r="AO103" s="417" t="str">
        <f>IF($B103=0,"",ROUND(VLOOKUP(Aux_Lista!$DR$2,Aux_Clima!$A:$O,AO$8,FALSE),8))</f>
        <v/>
      </c>
      <c r="AP103" s="413" t="str">
        <f>IF(B103=0,"",IF(BF103=0,84,VLOOKUP(Envoltória!N111,Componentes!AV:AY,4,FALSE)))</f>
        <v/>
      </c>
      <c r="AQ103" s="413" t="str">
        <f>IF(B103=0,"",IF(BF103=0,90,VLOOKUP(Envoltória!N111,Componentes!AV:AY,3,FALSE)))</f>
        <v/>
      </c>
      <c r="AR103" s="413" t="str">
        <f t="shared" si="6"/>
        <v/>
      </c>
      <c r="AS103" s="413" t="str">
        <f t="shared" si="6"/>
        <v/>
      </c>
      <c r="AT103" s="413" t="str">
        <f t="shared" si="6"/>
        <v/>
      </c>
      <c r="AU103" s="413" t="str">
        <f t="shared" si="6"/>
        <v/>
      </c>
      <c r="AV103" s="413" t="str">
        <f t="shared" si="6"/>
        <v/>
      </c>
      <c r="AW103" s="414" t="str">
        <f>IF($B103=0,"",IFERROR(VLOOKUP(Envoltória!$B111,Aux_Lista!$O:$U,AW$9,FALSE),0))</f>
        <v/>
      </c>
      <c r="AX103" s="414" t="str">
        <f>IF($B103=0,"",IFERROR(VLOOKUP(Envoltória!$B111,Aux_Lista!$O:$U,AX$9,FALSE),0))</f>
        <v/>
      </c>
      <c r="AY103" s="414" t="str">
        <f>IF($B103=0,"",IFERROR(VLOOKUP(Envoltória!$B111,Aux_Lista!$O:$U,AY$9,FALSE),0))</f>
        <v/>
      </c>
      <c r="AZ103" s="414" t="str">
        <f>IF($B103=0,"",IFERROR(VLOOKUP(Envoltória!$B111,Aux_Lista!$O:$U,AZ$9,FALSE),0))</f>
        <v/>
      </c>
      <c r="BA103" s="414" t="str">
        <f>IF($B103=0,"",IFERROR(VLOOKUP(Envoltória!$B111,Aux_Lista!$O:$U,BA$9,FALSE),0))</f>
        <v/>
      </c>
      <c r="BB103" s="414" t="str">
        <f>IF($B103=0,"",IFERROR(VLOOKUP(Envoltória!$B111,Aux_Lista!$O:$U,BB$9,FALSE),0))</f>
        <v/>
      </c>
      <c r="BC103" s="414" t="str">
        <f>IFERROR(VLOOKUP(Envoltória!$H111,Aux_Lista!$W$2:$Y$3,BC$9,FALSE),"")</f>
        <v/>
      </c>
      <c r="BD103" s="414" t="str">
        <f>IFERROR(VLOOKUP(Envoltória!$H111,Aux_Lista!$W$2:$Y$3,BD$9,FALSE),"")</f>
        <v/>
      </c>
      <c r="BE103" s="412" t="str">
        <f t="shared" si="7"/>
        <v/>
      </c>
      <c r="BF103" s="412" t="str">
        <f>IF(B103=0,"",IF(Envoltória!F111="Perimetral",1,0))</f>
        <v/>
      </c>
      <c r="BG103" s="412" t="str">
        <f>IFERROR(VLOOKUP(Envoltória!$G111,$BQ$35:$BZ$43,BG$9,FALSE),"")</f>
        <v/>
      </c>
      <c r="BH103" s="412" t="str">
        <f>IFERROR(VLOOKUP(Envoltória!$G111,$BQ$35:$BZ$43,BH$9,FALSE),"")</f>
        <v/>
      </c>
      <c r="BI103" s="412" t="str">
        <f>IFERROR(VLOOKUP(Envoltória!$G111,$BQ$35:$BZ$43,BI$9,FALSE),"")</f>
        <v/>
      </c>
      <c r="BJ103" s="412" t="str">
        <f>IFERROR(VLOOKUP(Envoltória!$G111,$BQ$35:$BZ$43,BJ$9,FALSE),"")</f>
        <v/>
      </c>
      <c r="BK103" s="412" t="str">
        <f>IFERROR(VLOOKUP(Envoltória!$G111,$BQ$35:$BZ$43,BK$9,FALSE),"")</f>
        <v/>
      </c>
      <c r="BL103" s="412" t="str">
        <f>IFERROR(VLOOKUP(Envoltória!$G111,$BQ$35:$BZ$43,BL$9,FALSE),"")</f>
        <v/>
      </c>
      <c r="BM103" s="412" t="str">
        <f>IFERROR(VLOOKUP(Envoltória!$G111,$BQ$35:$BZ$43,BM$9,FALSE),"")</f>
        <v/>
      </c>
      <c r="BN103" s="412" t="str">
        <f>IFERROR(VLOOKUP(Envoltória!$G111,$BQ$35:$BZ$43,BN$9,FALSE),"")</f>
        <v/>
      </c>
      <c r="BO103" s="412" t="str">
        <f>IFERROR(VLOOKUP(Envoltória!$G111,$BQ$35:$BZ$43,BO$9,FALSE),"")</f>
        <v/>
      </c>
    </row>
    <row r="104" spans="1:67" x14ac:dyDescent="0.25">
      <c r="A104" s="1">
        <v>94</v>
      </c>
      <c r="B104" s="409">
        <f>Envoltória!I112</f>
        <v>0</v>
      </c>
      <c r="C104" s="410">
        <f>Envoltória!B112</f>
        <v>0</v>
      </c>
      <c r="D104" s="410">
        <f>Envoltória!C112</f>
        <v>0</v>
      </c>
      <c r="E104" s="411">
        <f>Envoltória!D112</f>
        <v>0</v>
      </c>
      <c r="F104" s="412" t="str">
        <f>IF(B104=0,"",Envoltória!E112)</f>
        <v/>
      </c>
      <c r="G104" s="412" t="str">
        <f t="shared" si="5"/>
        <v/>
      </c>
      <c r="H104" s="413" t="str">
        <f>IF(B104=0,"",Envoltória!O112/100)</f>
        <v/>
      </c>
      <c r="I104" s="413" t="str">
        <f>IF(B104=0,"",IF(BF104=1,VLOOKUP(Envoltória!N112,Componentes!AV:AY,2,FALSE),89))</f>
        <v/>
      </c>
      <c r="J104" s="414" t="str">
        <f>IF(B104=0,"",IFERROR(VLOOKUP(Envoltória!M112,Componentes!$P:$R,2,FALSE),""))</f>
        <v/>
      </c>
      <c r="K104" s="414" t="str">
        <f>IF(B104=0,"",IFERROR(VLOOKUP(Envoltória!M112,Componentes!$P:$R,3,FALSE),""))</f>
        <v/>
      </c>
      <c r="L104" s="415" t="str">
        <f>IF(B104=0,"",IFERROR(IF(BB104&lt;&gt;0,VLOOKUP(Envoltória!L112,Componentes!K:N,2,FALSE),0),""))</f>
        <v/>
      </c>
      <c r="M104" s="415" t="str">
        <f>IF(B104=0,"",IFERROR(IF(BB104&lt;&gt;0,VLOOKUP(Envoltória!L112,Componentes!K:N,3,FALSE),0),""))</f>
        <v/>
      </c>
      <c r="N104" s="415" t="str">
        <f>IF(B104=0,"",IFERROR(IF(BB104&lt;&gt;0,VLOOKUP(Envoltória!L112,Componentes!K:N,4,FALSE),0),""))</f>
        <v/>
      </c>
      <c r="O104" s="413" t="str">
        <f>IF(B104=0,"",IF(BF104=1,VLOOKUP(Envoltória!J112,Componentes!B:E,2,FALSE),-6))</f>
        <v/>
      </c>
      <c r="P104" s="413" t="str">
        <f>IF(B104=0,"",IF(BF104=1,VLOOKUP(Envoltória!J112,Componentes!B:E,3,FALSE),-400))</f>
        <v/>
      </c>
      <c r="Q104" s="413" t="str">
        <f>IF(B104=0,"",IF(BF104=1,VLOOKUP(Envoltória!J112,Componentes!B:E,4,FALSE),0))</f>
        <v/>
      </c>
      <c r="R104" s="414" t="str">
        <f>IF(B104=0,"",IFERROR(VLOOKUP(Envoltória!K112,Componentes!G:I,2,FALSE),""))</f>
        <v/>
      </c>
      <c r="S104" s="414" t="str">
        <f>IF(B104=0,"",IFERROR(VLOOKUP(Envoltória!K112,Componentes!G:I,3,FALSE),""))</f>
        <v/>
      </c>
      <c r="T104" s="413" t="str">
        <f>IF(B104=0,"",IFERROR(IF(H104&lt;&gt;0,VLOOKUP(Envoltória!N112,Componentes!T:V,3,FALSE),0),""))</f>
        <v/>
      </c>
      <c r="U104" s="413" t="str">
        <f>IF(B104=0,"",IFERROR(IF(H104&lt;&gt;0,VLOOKUP(Envoltória!N112,Componentes!T:V,2,FALSE),0),""))</f>
        <v/>
      </c>
      <c r="V104" s="414" t="str">
        <f>IF(B104=0,"",IFERROR(IF(AA104&lt;&gt;0,VLOOKUP(Envoltória!U112,Componentes!X:Z,2,FALSE),0),0))</f>
        <v/>
      </c>
      <c r="W104" s="414" t="str">
        <f>IF(B104=0,"",IFERROR(IF(AA104&lt;&gt;0,VLOOKUP(Envoltória!U112,Componentes!X:Z,3,FALSE),0),0))</f>
        <v/>
      </c>
      <c r="X104" s="413" t="str">
        <f>IF(B104=0,"",Envoltória!U112)</f>
        <v/>
      </c>
      <c r="Y104" s="413" t="str">
        <f>IF(B104=0,"",Envoltória!S112)</f>
        <v/>
      </c>
      <c r="Z104" s="413" t="str">
        <f>IF(B104=0,"",Envoltória!T112)</f>
        <v/>
      </c>
      <c r="AA104" s="416" t="str">
        <f>IF(B104=0,"",Envoltória!Q112/100)</f>
        <v/>
      </c>
      <c r="AB104" s="417" t="str">
        <f>IF($B104=0,"",VLOOKUP(Aux_Lista!$DR$2,Aux_Clima!$A:$O,AB$8,FALSE))</f>
        <v/>
      </c>
      <c r="AC104" s="417" t="str">
        <f>IF($B104=0,"",VLOOKUP(Aux_Lista!$DR$2,Aux_Clima!$A:$O,AC$8,FALSE))</f>
        <v/>
      </c>
      <c r="AD104" s="417" t="str">
        <f>IF($B104=0,"",ROUND(VLOOKUP(Aux_Lista!$DR$2,Aux_Clima!$A:$O,AD$8,FALSE),8))</f>
        <v/>
      </c>
      <c r="AE104" s="417" t="str">
        <f>IF($B104=0,"",ROUND(VLOOKUP(Aux_Lista!$DR$2,Aux_Clima!$A:$O,AE$8,FALSE),8))</f>
        <v/>
      </c>
      <c r="AF104" s="417" t="str">
        <f>IF($B104=0,"",ROUND(VLOOKUP(Aux_Lista!$DR$2,Aux_Clima!$A:$O,AF$8,FALSE),8))</f>
        <v/>
      </c>
      <c r="AG104" s="417" t="str">
        <f>IF($B104=0,"",ROUND(VLOOKUP(Aux_Lista!$DR$2,Aux_Clima!$A:$O,AG$8,FALSE),8))</f>
        <v/>
      </c>
      <c r="AH104" s="417" t="str">
        <f>IF($B104=0,"",ROUND(VLOOKUP(Aux_Lista!$DR$2,Aux_Clima!$A:$O,AH$8,FALSE),8))</f>
        <v/>
      </c>
      <c r="AI104" s="417" t="str">
        <f>IF($B104=0,"",ROUND(VLOOKUP(Aux_Lista!$DR$2,Aux_Clima!$A:$O,AI$8,FALSE),8))</f>
        <v/>
      </c>
      <c r="AJ104" s="417" t="str">
        <f>IF($B104=0,"",ROUND(VLOOKUP(Aux_Lista!$DR$2,Aux_Clima!$A:$O,AJ$8,FALSE),3))</f>
        <v/>
      </c>
      <c r="AK104" s="417" t="str">
        <f>IF($B104=0,"",ROUND(VLOOKUP(Aux_Lista!$DR$2,Aux_Clima!$A:$O,AK$8,FALSE),3))</f>
        <v/>
      </c>
      <c r="AL104" s="417" t="str">
        <f>IF($B104=0,"",ROUND(VLOOKUP(Aux_Lista!$DR$2,Aux_Clima!$A:$O,AL$8,FALSE),3))</f>
        <v/>
      </c>
      <c r="AM104" s="417" t="str">
        <f>IF($B104=0,"",ROUND(VLOOKUP(Aux_Lista!$DR$2,Aux_Clima!$A:$O,AM$8,FALSE),8))</f>
        <v/>
      </c>
      <c r="AN104" s="417" t="str">
        <f>IF($B104=0,"",ROUND(VLOOKUP(Aux_Lista!$DR$2,Aux_Clima!$A:$O,AN$8,FALSE),8))</f>
        <v/>
      </c>
      <c r="AO104" s="417" t="str">
        <f>IF($B104=0,"",ROUND(VLOOKUP(Aux_Lista!$DR$2,Aux_Clima!$A:$O,AO$8,FALSE),8))</f>
        <v/>
      </c>
      <c r="AP104" s="413" t="str">
        <f>IF(B104=0,"",IF(BF104=0,84,VLOOKUP(Envoltória!N112,Componentes!AV:AY,4,FALSE)))</f>
        <v/>
      </c>
      <c r="AQ104" s="413" t="str">
        <f>IF(B104=0,"",IF(BF104=0,90,VLOOKUP(Envoltória!N112,Componentes!AV:AY,3,FALSE)))</f>
        <v/>
      </c>
      <c r="AR104" s="413" t="str">
        <f t="shared" si="6"/>
        <v/>
      </c>
      <c r="AS104" s="413" t="str">
        <f t="shared" si="6"/>
        <v/>
      </c>
      <c r="AT104" s="413" t="str">
        <f t="shared" si="6"/>
        <v/>
      </c>
      <c r="AU104" s="413" t="str">
        <f t="shared" si="6"/>
        <v/>
      </c>
      <c r="AV104" s="413" t="str">
        <f t="shared" si="6"/>
        <v/>
      </c>
      <c r="AW104" s="414" t="str">
        <f>IF($B104=0,"",IFERROR(VLOOKUP(Envoltória!$B112,Aux_Lista!$O:$U,AW$9,FALSE),0))</f>
        <v/>
      </c>
      <c r="AX104" s="414" t="str">
        <f>IF($B104=0,"",IFERROR(VLOOKUP(Envoltória!$B112,Aux_Lista!$O:$U,AX$9,FALSE),0))</f>
        <v/>
      </c>
      <c r="AY104" s="414" t="str">
        <f>IF($B104=0,"",IFERROR(VLOOKUP(Envoltória!$B112,Aux_Lista!$O:$U,AY$9,FALSE),0))</f>
        <v/>
      </c>
      <c r="AZ104" s="414" t="str">
        <f>IF($B104=0,"",IFERROR(VLOOKUP(Envoltória!$B112,Aux_Lista!$O:$U,AZ$9,FALSE),0))</f>
        <v/>
      </c>
      <c r="BA104" s="414" t="str">
        <f>IF($B104=0,"",IFERROR(VLOOKUP(Envoltória!$B112,Aux_Lista!$O:$U,BA$9,FALSE),0))</f>
        <v/>
      </c>
      <c r="BB104" s="414" t="str">
        <f>IF($B104=0,"",IFERROR(VLOOKUP(Envoltória!$B112,Aux_Lista!$O:$U,BB$9,FALSE),0))</f>
        <v/>
      </c>
      <c r="BC104" s="414" t="str">
        <f>IFERROR(VLOOKUP(Envoltória!$H112,Aux_Lista!$W$2:$Y$3,BC$9,FALSE),"")</f>
        <v/>
      </c>
      <c r="BD104" s="414" t="str">
        <f>IFERROR(VLOOKUP(Envoltória!$H112,Aux_Lista!$W$2:$Y$3,BD$9,FALSE),"")</f>
        <v/>
      </c>
      <c r="BE104" s="412" t="str">
        <f t="shared" si="7"/>
        <v/>
      </c>
      <c r="BF104" s="412" t="str">
        <f>IF(B104=0,"",IF(Envoltória!F112="Perimetral",1,0))</f>
        <v/>
      </c>
      <c r="BG104" s="412" t="str">
        <f>IFERROR(VLOOKUP(Envoltória!$G112,$BQ$35:$BZ$43,BG$9,FALSE),"")</f>
        <v/>
      </c>
      <c r="BH104" s="412" t="str">
        <f>IFERROR(VLOOKUP(Envoltória!$G112,$BQ$35:$BZ$43,BH$9,FALSE),"")</f>
        <v/>
      </c>
      <c r="BI104" s="412" t="str">
        <f>IFERROR(VLOOKUP(Envoltória!$G112,$BQ$35:$BZ$43,BI$9,FALSE),"")</f>
        <v/>
      </c>
      <c r="BJ104" s="412" t="str">
        <f>IFERROR(VLOOKUP(Envoltória!$G112,$BQ$35:$BZ$43,BJ$9,FALSE),"")</f>
        <v/>
      </c>
      <c r="BK104" s="412" t="str">
        <f>IFERROR(VLOOKUP(Envoltória!$G112,$BQ$35:$BZ$43,BK$9,FALSE),"")</f>
        <v/>
      </c>
      <c r="BL104" s="412" t="str">
        <f>IFERROR(VLOOKUP(Envoltória!$G112,$BQ$35:$BZ$43,BL$9,FALSE),"")</f>
        <v/>
      </c>
      <c r="BM104" s="412" t="str">
        <f>IFERROR(VLOOKUP(Envoltória!$G112,$BQ$35:$BZ$43,BM$9,FALSE),"")</f>
        <v/>
      </c>
      <c r="BN104" s="412" t="str">
        <f>IFERROR(VLOOKUP(Envoltória!$G112,$BQ$35:$BZ$43,BN$9,FALSE),"")</f>
        <v/>
      </c>
      <c r="BO104" s="412" t="str">
        <f>IFERROR(VLOOKUP(Envoltória!$G112,$BQ$35:$BZ$43,BO$9,FALSE),"")</f>
        <v/>
      </c>
    </row>
    <row r="105" spans="1:67" x14ac:dyDescent="0.25">
      <c r="A105" s="1">
        <v>95</v>
      </c>
      <c r="B105" s="409">
        <f>Envoltória!I113</f>
        <v>0</v>
      </c>
      <c r="C105" s="410">
        <f>Envoltória!B113</f>
        <v>0</v>
      </c>
      <c r="D105" s="410">
        <f>Envoltória!C113</f>
        <v>0</v>
      </c>
      <c r="E105" s="411">
        <f>Envoltória!D113</f>
        <v>0</v>
      </c>
      <c r="F105" s="412" t="str">
        <f>IF(B105=0,"",Envoltória!E113)</f>
        <v/>
      </c>
      <c r="G105" s="412" t="str">
        <f t="shared" si="5"/>
        <v/>
      </c>
      <c r="H105" s="413" t="str">
        <f>IF(B105=0,"",Envoltória!O113/100)</f>
        <v/>
      </c>
      <c r="I105" s="413" t="str">
        <f>IF(B105=0,"",IF(BF105=1,VLOOKUP(Envoltória!N113,Componentes!AV:AY,2,FALSE),89))</f>
        <v/>
      </c>
      <c r="J105" s="414" t="str">
        <f>IF(B105=0,"",IFERROR(VLOOKUP(Envoltória!M113,Componentes!$P:$R,2,FALSE),""))</f>
        <v/>
      </c>
      <c r="K105" s="414" t="str">
        <f>IF(B105=0,"",IFERROR(VLOOKUP(Envoltória!M113,Componentes!$P:$R,3,FALSE),""))</f>
        <v/>
      </c>
      <c r="L105" s="415" t="str">
        <f>IF(B105=0,"",IFERROR(IF(BB105&lt;&gt;0,VLOOKUP(Envoltória!L113,Componentes!K:N,2,FALSE),0),""))</f>
        <v/>
      </c>
      <c r="M105" s="415" t="str">
        <f>IF(B105=0,"",IFERROR(IF(BB105&lt;&gt;0,VLOOKUP(Envoltória!L113,Componentes!K:N,3,FALSE),0),""))</f>
        <v/>
      </c>
      <c r="N105" s="415" t="str">
        <f>IF(B105=0,"",IFERROR(IF(BB105&lt;&gt;0,VLOOKUP(Envoltória!L113,Componentes!K:N,4,FALSE),0),""))</f>
        <v/>
      </c>
      <c r="O105" s="413" t="str">
        <f>IF(B105=0,"",IF(BF105=1,VLOOKUP(Envoltória!J113,Componentes!B:E,2,FALSE),-6))</f>
        <v/>
      </c>
      <c r="P105" s="413" t="str">
        <f>IF(B105=0,"",IF(BF105=1,VLOOKUP(Envoltória!J113,Componentes!B:E,3,FALSE),-400))</f>
        <v/>
      </c>
      <c r="Q105" s="413" t="str">
        <f>IF(B105=0,"",IF(BF105=1,VLOOKUP(Envoltória!J113,Componentes!B:E,4,FALSE),0))</f>
        <v/>
      </c>
      <c r="R105" s="414" t="str">
        <f>IF(B105=0,"",IFERROR(VLOOKUP(Envoltória!K113,Componentes!G:I,2,FALSE),""))</f>
        <v/>
      </c>
      <c r="S105" s="414" t="str">
        <f>IF(B105=0,"",IFERROR(VLOOKUP(Envoltória!K113,Componentes!G:I,3,FALSE),""))</f>
        <v/>
      </c>
      <c r="T105" s="413" t="str">
        <f>IF(B105=0,"",IFERROR(IF(H105&lt;&gt;0,VLOOKUP(Envoltória!N113,Componentes!T:V,3,FALSE),0),""))</f>
        <v/>
      </c>
      <c r="U105" s="413" t="str">
        <f>IF(B105=0,"",IFERROR(IF(H105&lt;&gt;0,VLOOKUP(Envoltória!N113,Componentes!T:V,2,FALSE),0),""))</f>
        <v/>
      </c>
      <c r="V105" s="414" t="str">
        <f>IF(B105=0,"",IFERROR(IF(AA105&lt;&gt;0,VLOOKUP(Envoltória!U113,Componentes!X:Z,2,FALSE),0),0))</f>
        <v/>
      </c>
      <c r="W105" s="414" t="str">
        <f>IF(B105=0,"",IFERROR(IF(AA105&lt;&gt;0,VLOOKUP(Envoltória!U113,Componentes!X:Z,3,FALSE),0),0))</f>
        <v/>
      </c>
      <c r="X105" s="413" t="str">
        <f>IF(B105=0,"",Envoltória!U113)</f>
        <v/>
      </c>
      <c r="Y105" s="413" t="str">
        <f>IF(B105=0,"",Envoltória!S113)</f>
        <v/>
      </c>
      <c r="Z105" s="413" t="str">
        <f>IF(B105=0,"",Envoltória!T113)</f>
        <v/>
      </c>
      <c r="AA105" s="416" t="str">
        <f>IF(B105=0,"",Envoltória!Q113/100)</f>
        <v/>
      </c>
      <c r="AB105" s="417" t="str">
        <f>IF($B105=0,"",VLOOKUP(Aux_Lista!$DR$2,Aux_Clima!$A:$O,AB$8,FALSE))</f>
        <v/>
      </c>
      <c r="AC105" s="417" t="str">
        <f>IF($B105=0,"",VLOOKUP(Aux_Lista!$DR$2,Aux_Clima!$A:$O,AC$8,FALSE))</f>
        <v/>
      </c>
      <c r="AD105" s="417" t="str">
        <f>IF($B105=0,"",ROUND(VLOOKUP(Aux_Lista!$DR$2,Aux_Clima!$A:$O,AD$8,FALSE),8))</f>
        <v/>
      </c>
      <c r="AE105" s="417" t="str">
        <f>IF($B105=0,"",ROUND(VLOOKUP(Aux_Lista!$DR$2,Aux_Clima!$A:$O,AE$8,FALSE),8))</f>
        <v/>
      </c>
      <c r="AF105" s="417" t="str">
        <f>IF($B105=0,"",ROUND(VLOOKUP(Aux_Lista!$DR$2,Aux_Clima!$A:$O,AF$8,FALSE),8))</f>
        <v/>
      </c>
      <c r="AG105" s="417" t="str">
        <f>IF($B105=0,"",ROUND(VLOOKUP(Aux_Lista!$DR$2,Aux_Clima!$A:$O,AG$8,FALSE),8))</f>
        <v/>
      </c>
      <c r="AH105" s="417" t="str">
        <f>IF($B105=0,"",ROUND(VLOOKUP(Aux_Lista!$DR$2,Aux_Clima!$A:$O,AH$8,FALSE),8))</f>
        <v/>
      </c>
      <c r="AI105" s="417" t="str">
        <f>IF($B105=0,"",ROUND(VLOOKUP(Aux_Lista!$DR$2,Aux_Clima!$A:$O,AI$8,FALSE),8))</f>
        <v/>
      </c>
      <c r="AJ105" s="417" t="str">
        <f>IF($B105=0,"",ROUND(VLOOKUP(Aux_Lista!$DR$2,Aux_Clima!$A:$O,AJ$8,FALSE),3))</f>
        <v/>
      </c>
      <c r="AK105" s="417" t="str">
        <f>IF($B105=0,"",ROUND(VLOOKUP(Aux_Lista!$DR$2,Aux_Clima!$A:$O,AK$8,FALSE),3))</f>
        <v/>
      </c>
      <c r="AL105" s="417" t="str">
        <f>IF($B105=0,"",ROUND(VLOOKUP(Aux_Lista!$DR$2,Aux_Clima!$A:$O,AL$8,FALSE),3))</f>
        <v/>
      </c>
      <c r="AM105" s="417" t="str">
        <f>IF($B105=0,"",ROUND(VLOOKUP(Aux_Lista!$DR$2,Aux_Clima!$A:$O,AM$8,FALSE),8))</f>
        <v/>
      </c>
      <c r="AN105" s="417" t="str">
        <f>IF($B105=0,"",ROUND(VLOOKUP(Aux_Lista!$DR$2,Aux_Clima!$A:$O,AN$8,FALSE),8))</f>
        <v/>
      </c>
      <c r="AO105" s="417" t="str">
        <f>IF($B105=0,"",ROUND(VLOOKUP(Aux_Lista!$DR$2,Aux_Clima!$A:$O,AO$8,FALSE),8))</f>
        <v/>
      </c>
      <c r="AP105" s="413" t="str">
        <f>IF(B105=0,"",IF(BF105=0,84,VLOOKUP(Envoltória!N113,Componentes!AV:AY,4,FALSE)))</f>
        <v/>
      </c>
      <c r="AQ105" s="413" t="str">
        <f>IF(B105=0,"",IF(BF105=0,90,VLOOKUP(Envoltória!N113,Componentes!AV:AY,3,FALSE)))</f>
        <v/>
      </c>
      <c r="AR105" s="413" t="str">
        <f t="shared" si="6"/>
        <v/>
      </c>
      <c r="AS105" s="413" t="str">
        <f t="shared" si="6"/>
        <v/>
      </c>
      <c r="AT105" s="413" t="str">
        <f t="shared" si="6"/>
        <v/>
      </c>
      <c r="AU105" s="413" t="str">
        <f t="shared" si="6"/>
        <v/>
      </c>
      <c r="AV105" s="413" t="str">
        <f t="shared" si="6"/>
        <v/>
      </c>
      <c r="AW105" s="414" t="str">
        <f>IF($B105=0,"",IFERROR(VLOOKUP(Envoltória!$B113,Aux_Lista!$O:$U,AW$9,FALSE),0))</f>
        <v/>
      </c>
      <c r="AX105" s="414" t="str">
        <f>IF($B105=0,"",IFERROR(VLOOKUP(Envoltória!$B113,Aux_Lista!$O:$U,AX$9,FALSE),0))</f>
        <v/>
      </c>
      <c r="AY105" s="414" t="str">
        <f>IF($B105=0,"",IFERROR(VLOOKUP(Envoltória!$B113,Aux_Lista!$O:$U,AY$9,FALSE),0))</f>
        <v/>
      </c>
      <c r="AZ105" s="414" t="str">
        <f>IF($B105=0,"",IFERROR(VLOOKUP(Envoltória!$B113,Aux_Lista!$O:$U,AZ$9,FALSE),0))</f>
        <v/>
      </c>
      <c r="BA105" s="414" t="str">
        <f>IF($B105=0,"",IFERROR(VLOOKUP(Envoltória!$B113,Aux_Lista!$O:$U,BA$9,FALSE),0))</f>
        <v/>
      </c>
      <c r="BB105" s="414" t="str">
        <f>IF($B105=0,"",IFERROR(VLOOKUP(Envoltória!$B113,Aux_Lista!$O:$U,BB$9,FALSE),0))</f>
        <v/>
      </c>
      <c r="BC105" s="414" t="str">
        <f>IFERROR(VLOOKUP(Envoltória!$H113,Aux_Lista!$W$2:$Y$3,BC$9,FALSE),"")</f>
        <v/>
      </c>
      <c r="BD105" s="414" t="str">
        <f>IFERROR(VLOOKUP(Envoltória!$H113,Aux_Lista!$W$2:$Y$3,BD$9,FALSE),"")</f>
        <v/>
      </c>
      <c r="BE105" s="412" t="str">
        <f t="shared" si="7"/>
        <v/>
      </c>
      <c r="BF105" s="412" t="str">
        <f>IF(B105=0,"",IF(Envoltória!F113="Perimetral",1,0))</f>
        <v/>
      </c>
      <c r="BG105" s="412" t="str">
        <f>IFERROR(VLOOKUP(Envoltória!$G113,$BQ$35:$BZ$43,BG$9,FALSE),"")</f>
        <v/>
      </c>
      <c r="BH105" s="412" t="str">
        <f>IFERROR(VLOOKUP(Envoltória!$G113,$BQ$35:$BZ$43,BH$9,FALSE),"")</f>
        <v/>
      </c>
      <c r="BI105" s="412" t="str">
        <f>IFERROR(VLOOKUP(Envoltória!$G113,$BQ$35:$BZ$43,BI$9,FALSE),"")</f>
        <v/>
      </c>
      <c r="BJ105" s="412" t="str">
        <f>IFERROR(VLOOKUP(Envoltória!$G113,$BQ$35:$BZ$43,BJ$9,FALSE),"")</f>
        <v/>
      </c>
      <c r="BK105" s="412" t="str">
        <f>IFERROR(VLOOKUP(Envoltória!$G113,$BQ$35:$BZ$43,BK$9,FALSE),"")</f>
        <v/>
      </c>
      <c r="BL105" s="412" t="str">
        <f>IFERROR(VLOOKUP(Envoltória!$G113,$BQ$35:$BZ$43,BL$9,FALSE),"")</f>
        <v/>
      </c>
      <c r="BM105" s="412" t="str">
        <f>IFERROR(VLOOKUP(Envoltória!$G113,$BQ$35:$BZ$43,BM$9,FALSE),"")</f>
        <v/>
      </c>
      <c r="BN105" s="412" t="str">
        <f>IFERROR(VLOOKUP(Envoltória!$G113,$BQ$35:$BZ$43,BN$9,FALSE),"")</f>
        <v/>
      </c>
      <c r="BO105" s="412" t="str">
        <f>IFERROR(VLOOKUP(Envoltória!$G113,$BQ$35:$BZ$43,BO$9,FALSE),"")</f>
        <v/>
      </c>
    </row>
    <row r="106" spans="1:67" x14ac:dyDescent="0.25">
      <c r="A106" s="1">
        <v>96</v>
      </c>
      <c r="B106" s="409">
        <f>Envoltória!I114</f>
        <v>0</v>
      </c>
      <c r="C106" s="410">
        <f>Envoltória!B114</f>
        <v>0</v>
      </c>
      <c r="D106" s="410">
        <f>Envoltória!C114</f>
        <v>0</v>
      </c>
      <c r="E106" s="411">
        <f>Envoltória!D114</f>
        <v>0</v>
      </c>
      <c r="F106" s="412" t="str">
        <f>IF(B106=0,"",Envoltória!E114)</f>
        <v/>
      </c>
      <c r="G106" s="412" t="str">
        <f t="shared" si="5"/>
        <v/>
      </c>
      <c r="H106" s="413" t="str">
        <f>IF(B106=0,"",Envoltória!O114/100)</f>
        <v/>
      </c>
      <c r="I106" s="413" t="str">
        <f>IF(B106=0,"",IF(BF106=1,VLOOKUP(Envoltória!N114,Componentes!AV:AY,2,FALSE),89))</f>
        <v/>
      </c>
      <c r="J106" s="414" t="str">
        <f>IF(B106=0,"",IFERROR(VLOOKUP(Envoltória!M114,Componentes!$P:$R,2,FALSE),""))</f>
        <v/>
      </c>
      <c r="K106" s="414" t="str">
        <f>IF(B106=0,"",IFERROR(VLOOKUP(Envoltória!M114,Componentes!$P:$R,3,FALSE),""))</f>
        <v/>
      </c>
      <c r="L106" s="415" t="str">
        <f>IF(B106=0,"",IFERROR(IF(BB106&lt;&gt;0,VLOOKUP(Envoltória!L114,Componentes!K:N,2,FALSE),0),""))</f>
        <v/>
      </c>
      <c r="M106" s="415" t="str">
        <f>IF(B106=0,"",IFERROR(IF(BB106&lt;&gt;0,VLOOKUP(Envoltória!L114,Componentes!K:N,3,FALSE),0),""))</f>
        <v/>
      </c>
      <c r="N106" s="415" t="str">
        <f>IF(B106=0,"",IFERROR(IF(BB106&lt;&gt;0,VLOOKUP(Envoltória!L114,Componentes!K:N,4,FALSE),0),""))</f>
        <v/>
      </c>
      <c r="O106" s="413" t="str">
        <f>IF(B106=0,"",IF(BF106=1,VLOOKUP(Envoltória!J114,Componentes!B:E,2,FALSE),-6))</f>
        <v/>
      </c>
      <c r="P106" s="413" t="str">
        <f>IF(B106=0,"",IF(BF106=1,VLOOKUP(Envoltória!J114,Componentes!B:E,3,FALSE),-400))</f>
        <v/>
      </c>
      <c r="Q106" s="413" t="str">
        <f>IF(B106=0,"",IF(BF106=1,VLOOKUP(Envoltória!J114,Componentes!B:E,4,FALSE),0))</f>
        <v/>
      </c>
      <c r="R106" s="414" t="str">
        <f>IF(B106=0,"",IFERROR(VLOOKUP(Envoltória!K114,Componentes!G:I,2,FALSE),""))</f>
        <v/>
      </c>
      <c r="S106" s="414" t="str">
        <f>IF(B106=0,"",IFERROR(VLOOKUP(Envoltória!K114,Componentes!G:I,3,FALSE),""))</f>
        <v/>
      </c>
      <c r="T106" s="413" t="str">
        <f>IF(B106=0,"",IFERROR(IF(H106&lt;&gt;0,VLOOKUP(Envoltória!N114,Componentes!T:V,3,FALSE),0),""))</f>
        <v/>
      </c>
      <c r="U106" s="413" t="str">
        <f>IF(B106=0,"",IFERROR(IF(H106&lt;&gt;0,VLOOKUP(Envoltória!N114,Componentes!T:V,2,FALSE),0),""))</f>
        <v/>
      </c>
      <c r="V106" s="414" t="str">
        <f>IF(B106=0,"",IFERROR(IF(AA106&lt;&gt;0,VLOOKUP(Envoltória!U114,Componentes!X:Z,2,FALSE),0),0))</f>
        <v/>
      </c>
      <c r="W106" s="414" t="str">
        <f>IF(B106=0,"",IFERROR(IF(AA106&lt;&gt;0,VLOOKUP(Envoltória!U114,Componentes!X:Z,3,FALSE),0),0))</f>
        <v/>
      </c>
      <c r="X106" s="413" t="str">
        <f>IF(B106=0,"",Envoltória!U114)</f>
        <v/>
      </c>
      <c r="Y106" s="413" t="str">
        <f>IF(B106=0,"",Envoltória!S114)</f>
        <v/>
      </c>
      <c r="Z106" s="413" t="str">
        <f>IF(B106=0,"",Envoltória!T114)</f>
        <v/>
      </c>
      <c r="AA106" s="416" t="str">
        <f>IF(B106=0,"",Envoltória!Q114/100)</f>
        <v/>
      </c>
      <c r="AB106" s="417" t="str">
        <f>IF($B106=0,"",VLOOKUP(Aux_Lista!$DR$2,Aux_Clima!$A:$O,AB$8,FALSE))</f>
        <v/>
      </c>
      <c r="AC106" s="417" t="str">
        <f>IF($B106=0,"",VLOOKUP(Aux_Lista!$DR$2,Aux_Clima!$A:$O,AC$8,FALSE))</f>
        <v/>
      </c>
      <c r="AD106" s="417" t="str">
        <f>IF($B106=0,"",ROUND(VLOOKUP(Aux_Lista!$DR$2,Aux_Clima!$A:$O,AD$8,FALSE),8))</f>
        <v/>
      </c>
      <c r="AE106" s="417" t="str">
        <f>IF($B106=0,"",ROUND(VLOOKUP(Aux_Lista!$DR$2,Aux_Clima!$A:$O,AE$8,FALSE),8))</f>
        <v/>
      </c>
      <c r="AF106" s="417" t="str">
        <f>IF($B106=0,"",ROUND(VLOOKUP(Aux_Lista!$DR$2,Aux_Clima!$A:$O,AF$8,FALSE),8))</f>
        <v/>
      </c>
      <c r="AG106" s="417" t="str">
        <f>IF($B106=0,"",ROUND(VLOOKUP(Aux_Lista!$DR$2,Aux_Clima!$A:$O,AG$8,FALSE),8))</f>
        <v/>
      </c>
      <c r="AH106" s="417" t="str">
        <f>IF($B106=0,"",ROUND(VLOOKUP(Aux_Lista!$DR$2,Aux_Clima!$A:$O,AH$8,FALSE),8))</f>
        <v/>
      </c>
      <c r="AI106" s="417" t="str">
        <f>IF($B106=0,"",ROUND(VLOOKUP(Aux_Lista!$DR$2,Aux_Clima!$A:$O,AI$8,FALSE),8))</f>
        <v/>
      </c>
      <c r="AJ106" s="417" t="str">
        <f>IF($B106=0,"",ROUND(VLOOKUP(Aux_Lista!$DR$2,Aux_Clima!$A:$O,AJ$8,FALSE),3))</f>
        <v/>
      </c>
      <c r="AK106" s="417" t="str">
        <f>IF($B106=0,"",ROUND(VLOOKUP(Aux_Lista!$DR$2,Aux_Clima!$A:$O,AK$8,FALSE),3))</f>
        <v/>
      </c>
      <c r="AL106" s="417" t="str">
        <f>IF($B106=0,"",ROUND(VLOOKUP(Aux_Lista!$DR$2,Aux_Clima!$A:$O,AL$8,FALSE),3))</f>
        <v/>
      </c>
      <c r="AM106" s="417" t="str">
        <f>IF($B106=0,"",ROUND(VLOOKUP(Aux_Lista!$DR$2,Aux_Clima!$A:$O,AM$8,FALSE),8))</f>
        <v/>
      </c>
      <c r="AN106" s="417" t="str">
        <f>IF($B106=0,"",ROUND(VLOOKUP(Aux_Lista!$DR$2,Aux_Clima!$A:$O,AN$8,FALSE),8))</f>
        <v/>
      </c>
      <c r="AO106" s="417" t="str">
        <f>IF($B106=0,"",ROUND(VLOOKUP(Aux_Lista!$DR$2,Aux_Clima!$A:$O,AO$8,FALSE),8))</f>
        <v/>
      </c>
      <c r="AP106" s="413" t="str">
        <f>IF(B106=0,"",IF(BF106=0,84,VLOOKUP(Envoltória!N114,Componentes!AV:AY,4,FALSE)))</f>
        <v/>
      </c>
      <c r="AQ106" s="413" t="str">
        <f>IF(B106=0,"",IF(BF106=0,90,VLOOKUP(Envoltória!N114,Componentes!AV:AY,3,FALSE)))</f>
        <v/>
      </c>
      <c r="AR106" s="413" t="str">
        <f t="shared" si="6"/>
        <v/>
      </c>
      <c r="AS106" s="413" t="str">
        <f t="shared" si="6"/>
        <v/>
      </c>
      <c r="AT106" s="413" t="str">
        <f t="shared" si="6"/>
        <v/>
      </c>
      <c r="AU106" s="413" t="str">
        <f t="shared" si="6"/>
        <v/>
      </c>
      <c r="AV106" s="413" t="str">
        <f t="shared" si="6"/>
        <v/>
      </c>
      <c r="AW106" s="414" t="str">
        <f>IF($B106=0,"",IFERROR(VLOOKUP(Envoltória!$B114,Aux_Lista!$O:$U,AW$9,FALSE),0))</f>
        <v/>
      </c>
      <c r="AX106" s="414" t="str">
        <f>IF($B106=0,"",IFERROR(VLOOKUP(Envoltória!$B114,Aux_Lista!$O:$U,AX$9,FALSE),0))</f>
        <v/>
      </c>
      <c r="AY106" s="414" t="str">
        <f>IF($B106=0,"",IFERROR(VLOOKUP(Envoltória!$B114,Aux_Lista!$O:$U,AY$9,FALSE),0))</f>
        <v/>
      </c>
      <c r="AZ106" s="414" t="str">
        <f>IF($B106=0,"",IFERROR(VLOOKUP(Envoltória!$B114,Aux_Lista!$O:$U,AZ$9,FALSE),0))</f>
        <v/>
      </c>
      <c r="BA106" s="414" t="str">
        <f>IF($B106=0,"",IFERROR(VLOOKUP(Envoltória!$B114,Aux_Lista!$O:$U,BA$9,FALSE),0))</f>
        <v/>
      </c>
      <c r="BB106" s="414" t="str">
        <f>IF($B106=0,"",IFERROR(VLOOKUP(Envoltória!$B114,Aux_Lista!$O:$U,BB$9,FALSE),0))</f>
        <v/>
      </c>
      <c r="BC106" s="414" t="str">
        <f>IFERROR(VLOOKUP(Envoltória!$H114,Aux_Lista!$W$2:$Y$3,BC$9,FALSE),"")</f>
        <v/>
      </c>
      <c r="BD106" s="414" t="str">
        <f>IFERROR(VLOOKUP(Envoltória!$H114,Aux_Lista!$W$2:$Y$3,BD$9,FALSE),"")</f>
        <v/>
      </c>
      <c r="BE106" s="412" t="str">
        <f t="shared" si="7"/>
        <v/>
      </c>
      <c r="BF106" s="412" t="str">
        <f>IF(B106=0,"",IF(Envoltória!F114="Perimetral",1,0))</f>
        <v/>
      </c>
      <c r="BG106" s="412" t="str">
        <f>IFERROR(VLOOKUP(Envoltória!$G114,$BQ$35:$BZ$43,BG$9,FALSE),"")</f>
        <v/>
      </c>
      <c r="BH106" s="412" t="str">
        <f>IFERROR(VLOOKUP(Envoltória!$G114,$BQ$35:$BZ$43,BH$9,FALSE),"")</f>
        <v/>
      </c>
      <c r="BI106" s="412" t="str">
        <f>IFERROR(VLOOKUP(Envoltória!$G114,$BQ$35:$BZ$43,BI$9,FALSE),"")</f>
        <v/>
      </c>
      <c r="BJ106" s="412" t="str">
        <f>IFERROR(VLOOKUP(Envoltória!$G114,$BQ$35:$BZ$43,BJ$9,FALSE),"")</f>
        <v/>
      </c>
      <c r="BK106" s="412" t="str">
        <f>IFERROR(VLOOKUP(Envoltória!$G114,$BQ$35:$BZ$43,BK$9,FALSE),"")</f>
        <v/>
      </c>
      <c r="BL106" s="412" t="str">
        <f>IFERROR(VLOOKUP(Envoltória!$G114,$BQ$35:$BZ$43,BL$9,FALSE),"")</f>
        <v/>
      </c>
      <c r="BM106" s="412" t="str">
        <f>IFERROR(VLOOKUP(Envoltória!$G114,$BQ$35:$BZ$43,BM$9,FALSE),"")</f>
        <v/>
      </c>
      <c r="BN106" s="412" t="str">
        <f>IFERROR(VLOOKUP(Envoltória!$G114,$BQ$35:$BZ$43,BN$9,FALSE),"")</f>
        <v/>
      </c>
      <c r="BO106" s="412" t="str">
        <f>IFERROR(VLOOKUP(Envoltória!$G114,$BQ$35:$BZ$43,BO$9,FALSE),"")</f>
        <v/>
      </c>
    </row>
    <row r="107" spans="1:67" x14ac:dyDescent="0.25">
      <c r="A107" s="1">
        <v>97</v>
      </c>
      <c r="B107" s="409">
        <f>Envoltória!I115</f>
        <v>0</v>
      </c>
      <c r="C107" s="410">
        <f>Envoltória!B115</f>
        <v>0</v>
      </c>
      <c r="D107" s="410">
        <f>Envoltória!C115</f>
        <v>0</v>
      </c>
      <c r="E107" s="411">
        <f>Envoltória!D115</f>
        <v>0</v>
      </c>
      <c r="F107" s="412" t="str">
        <f>IF(B107=0,"",Envoltória!E115)</f>
        <v/>
      </c>
      <c r="G107" s="412" t="str">
        <f t="shared" si="5"/>
        <v/>
      </c>
      <c r="H107" s="413" t="str">
        <f>IF(B107=0,"",Envoltória!O115/100)</f>
        <v/>
      </c>
      <c r="I107" s="413" t="str">
        <f>IF(B107=0,"",IF(BF107=1,VLOOKUP(Envoltória!N115,Componentes!AV:AY,2,FALSE),89))</f>
        <v/>
      </c>
      <c r="J107" s="414" t="str">
        <f>IF(B107=0,"",IFERROR(VLOOKUP(Envoltória!M115,Componentes!$P:$R,2,FALSE),""))</f>
        <v/>
      </c>
      <c r="K107" s="414" t="str">
        <f>IF(B107=0,"",IFERROR(VLOOKUP(Envoltória!M115,Componentes!$P:$R,3,FALSE),""))</f>
        <v/>
      </c>
      <c r="L107" s="415" t="str">
        <f>IF(B107=0,"",IFERROR(IF(BB107&lt;&gt;0,VLOOKUP(Envoltória!L115,Componentes!K:N,2,FALSE),0),""))</f>
        <v/>
      </c>
      <c r="M107" s="415" t="str">
        <f>IF(B107=0,"",IFERROR(IF(BB107&lt;&gt;0,VLOOKUP(Envoltória!L115,Componentes!K:N,3,FALSE),0),""))</f>
        <v/>
      </c>
      <c r="N107" s="415" t="str">
        <f>IF(B107=0,"",IFERROR(IF(BB107&lt;&gt;0,VLOOKUP(Envoltória!L115,Componentes!K:N,4,FALSE),0),""))</f>
        <v/>
      </c>
      <c r="O107" s="413" t="str">
        <f>IF(B107=0,"",IF(BF107=1,VLOOKUP(Envoltória!J115,Componentes!B:E,2,FALSE),-6))</f>
        <v/>
      </c>
      <c r="P107" s="413" t="str">
        <f>IF(B107=0,"",IF(BF107=1,VLOOKUP(Envoltória!J115,Componentes!B:E,3,FALSE),-400))</f>
        <v/>
      </c>
      <c r="Q107" s="413" t="str">
        <f>IF(B107=0,"",IF(BF107=1,VLOOKUP(Envoltória!J115,Componentes!B:E,4,FALSE),0))</f>
        <v/>
      </c>
      <c r="R107" s="414" t="str">
        <f>IF(B107=0,"",IFERROR(VLOOKUP(Envoltória!K115,Componentes!G:I,2,FALSE),""))</f>
        <v/>
      </c>
      <c r="S107" s="414" t="str">
        <f>IF(B107=0,"",IFERROR(VLOOKUP(Envoltória!K115,Componentes!G:I,3,FALSE),""))</f>
        <v/>
      </c>
      <c r="T107" s="413" t="str">
        <f>IF(B107=0,"",IFERROR(IF(H107&lt;&gt;0,VLOOKUP(Envoltória!N115,Componentes!T:V,3,FALSE),0),""))</f>
        <v/>
      </c>
      <c r="U107" s="413" t="str">
        <f>IF(B107=0,"",IFERROR(IF(H107&lt;&gt;0,VLOOKUP(Envoltória!N115,Componentes!T:V,2,FALSE),0),""))</f>
        <v/>
      </c>
      <c r="V107" s="414" t="str">
        <f>IF(B107=0,"",IFERROR(IF(AA107&lt;&gt;0,VLOOKUP(Envoltória!U115,Componentes!X:Z,2,FALSE),0),0))</f>
        <v/>
      </c>
      <c r="W107" s="414" t="str">
        <f>IF(B107=0,"",IFERROR(IF(AA107&lt;&gt;0,VLOOKUP(Envoltória!U115,Componentes!X:Z,3,FALSE),0),0))</f>
        <v/>
      </c>
      <c r="X107" s="413" t="str">
        <f>IF(B107=0,"",Envoltória!U115)</f>
        <v/>
      </c>
      <c r="Y107" s="413" t="str">
        <f>IF(B107=0,"",Envoltória!S115)</f>
        <v/>
      </c>
      <c r="Z107" s="413" t="str">
        <f>IF(B107=0,"",Envoltória!T115)</f>
        <v/>
      </c>
      <c r="AA107" s="416" t="str">
        <f>IF(B107=0,"",Envoltória!Q115/100)</f>
        <v/>
      </c>
      <c r="AB107" s="417" t="str">
        <f>IF($B107=0,"",VLOOKUP(Aux_Lista!$DR$2,Aux_Clima!$A:$O,AB$8,FALSE))</f>
        <v/>
      </c>
      <c r="AC107" s="417" t="str">
        <f>IF($B107=0,"",VLOOKUP(Aux_Lista!$DR$2,Aux_Clima!$A:$O,AC$8,FALSE))</f>
        <v/>
      </c>
      <c r="AD107" s="417" t="str">
        <f>IF($B107=0,"",ROUND(VLOOKUP(Aux_Lista!$DR$2,Aux_Clima!$A:$O,AD$8,FALSE),8))</f>
        <v/>
      </c>
      <c r="AE107" s="417" t="str">
        <f>IF($B107=0,"",ROUND(VLOOKUP(Aux_Lista!$DR$2,Aux_Clima!$A:$O,AE$8,FALSE),8))</f>
        <v/>
      </c>
      <c r="AF107" s="417" t="str">
        <f>IF($B107=0,"",ROUND(VLOOKUP(Aux_Lista!$DR$2,Aux_Clima!$A:$O,AF$8,FALSE),8))</f>
        <v/>
      </c>
      <c r="AG107" s="417" t="str">
        <f>IF($B107=0,"",ROUND(VLOOKUP(Aux_Lista!$DR$2,Aux_Clima!$A:$O,AG$8,FALSE),8))</f>
        <v/>
      </c>
      <c r="AH107" s="417" t="str">
        <f>IF($B107=0,"",ROUND(VLOOKUP(Aux_Lista!$DR$2,Aux_Clima!$A:$O,AH$8,FALSE),8))</f>
        <v/>
      </c>
      <c r="AI107" s="417" t="str">
        <f>IF($B107=0,"",ROUND(VLOOKUP(Aux_Lista!$DR$2,Aux_Clima!$A:$O,AI$8,FALSE),8))</f>
        <v/>
      </c>
      <c r="AJ107" s="417" t="str">
        <f>IF($B107=0,"",ROUND(VLOOKUP(Aux_Lista!$DR$2,Aux_Clima!$A:$O,AJ$8,FALSE),3))</f>
        <v/>
      </c>
      <c r="AK107" s="417" t="str">
        <f>IF($B107=0,"",ROUND(VLOOKUP(Aux_Lista!$DR$2,Aux_Clima!$A:$O,AK$8,FALSE),3))</f>
        <v/>
      </c>
      <c r="AL107" s="417" t="str">
        <f>IF($B107=0,"",ROUND(VLOOKUP(Aux_Lista!$DR$2,Aux_Clima!$A:$O,AL$8,FALSE),3))</f>
        <v/>
      </c>
      <c r="AM107" s="417" t="str">
        <f>IF($B107=0,"",ROUND(VLOOKUP(Aux_Lista!$DR$2,Aux_Clima!$A:$O,AM$8,FALSE),8))</f>
        <v/>
      </c>
      <c r="AN107" s="417" t="str">
        <f>IF($B107=0,"",ROUND(VLOOKUP(Aux_Lista!$DR$2,Aux_Clima!$A:$O,AN$8,FALSE),8))</f>
        <v/>
      </c>
      <c r="AO107" s="417" t="str">
        <f>IF($B107=0,"",ROUND(VLOOKUP(Aux_Lista!$DR$2,Aux_Clima!$A:$O,AO$8,FALSE),8))</f>
        <v/>
      </c>
      <c r="AP107" s="413" t="str">
        <f>IF(B107=0,"",IF(BF107=0,84,VLOOKUP(Envoltória!N115,Componentes!AV:AY,4,FALSE)))</f>
        <v/>
      </c>
      <c r="AQ107" s="413" t="str">
        <f>IF(B107=0,"",IF(BF107=0,90,VLOOKUP(Envoltória!N115,Componentes!AV:AY,3,FALSE)))</f>
        <v/>
      </c>
      <c r="AR107" s="413" t="str">
        <f t="shared" si="6"/>
        <v/>
      </c>
      <c r="AS107" s="413" t="str">
        <f t="shared" si="6"/>
        <v/>
      </c>
      <c r="AT107" s="413" t="str">
        <f t="shared" si="6"/>
        <v/>
      </c>
      <c r="AU107" s="413" t="str">
        <f t="shared" si="6"/>
        <v/>
      </c>
      <c r="AV107" s="413" t="str">
        <f t="shared" si="6"/>
        <v/>
      </c>
      <c r="AW107" s="414" t="str">
        <f>IF($B107=0,"",IFERROR(VLOOKUP(Envoltória!$B115,Aux_Lista!$O:$U,AW$9,FALSE),0))</f>
        <v/>
      </c>
      <c r="AX107" s="414" t="str">
        <f>IF($B107=0,"",IFERROR(VLOOKUP(Envoltória!$B115,Aux_Lista!$O:$U,AX$9,FALSE),0))</f>
        <v/>
      </c>
      <c r="AY107" s="414" t="str">
        <f>IF($B107=0,"",IFERROR(VLOOKUP(Envoltória!$B115,Aux_Lista!$O:$U,AY$9,FALSE),0))</f>
        <v/>
      </c>
      <c r="AZ107" s="414" t="str">
        <f>IF($B107=0,"",IFERROR(VLOOKUP(Envoltória!$B115,Aux_Lista!$O:$U,AZ$9,FALSE),0))</f>
        <v/>
      </c>
      <c r="BA107" s="414" t="str">
        <f>IF($B107=0,"",IFERROR(VLOOKUP(Envoltória!$B115,Aux_Lista!$O:$U,BA$9,FALSE),0))</f>
        <v/>
      </c>
      <c r="BB107" s="414" t="str">
        <f>IF($B107=0,"",IFERROR(VLOOKUP(Envoltória!$B115,Aux_Lista!$O:$U,BB$9,FALSE),0))</f>
        <v/>
      </c>
      <c r="BC107" s="414" t="str">
        <f>IFERROR(VLOOKUP(Envoltória!$H115,Aux_Lista!$W$2:$Y$3,BC$9,FALSE),"")</f>
        <v/>
      </c>
      <c r="BD107" s="414" t="str">
        <f>IFERROR(VLOOKUP(Envoltória!$H115,Aux_Lista!$W$2:$Y$3,BD$9,FALSE),"")</f>
        <v/>
      </c>
      <c r="BE107" s="412" t="str">
        <f t="shared" si="7"/>
        <v/>
      </c>
      <c r="BF107" s="412" t="str">
        <f>IF(B107=0,"",IF(Envoltória!F115="Perimetral",1,0))</f>
        <v/>
      </c>
      <c r="BG107" s="412" t="str">
        <f>IFERROR(VLOOKUP(Envoltória!$G115,$BQ$35:$BZ$43,BG$9,FALSE),"")</f>
        <v/>
      </c>
      <c r="BH107" s="412" t="str">
        <f>IFERROR(VLOOKUP(Envoltória!$G115,$BQ$35:$BZ$43,BH$9,FALSE),"")</f>
        <v/>
      </c>
      <c r="BI107" s="412" t="str">
        <f>IFERROR(VLOOKUP(Envoltória!$G115,$BQ$35:$BZ$43,BI$9,FALSE),"")</f>
        <v/>
      </c>
      <c r="BJ107" s="412" t="str">
        <f>IFERROR(VLOOKUP(Envoltória!$G115,$BQ$35:$BZ$43,BJ$9,FALSE),"")</f>
        <v/>
      </c>
      <c r="BK107" s="412" t="str">
        <f>IFERROR(VLOOKUP(Envoltória!$G115,$BQ$35:$BZ$43,BK$9,FALSE),"")</f>
        <v/>
      </c>
      <c r="BL107" s="412" t="str">
        <f>IFERROR(VLOOKUP(Envoltória!$G115,$BQ$35:$BZ$43,BL$9,FALSE),"")</f>
        <v/>
      </c>
      <c r="BM107" s="412" t="str">
        <f>IFERROR(VLOOKUP(Envoltória!$G115,$BQ$35:$BZ$43,BM$9,FALSE),"")</f>
        <v/>
      </c>
      <c r="BN107" s="412" t="str">
        <f>IFERROR(VLOOKUP(Envoltória!$G115,$BQ$35:$BZ$43,BN$9,FALSE),"")</f>
        <v/>
      </c>
      <c r="BO107" s="412" t="str">
        <f>IFERROR(VLOOKUP(Envoltória!$G115,$BQ$35:$BZ$43,BO$9,FALSE),"")</f>
        <v/>
      </c>
    </row>
    <row r="108" spans="1:67" x14ac:dyDescent="0.25">
      <c r="A108" s="1">
        <v>98</v>
      </c>
      <c r="B108" s="409">
        <f>Envoltória!I116</f>
        <v>0</v>
      </c>
      <c r="C108" s="410">
        <f>Envoltória!B116</f>
        <v>0</v>
      </c>
      <c r="D108" s="410">
        <f>Envoltória!C116</f>
        <v>0</v>
      </c>
      <c r="E108" s="411">
        <f>Envoltória!D116</f>
        <v>0</v>
      </c>
      <c r="F108" s="412" t="str">
        <f>IF(B108=0,"",Envoltória!E116)</f>
        <v/>
      </c>
      <c r="G108" s="412" t="str">
        <f t="shared" si="5"/>
        <v/>
      </c>
      <c r="H108" s="413" t="str">
        <f>IF(B108=0,"",Envoltória!O116/100)</f>
        <v/>
      </c>
      <c r="I108" s="413" t="str">
        <f>IF(B108=0,"",IF(BF108=1,VLOOKUP(Envoltória!N116,Componentes!AV:AY,2,FALSE),89))</f>
        <v/>
      </c>
      <c r="J108" s="414" t="str">
        <f>IF(B108=0,"",IFERROR(VLOOKUP(Envoltória!M116,Componentes!$P:$R,2,FALSE),""))</f>
        <v/>
      </c>
      <c r="K108" s="414" t="str">
        <f>IF(B108=0,"",IFERROR(VLOOKUP(Envoltória!M116,Componentes!$P:$R,3,FALSE),""))</f>
        <v/>
      </c>
      <c r="L108" s="415" t="str">
        <f>IF(B108=0,"",IFERROR(IF(BB108&lt;&gt;0,VLOOKUP(Envoltória!L116,Componentes!K:N,2,FALSE),0),""))</f>
        <v/>
      </c>
      <c r="M108" s="415" t="str">
        <f>IF(B108=0,"",IFERROR(IF(BB108&lt;&gt;0,VLOOKUP(Envoltória!L116,Componentes!K:N,3,FALSE),0),""))</f>
        <v/>
      </c>
      <c r="N108" s="415" t="str">
        <f>IF(B108=0,"",IFERROR(IF(BB108&lt;&gt;0,VLOOKUP(Envoltória!L116,Componentes!K:N,4,FALSE),0),""))</f>
        <v/>
      </c>
      <c r="O108" s="413" t="str">
        <f>IF(B108=0,"",IF(BF108=1,VLOOKUP(Envoltória!J116,Componentes!B:E,2,FALSE),-6))</f>
        <v/>
      </c>
      <c r="P108" s="413" t="str">
        <f>IF(B108=0,"",IF(BF108=1,VLOOKUP(Envoltória!J116,Componentes!B:E,3,FALSE),-400))</f>
        <v/>
      </c>
      <c r="Q108" s="413" t="str">
        <f>IF(B108=0,"",IF(BF108=1,VLOOKUP(Envoltória!J116,Componentes!B:E,4,FALSE),0))</f>
        <v/>
      </c>
      <c r="R108" s="414" t="str">
        <f>IF(B108=0,"",IFERROR(VLOOKUP(Envoltória!K116,Componentes!G:I,2,FALSE),""))</f>
        <v/>
      </c>
      <c r="S108" s="414" t="str">
        <f>IF(B108=0,"",IFERROR(VLOOKUP(Envoltória!K116,Componentes!G:I,3,FALSE),""))</f>
        <v/>
      </c>
      <c r="T108" s="413" t="str">
        <f>IF(B108=0,"",IFERROR(IF(H108&lt;&gt;0,VLOOKUP(Envoltória!N116,Componentes!T:V,3,FALSE),0),""))</f>
        <v/>
      </c>
      <c r="U108" s="413" t="str">
        <f>IF(B108=0,"",IFERROR(IF(H108&lt;&gt;0,VLOOKUP(Envoltória!N116,Componentes!T:V,2,FALSE),0),""))</f>
        <v/>
      </c>
      <c r="V108" s="414" t="str">
        <f>IF(B108=0,"",IFERROR(IF(AA108&lt;&gt;0,VLOOKUP(Envoltória!U116,Componentes!X:Z,2,FALSE),0),0))</f>
        <v/>
      </c>
      <c r="W108" s="414" t="str">
        <f>IF(B108=0,"",IFERROR(IF(AA108&lt;&gt;0,VLOOKUP(Envoltória!U116,Componentes!X:Z,3,FALSE),0),0))</f>
        <v/>
      </c>
      <c r="X108" s="413" t="str">
        <f>IF(B108=0,"",Envoltória!U116)</f>
        <v/>
      </c>
      <c r="Y108" s="413" t="str">
        <f>IF(B108=0,"",Envoltória!S116)</f>
        <v/>
      </c>
      <c r="Z108" s="413" t="str">
        <f>IF(B108=0,"",Envoltória!T116)</f>
        <v/>
      </c>
      <c r="AA108" s="416" t="str">
        <f>IF(B108=0,"",Envoltória!Q116/100)</f>
        <v/>
      </c>
      <c r="AB108" s="417" t="str">
        <f>IF($B108=0,"",VLOOKUP(Aux_Lista!$DR$2,Aux_Clima!$A:$O,AB$8,FALSE))</f>
        <v/>
      </c>
      <c r="AC108" s="417" t="str">
        <f>IF($B108=0,"",VLOOKUP(Aux_Lista!$DR$2,Aux_Clima!$A:$O,AC$8,FALSE))</f>
        <v/>
      </c>
      <c r="AD108" s="417" t="str">
        <f>IF($B108=0,"",ROUND(VLOOKUP(Aux_Lista!$DR$2,Aux_Clima!$A:$O,AD$8,FALSE),8))</f>
        <v/>
      </c>
      <c r="AE108" s="417" t="str">
        <f>IF($B108=0,"",ROUND(VLOOKUP(Aux_Lista!$DR$2,Aux_Clima!$A:$O,AE$8,FALSE),8))</f>
        <v/>
      </c>
      <c r="AF108" s="417" t="str">
        <f>IF($B108=0,"",ROUND(VLOOKUP(Aux_Lista!$DR$2,Aux_Clima!$A:$O,AF$8,FALSE),8))</f>
        <v/>
      </c>
      <c r="AG108" s="417" t="str">
        <f>IF($B108=0,"",ROUND(VLOOKUP(Aux_Lista!$DR$2,Aux_Clima!$A:$O,AG$8,FALSE),8))</f>
        <v/>
      </c>
      <c r="AH108" s="417" t="str">
        <f>IF($B108=0,"",ROUND(VLOOKUP(Aux_Lista!$DR$2,Aux_Clima!$A:$O,AH$8,FALSE),8))</f>
        <v/>
      </c>
      <c r="AI108" s="417" t="str">
        <f>IF($B108=0,"",ROUND(VLOOKUP(Aux_Lista!$DR$2,Aux_Clima!$A:$O,AI$8,FALSE),8))</f>
        <v/>
      </c>
      <c r="AJ108" s="417" t="str">
        <f>IF($B108=0,"",ROUND(VLOOKUP(Aux_Lista!$DR$2,Aux_Clima!$A:$O,AJ$8,FALSE),3))</f>
        <v/>
      </c>
      <c r="AK108" s="417" t="str">
        <f>IF($B108=0,"",ROUND(VLOOKUP(Aux_Lista!$DR$2,Aux_Clima!$A:$O,AK$8,FALSE),3))</f>
        <v/>
      </c>
      <c r="AL108" s="417" t="str">
        <f>IF($B108=0,"",ROUND(VLOOKUP(Aux_Lista!$DR$2,Aux_Clima!$A:$O,AL$8,FALSE),3))</f>
        <v/>
      </c>
      <c r="AM108" s="417" t="str">
        <f>IF($B108=0,"",ROUND(VLOOKUP(Aux_Lista!$DR$2,Aux_Clima!$A:$O,AM$8,FALSE),8))</f>
        <v/>
      </c>
      <c r="AN108" s="417" t="str">
        <f>IF($B108=0,"",ROUND(VLOOKUP(Aux_Lista!$DR$2,Aux_Clima!$A:$O,AN$8,FALSE),8))</f>
        <v/>
      </c>
      <c r="AO108" s="417" t="str">
        <f>IF($B108=0,"",ROUND(VLOOKUP(Aux_Lista!$DR$2,Aux_Clima!$A:$O,AO$8,FALSE),8))</f>
        <v/>
      </c>
      <c r="AP108" s="413" t="str">
        <f>IF(B108=0,"",IF(BF108=0,84,VLOOKUP(Envoltória!N116,Componentes!AV:AY,4,FALSE)))</f>
        <v/>
      </c>
      <c r="AQ108" s="413" t="str">
        <f>IF(B108=0,"",IF(BF108=0,90,VLOOKUP(Envoltória!N116,Componentes!AV:AY,3,FALSE)))</f>
        <v/>
      </c>
      <c r="AR108" s="413" t="str">
        <f t="shared" si="6"/>
        <v/>
      </c>
      <c r="AS108" s="413" t="str">
        <f t="shared" si="6"/>
        <v/>
      </c>
      <c r="AT108" s="413" t="str">
        <f t="shared" si="6"/>
        <v/>
      </c>
      <c r="AU108" s="413" t="str">
        <f t="shared" si="6"/>
        <v/>
      </c>
      <c r="AV108" s="413" t="str">
        <f t="shared" si="6"/>
        <v/>
      </c>
      <c r="AW108" s="414" t="str">
        <f>IF($B108=0,"",IFERROR(VLOOKUP(Envoltória!$B116,Aux_Lista!$O:$U,AW$9,FALSE),0))</f>
        <v/>
      </c>
      <c r="AX108" s="414" t="str">
        <f>IF($B108=0,"",IFERROR(VLOOKUP(Envoltória!$B116,Aux_Lista!$O:$U,AX$9,FALSE),0))</f>
        <v/>
      </c>
      <c r="AY108" s="414" t="str">
        <f>IF($B108=0,"",IFERROR(VLOOKUP(Envoltória!$B116,Aux_Lista!$O:$U,AY$9,FALSE),0))</f>
        <v/>
      </c>
      <c r="AZ108" s="414" t="str">
        <f>IF($B108=0,"",IFERROR(VLOOKUP(Envoltória!$B116,Aux_Lista!$O:$U,AZ$9,FALSE),0))</f>
        <v/>
      </c>
      <c r="BA108" s="414" t="str">
        <f>IF($B108=0,"",IFERROR(VLOOKUP(Envoltória!$B116,Aux_Lista!$O:$U,BA$9,FALSE),0))</f>
        <v/>
      </c>
      <c r="BB108" s="414" t="str">
        <f>IF($B108=0,"",IFERROR(VLOOKUP(Envoltória!$B116,Aux_Lista!$O:$U,BB$9,FALSE),0))</f>
        <v/>
      </c>
      <c r="BC108" s="414" t="str">
        <f>IFERROR(VLOOKUP(Envoltória!$H116,Aux_Lista!$W$2:$Y$3,BC$9,FALSE),"")</f>
        <v/>
      </c>
      <c r="BD108" s="414" t="str">
        <f>IFERROR(VLOOKUP(Envoltória!$H116,Aux_Lista!$W$2:$Y$3,BD$9,FALSE),"")</f>
        <v/>
      </c>
      <c r="BE108" s="412" t="str">
        <f t="shared" si="7"/>
        <v/>
      </c>
      <c r="BF108" s="412" t="str">
        <f>IF(B108=0,"",IF(Envoltória!F116="Perimetral",1,0))</f>
        <v/>
      </c>
      <c r="BG108" s="412" t="str">
        <f>IFERROR(VLOOKUP(Envoltória!$G116,$BQ$35:$BZ$43,BG$9,FALSE),"")</f>
        <v/>
      </c>
      <c r="BH108" s="412" t="str">
        <f>IFERROR(VLOOKUP(Envoltória!$G116,$BQ$35:$BZ$43,BH$9,FALSE),"")</f>
        <v/>
      </c>
      <c r="BI108" s="412" t="str">
        <f>IFERROR(VLOOKUP(Envoltória!$G116,$BQ$35:$BZ$43,BI$9,FALSE),"")</f>
        <v/>
      </c>
      <c r="BJ108" s="412" t="str">
        <f>IFERROR(VLOOKUP(Envoltória!$G116,$BQ$35:$BZ$43,BJ$9,FALSE),"")</f>
        <v/>
      </c>
      <c r="BK108" s="412" t="str">
        <f>IFERROR(VLOOKUP(Envoltória!$G116,$BQ$35:$BZ$43,BK$9,FALSE),"")</f>
        <v/>
      </c>
      <c r="BL108" s="412" t="str">
        <f>IFERROR(VLOOKUP(Envoltória!$G116,$BQ$35:$BZ$43,BL$9,FALSE),"")</f>
        <v/>
      </c>
      <c r="BM108" s="412" t="str">
        <f>IFERROR(VLOOKUP(Envoltória!$G116,$BQ$35:$BZ$43,BM$9,FALSE),"")</f>
        <v/>
      </c>
      <c r="BN108" s="412" t="str">
        <f>IFERROR(VLOOKUP(Envoltória!$G116,$BQ$35:$BZ$43,BN$9,FALSE),"")</f>
        <v/>
      </c>
      <c r="BO108" s="412" t="str">
        <f>IFERROR(VLOOKUP(Envoltória!$G116,$BQ$35:$BZ$43,BO$9,FALSE),"")</f>
        <v/>
      </c>
    </row>
    <row r="109" spans="1:67" x14ac:dyDescent="0.25">
      <c r="A109" s="1">
        <v>99</v>
      </c>
      <c r="B109" s="409">
        <f>Envoltória!I117</f>
        <v>0</v>
      </c>
      <c r="C109" s="410">
        <f>Envoltória!B117</f>
        <v>0</v>
      </c>
      <c r="D109" s="410">
        <f>Envoltória!C117</f>
        <v>0</v>
      </c>
      <c r="E109" s="411">
        <f>Envoltória!D117</f>
        <v>0</v>
      </c>
      <c r="F109" s="412" t="str">
        <f>IF(B109=0,"",Envoltória!E117)</f>
        <v/>
      </c>
      <c r="G109" s="412" t="str">
        <f t="shared" si="5"/>
        <v/>
      </c>
      <c r="H109" s="413" t="str">
        <f>IF(B109=0,"",Envoltória!O117/100)</f>
        <v/>
      </c>
      <c r="I109" s="413" t="str">
        <f>IF(B109=0,"",IF(BF109=1,VLOOKUP(Envoltória!N117,Componentes!AV:AY,2,FALSE),89))</f>
        <v/>
      </c>
      <c r="J109" s="414" t="str">
        <f>IF(B109=0,"",IFERROR(VLOOKUP(Envoltória!M117,Componentes!$P:$R,2,FALSE),""))</f>
        <v/>
      </c>
      <c r="K109" s="414" t="str">
        <f>IF(B109=0,"",IFERROR(VLOOKUP(Envoltória!M117,Componentes!$P:$R,3,FALSE),""))</f>
        <v/>
      </c>
      <c r="L109" s="415" t="str">
        <f>IF(B109=0,"",IFERROR(IF(BB109&lt;&gt;0,VLOOKUP(Envoltória!L117,Componentes!K:N,2,FALSE),0),""))</f>
        <v/>
      </c>
      <c r="M109" s="415" t="str">
        <f>IF(B109=0,"",IFERROR(IF(BB109&lt;&gt;0,VLOOKUP(Envoltória!L117,Componentes!K:N,3,FALSE),0),""))</f>
        <v/>
      </c>
      <c r="N109" s="415" t="str">
        <f>IF(B109=0,"",IFERROR(IF(BB109&lt;&gt;0,VLOOKUP(Envoltória!L117,Componentes!K:N,4,FALSE),0),""))</f>
        <v/>
      </c>
      <c r="O109" s="413" t="str">
        <f>IF(B109=0,"",IF(BF109=1,VLOOKUP(Envoltória!J117,Componentes!B:E,2,FALSE),-6))</f>
        <v/>
      </c>
      <c r="P109" s="413" t="str">
        <f>IF(B109=0,"",IF(BF109=1,VLOOKUP(Envoltória!J117,Componentes!B:E,3,FALSE),-400))</f>
        <v/>
      </c>
      <c r="Q109" s="413" t="str">
        <f>IF(B109=0,"",IF(BF109=1,VLOOKUP(Envoltória!J117,Componentes!B:E,4,FALSE),0))</f>
        <v/>
      </c>
      <c r="R109" s="414" t="str">
        <f>IF(B109=0,"",IFERROR(VLOOKUP(Envoltória!K117,Componentes!G:I,2,FALSE),""))</f>
        <v/>
      </c>
      <c r="S109" s="414" t="str">
        <f>IF(B109=0,"",IFERROR(VLOOKUP(Envoltória!K117,Componentes!G:I,3,FALSE),""))</f>
        <v/>
      </c>
      <c r="T109" s="413" t="str">
        <f>IF(B109=0,"",IFERROR(IF(H109&lt;&gt;0,VLOOKUP(Envoltória!N117,Componentes!T:V,3,FALSE),0),""))</f>
        <v/>
      </c>
      <c r="U109" s="413" t="str">
        <f>IF(B109=0,"",IFERROR(IF(H109&lt;&gt;0,VLOOKUP(Envoltória!N117,Componentes!T:V,2,FALSE),0),""))</f>
        <v/>
      </c>
      <c r="V109" s="414" t="str">
        <f>IF(B109=0,"",IFERROR(IF(AA109&lt;&gt;0,VLOOKUP(Envoltória!U117,Componentes!X:Z,2,FALSE),0),0))</f>
        <v/>
      </c>
      <c r="W109" s="414" t="str">
        <f>IF(B109=0,"",IFERROR(IF(AA109&lt;&gt;0,VLOOKUP(Envoltória!U117,Componentes!X:Z,3,FALSE),0),0))</f>
        <v/>
      </c>
      <c r="X109" s="413" t="str">
        <f>IF(B109=0,"",Envoltória!U117)</f>
        <v/>
      </c>
      <c r="Y109" s="413" t="str">
        <f>IF(B109=0,"",Envoltória!S117)</f>
        <v/>
      </c>
      <c r="Z109" s="413" t="str">
        <f>IF(B109=0,"",Envoltória!T117)</f>
        <v/>
      </c>
      <c r="AA109" s="416" t="str">
        <f>IF(B109=0,"",Envoltória!Q117/100)</f>
        <v/>
      </c>
      <c r="AB109" s="417" t="str">
        <f>IF($B109=0,"",VLOOKUP(Aux_Lista!$DR$2,Aux_Clima!$A:$O,AB$8,FALSE))</f>
        <v/>
      </c>
      <c r="AC109" s="417" t="str">
        <f>IF($B109=0,"",VLOOKUP(Aux_Lista!$DR$2,Aux_Clima!$A:$O,AC$8,FALSE))</f>
        <v/>
      </c>
      <c r="AD109" s="417" t="str">
        <f>IF($B109=0,"",ROUND(VLOOKUP(Aux_Lista!$DR$2,Aux_Clima!$A:$O,AD$8,FALSE),8))</f>
        <v/>
      </c>
      <c r="AE109" s="417" t="str">
        <f>IF($B109=0,"",ROUND(VLOOKUP(Aux_Lista!$DR$2,Aux_Clima!$A:$O,AE$8,FALSE),8))</f>
        <v/>
      </c>
      <c r="AF109" s="417" t="str">
        <f>IF($B109=0,"",ROUND(VLOOKUP(Aux_Lista!$DR$2,Aux_Clima!$A:$O,AF$8,FALSE),8))</f>
        <v/>
      </c>
      <c r="AG109" s="417" t="str">
        <f>IF($B109=0,"",ROUND(VLOOKUP(Aux_Lista!$DR$2,Aux_Clima!$A:$O,AG$8,FALSE),8))</f>
        <v/>
      </c>
      <c r="AH109" s="417" t="str">
        <f>IF($B109=0,"",ROUND(VLOOKUP(Aux_Lista!$DR$2,Aux_Clima!$A:$O,AH$8,FALSE),8))</f>
        <v/>
      </c>
      <c r="AI109" s="417" t="str">
        <f>IF($B109=0,"",ROUND(VLOOKUP(Aux_Lista!$DR$2,Aux_Clima!$A:$O,AI$8,FALSE),8))</f>
        <v/>
      </c>
      <c r="AJ109" s="417" t="str">
        <f>IF($B109=0,"",ROUND(VLOOKUP(Aux_Lista!$DR$2,Aux_Clima!$A:$O,AJ$8,FALSE),3))</f>
        <v/>
      </c>
      <c r="AK109" s="417" t="str">
        <f>IF($B109=0,"",ROUND(VLOOKUP(Aux_Lista!$DR$2,Aux_Clima!$A:$O,AK$8,FALSE),3))</f>
        <v/>
      </c>
      <c r="AL109" s="417" t="str">
        <f>IF($B109=0,"",ROUND(VLOOKUP(Aux_Lista!$DR$2,Aux_Clima!$A:$O,AL$8,FALSE),3))</f>
        <v/>
      </c>
      <c r="AM109" s="417" t="str">
        <f>IF($B109=0,"",ROUND(VLOOKUP(Aux_Lista!$DR$2,Aux_Clima!$A:$O,AM$8,FALSE),8))</f>
        <v/>
      </c>
      <c r="AN109" s="417" t="str">
        <f>IF($B109=0,"",ROUND(VLOOKUP(Aux_Lista!$DR$2,Aux_Clima!$A:$O,AN$8,FALSE),8))</f>
        <v/>
      </c>
      <c r="AO109" s="417" t="str">
        <f>IF($B109=0,"",ROUND(VLOOKUP(Aux_Lista!$DR$2,Aux_Clima!$A:$O,AO$8,FALSE),8))</f>
        <v/>
      </c>
      <c r="AP109" s="413" t="str">
        <f>IF(B109=0,"",IF(BF109=0,84,VLOOKUP(Envoltória!N117,Componentes!AV:AY,4,FALSE)))</f>
        <v/>
      </c>
      <c r="AQ109" s="413" t="str">
        <f>IF(B109=0,"",IF(BF109=0,90,VLOOKUP(Envoltória!N117,Componentes!AV:AY,3,FALSE)))</f>
        <v/>
      </c>
      <c r="AR109" s="413" t="str">
        <f t="shared" si="6"/>
        <v/>
      </c>
      <c r="AS109" s="413" t="str">
        <f t="shared" si="6"/>
        <v/>
      </c>
      <c r="AT109" s="413" t="str">
        <f t="shared" si="6"/>
        <v/>
      </c>
      <c r="AU109" s="413" t="str">
        <f t="shared" si="6"/>
        <v/>
      </c>
      <c r="AV109" s="413" t="str">
        <f t="shared" si="6"/>
        <v/>
      </c>
      <c r="AW109" s="414" t="str">
        <f>IF($B109=0,"",IFERROR(VLOOKUP(Envoltória!$B117,Aux_Lista!$O:$U,AW$9,FALSE),0))</f>
        <v/>
      </c>
      <c r="AX109" s="414" t="str">
        <f>IF($B109=0,"",IFERROR(VLOOKUP(Envoltória!$B117,Aux_Lista!$O:$U,AX$9,FALSE),0))</f>
        <v/>
      </c>
      <c r="AY109" s="414" t="str">
        <f>IF($B109=0,"",IFERROR(VLOOKUP(Envoltória!$B117,Aux_Lista!$O:$U,AY$9,FALSE),0))</f>
        <v/>
      </c>
      <c r="AZ109" s="414" t="str">
        <f>IF($B109=0,"",IFERROR(VLOOKUP(Envoltória!$B117,Aux_Lista!$O:$U,AZ$9,FALSE),0))</f>
        <v/>
      </c>
      <c r="BA109" s="414" t="str">
        <f>IF($B109=0,"",IFERROR(VLOOKUP(Envoltória!$B117,Aux_Lista!$O:$U,BA$9,FALSE),0))</f>
        <v/>
      </c>
      <c r="BB109" s="414" t="str">
        <f>IF($B109=0,"",IFERROR(VLOOKUP(Envoltória!$B117,Aux_Lista!$O:$U,BB$9,FALSE),0))</f>
        <v/>
      </c>
      <c r="BC109" s="414" t="str">
        <f>IFERROR(VLOOKUP(Envoltória!$H117,Aux_Lista!$W$2:$Y$3,BC$9,FALSE),"")</f>
        <v/>
      </c>
      <c r="BD109" s="414" t="str">
        <f>IFERROR(VLOOKUP(Envoltória!$H117,Aux_Lista!$W$2:$Y$3,BD$9,FALSE),"")</f>
        <v/>
      </c>
      <c r="BE109" s="412" t="str">
        <f t="shared" si="7"/>
        <v/>
      </c>
      <c r="BF109" s="412" t="str">
        <f>IF(B109=0,"",IF(Envoltória!F117="Perimetral",1,0))</f>
        <v/>
      </c>
      <c r="BG109" s="412" t="str">
        <f>IFERROR(VLOOKUP(Envoltória!$G117,$BQ$35:$BZ$43,BG$9,FALSE),"")</f>
        <v/>
      </c>
      <c r="BH109" s="412" t="str">
        <f>IFERROR(VLOOKUP(Envoltória!$G117,$BQ$35:$BZ$43,BH$9,FALSE),"")</f>
        <v/>
      </c>
      <c r="BI109" s="412" t="str">
        <f>IFERROR(VLOOKUP(Envoltória!$G117,$BQ$35:$BZ$43,BI$9,FALSE),"")</f>
        <v/>
      </c>
      <c r="BJ109" s="412" t="str">
        <f>IFERROR(VLOOKUP(Envoltória!$G117,$BQ$35:$BZ$43,BJ$9,FALSE),"")</f>
        <v/>
      </c>
      <c r="BK109" s="412" t="str">
        <f>IFERROR(VLOOKUP(Envoltória!$G117,$BQ$35:$BZ$43,BK$9,FALSE),"")</f>
        <v/>
      </c>
      <c r="BL109" s="412" t="str">
        <f>IFERROR(VLOOKUP(Envoltória!$G117,$BQ$35:$BZ$43,BL$9,FALSE),"")</f>
        <v/>
      </c>
      <c r="BM109" s="412" t="str">
        <f>IFERROR(VLOOKUP(Envoltória!$G117,$BQ$35:$BZ$43,BM$9,FALSE),"")</f>
        <v/>
      </c>
      <c r="BN109" s="412" t="str">
        <f>IFERROR(VLOOKUP(Envoltória!$G117,$BQ$35:$BZ$43,BN$9,FALSE),"")</f>
        <v/>
      </c>
      <c r="BO109" s="412" t="str">
        <f>IFERROR(VLOOKUP(Envoltória!$G117,$BQ$35:$BZ$43,BO$9,FALSE),"")</f>
        <v/>
      </c>
    </row>
    <row r="110" spans="1:67" x14ac:dyDescent="0.25">
      <c r="A110" s="1">
        <v>100</v>
      </c>
      <c r="B110" s="409">
        <f>Envoltória!I118</f>
        <v>0</v>
      </c>
      <c r="C110" s="410">
        <f>Envoltória!B118</f>
        <v>0</v>
      </c>
      <c r="D110" s="410">
        <f>Envoltória!C118</f>
        <v>0</v>
      </c>
      <c r="E110" s="411">
        <f>Envoltória!D118</f>
        <v>0</v>
      </c>
      <c r="F110" s="412" t="str">
        <f>IF(B110=0,"",Envoltória!E118)</f>
        <v/>
      </c>
      <c r="G110" s="412" t="str">
        <f t="shared" si="5"/>
        <v/>
      </c>
      <c r="H110" s="413" t="str">
        <f>IF(B110=0,"",Envoltória!O118/100)</f>
        <v/>
      </c>
      <c r="I110" s="413" t="str">
        <f>IF(B110=0,"",IF(BF110=1,VLOOKUP(Envoltória!N118,Componentes!AV:AY,2,FALSE),89))</f>
        <v/>
      </c>
      <c r="J110" s="414" t="str">
        <f>IF(B110=0,"",IFERROR(VLOOKUP(Envoltória!M118,Componentes!$P:$R,2,FALSE),""))</f>
        <v/>
      </c>
      <c r="K110" s="414" t="str">
        <f>IF(B110=0,"",IFERROR(VLOOKUP(Envoltória!M118,Componentes!$P:$R,3,FALSE),""))</f>
        <v/>
      </c>
      <c r="L110" s="415" t="str">
        <f>IF(B110=0,"",IFERROR(IF(BB110&lt;&gt;0,VLOOKUP(Envoltória!L118,Componentes!K:N,2,FALSE),0),""))</f>
        <v/>
      </c>
      <c r="M110" s="415" t="str">
        <f>IF(B110=0,"",IFERROR(IF(BB110&lt;&gt;0,VLOOKUP(Envoltória!L118,Componentes!K:N,3,FALSE),0),""))</f>
        <v/>
      </c>
      <c r="N110" s="415" t="str">
        <f>IF(B110=0,"",IFERROR(IF(BB110&lt;&gt;0,VLOOKUP(Envoltória!L118,Componentes!K:N,4,FALSE),0),""))</f>
        <v/>
      </c>
      <c r="O110" s="413" t="str">
        <f>IF(B110=0,"",IF(BF110=1,VLOOKUP(Envoltória!J118,Componentes!B:E,2,FALSE),-6))</f>
        <v/>
      </c>
      <c r="P110" s="413" t="str">
        <f>IF(B110=0,"",IF(BF110=1,VLOOKUP(Envoltória!J118,Componentes!B:E,3,FALSE),-400))</f>
        <v/>
      </c>
      <c r="Q110" s="413" t="str">
        <f>IF(B110=0,"",IF(BF110=1,VLOOKUP(Envoltória!J118,Componentes!B:E,4,FALSE),0))</f>
        <v/>
      </c>
      <c r="R110" s="414" t="str">
        <f>IF(B110=0,"",IFERROR(VLOOKUP(Envoltória!K118,Componentes!G:I,2,FALSE),""))</f>
        <v/>
      </c>
      <c r="S110" s="414" t="str">
        <f>IF(B110=0,"",IFERROR(VLOOKUP(Envoltória!K118,Componentes!G:I,3,FALSE),""))</f>
        <v/>
      </c>
      <c r="T110" s="413" t="str">
        <f>IF(B110=0,"",IFERROR(IF(H110&lt;&gt;0,VLOOKUP(Envoltória!N118,Componentes!T:V,3,FALSE),0),""))</f>
        <v/>
      </c>
      <c r="U110" s="413" t="str">
        <f>IF(B110=0,"",IFERROR(IF(H110&lt;&gt;0,VLOOKUP(Envoltória!N118,Componentes!T:V,2,FALSE),0),""))</f>
        <v/>
      </c>
      <c r="V110" s="414" t="str">
        <f>IF(B110=0,"",IFERROR(IF(AA110&lt;&gt;0,VLOOKUP(Envoltória!U118,Componentes!X:Z,2,FALSE),0),0))</f>
        <v/>
      </c>
      <c r="W110" s="414" t="str">
        <f>IF(B110=0,"",IFERROR(IF(AA110&lt;&gt;0,VLOOKUP(Envoltória!U118,Componentes!X:Z,3,FALSE),0),0))</f>
        <v/>
      </c>
      <c r="X110" s="413" t="str">
        <f>IF(B110=0,"",Envoltória!U118)</f>
        <v/>
      </c>
      <c r="Y110" s="413" t="str">
        <f>IF(B110=0,"",Envoltória!S118)</f>
        <v/>
      </c>
      <c r="Z110" s="413" t="str">
        <f>IF(B110=0,"",Envoltória!T118)</f>
        <v/>
      </c>
      <c r="AA110" s="416" t="str">
        <f>IF(B110=0,"",Envoltória!Q118/100)</f>
        <v/>
      </c>
      <c r="AB110" s="417" t="str">
        <f>IF($B110=0,"",VLOOKUP(Aux_Lista!$DR$2,Aux_Clima!$A:$O,AB$8,FALSE))</f>
        <v/>
      </c>
      <c r="AC110" s="417" t="str">
        <f>IF($B110=0,"",VLOOKUP(Aux_Lista!$DR$2,Aux_Clima!$A:$O,AC$8,FALSE))</f>
        <v/>
      </c>
      <c r="AD110" s="417" t="str">
        <f>IF($B110=0,"",ROUND(VLOOKUP(Aux_Lista!$DR$2,Aux_Clima!$A:$O,AD$8,FALSE),8))</f>
        <v/>
      </c>
      <c r="AE110" s="417" t="str">
        <f>IF($B110=0,"",ROUND(VLOOKUP(Aux_Lista!$DR$2,Aux_Clima!$A:$O,AE$8,FALSE),8))</f>
        <v/>
      </c>
      <c r="AF110" s="417" t="str">
        <f>IF($B110=0,"",ROUND(VLOOKUP(Aux_Lista!$DR$2,Aux_Clima!$A:$O,AF$8,FALSE),8))</f>
        <v/>
      </c>
      <c r="AG110" s="417" t="str">
        <f>IF($B110=0,"",ROUND(VLOOKUP(Aux_Lista!$DR$2,Aux_Clima!$A:$O,AG$8,FALSE),8))</f>
        <v/>
      </c>
      <c r="AH110" s="417" t="str">
        <f>IF($B110=0,"",ROUND(VLOOKUP(Aux_Lista!$DR$2,Aux_Clima!$A:$O,AH$8,FALSE),8))</f>
        <v/>
      </c>
      <c r="AI110" s="417" t="str">
        <f>IF($B110=0,"",ROUND(VLOOKUP(Aux_Lista!$DR$2,Aux_Clima!$A:$O,AI$8,FALSE),8))</f>
        <v/>
      </c>
      <c r="AJ110" s="417" t="str">
        <f>IF($B110=0,"",ROUND(VLOOKUP(Aux_Lista!$DR$2,Aux_Clima!$A:$O,AJ$8,FALSE),3))</f>
        <v/>
      </c>
      <c r="AK110" s="417" t="str">
        <f>IF($B110=0,"",ROUND(VLOOKUP(Aux_Lista!$DR$2,Aux_Clima!$A:$O,AK$8,FALSE),3))</f>
        <v/>
      </c>
      <c r="AL110" s="417" t="str">
        <f>IF($B110=0,"",ROUND(VLOOKUP(Aux_Lista!$DR$2,Aux_Clima!$A:$O,AL$8,FALSE),3))</f>
        <v/>
      </c>
      <c r="AM110" s="417" t="str">
        <f>IF($B110=0,"",ROUND(VLOOKUP(Aux_Lista!$DR$2,Aux_Clima!$A:$O,AM$8,FALSE),8))</f>
        <v/>
      </c>
      <c r="AN110" s="417" t="str">
        <f>IF($B110=0,"",ROUND(VLOOKUP(Aux_Lista!$DR$2,Aux_Clima!$A:$O,AN$8,FALSE),8))</f>
        <v/>
      </c>
      <c r="AO110" s="417" t="str">
        <f>IF($B110=0,"",ROUND(VLOOKUP(Aux_Lista!$DR$2,Aux_Clima!$A:$O,AO$8,FALSE),8))</f>
        <v/>
      </c>
      <c r="AP110" s="413" t="str">
        <f>IF(B110=0,"",IF(BF110=0,84,VLOOKUP(Envoltória!N118,Componentes!AV:AY,4,FALSE)))</f>
        <v/>
      </c>
      <c r="AQ110" s="413" t="str">
        <f>IF(B110=0,"",IF(BF110=0,90,VLOOKUP(Envoltória!N118,Componentes!AV:AY,3,FALSE)))</f>
        <v/>
      </c>
      <c r="AR110" s="413" t="str">
        <f t="shared" si="6"/>
        <v/>
      </c>
      <c r="AS110" s="413" t="str">
        <f t="shared" si="6"/>
        <v/>
      </c>
      <c r="AT110" s="413" t="str">
        <f t="shared" si="6"/>
        <v/>
      </c>
      <c r="AU110" s="413" t="str">
        <f t="shared" si="6"/>
        <v/>
      </c>
      <c r="AV110" s="413" t="str">
        <f t="shared" si="6"/>
        <v/>
      </c>
      <c r="AW110" s="414" t="str">
        <f>IF($B110=0,"",IFERROR(VLOOKUP(Envoltória!$B118,Aux_Lista!$O:$U,AW$9,FALSE),0))</f>
        <v/>
      </c>
      <c r="AX110" s="414" t="str">
        <f>IF($B110=0,"",IFERROR(VLOOKUP(Envoltória!$B118,Aux_Lista!$O:$U,AX$9,FALSE),0))</f>
        <v/>
      </c>
      <c r="AY110" s="414" t="str">
        <f>IF($B110=0,"",IFERROR(VLOOKUP(Envoltória!$B118,Aux_Lista!$O:$U,AY$9,FALSE),0))</f>
        <v/>
      </c>
      <c r="AZ110" s="414" t="str">
        <f>IF($B110=0,"",IFERROR(VLOOKUP(Envoltória!$B118,Aux_Lista!$O:$U,AZ$9,FALSE),0))</f>
        <v/>
      </c>
      <c r="BA110" s="414" t="str">
        <f>IF($B110=0,"",IFERROR(VLOOKUP(Envoltória!$B118,Aux_Lista!$O:$U,BA$9,FALSE),0))</f>
        <v/>
      </c>
      <c r="BB110" s="414" t="str">
        <f>IF($B110=0,"",IFERROR(VLOOKUP(Envoltória!$B118,Aux_Lista!$O:$U,BB$9,FALSE),0))</f>
        <v/>
      </c>
      <c r="BC110" s="414" t="str">
        <f>IFERROR(VLOOKUP(Envoltória!$H118,Aux_Lista!$W$2:$Y$3,BC$9,FALSE),"")</f>
        <v/>
      </c>
      <c r="BD110" s="414" t="str">
        <f>IFERROR(VLOOKUP(Envoltória!$H118,Aux_Lista!$W$2:$Y$3,BD$9,FALSE),"")</f>
        <v/>
      </c>
      <c r="BE110" s="412" t="str">
        <f t="shared" si="7"/>
        <v/>
      </c>
      <c r="BF110" s="412" t="str">
        <f>IF(B110=0,"",IF(Envoltória!F118="Perimetral",1,0))</f>
        <v/>
      </c>
      <c r="BG110" s="412" t="str">
        <f>IFERROR(VLOOKUP(Envoltória!$G118,$BQ$35:$BZ$43,BG$9,FALSE),"")</f>
        <v/>
      </c>
      <c r="BH110" s="412" t="str">
        <f>IFERROR(VLOOKUP(Envoltória!$G118,$BQ$35:$BZ$43,BH$9,FALSE),"")</f>
        <v/>
      </c>
      <c r="BI110" s="412" t="str">
        <f>IFERROR(VLOOKUP(Envoltória!$G118,$BQ$35:$BZ$43,BI$9,FALSE),"")</f>
        <v/>
      </c>
      <c r="BJ110" s="412" t="str">
        <f>IFERROR(VLOOKUP(Envoltória!$G118,$BQ$35:$BZ$43,BJ$9,FALSE),"")</f>
        <v/>
      </c>
      <c r="BK110" s="412" t="str">
        <f>IFERROR(VLOOKUP(Envoltória!$G118,$BQ$35:$BZ$43,BK$9,FALSE),"")</f>
        <v/>
      </c>
      <c r="BL110" s="412" t="str">
        <f>IFERROR(VLOOKUP(Envoltória!$G118,$BQ$35:$BZ$43,BL$9,FALSE),"")</f>
        <v/>
      </c>
      <c r="BM110" s="412" t="str">
        <f>IFERROR(VLOOKUP(Envoltória!$G118,$BQ$35:$BZ$43,BM$9,FALSE),"")</f>
        <v/>
      </c>
      <c r="BN110" s="412" t="str">
        <f>IFERROR(VLOOKUP(Envoltória!$G118,$BQ$35:$BZ$43,BN$9,FALSE),"")</f>
        <v/>
      </c>
      <c r="BO110" s="412" t="str">
        <f>IFERROR(VLOOKUP(Envoltória!$G118,$BQ$35:$BZ$43,BO$9,FALSE),"")</f>
        <v/>
      </c>
    </row>
    <row r="111" spans="1:67" x14ac:dyDescent="0.25">
      <c r="A111" s="1"/>
    </row>
  </sheetData>
  <mergeCells count="1">
    <mergeCell ref="AB9:AO9"/>
  </mergeCells>
  <pageMargins left="0.511811024" right="0.511811024" top="0.78740157499999996" bottom="0.78740157499999996" header="0.31496062000000002" footer="0.31496062000000002"/>
  <pageSetup paperSize="9"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77A79-3446-44DB-9FCD-BDEE7917498E}">
  <sheetPr codeName="Planilha8">
    <tabColor rgb="FFFFFF00"/>
  </sheetPr>
  <dimension ref="A2:CA111"/>
  <sheetViews>
    <sheetView showGridLines="0" zoomScale="85" zoomScaleNormal="85" workbookViewId="0">
      <selection activeCell="F11" sqref="F11"/>
    </sheetView>
  </sheetViews>
  <sheetFormatPr defaultColWidth="9.140625" defaultRowHeight="15" x14ac:dyDescent="0.25"/>
  <cols>
    <col min="1" max="1" width="5.7109375" customWidth="1"/>
    <col min="2" max="2" width="18.5703125" bestFit="1" customWidth="1"/>
    <col min="3" max="3" width="13.7109375" bestFit="1" customWidth="1"/>
    <col min="4" max="4" width="8.42578125" customWidth="1"/>
    <col min="5" max="5" width="9.7109375" customWidth="1"/>
    <col min="17" max="17" width="12.140625" customWidth="1"/>
    <col min="25" max="25" width="9.7109375" customWidth="1"/>
    <col min="27" max="27" width="9.140625" style="2"/>
    <col min="57" max="57" width="12.28515625" bestFit="1" customWidth="1"/>
    <col min="60" max="67" width="11.42578125" customWidth="1"/>
    <col min="68" max="68" width="3.42578125" customWidth="1"/>
    <col min="69" max="69" width="42.140625" style="11" bestFit="1" customWidth="1"/>
    <col min="70" max="70" width="9.140625" style="11"/>
    <col min="71" max="76" width="26" style="11" customWidth="1"/>
    <col min="77" max="16384" width="9.140625" style="11"/>
  </cols>
  <sheetData>
    <row r="2" spans="1:68" ht="28.5" customHeight="1" x14ac:dyDescent="0.25"/>
    <row r="3" spans="1:68" s="12" customFormat="1" x14ac:dyDescent="0.25">
      <c r="A3" s="10"/>
      <c r="B3" s="10"/>
      <c r="C3" s="10"/>
      <c r="D3" s="10"/>
      <c r="E3" s="10"/>
      <c r="F3" s="10"/>
      <c r="G3" s="10"/>
      <c r="H3" s="10"/>
      <c r="I3" s="10"/>
      <c r="J3" s="10"/>
      <c r="K3" s="10"/>
      <c r="L3" s="10"/>
      <c r="M3" s="10"/>
      <c r="N3" s="10"/>
      <c r="O3" s="10"/>
      <c r="P3" s="10"/>
      <c r="Q3" s="10"/>
      <c r="R3" s="10"/>
      <c r="S3" s="10"/>
      <c r="T3" s="10"/>
      <c r="U3" s="10"/>
      <c r="V3" s="10"/>
      <c r="W3" s="10"/>
      <c r="X3" s="10"/>
      <c r="Y3" s="10"/>
      <c r="Z3" s="10"/>
      <c r="AA3" s="37"/>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row>
    <row r="5" spans="1:68" ht="18.75" x14ac:dyDescent="0.3">
      <c r="A5" s="22"/>
      <c r="B5" s="23" t="s">
        <v>38</v>
      </c>
      <c r="C5" s="22"/>
      <c r="D5" s="22"/>
      <c r="E5" s="22"/>
      <c r="F5" s="22"/>
      <c r="G5" s="22"/>
      <c r="H5" s="22"/>
      <c r="I5" s="22"/>
      <c r="J5" s="22"/>
      <c r="K5" s="22"/>
      <c r="L5" s="22"/>
      <c r="M5" s="22"/>
      <c r="N5" s="22"/>
      <c r="O5" s="22"/>
      <c r="P5" s="22"/>
      <c r="Q5" s="22"/>
      <c r="R5" s="22"/>
      <c r="S5" s="22"/>
      <c r="T5" s="22"/>
      <c r="U5" s="22"/>
      <c r="V5" s="22"/>
      <c r="W5" s="22"/>
      <c r="X5" s="22"/>
      <c r="Y5" s="22"/>
      <c r="Z5" s="22"/>
      <c r="AA5" s="38"/>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row>
    <row r="7" spans="1:68" ht="30" x14ac:dyDescent="0.25">
      <c r="B7" s="47" t="s">
        <v>22</v>
      </c>
      <c r="C7" s="48" t="str">
        <f>Início!C11</f>
        <v>Sede da Subseção da Justiça Federal em Patos</v>
      </c>
    </row>
    <row r="8" spans="1:68" x14ac:dyDescent="0.25">
      <c r="B8" s="47" t="s">
        <v>24</v>
      </c>
      <c r="C8" s="48" t="str">
        <f>Início!C14</f>
        <v>Projeto</v>
      </c>
    </row>
    <row r="9" spans="1:68" x14ac:dyDescent="0.25">
      <c r="AB9" s="585" t="s">
        <v>8996</v>
      </c>
      <c r="AC9" s="586"/>
      <c r="AD9" s="586"/>
      <c r="AE9" s="586"/>
      <c r="AF9" s="586"/>
      <c r="AG9" s="586"/>
      <c r="AH9" s="586"/>
      <c r="AI9" s="586"/>
      <c r="AJ9" s="586"/>
      <c r="AK9" s="586"/>
      <c r="AL9" s="586"/>
      <c r="AM9" s="586"/>
      <c r="AN9" s="586"/>
      <c r="AO9" s="587"/>
      <c r="AR9">
        <v>3</v>
      </c>
      <c r="AS9">
        <v>4</v>
      </c>
      <c r="AT9">
        <v>5</v>
      </c>
      <c r="AU9">
        <v>6</v>
      </c>
      <c r="AV9">
        <v>7</v>
      </c>
      <c r="AW9">
        <v>2</v>
      </c>
      <c r="AX9">
        <v>3</v>
      </c>
      <c r="AY9">
        <v>4</v>
      </c>
      <c r="AZ9">
        <v>5</v>
      </c>
      <c r="BA9">
        <v>6</v>
      </c>
      <c r="BB9">
        <v>7</v>
      </c>
      <c r="BC9">
        <v>2</v>
      </c>
      <c r="BD9">
        <v>3</v>
      </c>
      <c r="BG9">
        <v>10</v>
      </c>
      <c r="BH9">
        <v>2</v>
      </c>
      <c r="BI9">
        <v>3</v>
      </c>
      <c r="BJ9">
        <v>4</v>
      </c>
      <c r="BK9">
        <v>5</v>
      </c>
      <c r="BL9">
        <v>6</v>
      </c>
      <c r="BM9">
        <v>7</v>
      </c>
      <c r="BN9">
        <v>8</v>
      </c>
      <c r="BO9">
        <v>9</v>
      </c>
    </row>
    <row r="10" spans="1:68" ht="45" x14ac:dyDescent="0.25">
      <c r="B10" s="407" t="s">
        <v>227</v>
      </c>
      <c r="C10" s="407" t="s">
        <v>8997</v>
      </c>
      <c r="D10" s="407" t="s">
        <v>8998</v>
      </c>
      <c r="E10" s="407" t="s">
        <v>57</v>
      </c>
      <c r="F10" s="235" t="s">
        <v>8999</v>
      </c>
      <c r="G10" s="235" t="s">
        <v>9000</v>
      </c>
      <c r="H10" s="423" t="s">
        <v>9001</v>
      </c>
      <c r="I10" s="423" t="s">
        <v>9002</v>
      </c>
      <c r="J10" s="423" t="s">
        <v>9003</v>
      </c>
      <c r="K10" s="423" t="s">
        <v>9004</v>
      </c>
      <c r="L10" s="423" t="s">
        <v>9005</v>
      </c>
      <c r="M10" s="423" t="s">
        <v>9006</v>
      </c>
      <c r="N10" s="423" t="s">
        <v>9007</v>
      </c>
      <c r="O10" s="423" t="s">
        <v>9008</v>
      </c>
      <c r="P10" s="423" t="s">
        <v>9009</v>
      </c>
      <c r="Q10" s="423" t="s">
        <v>9010</v>
      </c>
      <c r="R10" s="423" t="s">
        <v>9011</v>
      </c>
      <c r="S10" s="423" t="s">
        <v>9012</v>
      </c>
      <c r="T10" s="424" t="s">
        <v>9013</v>
      </c>
      <c r="U10" s="424" t="s">
        <v>9014</v>
      </c>
      <c r="V10" s="423" t="s">
        <v>9015</v>
      </c>
      <c r="W10" s="423" t="s">
        <v>9016</v>
      </c>
      <c r="X10" s="407" t="s">
        <v>9017</v>
      </c>
      <c r="Y10" s="424" t="s">
        <v>9018</v>
      </c>
      <c r="Z10" s="407" t="s">
        <v>9019</v>
      </c>
      <c r="AA10" s="408" t="s">
        <v>9020</v>
      </c>
      <c r="AB10" s="422" t="s">
        <v>9021</v>
      </c>
      <c r="AC10" s="422" t="s">
        <v>9022</v>
      </c>
      <c r="AD10" s="422" t="s">
        <v>9023</v>
      </c>
      <c r="AE10" s="422" t="s">
        <v>9024</v>
      </c>
      <c r="AF10" s="422" t="s">
        <v>9025</v>
      </c>
      <c r="AG10" s="422" t="s">
        <v>9026</v>
      </c>
      <c r="AH10" s="422" t="s">
        <v>9027</v>
      </c>
      <c r="AI10" s="422" t="s">
        <v>9028</v>
      </c>
      <c r="AJ10" s="422" t="s">
        <v>9029</v>
      </c>
      <c r="AK10" s="422" t="s">
        <v>9030</v>
      </c>
      <c r="AL10" s="422" t="s">
        <v>9031</v>
      </c>
      <c r="AM10" s="422" t="s">
        <v>9032</v>
      </c>
      <c r="AN10" s="422" t="s">
        <v>9033</v>
      </c>
      <c r="AO10" s="422" t="s">
        <v>9034</v>
      </c>
      <c r="AP10" s="424" t="s">
        <v>9035</v>
      </c>
      <c r="AQ10" s="423" t="s">
        <v>9036</v>
      </c>
      <c r="AR10" s="235" t="s">
        <v>9037</v>
      </c>
      <c r="AS10" s="235" t="s">
        <v>9038</v>
      </c>
      <c r="AT10" s="235" t="s">
        <v>9039</v>
      </c>
      <c r="AU10" s="235" t="s">
        <v>9040</v>
      </c>
      <c r="AV10" s="235" t="s">
        <v>9041</v>
      </c>
      <c r="AW10" s="408" t="s">
        <v>206</v>
      </c>
      <c r="AX10" s="408" t="s">
        <v>207</v>
      </c>
      <c r="AY10" s="408" t="s">
        <v>208</v>
      </c>
      <c r="AZ10" s="408" t="s">
        <v>209</v>
      </c>
      <c r="BA10" s="408" t="s">
        <v>210</v>
      </c>
      <c r="BB10" s="408" t="s">
        <v>211</v>
      </c>
      <c r="BC10" s="408" t="s">
        <v>212</v>
      </c>
      <c r="BD10" s="408" t="s">
        <v>213</v>
      </c>
      <c r="BE10" s="235" t="s">
        <v>9042</v>
      </c>
      <c r="BF10" s="235" t="s">
        <v>9043</v>
      </c>
      <c r="BG10" s="235" t="s">
        <v>9044</v>
      </c>
      <c r="BH10" s="235" t="s">
        <v>9045</v>
      </c>
      <c r="BI10" s="235" t="s">
        <v>9046</v>
      </c>
      <c r="BJ10" s="235" t="s">
        <v>9047</v>
      </c>
      <c r="BK10" s="235" t="s">
        <v>9048</v>
      </c>
      <c r="BL10" s="235" t="s">
        <v>9049</v>
      </c>
      <c r="BM10" s="235" t="s">
        <v>9050</v>
      </c>
      <c r="BN10" s="235" t="s">
        <v>9051</v>
      </c>
      <c r="BO10" s="235" t="s">
        <v>9052</v>
      </c>
    </row>
    <row r="11" spans="1:68" s="15" customFormat="1" x14ac:dyDescent="0.25">
      <c r="A11" s="1">
        <v>1</v>
      </c>
      <c r="B11" s="409" t="str">
        <f>Envoltória!I19</f>
        <v>Escritórios</v>
      </c>
      <c r="C11" s="410" t="str">
        <f>Envoltória!B19</f>
        <v>Térreo (com + pvtos acima)</v>
      </c>
      <c r="D11" s="410" t="str">
        <f>Envoltória!C19</f>
        <v>ZP1</v>
      </c>
      <c r="E11" s="411">
        <f>Envoltória!D19</f>
        <v>17.28</v>
      </c>
      <c r="F11" s="412">
        <f>IF(B11=0,"",Envoltória!E19)</f>
        <v>3</v>
      </c>
      <c r="G11" s="429">
        <f>IF(B11=0,"",IF(BF11=1,(((2/4.5)*E11)+9)/2,SQRT(E11)))</f>
        <v>8.34</v>
      </c>
      <c r="H11" s="413">
        <f>IF(B11=0,"",IF(Envoltória!O19=0,0,VLOOKUP(B11,Aux_Lista!A:M,13,FALSE)))</f>
        <v>0</v>
      </c>
      <c r="I11" s="413">
        <f>IF(B11=0,"",IF(BF11=1,VLOOKUP(Envoltória!N19,Componentes!T:AB,7,FALSE),89))</f>
        <v>0</v>
      </c>
      <c r="J11" s="414">
        <f>IF(B11=0,"",Componentes!$Q$10)</f>
        <v>2.06</v>
      </c>
      <c r="K11" s="414">
        <f>IF(B11=0,"",Componentes!$R$10)</f>
        <v>233</v>
      </c>
      <c r="L11" s="413">
        <f>IF(B11=0,"",IFERROR(IF(BB11&lt;&gt;0,Componentes!$L$11,0),""))</f>
        <v>0</v>
      </c>
      <c r="M11" s="413">
        <f>IF(B11=0,"",IFERROR(IF(BB11&lt;&gt;0,Componentes!$M$11,0),""))</f>
        <v>0</v>
      </c>
      <c r="N11" s="415">
        <f>IF(B11=0,"",IFERROR(IF(BB11&lt;&gt;0,Componentes!$N$11,0),""))</f>
        <v>0</v>
      </c>
      <c r="O11" s="413">
        <f>IF(B11=0,"",IF(BF11=1,Componentes!$C$11,-6))</f>
        <v>2.39</v>
      </c>
      <c r="P11" s="413">
        <f>IF(B11=0,"",IF(BF11=1,Componentes!$D$11,-400))</f>
        <v>150</v>
      </c>
      <c r="Q11" s="413">
        <f>IF(B11=0,"",IF(BF11=1,Componentes!$E$11,0))</f>
        <v>0.5</v>
      </c>
      <c r="R11" s="414">
        <f>IF(B11=0,"",Componentes!$H$11)</f>
        <v>2.39</v>
      </c>
      <c r="S11" s="414">
        <f>IF(B11=0,"",Componentes!$I$11)</f>
        <v>150</v>
      </c>
      <c r="T11" s="413">
        <f>IF(B11=0,"",IFERROR(IF(H11&lt;&gt;0,Componentes!$V$11,0),""))</f>
        <v>0</v>
      </c>
      <c r="U11" s="413">
        <f>IF(B11=0,"",IFERROR(IF(H11&lt;&gt;0,Componentes!$U$11,0),""))</f>
        <v>0</v>
      </c>
      <c r="V11" s="414">
        <f>IF(B11=0,"",IFERROR(IF(AA11&lt;&gt;0,Componentes!$AF$11,0),0))</f>
        <v>0</v>
      </c>
      <c r="W11" s="414">
        <f>IF(B11=0,"",IFERROR(IF(AA11&lt;&gt;0,Componentes!$AE$11,0),0))</f>
        <v>0</v>
      </c>
      <c r="X11" s="413">
        <f>IF(B11=0,"",Envoltória!U19)</f>
        <v>0.1</v>
      </c>
      <c r="Y11" s="413">
        <f>IF(B11=0,"",VLOOKUP(Início!$C$20,Aux_Lista!A:H,8,FALSE))</f>
        <v>14.1</v>
      </c>
      <c r="Z11" s="413">
        <f>IF(B11=0,"",Envoltória!T19)</f>
        <v>15</v>
      </c>
      <c r="AA11" s="416">
        <f>IF(B11=0,"",Envoltória!Q19/100)</f>
        <v>0</v>
      </c>
      <c r="AB11" s="417">
        <f>INPUT!AB11</f>
        <v>-7.02</v>
      </c>
      <c r="AC11" s="417">
        <f>INPUT!AC11</f>
        <v>249</v>
      </c>
      <c r="AD11" s="417">
        <f>INPUT!AD11</f>
        <v>27.24</v>
      </c>
      <c r="AE11" s="417">
        <f>INPUT!AE11</f>
        <v>24.17</v>
      </c>
      <c r="AF11" s="417">
        <f>INPUT!AF11</f>
        <v>30.311666670000001</v>
      </c>
      <c r="AG11" s="417">
        <f>INPUT!AG11</f>
        <v>2.8624999999999998</v>
      </c>
      <c r="AH11" s="417">
        <f>INPUT!AH11</f>
        <v>1.8233333300000001</v>
      </c>
      <c r="AI11" s="417">
        <f>INPUT!AI11</f>
        <v>3.8433333300000001</v>
      </c>
      <c r="AJ11" s="417">
        <f>INPUT!AJ11</f>
        <v>6082.0829999999996</v>
      </c>
      <c r="AK11" s="417">
        <f>INPUT!AK11</f>
        <v>5588.8329999999996</v>
      </c>
      <c r="AL11" s="417">
        <f>INPUT!AL11</f>
        <v>6759.9380000000001</v>
      </c>
      <c r="AM11" s="417">
        <f>INPUT!AM11</f>
        <v>18.44083333</v>
      </c>
      <c r="AN11" s="417">
        <f>INPUT!AN11</f>
        <v>17.19166667</v>
      </c>
      <c r="AO11" s="417">
        <f>INPUT!AO11</f>
        <v>19.883333329999999</v>
      </c>
      <c r="AP11" s="413">
        <f>IF(B11=0,"",IF(BF11=0,90,VLOOKUP(Envoltória!N19,Componentes!T:AB,9,FALSE)))</f>
        <v>0</v>
      </c>
      <c r="AQ11" s="413">
        <f>IF(B11=0,"",IF(BF11=0,90,VLOOKUP(Envoltória!N19,Componentes!T:AB,8,FALSE)))</f>
        <v>0</v>
      </c>
      <c r="AR11" s="413">
        <f>IFERROR(VLOOKUP($B11,$BQ$21:$BW$31,AR$9,FALSE),"")</f>
        <v>1</v>
      </c>
      <c r="AS11" s="413">
        <f>IFERROR(VLOOKUP($B11,$BQ$21:$BW$31,AS$9,FALSE),"")</f>
        <v>0</v>
      </c>
      <c r="AT11" s="413">
        <f>IFERROR(VLOOKUP($B11,$BQ$21:$BW$31,AT$9,FALSE),"")</f>
        <v>0</v>
      </c>
      <c r="AU11" s="413">
        <f>IFERROR(VLOOKUP($B11,$BQ$21:$BW$31,AU$9,FALSE),"")</f>
        <v>0</v>
      </c>
      <c r="AV11" s="413">
        <f>IFERROR(VLOOKUP($B11,$BQ$21:$BW$31,AV$9,FALSE),"")</f>
        <v>0</v>
      </c>
      <c r="AW11" s="414">
        <f>INPUT!AW11</f>
        <v>0</v>
      </c>
      <c r="AX11" s="414">
        <f>INPUT!AX11</f>
        <v>1</v>
      </c>
      <c r="AY11" s="414">
        <f>INPUT!AY11</f>
        <v>1</v>
      </c>
      <c r="AZ11" s="414">
        <f>INPUT!AZ11</f>
        <v>0</v>
      </c>
      <c r="BA11" s="414">
        <f>INPUT!BA11</f>
        <v>1</v>
      </c>
      <c r="BB11" s="414">
        <f>INPUT!BB11</f>
        <v>0</v>
      </c>
      <c r="BC11" s="414">
        <f>INPUT!BC11</f>
        <v>1</v>
      </c>
      <c r="BD11" s="414">
        <f>INPUT!BD11</f>
        <v>0</v>
      </c>
      <c r="BE11" s="412">
        <f>IF(B11=0,"",IF(BF11=0,1,0))</f>
        <v>0</v>
      </c>
      <c r="BF11" s="412">
        <f>IF(B11=0,"",IFERROR(VLOOKUP(Envoltória!F19,INPUT_REF!$BQ$18:$BR$19,2,FALSE),""))</f>
        <v>1</v>
      </c>
      <c r="BG11" s="412">
        <f>IFERROR(VLOOKUP(Envoltória!$G19,$BQ$35:$BZ$43,BG$9,FALSE),"")</f>
        <v>0</v>
      </c>
      <c r="BH11" s="412">
        <f>IFERROR(VLOOKUP(Envoltória!$G19,$BQ$35:$BZ$43,BH$9,FALSE),"")</f>
        <v>0</v>
      </c>
      <c r="BI11" s="412">
        <f>IFERROR(VLOOKUP(Envoltória!$G19,$BQ$35:$BZ$43,BI$9,FALSE),"")</f>
        <v>0</v>
      </c>
      <c r="BJ11" s="412">
        <f>IFERROR(VLOOKUP(Envoltória!$G19,$BQ$35:$BZ$43,BJ$9,FALSE),"")</f>
        <v>0</v>
      </c>
      <c r="BK11" s="412">
        <f>IFERROR(VLOOKUP(Envoltória!$G19,$BQ$35:$BZ$43,BK$9,FALSE),"")</f>
        <v>1</v>
      </c>
      <c r="BL11" s="412">
        <f>IFERROR(VLOOKUP(Envoltória!$G19,$BQ$35:$BZ$43,BL$9,FALSE),"")</f>
        <v>0</v>
      </c>
      <c r="BM11" s="412">
        <f>IFERROR(VLOOKUP(Envoltória!$G19,$BQ$35:$BZ$43,BM$9,FALSE),"")</f>
        <v>0</v>
      </c>
      <c r="BN11" s="412">
        <f>IFERROR(VLOOKUP(Envoltória!$G19,$BQ$35:$BZ$43,BN$9,FALSE),"")</f>
        <v>0</v>
      </c>
      <c r="BO11" s="412">
        <f>IFERROR(VLOOKUP(Envoltória!$G19,$BQ$35:$BZ$43,BO$9,FALSE),"")</f>
        <v>0</v>
      </c>
      <c r="BP11" s="418"/>
    </row>
    <row r="12" spans="1:68" s="15" customFormat="1" x14ac:dyDescent="0.25">
      <c r="A12" s="1">
        <v>2</v>
      </c>
      <c r="B12" s="409" t="str">
        <f>Envoltória!I20</f>
        <v>Escritórios</v>
      </c>
      <c r="C12" s="410" t="str">
        <f>Envoltória!B20</f>
        <v>Térreo (com + pvtos acima)</v>
      </c>
      <c r="D12" s="410" t="str">
        <f>Envoltória!C20</f>
        <v>ZP2</v>
      </c>
      <c r="E12" s="411">
        <f>Envoltória!D20</f>
        <v>42.93</v>
      </c>
      <c r="F12" s="412">
        <f>IF(B12=0,"",Envoltória!E20)</f>
        <v>3</v>
      </c>
      <c r="G12" s="429">
        <f t="shared" ref="G12:G75" si="0">IF(B12=0,"",IF(BF12=1,(((2/4.5)*E12)+9)/2,SQRT(E12)))</f>
        <v>14.04</v>
      </c>
      <c r="H12" s="413">
        <f>IF(B12=0,"",IF(Envoltória!O20=0,0,VLOOKUP(B12,Aux_Lista!A:M,13,FALSE)))</f>
        <v>0.5</v>
      </c>
      <c r="I12" s="413">
        <f>IF(B12=0,"",IF(BF12=1,VLOOKUP(Envoltória!N20,Componentes!T:AB,7,FALSE),89))</f>
        <v>0</v>
      </c>
      <c r="J12" s="414">
        <f>IF(B12=0,"",Componentes!$Q$10)</f>
        <v>2.06</v>
      </c>
      <c r="K12" s="414">
        <f>IF(B12=0,"",Componentes!$R$10)</f>
        <v>233</v>
      </c>
      <c r="L12" s="413">
        <f>IF(B12=0,"",IFERROR(IF(BB12&lt;&gt;0,Componentes!$L$11,0),""))</f>
        <v>0</v>
      </c>
      <c r="M12" s="413">
        <f>IF(B12=0,"",IFERROR(IF(BB12&lt;&gt;0,Componentes!$M$11,0),""))</f>
        <v>0</v>
      </c>
      <c r="N12" s="415">
        <f>IF(B12=0,"",IFERROR(IF(BB12&lt;&gt;0,Componentes!$N$11,0),""))</f>
        <v>0</v>
      </c>
      <c r="O12" s="413">
        <f>IF(B12=0,"",IF(BF12=1,Componentes!$C$11,-6))</f>
        <v>2.39</v>
      </c>
      <c r="P12" s="413">
        <f>IF(B12=0,"",IF(BF12=1,Componentes!$D$11,-400))</f>
        <v>150</v>
      </c>
      <c r="Q12" s="413">
        <f>IF(B12=0,"",IF(BF12=1,Componentes!$E$11,0))</f>
        <v>0.5</v>
      </c>
      <c r="R12" s="414">
        <f>IF(B12=0,"",Componentes!$H$11)</f>
        <v>2.39</v>
      </c>
      <c r="S12" s="414">
        <f>IF(B12=0,"",Componentes!$I$11)</f>
        <v>150</v>
      </c>
      <c r="T12" s="413">
        <f>IF(B12=0,"",IFERROR(IF(H12&lt;&gt;0,Componentes!$V$11,0),""))</f>
        <v>0.82</v>
      </c>
      <c r="U12" s="413">
        <f>IF(B12=0,"",IFERROR(IF(H12&lt;&gt;0,Componentes!$U$11,0),""))</f>
        <v>5.7</v>
      </c>
      <c r="V12" s="414">
        <f>IF(B12=0,"",IFERROR(IF(AA12&lt;&gt;0,VLOOKUP(Envoltória!U20,Componentes!X:Z,2,FALSE),0),0))</f>
        <v>0</v>
      </c>
      <c r="W12" s="414">
        <f>IF(B12=0,"",IFERROR(IF(AA12&lt;&gt;0,Componentes!$AE$11,0),0))</f>
        <v>0</v>
      </c>
      <c r="X12" s="413">
        <f>IF(B12=0,"",Envoltória!U20)</f>
        <v>0.1</v>
      </c>
      <c r="Y12" s="413">
        <f>IF(B12=0,"",VLOOKUP(Início!$C$20,Aux_Lista!A:H,8,FALSE))</f>
        <v>14.1</v>
      </c>
      <c r="Z12" s="413">
        <f>IF(B12=0,"",Envoltória!T20)</f>
        <v>15</v>
      </c>
      <c r="AA12" s="416">
        <f>IF(B12=0,"",Envoltória!Q20/100)</f>
        <v>0</v>
      </c>
      <c r="AB12" s="417">
        <f>INPUT!AB12</f>
        <v>-7.02</v>
      </c>
      <c r="AC12" s="417">
        <f>INPUT!AC12</f>
        <v>249</v>
      </c>
      <c r="AD12" s="417">
        <f>INPUT!AD12</f>
        <v>27.24</v>
      </c>
      <c r="AE12" s="417">
        <f>INPUT!AE12</f>
        <v>24.17</v>
      </c>
      <c r="AF12" s="417">
        <f>INPUT!AF12</f>
        <v>30.311666670000001</v>
      </c>
      <c r="AG12" s="417">
        <f>INPUT!AG12</f>
        <v>2.8624999999999998</v>
      </c>
      <c r="AH12" s="417">
        <f>INPUT!AH12</f>
        <v>1.8233333300000001</v>
      </c>
      <c r="AI12" s="417">
        <f>INPUT!AI12</f>
        <v>3.8433333300000001</v>
      </c>
      <c r="AJ12" s="417">
        <f>INPUT!AJ12</f>
        <v>6082.0829999999996</v>
      </c>
      <c r="AK12" s="417">
        <f>INPUT!AK12</f>
        <v>5588.8329999999996</v>
      </c>
      <c r="AL12" s="417">
        <f>INPUT!AL12</f>
        <v>6759.9380000000001</v>
      </c>
      <c r="AM12" s="417">
        <f>INPUT!AM12</f>
        <v>18.44083333</v>
      </c>
      <c r="AN12" s="417">
        <f>INPUT!AN12</f>
        <v>17.19166667</v>
      </c>
      <c r="AO12" s="417">
        <f>INPUT!AO12</f>
        <v>19.883333329999999</v>
      </c>
      <c r="AP12" s="413">
        <f>IF(B12=0,"",IF(BF12=0,90,VLOOKUP(Envoltória!N20,Componentes!T:AB,9,FALSE)))</f>
        <v>0</v>
      </c>
      <c r="AQ12" s="413">
        <f>IF(B12=0,"",IF(BF12=0,90,VLOOKUP(Envoltória!N20,Componentes!T:AB,8,FALSE)))</f>
        <v>0</v>
      </c>
      <c r="AR12" s="413">
        <f t="shared" ref="AR12:AV43" si="1">IFERROR(VLOOKUP($B12,$BQ$21:$BW$31,AR$9,FALSE),"")</f>
        <v>1</v>
      </c>
      <c r="AS12" s="413">
        <f t="shared" si="1"/>
        <v>0</v>
      </c>
      <c r="AT12" s="413">
        <f t="shared" si="1"/>
        <v>0</v>
      </c>
      <c r="AU12" s="413">
        <f t="shared" si="1"/>
        <v>0</v>
      </c>
      <c r="AV12" s="413">
        <f t="shared" si="1"/>
        <v>0</v>
      </c>
      <c r="AW12" s="414">
        <f>INPUT!AW12</f>
        <v>0</v>
      </c>
      <c r="AX12" s="414">
        <f>INPUT!AX12</f>
        <v>1</v>
      </c>
      <c r="AY12" s="414">
        <f>INPUT!AY12</f>
        <v>1</v>
      </c>
      <c r="AZ12" s="414">
        <f>INPUT!AZ12</f>
        <v>0</v>
      </c>
      <c r="BA12" s="414">
        <f>INPUT!BA12</f>
        <v>1</v>
      </c>
      <c r="BB12" s="414">
        <f>INPUT!BB12</f>
        <v>0</v>
      </c>
      <c r="BC12" s="414">
        <f>INPUT!BC12</f>
        <v>1</v>
      </c>
      <c r="BD12" s="414">
        <f>INPUT!BD12</f>
        <v>0</v>
      </c>
      <c r="BE12" s="412">
        <f t="shared" ref="BE12:BE75" si="2">IF(B12=0,"",IF(BF12=0,1,0))</f>
        <v>0</v>
      </c>
      <c r="BF12" s="412">
        <f>IF(B12=0,"",IFERROR(VLOOKUP(Envoltória!F20,INPUT_REF!$BQ$18:$BR$19,2,FALSE),""))</f>
        <v>1</v>
      </c>
      <c r="BG12" s="412">
        <f>IFERROR(VLOOKUP(Envoltória!$G20,$BQ$35:$BZ$43,BG$9,FALSE),"")</f>
        <v>0</v>
      </c>
      <c r="BH12" s="412">
        <f>IFERROR(VLOOKUP(Envoltória!$G20,$BQ$35:$BZ$43,BH$9,FALSE),"")</f>
        <v>0</v>
      </c>
      <c r="BI12" s="412">
        <f>IFERROR(VLOOKUP(Envoltória!$G20,$BQ$35:$BZ$43,BI$9,FALSE),"")</f>
        <v>1</v>
      </c>
      <c r="BJ12" s="412">
        <f>IFERROR(VLOOKUP(Envoltória!$G20,$BQ$35:$BZ$43,BJ$9,FALSE),"")</f>
        <v>0</v>
      </c>
      <c r="BK12" s="412">
        <f>IFERROR(VLOOKUP(Envoltória!$G20,$BQ$35:$BZ$43,BK$9,FALSE),"")</f>
        <v>0</v>
      </c>
      <c r="BL12" s="412">
        <f>IFERROR(VLOOKUP(Envoltória!$G20,$BQ$35:$BZ$43,BL$9,FALSE),"")</f>
        <v>0</v>
      </c>
      <c r="BM12" s="412">
        <f>IFERROR(VLOOKUP(Envoltória!$G20,$BQ$35:$BZ$43,BM$9,FALSE),"")</f>
        <v>0</v>
      </c>
      <c r="BN12" s="412">
        <f>IFERROR(VLOOKUP(Envoltória!$G20,$BQ$35:$BZ$43,BN$9,FALSE),"")</f>
        <v>0</v>
      </c>
      <c r="BO12" s="412">
        <f>IFERROR(VLOOKUP(Envoltória!$G20,$BQ$35:$BZ$43,BO$9,FALSE),"")</f>
        <v>0</v>
      </c>
      <c r="BP12" s="418"/>
    </row>
    <row r="13" spans="1:68" s="15" customFormat="1" x14ac:dyDescent="0.25">
      <c r="A13" s="1">
        <v>3</v>
      </c>
      <c r="B13" s="409" t="str">
        <f>Envoltória!I21</f>
        <v>Escritórios</v>
      </c>
      <c r="C13" s="410" t="str">
        <f>Envoltória!B21</f>
        <v>Térreo (com + pvtos acima)</v>
      </c>
      <c r="D13" s="410" t="str">
        <f>Envoltória!C21</f>
        <v>ZP3</v>
      </c>
      <c r="E13" s="411">
        <f>Envoltória!D21</f>
        <v>4.88</v>
      </c>
      <c r="F13" s="412">
        <f>IF(B13=0,"",Envoltória!E21)</f>
        <v>3</v>
      </c>
      <c r="G13" s="429">
        <f t="shared" si="0"/>
        <v>5.5844444444444443</v>
      </c>
      <c r="H13" s="413">
        <f>IF(B13=0,"",IF(Envoltória!O21=0,0,VLOOKUP(B13,Aux_Lista!A:M,13,FALSE)))</f>
        <v>0</v>
      </c>
      <c r="I13" s="413">
        <f>IF(B13=0,"",IF(BF13=1,VLOOKUP(Envoltória!N21,Componentes!T:AB,7,FALSE),89))</f>
        <v>0</v>
      </c>
      <c r="J13" s="414">
        <f>IF(B13=0,"",Componentes!$Q$10)</f>
        <v>2.06</v>
      </c>
      <c r="K13" s="414">
        <f>IF(B13=0,"",Componentes!$R$10)</f>
        <v>233</v>
      </c>
      <c r="L13" s="413">
        <f>IF(B13=0,"",IFERROR(IF(BB13&lt;&gt;0,Componentes!$L$11,0),""))</f>
        <v>0</v>
      </c>
      <c r="M13" s="413">
        <f>IF(B13=0,"",IFERROR(IF(BB13&lt;&gt;0,Componentes!$M$11,0),""))</f>
        <v>0</v>
      </c>
      <c r="N13" s="415">
        <f>IF(B13=0,"",IFERROR(IF(BB13&lt;&gt;0,Componentes!$N$11,0),""))</f>
        <v>0</v>
      </c>
      <c r="O13" s="413">
        <f>IF(B13=0,"",IF(BF13=1,Componentes!$C$11,-6))</f>
        <v>2.39</v>
      </c>
      <c r="P13" s="413">
        <f>IF(B13=0,"",IF(BF13=1,Componentes!$D$11,-400))</f>
        <v>150</v>
      </c>
      <c r="Q13" s="413">
        <f>IF(B13=0,"",IF(BF13=1,Componentes!$E$11,0))</f>
        <v>0.5</v>
      </c>
      <c r="R13" s="414">
        <f>IF(B13=0,"",Componentes!$H$11)</f>
        <v>2.39</v>
      </c>
      <c r="S13" s="414">
        <f>IF(B13=0,"",Componentes!$I$11)</f>
        <v>150</v>
      </c>
      <c r="T13" s="413">
        <f>IF(B13=0,"",IFERROR(IF(H13&lt;&gt;0,Componentes!$V$11,0),""))</f>
        <v>0</v>
      </c>
      <c r="U13" s="413">
        <f>IF(B13=0,"",IFERROR(IF(H13&lt;&gt;0,Componentes!$U$11,0),""))</f>
        <v>0</v>
      </c>
      <c r="V13" s="414">
        <f>IF(B13=0,"",IFERROR(IF(AA13&lt;&gt;0,VLOOKUP(Envoltória!U21,Componentes!X:Z,2,FALSE),0),0))</f>
        <v>0</v>
      </c>
      <c r="W13" s="414">
        <f>IF(B13=0,"",IFERROR(IF(AA13&lt;&gt;0,Componentes!$AE$11,0),0))</f>
        <v>0</v>
      </c>
      <c r="X13" s="413">
        <f>IF(B13=0,"",Envoltória!U21)</f>
        <v>0.1</v>
      </c>
      <c r="Y13" s="413">
        <f>IF(B13=0,"",VLOOKUP(Início!$C$20,Aux_Lista!A:H,8,FALSE))</f>
        <v>14.1</v>
      </c>
      <c r="Z13" s="413">
        <f>IF(B13=0,"",Envoltória!T21)</f>
        <v>15</v>
      </c>
      <c r="AA13" s="416">
        <f>IF(B13=0,"",Envoltória!Q21/100)</f>
        <v>0</v>
      </c>
      <c r="AB13" s="417">
        <f>INPUT!AB13</f>
        <v>-7.02</v>
      </c>
      <c r="AC13" s="417">
        <f>INPUT!AC13</f>
        <v>249</v>
      </c>
      <c r="AD13" s="417">
        <f>INPUT!AD13</f>
        <v>27.24</v>
      </c>
      <c r="AE13" s="417">
        <f>INPUT!AE13</f>
        <v>24.17</v>
      </c>
      <c r="AF13" s="417">
        <f>INPUT!AF13</f>
        <v>30.311666670000001</v>
      </c>
      <c r="AG13" s="417">
        <f>INPUT!AG13</f>
        <v>2.8624999999999998</v>
      </c>
      <c r="AH13" s="417">
        <f>INPUT!AH13</f>
        <v>1.8233333300000001</v>
      </c>
      <c r="AI13" s="417">
        <f>INPUT!AI13</f>
        <v>3.8433333300000001</v>
      </c>
      <c r="AJ13" s="417">
        <f>INPUT!AJ13</f>
        <v>6082.0829999999996</v>
      </c>
      <c r="AK13" s="417">
        <f>INPUT!AK13</f>
        <v>5588.8329999999996</v>
      </c>
      <c r="AL13" s="417">
        <f>INPUT!AL13</f>
        <v>6759.9380000000001</v>
      </c>
      <c r="AM13" s="417">
        <f>INPUT!AM13</f>
        <v>18.44083333</v>
      </c>
      <c r="AN13" s="417">
        <f>INPUT!AN13</f>
        <v>17.19166667</v>
      </c>
      <c r="AO13" s="417">
        <f>INPUT!AO13</f>
        <v>19.883333329999999</v>
      </c>
      <c r="AP13" s="413">
        <f>IF(B13=0,"",IF(BF13=0,90,VLOOKUP(Envoltória!N21,Componentes!T:AB,9,FALSE)))</f>
        <v>0</v>
      </c>
      <c r="AQ13" s="413">
        <f>IF(B13=0,"",IF(BF13=0,90,VLOOKUP(Envoltória!N21,Componentes!T:AB,8,FALSE)))</f>
        <v>0</v>
      </c>
      <c r="AR13" s="413">
        <f t="shared" si="1"/>
        <v>1</v>
      </c>
      <c r="AS13" s="413">
        <f t="shared" si="1"/>
        <v>0</v>
      </c>
      <c r="AT13" s="413">
        <f t="shared" si="1"/>
        <v>0</v>
      </c>
      <c r="AU13" s="413">
        <f t="shared" si="1"/>
        <v>0</v>
      </c>
      <c r="AV13" s="413">
        <f t="shared" si="1"/>
        <v>0</v>
      </c>
      <c r="AW13" s="414">
        <f>INPUT!AW13</f>
        <v>0</v>
      </c>
      <c r="AX13" s="414">
        <f>INPUT!AX13</f>
        <v>1</v>
      </c>
      <c r="AY13" s="414">
        <f>INPUT!AY13</f>
        <v>1</v>
      </c>
      <c r="AZ13" s="414">
        <f>INPUT!AZ13</f>
        <v>0</v>
      </c>
      <c r="BA13" s="414">
        <f>INPUT!BA13</f>
        <v>1</v>
      </c>
      <c r="BB13" s="414">
        <f>INPUT!BB13</f>
        <v>0</v>
      </c>
      <c r="BC13" s="414">
        <f>INPUT!BC13</f>
        <v>1</v>
      </c>
      <c r="BD13" s="414">
        <f>INPUT!BD13</f>
        <v>0</v>
      </c>
      <c r="BE13" s="412">
        <f t="shared" si="2"/>
        <v>0</v>
      </c>
      <c r="BF13" s="412">
        <f>IF(B13=0,"",IFERROR(VLOOKUP(Envoltória!F21,INPUT_REF!$BQ$18:$BR$19,2,FALSE),""))</f>
        <v>1</v>
      </c>
      <c r="BG13" s="412">
        <f>IFERROR(VLOOKUP(Envoltória!$G21,$BQ$35:$BZ$43,BG$9,FALSE),"")</f>
        <v>0</v>
      </c>
      <c r="BH13" s="412">
        <f>IFERROR(VLOOKUP(Envoltória!$G21,$BQ$35:$BZ$43,BH$9,FALSE),"")</f>
        <v>0</v>
      </c>
      <c r="BI13" s="412">
        <f>IFERROR(VLOOKUP(Envoltória!$G21,$BQ$35:$BZ$43,BI$9,FALSE),"")</f>
        <v>0</v>
      </c>
      <c r="BJ13" s="412">
        <f>IFERROR(VLOOKUP(Envoltória!$G21,$BQ$35:$BZ$43,BJ$9,FALSE),"")</f>
        <v>0</v>
      </c>
      <c r="BK13" s="412">
        <f>IFERROR(VLOOKUP(Envoltória!$G21,$BQ$35:$BZ$43,BK$9,FALSE),"")</f>
        <v>0</v>
      </c>
      <c r="BL13" s="412">
        <f>IFERROR(VLOOKUP(Envoltória!$G21,$BQ$35:$BZ$43,BL$9,FALSE),"")</f>
        <v>0</v>
      </c>
      <c r="BM13" s="412">
        <f>IFERROR(VLOOKUP(Envoltória!$G21,$BQ$35:$BZ$43,BM$9,FALSE),"")</f>
        <v>0</v>
      </c>
      <c r="BN13" s="412">
        <f>IFERROR(VLOOKUP(Envoltória!$G21,$BQ$35:$BZ$43,BN$9,FALSE),"")</f>
        <v>0</v>
      </c>
      <c r="BO13" s="412">
        <f>IFERROR(VLOOKUP(Envoltória!$G21,$BQ$35:$BZ$43,BO$9,FALSE),"")</f>
        <v>1</v>
      </c>
      <c r="BP13" s="418"/>
    </row>
    <row r="14" spans="1:68" s="15" customFormat="1" x14ac:dyDescent="0.25">
      <c r="A14" s="1">
        <v>4</v>
      </c>
      <c r="B14" s="409" t="str">
        <f>Envoltória!I22</f>
        <v>Escritórios</v>
      </c>
      <c r="C14" s="410" t="str">
        <f>Envoltória!B22</f>
        <v>Térreo (com + pvtos acima)</v>
      </c>
      <c r="D14" s="410" t="str">
        <f>Envoltória!C22</f>
        <v>ZP4</v>
      </c>
      <c r="E14" s="411">
        <f>Envoltória!D22</f>
        <v>5.12</v>
      </c>
      <c r="F14" s="412">
        <f>IF(B14=0,"",Envoltória!E22)</f>
        <v>3</v>
      </c>
      <c r="G14" s="429">
        <f t="shared" si="0"/>
        <v>5.637777777777778</v>
      </c>
      <c r="H14" s="413">
        <f>IF(B14=0,"",IF(Envoltória!O22=0,0,VLOOKUP(B14,Aux_Lista!A:M,13,FALSE)))</f>
        <v>0.5</v>
      </c>
      <c r="I14" s="413">
        <f>IF(B14=0,"",IF(BF14=1,VLOOKUP(Envoltória!N22,Componentes!T:AB,7,FALSE),89))</f>
        <v>0</v>
      </c>
      <c r="J14" s="414">
        <f>IF(B14=0,"",Componentes!$Q$10)</f>
        <v>2.06</v>
      </c>
      <c r="K14" s="414">
        <f>IF(B14=0,"",Componentes!$R$10)</f>
        <v>233</v>
      </c>
      <c r="L14" s="413">
        <f>IF(B14=0,"",IFERROR(IF(BB14&lt;&gt;0,Componentes!$L$11,0),""))</f>
        <v>0</v>
      </c>
      <c r="M14" s="413">
        <f>IF(B14=0,"",IFERROR(IF(BB14&lt;&gt;0,Componentes!$M$11,0),""))</f>
        <v>0</v>
      </c>
      <c r="N14" s="415">
        <f>IF(B14=0,"",IFERROR(IF(BB14&lt;&gt;0,Componentes!$N$11,0),""))</f>
        <v>0</v>
      </c>
      <c r="O14" s="413">
        <f>IF(B14=0,"",IF(BF14=1,Componentes!$C$11,-6))</f>
        <v>2.39</v>
      </c>
      <c r="P14" s="413">
        <f>IF(B14=0,"",IF(BF14=1,Componentes!$D$11,-400))</f>
        <v>150</v>
      </c>
      <c r="Q14" s="413">
        <f>IF(B14=0,"",IF(BF14=1,Componentes!$E$11,0))</f>
        <v>0.5</v>
      </c>
      <c r="R14" s="414">
        <f>IF(B14=0,"",Componentes!$H$11)</f>
        <v>2.39</v>
      </c>
      <c r="S14" s="414">
        <f>IF(B14=0,"",Componentes!$I$11)</f>
        <v>150</v>
      </c>
      <c r="T14" s="413">
        <f>IF(B14=0,"",IFERROR(IF(H14&lt;&gt;0,Componentes!$V$11,0),""))</f>
        <v>0.82</v>
      </c>
      <c r="U14" s="413">
        <f>IF(B14=0,"",IFERROR(IF(H14&lt;&gt;0,Componentes!$U$11,0),""))</f>
        <v>5.7</v>
      </c>
      <c r="V14" s="414">
        <f>IF(B14=0,"",IFERROR(IF(AA14&lt;&gt;0,VLOOKUP(Envoltória!U22,Componentes!X:Z,2,FALSE),0),0))</f>
        <v>0</v>
      </c>
      <c r="W14" s="414">
        <f>IF(B14=0,"",IFERROR(IF(AA14&lt;&gt;0,Componentes!$AE$11,0),0))</f>
        <v>0</v>
      </c>
      <c r="X14" s="413">
        <f>IF(B14=0,"",Envoltória!U22)</f>
        <v>0.1</v>
      </c>
      <c r="Y14" s="413">
        <f>IF(B14=0,"",VLOOKUP(Início!$C$20,Aux_Lista!A:H,8,FALSE))</f>
        <v>14.1</v>
      </c>
      <c r="Z14" s="413">
        <f>IF(B14=0,"",Envoltória!T22)</f>
        <v>15</v>
      </c>
      <c r="AA14" s="416">
        <f>IF(B14=0,"",Envoltória!Q22/100)</f>
        <v>0</v>
      </c>
      <c r="AB14" s="417">
        <f>INPUT!AB14</f>
        <v>-7.02</v>
      </c>
      <c r="AC14" s="417">
        <f>INPUT!AC14</f>
        <v>249</v>
      </c>
      <c r="AD14" s="417">
        <f>INPUT!AD14</f>
        <v>27.24</v>
      </c>
      <c r="AE14" s="417">
        <f>INPUT!AE14</f>
        <v>24.17</v>
      </c>
      <c r="AF14" s="417">
        <f>INPUT!AF14</f>
        <v>30.311666670000001</v>
      </c>
      <c r="AG14" s="417">
        <f>INPUT!AG14</f>
        <v>2.8624999999999998</v>
      </c>
      <c r="AH14" s="417">
        <f>INPUT!AH14</f>
        <v>1.8233333300000001</v>
      </c>
      <c r="AI14" s="417">
        <f>INPUT!AI14</f>
        <v>3.8433333300000001</v>
      </c>
      <c r="AJ14" s="417">
        <f>INPUT!AJ14</f>
        <v>6082.0829999999996</v>
      </c>
      <c r="AK14" s="417">
        <f>INPUT!AK14</f>
        <v>5588.8329999999996</v>
      </c>
      <c r="AL14" s="417">
        <f>INPUT!AL14</f>
        <v>6759.9380000000001</v>
      </c>
      <c r="AM14" s="417">
        <f>INPUT!AM14</f>
        <v>18.44083333</v>
      </c>
      <c r="AN14" s="417">
        <f>INPUT!AN14</f>
        <v>17.19166667</v>
      </c>
      <c r="AO14" s="417">
        <f>INPUT!AO14</f>
        <v>19.883333329999999</v>
      </c>
      <c r="AP14" s="413">
        <f>IF(B14=0,"",IF(BF14=0,90,VLOOKUP(Envoltória!N22,Componentes!T:AB,9,FALSE)))</f>
        <v>0</v>
      </c>
      <c r="AQ14" s="413">
        <f>IF(B14=0,"",IF(BF14=0,90,VLOOKUP(Envoltória!N22,Componentes!T:AB,8,FALSE)))</f>
        <v>0</v>
      </c>
      <c r="AR14" s="413">
        <f t="shared" si="1"/>
        <v>1</v>
      </c>
      <c r="AS14" s="413">
        <f t="shared" si="1"/>
        <v>0</v>
      </c>
      <c r="AT14" s="413">
        <f t="shared" si="1"/>
        <v>0</v>
      </c>
      <c r="AU14" s="413">
        <f t="shared" si="1"/>
        <v>0</v>
      </c>
      <c r="AV14" s="413">
        <f t="shared" si="1"/>
        <v>0</v>
      </c>
      <c r="AW14" s="414">
        <f>INPUT!AW14</f>
        <v>0</v>
      </c>
      <c r="AX14" s="414">
        <f>INPUT!AX14</f>
        <v>1</v>
      </c>
      <c r="AY14" s="414">
        <f>INPUT!AY14</f>
        <v>1</v>
      </c>
      <c r="AZ14" s="414">
        <f>INPUT!AZ14</f>
        <v>0</v>
      </c>
      <c r="BA14" s="414">
        <f>INPUT!BA14</f>
        <v>1</v>
      </c>
      <c r="BB14" s="414">
        <f>INPUT!BB14</f>
        <v>0</v>
      </c>
      <c r="BC14" s="414">
        <f>INPUT!BC14</f>
        <v>1</v>
      </c>
      <c r="BD14" s="414">
        <f>INPUT!BD14</f>
        <v>0</v>
      </c>
      <c r="BE14" s="412">
        <f t="shared" si="2"/>
        <v>0</v>
      </c>
      <c r="BF14" s="412">
        <f>IF(B14=0,"",IFERROR(VLOOKUP(Envoltória!F22,INPUT_REF!$BQ$18:$BR$19,2,FALSE),""))</f>
        <v>1</v>
      </c>
      <c r="BG14" s="412">
        <f>IFERROR(VLOOKUP(Envoltória!$G22,$BQ$35:$BZ$43,BG$9,FALSE),"")</f>
        <v>0</v>
      </c>
      <c r="BH14" s="412">
        <f>IFERROR(VLOOKUP(Envoltória!$G22,$BQ$35:$BZ$43,BH$9,FALSE),"")</f>
        <v>0</v>
      </c>
      <c r="BI14" s="412">
        <f>IFERROR(VLOOKUP(Envoltória!$G22,$BQ$35:$BZ$43,BI$9,FALSE),"")</f>
        <v>0</v>
      </c>
      <c r="BJ14" s="412">
        <f>IFERROR(VLOOKUP(Envoltória!$G22,$BQ$35:$BZ$43,BJ$9,FALSE),"")</f>
        <v>0</v>
      </c>
      <c r="BK14" s="412">
        <f>IFERROR(VLOOKUP(Envoltória!$G22,$BQ$35:$BZ$43,BK$9,FALSE),"")</f>
        <v>0</v>
      </c>
      <c r="BL14" s="412">
        <f>IFERROR(VLOOKUP(Envoltória!$G22,$BQ$35:$BZ$43,BL$9,FALSE),"")</f>
        <v>0</v>
      </c>
      <c r="BM14" s="412">
        <f>IFERROR(VLOOKUP(Envoltória!$G22,$BQ$35:$BZ$43,BM$9,FALSE),"")</f>
        <v>1</v>
      </c>
      <c r="BN14" s="412">
        <f>IFERROR(VLOOKUP(Envoltória!$G22,$BQ$35:$BZ$43,BN$9,FALSE),"")</f>
        <v>0</v>
      </c>
      <c r="BO14" s="412">
        <f>IFERROR(VLOOKUP(Envoltória!$G22,$BQ$35:$BZ$43,BO$9,FALSE),"")</f>
        <v>0</v>
      </c>
      <c r="BP14" s="418"/>
    </row>
    <row r="15" spans="1:68" s="15" customFormat="1" x14ac:dyDescent="0.25">
      <c r="A15" s="1">
        <v>5</v>
      </c>
      <c r="B15" s="409" t="str">
        <f>Envoltória!I23</f>
        <v>Escritórios</v>
      </c>
      <c r="C15" s="410" t="str">
        <f>Envoltória!B23</f>
        <v>Térreo (com + pvtos acima)</v>
      </c>
      <c r="D15" s="410" t="str">
        <f>Envoltória!C23</f>
        <v>ZP5</v>
      </c>
      <c r="E15" s="411">
        <f>Envoltória!D23</f>
        <v>38.5</v>
      </c>
      <c r="F15" s="412">
        <f>IF(B15=0,"",Envoltória!E23)</f>
        <v>3</v>
      </c>
      <c r="G15" s="429">
        <f t="shared" si="0"/>
        <v>13.055555555555555</v>
      </c>
      <c r="H15" s="413">
        <f>IF(B15=0,"",IF(Envoltória!O23=0,0,VLOOKUP(B15,Aux_Lista!A:M,13,FALSE)))</f>
        <v>0.5</v>
      </c>
      <c r="I15" s="413">
        <f>IF(B15=0,"",IF(BF15=1,VLOOKUP(Envoltória!N23,Componentes!T:AB,7,FALSE),89))</f>
        <v>0</v>
      </c>
      <c r="J15" s="414">
        <f>IF(B15=0,"",Componentes!$Q$10)</f>
        <v>2.06</v>
      </c>
      <c r="K15" s="414">
        <f>IF(B15=0,"",Componentes!$R$10)</f>
        <v>233</v>
      </c>
      <c r="L15" s="413">
        <f>IF(B15=0,"",IFERROR(IF(BB15&lt;&gt;0,Componentes!$L$11,0),""))</f>
        <v>0</v>
      </c>
      <c r="M15" s="413">
        <f>IF(B15=0,"",IFERROR(IF(BB15&lt;&gt;0,Componentes!$M$11,0),""))</f>
        <v>0</v>
      </c>
      <c r="N15" s="415">
        <f>IF(B15=0,"",IFERROR(IF(BB15&lt;&gt;0,Componentes!$N$11,0),""))</f>
        <v>0</v>
      </c>
      <c r="O15" s="413">
        <f>IF(B15=0,"",IF(BF15=1,Componentes!$C$11,-6))</f>
        <v>2.39</v>
      </c>
      <c r="P15" s="413">
        <f>IF(B15=0,"",IF(BF15=1,Componentes!$D$11,-400))</f>
        <v>150</v>
      </c>
      <c r="Q15" s="413">
        <f>IF(B15=0,"",IF(BF15=1,Componentes!$E$11,0))</f>
        <v>0.5</v>
      </c>
      <c r="R15" s="414">
        <f>IF(B15=0,"",Componentes!$H$11)</f>
        <v>2.39</v>
      </c>
      <c r="S15" s="414">
        <f>IF(B15=0,"",Componentes!$I$11)</f>
        <v>150</v>
      </c>
      <c r="T15" s="413">
        <f>IF(B15=0,"",IFERROR(IF(H15&lt;&gt;0,Componentes!$V$11,0),""))</f>
        <v>0.82</v>
      </c>
      <c r="U15" s="413">
        <f>IF(B15=0,"",IFERROR(IF(H15&lt;&gt;0,Componentes!$U$11,0),""))</f>
        <v>5.7</v>
      </c>
      <c r="V15" s="414">
        <f>IF(B15=0,"",IFERROR(IF(AA15&lt;&gt;0,VLOOKUP(Envoltória!U23,Componentes!X:Z,2,FALSE),0),0))</f>
        <v>0</v>
      </c>
      <c r="W15" s="414">
        <f>IF(B15=0,"",IFERROR(IF(AA15&lt;&gt;0,Componentes!$AE$11,0),0))</f>
        <v>0</v>
      </c>
      <c r="X15" s="413">
        <f>IF(B15=0,"",Envoltória!U23)</f>
        <v>0.1</v>
      </c>
      <c r="Y15" s="413">
        <f>IF(B15=0,"",VLOOKUP(Início!$C$20,Aux_Lista!A:H,8,FALSE))</f>
        <v>14.1</v>
      </c>
      <c r="Z15" s="413">
        <f>IF(B15=0,"",Envoltória!T23)</f>
        <v>15</v>
      </c>
      <c r="AA15" s="416">
        <f>IF(B15=0,"",Envoltória!Q23/100)</f>
        <v>0</v>
      </c>
      <c r="AB15" s="417">
        <f>INPUT!AB15</f>
        <v>-7.02</v>
      </c>
      <c r="AC15" s="417">
        <f>INPUT!AC15</f>
        <v>249</v>
      </c>
      <c r="AD15" s="417">
        <f>INPUT!AD15</f>
        <v>27.24</v>
      </c>
      <c r="AE15" s="417">
        <f>INPUT!AE15</f>
        <v>24.17</v>
      </c>
      <c r="AF15" s="417">
        <f>INPUT!AF15</f>
        <v>30.311666670000001</v>
      </c>
      <c r="AG15" s="417">
        <f>INPUT!AG15</f>
        <v>2.8624999999999998</v>
      </c>
      <c r="AH15" s="417">
        <f>INPUT!AH15</f>
        <v>1.8233333300000001</v>
      </c>
      <c r="AI15" s="417">
        <f>INPUT!AI15</f>
        <v>3.8433333300000001</v>
      </c>
      <c r="AJ15" s="417">
        <f>INPUT!AJ15</f>
        <v>6082.0829999999996</v>
      </c>
      <c r="AK15" s="417">
        <f>INPUT!AK15</f>
        <v>5588.8329999999996</v>
      </c>
      <c r="AL15" s="417">
        <f>INPUT!AL15</f>
        <v>6759.9380000000001</v>
      </c>
      <c r="AM15" s="417">
        <f>INPUT!AM15</f>
        <v>18.44083333</v>
      </c>
      <c r="AN15" s="417">
        <f>INPUT!AN15</f>
        <v>17.19166667</v>
      </c>
      <c r="AO15" s="417">
        <f>INPUT!AO15</f>
        <v>19.883333329999999</v>
      </c>
      <c r="AP15" s="413">
        <f>IF(B15=0,"",IF(BF15=0,90,VLOOKUP(Envoltória!N23,Componentes!T:AB,9,FALSE)))</f>
        <v>0</v>
      </c>
      <c r="AQ15" s="413">
        <f>IF(B15=0,"",IF(BF15=0,90,VLOOKUP(Envoltória!N23,Componentes!T:AB,8,FALSE)))</f>
        <v>0</v>
      </c>
      <c r="AR15" s="413">
        <f t="shared" si="1"/>
        <v>1</v>
      </c>
      <c r="AS15" s="413">
        <f t="shared" si="1"/>
        <v>0</v>
      </c>
      <c r="AT15" s="413">
        <f t="shared" si="1"/>
        <v>0</v>
      </c>
      <c r="AU15" s="413">
        <f t="shared" si="1"/>
        <v>0</v>
      </c>
      <c r="AV15" s="413">
        <f t="shared" si="1"/>
        <v>0</v>
      </c>
      <c r="AW15" s="414">
        <f>INPUT!AW15</f>
        <v>0</v>
      </c>
      <c r="AX15" s="414">
        <f>INPUT!AX15</f>
        <v>1</v>
      </c>
      <c r="AY15" s="414">
        <f>INPUT!AY15</f>
        <v>1</v>
      </c>
      <c r="AZ15" s="414">
        <f>INPUT!AZ15</f>
        <v>0</v>
      </c>
      <c r="BA15" s="414">
        <f>INPUT!BA15</f>
        <v>1</v>
      </c>
      <c r="BB15" s="414">
        <f>INPUT!BB15</f>
        <v>0</v>
      </c>
      <c r="BC15" s="414">
        <f>INPUT!BC15</f>
        <v>1</v>
      </c>
      <c r="BD15" s="414">
        <f>INPUT!BD15</f>
        <v>0</v>
      </c>
      <c r="BE15" s="412">
        <f t="shared" si="2"/>
        <v>0</v>
      </c>
      <c r="BF15" s="412">
        <f>IF(B15=0,"",IFERROR(VLOOKUP(Envoltória!F23,INPUT_REF!$BQ$18:$BR$19,2,FALSE),""))</f>
        <v>1</v>
      </c>
      <c r="BG15" s="412">
        <f>IFERROR(VLOOKUP(Envoltória!$G23,$BQ$35:$BZ$43,BG$9,FALSE),"")</f>
        <v>0</v>
      </c>
      <c r="BH15" s="412">
        <f>IFERROR(VLOOKUP(Envoltória!$G23,$BQ$35:$BZ$43,BH$9,FALSE),"")</f>
        <v>0</v>
      </c>
      <c r="BI15" s="412">
        <f>IFERROR(VLOOKUP(Envoltória!$G23,$BQ$35:$BZ$43,BI$9,FALSE),"")</f>
        <v>0</v>
      </c>
      <c r="BJ15" s="412">
        <f>IFERROR(VLOOKUP(Envoltória!$G23,$BQ$35:$BZ$43,BJ$9,FALSE),"")</f>
        <v>0</v>
      </c>
      <c r="BK15" s="412">
        <f>IFERROR(VLOOKUP(Envoltória!$G23,$BQ$35:$BZ$43,BK$9,FALSE),"")</f>
        <v>0</v>
      </c>
      <c r="BL15" s="412">
        <f>IFERROR(VLOOKUP(Envoltória!$G23,$BQ$35:$BZ$43,BL$9,FALSE),"")</f>
        <v>0</v>
      </c>
      <c r="BM15" s="412">
        <f>IFERROR(VLOOKUP(Envoltória!$G23,$BQ$35:$BZ$43,BM$9,FALSE),"")</f>
        <v>0</v>
      </c>
      <c r="BN15" s="412">
        <f>IFERROR(VLOOKUP(Envoltória!$G23,$BQ$35:$BZ$43,BN$9,FALSE),"")</f>
        <v>0</v>
      </c>
      <c r="BO15" s="412">
        <f>IFERROR(VLOOKUP(Envoltória!$G23,$BQ$35:$BZ$43,BO$9,FALSE),"")</f>
        <v>1</v>
      </c>
      <c r="BP15" s="418"/>
    </row>
    <row r="16" spans="1:68" s="15" customFormat="1" x14ac:dyDescent="0.25">
      <c r="A16" s="1">
        <v>6</v>
      </c>
      <c r="B16" s="409" t="str">
        <f>Envoltória!I24</f>
        <v>Escritórios</v>
      </c>
      <c r="C16" s="410" t="str">
        <f>Envoltória!B24</f>
        <v>Térreo (com + pvtos acima)</v>
      </c>
      <c r="D16" s="410" t="str">
        <f>Envoltória!C24</f>
        <v>ZP6</v>
      </c>
      <c r="E16" s="411">
        <f>Envoltória!D24</f>
        <v>1.1200000000000001</v>
      </c>
      <c r="F16" s="412">
        <f>IF(B16=0,"",Envoltória!E24)</f>
        <v>3</v>
      </c>
      <c r="G16" s="429">
        <f t="shared" si="0"/>
        <v>4.7488888888888887</v>
      </c>
      <c r="H16" s="413">
        <f>IF(B16=0,"",IF(Envoltória!O24=0,0,VLOOKUP(B16,Aux_Lista!A:M,13,FALSE)))</f>
        <v>0</v>
      </c>
      <c r="I16" s="413">
        <f>IF(B16=0,"",IF(BF16=1,VLOOKUP(Envoltória!N24,Componentes!T:AB,7,FALSE),89))</f>
        <v>0</v>
      </c>
      <c r="J16" s="414">
        <f>IF(B16=0,"",Componentes!$Q$10)</f>
        <v>2.06</v>
      </c>
      <c r="K16" s="414">
        <f>IF(B16=0,"",Componentes!$R$10)</f>
        <v>233</v>
      </c>
      <c r="L16" s="413">
        <f>IF(B16=0,"",IFERROR(IF(BB16&lt;&gt;0,Componentes!$L$11,0),""))</f>
        <v>0</v>
      </c>
      <c r="M16" s="413">
        <f>IF(B16=0,"",IFERROR(IF(BB16&lt;&gt;0,Componentes!$M$11,0),""))</f>
        <v>0</v>
      </c>
      <c r="N16" s="415">
        <f>IF(B16=0,"",IFERROR(IF(BB16&lt;&gt;0,Componentes!$N$11,0),""))</f>
        <v>0</v>
      </c>
      <c r="O16" s="413">
        <f>IF(B16=0,"",IF(BF16=1,Componentes!$C$11,-6))</f>
        <v>2.39</v>
      </c>
      <c r="P16" s="413">
        <f>IF(B16=0,"",IF(BF16=1,Componentes!$D$11,-400))</f>
        <v>150</v>
      </c>
      <c r="Q16" s="413">
        <f>IF(B16=0,"",IF(BF16=1,Componentes!$E$11,0))</f>
        <v>0.5</v>
      </c>
      <c r="R16" s="414">
        <f>IF(B16=0,"",Componentes!$H$11)</f>
        <v>2.39</v>
      </c>
      <c r="S16" s="414">
        <f>IF(B16=0,"",Componentes!$I$11)</f>
        <v>150</v>
      </c>
      <c r="T16" s="413">
        <f>IF(B16=0,"",IFERROR(IF(H16&lt;&gt;0,Componentes!$V$11,0),""))</f>
        <v>0</v>
      </c>
      <c r="U16" s="413">
        <f>IF(B16=0,"",IFERROR(IF(H16&lt;&gt;0,Componentes!$U$11,0),""))</f>
        <v>0</v>
      </c>
      <c r="V16" s="414">
        <f>IF(B16=0,"",IFERROR(IF(AA16&lt;&gt;0,VLOOKUP(Envoltória!U24,Componentes!X:Z,2,FALSE),0),0))</f>
        <v>0</v>
      </c>
      <c r="W16" s="414">
        <f>IF(B16=0,"",IFERROR(IF(AA16&lt;&gt;0,Componentes!$AE$11,0),0))</f>
        <v>0</v>
      </c>
      <c r="X16" s="413">
        <f>IF(B16=0,"",Envoltória!U24)</f>
        <v>0.1</v>
      </c>
      <c r="Y16" s="413">
        <f>IF(B16=0,"",VLOOKUP(Início!$C$20,Aux_Lista!A:H,8,FALSE))</f>
        <v>14.1</v>
      </c>
      <c r="Z16" s="413">
        <f>IF(B16=0,"",Envoltória!T24)</f>
        <v>15</v>
      </c>
      <c r="AA16" s="416">
        <f>IF(B16=0,"",Envoltória!Q24/100)</f>
        <v>0</v>
      </c>
      <c r="AB16" s="417">
        <f>INPUT!AB16</f>
        <v>-7.02</v>
      </c>
      <c r="AC16" s="417">
        <f>INPUT!AC16</f>
        <v>249</v>
      </c>
      <c r="AD16" s="417">
        <f>INPUT!AD16</f>
        <v>27.24</v>
      </c>
      <c r="AE16" s="417">
        <f>INPUT!AE16</f>
        <v>24.17</v>
      </c>
      <c r="AF16" s="417">
        <f>INPUT!AF16</f>
        <v>30.311666670000001</v>
      </c>
      <c r="AG16" s="417">
        <f>INPUT!AG16</f>
        <v>2.8624999999999998</v>
      </c>
      <c r="AH16" s="417">
        <f>INPUT!AH16</f>
        <v>1.8233333300000001</v>
      </c>
      <c r="AI16" s="417">
        <f>INPUT!AI16</f>
        <v>3.8433333300000001</v>
      </c>
      <c r="AJ16" s="417">
        <f>INPUT!AJ16</f>
        <v>6082.0829999999996</v>
      </c>
      <c r="AK16" s="417">
        <f>INPUT!AK16</f>
        <v>5588.8329999999996</v>
      </c>
      <c r="AL16" s="417">
        <f>INPUT!AL16</f>
        <v>6759.9380000000001</v>
      </c>
      <c r="AM16" s="417">
        <f>INPUT!AM16</f>
        <v>18.44083333</v>
      </c>
      <c r="AN16" s="417">
        <f>INPUT!AN16</f>
        <v>17.19166667</v>
      </c>
      <c r="AO16" s="417">
        <f>INPUT!AO16</f>
        <v>19.883333329999999</v>
      </c>
      <c r="AP16" s="413">
        <f>IF(B16=0,"",IF(BF16=0,90,VLOOKUP(Envoltória!N24,Componentes!T:AB,9,FALSE)))</f>
        <v>0</v>
      </c>
      <c r="AQ16" s="413">
        <f>IF(B16=0,"",IF(BF16=0,90,VLOOKUP(Envoltória!N24,Componentes!T:AB,8,FALSE)))</f>
        <v>0</v>
      </c>
      <c r="AR16" s="413">
        <f t="shared" si="1"/>
        <v>1</v>
      </c>
      <c r="AS16" s="413">
        <f t="shared" si="1"/>
        <v>0</v>
      </c>
      <c r="AT16" s="413">
        <f t="shared" si="1"/>
        <v>0</v>
      </c>
      <c r="AU16" s="413">
        <f t="shared" si="1"/>
        <v>0</v>
      </c>
      <c r="AV16" s="413">
        <f t="shared" si="1"/>
        <v>0</v>
      </c>
      <c r="AW16" s="414">
        <f>INPUT!AW16</f>
        <v>0</v>
      </c>
      <c r="AX16" s="414">
        <f>INPUT!AX16</f>
        <v>1</v>
      </c>
      <c r="AY16" s="414">
        <f>INPUT!AY16</f>
        <v>1</v>
      </c>
      <c r="AZ16" s="414">
        <f>INPUT!AZ16</f>
        <v>0</v>
      </c>
      <c r="BA16" s="414">
        <f>INPUT!BA16</f>
        <v>1</v>
      </c>
      <c r="BB16" s="414">
        <f>INPUT!BB16</f>
        <v>0</v>
      </c>
      <c r="BC16" s="414">
        <f>INPUT!BC16</f>
        <v>1</v>
      </c>
      <c r="BD16" s="414">
        <f>INPUT!BD16</f>
        <v>0</v>
      </c>
      <c r="BE16" s="412">
        <f t="shared" si="2"/>
        <v>0</v>
      </c>
      <c r="BF16" s="412">
        <f>IF(B16=0,"",IFERROR(VLOOKUP(Envoltória!F24,INPUT_REF!$BQ$18:$BR$19,2,FALSE),""))</f>
        <v>1</v>
      </c>
      <c r="BG16" s="412">
        <f>IFERROR(VLOOKUP(Envoltória!$G24,$BQ$35:$BZ$43,BG$9,FALSE),"")</f>
        <v>0</v>
      </c>
      <c r="BH16" s="412">
        <f>IFERROR(VLOOKUP(Envoltória!$G24,$BQ$35:$BZ$43,BH$9,FALSE),"")</f>
        <v>0</v>
      </c>
      <c r="BI16" s="412">
        <f>IFERROR(VLOOKUP(Envoltória!$G24,$BQ$35:$BZ$43,BI$9,FALSE),"")</f>
        <v>1</v>
      </c>
      <c r="BJ16" s="412">
        <f>IFERROR(VLOOKUP(Envoltória!$G24,$BQ$35:$BZ$43,BJ$9,FALSE),"")</f>
        <v>0</v>
      </c>
      <c r="BK16" s="412">
        <f>IFERROR(VLOOKUP(Envoltória!$G24,$BQ$35:$BZ$43,BK$9,FALSE),"")</f>
        <v>0</v>
      </c>
      <c r="BL16" s="412">
        <f>IFERROR(VLOOKUP(Envoltória!$G24,$BQ$35:$BZ$43,BL$9,FALSE),"")</f>
        <v>0</v>
      </c>
      <c r="BM16" s="412">
        <f>IFERROR(VLOOKUP(Envoltória!$G24,$BQ$35:$BZ$43,BM$9,FALSE),"")</f>
        <v>0</v>
      </c>
      <c r="BN16" s="412">
        <f>IFERROR(VLOOKUP(Envoltória!$G24,$BQ$35:$BZ$43,BN$9,FALSE),"")</f>
        <v>0</v>
      </c>
      <c r="BO16" s="412">
        <f>IFERROR(VLOOKUP(Envoltória!$G24,$BQ$35:$BZ$43,BO$9,FALSE),"")</f>
        <v>0</v>
      </c>
      <c r="BP16" s="1"/>
    </row>
    <row r="17" spans="1:75" s="15" customFormat="1" x14ac:dyDescent="0.25">
      <c r="A17" s="1">
        <v>7</v>
      </c>
      <c r="B17" s="409" t="str">
        <f>Envoltória!I25</f>
        <v>Escritórios</v>
      </c>
      <c r="C17" s="410" t="str">
        <f>Envoltória!B25</f>
        <v>Térreo (com + pvtos acima)</v>
      </c>
      <c r="D17" s="410" t="str">
        <f>Envoltória!C25</f>
        <v>ZP7</v>
      </c>
      <c r="E17" s="411">
        <f>Envoltória!D25</f>
        <v>1.27</v>
      </c>
      <c r="F17" s="412">
        <f>IF(B17=0,"",Envoltória!E25)</f>
        <v>3</v>
      </c>
      <c r="G17" s="429">
        <f t="shared" si="0"/>
        <v>4.7822222222222219</v>
      </c>
      <c r="H17" s="413">
        <f>IF(B17=0,"",IF(Envoltória!O25=0,0,VLOOKUP(B17,Aux_Lista!A:M,13,FALSE)))</f>
        <v>0</v>
      </c>
      <c r="I17" s="413">
        <f>IF(B17=0,"",IF(BF17=1,VLOOKUP(Envoltória!N25,Componentes!T:AB,7,FALSE),89))</f>
        <v>0</v>
      </c>
      <c r="J17" s="414">
        <f>IF(B17=0,"",Componentes!$Q$10)</f>
        <v>2.06</v>
      </c>
      <c r="K17" s="414">
        <f>IF(B17=0,"",Componentes!$R$10)</f>
        <v>233</v>
      </c>
      <c r="L17" s="413">
        <f>IF(B17=0,"",IFERROR(IF(BB17&lt;&gt;0,Componentes!$L$11,0),""))</f>
        <v>0</v>
      </c>
      <c r="M17" s="413">
        <f>IF(B17=0,"",IFERROR(IF(BB17&lt;&gt;0,Componentes!$M$11,0),""))</f>
        <v>0</v>
      </c>
      <c r="N17" s="415">
        <f>IF(B17=0,"",IFERROR(IF(BB17&lt;&gt;0,Componentes!$N$11,0),""))</f>
        <v>0</v>
      </c>
      <c r="O17" s="413">
        <f>IF(B17=0,"",IF(BF17=1,Componentes!$C$11,-6))</f>
        <v>2.39</v>
      </c>
      <c r="P17" s="413">
        <f>IF(B17=0,"",IF(BF17=1,Componentes!$D$11,-400))</f>
        <v>150</v>
      </c>
      <c r="Q17" s="413">
        <f>IF(B17=0,"",IF(BF17=1,Componentes!$E$11,0))</f>
        <v>0.5</v>
      </c>
      <c r="R17" s="414">
        <f>IF(B17=0,"",Componentes!$H$11)</f>
        <v>2.39</v>
      </c>
      <c r="S17" s="414">
        <f>IF(B17=0,"",Componentes!$I$11)</f>
        <v>150</v>
      </c>
      <c r="T17" s="413">
        <f>IF(B17=0,"",IFERROR(IF(H17&lt;&gt;0,Componentes!$V$11,0),""))</f>
        <v>0</v>
      </c>
      <c r="U17" s="413">
        <f>IF(B17=0,"",IFERROR(IF(H17&lt;&gt;0,Componentes!$U$11,0),""))</f>
        <v>0</v>
      </c>
      <c r="V17" s="414">
        <f>IF(B17=0,"",IFERROR(IF(AA17&lt;&gt;0,VLOOKUP(Envoltória!U25,Componentes!X:Z,2,FALSE),0),0))</f>
        <v>0</v>
      </c>
      <c r="W17" s="414">
        <f>IF(B17=0,"",IFERROR(IF(AA17&lt;&gt;0,Componentes!$AE$11,0),0))</f>
        <v>0</v>
      </c>
      <c r="X17" s="413">
        <f>IF(B17=0,"",Envoltória!U25)</f>
        <v>0.1</v>
      </c>
      <c r="Y17" s="413">
        <f>IF(B17=0,"",VLOOKUP(Início!$C$20,Aux_Lista!A:H,8,FALSE))</f>
        <v>14.1</v>
      </c>
      <c r="Z17" s="413">
        <f>IF(B17=0,"",Envoltória!T25)</f>
        <v>15</v>
      </c>
      <c r="AA17" s="416">
        <f>IF(B17=0,"",Envoltória!Q25/100)</f>
        <v>0</v>
      </c>
      <c r="AB17" s="417">
        <f>INPUT!AB17</f>
        <v>-7.02</v>
      </c>
      <c r="AC17" s="417">
        <f>INPUT!AC17</f>
        <v>249</v>
      </c>
      <c r="AD17" s="417">
        <f>INPUT!AD17</f>
        <v>27.24</v>
      </c>
      <c r="AE17" s="417">
        <f>INPUT!AE17</f>
        <v>24.17</v>
      </c>
      <c r="AF17" s="417">
        <f>INPUT!AF17</f>
        <v>30.311666670000001</v>
      </c>
      <c r="AG17" s="417">
        <f>INPUT!AG17</f>
        <v>2.8624999999999998</v>
      </c>
      <c r="AH17" s="417">
        <f>INPUT!AH17</f>
        <v>1.8233333300000001</v>
      </c>
      <c r="AI17" s="417">
        <f>INPUT!AI17</f>
        <v>3.8433333300000001</v>
      </c>
      <c r="AJ17" s="417">
        <f>INPUT!AJ17</f>
        <v>6082.0829999999996</v>
      </c>
      <c r="AK17" s="417">
        <f>INPUT!AK17</f>
        <v>5588.8329999999996</v>
      </c>
      <c r="AL17" s="417">
        <f>INPUT!AL17</f>
        <v>6759.9380000000001</v>
      </c>
      <c r="AM17" s="417">
        <f>INPUT!AM17</f>
        <v>18.44083333</v>
      </c>
      <c r="AN17" s="417">
        <f>INPUT!AN17</f>
        <v>17.19166667</v>
      </c>
      <c r="AO17" s="417">
        <f>INPUT!AO17</f>
        <v>19.883333329999999</v>
      </c>
      <c r="AP17" s="413">
        <f>IF(B17=0,"",IF(BF17=0,90,VLOOKUP(Envoltória!N25,Componentes!T:AB,9,FALSE)))</f>
        <v>0</v>
      </c>
      <c r="AQ17" s="413">
        <f>IF(B17=0,"",IF(BF17=0,90,VLOOKUP(Envoltória!N25,Componentes!T:AB,8,FALSE)))</f>
        <v>0</v>
      </c>
      <c r="AR17" s="413">
        <f t="shared" si="1"/>
        <v>1</v>
      </c>
      <c r="AS17" s="413">
        <f t="shared" si="1"/>
        <v>0</v>
      </c>
      <c r="AT17" s="413">
        <f t="shared" si="1"/>
        <v>0</v>
      </c>
      <c r="AU17" s="413">
        <f t="shared" si="1"/>
        <v>0</v>
      </c>
      <c r="AV17" s="413">
        <f t="shared" si="1"/>
        <v>0</v>
      </c>
      <c r="AW17" s="414">
        <f>INPUT!AW17</f>
        <v>0</v>
      </c>
      <c r="AX17" s="414">
        <f>INPUT!AX17</f>
        <v>1</v>
      </c>
      <c r="AY17" s="414">
        <f>INPUT!AY17</f>
        <v>1</v>
      </c>
      <c r="AZ17" s="414">
        <f>INPUT!AZ17</f>
        <v>0</v>
      </c>
      <c r="BA17" s="414">
        <f>INPUT!BA17</f>
        <v>1</v>
      </c>
      <c r="BB17" s="414">
        <f>INPUT!BB17</f>
        <v>0</v>
      </c>
      <c r="BC17" s="414">
        <f>INPUT!BC17</f>
        <v>1</v>
      </c>
      <c r="BD17" s="414">
        <f>INPUT!BD17</f>
        <v>0</v>
      </c>
      <c r="BE17" s="412">
        <f t="shared" si="2"/>
        <v>0</v>
      </c>
      <c r="BF17" s="412">
        <f>IF(B17=0,"",IFERROR(VLOOKUP(Envoltória!F25,INPUT_REF!$BQ$18:$BR$19,2,FALSE),""))</f>
        <v>1</v>
      </c>
      <c r="BG17" s="412">
        <f>IFERROR(VLOOKUP(Envoltória!$G25,$BQ$35:$BZ$43,BG$9,FALSE),"")</f>
        <v>0</v>
      </c>
      <c r="BH17" s="412">
        <f>IFERROR(VLOOKUP(Envoltória!$G25,$BQ$35:$BZ$43,BH$9,FALSE),"")</f>
        <v>0</v>
      </c>
      <c r="BI17" s="412">
        <f>IFERROR(VLOOKUP(Envoltória!$G25,$BQ$35:$BZ$43,BI$9,FALSE),"")</f>
        <v>0</v>
      </c>
      <c r="BJ17" s="412">
        <f>IFERROR(VLOOKUP(Envoltória!$G25,$BQ$35:$BZ$43,BJ$9,FALSE),"")</f>
        <v>0</v>
      </c>
      <c r="BK17" s="412">
        <f>IFERROR(VLOOKUP(Envoltória!$G25,$BQ$35:$BZ$43,BK$9,FALSE),"")</f>
        <v>0</v>
      </c>
      <c r="BL17" s="412">
        <f>IFERROR(VLOOKUP(Envoltória!$G25,$BQ$35:$BZ$43,BL$9,FALSE),"")</f>
        <v>0</v>
      </c>
      <c r="BM17" s="412">
        <f>IFERROR(VLOOKUP(Envoltória!$G25,$BQ$35:$BZ$43,BM$9,FALSE),"")</f>
        <v>0</v>
      </c>
      <c r="BN17" s="412">
        <f>IFERROR(VLOOKUP(Envoltória!$G25,$BQ$35:$BZ$43,BN$9,FALSE),"")</f>
        <v>0</v>
      </c>
      <c r="BO17" s="412">
        <f>IFERROR(VLOOKUP(Envoltória!$G25,$BQ$35:$BZ$43,BO$9,FALSE),"")</f>
        <v>1</v>
      </c>
      <c r="BP17" s="1"/>
    </row>
    <row r="18" spans="1:75" s="15" customFormat="1" x14ac:dyDescent="0.25">
      <c r="A18" s="1">
        <v>8</v>
      </c>
      <c r="B18" s="409" t="str">
        <f>Envoltória!I26</f>
        <v>Escritórios</v>
      </c>
      <c r="C18" s="410" t="str">
        <f>Envoltória!B26</f>
        <v>Térreo (com + pvtos acima)</v>
      </c>
      <c r="D18" s="410" t="str">
        <f>Envoltória!C26</f>
        <v>ZP8</v>
      </c>
      <c r="E18" s="411">
        <f>Envoltória!D26</f>
        <v>45.85</v>
      </c>
      <c r="F18" s="412">
        <f>IF(B18=0,"",Envoltória!E26)</f>
        <v>3</v>
      </c>
      <c r="G18" s="429">
        <f t="shared" si="0"/>
        <v>14.688888888888888</v>
      </c>
      <c r="H18" s="413">
        <f>IF(B18=0,"",IF(Envoltória!O26=0,0,VLOOKUP(B18,Aux_Lista!A:M,13,FALSE)))</f>
        <v>0</v>
      </c>
      <c r="I18" s="413">
        <f>IF(B18=0,"",IF(BF18=1,VLOOKUP(Envoltória!N26,Componentes!T:AB,7,FALSE),89))</f>
        <v>0</v>
      </c>
      <c r="J18" s="414">
        <f>IF(B18=0,"",Componentes!$Q$10)</f>
        <v>2.06</v>
      </c>
      <c r="K18" s="414">
        <f>IF(B18=0,"",Componentes!$R$10)</f>
        <v>233</v>
      </c>
      <c r="L18" s="413">
        <f>IF(B18=0,"",IFERROR(IF(BB18&lt;&gt;0,Componentes!$L$11,0),""))</f>
        <v>0</v>
      </c>
      <c r="M18" s="413">
        <f>IF(B18=0,"",IFERROR(IF(BB18&lt;&gt;0,Componentes!$M$11,0),""))</f>
        <v>0</v>
      </c>
      <c r="N18" s="415">
        <f>IF(B18=0,"",IFERROR(IF(BB18&lt;&gt;0,Componentes!$N$11,0),""))</f>
        <v>0</v>
      </c>
      <c r="O18" s="413">
        <f>IF(B18=0,"",IF(BF18=1,Componentes!$C$11,-6))</f>
        <v>2.39</v>
      </c>
      <c r="P18" s="413">
        <f>IF(B18=0,"",IF(BF18=1,Componentes!$D$11,-400))</f>
        <v>150</v>
      </c>
      <c r="Q18" s="413">
        <f>IF(B18=0,"",IF(BF18=1,Componentes!$E$11,0))</f>
        <v>0.5</v>
      </c>
      <c r="R18" s="414">
        <f>IF(B18=0,"",Componentes!$H$11)</f>
        <v>2.39</v>
      </c>
      <c r="S18" s="414">
        <f>IF(B18=0,"",Componentes!$I$11)</f>
        <v>150</v>
      </c>
      <c r="T18" s="413">
        <f>IF(B18=0,"",IFERROR(IF(H18&lt;&gt;0,Componentes!$V$11,0),""))</f>
        <v>0</v>
      </c>
      <c r="U18" s="413">
        <f>IF(B18=0,"",IFERROR(IF(H18&lt;&gt;0,Componentes!$U$11,0),""))</f>
        <v>0</v>
      </c>
      <c r="V18" s="414">
        <f>IF(B18=0,"",IFERROR(IF(AA18&lt;&gt;0,VLOOKUP(Envoltória!U26,Componentes!X:Z,2,FALSE),0),0))</f>
        <v>0</v>
      </c>
      <c r="W18" s="414">
        <f>IF(B18=0,"",IFERROR(IF(AA18&lt;&gt;0,Componentes!$AE$11,0),0))</f>
        <v>0</v>
      </c>
      <c r="X18" s="413">
        <f>IF(B18=0,"",Envoltória!U26)</f>
        <v>0.1</v>
      </c>
      <c r="Y18" s="413">
        <f>IF(B18=0,"",VLOOKUP(Início!$C$20,Aux_Lista!A:H,8,FALSE))</f>
        <v>14.1</v>
      </c>
      <c r="Z18" s="413">
        <f>IF(B18=0,"",Envoltória!T26)</f>
        <v>15</v>
      </c>
      <c r="AA18" s="416">
        <f>IF(B18=0,"",Envoltória!Q26/100)</f>
        <v>0</v>
      </c>
      <c r="AB18" s="417">
        <f>INPUT!AB18</f>
        <v>-7.02</v>
      </c>
      <c r="AC18" s="417">
        <f>INPUT!AC18</f>
        <v>249</v>
      </c>
      <c r="AD18" s="417">
        <f>INPUT!AD18</f>
        <v>27.24</v>
      </c>
      <c r="AE18" s="417">
        <f>INPUT!AE18</f>
        <v>24.17</v>
      </c>
      <c r="AF18" s="417">
        <f>INPUT!AF18</f>
        <v>30.311666670000001</v>
      </c>
      <c r="AG18" s="417">
        <f>INPUT!AG18</f>
        <v>2.8624999999999998</v>
      </c>
      <c r="AH18" s="417">
        <f>INPUT!AH18</f>
        <v>1.8233333300000001</v>
      </c>
      <c r="AI18" s="417">
        <f>INPUT!AI18</f>
        <v>3.8433333300000001</v>
      </c>
      <c r="AJ18" s="417">
        <f>INPUT!AJ18</f>
        <v>6082.0829999999996</v>
      </c>
      <c r="AK18" s="417">
        <f>INPUT!AK18</f>
        <v>5588.8329999999996</v>
      </c>
      <c r="AL18" s="417">
        <f>INPUT!AL18</f>
        <v>6759.9380000000001</v>
      </c>
      <c r="AM18" s="417">
        <f>INPUT!AM18</f>
        <v>18.44083333</v>
      </c>
      <c r="AN18" s="417">
        <f>INPUT!AN18</f>
        <v>17.19166667</v>
      </c>
      <c r="AO18" s="417">
        <f>INPUT!AO18</f>
        <v>19.883333329999999</v>
      </c>
      <c r="AP18" s="413">
        <f>IF(B18=0,"",IF(BF18=0,90,VLOOKUP(Envoltória!N26,Componentes!T:AB,9,FALSE)))</f>
        <v>0</v>
      </c>
      <c r="AQ18" s="413">
        <f>IF(B18=0,"",IF(BF18=0,90,VLOOKUP(Envoltória!N26,Componentes!T:AB,8,FALSE)))</f>
        <v>0</v>
      </c>
      <c r="AR18" s="413">
        <f t="shared" si="1"/>
        <v>1</v>
      </c>
      <c r="AS18" s="413">
        <f t="shared" si="1"/>
        <v>0</v>
      </c>
      <c r="AT18" s="413">
        <f t="shared" si="1"/>
        <v>0</v>
      </c>
      <c r="AU18" s="413">
        <f t="shared" si="1"/>
        <v>0</v>
      </c>
      <c r="AV18" s="413">
        <f t="shared" si="1"/>
        <v>0</v>
      </c>
      <c r="AW18" s="414">
        <f>INPUT!AW18</f>
        <v>0</v>
      </c>
      <c r="AX18" s="414">
        <f>INPUT!AX18</f>
        <v>1</v>
      </c>
      <c r="AY18" s="414">
        <f>INPUT!AY18</f>
        <v>1</v>
      </c>
      <c r="AZ18" s="414">
        <f>INPUT!AZ18</f>
        <v>0</v>
      </c>
      <c r="BA18" s="414">
        <f>INPUT!BA18</f>
        <v>1</v>
      </c>
      <c r="BB18" s="414">
        <f>INPUT!BB18</f>
        <v>0</v>
      </c>
      <c r="BC18" s="414">
        <f>INPUT!BC18</f>
        <v>1</v>
      </c>
      <c r="BD18" s="414">
        <f>INPUT!BD18</f>
        <v>0</v>
      </c>
      <c r="BE18" s="412">
        <f t="shared" si="2"/>
        <v>0</v>
      </c>
      <c r="BF18" s="412">
        <f>IF(B18=0,"",IFERROR(VLOOKUP(Envoltória!F26,INPUT_REF!$BQ$18:$BR$19,2,FALSE),""))</f>
        <v>1</v>
      </c>
      <c r="BG18" s="412">
        <f>IFERROR(VLOOKUP(Envoltória!$G26,$BQ$35:$BZ$43,BG$9,FALSE),"")</f>
        <v>0</v>
      </c>
      <c r="BH18" s="412">
        <f>IFERROR(VLOOKUP(Envoltória!$G26,$BQ$35:$BZ$43,BH$9,FALSE),"")</f>
        <v>0</v>
      </c>
      <c r="BI18" s="412">
        <f>IFERROR(VLOOKUP(Envoltória!$G26,$BQ$35:$BZ$43,BI$9,FALSE),"")</f>
        <v>0</v>
      </c>
      <c r="BJ18" s="412">
        <f>IFERROR(VLOOKUP(Envoltória!$G26,$BQ$35:$BZ$43,BJ$9,FALSE),"")</f>
        <v>0</v>
      </c>
      <c r="BK18" s="412">
        <f>IFERROR(VLOOKUP(Envoltória!$G26,$BQ$35:$BZ$43,BK$9,FALSE),"")</f>
        <v>0</v>
      </c>
      <c r="BL18" s="412">
        <f>IFERROR(VLOOKUP(Envoltória!$G26,$BQ$35:$BZ$43,BL$9,FALSE),"")</f>
        <v>0</v>
      </c>
      <c r="BM18" s="412">
        <f>IFERROR(VLOOKUP(Envoltória!$G26,$BQ$35:$BZ$43,BM$9,FALSE),"")</f>
        <v>0</v>
      </c>
      <c r="BN18" s="412">
        <f>IFERROR(VLOOKUP(Envoltória!$G26,$BQ$35:$BZ$43,BN$9,FALSE),"")</f>
        <v>0</v>
      </c>
      <c r="BO18" s="412">
        <f>IFERROR(VLOOKUP(Envoltória!$G26,$BQ$35:$BZ$43,BO$9,FALSE),"")</f>
        <v>1</v>
      </c>
      <c r="BP18" s="1"/>
      <c r="BQ18" s="419" t="s">
        <v>67</v>
      </c>
      <c r="BR18" s="419">
        <v>1</v>
      </c>
    </row>
    <row r="19" spans="1:75" s="15" customFormat="1" x14ac:dyDescent="0.25">
      <c r="A19" s="1">
        <v>9</v>
      </c>
      <c r="B19" s="409" t="str">
        <f>Envoltória!I27</f>
        <v>Escritórios</v>
      </c>
      <c r="C19" s="410" t="str">
        <f>Envoltória!B27</f>
        <v>Térreo (com + pvtos acima)</v>
      </c>
      <c r="D19" s="410" t="str">
        <f>Envoltória!C27</f>
        <v>ZP9</v>
      </c>
      <c r="E19" s="411">
        <f>Envoltória!D27</f>
        <v>21.85</v>
      </c>
      <c r="F19" s="412">
        <f>IF(B19=0,"",Envoltória!E27)</f>
        <v>3</v>
      </c>
      <c r="G19" s="429">
        <f t="shared" si="0"/>
        <v>9.3555555555555543</v>
      </c>
      <c r="H19" s="413">
        <f>IF(B19=0,"",IF(Envoltória!O27=0,0,VLOOKUP(B19,Aux_Lista!A:M,13,FALSE)))</f>
        <v>0</v>
      </c>
      <c r="I19" s="413">
        <f>IF(B19=0,"",IF(BF19=1,VLOOKUP(Envoltória!N27,Componentes!T:AB,7,FALSE),89))</f>
        <v>0</v>
      </c>
      <c r="J19" s="414">
        <f>IF(B19=0,"",Componentes!$Q$10)</f>
        <v>2.06</v>
      </c>
      <c r="K19" s="414">
        <f>IF(B19=0,"",Componentes!$R$10)</f>
        <v>233</v>
      </c>
      <c r="L19" s="413">
        <f>IF(B19=0,"",IFERROR(IF(BB19&lt;&gt;0,Componentes!$L$11,0),""))</f>
        <v>0</v>
      </c>
      <c r="M19" s="413">
        <f>IF(B19=0,"",IFERROR(IF(BB19&lt;&gt;0,Componentes!$M$11,0),""))</f>
        <v>0</v>
      </c>
      <c r="N19" s="415">
        <f>IF(B19=0,"",IFERROR(IF(BB19&lt;&gt;0,Componentes!$N$11,0),""))</f>
        <v>0</v>
      </c>
      <c r="O19" s="413">
        <f>IF(B19=0,"",IF(BF19=1,Componentes!$C$11,-6))</f>
        <v>2.39</v>
      </c>
      <c r="P19" s="413">
        <f>IF(B19=0,"",IF(BF19=1,Componentes!$D$11,-400))</f>
        <v>150</v>
      </c>
      <c r="Q19" s="413">
        <f>IF(B19=0,"",IF(BF19=1,Componentes!$E$11,0))</f>
        <v>0.5</v>
      </c>
      <c r="R19" s="414">
        <f>IF(B19=0,"",Componentes!$H$11)</f>
        <v>2.39</v>
      </c>
      <c r="S19" s="414">
        <f>IF(B19=0,"",Componentes!$I$11)</f>
        <v>150</v>
      </c>
      <c r="T19" s="413">
        <f>IF(B19=0,"",IFERROR(IF(H19&lt;&gt;0,Componentes!$V$11,0),""))</f>
        <v>0</v>
      </c>
      <c r="U19" s="413">
        <f>IF(B19=0,"",IFERROR(IF(H19&lt;&gt;0,Componentes!$U$11,0),""))</f>
        <v>0</v>
      </c>
      <c r="V19" s="414">
        <f>IF(B19=0,"",IFERROR(IF(AA19&lt;&gt;0,VLOOKUP(Envoltória!U27,Componentes!X:Z,2,FALSE),0),0))</f>
        <v>0</v>
      </c>
      <c r="W19" s="414">
        <f>IF(B19=0,"",IFERROR(IF(AA19&lt;&gt;0,Componentes!$AE$11,0),0))</f>
        <v>0</v>
      </c>
      <c r="X19" s="413">
        <f>IF(B19=0,"",Envoltória!U27)</f>
        <v>0.1</v>
      </c>
      <c r="Y19" s="413">
        <f>IF(B19=0,"",VLOOKUP(Início!$C$20,Aux_Lista!A:H,8,FALSE))</f>
        <v>14.1</v>
      </c>
      <c r="Z19" s="413">
        <f>IF(B19=0,"",Envoltória!T27)</f>
        <v>15</v>
      </c>
      <c r="AA19" s="416">
        <f>IF(B19=0,"",Envoltória!Q27/100)</f>
        <v>0</v>
      </c>
      <c r="AB19" s="417">
        <f>INPUT!AB19</f>
        <v>-7.02</v>
      </c>
      <c r="AC19" s="417">
        <f>INPUT!AC19</f>
        <v>249</v>
      </c>
      <c r="AD19" s="417">
        <f>INPUT!AD19</f>
        <v>27.24</v>
      </c>
      <c r="AE19" s="417">
        <f>INPUT!AE19</f>
        <v>24.17</v>
      </c>
      <c r="AF19" s="417">
        <f>INPUT!AF19</f>
        <v>30.311666670000001</v>
      </c>
      <c r="AG19" s="417">
        <f>INPUT!AG19</f>
        <v>2.8624999999999998</v>
      </c>
      <c r="AH19" s="417">
        <f>INPUT!AH19</f>
        <v>1.8233333300000001</v>
      </c>
      <c r="AI19" s="417">
        <f>INPUT!AI19</f>
        <v>3.8433333300000001</v>
      </c>
      <c r="AJ19" s="417">
        <f>INPUT!AJ19</f>
        <v>6082.0829999999996</v>
      </c>
      <c r="AK19" s="417">
        <f>INPUT!AK19</f>
        <v>5588.8329999999996</v>
      </c>
      <c r="AL19" s="417">
        <f>INPUT!AL19</f>
        <v>6759.9380000000001</v>
      </c>
      <c r="AM19" s="417">
        <f>INPUT!AM19</f>
        <v>18.44083333</v>
      </c>
      <c r="AN19" s="417">
        <f>INPUT!AN19</f>
        <v>17.19166667</v>
      </c>
      <c r="AO19" s="417">
        <f>INPUT!AO19</f>
        <v>19.883333329999999</v>
      </c>
      <c r="AP19" s="413">
        <f>IF(B19=0,"",IF(BF19=0,90,VLOOKUP(Envoltória!N27,Componentes!T:AB,9,FALSE)))</f>
        <v>0</v>
      </c>
      <c r="AQ19" s="413">
        <f>IF(B19=0,"",IF(BF19=0,90,VLOOKUP(Envoltória!N27,Componentes!T:AB,8,FALSE)))</f>
        <v>0</v>
      </c>
      <c r="AR19" s="413">
        <f t="shared" si="1"/>
        <v>1</v>
      </c>
      <c r="AS19" s="413">
        <f t="shared" si="1"/>
        <v>0</v>
      </c>
      <c r="AT19" s="413">
        <f t="shared" si="1"/>
        <v>0</v>
      </c>
      <c r="AU19" s="413">
        <f t="shared" si="1"/>
        <v>0</v>
      </c>
      <c r="AV19" s="413">
        <f t="shared" si="1"/>
        <v>0</v>
      </c>
      <c r="AW19" s="414">
        <f>INPUT!AW19</f>
        <v>0</v>
      </c>
      <c r="AX19" s="414">
        <f>INPUT!AX19</f>
        <v>1</v>
      </c>
      <c r="AY19" s="414">
        <f>INPUT!AY19</f>
        <v>1</v>
      </c>
      <c r="AZ19" s="414">
        <f>INPUT!AZ19</f>
        <v>0</v>
      </c>
      <c r="BA19" s="414">
        <f>INPUT!BA19</f>
        <v>1</v>
      </c>
      <c r="BB19" s="414">
        <f>INPUT!BB19</f>
        <v>0</v>
      </c>
      <c r="BC19" s="414">
        <f>INPUT!BC19</f>
        <v>1</v>
      </c>
      <c r="BD19" s="414">
        <f>INPUT!BD19</f>
        <v>0</v>
      </c>
      <c r="BE19" s="412">
        <f t="shared" si="2"/>
        <v>0</v>
      </c>
      <c r="BF19" s="412">
        <f>IF(B19=0,"",IFERROR(VLOOKUP(Envoltória!F27,INPUT_REF!$BQ$18:$BR$19,2,FALSE),""))</f>
        <v>1</v>
      </c>
      <c r="BG19" s="412">
        <f>IFERROR(VLOOKUP(Envoltória!$G27,$BQ$35:$BZ$43,BG$9,FALSE),"")</f>
        <v>0</v>
      </c>
      <c r="BH19" s="412">
        <f>IFERROR(VLOOKUP(Envoltória!$G27,$BQ$35:$BZ$43,BH$9,FALSE),"")</f>
        <v>0</v>
      </c>
      <c r="BI19" s="412">
        <f>IFERROR(VLOOKUP(Envoltória!$G27,$BQ$35:$BZ$43,BI$9,FALSE),"")</f>
        <v>0</v>
      </c>
      <c r="BJ19" s="412">
        <f>IFERROR(VLOOKUP(Envoltória!$G27,$BQ$35:$BZ$43,BJ$9,FALSE),"")</f>
        <v>0</v>
      </c>
      <c r="BK19" s="412">
        <f>IFERROR(VLOOKUP(Envoltória!$G27,$BQ$35:$BZ$43,BK$9,FALSE),"")</f>
        <v>0</v>
      </c>
      <c r="BL19" s="412">
        <f>IFERROR(VLOOKUP(Envoltória!$G27,$BQ$35:$BZ$43,BL$9,FALSE),"")</f>
        <v>0</v>
      </c>
      <c r="BM19" s="412">
        <f>IFERROR(VLOOKUP(Envoltória!$G27,$BQ$35:$BZ$43,BM$9,FALSE),"")</f>
        <v>1</v>
      </c>
      <c r="BN19" s="412">
        <f>IFERROR(VLOOKUP(Envoltória!$G27,$BQ$35:$BZ$43,BN$9,FALSE),"")</f>
        <v>0</v>
      </c>
      <c r="BO19" s="412">
        <f>IFERROR(VLOOKUP(Envoltória!$G27,$BQ$35:$BZ$43,BO$9,FALSE),"")</f>
        <v>0</v>
      </c>
      <c r="BP19" s="1"/>
      <c r="BQ19" s="419" t="s">
        <v>75</v>
      </c>
      <c r="BR19" s="419">
        <v>0</v>
      </c>
    </row>
    <row r="20" spans="1:75" s="15" customFormat="1" x14ac:dyDescent="0.25">
      <c r="A20" s="1">
        <v>10</v>
      </c>
      <c r="B20" s="409" t="str">
        <f>Envoltória!I28</f>
        <v>Escritórios</v>
      </c>
      <c r="C20" s="410" t="str">
        <f>Envoltória!B28</f>
        <v>Térreo (com + pvtos acima)</v>
      </c>
      <c r="D20" s="410" t="str">
        <f>Envoltória!C28</f>
        <v>ZP10</v>
      </c>
      <c r="E20" s="411">
        <f>Envoltória!D28</f>
        <v>16.649999999999999</v>
      </c>
      <c r="F20" s="412">
        <f>IF(B20=0,"",Envoltória!E28)</f>
        <v>3</v>
      </c>
      <c r="G20" s="429">
        <f t="shared" si="0"/>
        <v>8.1999999999999993</v>
      </c>
      <c r="H20" s="413">
        <f>IF(B20=0,"",IF(Envoltória!O28=0,0,VLOOKUP(B20,Aux_Lista!A:M,13,FALSE)))</f>
        <v>0.5</v>
      </c>
      <c r="I20" s="413">
        <f>IF(B20=0,"",IF(BF20=1,VLOOKUP(Envoltória!N28,Componentes!T:AB,7,FALSE),89))</f>
        <v>0</v>
      </c>
      <c r="J20" s="414">
        <f>IF(B20=0,"",Componentes!$Q$10)</f>
        <v>2.06</v>
      </c>
      <c r="K20" s="414">
        <f>IF(B20=0,"",Componentes!$R$10)</f>
        <v>233</v>
      </c>
      <c r="L20" s="413">
        <f>IF(B20=0,"",IFERROR(IF(BB20&lt;&gt;0,Componentes!$L$11,0),""))</f>
        <v>0</v>
      </c>
      <c r="M20" s="413">
        <f>IF(B20=0,"",IFERROR(IF(BB20&lt;&gt;0,Componentes!$M$11,0),""))</f>
        <v>0</v>
      </c>
      <c r="N20" s="415">
        <f>IF(B20=0,"",IFERROR(IF(BB20&lt;&gt;0,Componentes!$N$11,0),""))</f>
        <v>0</v>
      </c>
      <c r="O20" s="413">
        <f>IF(B20=0,"",IF(BF20=1,Componentes!$C$11,-6))</f>
        <v>2.39</v>
      </c>
      <c r="P20" s="413">
        <f>IF(B20=0,"",IF(BF20=1,Componentes!$D$11,-400))</f>
        <v>150</v>
      </c>
      <c r="Q20" s="413">
        <f>IF(B20=0,"",IF(BF20=1,Componentes!$E$11,0))</f>
        <v>0.5</v>
      </c>
      <c r="R20" s="414">
        <f>IF(B20=0,"",Componentes!$H$11)</f>
        <v>2.39</v>
      </c>
      <c r="S20" s="414">
        <f>IF(B20=0,"",Componentes!$I$11)</f>
        <v>150</v>
      </c>
      <c r="T20" s="413">
        <f>IF(B20=0,"",IFERROR(IF(H20&lt;&gt;0,Componentes!$V$11,0),""))</f>
        <v>0.82</v>
      </c>
      <c r="U20" s="413">
        <f>IF(B20=0,"",IFERROR(IF(H20&lt;&gt;0,Componentes!$U$11,0),""))</f>
        <v>5.7</v>
      </c>
      <c r="V20" s="414">
        <f>IF(B20=0,"",IFERROR(IF(AA20&lt;&gt;0,VLOOKUP(Envoltória!U28,Componentes!X:Z,2,FALSE),0),0))</f>
        <v>0</v>
      </c>
      <c r="W20" s="414">
        <f>IF(B20=0,"",IFERROR(IF(AA20&lt;&gt;0,Componentes!$AE$11,0),0))</f>
        <v>0</v>
      </c>
      <c r="X20" s="413">
        <f>IF(B20=0,"",Envoltória!U28)</f>
        <v>0.1</v>
      </c>
      <c r="Y20" s="413">
        <f>IF(B20=0,"",VLOOKUP(Início!$C$20,Aux_Lista!A:H,8,FALSE))</f>
        <v>14.1</v>
      </c>
      <c r="Z20" s="413">
        <f>IF(B20=0,"",Envoltória!T28)</f>
        <v>15</v>
      </c>
      <c r="AA20" s="416">
        <f>IF(B20=0,"",Envoltória!Q28/100)</f>
        <v>0</v>
      </c>
      <c r="AB20" s="417">
        <f>INPUT!AB20</f>
        <v>-7.02</v>
      </c>
      <c r="AC20" s="417">
        <f>INPUT!AC20</f>
        <v>249</v>
      </c>
      <c r="AD20" s="417">
        <f>INPUT!AD20</f>
        <v>27.24</v>
      </c>
      <c r="AE20" s="417">
        <f>INPUT!AE20</f>
        <v>24.17</v>
      </c>
      <c r="AF20" s="417">
        <f>INPUT!AF20</f>
        <v>30.311666670000001</v>
      </c>
      <c r="AG20" s="417">
        <f>INPUT!AG20</f>
        <v>2.8624999999999998</v>
      </c>
      <c r="AH20" s="417">
        <f>INPUT!AH20</f>
        <v>1.8233333300000001</v>
      </c>
      <c r="AI20" s="417">
        <f>INPUT!AI20</f>
        <v>3.8433333300000001</v>
      </c>
      <c r="AJ20" s="417">
        <f>INPUT!AJ20</f>
        <v>6082.0829999999996</v>
      </c>
      <c r="AK20" s="417">
        <f>INPUT!AK20</f>
        <v>5588.8329999999996</v>
      </c>
      <c r="AL20" s="417">
        <f>INPUT!AL20</f>
        <v>6759.9380000000001</v>
      </c>
      <c r="AM20" s="417">
        <f>INPUT!AM20</f>
        <v>18.44083333</v>
      </c>
      <c r="AN20" s="417">
        <f>INPUT!AN20</f>
        <v>17.19166667</v>
      </c>
      <c r="AO20" s="417">
        <f>INPUT!AO20</f>
        <v>19.883333329999999</v>
      </c>
      <c r="AP20" s="413">
        <f>IF(B20=0,"",IF(BF20=0,90,VLOOKUP(Envoltória!N28,Componentes!T:AB,9,FALSE)))</f>
        <v>0</v>
      </c>
      <c r="AQ20" s="413">
        <f>IF(B20=0,"",IF(BF20=0,90,VLOOKUP(Envoltória!N28,Componentes!T:AB,8,FALSE)))</f>
        <v>0</v>
      </c>
      <c r="AR20" s="413">
        <f t="shared" si="1"/>
        <v>1</v>
      </c>
      <c r="AS20" s="413">
        <f t="shared" si="1"/>
        <v>0</v>
      </c>
      <c r="AT20" s="413">
        <f t="shared" si="1"/>
        <v>0</v>
      </c>
      <c r="AU20" s="413">
        <f t="shared" si="1"/>
        <v>0</v>
      </c>
      <c r="AV20" s="413">
        <f t="shared" si="1"/>
        <v>0</v>
      </c>
      <c r="AW20" s="414">
        <f>INPUT!AW20</f>
        <v>0</v>
      </c>
      <c r="AX20" s="414">
        <f>INPUT!AX20</f>
        <v>1</v>
      </c>
      <c r="AY20" s="414">
        <f>INPUT!AY20</f>
        <v>1</v>
      </c>
      <c r="AZ20" s="414">
        <f>INPUT!AZ20</f>
        <v>0</v>
      </c>
      <c r="BA20" s="414">
        <f>INPUT!BA20</f>
        <v>1</v>
      </c>
      <c r="BB20" s="414">
        <f>INPUT!BB20</f>
        <v>0</v>
      </c>
      <c r="BC20" s="414">
        <f>INPUT!BC20</f>
        <v>1</v>
      </c>
      <c r="BD20" s="414">
        <f>INPUT!BD20</f>
        <v>0</v>
      </c>
      <c r="BE20" s="412">
        <f t="shared" si="2"/>
        <v>0</v>
      </c>
      <c r="BF20" s="412">
        <f>IF(B20=0,"",IFERROR(VLOOKUP(Envoltória!F28,INPUT_REF!$BQ$18:$BR$19,2,FALSE),""))</f>
        <v>1</v>
      </c>
      <c r="BG20" s="412">
        <f>IFERROR(VLOOKUP(Envoltória!$G28,$BQ$35:$BZ$43,BG$9,FALSE),"")</f>
        <v>0</v>
      </c>
      <c r="BH20" s="412">
        <f>IFERROR(VLOOKUP(Envoltória!$G28,$BQ$35:$BZ$43,BH$9,FALSE),"")</f>
        <v>0</v>
      </c>
      <c r="BI20" s="412">
        <f>IFERROR(VLOOKUP(Envoltória!$G28,$BQ$35:$BZ$43,BI$9,FALSE),"")</f>
        <v>0</v>
      </c>
      <c r="BJ20" s="412">
        <f>IFERROR(VLOOKUP(Envoltória!$G28,$BQ$35:$BZ$43,BJ$9,FALSE),"")</f>
        <v>0</v>
      </c>
      <c r="BK20" s="412">
        <f>IFERROR(VLOOKUP(Envoltória!$G28,$BQ$35:$BZ$43,BK$9,FALSE),"")</f>
        <v>0</v>
      </c>
      <c r="BL20" s="412">
        <f>IFERROR(VLOOKUP(Envoltória!$G28,$BQ$35:$BZ$43,BL$9,FALSE),"")</f>
        <v>0</v>
      </c>
      <c r="BM20" s="412">
        <f>IFERROR(VLOOKUP(Envoltória!$G28,$BQ$35:$BZ$43,BM$9,FALSE),"")</f>
        <v>1</v>
      </c>
      <c r="BN20" s="412">
        <f>IFERROR(VLOOKUP(Envoltória!$G28,$BQ$35:$BZ$43,BN$9,FALSE),"")</f>
        <v>0</v>
      </c>
      <c r="BO20" s="412">
        <f>IFERROR(VLOOKUP(Envoltória!$G28,$BQ$35:$BZ$43,BO$9,FALSE),"")</f>
        <v>0</v>
      </c>
      <c r="BP20" s="1"/>
    </row>
    <row r="21" spans="1:75" s="15" customFormat="1" x14ac:dyDescent="0.25">
      <c r="A21" s="1">
        <v>11</v>
      </c>
      <c r="B21" s="409" t="str">
        <f>Envoltória!I29</f>
        <v>Escritórios</v>
      </c>
      <c r="C21" s="410" t="str">
        <f>Envoltória!B29</f>
        <v>Térreo (único pvto)</v>
      </c>
      <c r="D21" s="410" t="str">
        <f>Envoltória!C29</f>
        <v>ZP11-duplo</v>
      </c>
      <c r="E21" s="411">
        <f>Envoltória!D29</f>
        <v>5.03</v>
      </c>
      <c r="F21" s="412">
        <f>IF(B21=0,"",Envoltória!E29)</f>
        <v>9.2200000000000006</v>
      </c>
      <c r="G21" s="429">
        <f t="shared" si="0"/>
        <v>5.6177777777777775</v>
      </c>
      <c r="H21" s="413">
        <f>IF(B21=0,"",IF(Envoltória!O29=0,0,VLOOKUP(B21,Aux_Lista!A:M,13,FALSE)))</f>
        <v>0.5</v>
      </c>
      <c r="I21" s="413">
        <f>IF(B21=0,"",IF(BF21=1,VLOOKUP(Envoltória!N29,Componentes!T:AB,7,FALSE),89))</f>
        <v>0</v>
      </c>
      <c r="J21" s="414">
        <f>IF(B21=0,"",Componentes!$Q$10)</f>
        <v>2.06</v>
      </c>
      <c r="K21" s="414">
        <f>IF(B21=0,"",Componentes!$R$10)</f>
        <v>233</v>
      </c>
      <c r="L21" s="413">
        <f>IF(B21=0,"",IFERROR(IF(BB21&lt;&gt;0,Componentes!$L$11,0),""))</f>
        <v>2.06</v>
      </c>
      <c r="M21" s="413">
        <f>IF(B21=0,"",IFERROR(IF(BB21&lt;&gt;0,Componentes!$M$11,0),""))</f>
        <v>233</v>
      </c>
      <c r="N21" s="415">
        <f>IF(B21=0,"",IFERROR(IF(BB21&lt;&gt;0,Componentes!$N$11,0),""))</f>
        <v>0.8</v>
      </c>
      <c r="O21" s="413">
        <f>IF(B21=0,"",IF(BF21=1,Componentes!$C$11,-6))</f>
        <v>2.39</v>
      </c>
      <c r="P21" s="413">
        <f>IF(B21=0,"",IF(BF21=1,Componentes!$D$11,-400))</f>
        <v>150</v>
      </c>
      <c r="Q21" s="413">
        <f>IF(B21=0,"",IF(BF21=1,Componentes!$E$11,0))</f>
        <v>0.5</v>
      </c>
      <c r="R21" s="414">
        <f>IF(B21=0,"",Componentes!$H$11)</f>
        <v>2.39</v>
      </c>
      <c r="S21" s="414">
        <f>IF(B21=0,"",Componentes!$I$11)</f>
        <v>150</v>
      </c>
      <c r="T21" s="413">
        <f>IF(B21=0,"",IFERROR(IF(H21&lt;&gt;0,Componentes!$V$11,0),""))</f>
        <v>0.82</v>
      </c>
      <c r="U21" s="413">
        <f>IF(B21=0,"",IFERROR(IF(H21&lt;&gt;0,Componentes!$U$11,0),""))</f>
        <v>5.7</v>
      </c>
      <c r="V21" s="414">
        <f>IF(B21=0,"",IFERROR(IF(AA21&lt;&gt;0,VLOOKUP(Envoltória!U29,Componentes!X:Z,2,FALSE),0),0))</f>
        <v>0</v>
      </c>
      <c r="W21" s="414">
        <f>IF(B21=0,"",IFERROR(IF(AA21&lt;&gt;0,Componentes!$AE$11,0),0))</f>
        <v>0</v>
      </c>
      <c r="X21" s="413">
        <f>IF(B21=0,"",Envoltória!U29)</f>
        <v>0.1</v>
      </c>
      <c r="Y21" s="413">
        <f>IF(B21=0,"",VLOOKUP(Início!$C$20,Aux_Lista!A:H,8,FALSE))</f>
        <v>14.1</v>
      </c>
      <c r="Z21" s="413">
        <f>IF(B21=0,"",Envoltória!T29)</f>
        <v>15</v>
      </c>
      <c r="AA21" s="416">
        <f>IF(B21=0,"",Envoltória!Q29/100)</f>
        <v>0</v>
      </c>
      <c r="AB21" s="417">
        <f>INPUT!AB21</f>
        <v>-7.02</v>
      </c>
      <c r="AC21" s="417">
        <f>INPUT!AC21</f>
        <v>249</v>
      </c>
      <c r="AD21" s="417">
        <f>INPUT!AD21</f>
        <v>27.24</v>
      </c>
      <c r="AE21" s="417">
        <f>INPUT!AE21</f>
        <v>24.17</v>
      </c>
      <c r="AF21" s="417">
        <f>INPUT!AF21</f>
        <v>30.311666670000001</v>
      </c>
      <c r="AG21" s="417">
        <f>INPUT!AG21</f>
        <v>2.8624999999999998</v>
      </c>
      <c r="AH21" s="417">
        <f>INPUT!AH21</f>
        <v>1.8233333300000001</v>
      </c>
      <c r="AI21" s="417">
        <f>INPUT!AI21</f>
        <v>3.8433333300000001</v>
      </c>
      <c r="AJ21" s="417">
        <f>INPUT!AJ21</f>
        <v>6082.0829999999996</v>
      </c>
      <c r="AK21" s="417">
        <f>INPUT!AK21</f>
        <v>5588.8329999999996</v>
      </c>
      <c r="AL21" s="417">
        <f>INPUT!AL21</f>
        <v>6759.9380000000001</v>
      </c>
      <c r="AM21" s="417">
        <f>INPUT!AM21</f>
        <v>18.44083333</v>
      </c>
      <c r="AN21" s="417">
        <f>INPUT!AN21</f>
        <v>17.19166667</v>
      </c>
      <c r="AO21" s="417">
        <f>INPUT!AO21</f>
        <v>19.883333329999999</v>
      </c>
      <c r="AP21" s="413">
        <f>IF(B21=0,"",IF(BF21=0,90,VLOOKUP(Envoltória!N29,Componentes!T:AB,9,FALSE)))</f>
        <v>0</v>
      </c>
      <c r="AQ21" s="413">
        <f>IF(B21=0,"",IF(BF21=0,90,VLOOKUP(Envoltória!N29,Componentes!T:AB,8,FALSE)))</f>
        <v>0</v>
      </c>
      <c r="AR21" s="413">
        <f t="shared" si="1"/>
        <v>1</v>
      </c>
      <c r="AS21" s="413">
        <f t="shared" si="1"/>
        <v>0</v>
      </c>
      <c r="AT21" s="413">
        <f t="shared" si="1"/>
        <v>0</v>
      </c>
      <c r="AU21" s="413">
        <f t="shared" si="1"/>
        <v>0</v>
      </c>
      <c r="AV21" s="413">
        <f t="shared" si="1"/>
        <v>0</v>
      </c>
      <c r="AW21" s="414">
        <f>INPUT!AW21</f>
        <v>0</v>
      </c>
      <c r="AX21" s="414">
        <f>INPUT!AX21</f>
        <v>1</v>
      </c>
      <c r="AY21" s="414">
        <f>INPUT!AY21</f>
        <v>1</v>
      </c>
      <c r="AZ21" s="414">
        <f>INPUT!AZ21</f>
        <v>0</v>
      </c>
      <c r="BA21" s="414">
        <f>INPUT!BA21</f>
        <v>0</v>
      </c>
      <c r="BB21" s="414">
        <f>INPUT!BB21</f>
        <v>1</v>
      </c>
      <c r="BC21" s="414">
        <f>INPUT!BC21</f>
        <v>1</v>
      </c>
      <c r="BD21" s="414">
        <f>INPUT!BD21</f>
        <v>0</v>
      </c>
      <c r="BE21" s="412">
        <f t="shared" si="2"/>
        <v>0</v>
      </c>
      <c r="BF21" s="412">
        <f>IF(B21=0,"",IFERROR(VLOOKUP(Envoltória!F29,INPUT_REF!$BQ$18:$BR$19,2,FALSE),""))</f>
        <v>1</v>
      </c>
      <c r="BG21" s="412">
        <f>IFERROR(VLOOKUP(Envoltória!$G29,$BQ$35:$BZ$43,BG$9,FALSE),"")</f>
        <v>0</v>
      </c>
      <c r="BH21" s="412">
        <f>IFERROR(VLOOKUP(Envoltória!$G29,$BQ$35:$BZ$43,BH$9,FALSE),"")</f>
        <v>0</v>
      </c>
      <c r="BI21" s="412">
        <f>IFERROR(VLOOKUP(Envoltória!$G29,$BQ$35:$BZ$43,BI$9,FALSE),"")</f>
        <v>0</v>
      </c>
      <c r="BJ21" s="412">
        <f>IFERROR(VLOOKUP(Envoltória!$G29,$BQ$35:$BZ$43,BJ$9,FALSE),"")</f>
        <v>0</v>
      </c>
      <c r="BK21" s="412">
        <f>IFERROR(VLOOKUP(Envoltória!$G29,$BQ$35:$BZ$43,BK$9,FALSE),"")</f>
        <v>0</v>
      </c>
      <c r="BL21" s="412">
        <f>IFERROR(VLOOKUP(Envoltória!$G29,$BQ$35:$BZ$43,BL$9,FALSE),"")</f>
        <v>0</v>
      </c>
      <c r="BM21" s="412">
        <f>IFERROR(VLOOKUP(Envoltória!$G29,$BQ$35:$BZ$43,BM$9,FALSE),"")</f>
        <v>1</v>
      </c>
      <c r="BN21" s="412">
        <f>IFERROR(VLOOKUP(Envoltória!$G29,$BQ$35:$BZ$43,BN$9,FALSE),"")</f>
        <v>0</v>
      </c>
      <c r="BO21" s="412">
        <f>IFERROR(VLOOKUP(Envoltória!$G29,$BQ$35:$BZ$43,BO$9,FALSE),"")</f>
        <v>0</v>
      </c>
      <c r="BP21" s="1"/>
      <c r="BS21" s="420" t="s">
        <v>9037</v>
      </c>
      <c r="BT21" s="420" t="s">
        <v>9038</v>
      </c>
      <c r="BU21" s="420" t="s">
        <v>9039</v>
      </c>
      <c r="BV21" s="420" t="s">
        <v>9040</v>
      </c>
      <c r="BW21" s="420" t="s">
        <v>9041</v>
      </c>
    </row>
    <row r="22" spans="1:75" s="15" customFormat="1" x14ac:dyDescent="0.25">
      <c r="A22" s="1">
        <v>12</v>
      </c>
      <c r="B22" s="409" t="str">
        <f>Envoltória!I30</f>
        <v>Escritórios</v>
      </c>
      <c r="C22" s="410" t="str">
        <f>Envoltória!B30</f>
        <v>Térreo (único pvto)</v>
      </c>
      <c r="D22" s="410" t="str">
        <f>Envoltória!C30</f>
        <v>ZP12-duplo</v>
      </c>
      <c r="E22" s="411">
        <f>Envoltória!D30</f>
        <v>7.74</v>
      </c>
      <c r="F22" s="412">
        <f>IF(B22=0,"",Envoltória!E30)</f>
        <v>9.2200000000000006</v>
      </c>
      <c r="G22" s="429">
        <f t="shared" si="0"/>
        <v>6.22</v>
      </c>
      <c r="H22" s="413">
        <f>IF(B22=0,"",IF(Envoltória!O30=0,0,VLOOKUP(B22,Aux_Lista!A:M,13,FALSE)))</f>
        <v>0.5</v>
      </c>
      <c r="I22" s="413">
        <f>IF(B22=0,"",IF(BF22=1,VLOOKUP(Envoltória!N30,Componentes!T:AB,7,FALSE),89))</f>
        <v>0</v>
      </c>
      <c r="J22" s="414">
        <f>IF(B22=0,"",Componentes!$Q$10)</f>
        <v>2.06</v>
      </c>
      <c r="K22" s="414">
        <f>IF(B22=0,"",Componentes!$R$10)</f>
        <v>233</v>
      </c>
      <c r="L22" s="413">
        <f>IF(B22=0,"",IFERROR(IF(BB22&lt;&gt;0,Componentes!$L$11,0),""))</f>
        <v>2.06</v>
      </c>
      <c r="M22" s="413">
        <f>IF(B22=0,"",IFERROR(IF(BB22&lt;&gt;0,Componentes!$M$11,0),""))</f>
        <v>233</v>
      </c>
      <c r="N22" s="415">
        <f>IF(B22=0,"",IFERROR(IF(BB22&lt;&gt;0,Componentes!$N$11,0),""))</f>
        <v>0.8</v>
      </c>
      <c r="O22" s="413">
        <f>IF(B22=0,"",IF(BF22=1,Componentes!$C$11,-6))</f>
        <v>2.39</v>
      </c>
      <c r="P22" s="413">
        <f>IF(B22=0,"",IF(BF22=1,Componentes!$D$11,-400))</f>
        <v>150</v>
      </c>
      <c r="Q22" s="413">
        <f>IF(B22=0,"",IF(BF22=1,Componentes!$E$11,0))</f>
        <v>0.5</v>
      </c>
      <c r="R22" s="414">
        <f>IF(B22=0,"",Componentes!$H$11)</f>
        <v>2.39</v>
      </c>
      <c r="S22" s="414">
        <f>IF(B22=0,"",Componentes!$I$11)</f>
        <v>150</v>
      </c>
      <c r="T22" s="413">
        <f>IF(B22=0,"",IFERROR(IF(H22&lt;&gt;0,Componentes!$V$11,0),""))</f>
        <v>0.82</v>
      </c>
      <c r="U22" s="413">
        <f>IF(B22=0,"",IFERROR(IF(H22&lt;&gt;0,Componentes!$U$11,0),""))</f>
        <v>5.7</v>
      </c>
      <c r="V22" s="414">
        <f>IF(B22=0,"",IFERROR(IF(AA22&lt;&gt;0,VLOOKUP(Envoltória!U30,Componentes!X:Z,2,FALSE),0),0))</f>
        <v>0</v>
      </c>
      <c r="W22" s="414">
        <f>IF(B22=0,"",IFERROR(IF(AA22&lt;&gt;0,Componentes!$AE$11,0),0))</f>
        <v>0</v>
      </c>
      <c r="X22" s="413">
        <f>IF(B22=0,"",Envoltória!U30)</f>
        <v>0.1</v>
      </c>
      <c r="Y22" s="413">
        <f>IF(B22=0,"",VLOOKUP(Início!$C$20,Aux_Lista!A:H,8,FALSE))</f>
        <v>14.1</v>
      </c>
      <c r="Z22" s="413">
        <f>IF(B22=0,"",Envoltória!T30)</f>
        <v>15</v>
      </c>
      <c r="AA22" s="416">
        <f>IF(B22=0,"",Envoltória!Q30/100)</f>
        <v>0</v>
      </c>
      <c r="AB22" s="417">
        <f>INPUT!AB22</f>
        <v>-7.02</v>
      </c>
      <c r="AC22" s="417">
        <f>INPUT!AC22</f>
        <v>249</v>
      </c>
      <c r="AD22" s="417">
        <f>INPUT!AD22</f>
        <v>27.24</v>
      </c>
      <c r="AE22" s="417">
        <f>INPUT!AE22</f>
        <v>24.17</v>
      </c>
      <c r="AF22" s="417">
        <f>INPUT!AF22</f>
        <v>30.311666670000001</v>
      </c>
      <c r="AG22" s="417">
        <f>INPUT!AG22</f>
        <v>2.8624999999999998</v>
      </c>
      <c r="AH22" s="417">
        <f>INPUT!AH22</f>
        <v>1.8233333300000001</v>
      </c>
      <c r="AI22" s="417">
        <f>INPUT!AI22</f>
        <v>3.8433333300000001</v>
      </c>
      <c r="AJ22" s="417">
        <f>INPUT!AJ22</f>
        <v>6082.0829999999996</v>
      </c>
      <c r="AK22" s="417">
        <f>INPUT!AK22</f>
        <v>5588.8329999999996</v>
      </c>
      <c r="AL22" s="417">
        <f>INPUT!AL22</f>
        <v>6759.9380000000001</v>
      </c>
      <c r="AM22" s="417">
        <f>INPUT!AM22</f>
        <v>18.44083333</v>
      </c>
      <c r="AN22" s="417">
        <f>INPUT!AN22</f>
        <v>17.19166667</v>
      </c>
      <c r="AO22" s="417">
        <f>INPUT!AO22</f>
        <v>19.883333329999999</v>
      </c>
      <c r="AP22" s="413">
        <f>IF(B22=0,"",IF(BF22=0,90,VLOOKUP(Envoltória!N30,Componentes!T:AB,9,FALSE)))</f>
        <v>0</v>
      </c>
      <c r="AQ22" s="413">
        <f>IF(B22=0,"",IF(BF22=0,90,VLOOKUP(Envoltória!N30,Componentes!T:AB,8,FALSE)))</f>
        <v>0</v>
      </c>
      <c r="AR22" s="413">
        <f t="shared" si="1"/>
        <v>1</v>
      </c>
      <c r="AS22" s="413">
        <f t="shared" si="1"/>
        <v>0</v>
      </c>
      <c r="AT22" s="413">
        <f t="shared" si="1"/>
        <v>0</v>
      </c>
      <c r="AU22" s="413">
        <f t="shared" si="1"/>
        <v>0</v>
      </c>
      <c r="AV22" s="413">
        <f t="shared" si="1"/>
        <v>0</v>
      </c>
      <c r="AW22" s="414">
        <f>INPUT!AW22</f>
        <v>0</v>
      </c>
      <c r="AX22" s="414">
        <f>INPUT!AX22</f>
        <v>1</v>
      </c>
      <c r="AY22" s="414">
        <f>INPUT!AY22</f>
        <v>1</v>
      </c>
      <c r="AZ22" s="414">
        <f>INPUT!AZ22</f>
        <v>0</v>
      </c>
      <c r="BA22" s="414">
        <f>INPUT!BA22</f>
        <v>0</v>
      </c>
      <c r="BB22" s="414">
        <f>INPUT!BB22</f>
        <v>1</v>
      </c>
      <c r="BC22" s="414">
        <f>INPUT!BC22</f>
        <v>1</v>
      </c>
      <c r="BD22" s="414">
        <f>INPUT!BD22</f>
        <v>0</v>
      </c>
      <c r="BE22" s="412">
        <f t="shared" si="2"/>
        <v>0</v>
      </c>
      <c r="BF22" s="412">
        <f>IF(B22=0,"",IFERROR(VLOOKUP(Envoltória!F30,INPUT_REF!$BQ$18:$BR$19,2,FALSE),""))</f>
        <v>1</v>
      </c>
      <c r="BG22" s="412">
        <f>IFERROR(VLOOKUP(Envoltória!$G30,$BQ$35:$BZ$43,BG$9,FALSE),"")</f>
        <v>0</v>
      </c>
      <c r="BH22" s="412">
        <f>IFERROR(VLOOKUP(Envoltória!$G30,$BQ$35:$BZ$43,BH$9,FALSE),"")</f>
        <v>0</v>
      </c>
      <c r="BI22" s="412">
        <f>IFERROR(VLOOKUP(Envoltória!$G30,$BQ$35:$BZ$43,BI$9,FALSE),"")</f>
        <v>0</v>
      </c>
      <c r="BJ22" s="412">
        <f>IFERROR(VLOOKUP(Envoltória!$G30,$BQ$35:$BZ$43,BJ$9,FALSE),"")</f>
        <v>0</v>
      </c>
      <c r="BK22" s="412">
        <f>IFERROR(VLOOKUP(Envoltória!$G30,$BQ$35:$BZ$43,BK$9,FALSE),"")</f>
        <v>0</v>
      </c>
      <c r="BL22" s="412">
        <f>IFERROR(VLOOKUP(Envoltória!$G30,$BQ$35:$BZ$43,BL$9,FALSE),"")</f>
        <v>0</v>
      </c>
      <c r="BM22" s="412">
        <f>IFERROR(VLOOKUP(Envoltória!$G30,$BQ$35:$BZ$43,BM$9,FALSE),"")</f>
        <v>0</v>
      </c>
      <c r="BN22" s="412">
        <f>IFERROR(VLOOKUP(Envoltória!$G30,$BQ$35:$BZ$43,BN$9,FALSE),"")</f>
        <v>0</v>
      </c>
      <c r="BO22" s="412">
        <f>IFERROR(VLOOKUP(Envoltória!$G30,$BQ$35:$BZ$43,BO$9,FALSE),"")</f>
        <v>1</v>
      </c>
      <c r="BP22" s="1"/>
      <c r="BQ22" s="421" t="s">
        <v>35</v>
      </c>
      <c r="BR22" s="419">
        <v>10</v>
      </c>
      <c r="BS22" s="419">
        <v>1</v>
      </c>
      <c r="BT22" s="419">
        <v>0</v>
      </c>
      <c r="BU22" s="419">
        <v>0</v>
      </c>
      <c r="BV22" s="419">
        <v>0</v>
      </c>
      <c r="BW22" s="419">
        <v>0</v>
      </c>
    </row>
    <row r="23" spans="1:75" s="15" customFormat="1" x14ac:dyDescent="0.25">
      <c r="A23" s="1">
        <v>13</v>
      </c>
      <c r="B23" s="409" t="str">
        <f>Envoltória!I31</f>
        <v>Escritórios</v>
      </c>
      <c r="C23" s="410" t="str">
        <f>Envoltória!B31</f>
        <v>Térreo (único pvto)</v>
      </c>
      <c r="D23" s="410" t="str">
        <f>Envoltória!C31</f>
        <v>ZP13-duplo</v>
      </c>
      <c r="E23" s="411">
        <f>Envoltória!D31</f>
        <v>15.09</v>
      </c>
      <c r="F23" s="412">
        <f>IF(B23=0,"",Envoltória!E31)</f>
        <v>9.2200000000000006</v>
      </c>
      <c r="G23" s="429">
        <f t="shared" si="0"/>
        <v>7.8533333333333335</v>
      </c>
      <c r="H23" s="413">
        <f>IF(B23=0,"",IF(Envoltória!O31=0,0,VLOOKUP(B23,Aux_Lista!A:M,13,FALSE)))</f>
        <v>0.5</v>
      </c>
      <c r="I23" s="413">
        <f>IF(B23=0,"",IF(BF23=1,VLOOKUP(Envoltória!N31,Componentes!T:AB,7,FALSE),89))</f>
        <v>0</v>
      </c>
      <c r="J23" s="414">
        <f>IF(B23=0,"",Componentes!$Q$10)</f>
        <v>2.06</v>
      </c>
      <c r="K23" s="414">
        <f>IF(B23=0,"",Componentes!$R$10)</f>
        <v>233</v>
      </c>
      <c r="L23" s="413">
        <f>IF(B23=0,"",IFERROR(IF(BB23&lt;&gt;0,Componentes!$L$11,0),""))</f>
        <v>2.06</v>
      </c>
      <c r="M23" s="413">
        <f>IF(B23=0,"",IFERROR(IF(BB23&lt;&gt;0,Componentes!$M$11,0),""))</f>
        <v>233</v>
      </c>
      <c r="N23" s="415">
        <f>IF(B23=0,"",IFERROR(IF(BB23&lt;&gt;0,Componentes!$N$11,0),""))</f>
        <v>0.8</v>
      </c>
      <c r="O23" s="413">
        <f>IF(B23=0,"",IF(BF23=1,Componentes!$C$11,-6))</f>
        <v>2.39</v>
      </c>
      <c r="P23" s="413">
        <f>IF(B23=0,"",IF(BF23=1,Componentes!$D$11,-400))</f>
        <v>150</v>
      </c>
      <c r="Q23" s="413">
        <f>IF(B23=0,"",IF(BF23=1,Componentes!$E$11,0))</f>
        <v>0.5</v>
      </c>
      <c r="R23" s="414">
        <f>IF(B23=0,"",Componentes!$H$11)</f>
        <v>2.39</v>
      </c>
      <c r="S23" s="414">
        <f>IF(B23=0,"",Componentes!$I$11)</f>
        <v>150</v>
      </c>
      <c r="T23" s="413">
        <f>IF(B23=0,"",IFERROR(IF(H23&lt;&gt;0,Componentes!$V$11,0),""))</f>
        <v>0.82</v>
      </c>
      <c r="U23" s="413">
        <f>IF(B23=0,"",IFERROR(IF(H23&lt;&gt;0,Componentes!$U$11,0),""))</f>
        <v>5.7</v>
      </c>
      <c r="V23" s="414">
        <f>IF(B23=0,"",IFERROR(IF(AA23&lt;&gt;0,VLOOKUP(Envoltória!U31,Componentes!X:Z,2,FALSE),0),0))</f>
        <v>0</v>
      </c>
      <c r="W23" s="414">
        <f>IF(B23=0,"",IFERROR(IF(AA23&lt;&gt;0,Componentes!$AE$11,0),0))</f>
        <v>0</v>
      </c>
      <c r="X23" s="413">
        <f>IF(B23=0,"",Envoltória!U31)</f>
        <v>0.1</v>
      </c>
      <c r="Y23" s="413">
        <f>IF(B23=0,"",VLOOKUP(Início!$C$20,Aux_Lista!A:H,8,FALSE))</f>
        <v>14.1</v>
      </c>
      <c r="Z23" s="413">
        <f>IF(B23=0,"",Envoltória!T31)</f>
        <v>15</v>
      </c>
      <c r="AA23" s="416">
        <f>IF(B23=0,"",Envoltória!Q31/100)</f>
        <v>0</v>
      </c>
      <c r="AB23" s="417">
        <f>INPUT!AB23</f>
        <v>-7.02</v>
      </c>
      <c r="AC23" s="417">
        <f>INPUT!AC23</f>
        <v>249</v>
      </c>
      <c r="AD23" s="417">
        <f>INPUT!AD23</f>
        <v>27.24</v>
      </c>
      <c r="AE23" s="417">
        <f>INPUT!AE23</f>
        <v>24.17</v>
      </c>
      <c r="AF23" s="417">
        <f>INPUT!AF23</f>
        <v>30.311666670000001</v>
      </c>
      <c r="AG23" s="417">
        <f>INPUT!AG23</f>
        <v>2.8624999999999998</v>
      </c>
      <c r="AH23" s="417">
        <f>INPUT!AH23</f>
        <v>1.8233333300000001</v>
      </c>
      <c r="AI23" s="417">
        <f>INPUT!AI23</f>
        <v>3.8433333300000001</v>
      </c>
      <c r="AJ23" s="417">
        <f>INPUT!AJ23</f>
        <v>6082.0829999999996</v>
      </c>
      <c r="AK23" s="417">
        <f>INPUT!AK23</f>
        <v>5588.8329999999996</v>
      </c>
      <c r="AL23" s="417">
        <f>INPUT!AL23</f>
        <v>6759.9380000000001</v>
      </c>
      <c r="AM23" s="417">
        <f>INPUT!AM23</f>
        <v>18.44083333</v>
      </c>
      <c r="AN23" s="417">
        <f>INPUT!AN23</f>
        <v>17.19166667</v>
      </c>
      <c r="AO23" s="417">
        <f>INPUT!AO23</f>
        <v>19.883333329999999</v>
      </c>
      <c r="AP23" s="413">
        <f>IF(B23=0,"",IF(BF23=0,90,VLOOKUP(Envoltória!N31,Componentes!T:AB,9,FALSE)))</f>
        <v>0</v>
      </c>
      <c r="AQ23" s="413">
        <f>IF(B23=0,"",IF(BF23=0,90,VLOOKUP(Envoltória!N31,Componentes!T:AB,8,FALSE)))</f>
        <v>0</v>
      </c>
      <c r="AR23" s="413">
        <f t="shared" si="1"/>
        <v>1</v>
      </c>
      <c r="AS23" s="413">
        <f t="shared" si="1"/>
        <v>0</v>
      </c>
      <c r="AT23" s="413">
        <f t="shared" si="1"/>
        <v>0</v>
      </c>
      <c r="AU23" s="413">
        <f t="shared" si="1"/>
        <v>0</v>
      </c>
      <c r="AV23" s="413">
        <f t="shared" si="1"/>
        <v>0</v>
      </c>
      <c r="AW23" s="414">
        <f>INPUT!AW23</f>
        <v>0</v>
      </c>
      <c r="AX23" s="414">
        <f>INPUT!AX23</f>
        <v>1</v>
      </c>
      <c r="AY23" s="414">
        <f>INPUT!AY23</f>
        <v>1</v>
      </c>
      <c r="AZ23" s="414">
        <f>INPUT!AZ23</f>
        <v>0</v>
      </c>
      <c r="BA23" s="414">
        <f>INPUT!BA23</f>
        <v>0</v>
      </c>
      <c r="BB23" s="414">
        <f>INPUT!BB23</f>
        <v>1</v>
      </c>
      <c r="BC23" s="414">
        <f>INPUT!BC23</f>
        <v>1</v>
      </c>
      <c r="BD23" s="414">
        <f>INPUT!BD23</f>
        <v>0</v>
      </c>
      <c r="BE23" s="412">
        <f t="shared" si="2"/>
        <v>0</v>
      </c>
      <c r="BF23" s="412">
        <f>IF(B23=0,"",IFERROR(VLOOKUP(Envoltória!F31,INPUT_REF!$BQ$18:$BR$19,2,FALSE),""))</f>
        <v>1</v>
      </c>
      <c r="BG23" s="412">
        <f>IFERROR(VLOOKUP(Envoltória!$G31,$BQ$35:$BZ$43,BG$9,FALSE),"")</f>
        <v>0</v>
      </c>
      <c r="BH23" s="412">
        <f>IFERROR(VLOOKUP(Envoltória!$G31,$BQ$35:$BZ$43,BH$9,FALSE),"")</f>
        <v>0</v>
      </c>
      <c r="BI23" s="412">
        <f>IFERROR(VLOOKUP(Envoltória!$G31,$BQ$35:$BZ$43,BI$9,FALSE),"")</f>
        <v>0</v>
      </c>
      <c r="BJ23" s="412">
        <f>IFERROR(VLOOKUP(Envoltória!$G31,$BQ$35:$BZ$43,BJ$9,FALSE),"")</f>
        <v>0</v>
      </c>
      <c r="BK23" s="412">
        <f>IFERROR(VLOOKUP(Envoltória!$G31,$BQ$35:$BZ$43,BK$9,FALSE),"")</f>
        <v>0</v>
      </c>
      <c r="BL23" s="412">
        <f>IFERROR(VLOOKUP(Envoltória!$G31,$BQ$35:$BZ$43,BL$9,FALSE),"")</f>
        <v>0</v>
      </c>
      <c r="BM23" s="412">
        <f>IFERROR(VLOOKUP(Envoltória!$G31,$BQ$35:$BZ$43,BM$9,FALSE),"")</f>
        <v>1</v>
      </c>
      <c r="BN23" s="412">
        <f>IFERROR(VLOOKUP(Envoltória!$G31,$BQ$35:$BZ$43,BN$9,FALSE),"")</f>
        <v>0</v>
      </c>
      <c r="BO23" s="412">
        <f>IFERROR(VLOOKUP(Envoltória!$G31,$BQ$35:$BZ$43,BO$9,FALSE),"")</f>
        <v>0</v>
      </c>
      <c r="BP23" s="1"/>
      <c r="BQ23" s="421" t="s">
        <v>244</v>
      </c>
      <c r="BR23" s="419">
        <v>8</v>
      </c>
      <c r="BS23" s="419">
        <v>0</v>
      </c>
      <c r="BT23" s="419">
        <v>0</v>
      </c>
      <c r="BU23" s="419">
        <v>0</v>
      </c>
      <c r="BV23" s="419">
        <v>0</v>
      </c>
      <c r="BW23" s="419">
        <v>1</v>
      </c>
    </row>
    <row r="24" spans="1:75" s="15" customFormat="1" x14ac:dyDescent="0.25">
      <c r="A24" s="1">
        <v>14</v>
      </c>
      <c r="B24" s="409" t="str">
        <f>Envoltória!I32</f>
        <v>Escritórios</v>
      </c>
      <c r="C24" s="410" t="str">
        <f>Envoltória!B32</f>
        <v>Térreo (único pvto)</v>
      </c>
      <c r="D24" s="410" t="str">
        <f>Envoltória!C32</f>
        <v>ZP14-duplo</v>
      </c>
      <c r="E24" s="411">
        <f>Envoltória!D32</f>
        <v>7.29</v>
      </c>
      <c r="F24" s="412">
        <f>IF(B24=0,"",Envoltória!E32)</f>
        <v>9.2200000000000006</v>
      </c>
      <c r="G24" s="429">
        <f t="shared" si="0"/>
        <v>6.12</v>
      </c>
      <c r="H24" s="413">
        <f>IF(B24=0,"",IF(Envoltória!O32=0,0,VLOOKUP(B24,Aux_Lista!A:M,13,FALSE)))</f>
        <v>0.5</v>
      </c>
      <c r="I24" s="413">
        <f>IF(B24=0,"",IF(BF24=1,VLOOKUP(Envoltória!N32,Componentes!T:AB,7,FALSE),89))</f>
        <v>0</v>
      </c>
      <c r="J24" s="414">
        <f>IF(B24=0,"",Componentes!$Q$10)</f>
        <v>2.06</v>
      </c>
      <c r="K24" s="414">
        <f>IF(B24=0,"",Componentes!$R$10)</f>
        <v>233</v>
      </c>
      <c r="L24" s="413">
        <f>IF(B24=0,"",IFERROR(IF(BB24&lt;&gt;0,Componentes!$L$11,0),""))</f>
        <v>2.06</v>
      </c>
      <c r="M24" s="413">
        <f>IF(B24=0,"",IFERROR(IF(BB24&lt;&gt;0,Componentes!$M$11,0),""))</f>
        <v>233</v>
      </c>
      <c r="N24" s="415">
        <f>IF(B24=0,"",IFERROR(IF(BB24&lt;&gt;0,Componentes!$N$11,0),""))</f>
        <v>0.8</v>
      </c>
      <c r="O24" s="413">
        <f>IF(B24=0,"",IF(BF24=1,Componentes!$C$11,-6))</f>
        <v>2.39</v>
      </c>
      <c r="P24" s="413">
        <f>IF(B24=0,"",IF(BF24=1,Componentes!$D$11,-400))</f>
        <v>150</v>
      </c>
      <c r="Q24" s="413">
        <f>IF(B24=0,"",IF(BF24=1,Componentes!$E$11,0))</f>
        <v>0.5</v>
      </c>
      <c r="R24" s="414">
        <f>IF(B24=0,"",Componentes!$H$11)</f>
        <v>2.39</v>
      </c>
      <c r="S24" s="414">
        <f>IF(B24=0,"",Componentes!$I$11)</f>
        <v>150</v>
      </c>
      <c r="T24" s="413">
        <f>IF(B24=0,"",IFERROR(IF(H24&lt;&gt;0,Componentes!$V$11,0),""))</f>
        <v>0.82</v>
      </c>
      <c r="U24" s="413">
        <f>IF(B24=0,"",IFERROR(IF(H24&lt;&gt;0,Componentes!$U$11,0),""))</f>
        <v>5.7</v>
      </c>
      <c r="V24" s="414">
        <f>IF(B24=0,"",IFERROR(IF(AA24&lt;&gt;0,VLOOKUP(Envoltória!U32,Componentes!X:Z,2,FALSE),0),0))</f>
        <v>0</v>
      </c>
      <c r="W24" s="414">
        <f>IF(B24=0,"",IFERROR(IF(AA24&lt;&gt;0,Componentes!$AE$11,0),0))</f>
        <v>0</v>
      </c>
      <c r="X24" s="413">
        <f>IF(B24=0,"",Envoltória!U32)</f>
        <v>0.1</v>
      </c>
      <c r="Y24" s="413">
        <f>IF(B24=0,"",VLOOKUP(Início!$C$20,Aux_Lista!A:H,8,FALSE))</f>
        <v>14.1</v>
      </c>
      <c r="Z24" s="413">
        <f>IF(B24=0,"",Envoltória!T32)</f>
        <v>15</v>
      </c>
      <c r="AA24" s="416">
        <f>IF(B24=0,"",Envoltória!Q32/100)</f>
        <v>0</v>
      </c>
      <c r="AB24" s="417">
        <f>INPUT!AB24</f>
        <v>-7.02</v>
      </c>
      <c r="AC24" s="417">
        <f>INPUT!AC24</f>
        <v>249</v>
      </c>
      <c r="AD24" s="417">
        <f>INPUT!AD24</f>
        <v>27.24</v>
      </c>
      <c r="AE24" s="417">
        <f>INPUT!AE24</f>
        <v>24.17</v>
      </c>
      <c r="AF24" s="417">
        <f>INPUT!AF24</f>
        <v>30.311666670000001</v>
      </c>
      <c r="AG24" s="417">
        <f>INPUT!AG24</f>
        <v>2.8624999999999998</v>
      </c>
      <c r="AH24" s="417">
        <f>INPUT!AH24</f>
        <v>1.8233333300000001</v>
      </c>
      <c r="AI24" s="417">
        <f>INPUT!AI24</f>
        <v>3.8433333300000001</v>
      </c>
      <c r="AJ24" s="417">
        <f>INPUT!AJ24</f>
        <v>6082.0829999999996</v>
      </c>
      <c r="AK24" s="417">
        <f>INPUT!AK24</f>
        <v>5588.8329999999996</v>
      </c>
      <c r="AL24" s="417">
        <f>INPUT!AL24</f>
        <v>6759.9380000000001</v>
      </c>
      <c r="AM24" s="417">
        <f>INPUT!AM24</f>
        <v>18.44083333</v>
      </c>
      <c r="AN24" s="417">
        <f>INPUT!AN24</f>
        <v>17.19166667</v>
      </c>
      <c r="AO24" s="417">
        <f>INPUT!AO24</f>
        <v>19.883333329999999</v>
      </c>
      <c r="AP24" s="413">
        <f>IF(B24=0,"",IF(BF24=0,90,VLOOKUP(Envoltória!N32,Componentes!T:AB,9,FALSE)))</f>
        <v>0</v>
      </c>
      <c r="AQ24" s="413">
        <f>IF(B24=0,"",IF(BF24=0,90,VLOOKUP(Envoltória!N32,Componentes!T:AB,8,FALSE)))</f>
        <v>0</v>
      </c>
      <c r="AR24" s="413">
        <f t="shared" si="1"/>
        <v>1</v>
      </c>
      <c r="AS24" s="413">
        <f t="shared" si="1"/>
        <v>0</v>
      </c>
      <c r="AT24" s="413">
        <f t="shared" si="1"/>
        <v>0</v>
      </c>
      <c r="AU24" s="413">
        <f t="shared" si="1"/>
        <v>0</v>
      </c>
      <c r="AV24" s="413">
        <f t="shared" si="1"/>
        <v>0</v>
      </c>
      <c r="AW24" s="414">
        <f>INPUT!AW24</f>
        <v>0</v>
      </c>
      <c r="AX24" s="414">
        <f>INPUT!AX24</f>
        <v>1</v>
      </c>
      <c r="AY24" s="414">
        <f>INPUT!AY24</f>
        <v>1</v>
      </c>
      <c r="AZ24" s="414">
        <f>INPUT!AZ24</f>
        <v>0</v>
      </c>
      <c r="BA24" s="414">
        <f>INPUT!BA24</f>
        <v>0</v>
      </c>
      <c r="BB24" s="414">
        <f>INPUT!BB24</f>
        <v>1</v>
      </c>
      <c r="BC24" s="414">
        <f>INPUT!BC24</f>
        <v>1</v>
      </c>
      <c r="BD24" s="414">
        <f>INPUT!BD24</f>
        <v>0</v>
      </c>
      <c r="BE24" s="412">
        <f t="shared" si="2"/>
        <v>0</v>
      </c>
      <c r="BF24" s="412">
        <f>IF(B24=0,"",IFERROR(VLOOKUP(Envoltória!F32,INPUT_REF!$BQ$18:$BR$19,2,FALSE),""))</f>
        <v>1</v>
      </c>
      <c r="BG24" s="412">
        <f>IFERROR(VLOOKUP(Envoltória!$G32,$BQ$35:$BZ$43,BG$9,FALSE),"")</f>
        <v>0</v>
      </c>
      <c r="BH24" s="412">
        <f>IFERROR(VLOOKUP(Envoltória!$G32,$BQ$35:$BZ$43,BH$9,FALSE),"")</f>
        <v>0</v>
      </c>
      <c r="BI24" s="412">
        <f>IFERROR(VLOOKUP(Envoltória!$G32,$BQ$35:$BZ$43,BI$9,FALSE),"")</f>
        <v>0</v>
      </c>
      <c r="BJ24" s="412">
        <f>IFERROR(VLOOKUP(Envoltória!$G32,$BQ$35:$BZ$43,BJ$9,FALSE),"")</f>
        <v>0</v>
      </c>
      <c r="BK24" s="412">
        <f>IFERROR(VLOOKUP(Envoltória!$G32,$BQ$35:$BZ$43,BK$9,FALSE),"")</f>
        <v>1</v>
      </c>
      <c r="BL24" s="412">
        <f>IFERROR(VLOOKUP(Envoltória!$G32,$BQ$35:$BZ$43,BL$9,FALSE),"")</f>
        <v>0</v>
      </c>
      <c r="BM24" s="412">
        <f>IFERROR(VLOOKUP(Envoltória!$G32,$BQ$35:$BZ$43,BM$9,FALSE),"")</f>
        <v>0</v>
      </c>
      <c r="BN24" s="412">
        <f>IFERROR(VLOOKUP(Envoltória!$G32,$BQ$35:$BZ$43,BN$9,FALSE),"")</f>
        <v>0</v>
      </c>
      <c r="BO24" s="412">
        <f>IFERROR(VLOOKUP(Envoltória!$G32,$BQ$35:$BZ$43,BO$9,FALSE),"")</f>
        <v>0</v>
      </c>
      <c r="BP24" s="1"/>
      <c r="BQ24" s="421" t="s">
        <v>265</v>
      </c>
      <c r="BR24" s="419">
        <v>8</v>
      </c>
      <c r="BS24" s="419">
        <v>0</v>
      </c>
      <c r="BT24" s="419">
        <v>0</v>
      </c>
      <c r="BU24" s="419">
        <v>0</v>
      </c>
      <c r="BV24" s="419">
        <v>0</v>
      </c>
      <c r="BW24" s="419">
        <v>1</v>
      </c>
    </row>
    <row r="25" spans="1:75" s="15" customFormat="1" x14ac:dyDescent="0.25">
      <c r="A25" s="1">
        <v>15</v>
      </c>
      <c r="B25" s="409" t="str">
        <f>Envoltória!I33</f>
        <v>Escritórios</v>
      </c>
      <c r="C25" s="410" t="str">
        <f>Envoltória!B33</f>
        <v>Térreo (único pvto)</v>
      </c>
      <c r="D25" s="410" t="str">
        <f>Envoltória!C33</f>
        <v>ZP15-duplo</v>
      </c>
      <c r="E25" s="411">
        <f>Envoltória!D33</f>
        <v>8.1</v>
      </c>
      <c r="F25" s="412">
        <f>IF(B25=0,"",Envoltória!E33)</f>
        <v>9.2200000000000006</v>
      </c>
      <c r="G25" s="429">
        <f t="shared" si="0"/>
        <v>6.3</v>
      </c>
      <c r="H25" s="413">
        <f>IF(B25=0,"",IF(Envoltória!O33=0,0,VLOOKUP(B25,Aux_Lista!A:M,13,FALSE)))</f>
        <v>0.5</v>
      </c>
      <c r="I25" s="413">
        <f>IF(B25=0,"",IF(BF25=1,VLOOKUP(Envoltória!N33,Componentes!T:AB,7,FALSE),89))</f>
        <v>0</v>
      </c>
      <c r="J25" s="414">
        <f>IF(B25=0,"",Componentes!$Q$10)</f>
        <v>2.06</v>
      </c>
      <c r="K25" s="414">
        <f>IF(B25=0,"",Componentes!$R$10)</f>
        <v>233</v>
      </c>
      <c r="L25" s="413">
        <f>IF(B25=0,"",IFERROR(IF(BB25&lt;&gt;0,Componentes!$L$11,0),""))</f>
        <v>2.06</v>
      </c>
      <c r="M25" s="413">
        <f>IF(B25=0,"",IFERROR(IF(BB25&lt;&gt;0,Componentes!$M$11,0),""))</f>
        <v>233</v>
      </c>
      <c r="N25" s="415">
        <f>IF(B25=0,"",IFERROR(IF(BB25&lt;&gt;0,Componentes!$N$11,0),""))</f>
        <v>0.8</v>
      </c>
      <c r="O25" s="413">
        <f>IF(B25=0,"",IF(BF25=1,Componentes!$C$11,-6))</f>
        <v>2.39</v>
      </c>
      <c r="P25" s="413">
        <f>IF(B25=0,"",IF(BF25=1,Componentes!$D$11,-400))</f>
        <v>150</v>
      </c>
      <c r="Q25" s="413">
        <f>IF(B25=0,"",IF(BF25=1,Componentes!$E$11,0))</f>
        <v>0.5</v>
      </c>
      <c r="R25" s="414">
        <f>IF(B25=0,"",Componentes!$H$11)</f>
        <v>2.39</v>
      </c>
      <c r="S25" s="414">
        <f>IF(B25=0,"",Componentes!$I$11)</f>
        <v>150</v>
      </c>
      <c r="T25" s="413">
        <f>IF(B25=0,"",IFERROR(IF(H25&lt;&gt;0,Componentes!$V$11,0),""))</f>
        <v>0.82</v>
      </c>
      <c r="U25" s="413">
        <f>IF(B25=0,"",IFERROR(IF(H25&lt;&gt;0,Componentes!$U$11,0),""))</f>
        <v>5.7</v>
      </c>
      <c r="V25" s="414">
        <f>IF(B25=0,"",IFERROR(IF(AA25&lt;&gt;0,VLOOKUP(Envoltória!U33,Componentes!X:Z,2,FALSE),0),0))</f>
        <v>0</v>
      </c>
      <c r="W25" s="414">
        <f>IF(B25=0,"",IFERROR(IF(AA25&lt;&gt;0,Componentes!$AE$11,0),0))</f>
        <v>0</v>
      </c>
      <c r="X25" s="413">
        <f>IF(B25=0,"",Envoltória!U33)</f>
        <v>0.1</v>
      </c>
      <c r="Y25" s="413">
        <f>IF(B25=0,"",VLOOKUP(Início!$C$20,Aux_Lista!A:H,8,FALSE))</f>
        <v>14.1</v>
      </c>
      <c r="Z25" s="413">
        <f>IF(B25=0,"",Envoltória!T33)</f>
        <v>15</v>
      </c>
      <c r="AA25" s="416">
        <f>IF(B25=0,"",Envoltória!Q33/100)</f>
        <v>0</v>
      </c>
      <c r="AB25" s="417">
        <f>INPUT!AB25</f>
        <v>-7.02</v>
      </c>
      <c r="AC25" s="417">
        <f>INPUT!AC25</f>
        <v>249</v>
      </c>
      <c r="AD25" s="417">
        <f>INPUT!AD25</f>
        <v>27.24</v>
      </c>
      <c r="AE25" s="417">
        <f>INPUT!AE25</f>
        <v>24.17</v>
      </c>
      <c r="AF25" s="417">
        <f>INPUT!AF25</f>
        <v>30.311666670000001</v>
      </c>
      <c r="AG25" s="417">
        <f>INPUT!AG25</f>
        <v>2.8624999999999998</v>
      </c>
      <c r="AH25" s="417">
        <f>INPUT!AH25</f>
        <v>1.8233333300000001</v>
      </c>
      <c r="AI25" s="417">
        <f>INPUT!AI25</f>
        <v>3.8433333300000001</v>
      </c>
      <c r="AJ25" s="417">
        <f>INPUT!AJ25</f>
        <v>6082.0829999999996</v>
      </c>
      <c r="AK25" s="417">
        <f>INPUT!AK25</f>
        <v>5588.8329999999996</v>
      </c>
      <c r="AL25" s="417">
        <f>INPUT!AL25</f>
        <v>6759.9380000000001</v>
      </c>
      <c r="AM25" s="417">
        <f>INPUT!AM25</f>
        <v>18.44083333</v>
      </c>
      <c r="AN25" s="417">
        <f>INPUT!AN25</f>
        <v>17.19166667</v>
      </c>
      <c r="AO25" s="417">
        <f>INPUT!AO25</f>
        <v>19.883333329999999</v>
      </c>
      <c r="AP25" s="413">
        <f>IF(B25=0,"",IF(BF25=0,90,VLOOKUP(Envoltória!N33,Componentes!T:AB,9,FALSE)))</f>
        <v>0</v>
      </c>
      <c r="AQ25" s="413">
        <f>IF(B25=0,"",IF(BF25=0,90,VLOOKUP(Envoltória!N33,Componentes!T:AB,8,FALSE)))</f>
        <v>0</v>
      </c>
      <c r="AR25" s="413">
        <f t="shared" si="1"/>
        <v>1</v>
      </c>
      <c r="AS25" s="413">
        <f t="shared" si="1"/>
        <v>0</v>
      </c>
      <c r="AT25" s="413">
        <f t="shared" si="1"/>
        <v>0</v>
      </c>
      <c r="AU25" s="413">
        <f t="shared" si="1"/>
        <v>0</v>
      </c>
      <c r="AV25" s="413">
        <f t="shared" si="1"/>
        <v>0</v>
      </c>
      <c r="AW25" s="414">
        <f>INPUT!AW25</f>
        <v>0</v>
      </c>
      <c r="AX25" s="414">
        <f>INPUT!AX25</f>
        <v>1</v>
      </c>
      <c r="AY25" s="414">
        <f>INPUT!AY25</f>
        <v>1</v>
      </c>
      <c r="AZ25" s="414">
        <f>INPUT!AZ25</f>
        <v>0</v>
      </c>
      <c r="BA25" s="414">
        <f>INPUT!BA25</f>
        <v>0</v>
      </c>
      <c r="BB25" s="414">
        <f>INPUT!BB25</f>
        <v>1</v>
      </c>
      <c r="BC25" s="414">
        <f>INPUT!BC25</f>
        <v>1</v>
      </c>
      <c r="BD25" s="414">
        <f>INPUT!BD25</f>
        <v>0</v>
      </c>
      <c r="BE25" s="412">
        <f t="shared" si="2"/>
        <v>0</v>
      </c>
      <c r="BF25" s="412">
        <f>IF(B25=0,"",IFERROR(VLOOKUP(Envoltória!F33,INPUT_REF!$BQ$18:$BR$19,2,FALSE),""))</f>
        <v>1</v>
      </c>
      <c r="BG25" s="412">
        <f>IFERROR(VLOOKUP(Envoltória!$G33,$BQ$35:$BZ$43,BG$9,FALSE),"")</f>
        <v>0</v>
      </c>
      <c r="BH25" s="412">
        <f>IFERROR(VLOOKUP(Envoltória!$G33,$BQ$35:$BZ$43,BH$9,FALSE),"")</f>
        <v>0</v>
      </c>
      <c r="BI25" s="412">
        <f>IFERROR(VLOOKUP(Envoltória!$G33,$BQ$35:$BZ$43,BI$9,FALSE),"")</f>
        <v>0</v>
      </c>
      <c r="BJ25" s="412">
        <f>IFERROR(VLOOKUP(Envoltória!$G33,$BQ$35:$BZ$43,BJ$9,FALSE),"")</f>
        <v>0</v>
      </c>
      <c r="BK25" s="412">
        <f>IFERROR(VLOOKUP(Envoltória!$G33,$BQ$35:$BZ$43,BK$9,FALSE),"")</f>
        <v>0</v>
      </c>
      <c r="BL25" s="412">
        <f>IFERROR(VLOOKUP(Envoltória!$G33,$BQ$35:$BZ$43,BL$9,FALSE),"")</f>
        <v>0</v>
      </c>
      <c r="BM25" s="412">
        <f>IFERROR(VLOOKUP(Envoltória!$G33,$BQ$35:$BZ$43,BM$9,FALSE),"")</f>
        <v>1</v>
      </c>
      <c r="BN25" s="412">
        <f>IFERROR(VLOOKUP(Envoltória!$G33,$BQ$35:$BZ$43,BN$9,FALSE),"")</f>
        <v>0</v>
      </c>
      <c r="BO25" s="412">
        <f>IFERROR(VLOOKUP(Envoltória!$G33,$BQ$35:$BZ$43,BO$9,FALSE),"")</f>
        <v>0</v>
      </c>
      <c r="BP25" s="1"/>
      <c r="BQ25" s="421" t="s">
        <v>277</v>
      </c>
      <c r="BR25" s="419">
        <v>8</v>
      </c>
      <c r="BS25" s="419">
        <v>0</v>
      </c>
      <c r="BT25" s="419">
        <v>0</v>
      </c>
      <c r="BU25" s="419">
        <v>0</v>
      </c>
      <c r="BV25" s="419">
        <v>0</v>
      </c>
      <c r="BW25" s="419">
        <v>1</v>
      </c>
    </row>
    <row r="26" spans="1:75" s="15" customFormat="1" x14ac:dyDescent="0.25">
      <c r="A26" s="1">
        <v>16</v>
      </c>
      <c r="B26" s="409" t="str">
        <f>Envoltória!I34</f>
        <v>Escritórios</v>
      </c>
      <c r="C26" s="410" t="str">
        <f>Envoltória!B34</f>
        <v>Térreo (com + pvtos acima)</v>
      </c>
      <c r="D26" s="410" t="str">
        <f>Envoltória!C34</f>
        <v>ZP16</v>
      </c>
      <c r="E26" s="411">
        <f>Envoltória!D34</f>
        <v>36.76</v>
      </c>
      <c r="F26" s="412">
        <f>IF(B26=0,"",Envoltória!E34)</f>
        <v>3</v>
      </c>
      <c r="G26" s="429">
        <f t="shared" si="0"/>
        <v>12.668888888888889</v>
      </c>
      <c r="H26" s="413">
        <f>IF(B26=0,"",IF(Envoltória!O34=0,0,VLOOKUP(B26,Aux_Lista!A:M,13,FALSE)))</f>
        <v>0.5</v>
      </c>
      <c r="I26" s="413">
        <f>IF(B26=0,"",IF(BF26=1,VLOOKUP(Envoltória!N34,Componentes!T:AB,7,FALSE),89))</f>
        <v>0</v>
      </c>
      <c r="J26" s="414">
        <f>IF(B26=0,"",Componentes!$Q$10)</f>
        <v>2.06</v>
      </c>
      <c r="K26" s="414">
        <f>IF(B26=0,"",Componentes!$R$10)</f>
        <v>233</v>
      </c>
      <c r="L26" s="413">
        <f>IF(B26=0,"",IFERROR(IF(BB26&lt;&gt;0,Componentes!$L$11,0),""))</f>
        <v>0</v>
      </c>
      <c r="M26" s="413">
        <f>IF(B26=0,"",IFERROR(IF(BB26&lt;&gt;0,Componentes!$M$11,0),""))</f>
        <v>0</v>
      </c>
      <c r="N26" s="415">
        <f>IF(B26=0,"",IFERROR(IF(BB26&lt;&gt;0,Componentes!$N$11,0),""))</f>
        <v>0</v>
      </c>
      <c r="O26" s="413">
        <f>IF(B26=0,"",IF(BF26=1,Componentes!$C$11,-6))</f>
        <v>2.39</v>
      </c>
      <c r="P26" s="413">
        <f>IF(B26=0,"",IF(BF26=1,Componentes!$D$11,-400))</f>
        <v>150</v>
      </c>
      <c r="Q26" s="413">
        <f>IF(B26=0,"",IF(BF26=1,Componentes!$E$11,0))</f>
        <v>0.5</v>
      </c>
      <c r="R26" s="414">
        <f>IF(B26=0,"",Componentes!$H$11)</f>
        <v>2.39</v>
      </c>
      <c r="S26" s="414">
        <f>IF(B26=0,"",Componentes!$I$11)</f>
        <v>150</v>
      </c>
      <c r="T26" s="413">
        <f>IF(B26=0,"",IFERROR(IF(H26&lt;&gt;0,Componentes!$V$11,0),""))</f>
        <v>0.82</v>
      </c>
      <c r="U26" s="413">
        <f>IF(B26=0,"",IFERROR(IF(H26&lt;&gt;0,Componentes!$U$11,0),""))</f>
        <v>5.7</v>
      </c>
      <c r="V26" s="414">
        <f>IF(B26=0,"",IFERROR(IF(AA26&lt;&gt;0,VLOOKUP(Envoltória!U34,Componentes!X:Z,2,FALSE),0),0))</f>
        <v>0</v>
      </c>
      <c r="W26" s="414">
        <f>IF(B26=0,"",IFERROR(IF(AA26&lt;&gt;0,Componentes!$AE$11,0),0))</f>
        <v>0</v>
      </c>
      <c r="X26" s="413">
        <f>IF(B26=0,"",Envoltória!U34)</f>
        <v>0.1</v>
      </c>
      <c r="Y26" s="413">
        <f>IF(B26=0,"",VLOOKUP(Início!$C$20,Aux_Lista!A:H,8,FALSE))</f>
        <v>14.1</v>
      </c>
      <c r="Z26" s="413">
        <f>IF(B26=0,"",Envoltória!T34)</f>
        <v>15</v>
      </c>
      <c r="AA26" s="416">
        <f>IF(B26=0,"",Envoltória!Q34/100)</f>
        <v>0</v>
      </c>
      <c r="AB26" s="417">
        <f>INPUT!AB26</f>
        <v>-7.02</v>
      </c>
      <c r="AC26" s="417">
        <f>INPUT!AC26</f>
        <v>249</v>
      </c>
      <c r="AD26" s="417">
        <f>INPUT!AD26</f>
        <v>27.24</v>
      </c>
      <c r="AE26" s="417">
        <f>INPUT!AE26</f>
        <v>24.17</v>
      </c>
      <c r="AF26" s="417">
        <f>INPUT!AF26</f>
        <v>30.311666670000001</v>
      </c>
      <c r="AG26" s="417">
        <f>INPUT!AG26</f>
        <v>2.8624999999999998</v>
      </c>
      <c r="AH26" s="417">
        <f>INPUT!AH26</f>
        <v>1.8233333300000001</v>
      </c>
      <c r="AI26" s="417">
        <f>INPUT!AI26</f>
        <v>3.8433333300000001</v>
      </c>
      <c r="AJ26" s="417">
        <f>INPUT!AJ26</f>
        <v>6082.0829999999996</v>
      </c>
      <c r="AK26" s="417">
        <f>INPUT!AK26</f>
        <v>5588.8329999999996</v>
      </c>
      <c r="AL26" s="417">
        <f>INPUT!AL26</f>
        <v>6759.9380000000001</v>
      </c>
      <c r="AM26" s="417">
        <f>INPUT!AM26</f>
        <v>18.44083333</v>
      </c>
      <c r="AN26" s="417">
        <f>INPUT!AN26</f>
        <v>17.19166667</v>
      </c>
      <c r="AO26" s="417">
        <f>INPUT!AO26</f>
        <v>19.883333329999999</v>
      </c>
      <c r="AP26" s="413">
        <f>IF(B26=0,"",IF(BF26=0,90,VLOOKUP(Envoltória!N34,Componentes!T:AB,9,FALSE)))</f>
        <v>0</v>
      </c>
      <c r="AQ26" s="413">
        <f>IF(B26=0,"",IF(BF26=0,90,VLOOKUP(Envoltória!N34,Componentes!T:AB,8,FALSE)))</f>
        <v>0</v>
      </c>
      <c r="AR26" s="413">
        <f t="shared" si="1"/>
        <v>1</v>
      </c>
      <c r="AS26" s="413">
        <f t="shared" si="1"/>
        <v>0</v>
      </c>
      <c r="AT26" s="413">
        <f t="shared" si="1"/>
        <v>0</v>
      </c>
      <c r="AU26" s="413">
        <f t="shared" si="1"/>
        <v>0</v>
      </c>
      <c r="AV26" s="413">
        <f t="shared" si="1"/>
        <v>0</v>
      </c>
      <c r="AW26" s="414">
        <f>INPUT!AW26</f>
        <v>0</v>
      </c>
      <c r="AX26" s="414">
        <f>INPUT!AX26</f>
        <v>1</v>
      </c>
      <c r="AY26" s="414">
        <f>INPUT!AY26</f>
        <v>1</v>
      </c>
      <c r="AZ26" s="414">
        <f>INPUT!AZ26</f>
        <v>0</v>
      </c>
      <c r="BA26" s="414">
        <f>INPUT!BA26</f>
        <v>1</v>
      </c>
      <c r="BB26" s="414">
        <f>INPUT!BB26</f>
        <v>0</v>
      </c>
      <c r="BC26" s="414">
        <f>INPUT!BC26</f>
        <v>1</v>
      </c>
      <c r="BD26" s="414">
        <f>INPUT!BD26</f>
        <v>0</v>
      </c>
      <c r="BE26" s="412">
        <f t="shared" si="2"/>
        <v>0</v>
      </c>
      <c r="BF26" s="412">
        <f>IF(B26=0,"",IFERROR(VLOOKUP(Envoltória!F34,INPUT_REF!$BQ$18:$BR$19,2,FALSE),""))</f>
        <v>1</v>
      </c>
      <c r="BG26" s="412">
        <f>IFERROR(VLOOKUP(Envoltória!$G34,$BQ$35:$BZ$43,BG$9,FALSE),"")</f>
        <v>0</v>
      </c>
      <c r="BH26" s="412">
        <f>IFERROR(VLOOKUP(Envoltória!$G34,$BQ$35:$BZ$43,BH$9,FALSE),"")</f>
        <v>0</v>
      </c>
      <c r="BI26" s="412">
        <f>IFERROR(VLOOKUP(Envoltória!$G34,$BQ$35:$BZ$43,BI$9,FALSE),"")</f>
        <v>0</v>
      </c>
      <c r="BJ26" s="412">
        <f>IFERROR(VLOOKUP(Envoltória!$G34,$BQ$35:$BZ$43,BJ$9,FALSE),"")</f>
        <v>0</v>
      </c>
      <c r="BK26" s="412">
        <f>IFERROR(VLOOKUP(Envoltória!$G34,$BQ$35:$BZ$43,BK$9,FALSE),"")</f>
        <v>0</v>
      </c>
      <c r="BL26" s="412">
        <f>IFERROR(VLOOKUP(Envoltória!$G34,$BQ$35:$BZ$43,BL$9,FALSE),"")</f>
        <v>0</v>
      </c>
      <c r="BM26" s="412">
        <f>IFERROR(VLOOKUP(Envoltória!$G34,$BQ$35:$BZ$43,BM$9,FALSE),"")</f>
        <v>1</v>
      </c>
      <c r="BN26" s="412">
        <f>IFERROR(VLOOKUP(Envoltória!$G34,$BQ$35:$BZ$43,BN$9,FALSE),"")</f>
        <v>0</v>
      </c>
      <c r="BO26" s="412">
        <f>IFERROR(VLOOKUP(Envoltória!$G34,$BQ$35:$BZ$43,BO$9,FALSE),"")</f>
        <v>0</v>
      </c>
      <c r="BP26" s="1"/>
      <c r="BQ26" s="421" t="s">
        <v>287</v>
      </c>
      <c r="BR26" s="419">
        <v>24</v>
      </c>
      <c r="BS26" s="419">
        <v>0</v>
      </c>
      <c r="BT26" s="419">
        <v>1</v>
      </c>
      <c r="BU26" s="419">
        <v>0</v>
      </c>
      <c r="BV26" s="419">
        <v>0</v>
      </c>
      <c r="BW26" s="419">
        <v>0</v>
      </c>
    </row>
    <row r="27" spans="1:75" s="15" customFormat="1" x14ac:dyDescent="0.25">
      <c r="A27" s="1">
        <v>17</v>
      </c>
      <c r="B27" s="409" t="str">
        <f>Envoltória!I35</f>
        <v>Escritórios</v>
      </c>
      <c r="C27" s="410" t="str">
        <f>Envoltória!B35</f>
        <v>Térreo (com + pvtos acima)</v>
      </c>
      <c r="D27" s="410" t="str">
        <f>Envoltória!C35</f>
        <v>ZP17</v>
      </c>
      <c r="E27" s="411">
        <f>Envoltória!D35</f>
        <v>11.47</v>
      </c>
      <c r="F27" s="412">
        <f>IF(B27=0,"",Envoltória!E35)</f>
        <v>3</v>
      </c>
      <c r="G27" s="429">
        <f t="shared" si="0"/>
        <v>7.0488888888888894</v>
      </c>
      <c r="H27" s="413">
        <f>IF(B27=0,"",IF(Envoltória!O35=0,0,VLOOKUP(B27,Aux_Lista!A:M,13,FALSE)))</f>
        <v>0</v>
      </c>
      <c r="I27" s="413">
        <f>IF(B27=0,"",IF(BF27=1,VLOOKUP(Envoltória!N35,Componentes!T:AB,7,FALSE),89))</f>
        <v>0</v>
      </c>
      <c r="J27" s="414">
        <f>IF(B27=0,"",Componentes!$Q$10)</f>
        <v>2.06</v>
      </c>
      <c r="K27" s="414">
        <f>IF(B27=0,"",Componentes!$R$10)</f>
        <v>233</v>
      </c>
      <c r="L27" s="413">
        <f>IF(B27=0,"",IFERROR(IF(BB27&lt;&gt;0,Componentes!$L$11,0),""))</f>
        <v>0</v>
      </c>
      <c r="M27" s="413">
        <f>IF(B27=0,"",IFERROR(IF(BB27&lt;&gt;0,Componentes!$M$11,0),""))</f>
        <v>0</v>
      </c>
      <c r="N27" s="415">
        <f>IF(B27=0,"",IFERROR(IF(BB27&lt;&gt;0,Componentes!$N$11,0),""))</f>
        <v>0</v>
      </c>
      <c r="O27" s="413">
        <f>IF(B27=0,"",IF(BF27=1,Componentes!$C$11,-6))</f>
        <v>2.39</v>
      </c>
      <c r="P27" s="413">
        <f>IF(B27=0,"",IF(BF27=1,Componentes!$D$11,-400))</f>
        <v>150</v>
      </c>
      <c r="Q27" s="413">
        <f>IF(B27=0,"",IF(BF27=1,Componentes!$E$11,0))</f>
        <v>0.5</v>
      </c>
      <c r="R27" s="414">
        <f>IF(B27=0,"",Componentes!$H$11)</f>
        <v>2.39</v>
      </c>
      <c r="S27" s="414">
        <f>IF(B27=0,"",Componentes!$I$11)</f>
        <v>150</v>
      </c>
      <c r="T27" s="413">
        <f>IF(B27=0,"",IFERROR(IF(H27&lt;&gt;0,Componentes!$V$11,0),""))</f>
        <v>0</v>
      </c>
      <c r="U27" s="413">
        <f>IF(B27=0,"",IFERROR(IF(H27&lt;&gt;0,Componentes!$U$11,0),""))</f>
        <v>0</v>
      </c>
      <c r="V27" s="414">
        <f>IF(B27=0,"",IFERROR(IF(AA27&lt;&gt;0,VLOOKUP(Envoltória!U35,Componentes!X:Z,2,FALSE),0),0))</f>
        <v>0</v>
      </c>
      <c r="W27" s="414">
        <f>IF(B27=0,"",IFERROR(IF(AA27&lt;&gt;0,Componentes!$AE$11,0),0))</f>
        <v>0</v>
      </c>
      <c r="X27" s="413">
        <f>IF(B27=0,"",Envoltória!U35)</f>
        <v>0.1</v>
      </c>
      <c r="Y27" s="413">
        <f>IF(B27=0,"",VLOOKUP(Início!$C$20,Aux_Lista!A:H,8,FALSE))</f>
        <v>14.1</v>
      </c>
      <c r="Z27" s="413">
        <f>IF(B27=0,"",Envoltória!T35)</f>
        <v>15</v>
      </c>
      <c r="AA27" s="416">
        <f>IF(B27=0,"",Envoltória!Q35/100)</f>
        <v>0</v>
      </c>
      <c r="AB27" s="417">
        <f>INPUT!AB27</f>
        <v>-7.02</v>
      </c>
      <c r="AC27" s="417">
        <f>INPUT!AC27</f>
        <v>249</v>
      </c>
      <c r="AD27" s="417">
        <f>INPUT!AD27</f>
        <v>27.24</v>
      </c>
      <c r="AE27" s="417">
        <f>INPUT!AE27</f>
        <v>24.17</v>
      </c>
      <c r="AF27" s="417">
        <f>INPUT!AF27</f>
        <v>30.311666670000001</v>
      </c>
      <c r="AG27" s="417">
        <f>INPUT!AG27</f>
        <v>2.8624999999999998</v>
      </c>
      <c r="AH27" s="417">
        <f>INPUT!AH27</f>
        <v>1.8233333300000001</v>
      </c>
      <c r="AI27" s="417">
        <f>INPUT!AI27</f>
        <v>3.8433333300000001</v>
      </c>
      <c r="AJ27" s="417">
        <f>INPUT!AJ27</f>
        <v>6082.0829999999996</v>
      </c>
      <c r="AK27" s="417">
        <f>INPUT!AK27</f>
        <v>5588.8329999999996</v>
      </c>
      <c r="AL27" s="417">
        <f>INPUT!AL27</f>
        <v>6759.9380000000001</v>
      </c>
      <c r="AM27" s="417">
        <f>INPUT!AM27</f>
        <v>18.44083333</v>
      </c>
      <c r="AN27" s="417">
        <f>INPUT!AN27</f>
        <v>17.19166667</v>
      </c>
      <c r="AO27" s="417">
        <f>INPUT!AO27</f>
        <v>19.883333329999999</v>
      </c>
      <c r="AP27" s="413">
        <f>IF(B27=0,"",IF(BF27=0,90,VLOOKUP(Envoltória!N35,Componentes!T:AB,9,FALSE)))</f>
        <v>0</v>
      </c>
      <c r="AQ27" s="413">
        <f>IF(B27=0,"",IF(BF27=0,90,VLOOKUP(Envoltória!N35,Componentes!T:AB,8,FALSE)))</f>
        <v>0</v>
      </c>
      <c r="AR27" s="413">
        <f t="shared" si="1"/>
        <v>1</v>
      </c>
      <c r="AS27" s="413">
        <f t="shared" si="1"/>
        <v>0</v>
      </c>
      <c r="AT27" s="413">
        <f t="shared" si="1"/>
        <v>0</v>
      </c>
      <c r="AU27" s="413">
        <f t="shared" si="1"/>
        <v>0</v>
      </c>
      <c r="AV27" s="413">
        <f t="shared" si="1"/>
        <v>0</v>
      </c>
      <c r="AW27" s="414">
        <f>INPUT!AW27</f>
        <v>0</v>
      </c>
      <c r="AX27" s="414">
        <f>INPUT!AX27</f>
        <v>1</v>
      </c>
      <c r="AY27" s="414">
        <f>INPUT!AY27</f>
        <v>1</v>
      </c>
      <c r="AZ27" s="414">
        <f>INPUT!AZ27</f>
        <v>0</v>
      </c>
      <c r="BA27" s="414">
        <f>INPUT!BA27</f>
        <v>1</v>
      </c>
      <c r="BB27" s="414">
        <f>INPUT!BB27</f>
        <v>0</v>
      </c>
      <c r="BC27" s="414">
        <f>INPUT!BC27</f>
        <v>1</v>
      </c>
      <c r="BD27" s="414">
        <f>INPUT!BD27</f>
        <v>0</v>
      </c>
      <c r="BE27" s="412">
        <f t="shared" si="2"/>
        <v>0</v>
      </c>
      <c r="BF27" s="412">
        <f>IF(B27=0,"",IFERROR(VLOOKUP(Envoltória!F35,INPUT_REF!$BQ$18:$BR$19,2,FALSE),""))</f>
        <v>1</v>
      </c>
      <c r="BG27" s="412">
        <f>IFERROR(VLOOKUP(Envoltória!$G35,$BQ$35:$BZ$43,BG$9,FALSE),"")</f>
        <v>0</v>
      </c>
      <c r="BH27" s="412">
        <f>IFERROR(VLOOKUP(Envoltória!$G35,$BQ$35:$BZ$43,BH$9,FALSE),"")</f>
        <v>0</v>
      </c>
      <c r="BI27" s="412">
        <f>IFERROR(VLOOKUP(Envoltória!$G35,$BQ$35:$BZ$43,BI$9,FALSE),"")</f>
        <v>0</v>
      </c>
      <c r="BJ27" s="412">
        <f>IFERROR(VLOOKUP(Envoltória!$G35,$BQ$35:$BZ$43,BJ$9,FALSE),"")</f>
        <v>0</v>
      </c>
      <c r="BK27" s="412">
        <f>IFERROR(VLOOKUP(Envoltória!$G35,$BQ$35:$BZ$43,BK$9,FALSE),"")</f>
        <v>1</v>
      </c>
      <c r="BL27" s="412">
        <f>IFERROR(VLOOKUP(Envoltória!$G35,$BQ$35:$BZ$43,BL$9,FALSE),"")</f>
        <v>0</v>
      </c>
      <c r="BM27" s="412">
        <f>IFERROR(VLOOKUP(Envoltória!$G35,$BQ$35:$BZ$43,BM$9,FALSE),"")</f>
        <v>0</v>
      </c>
      <c r="BN27" s="412">
        <f>IFERROR(VLOOKUP(Envoltória!$G35,$BQ$35:$BZ$43,BN$9,FALSE),"")</f>
        <v>0</v>
      </c>
      <c r="BO27" s="412">
        <f>IFERROR(VLOOKUP(Envoltória!$G35,$BQ$35:$BZ$43,BO$9,FALSE),"")</f>
        <v>0</v>
      </c>
      <c r="BP27" s="1"/>
      <c r="BQ27" s="421" t="s">
        <v>297</v>
      </c>
      <c r="BR27" s="419">
        <v>12</v>
      </c>
      <c r="BS27" s="419">
        <v>0</v>
      </c>
      <c r="BT27" s="419">
        <v>1</v>
      </c>
      <c r="BU27" s="419">
        <v>0</v>
      </c>
      <c r="BV27" s="419">
        <v>0</v>
      </c>
      <c r="BW27" s="419">
        <v>0</v>
      </c>
    </row>
    <row r="28" spans="1:75" s="15" customFormat="1" x14ac:dyDescent="0.25">
      <c r="A28" s="1">
        <v>18</v>
      </c>
      <c r="B28" s="409" t="str">
        <f>Envoltória!I36</f>
        <v>Escritórios</v>
      </c>
      <c r="C28" s="410" t="str">
        <f>Envoltória!B36</f>
        <v>Térreo (com + pvtos acima)</v>
      </c>
      <c r="D28" s="410" t="str">
        <f>Envoltória!C36</f>
        <v>ZP18</v>
      </c>
      <c r="E28" s="411">
        <f>Envoltória!D36</f>
        <v>0.37</v>
      </c>
      <c r="F28" s="412">
        <f>IF(B28=0,"",Envoltória!E36)</f>
        <v>3</v>
      </c>
      <c r="G28" s="429">
        <f t="shared" si="0"/>
        <v>4.5822222222222226</v>
      </c>
      <c r="H28" s="413">
        <f>IF(B28=0,"",IF(Envoltória!O36=0,0,VLOOKUP(B28,Aux_Lista!A:M,13,FALSE)))</f>
        <v>0</v>
      </c>
      <c r="I28" s="413">
        <f>IF(B28=0,"",IF(BF28=1,VLOOKUP(Envoltória!N36,Componentes!T:AB,7,FALSE),89))</f>
        <v>0</v>
      </c>
      <c r="J28" s="414">
        <f>IF(B28=0,"",Componentes!$Q$10)</f>
        <v>2.06</v>
      </c>
      <c r="K28" s="414">
        <f>IF(B28=0,"",Componentes!$R$10)</f>
        <v>233</v>
      </c>
      <c r="L28" s="413">
        <f>IF(B28=0,"",IFERROR(IF(BB28&lt;&gt;0,Componentes!$L$11,0),""))</f>
        <v>0</v>
      </c>
      <c r="M28" s="413">
        <f>IF(B28=0,"",IFERROR(IF(BB28&lt;&gt;0,Componentes!$M$11,0),""))</f>
        <v>0</v>
      </c>
      <c r="N28" s="415">
        <f>IF(B28=0,"",IFERROR(IF(BB28&lt;&gt;0,Componentes!$N$11,0),""))</f>
        <v>0</v>
      </c>
      <c r="O28" s="413">
        <f>IF(B28=0,"",IF(BF28=1,Componentes!$C$11,-6))</f>
        <v>2.39</v>
      </c>
      <c r="P28" s="413">
        <f>IF(B28=0,"",IF(BF28=1,Componentes!$D$11,-400))</f>
        <v>150</v>
      </c>
      <c r="Q28" s="413">
        <f>IF(B28=0,"",IF(BF28=1,Componentes!$E$11,0))</f>
        <v>0.5</v>
      </c>
      <c r="R28" s="414">
        <f>IF(B28=0,"",Componentes!$H$11)</f>
        <v>2.39</v>
      </c>
      <c r="S28" s="414">
        <f>IF(B28=0,"",Componentes!$I$11)</f>
        <v>150</v>
      </c>
      <c r="T28" s="413">
        <f>IF(B28=0,"",IFERROR(IF(H28&lt;&gt;0,Componentes!$V$11,0),""))</f>
        <v>0</v>
      </c>
      <c r="U28" s="413">
        <f>IF(B28=0,"",IFERROR(IF(H28&lt;&gt;0,Componentes!$U$11,0),""))</f>
        <v>0</v>
      </c>
      <c r="V28" s="414">
        <f>IF(B28=0,"",IFERROR(IF(AA28&lt;&gt;0,VLOOKUP(Envoltória!U36,Componentes!X:Z,2,FALSE),0),0))</f>
        <v>0</v>
      </c>
      <c r="W28" s="414">
        <f>IF(B28=0,"",IFERROR(IF(AA28&lt;&gt;0,Componentes!$AE$11,0),0))</f>
        <v>0</v>
      </c>
      <c r="X28" s="413">
        <f>IF(B28=0,"",Envoltória!U36)</f>
        <v>0.1</v>
      </c>
      <c r="Y28" s="413">
        <f>IF(B28=0,"",VLOOKUP(Início!$C$20,Aux_Lista!A:H,8,FALSE))</f>
        <v>14.1</v>
      </c>
      <c r="Z28" s="413">
        <f>IF(B28=0,"",Envoltória!T36)</f>
        <v>15</v>
      </c>
      <c r="AA28" s="416">
        <f>IF(B28=0,"",Envoltória!Q36/100)</f>
        <v>0</v>
      </c>
      <c r="AB28" s="417">
        <f>INPUT!AB28</f>
        <v>-7.02</v>
      </c>
      <c r="AC28" s="417">
        <f>INPUT!AC28</f>
        <v>249</v>
      </c>
      <c r="AD28" s="417">
        <f>INPUT!AD28</f>
        <v>27.24</v>
      </c>
      <c r="AE28" s="417">
        <f>INPUT!AE28</f>
        <v>24.17</v>
      </c>
      <c r="AF28" s="417">
        <f>INPUT!AF28</f>
        <v>30.311666670000001</v>
      </c>
      <c r="AG28" s="417">
        <f>INPUT!AG28</f>
        <v>2.8624999999999998</v>
      </c>
      <c r="AH28" s="417">
        <f>INPUT!AH28</f>
        <v>1.8233333300000001</v>
      </c>
      <c r="AI28" s="417">
        <f>INPUT!AI28</f>
        <v>3.8433333300000001</v>
      </c>
      <c r="AJ28" s="417">
        <f>INPUT!AJ28</f>
        <v>6082.0829999999996</v>
      </c>
      <c r="AK28" s="417">
        <f>INPUT!AK28</f>
        <v>5588.8329999999996</v>
      </c>
      <c r="AL28" s="417">
        <f>INPUT!AL28</f>
        <v>6759.9380000000001</v>
      </c>
      <c r="AM28" s="417">
        <f>INPUT!AM28</f>
        <v>18.44083333</v>
      </c>
      <c r="AN28" s="417">
        <f>INPUT!AN28</f>
        <v>17.19166667</v>
      </c>
      <c r="AO28" s="417">
        <f>INPUT!AO28</f>
        <v>19.883333329999999</v>
      </c>
      <c r="AP28" s="413">
        <f>IF(B28=0,"",IF(BF28=0,90,VLOOKUP(Envoltória!N36,Componentes!T:AB,9,FALSE)))</f>
        <v>0</v>
      </c>
      <c r="AQ28" s="413">
        <f>IF(B28=0,"",IF(BF28=0,90,VLOOKUP(Envoltória!N36,Componentes!T:AB,8,FALSE)))</f>
        <v>0</v>
      </c>
      <c r="AR28" s="413">
        <f t="shared" si="1"/>
        <v>1</v>
      </c>
      <c r="AS28" s="413">
        <f t="shared" si="1"/>
        <v>0</v>
      </c>
      <c r="AT28" s="413">
        <f t="shared" si="1"/>
        <v>0</v>
      </c>
      <c r="AU28" s="413">
        <f t="shared" si="1"/>
        <v>0</v>
      </c>
      <c r="AV28" s="413">
        <f t="shared" si="1"/>
        <v>0</v>
      </c>
      <c r="AW28" s="414">
        <f>INPUT!AW28</f>
        <v>0</v>
      </c>
      <c r="AX28" s="414">
        <f>INPUT!AX28</f>
        <v>1</v>
      </c>
      <c r="AY28" s="414">
        <f>INPUT!AY28</f>
        <v>1</v>
      </c>
      <c r="AZ28" s="414">
        <f>INPUT!AZ28</f>
        <v>0</v>
      </c>
      <c r="BA28" s="414">
        <f>INPUT!BA28</f>
        <v>1</v>
      </c>
      <c r="BB28" s="414">
        <f>INPUT!BB28</f>
        <v>0</v>
      </c>
      <c r="BC28" s="414">
        <f>INPUT!BC28</f>
        <v>1</v>
      </c>
      <c r="BD28" s="414">
        <f>INPUT!BD28</f>
        <v>0</v>
      </c>
      <c r="BE28" s="412">
        <f t="shared" si="2"/>
        <v>0</v>
      </c>
      <c r="BF28" s="412">
        <f>IF(B28=0,"",IFERROR(VLOOKUP(Envoltória!F36,INPUT_REF!$BQ$18:$BR$19,2,FALSE),""))</f>
        <v>1</v>
      </c>
      <c r="BG28" s="412">
        <f>IFERROR(VLOOKUP(Envoltória!$G36,$BQ$35:$BZ$43,BG$9,FALSE),"")</f>
        <v>0</v>
      </c>
      <c r="BH28" s="412">
        <f>IFERROR(VLOOKUP(Envoltória!$G36,$BQ$35:$BZ$43,BH$9,FALSE),"")</f>
        <v>0</v>
      </c>
      <c r="BI28" s="412">
        <f>IFERROR(VLOOKUP(Envoltória!$G36,$BQ$35:$BZ$43,BI$9,FALSE),"")</f>
        <v>0</v>
      </c>
      <c r="BJ28" s="412">
        <f>IFERROR(VLOOKUP(Envoltória!$G36,$BQ$35:$BZ$43,BJ$9,FALSE),"")</f>
        <v>0</v>
      </c>
      <c r="BK28" s="412">
        <f>IFERROR(VLOOKUP(Envoltória!$G36,$BQ$35:$BZ$43,BK$9,FALSE),"")</f>
        <v>0</v>
      </c>
      <c r="BL28" s="412">
        <f>IFERROR(VLOOKUP(Envoltória!$G36,$BQ$35:$BZ$43,BL$9,FALSE),"")</f>
        <v>0</v>
      </c>
      <c r="BM28" s="412">
        <f>IFERROR(VLOOKUP(Envoltória!$G36,$BQ$35:$BZ$43,BM$9,FALSE),"")</f>
        <v>1</v>
      </c>
      <c r="BN28" s="412">
        <f>IFERROR(VLOOKUP(Envoltória!$G36,$BQ$35:$BZ$43,BN$9,FALSE),"")</f>
        <v>0</v>
      </c>
      <c r="BO28" s="412">
        <f>IFERROR(VLOOKUP(Envoltória!$G36,$BQ$35:$BZ$43,BO$9,FALSE),"")</f>
        <v>0</v>
      </c>
      <c r="BP28" s="1"/>
      <c r="BQ28" s="421" t="s">
        <v>70</v>
      </c>
      <c r="BR28" s="419">
        <v>12</v>
      </c>
      <c r="BS28" s="419">
        <v>0</v>
      </c>
      <c r="BT28" s="419">
        <v>1</v>
      </c>
      <c r="BU28" s="419">
        <v>0</v>
      </c>
      <c r="BV28" s="419">
        <v>0</v>
      </c>
      <c r="BW28" s="419">
        <v>0</v>
      </c>
    </row>
    <row r="29" spans="1:75" s="15" customFormat="1" x14ac:dyDescent="0.25">
      <c r="A29" s="1">
        <v>19</v>
      </c>
      <c r="B29" s="409" t="str">
        <f>Envoltória!I37</f>
        <v>Escritórios</v>
      </c>
      <c r="C29" s="410" t="str">
        <f>Envoltória!B37</f>
        <v>Térreo (com + pvtos acima)</v>
      </c>
      <c r="D29" s="410" t="str">
        <f>Envoltória!C37</f>
        <v>ZP19</v>
      </c>
      <c r="E29" s="411">
        <f>Envoltória!D37</f>
        <v>36.15</v>
      </c>
      <c r="F29" s="412">
        <f>IF(B29=0,"",Envoltória!E37)</f>
        <v>3</v>
      </c>
      <c r="G29" s="429">
        <f t="shared" si="0"/>
        <v>12.533333333333333</v>
      </c>
      <c r="H29" s="413">
        <f>IF(B29=0,"",IF(Envoltória!O37=0,0,VLOOKUP(B29,Aux_Lista!A:M,13,FALSE)))</f>
        <v>0.5</v>
      </c>
      <c r="I29" s="413">
        <f>IF(B29=0,"",IF(BF29=1,VLOOKUP(Envoltória!N37,Componentes!T:AB,7,FALSE),89))</f>
        <v>0</v>
      </c>
      <c r="J29" s="414">
        <f>IF(B29=0,"",Componentes!$Q$10)</f>
        <v>2.06</v>
      </c>
      <c r="K29" s="414">
        <f>IF(B29=0,"",Componentes!$R$10)</f>
        <v>233</v>
      </c>
      <c r="L29" s="413">
        <f>IF(B29=0,"",IFERROR(IF(BB29&lt;&gt;0,Componentes!$L$11,0),""))</f>
        <v>0</v>
      </c>
      <c r="M29" s="413">
        <f>IF(B29=0,"",IFERROR(IF(BB29&lt;&gt;0,Componentes!$M$11,0),""))</f>
        <v>0</v>
      </c>
      <c r="N29" s="415">
        <f>IF(B29=0,"",IFERROR(IF(BB29&lt;&gt;0,Componentes!$N$11,0),""))</f>
        <v>0</v>
      </c>
      <c r="O29" s="413">
        <f>IF(B29=0,"",IF(BF29=1,Componentes!$C$11,-6))</f>
        <v>2.39</v>
      </c>
      <c r="P29" s="413">
        <f>IF(B29=0,"",IF(BF29=1,Componentes!$D$11,-400))</f>
        <v>150</v>
      </c>
      <c r="Q29" s="413">
        <f>IF(B29=0,"",IF(BF29=1,Componentes!$E$11,0))</f>
        <v>0.5</v>
      </c>
      <c r="R29" s="414">
        <f>IF(B29=0,"",Componentes!$H$11)</f>
        <v>2.39</v>
      </c>
      <c r="S29" s="414">
        <f>IF(B29=0,"",Componentes!$I$11)</f>
        <v>150</v>
      </c>
      <c r="T29" s="413">
        <f>IF(B29=0,"",IFERROR(IF(H29&lt;&gt;0,Componentes!$V$11,0),""))</f>
        <v>0.82</v>
      </c>
      <c r="U29" s="413">
        <f>IF(B29=0,"",IFERROR(IF(H29&lt;&gt;0,Componentes!$U$11,0),""))</f>
        <v>5.7</v>
      </c>
      <c r="V29" s="414">
        <f>IF(B29=0,"",IFERROR(IF(AA29&lt;&gt;0,VLOOKUP(Envoltória!U37,Componentes!X:Z,2,FALSE),0),0))</f>
        <v>0</v>
      </c>
      <c r="W29" s="414">
        <f>IF(B29=0,"",IFERROR(IF(AA29&lt;&gt;0,Componentes!$AE$11,0),0))</f>
        <v>0</v>
      </c>
      <c r="X29" s="413">
        <f>IF(B29=0,"",Envoltória!U37)</f>
        <v>0.1</v>
      </c>
      <c r="Y29" s="413">
        <f>IF(B29=0,"",VLOOKUP(Início!$C$20,Aux_Lista!A:H,8,FALSE))</f>
        <v>14.1</v>
      </c>
      <c r="Z29" s="413">
        <f>IF(B29=0,"",Envoltória!T37)</f>
        <v>15</v>
      </c>
      <c r="AA29" s="416">
        <f>IF(B29=0,"",Envoltória!Q37/100)</f>
        <v>0</v>
      </c>
      <c r="AB29" s="417">
        <f>INPUT!AB29</f>
        <v>-7.02</v>
      </c>
      <c r="AC29" s="417">
        <f>INPUT!AC29</f>
        <v>249</v>
      </c>
      <c r="AD29" s="417">
        <f>INPUT!AD29</f>
        <v>27.24</v>
      </c>
      <c r="AE29" s="417">
        <f>INPUT!AE29</f>
        <v>24.17</v>
      </c>
      <c r="AF29" s="417">
        <f>INPUT!AF29</f>
        <v>30.311666670000001</v>
      </c>
      <c r="AG29" s="417">
        <f>INPUT!AG29</f>
        <v>2.8624999999999998</v>
      </c>
      <c r="AH29" s="417">
        <f>INPUT!AH29</f>
        <v>1.8233333300000001</v>
      </c>
      <c r="AI29" s="417">
        <f>INPUT!AI29</f>
        <v>3.8433333300000001</v>
      </c>
      <c r="AJ29" s="417">
        <f>INPUT!AJ29</f>
        <v>6082.0829999999996</v>
      </c>
      <c r="AK29" s="417">
        <f>INPUT!AK29</f>
        <v>5588.8329999999996</v>
      </c>
      <c r="AL29" s="417">
        <f>INPUT!AL29</f>
        <v>6759.9380000000001</v>
      </c>
      <c r="AM29" s="417">
        <f>INPUT!AM29</f>
        <v>18.44083333</v>
      </c>
      <c r="AN29" s="417">
        <f>INPUT!AN29</f>
        <v>17.19166667</v>
      </c>
      <c r="AO29" s="417">
        <f>INPUT!AO29</f>
        <v>19.883333329999999</v>
      </c>
      <c r="AP29" s="413">
        <f>IF(B29=0,"",IF(BF29=0,90,VLOOKUP(Envoltória!N37,Componentes!T:AB,9,FALSE)))</f>
        <v>0</v>
      </c>
      <c r="AQ29" s="413">
        <f>IF(B29=0,"",IF(BF29=0,90,VLOOKUP(Envoltória!N37,Componentes!T:AB,8,FALSE)))</f>
        <v>0</v>
      </c>
      <c r="AR29" s="413">
        <f t="shared" si="1"/>
        <v>1</v>
      </c>
      <c r="AS29" s="413">
        <f t="shared" si="1"/>
        <v>0</v>
      </c>
      <c r="AT29" s="413">
        <f t="shared" si="1"/>
        <v>0</v>
      </c>
      <c r="AU29" s="413">
        <f t="shared" si="1"/>
        <v>0</v>
      </c>
      <c r="AV29" s="413">
        <f t="shared" si="1"/>
        <v>0</v>
      </c>
      <c r="AW29" s="414">
        <f>INPUT!AW29</f>
        <v>0</v>
      </c>
      <c r="AX29" s="414">
        <f>INPUT!AX29</f>
        <v>1</v>
      </c>
      <c r="AY29" s="414">
        <f>INPUT!AY29</f>
        <v>1</v>
      </c>
      <c r="AZ29" s="414">
        <f>INPUT!AZ29</f>
        <v>0</v>
      </c>
      <c r="BA29" s="414">
        <f>INPUT!BA29</f>
        <v>1</v>
      </c>
      <c r="BB29" s="414">
        <f>INPUT!BB29</f>
        <v>0</v>
      </c>
      <c r="BC29" s="414">
        <f>INPUT!BC29</f>
        <v>1</v>
      </c>
      <c r="BD29" s="414">
        <f>INPUT!BD29</f>
        <v>0</v>
      </c>
      <c r="BE29" s="412">
        <f t="shared" si="2"/>
        <v>0</v>
      </c>
      <c r="BF29" s="412">
        <f>IF(B29=0,"",IFERROR(VLOOKUP(Envoltória!F37,INPUT_REF!$BQ$18:$BR$19,2,FALSE),""))</f>
        <v>1</v>
      </c>
      <c r="BG29" s="412">
        <f>IFERROR(VLOOKUP(Envoltória!$G37,$BQ$35:$BZ$43,BG$9,FALSE),"")</f>
        <v>0</v>
      </c>
      <c r="BH29" s="412">
        <f>IFERROR(VLOOKUP(Envoltória!$G37,$BQ$35:$BZ$43,BH$9,FALSE),"")</f>
        <v>0</v>
      </c>
      <c r="BI29" s="412">
        <f>IFERROR(VLOOKUP(Envoltória!$G37,$BQ$35:$BZ$43,BI$9,FALSE),"")</f>
        <v>0</v>
      </c>
      <c r="BJ29" s="412">
        <f>IFERROR(VLOOKUP(Envoltória!$G37,$BQ$35:$BZ$43,BJ$9,FALSE),"")</f>
        <v>0</v>
      </c>
      <c r="BK29" s="412">
        <f>IFERROR(VLOOKUP(Envoltória!$G37,$BQ$35:$BZ$43,BK$9,FALSE),"")</f>
        <v>1</v>
      </c>
      <c r="BL29" s="412">
        <f>IFERROR(VLOOKUP(Envoltória!$G37,$BQ$35:$BZ$43,BL$9,FALSE),"")</f>
        <v>0</v>
      </c>
      <c r="BM29" s="412">
        <f>IFERROR(VLOOKUP(Envoltória!$G37,$BQ$35:$BZ$43,BM$9,FALSE),"")</f>
        <v>0</v>
      </c>
      <c r="BN29" s="412">
        <f>IFERROR(VLOOKUP(Envoltória!$G37,$BQ$35:$BZ$43,BN$9,FALSE),"")</f>
        <v>0</v>
      </c>
      <c r="BO29" s="412">
        <f>IFERROR(VLOOKUP(Envoltória!$G37,$BQ$35:$BZ$43,BO$9,FALSE),"")</f>
        <v>0</v>
      </c>
      <c r="BP29" s="1"/>
      <c r="BQ29" s="421" t="s">
        <v>316</v>
      </c>
      <c r="BR29" s="419">
        <v>12</v>
      </c>
      <c r="BS29" s="419">
        <v>0</v>
      </c>
      <c r="BT29" s="419">
        <v>1</v>
      </c>
      <c r="BU29" s="419">
        <v>0</v>
      </c>
      <c r="BV29" s="419">
        <v>0</v>
      </c>
      <c r="BW29" s="419">
        <v>0</v>
      </c>
    </row>
    <row r="30" spans="1:75" s="15" customFormat="1" x14ac:dyDescent="0.25">
      <c r="A30" s="1">
        <v>20</v>
      </c>
      <c r="B30" s="409" t="str">
        <f>Envoltória!I38</f>
        <v>Escritórios</v>
      </c>
      <c r="C30" s="410" t="str">
        <f>Envoltória!B38</f>
        <v>Térreo (com + pvtos acima)</v>
      </c>
      <c r="D30" s="410" t="str">
        <f>Envoltória!C38</f>
        <v>ZP20</v>
      </c>
      <c r="E30" s="411">
        <f>Envoltória!D38</f>
        <v>12.06</v>
      </c>
      <c r="F30" s="412">
        <f>IF(B30=0,"",Envoltória!E38)</f>
        <v>3</v>
      </c>
      <c r="G30" s="429">
        <f t="shared" si="0"/>
        <v>7.18</v>
      </c>
      <c r="H30" s="413">
        <f>IF(B30=0,"",IF(Envoltória!O38=0,0,VLOOKUP(B30,Aux_Lista!A:M,13,FALSE)))</f>
        <v>0</v>
      </c>
      <c r="I30" s="413">
        <f>IF(B30=0,"",IF(BF30=1,VLOOKUP(Envoltória!N38,Componentes!T:AB,7,FALSE),89))</f>
        <v>0</v>
      </c>
      <c r="J30" s="414">
        <f>IF(B30=0,"",Componentes!$Q$10)</f>
        <v>2.06</v>
      </c>
      <c r="K30" s="414">
        <f>IF(B30=0,"",Componentes!$R$10)</f>
        <v>233</v>
      </c>
      <c r="L30" s="413">
        <f>IF(B30=0,"",IFERROR(IF(BB30&lt;&gt;0,Componentes!$L$11,0),""))</f>
        <v>0</v>
      </c>
      <c r="M30" s="413">
        <f>IF(B30=0,"",IFERROR(IF(BB30&lt;&gt;0,Componentes!$M$11,0),""))</f>
        <v>0</v>
      </c>
      <c r="N30" s="415">
        <f>IF(B30=0,"",IFERROR(IF(BB30&lt;&gt;0,Componentes!$N$11,0),""))</f>
        <v>0</v>
      </c>
      <c r="O30" s="413">
        <f>IF(B30=0,"",IF(BF30=1,Componentes!$C$11,-6))</f>
        <v>2.39</v>
      </c>
      <c r="P30" s="413">
        <f>IF(B30=0,"",IF(BF30=1,Componentes!$D$11,-400))</f>
        <v>150</v>
      </c>
      <c r="Q30" s="413">
        <f>IF(B30=0,"",IF(BF30=1,Componentes!$E$11,0))</f>
        <v>0.5</v>
      </c>
      <c r="R30" s="414">
        <f>IF(B30=0,"",Componentes!$H$11)</f>
        <v>2.39</v>
      </c>
      <c r="S30" s="414">
        <f>IF(B30=0,"",Componentes!$I$11)</f>
        <v>150</v>
      </c>
      <c r="T30" s="413">
        <f>IF(B30=0,"",IFERROR(IF(H30&lt;&gt;0,Componentes!$V$11,0),""))</f>
        <v>0</v>
      </c>
      <c r="U30" s="413">
        <f>IF(B30=0,"",IFERROR(IF(H30&lt;&gt;0,Componentes!$U$11,0),""))</f>
        <v>0</v>
      </c>
      <c r="V30" s="414">
        <f>IF(B30=0,"",IFERROR(IF(AA30&lt;&gt;0,VLOOKUP(Envoltória!U38,Componentes!X:Z,2,FALSE),0),0))</f>
        <v>0</v>
      </c>
      <c r="W30" s="414">
        <f>IF(B30=0,"",IFERROR(IF(AA30&lt;&gt;0,Componentes!$AE$11,0),0))</f>
        <v>0</v>
      </c>
      <c r="X30" s="413">
        <f>IF(B30=0,"",Envoltória!U38)</f>
        <v>0.1</v>
      </c>
      <c r="Y30" s="413">
        <f>IF(B30=0,"",VLOOKUP(Início!$C$20,Aux_Lista!A:H,8,FALSE))</f>
        <v>14.1</v>
      </c>
      <c r="Z30" s="413">
        <f>IF(B30=0,"",Envoltória!T38)</f>
        <v>15</v>
      </c>
      <c r="AA30" s="416">
        <f>IF(B30=0,"",Envoltória!Q38/100)</f>
        <v>0</v>
      </c>
      <c r="AB30" s="417">
        <f>INPUT!AB30</f>
        <v>-7.02</v>
      </c>
      <c r="AC30" s="417">
        <f>INPUT!AC30</f>
        <v>249</v>
      </c>
      <c r="AD30" s="417">
        <f>INPUT!AD30</f>
        <v>27.24</v>
      </c>
      <c r="AE30" s="417">
        <f>INPUT!AE30</f>
        <v>24.17</v>
      </c>
      <c r="AF30" s="417">
        <f>INPUT!AF30</f>
        <v>30.311666670000001</v>
      </c>
      <c r="AG30" s="417">
        <f>INPUT!AG30</f>
        <v>2.8624999999999998</v>
      </c>
      <c r="AH30" s="417">
        <f>INPUT!AH30</f>
        <v>1.8233333300000001</v>
      </c>
      <c r="AI30" s="417">
        <f>INPUT!AI30</f>
        <v>3.8433333300000001</v>
      </c>
      <c r="AJ30" s="417">
        <f>INPUT!AJ30</f>
        <v>6082.0829999999996</v>
      </c>
      <c r="AK30" s="417">
        <f>INPUT!AK30</f>
        <v>5588.8329999999996</v>
      </c>
      <c r="AL30" s="417">
        <f>INPUT!AL30</f>
        <v>6759.9380000000001</v>
      </c>
      <c r="AM30" s="417">
        <f>INPUT!AM30</f>
        <v>18.44083333</v>
      </c>
      <c r="AN30" s="417">
        <f>INPUT!AN30</f>
        <v>17.19166667</v>
      </c>
      <c r="AO30" s="417">
        <f>INPUT!AO30</f>
        <v>19.883333329999999</v>
      </c>
      <c r="AP30" s="413">
        <f>IF(B30=0,"",IF(BF30=0,90,VLOOKUP(Envoltória!N38,Componentes!T:AB,9,FALSE)))</f>
        <v>0</v>
      </c>
      <c r="AQ30" s="413">
        <f>IF(B30=0,"",IF(BF30=0,90,VLOOKUP(Envoltória!N38,Componentes!T:AB,8,FALSE)))</f>
        <v>0</v>
      </c>
      <c r="AR30" s="413">
        <f t="shared" si="1"/>
        <v>1</v>
      </c>
      <c r="AS30" s="413">
        <f t="shared" si="1"/>
        <v>0</v>
      </c>
      <c r="AT30" s="413">
        <f t="shared" si="1"/>
        <v>0</v>
      </c>
      <c r="AU30" s="413">
        <f t="shared" si="1"/>
        <v>0</v>
      </c>
      <c r="AV30" s="413">
        <f t="shared" si="1"/>
        <v>0</v>
      </c>
      <c r="AW30" s="414">
        <f>INPUT!AW30</f>
        <v>0</v>
      </c>
      <c r="AX30" s="414">
        <f>INPUT!AX30</f>
        <v>1</v>
      </c>
      <c r="AY30" s="414">
        <f>INPUT!AY30</f>
        <v>1</v>
      </c>
      <c r="AZ30" s="414">
        <f>INPUT!AZ30</f>
        <v>0</v>
      </c>
      <c r="BA30" s="414">
        <f>INPUT!BA30</f>
        <v>1</v>
      </c>
      <c r="BB30" s="414">
        <f>INPUT!BB30</f>
        <v>0</v>
      </c>
      <c r="BC30" s="414">
        <f>INPUT!BC30</f>
        <v>1</v>
      </c>
      <c r="BD30" s="414">
        <f>INPUT!BD30</f>
        <v>0</v>
      </c>
      <c r="BE30" s="412">
        <f t="shared" si="2"/>
        <v>0</v>
      </c>
      <c r="BF30" s="412">
        <f>IF(B30=0,"",IFERROR(VLOOKUP(Envoltória!F38,INPUT_REF!$BQ$18:$BR$19,2,FALSE),""))</f>
        <v>1</v>
      </c>
      <c r="BG30" s="412">
        <f>IFERROR(VLOOKUP(Envoltória!$G38,$BQ$35:$BZ$43,BG$9,FALSE),"")</f>
        <v>0</v>
      </c>
      <c r="BH30" s="412">
        <f>IFERROR(VLOOKUP(Envoltória!$G38,$BQ$35:$BZ$43,BH$9,FALSE),"")</f>
        <v>0</v>
      </c>
      <c r="BI30" s="412">
        <f>IFERROR(VLOOKUP(Envoltória!$G38,$BQ$35:$BZ$43,BI$9,FALSE),"")</f>
        <v>0</v>
      </c>
      <c r="BJ30" s="412">
        <f>IFERROR(VLOOKUP(Envoltória!$G38,$BQ$35:$BZ$43,BJ$9,FALSE),"")</f>
        <v>0</v>
      </c>
      <c r="BK30" s="412">
        <f>IFERROR(VLOOKUP(Envoltória!$G38,$BQ$35:$BZ$43,BK$9,FALSE),"")</f>
        <v>1</v>
      </c>
      <c r="BL30" s="412">
        <f>IFERROR(VLOOKUP(Envoltória!$G38,$BQ$35:$BZ$43,BL$9,FALSE),"")</f>
        <v>0</v>
      </c>
      <c r="BM30" s="412">
        <f>IFERROR(VLOOKUP(Envoltória!$G38,$BQ$35:$BZ$43,BM$9,FALSE),"")</f>
        <v>0</v>
      </c>
      <c r="BN30" s="412">
        <f>IFERROR(VLOOKUP(Envoltória!$G38,$BQ$35:$BZ$43,BN$9,FALSE),"")</f>
        <v>0</v>
      </c>
      <c r="BO30" s="412">
        <f>IFERROR(VLOOKUP(Envoltória!$G38,$BQ$35:$BZ$43,BO$9,FALSE),"")</f>
        <v>0</v>
      </c>
      <c r="BP30" s="1"/>
      <c r="BQ30" s="421" t="s">
        <v>321</v>
      </c>
      <c r="BR30" s="419">
        <v>8</v>
      </c>
      <c r="BS30" s="419">
        <v>0</v>
      </c>
      <c r="BT30" s="419">
        <v>0</v>
      </c>
      <c r="BU30" s="419">
        <v>0</v>
      </c>
      <c r="BV30" s="419">
        <v>0</v>
      </c>
      <c r="BW30" s="419">
        <v>1</v>
      </c>
    </row>
    <row r="31" spans="1:75" s="15" customFormat="1" x14ac:dyDescent="0.25">
      <c r="A31" s="1">
        <v>21</v>
      </c>
      <c r="B31" s="409" t="str">
        <f>Envoltória!I39</f>
        <v>Escritórios</v>
      </c>
      <c r="C31" s="410" t="str">
        <f>Envoltória!B39</f>
        <v>Térreo (com + pvtos acima)</v>
      </c>
      <c r="D31" s="410" t="str">
        <f>Envoltória!C39</f>
        <v>ZP21</v>
      </c>
      <c r="E31" s="411">
        <f>Envoltória!D39</f>
        <v>5.64</v>
      </c>
      <c r="F31" s="412">
        <f>IF(B31=0,"",Envoltória!E39)</f>
        <v>3</v>
      </c>
      <c r="G31" s="412">
        <f t="shared" si="0"/>
        <v>5.753333333333333</v>
      </c>
      <c r="H31" s="413">
        <f>IF(B31=0,"",IF(Envoltória!O39=0,0,VLOOKUP(B31,Aux_Lista!A:M,13,FALSE)))</f>
        <v>0</v>
      </c>
      <c r="I31" s="413">
        <f>IF(B31=0,"",IF(BF31=1,VLOOKUP(Envoltória!N39,Componentes!T:AB,7,FALSE),89))</f>
        <v>0</v>
      </c>
      <c r="J31" s="414">
        <f>IF(B31=0,"",Componentes!$Q$10)</f>
        <v>2.06</v>
      </c>
      <c r="K31" s="414">
        <f>IF(B31=0,"",Componentes!$R$10)</f>
        <v>233</v>
      </c>
      <c r="L31" s="413">
        <f>IF(B31=0,"",IFERROR(IF(BB31&lt;&gt;0,Componentes!$L$11,0),""))</f>
        <v>0</v>
      </c>
      <c r="M31" s="413">
        <f>IF(B31=0,"",IFERROR(IF(BB31&lt;&gt;0,Componentes!$M$11,0),""))</f>
        <v>0</v>
      </c>
      <c r="N31" s="415">
        <f>IF(B31=0,"",IFERROR(IF(BB31&lt;&gt;0,Componentes!$N$11,0),""))</f>
        <v>0</v>
      </c>
      <c r="O31" s="413">
        <f>IF(B31=0,"",IF(BF31=1,Componentes!$C$11,-6))</f>
        <v>2.39</v>
      </c>
      <c r="P31" s="413">
        <f>IF(B31=0,"",IF(BF31=1,Componentes!$D$11,-400))</f>
        <v>150</v>
      </c>
      <c r="Q31" s="413">
        <f>IF(B31=0,"",IF(BF31=1,Componentes!$E$11,0))</f>
        <v>0.5</v>
      </c>
      <c r="R31" s="414">
        <f>IF(B31=0,"",Componentes!$H$11)</f>
        <v>2.39</v>
      </c>
      <c r="S31" s="414">
        <f>IF(B31=0,"",Componentes!$I$11)</f>
        <v>150</v>
      </c>
      <c r="T31" s="413">
        <f>IF(B31=0,"",IFERROR(IF(H31&lt;&gt;0,Componentes!$V$11,0),""))</f>
        <v>0</v>
      </c>
      <c r="U31" s="413">
        <f>IF(B31=0,"",IFERROR(IF(H31&lt;&gt;0,Componentes!$U$11,0),""))</f>
        <v>0</v>
      </c>
      <c r="V31" s="414">
        <f>IF(B31=0,"",IFERROR(IF(AA31&lt;&gt;0,VLOOKUP(Envoltória!U39,Componentes!X:Z,2,FALSE),0),0))</f>
        <v>0</v>
      </c>
      <c r="W31" s="414">
        <f>IF(B31=0,"",IFERROR(IF(AA31&lt;&gt;0,Componentes!$AE$11,0),0))</f>
        <v>0</v>
      </c>
      <c r="X31" s="413">
        <f>IF(B31=0,"",Envoltória!U39)</f>
        <v>0.1</v>
      </c>
      <c r="Y31" s="413">
        <f>IF(B31=0,"",VLOOKUP(Início!$C$20,Aux_Lista!A:H,8,FALSE))</f>
        <v>14.1</v>
      </c>
      <c r="Z31" s="413">
        <f>IF(B31=0,"",Envoltória!T39)</f>
        <v>15</v>
      </c>
      <c r="AA31" s="416">
        <f>IF(B31=0,"",Envoltória!Q39/100)</f>
        <v>0</v>
      </c>
      <c r="AB31" s="417">
        <f>INPUT!AB31</f>
        <v>-7.02</v>
      </c>
      <c r="AC31" s="417">
        <f>INPUT!AC31</f>
        <v>249</v>
      </c>
      <c r="AD31" s="417">
        <f>INPUT!AD31</f>
        <v>27.24</v>
      </c>
      <c r="AE31" s="417">
        <f>INPUT!AE31</f>
        <v>24.17</v>
      </c>
      <c r="AF31" s="417">
        <f>INPUT!AF31</f>
        <v>30.311666670000001</v>
      </c>
      <c r="AG31" s="417">
        <f>INPUT!AG31</f>
        <v>2.8624999999999998</v>
      </c>
      <c r="AH31" s="417">
        <f>INPUT!AH31</f>
        <v>1.8233333300000001</v>
      </c>
      <c r="AI31" s="417">
        <f>INPUT!AI31</f>
        <v>3.8433333300000001</v>
      </c>
      <c r="AJ31" s="417">
        <f>INPUT!AJ31</f>
        <v>6082.0829999999996</v>
      </c>
      <c r="AK31" s="417">
        <f>INPUT!AK31</f>
        <v>5588.8329999999996</v>
      </c>
      <c r="AL31" s="417">
        <f>INPUT!AL31</f>
        <v>6759.9380000000001</v>
      </c>
      <c r="AM31" s="417">
        <f>INPUT!AM31</f>
        <v>18.44083333</v>
      </c>
      <c r="AN31" s="417">
        <f>INPUT!AN31</f>
        <v>17.19166667</v>
      </c>
      <c r="AO31" s="417">
        <f>INPUT!AO31</f>
        <v>19.883333329999999</v>
      </c>
      <c r="AP31" s="413">
        <f>IF(B31=0,"",IF(BF31=0,90,VLOOKUP(Envoltória!N39,Componentes!T:AB,9,FALSE)))</f>
        <v>0</v>
      </c>
      <c r="AQ31" s="413">
        <f>IF(B31=0,"",IF(BF31=0,90,VLOOKUP(Envoltória!N39,Componentes!T:AB,8,FALSE)))</f>
        <v>0</v>
      </c>
      <c r="AR31" s="413">
        <f t="shared" si="1"/>
        <v>1</v>
      </c>
      <c r="AS31" s="413">
        <f t="shared" si="1"/>
        <v>0</v>
      </c>
      <c r="AT31" s="413">
        <f t="shared" si="1"/>
        <v>0</v>
      </c>
      <c r="AU31" s="413">
        <f t="shared" si="1"/>
        <v>0</v>
      </c>
      <c r="AV31" s="413">
        <f t="shared" si="1"/>
        <v>0</v>
      </c>
      <c r="AW31" s="414">
        <f>INPUT!AW31</f>
        <v>0</v>
      </c>
      <c r="AX31" s="414">
        <f>INPUT!AX31</f>
        <v>1</v>
      </c>
      <c r="AY31" s="414">
        <f>INPUT!AY31</f>
        <v>1</v>
      </c>
      <c r="AZ31" s="414">
        <f>INPUT!AZ31</f>
        <v>0</v>
      </c>
      <c r="BA31" s="414">
        <f>INPUT!BA31</f>
        <v>1</v>
      </c>
      <c r="BB31" s="414">
        <f>INPUT!BB31</f>
        <v>0</v>
      </c>
      <c r="BC31" s="414">
        <f>INPUT!BC31</f>
        <v>1</v>
      </c>
      <c r="BD31" s="414">
        <f>INPUT!BD31</f>
        <v>0</v>
      </c>
      <c r="BE31" s="412">
        <f t="shared" si="2"/>
        <v>0</v>
      </c>
      <c r="BF31" s="412">
        <f>IF(B31=0,"",IFERROR(VLOOKUP(Envoltória!F39,INPUT_REF!$BQ$18:$BR$19,2,FALSE),""))</f>
        <v>1</v>
      </c>
      <c r="BG31" s="412">
        <f>IFERROR(VLOOKUP(Envoltória!$G39,$BQ$35:$BZ$43,BG$9,FALSE),"")</f>
        <v>0</v>
      </c>
      <c r="BH31" s="412">
        <f>IFERROR(VLOOKUP(Envoltória!$G39,$BQ$35:$BZ$43,BH$9,FALSE),"")</f>
        <v>0</v>
      </c>
      <c r="BI31" s="412">
        <f>IFERROR(VLOOKUP(Envoltória!$G39,$BQ$35:$BZ$43,BI$9,FALSE),"")</f>
        <v>0</v>
      </c>
      <c r="BJ31" s="412">
        <f>IFERROR(VLOOKUP(Envoltória!$G39,$BQ$35:$BZ$43,BJ$9,FALSE),"")</f>
        <v>0</v>
      </c>
      <c r="BK31" s="412">
        <f>IFERROR(VLOOKUP(Envoltória!$G39,$BQ$35:$BZ$43,BK$9,FALSE),"")</f>
        <v>0</v>
      </c>
      <c r="BL31" s="412">
        <f>IFERROR(VLOOKUP(Envoltória!$G39,$BQ$35:$BZ$43,BL$9,FALSE),"")</f>
        <v>0</v>
      </c>
      <c r="BM31" s="412">
        <f>IFERROR(VLOOKUP(Envoltória!$G39,$BQ$35:$BZ$43,BM$9,FALSE),"")</f>
        <v>0</v>
      </c>
      <c r="BN31" s="412">
        <f>IFERROR(VLOOKUP(Envoltória!$G39,$BQ$35:$BZ$43,BN$9,FALSE),"")</f>
        <v>0</v>
      </c>
      <c r="BO31" s="412">
        <f>IFERROR(VLOOKUP(Envoltória!$G39,$BQ$35:$BZ$43,BO$9,FALSE),"")</f>
        <v>1</v>
      </c>
      <c r="BP31" s="1"/>
      <c r="BQ31" s="421" t="s">
        <v>327</v>
      </c>
      <c r="BR31" s="419">
        <v>12</v>
      </c>
      <c r="BS31" s="419">
        <v>0</v>
      </c>
      <c r="BT31" s="419">
        <v>1</v>
      </c>
      <c r="BU31" s="419">
        <v>0</v>
      </c>
      <c r="BV31" s="419">
        <v>0</v>
      </c>
      <c r="BW31" s="419">
        <v>0</v>
      </c>
    </row>
    <row r="32" spans="1:75" s="15" customFormat="1" x14ac:dyDescent="0.25">
      <c r="A32" s="1">
        <v>22</v>
      </c>
      <c r="B32" s="409" t="str">
        <f>Envoltória!I40</f>
        <v>Escritórios</v>
      </c>
      <c r="C32" s="410" t="str">
        <f>Envoltória!B40</f>
        <v>Térreo (com + pvtos acima)</v>
      </c>
      <c r="D32" s="410" t="str">
        <f>Envoltória!C40</f>
        <v>ZP22</v>
      </c>
      <c r="E32" s="411">
        <f>Envoltória!D40</f>
        <v>68.97</v>
      </c>
      <c r="F32" s="412">
        <f>IF(B32=0,"",Envoltória!E40)</f>
        <v>3</v>
      </c>
      <c r="G32" s="412">
        <f t="shared" si="0"/>
        <v>19.826666666666668</v>
      </c>
      <c r="H32" s="413">
        <f>IF(B32=0,"",IF(Envoltória!O40=0,0,VLOOKUP(B32,Aux_Lista!A:M,13,FALSE)))</f>
        <v>0.5</v>
      </c>
      <c r="I32" s="413">
        <f>IF(B32=0,"",IF(BF32=1,VLOOKUP(Envoltória!N40,Componentes!T:AB,7,FALSE),89))</f>
        <v>0</v>
      </c>
      <c r="J32" s="414">
        <f>IF(B32=0,"",Componentes!$Q$10)</f>
        <v>2.06</v>
      </c>
      <c r="K32" s="414">
        <f>IF(B32=0,"",Componentes!$R$10)</f>
        <v>233</v>
      </c>
      <c r="L32" s="413">
        <f>IF(B32=0,"",IFERROR(IF(BB32&lt;&gt;0,Componentes!$L$11,0),""))</f>
        <v>0</v>
      </c>
      <c r="M32" s="413">
        <f>IF(B32=0,"",IFERROR(IF(BB32&lt;&gt;0,Componentes!$M$11,0),""))</f>
        <v>0</v>
      </c>
      <c r="N32" s="415">
        <f>IF(B32=0,"",IFERROR(IF(BB32&lt;&gt;0,Componentes!$N$11,0),""))</f>
        <v>0</v>
      </c>
      <c r="O32" s="413">
        <f>IF(B32=0,"",IF(BF32=1,Componentes!$C$11,-6))</f>
        <v>2.39</v>
      </c>
      <c r="P32" s="413">
        <f>IF(B32=0,"",IF(BF32=1,Componentes!$D$11,-400))</f>
        <v>150</v>
      </c>
      <c r="Q32" s="413">
        <f>IF(B32=0,"",IF(BF32=1,Componentes!$E$11,0))</f>
        <v>0.5</v>
      </c>
      <c r="R32" s="414">
        <f>IF(B32=0,"",Componentes!$H$11)</f>
        <v>2.39</v>
      </c>
      <c r="S32" s="414">
        <f>IF(B32=0,"",Componentes!$I$11)</f>
        <v>150</v>
      </c>
      <c r="T32" s="413">
        <f>IF(B32=0,"",IFERROR(IF(H32&lt;&gt;0,Componentes!$V$11,0),""))</f>
        <v>0.82</v>
      </c>
      <c r="U32" s="413">
        <f>IF(B32=0,"",IFERROR(IF(H32&lt;&gt;0,Componentes!$U$11,0),""))</f>
        <v>5.7</v>
      </c>
      <c r="V32" s="414">
        <f>IF(B32=0,"",IFERROR(IF(AA32&lt;&gt;0,VLOOKUP(Envoltória!U40,Componentes!X:Z,2,FALSE),0),0))</f>
        <v>0</v>
      </c>
      <c r="W32" s="414">
        <f>IF(B32=0,"",IFERROR(IF(AA32&lt;&gt;0,Componentes!$AE$11,0),0))</f>
        <v>0</v>
      </c>
      <c r="X32" s="413">
        <f>IF(B32=0,"",Envoltória!U40)</f>
        <v>0.1</v>
      </c>
      <c r="Y32" s="413">
        <f>IF(B32=0,"",VLOOKUP(Início!$C$20,Aux_Lista!A:H,8,FALSE))</f>
        <v>14.1</v>
      </c>
      <c r="Z32" s="413">
        <f>IF(B32=0,"",Envoltória!T40)</f>
        <v>15</v>
      </c>
      <c r="AA32" s="416">
        <f>IF(B32=0,"",Envoltória!Q40/100)</f>
        <v>0</v>
      </c>
      <c r="AB32" s="417">
        <f>INPUT!AB32</f>
        <v>-7.02</v>
      </c>
      <c r="AC32" s="417">
        <f>INPUT!AC32</f>
        <v>249</v>
      </c>
      <c r="AD32" s="417">
        <f>INPUT!AD32</f>
        <v>27.24</v>
      </c>
      <c r="AE32" s="417">
        <f>INPUT!AE32</f>
        <v>24.17</v>
      </c>
      <c r="AF32" s="417">
        <f>INPUT!AF32</f>
        <v>30.311666670000001</v>
      </c>
      <c r="AG32" s="417">
        <f>INPUT!AG32</f>
        <v>2.8624999999999998</v>
      </c>
      <c r="AH32" s="417">
        <f>INPUT!AH32</f>
        <v>1.8233333300000001</v>
      </c>
      <c r="AI32" s="417">
        <f>INPUT!AI32</f>
        <v>3.8433333300000001</v>
      </c>
      <c r="AJ32" s="417">
        <f>INPUT!AJ32</f>
        <v>6082.0829999999996</v>
      </c>
      <c r="AK32" s="417">
        <f>INPUT!AK32</f>
        <v>5588.8329999999996</v>
      </c>
      <c r="AL32" s="417">
        <f>INPUT!AL32</f>
        <v>6759.9380000000001</v>
      </c>
      <c r="AM32" s="417">
        <f>INPUT!AM32</f>
        <v>18.44083333</v>
      </c>
      <c r="AN32" s="417">
        <f>INPUT!AN32</f>
        <v>17.19166667</v>
      </c>
      <c r="AO32" s="417">
        <f>INPUT!AO32</f>
        <v>19.883333329999999</v>
      </c>
      <c r="AP32" s="413">
        <f>IF(B32=0,"",IF(BF32=0,90,VLOOKUP(Envoltória!N40,Componentes!T:AB,9,FALSE)))</f>
        <v>0</v>
      </c>
      <c r="AQ32" s="413">
        <f>IF(B32=0,"",IF(BF32=0,90,VLOOKUP(Envoltória!N40,Componentes!T:AB,8,FALSE)))</f>
        <v>0</v>
      </c>
      <c r="AR32" s="413">
        <f t="shared" si="1"/>
        <v>1</v>
      </c>
      <c r="AS32" s="413">
        <f t="shared" si="1"/>
        <v>0</v>
      </c>
      <c r="AT32" s="413">
        <f t="shared" si="1"/>
        <v>0</v>
      </c>
      <c r="AU32" s="413">
        <f t="shared" si="1"/>
        <v>0</v>
      </c>
      <c r="AV32" s="413">
        <f t="shared" si="1"/>
        <v>0</v>
      </c>
      <c r="AW32" s="414">
        <f>INPUT!AW32</f>
        <v>0</v>
      </c>
      <c r="AX32" s="414">
        <f>INPUT!AX32</f>
        <v>1</v>
      </c>
      <c r="AY32" s="414">
        <f>INPUT!AY32</f>
        <v>1</v>
      </c>
      <c r="AZ32" s="414">
        <f>INPUT!AZ32</f>
        <v>0</v>
      </c>
      <c r="BA32" s="414">
        <f>INPUT!BA32</f>
        <v>1</v>
      </c>
      <c r="BB32" s="414">
        <f>INPUT!BB32</f>
        <v>0</v>
      </c>
      <c r="BC32" s="414">
        <f>INPUT!BC32</f>
        <v>1</v>
      </c>
      <c r="BD32" s="414">
        <f>INPUT!BD32</f>
        <v>0</v>
      </c>
      <c r="BE32" s="412">
        <f t="shared" si="2"/>
        <v>0</v>
      </c>
      <c r="BF32" s="412">
        <f>IF(B32=0,"",IFERROR(VLOOKUP(Envoltória!F40,INPUT_REF!$BQ$18:$BR$19,2,FALSE),""))</f>
        <v>1</v>
      </c>
      <c r="BG32" s="412">
        <f>IFERROR(VLOOKUP(Envoltória!$G40,$BQ$35:$BZ$43,BG$9,FALSE),"")</f>
        <v>0</v>
      </c>
      <c r="BH32" s="412">
        <f>IFERROR(VLOOKUP(Envoltória!$G40,$BQ$35:$BZ$43,BH$9,FALSE),"")</f>
        <v>0</v>
      </c>
      <c r="BI32" s="412">
        <f>IFERROR(VLOOKUP(Envoltória!$G40,$BQ$35:$BZ$43,BI$9,FALSE),"")</f>
        <v>1</v>
      </c>
      <c r="BJ32" s="412">
        <f>IFERROR(VLOOKUP(Envoltória!$G40,$BQ$35:$BZ$43,BJ$9,FALSE),"")</f>
        <v>0</v>
      </c>
      <c r="BK32" s="412">
        <f>IFERROR(VLOOKUP(Envoltória!$G40,$BQ$35:$BZ$43,BK$9,FALSE),"")</f>
        <v>0</v>
      </c>
      <c r="BL32" s="412">
        <f>IFERROR(VLOOKUP(Envoltória!$G40,$BQ$35:$BZ$43,BL$9,FALSE),"")</f>
        <v>0</v>
      </c>
      <c r="BM32" s="412">
        <f>IFERROR(VLOOKUP(Envoltória!$G40,$BQ$35:$BZ$43,BM$9,FALSE),"")</f>
        <v>0</v>
      </c>
      <c r="BN32" s="412">
        <f>IFERROR(VLOOKUP(Envoltória!$G40,$BQ$35:$BZ$43,BN$9,FALSE),"")</f>
        <v>0</v>
      </c>
      <c r="BO32" s="412">
        <f>IFERROR(VLOOKUP(Envoltória!$G40,$BQ$35:$BZ$43,BO$9,FALSE),"")</f>
        <v>0</v>
      </c>
      <c r="BP32" s="1"/>
    </row>
    <row r="33" spans="1:79" s="15" customFormat="1" x14ac:dyDescent="0.25">
      <c r="A33" s="1">
        <v>23</v>
      </c>
      <c r="B33" s="409" t="str">
        <f>Envoltória!I41</f>
        <v>Escritórios</v>
      </c>
      <c r="C33" s="410" t="str">
        <f>Envoltória!B41</f>
        <v>Térreo (com + pvtos acima)</v>
      </c>
      <c r="D33" s="410" t="str">
        <f>Envoltória!C41</f>
        <v>ZP23</v>
      </c>
      <c r="E33" s="411">
        <f>Envoltória!D41</f>
        <v>13.33</v>
      </c>
      <c r="F33" s="412">
        <f>IF(B33=0,"",Envoltória!E41)</f>
        <v>7.62</v>
      </c>
      <c r="G33" s="412">
        <f t="shared" si="0"/>
        <v>7.4622222222222216</v>
      </c>
      <c r="H33" s="413">
        <f>IF(B33=0,"",IF(Envoltória!O41=0,0,VLOOKUP(B33,Aux_Lista!A:M,13,FALSE)))</f>
        <v>0.5</v>
      </c>
      <c r="I33" s="413">
        <f>IF(B33=0,"",IF(BF33=1,VLOOKUP(Envoltória!N41,Componentes!T:AB,7,FALSE),89))</f>
        <v>0</v>
      </c>
      <c r="J33" s="414">
        <f>IF(B33=0,"",Componentes!$Q$10)</f>
        <v>2.06</v>
      </c>
      <c r="K33" s="414">
        <f>IF(B33=0,"",Componentes!$R$10)</f>
        <v>233</v>
      </c>
      <c r="L33" s="413">
        <f>IF(B33=0,"",IFERROR(IF(BB33&lt;&gt;0,Componentes!$L$11,0),""))</f>
        <v>0</v>
      </c>
      <c r="M33" s="413">
        <f>IF(B33=0,"",IFERROR(IF(BB33&lt;&gt;0,Componentes!$M$11,0),""))</f>
        <v>0</v>
      </c>
      <c r="N33" s="415">
        <f>IF(B33=0,"",IFERROR(IF(BB33&lt;&gt;0,Componentes!$N$11,0),""))</f>
        <v>0</v>
      </c>
      <c r="O33" s="413">
        <f>IF(B33=0,"",IF(BF33=1,Componentes!$C$11,-6))</f>
        <v>2.39</v>
      </c>
      <c r="P33" s="413">
        <f>IF(B33=0,"",IF(BF33=1,Componentes!$D$11,-400))</f>
        <v>150</v>
      </c>
      <c r="Q33" s="413">
        <f>IF(B33=0,"",IF(BF33=1,Componentes!$E$11,0))</f>
        <v>0.5</v>
      </c>
      <c r="R33" s="414">
        <f>IF(B33=0,"",Componentes!$H$11)</f>
        <v>2.39</v>
      </c>
      <c r="S33" s="414">
        <f>IF(B33=0,"",Componentes!$I$11)</f>
        <v>150</v>
      </c>
      <c r="T33" s="413">
        <f>IF(B33=0,"",IFERROR(IF(H33&lt;&gt;0,Componentes!$V$11,0),""))</f>
        <v>0.82</v>
      </c>
      <c r="U33" s="413">
        <f>IF(B33=0,"",IFERROR(IF(H33&lt;&gt;0,Componentes!$U$11,0),""))</f>
        <v>5.7</v>
      </c>
      <c r="V33" s="414">
        <f>IF(B33=0,"",IFERROR(IF(AA33&lt;&gt;0,VLOOKUP(Envoltória!U41,Componentes!X:Z,2,FALSE),0),0))</f>
        <v>0</v>
      </c>
      <c r="W33" s="414">
        <f>IF(B33=0,"",IFERROR(IF(AA33&lt;&gt;0,Componentes!$AE$11,0),0))</f>
        <v>0</v>
      </c>
      <c r="X33" s="413">
        <f>IF(B33=0,"",Envoltória!U41)</f>
        <v>0.1</v>
      </c>
      <c r="Y33" s="413">
        <f>IF(B33=0,"",VLOOKUP(Início!$C$20,Aux_Lista!A:H,8,FALSE))</f>
        <v>14.1</v>
      </c>
      <c r="Z33" s="413">
        <f>IF(B33=0,"",Envoltória!T41)</f>
        <v>15</v>
      </c>
      <c r="AA33" s="416">
        <f>IF(B33=0,"",Envoltória!Q41/100)</f>
        <v>0</v>
      </c>
      <c r="AB33" s="417">
        <f>INPUT!AB33</f>
        <v>-7.02</v>
      </c>
      <c r="AC33" s="417">
        <f>INPUT!AC33</f>
        <v>249</v>
      </c>
      <c r="AD33" s="417">
        <f>INPUT!AD33</f>
        <v>27.24</v>
      </c>
      <c r="AE33" s="417">
        <f>INPUT!AE33</f>
        <v>24.17</v>
      </c>
      <c r="AF33" s="417">
        <f>INPUT!AF33</f>
        <v>30.311666670000001</v>
      </c>
      <c r="AG33" s="417">
        <f>INPUT!AG33</f>
        <v>2.8624999999999998</v>
      </c>
      <c r="AH33" s="417">
        <f>INPUT!AH33</f>
        <v>1.8233333300000001</v>
      </c>
      <c r="AI33" s="417">
        <f>INPUT!AI33</f>
        <v>3.8433333300000001</v>
      </c>
      <c r="AJ33" s="417">
        <f>INPUT!AJ33</f>
        <v>6082.0829999999996</v>
      </c>
      <c r="AK33" s="417">
        <f>INPUT!AK33</f>
        <v>5588.8329999999996</v>
      </c>
      <c r="AL33" s="417">
        <f>INPUT!AL33</f>
        <v>6759.9380000000001</v>
      </c>
      <c r="AM33" s="417">
        <f>INPUT!AM33</f>
        <v>18.44083333</v>
      </c>
      <c r="AN33" s="417">
        <f>INPUT!AN33</f>
        <v>17.19166667</v>
      </c>
      <c r="AO33" s="417">
        <f>INPUT!AO33</f>
        <v>19.883333329999999</v>
      </c>
      <c r="AP33" s="413">
        <f>IF(B33=0,"",IF(BF33=0,90,VLOOKUP(Envoltória!N41,Componentes!T:AB,9,FALSE)))</f>
        <v>0</v>
      </c>
      <c r="AQ33" s="413">
        <f>IF(B33=0,"",IF(BF33=0,90,VLOOKUP(Envoltória!N41,Componentes!T:AB,8,FALSE)))</f>
        <v>0</v>
      </c>
      <c r="AR33" s="413">
        <f t="shared" si="1"/>
        <v>1</v>
      </c>
      <c r="AS33" s="413">
        <f t="shared" si="1"/>
        <v>0</v>
      </c>
      <c r="AT33" s="413">
        <f t="shared" si="1"/>
        <v>0</v>
      </c>
      <c r="AU33" s="413">
        <f t="shared" si="1"/>
        <v>0</v>
      </c>
      <c r="AV33" s="413">
        <f t="shared" si="1"/>
        <v>0</v>
      </c>
      <c r="AW33" s="414">
        <f>INPUT!AW33</f>
        <v>0</v>
      </c>
      <c r="AX33" s="414">
        <f>INPUT!AX33</f>
        <v>1</v>
      </c>
      <c r="AY33" s="414">
        <f>INPUT!AY33</f>
        <v>1</v>
      </c>
      <c r="AZ33" s="414">
        <f>INPUT!AZ33</f>
        <v>0</v>
      </c>
      <c r="BA33" s="414">
        <f>INPUT!BA33</f>
        <v>1</v>
      </c>
      <c r="BB33" s="414">
        <f>INPUT!BB33</f>
        <v>0</v>
      </c>
      <c r="BC33" s="414">
        <f>INPUT!BC33</f>
        <v>1</v>
      </c>
      <c r="BD33" s="414">
        <f>INPUT!BD33</f>
        <v>0</v>
      </c>
      <c r="BE33" s="412">
        <f t="shared" si="2"/>
        <v>0</v>
      </c>
      <c r="BF33" s="412">
        <f>IF(B33=0,"",IFERROR(VLOOKUP(Envoltória!F41,INPUT_REF!$BQ$18:$BR$19,2,FALSE),""))</f>
        <v>1</v>
      </c>
      <c r="BG33" s="412">
        <f>IFERROR(VLOOKUP(Envoltória!$G41,$BQ$35:$BZ$43,BG$9,FALSE),"")</f>
        <v>0</v>
      </c>
      <c r="BH33" s="412">
        <f>IFERROR(VLOOKUP(Envoltória!$G41,$BQ$35:$BZ$43,BH$9,FALSE),"")</f>
        <v>0</v>
      </c>
      <c r="BI33" s="412">
        <f>IFERROR(VLOOKUP(Envoltória!$G41,$BQ$35:$BZ$43,BI$9,FALSE),"")</f>
        <v>1</v>
      </c>
      <c r="BJ33" s="412">
        <f>IFERROR(VLOOKUP(Envoltória!$G41,$BQ$35:$BZ$43,BJ$9,FALSE),"")</f>
        <v>0</v>
      </c>
      <c r="BK33" s="412">
        <f>IFERROR(VLOOKUP(Envoltória!$G41,$BQ$35:$BZ$43,BK$9,FALSE),"")</f>
        <v>0</v>
      </c>
      <c r="BL33" s="412">
        <f>IFERROR(VLOOKUP(Envoltória!$G41,$BQ$35:$BZ$43,BL$9,FALSE),"")</f>
        <v>0</v>
      </c>
      <c r="BM33" s="412">
        <f>IFERROR(VLOOKUP(Envoltória!$G41,$BQ$35:$BZ$43,BM$9,FALSE),"")</f>
        <v>0</v>
      </c>
      <c r="BN33" s="412">
        <f>IFERROR(VLOOKUP(Envoltória!$G41,$BQ$35:$BZ$43,BN$9,FALSE),"")</f>
        <v>0</v>
      </c>
      <c r="BO33" s="412">
        <f>IFERROR(VLOOKUP(Envoltória!$G41,$BQ$35:$BZ$43,BO$9,FALSE),"")</f>
        <v>0</v>
      </c>
      <c r="BP33" s="1"/>
    </row>
    <row r="34" spans="1:79" s="15" customFormat="1" ht="30" x14ac:dyDescent="0.25">
      <c r="A34" s="1">
        <v>24</v>
      </c>
      <c r="B34" s="409" t="str">
        <f>Envoltória!I42</f>
        <v>Escritórios</v>
      </c>
      <c r="C34" s="410" t="str">
        <f>Envoltória!B42</f>
        <v>Térreo (único pvto)</v>
      </c>
      <c r="D34" s="410" t="str">
        <f>Envoltória!C42</f>
        <v>Zi1-duplo</v>
      </c>
      <c r="E34" s="411">
        <f>Envoltória!D42</f>
        <v>19.079999999999998</v>
      </c>
      <c r="F34" s="412">
        <f>IF(B34=0,"",Envoltória!E42)</f>
        <v>3.37</v>
      </c>
      <c r="G34" s="412">
        <f t="shared" si="0"/>
        <v>4.3680659335683112</v>
      </c>
      <c r="H34" s="413">
        <f>IF(B34=0,"",IF(Envoltória!O42=0,0,VLOOKUP(B34,Aux_Lista!A:M,13,FALSE)))</f>
        <v>0</v>
      </c>
      <c r="I34" s="413">
        <f>IF(B34=0,"",IF(BF34=1,VLOOKUP(Envoltória!N42,Componentes!T:AB,7,FALSE),89))</f>
        <v>89</v>
      </c>
      <c r="J34" s="414">
        <f>IF(B34=0,"",Componentes!$Q$10)</f>
        <v>2.06</v>
      </c>
      <c r="K34" s="414">
        <f>IF(B34=0,"",Componentes!$R$10)</f>
        <v>233</v>
      </c>
      <c r="L34" s="413">
        <f>IF(B34=0,"",IFERROR(IF(BB34&lt;&gt;0,Componentes!$L$11,0),""))</f>
        <v>2.06</v>
      </c>
      <c r="M34" s="413">
        <f>IF(B34=0,"",IFERROR(IF(BB34&lt;&gt;0,Componentes!$M$11,0),""))</f>
        <v>233</v>
      </c>
      <c r="N34" s="415">
        <f>IF(B34=0,"",IFERROR(IF(BB34&lt;&gt;0,Componentes!$N$11,0),""))</f>
        <v>0.8</v>
      </c>
      <c r="O34" s="413">
        <f>IF(B34=0,"",IF(BF34=1,Componentes!$C$11,-6))</f>
        <v>-6</v>
      </c>
      <c r="P34" s="413">
        <f>IF(B34=0,"",IF(BF34=1,Componentes!$D$11,-400))</f>
        <v>-400</v>
      </c>
      <c r="Q34" s="413">
        <f>IF(B34=0,"",IF(BF34=1,Componentes!$E$11,0))</f>
        <v>0</v>
      </c>
      <c r="R34" s="414">
        <f>IF(B34=0,"",Componentes!$H$11)</f>
        <v>2.39</v>
      </c>
      <c r="S34" s="414">
        <f>IF(B34=0,"",Componentes!$I$11)</f>
        <v>150</v>
      </c>
      <c r="T34" s="413">
        <f>IF(B34=0,"",IFERROR(IF(H34&lt;&gt;0,Componentes!$V$11,0),""))</f>
        <v>0</v>
      </c>
      <c r="U34" s="413">
        <f>IF(B34=0,"",IFERROR(IF(H34&lt;&gt;0,Componentes!$U$11,0),""))</f>
        <v>0</v>
      </c>
      <c r="V34" s="414">
        <f>IF(B34=0,"",IFERROR(IF(AA34&lt;&gt;0,VLOOKUP(Envoltória!U42,Componentes!X:Z,2,FALSE),0),0))</f>
        <v>0</v>
      </c>
      <c r="W34" s="414">
        <f>IF(B34=0,"",IFERROR(IF(AA34&lt;&gt;0,Componentes!$AE$11,0),0))</f>
        <v>0</v>
      </c>
      <c r="X34" s="413">
        <f>IF(B34=0,"",Envoltória!U42)</f>
        <v>0.1</v>
      </c>
      <c r="Y34" s="413">
        <f>IF(B34=0,"",VLOOKUP(Início!$C$20,Aux_Lista!A:H,8,FALSE))</f>
        <v>14.1</v>
      </c>
      <c r="Z34" s="413">
        <f>IF(B34=0,"",Envoltória!T42)</f>
        <v>15</v>
      </c>
      <c r="AA34" s="416">
        <f>IF(B34=0,"",Envoltória!Q42/100)</f>
        <v>0</v>
      </c>
      <c r="AB34" s="417">
        <f>INPUT!AB34</f>
        <v>-7.02</v>
      </c>
      <c r="AC34" s="417">
        <f>INPUT!AC34</f>
        <v>249</v>
      </c>
      <c r="AD34" s="417">
        <f>INPUT!AD34</f>
        <v>27.24</v>
      </c>
      <c r="AE34" s="417">
        <f>INPUT!AE34</f>
        <v>24.17</v>
      </c>
      <c r="AF34" s="417">
        <f>INPUT!AF34</f>
        <v>30.311666670000001</v>
      </c>
      <c r="AG34" s="417">
        <f>INPUT!AG34</f>
        <v>2.8624999999999998</v>
      </c>
      <c r="AH34" s="417">
        <f>INPUT!AH34</f>
        <v>1.8233333300000001</v>
      </c>
      <c r="AI34" s="417">
        <f>INPUT!AI34</f>
        <v>3.8433333300000001</v>
      </c>
      <c r="AJ34" s="417">
        <f>INPUT!AJ34</f>
        <v>6082.0829999999996</v>
      </c>
      <c r="AK34" s="417">
        <f>INPUT!AK34</f>
        <v>5588.8329999999996</v>
      </c>
      <c r="AL34" s="417">
        <f>INPUT!AL34</f>
        <v>6759.9380000000001</v>
      </c>
      <c r="AM34" s="417">
        <f>INPUT!AM34</f>
        <v>18.44083333</v>
      </c>
      <c r="AN34" s="417">
        <f>INPUT!AN34</f>
        <v>17.19166667</v>
      </c>
      <c r="AO34" s="417">
        <f>INPUT!AO34</f>
        <v>19.883333329999999</v>
      </c>
      <c r="AP34" s="413">
        <f>IF(B34=0,"",IF(BF34=0,90,VLOOKUP(Envoltória!N42,Componentes!T:AB,9,FALSE)))</f>
        <v>90</v>
      </c>
      <c r="AQ34" s="413">
        <f>IF(B34=0,"",IF(BF34=0,90,VLOOKUP(Envoltória!N42,Componentes!T:AB,8,FALSE)))</f>
        <v>90</v>
      </c>
      <c r="AR34" s="413">
        <f t="shared" si="1"/>
        <v>1</v>
      </c>
      <c r="AS34" s="413">
        <f t="shared" si="1"/>
        <v>0</v>
      </c>
      <c r="AT34" s="413">
        <f t="shared" si="1"/>
        <v>0</v>
      </c>
      <c r="AU34" s="413">
        <f t="shared" si="1"/>
        <v>0</v>
      </c>
      <c r="AV34" s="413">
        <f t="shared" si="1"/>
        <v>0</v>
      </c>
      <c r="AW34" s="414">
        <f>INPUT!AW34</f>
        <v>0</v>
      </c>
      <c r="AX34" s="414">
        <f>INPUT!AX34</f>
        <v>1</v>
      </c>
      <c r="AY34" s="414">
        <f>INPUT!AY34</f>
        <v>1</v>
      </c>
      <c r="AZ34" s="414">
        <f>INPUT!AZ34</f>
        <v>0</v>
      </c>
      <c r="BA34" s="414">
        <f>INPUT!BA34</f>
        <v>0</v>
      </c>
      <c r="BB34" s="414">
        <f>INPUT!BB34</f>
        <v>1</v>
      </c>
      <c r="BC34" s="414">
        <f>INPUT!BC34</f>
        <v>1</v>
      </c>
      <c r="BD34" s="414">
        <f>INPUT!BD34</f>
        <v>0</v>
      </c>
      <c r="BE34" s="412">
        <f t="shared" si="2"/>
        <v>1</v>
      </c>
      <c r="BF34" s="412">
        <f>IF(B34=0,"",IFERROR(VLOOKUP(Envoltória!F42,INPUT_REF!$BQ$18:$BR$19,2,FALSE),""))</f>
        <v>0</v>
      </c>
      <c r="BG34" s="412">
        <f>IFERROR(VLOOKUP(Envoltória!$G42,$BQ$35:$BZ$43,BG$9,FALSE),"")</f>
        <v>1</v>
      </c>
      <c r="BH34" s="412">
        <f>IFERROR(VLOOKUP(Envoltória!$G42,$BQ$35:$BZ$43,BH$9,FALSE),"")</f>
        <v>0</v>
      </c>
      <c r="BI34" s="412">
        <f>IFERROR(VLOOKUP(Envoltória!$G42,$BQ$35:$BZ$43,BI$9,FALSE),"")</f>
        <v>0</v>
      </c>
      <c r="BJ34" s="412">
        <f>IFERROR(VLOOKUP(Envoltória!$G42,$BQ$35:$BZ$43,BJ$9,FALSE),"")</f>
        <v>0</v>
      </c>
      <c r="BK34" s="412">
        <f>IFERROR(VLOOKUP(Envoltória!$G42,$BQ$35:$BZ$43,BK$9,FALSE),"")</f>
        <v>0</v>
      </c>
      <c r="BL34" s="412">
        <f>IFERROR(VLOOKUP(Envoltória!$G42,$BQ$35:$BZ$43,BL$9,FALSE),"")</f>
        <v>0</v>
      </c>
      <c r="BM34" s="412">
        <f>IFERROR(VLOOKUP(Envoltória!$G42,$BQ$35:$BZ$43,BM$9,FALSE),"")</f>
        <v>0</v>
      </c>
      <c r="BN34" s="412">
        <f>IFERROR(VLOOKUP(Envoltória!$G42,$BQ$35:$BZ$43,BN$9,FALSE),"")</f>
        <v>0</v>
      </c>
      <c r="BO34" s="412">
        <f>IFERROR(VLOOKUP(Envoltória!$G42,$BQ$35:$BZ$43,BO$9,FALSE),"")</f>
        <v>0</v>
      </c>
      <c r="BP34" s="1"/>
      <c r="BQ34" s="11"/>
      <c r="BR34" s="235" t="s">
        <v>9045</v>
      </c>
      <c r="BS34" s="235" t="s">
        <v>9046</v>
      </c>
      <c r="BT34" s="235" t="s">
        <v>9047</v>
      </c>
      <c r="BU34" s="235" t="s">
        <v>9048</v>
      </c>
      <c r="BV34" s="235" t="s">
        <v>9049</v>
      </c>
      <c r="BW34" s="235" t="s">
        <v>9050</v>
      </c>
      <c r="BX34" s="235" t="s">
        <v>9051</v>
      </c>
      <c r="BY34" s="235" t="s">
        <v>9052</v>
      </c>
      <c r="BZ34" s="235" t="s">
        <v>9044</v>
      </c>
      <c r="CA34" s="11"/>
    </row>
    <row r="35" spans="1:79" s="15" customFormat="1" x14ac:dyDescent="0.25">
      <c r="A35" s="1">
        <v>25</v>
      </c>
      <c r="B35" s="409" t="str">
        <f>Envoltória!I43</f>
        <v>Escritórios</v>
      </c>
      <c r="C35" s="410" t="str">
        <f>Envoltória!B43</f>
        <v>Térreo (único pvto)</v>
      </c>
      <c r="D35" s="410" t="str">
        <f>Envoltória!C43</f>
        <v>Zi2-duplo</v>
      </c>
      <c r="E35" s="411">
        <f>Envoltória!D43</f>
        <v>10.55</v>
      </c>
      <c r="F35" s="412">
        <f>IF(B35=0,"",Envoltória!E43)</f>
        <v>8.4700000000000006</v>
      </c>
      <c r="G35" s="412">
        <f t="shared" si="0"/>
        <v>3.2480763537823432</v>
      </c>
      <c r="H35" s="413">
        <f>IF(B35=0,"",IF(Envoltória!O43=0,0,VLOOKUP(B35,Aux_Lista!A:M,13,FALSE)))</f>
        <v>0</v>
      </c>
      <c r="I35" s="413">
        <f>IF(B35=0,"",IF(BF35=1,VLOOKUP(Envoltória!N43,Componentes!T:AB,7,FALSE),89))</f>
        <v>89</v>
      </c>
      <c r="J35" s="414">
        <f>IF(B35=0,"",Componentes!$Q$10)</f>
        <v>2.06</v>
      </c>
      <c r="K35" s="414">
        <f>IF(B35=0,"",Componentes!$R$10)</f>
        <v>233</v>
      </c>
      <c r="L35" s="413">
        <f>IF(B35=0,"",IFERROR(IF(BB35&lt;&gt;0,Componentes!$L$11,0),""))</f>
        <v>2.06</v>
      </c>
      <c r="M35" s="413">
        <f>IF(B35=0,"",IFERROR(IF(BB35&lt;&gt;0,Componentes!$M$11,0),""))</f>
        <v>233</v>
      </c>
      <c r="N35" s="415">
        <f>IF(B35=0,"",IFERROR(IF(BB35&lt;&gt;0,Componentes!$N$11,0),""))</f>
        <v>0.8</v>
      </c>
      <c r="O35" s="413">
        <f>IF(B35=0,"",IF(BF35=1,Componentes!$C$11,-6))</f>
        <v>-6</v>
      </c>
      <c r="P35" s="413">
        <f>IF(B35=0,"",IF(BF35=1,Componentes!$D$11,-400))</f>
        <v>-400</v>
      </c>
      <c r="Q35" s="413">
        <f>IF(B35=0,"",IF(BF35=1,Componentes!$E$11,0))</f>
        <v>0</v>
      </c>
      <c r="R35" s="414">
        <f>IF(B35=0,"",Componentes!$H$11)</f>
        <v>2.39</v>
      </c>
      <c r="S35" s="414">
        <f>IF(B35=0,"",Componentes!$I$11)</f>
        <v>150</v>
      </c>
      <c r="T35" s="413">
        <f>IF(B35=0,"",IFERROR(IF(H35&lt;&gt;0,Componentes!$V$11,0),""))</f>
        <v>0</v>
      </c>
      <c r="U35" s="413">
        <f>IF(B35=0,"",IFERROR(IF(H35&lt;&gt;0,Componentes!$U$11,0),""))</f>
        <v>0</v>
      </c>
      <c r="V35" s="414">
        <f>IF(B35=0,"",IFERROR(IF(AA35&lt;&gt;0,VLOOKUP(Envoltória!U43,Componentes!X:Z,2,FALSE),0),0))</f>
        <v>0</v>
      </c>
      <c r="W35" s="414">
        <f>IF(B35=0,"",IFERROR(IF(AA35&lt;&gt;0,Componentes!$AE$11,0),0))</f>
        <v>0</v>
      </c>
      <c r="X35" s="413">
        <f>IF(B35=0,"",Envoltória!U43)</f>
        <v>0.1</v>
      </c>
      <c r="Y35" s="413">
        <f>IF(B35=0,"",VLOOKUP(Início!$C$20,Aux_Lista!A:H,8,FALSE))</f>
        <v>14.1</v>
      </c>
      <c r="Z35" s="413">
        <f>IF(B35=0,"",Envoltória!T43)</f>
        <v>15</v>
      </c>
      <c r="AA35" s="416">
        <f>IF(B35=0,"",Envoltória!Q43/100)</f>
        <v>0</v>
      </c>
      <c r="AB35" s="417">
        <f>INPUT!AB35</f>
        <v>-7.02</v>
      </c>
      <c r="AC35" s="417">
        <f>INPUT!AC35</f>
        <v>249</v>
      </c>
      <c r="AD35" s="417">
        <f>INPUT!AD35</f>
        <v>27.24</v>
      </c>
      <c r="AE35" s="417">
        <f>INPUT!AE35</f>
        <v>24.17</v>
      </c>
      <c r="AF35" s="417">
        <f>INPUT!AF35</f>
        <v>30.311666670000001</v>
      </c>
      <c r="AG35" s="417">
        <f>INPUT!AG35</f>
        <v>2.8624999999999998</v>
      </c>
      <c r="AH35" s="417">
        <f>INPUT!AH35</f>
        <v>1.8233333300000001</v>
      </c>
      <c r="AI35" s="417">
        <f>INPUT!AI35</f>
        <v>3.8433333300000001</v>
      </c>
      <c r="AJ35" s="417">
        <f>INPUT!AJ35</f>
        <v>6082.0829999999996</v>
      </c>
      <c r="AK35" s="417">
        <f>INPUT!AK35</f>
        <v>5588.8329999999996</v>
      </c>
      <c r="AL35" s="417">
        <f>INPUT!AL35</f>
        <v>6759.9380000000001</v>
      </c>
      <c r="AM35" s="417">
        <f>INPUT!AM35</f>
        <v>18.44083333</v>
      </c>
      <c r="AN35" s="417">
        <f>INPUT!AN35</f>
        <v>17.19166667</v>
      </c>
      <c r="AO35" s="417">
        <f>INPUT!AO35</f>
        <v>19.883333329999999</v>
      </c>
      <c r="AP35" s="413">
        <f>IF(B35=0,"",IF(BF35=0,90,VLOOKUP(Envoltória!N43,Componentes!T:AB,9,FALSE)))</f>
        <v>90</v>
      </c>
      <c r="AQ35" s="413">
        <f>IF(B35=0,"",IF(BF35=0,90,VLOOKUP(Envoltória!N43,Componentes!T:AB,8,FALSE)))</f>
        <v>90</v>
      </c>
      <c r="AR35" s="413">
        <f t="shared" si="1"/>
        <v>1</v>
      </c>
      <c r="AS35" s="413">
        <f t="shared" si="1"/>
        <v>0</v>
      </c>
      <c r="AT35" s="413">
        <f t="shared" si="1"/>
        <v>0</v>
      </c>
      <c r="AU35" s="413">
        <f t="shared" si="1"/>
        <v>0</v>
      </c>
      <c r="AV35" s="413">
        <f t="shared" si="1"/>
        <v>0</v>
      </c>
      <c r="AW35" s="414">
        <f>INPUT!AW35</f>
        <v>0</v>
      </c>
      <c r="AX35" s="414">
        <f>INPUT!AX35</f>
        <v>1</v>
      </c>
      <c r="AY35" s="414">
        <f>INPUT!AY35</f>
        <v>1</v>
      </c>
      <c r="AZ35" s="414">
        <f>INPUT!AZ35</f>
        <v>0</v>
      </c>
      <c r="BA35" s="414">
        <f>INPUT!BA35</f>
        <v>0</v>
      </c>
      <c r="BB35" s="414">
        <f>INPUT!BB35</f>
        <v>1</v>
      </c>
      <c r="BC35" s="414">
        <f>INPUT!BC35</f>
        <v>1</v>
      </c>
      <c r="BD35" s="414">
        <f>INPUT!BD35</f>
        <v>0</v>
      </c>
      <c r="BE35" s="412">
        <f t="shared" si="2"/>
        <v>1</v>
      </c>
      <c r="BF35" s="412">
        <f>IF(B35=0,"",IFERROR(VLOOKUP(Envoltória!F43,INPUT_REF!$BQ$18:$BR$19,2,FALSE),""))</f>
        <v>0</v>
      </c>
      <c r="BG35" s="412">
        <f>IFERROR(VLOOKUP(Envoltória!$G43,$BQ$35:$BZ$43,BG$9,FALSE),"")</f>
        <v>1</v>
      </c>
      <c r="BH35" s="412">
        <f>IFERROR(VLOOKUP(Envoltória!$G43,$BQ$35:$BZ$43,BH$9,FALSE),"")</f>
        <v>0</v>
      </c>
      <c r="BI35" s="412">
        <f>IFERROR(VLOOKUP(Envoltória!$G43,$BQ$35:$BZ$43,BI$9,FALSE),"")</f>
        <v>0</v>
      </c>
      <c r="BJ35" s="412">
        <f>IFERROR(VLOOKUP(Envoltória!$G43,$BQ$35:$BZ$43,BJ$9,FALSE),"")</f>
        <v>0</v>
      </c>
      <c r="BK35" s="412">
        <f>IFERROR(VLOOKUP(Envoltória!$G43,$BQ$35:$BZ$43,BK$9,FALSE),"")</f>
        <v>0</v>
      </c>
      <c r="BL35" s="412">
        <f>IFERROR(VLOOKUP(Envoltória!$G43,$BQ$35:$BZ$43,BL$9,FALSE),"")</f>
        <v>0</v>
      </c>
      <c r="BM35" s="412">
        <f>IFERROR(VLOOKUP(Envoltória!$G43,$BQ$35:$BZ$43,BM$9,FALSE),"")</f>
        <v>0</v>
      </c>
      <c r="BN35" s="412">
        <f>IFERROR(VLOOKUP(Envoltória!$G43,$BQ$35:$BZ$43,BN$9,FALSE),"")</f>
        <v>0</v>
      </c>
      <c r="BO35" s="412">
        <f>IFERROR(VLOOKUP(Envoltória!$G43,$BQ$35:$BZ$43,BO$9,FALSE),"")</f>
        <v>0</v>
      </c>
      <c r="BP35" s="1"/>
      <c r="BQ35" s="421" t="s">
        <v>68</v>
      </c>
      <c r="BR35" s="419">
        <v>1</v>
      </c>
      <c r="BS35" s="419">
        <v>0</v>
      </c>
      <c r="BT35" s="419">
        <v>0</v>
      </c>
      <c r="BU35" s="419">
        <v>0</v>
      </c>
      <c r="BV35" s="419">
        <v>0</v>
      </c>
      <c r="BW35" s="419">
        <v>0</v>
      </c>
      <c r="BX35" s="419">
        <v>0</v>
      </c>
      <c r="BY35" s="419">
        <v>0</v>
      </c>
      <c r="BZ35" s="419">
        <v>0</v>
      </c>
      <c r="CA35" s="11">
        <f t="shared" ref="CA35:CA43" si="3">SUM(BR35:BZ35)</f>
        <v>1</v>
      </c>
    </row>
    <row r="36" spans="1:79" s="15" customFormat="1" x14ac:dyDescent="0.25">
      <c r="A36" s="1">
        <v>26</v>
      </c>
      <c r="B36" s="409" t="str">
        <f>Envoltória!I44</f>
        <v>Escritórios</v>
      </c>
      <c r="C36" s="410" t="str">
        <f>Envoltória!B44</f>
        <v>Térreo (único pvto)</v>
      </c>
      <c r="D36" s="410" t="str">
        <f>Envoltória!C44</f>
        <v>Zi3-duplo</v>
      </c>
      <c r="E36" s="411">
        <f>Envoltória!D44</f>
        <v>26.04</v>
      </c>
      <c r="F36" s="412">
        <f>IF(B36=0,"",Envoltória!E44)</f>
        <v>9.92</v>
      </c>
      <c r="G36" s="412">
        <f t="shared" si="0"/>
        <v>5.102940328869229</v>
      </c>
      <c r="H36" s="413">
        <f>IF(B36=0,"",IF(Envoltória!O44=0,0,VLOOKUP(B36,Aux_Lista!A:M,13,FALSE)))</f>
        <v>0</v>
      </c>
      <c r="I36" s="413">
        <f>IF(B36=0,"",IF(BF36=1,VLOOKUP(Envoltória!N44,Componentes!T:AB,7,FALSE),89))</f>
        <v>89</v>
      </c>
      <c r="J36" s="414">
        <f>IF(B36=0,"",Componentes!$Q$10)</f>
        <v>2.06</v>
      </c>
      <c r="K36" s="414">
        <f>IF(B36=0,"",Componentes!$R$10)</f>
        <v>233</v>
      </c>
      <c r="L36" s="413">
        <f>IF(B36=0,"",IFERROR(IF(BB36&lt;&gt;0,Componentes!$L$11,0),""))</f>
        <v>2.06</v>
      </c>
      <c r="M36" s="413">
        <f>IF(B36=0,"",IFERROR(IF(BB36&lt;&gt;0,Componentes!$M$11,0),""))</f>
        <v>233</v>
      </c>
      <c r="N36" s="415">
        <f>IF(B36=0,"",IFERROR(IF(BB36&lt;&gt;0,Componentes!$N$11,0),""))</f>
        <v>0.8</v>
      </c>
      <c r="O36" s="413">
        <f>IF(B36=0,"",IF(BF36=1,Componentes!$C$11,-6))</f>
        <v>-6</v>
      </c>
      <c r="P36" s="413">
        <f>IF(B36=0,"",IF(BF36=1,Componentes!$D$11,-400))</f>
        <v>-400</v>
      </c>
      <c r="Q36" s="413">
        <f>IF(B36=0,"",IF(BF36=1,Componentes!$E$11,0))</f>
        <v>0</v>
      </c>
      <c r="R36" s="414">
        <f>IF(B36=0,"",Componentes!$H$11)</f>
        <v>2.39</v>
      </c>
      <c r="S36" s="414">
        <f>IF(B36=0,"",Componentes!$I$11)</f>
        <v>150</v>
      </c>
      <c r="T36" s="413">
        <f>IF(B36=0,"",IFERROR(IF(H36&lt;&gt;0,Componentes!$V$11,0),""))</f>
        <v>0</v>
      </c>
      <c r="U36" s="413">
        <f>IF(B36=0,"",IFERROR(IF(H36&lt;&gt;0,Componentes!$U$11,0),""))</f>
        <v>0</v>
      </c>
      <c r="V36" s="414">
        <f>IF(B36=0,"",IFERROR(IF(AA36&lt;&gt;0,VLOOKUP(Envoltória!U44,Componentes!X:Z,2,FALSE),0),0))</f>
        <v>0</v>
      </c>
      <c r="W36" s="414">
        <f>IF(B36=0,"",IFERROR(IF(AA36&lt;&gt;0,Componentes!$AE$11,0),0))</f>
        <v>0</v>
      </c>
      <c r="X36" s="413">
        <f>IF(B36=0,"",Envoltória!U44)</f>
        <v>0.1</v>
      </c>
      <c r="Y36" s="413">
        <f>IF(B36=0,"",VLOOKUP(Início!$C$20,Aux_Lista!A:H,8,FALSE))</f>
        <v>14.1</v>
      </c>
      <c r="Z36" s="413">
        <f>IF(B36=0,"",Envoltória!T44)</f>
        <v>15</v>
      </c>
      <c r="AA36" s="416">
        <f>IF(B36=0,"",Envoltória!Q44/100)</f>
        <v>0</v>
      </c>
      <c r="AB36" s="417">
        <f>INPUT!AB36</f>
        <v>-7.02</v>
      </c>
      <c r="AC36" s="417">
        <f>INPUT!AC36</f>
        <v>249</v>
      </c>
      <c r="AD36" s="417">
        <f>INPUT!AD36</f>
        <v>27.24</v>
      </c>
      <c r="AE36" s="417">
        <f>INPUT!AE36</f>
        <v>24.17</v>
      </c>
      <c r="AF36" s="417">
        <f>INPUT!AF36</f>
        <v>30.311666670000001</v>
      </c>
      <c r="AG36" s="417">
        <f>INPUT!AG36</f>
        <v>2.8624999999999998</v>
      </c>
      <c r="AH36" s="417">
        <f>INPUT!AH36</f>
        <v>1.8233333300000001</v>
      </c>
      <c r="AI36" s="417">
        <f>INPUT!AI36</f>
        <v>3.8433333300000001</v>
      </c>
      <c r="AJ36" s="417">
        <f>INPUT!AJ36</f>
        <v>6082.0829999999996</v>
      </c>
      <c r="AK36" s="417">
        <f>INPUT!AK36</f>
        <v>5588.8329999999996</v>
      </c>
      <c r="AL36" s="417">
        <f>INPUT!AL36</f>
        <v>6759.9380000000001</v>
      </c>
      <c r="AM36" s="417">
        <f>INPUT!AM36</f>
        <v>18.44083333</v>
      </c>
      <c r="AN36" s="417">
        <f>INPUT!AN36</f>
        <v>17.19166667</v>
      </c>
      <c r="AO36" s="417">
        <f>INPUT!AO36</f>
        <v>19.883333329999999</v>
      </c>
      <c r="AP36" s="413">
        <f>IF(B36=0,"",IF(BF36=0,90,VLOOKUP(Envoltória!N44,Componentes!T:AB,9,FALSE)))</f>
        <v>90</v>
      </c>
      <c r="AQ36" s="413">
        <f>IF(B36=0,"",IF(BF36=0,90,VLOOKUP(Envoltória!N44,Componentes!T:AB,8,FALSE)))</f>
        <v>90</v>
      </c>
      <c r="AR36" s="413">
        <f t="shared" si="1"/>
        <v>1</v>
      </c>
      <c r="AS36" s="413">
        <f t="shared" si="1"/>
        <v>0</v>
      </c>
      <c r="AT36" s="413">
        <f t="shared" si="1"/>
        <v>0</v>
      </c>
      <c r="AU36" s="413">
        <f t="shared" si="1"/>
        <v>0</v>
      </c>
      <c r="AV36" s="413">
        <f t="shared" si="1"/>
        <v>0</v>
      </c>
      <c r="AW36" s="414">
        <f>INPUT!AW36</f>
        <v>0</v>
      </c>
      <c r="AX36" s="414">
        <f>INPUT!AX36</f>
        <v>1</v>
      </c>
      <c r="AY36" s="414">
        <f>INPUT!AY36</f>
        <v>1</v>
      </c>
      <c r="AZ36" s="414">
        <f>INPUT!AZ36</f>
        <v>0</v>
      </c>
      <c r="BA36" s="414">
        <f>INPUT!BA36</f>
        <v>0</v>
      </c>
      <c r="BB36" s="414">
        <f>INPUT!BB36</f>
        <v>1</v>
      </c>
      <c r="BC36" s="414">
        <f>INPUT!BC36</f>
        <v>1</v>
      </c>
      <c r="BD36" s="414">
        <f>INPUT!BD36</f>
        <v>0</v>
      </c>
      <c r="BE36" s="412">
        <f t="shared" si="2"/>
        <v>1</v>
      </c>
      <c r="BF36" s="412">
        <f>IF(B36=0,"",IFERROR(VLOOKUP(Envoltória!F44,INPUT_REF!$BQ$18:$BR$19,2,FALSE),""))</f>
        <v>0</v>
      </c>
      <c r="BG36" s="412">
        <f>IFERROR(VLOOKUP(Envoltória!$G44,$BQ$35:$BZ$43,BG$9,FALSE),"")</f>
        <v>1</v>
      </c>
      <c r="BH36" s="412">
        <f>IFERROR(VLOOKUP(Envoltória!$G44,$BQ$35:$BZ$43,BH$9,FALSE),"")</f>
        <v>0</v>
      </c>
      <c r="BI36" s="412">
        <f>IFERROR(VLOOKUP(Envoltória!$G44,$BQ$35:$BZ$43,BI$9,FALSE),"")</f>
        <v>0</v>
      </c>
      <c r="BJ36" s="412">
        <f>IFERROR(VLOOKUP(Envoltória!$G44,$BQ$35:$BZ$43,BJ$9,FALSE),"")</f>
        <v>0</v>
      </c>
      <c r="BK36" s="412">
        <f>IFERROR(VLOOKUP(Envoltória!$G44,$BQ$35:$BZ$43,BK$9,FALSE),"")</f>
        <v>0</v>
      </c>
      <c r="BL36" s="412">
        <f>IFERROR(VLOOKUP(Envoltória!$G44,$BQ$35:$BZ$43,BL$9,FALSE),"")</f>
        <v>0</v>
      </c>
      <c r="BM36" s="412">
        <f>IFERROR(VLOOKUP(Envoltória!$G44,$BQ$35:$BZ$43,BM$9,FALSE),"")</f>
        <v>0</v>
      </c>
      <c r="BN36" s="412">
        <f>IFERROR(VLOOKUP(Envoltória!$G44,$BQ$35:$BZ$43,BN$9,FALSE),"")</f>
        <v>0</v>
      </c>
      <c r="BO36" s="412">
        <f>IFERROR(VLOOKUP(Envoltória!$G44,$BQ$35:$BZ$43,BO$9,FALSE),"")</f>
        <v>0</v>
      </c>
      <c r="BP36" s="1"/>
      <c r="BQ36" s="421" t="s">
        <v>245</v>
      </c>
      <c r="BR36" s="419">
        <v>0</v>
      </c>
      <c r="BS36" s="419">
        <v>1</v>
      </c>
      <c r="BT36" s="419">
        <v>0</v>
      </c>
      <c r="BU36" s="419">
        <v>0</v>
      </c>
      <c r="BV36" s="419">
        <v>0</v>
      </c>
      <c r="BW36" s="419">
        <v>0</v>
      </c>
      <c r="BX36" s="419">
        <v>0</v>
      </c>
      <c r="BY36" s="419">
        <v>0</v>
      </c>
      <c r="BZ36" s="419">
        <v>0</v>
      </c>
      <c r="CA36" s="11">
        <f t="shared" si="3"/>
        <v>1</v>
      </c>
    </row>
    <row r="37" spans="1:79" s="15" customFormat="1" x14ac:dyDescent="0.25">
      <c r="A37" s="1">
        <v>27</v>
      </c>
      <c r="B37" s="409" t="str">
        <f>Envoltória!I45</f>
        <v>Escritórios</v>
      </c>
      <c r="C37" s="410" t="str">
        <f>Envoltória!B45</f>
        <v>Térreo (com + pvtos acima)</v>
      </c>
      <c r="D37" s="410" t="str">
        <f>Envoltória!C45</f>
        <v>Zi4</v>
      </c>
      <c r="E37" s="411">
        <f>Envoltória!D45</f>
        <v>287.04000000000002</v>
      </c>
      <c r="F37" s="412">
        <f>IF(B37=0,"",Envoltória!E45)</f>
        <v>3</v>
      </c>
      <c r="G37" s="412">
        <f t="shared" si="0"/>
        <v>16.942254867637896</v>
      </c>
      <c r="H37" s="413">
        <f>IF(B37=0,"",IF(Envoltória!O45=0,0,VLOOKUP(B37,Aux_Lista!A:M,13,FALSE)))</f>
        <v>0</v>
      </c>
      <c r="I37" s="413">
        <f>IF(B37=0,"",IF(BF37=1,VLOOKUP(Envoltória!N45,Componentes!T:AB,7,FALSE),89))</f>
        <v>89</v>
      </c>
      <c r="J37" s="414">
        <f>IF(B37=0,"",Componentes!$Q$10)</f>
        <v>2.06</v>
      </c>
      <c r="K37" s="414">
        <f>IF(B37=0,"",Componentes!$R$10)</f>
        <v>233</v>
      </c>
      <c r="L37" s="413">
        <f>IF(B37=0,"",IFERROR(IF(BB37&lt;&gt;0,Componentes!$L$11,0),""))</f>
        <v>0</v>
      </c>
      <c r="M37" s="413">
        <f>IF(B37=0,"",IFERROR(IF(BB37&lt;&gt;0,Componentes!$M$11,0),""))</f>
        <v>0</v>
      </c>
      <c r="N37" s="415">
        <f>IF(B37=0,"",IFERROR(IF(BB37&lt;&gt;0,Componentes!$N$11,0),""))</f>
        <v>0</v>
      </c>
      <c r="O37" s="413">
        <f>IF(B37=0,"",IF(BF37=1,Componentes!$C$11,-6))</f>
        <v>-6</v>
      </c>
      <c r="P37" s="413">
        <f>IF(B37=0,"",IF(BF37=1,Componentes!$D$11,-400))</f>
        <v>-400</v>
      </c>
      <c r="Q37" s="413">
        <f>IF(B37=0,"",IF(BF37=1,Componentes!$E$11,0))</f>
        <v>0</v>
      </c>
      <c r="R37" s="414">
        <f>IF(B37=0,"",Componentes!$H$11)</f>
        <v>2.39</v>
      </c>
      <c r="S37" s="414">
        <f>IF(B37=0,"",Componentes!$I$11)</f>
        <v>150</v>
      </c>
      <c r="T37" s="413">
        <f>IF(B37=0,"",IFERROR(IF(H37&lt;&gt;0,Componentes!$V$11,0),""))</f>
        <v>0</v>
      </c>
      <c r="U37" s="413">
        <f>IF(B37=0,"",IFERROR(IF(H37&lt;&gt;0,Componentes!$U$11,0),""))</f>
        <v>0</v>
      </c>
      <c r="V37" s="414">
        <f>IF(B37=0,"",IFERROR(IF(AA37&lt;&gt;0,VLOOKUP(Envoltória!U45,Componentes!X:Z,2,FALSE),0),0))</f>
        <v>0</v>
      </c>
      <c r="W37" s="414">
        <f>IF(B37=0,"",IFERROR(IF(AA37&lt;&gt;0,Componentes!$AE$11,0),0))</f>
        <v>0</v>
      </c>
      <c r="X37" s="413">
        <f>IF(B37=0,"",Envoltória!U45)</f>
        <v>0.1</v>
      </c>
      <c r="Y37" s="413">
        <f>IF(B37=0,"",VLOOKUP(Início!$C$20,Aux_Lista!A:H,8,FALSE))</f>
        <v>14.1</v>
      </c>
      <c r="Z37" s="413">
        <f>IF(B37=0,"",Envoltória!T45)</f>
        <v>15</v>
      </c>
      <c r="AA37" s="416">
        <f>IF(B37=0,"",Envoltória!Q45/100)</f>
        <v>0</v>
      </c>
      <c r="AB37" s="417">
        <f>INPUT!AB37</f>
        <v>-7.02</v>
      </c>
      <c r="AC37" s="417">
        <f>INPUT!AC37</f>
        <v>249</v>
      </c>
      <c r="AD37" s="417">
        <f>INPUT!AD37</f>
        <v>27.24</v>
      </c>
      <c r="AE37" s="417">
        <f>INPUT!AE37</f>
        <v>24.17</v>
      </c>
      <c r="AF37" s="417">
        <f>INPUT!AF37</f>
        <v>30.311666670000001</v>
      </c>
      <c r="AG37" s="417">
        <f>INPUT!AG37</f>
        <v>2.8624999999999998</v>
      </c>
      <c r="AH37" s="417">
        <f>INPUT!AH37</f>
        <v>1.8233333300000001</v>
      </c>
      <c r="AI37" s="417">
        <f>INPUT!AI37</f>
        <v>3.8433333300000001</v>
      </c>
      <c r="AJ37" s="417">
        <f>INPUT!AJ37</f>
        <v>6082.0829999999996</v>
      </c>
      <c r="AK37" s="417">
        <f>INPUT!AK37</f>
        <v>5588.8329999999996</v>
      </c>
      <c r="AL37" s="417">
        <f>INPUT!AL37</f>
        <v>6759.9380000000001</v>
      </c>
      <c r="AM37" s="417">
        <f>INPUT!AM37</f>
        <v>18.44083333</v>
      </c>
      <c r="AN37" s="417">
        <f>INPUT!AN37</f>
        <v>17.19166667</v>
      </c>
      <c r="AO37" s="417">
        <f>INPUT!AO37</f>
        <v>19.883333329999999</v>
      </c>
      <c r="AP37" s="413">
        <f>IF(B37=0,"",IF(BF37=0,90,VLOOKUP(Envoltória!N45,Componentes!T:AB,9,FALSE)))</f>
        <v>90</v>
      </c>
      <c r="AQ37" s="413">
        <f>IF(B37=0,"",IF(BF37=0,90,VLOOKUP(Envoltória!N45,Componentes!T:AB,8,FALSE)))</f>
        <v>90</v>
      </c>
      <c r="AR37" s="413">
        <f t="shared" si="1"/>
        <v>1</v>
      </c>
      <c r="AS37" s="413">
        <f t="shared" si="1"/>
        <v>0</v>
      </c>
      <c r="AT37" s="413">
        <f t="shared" si="1"/>
        <v>0</v>
      </c>
      <c r="AU37" s="413">
        <f t="shared" si="1"/>
        <v>0</v>
      </c>
      <c r="AV37" s="413">
        <f t="shared" si="1"/>
        <v>0</v>
      </c>
      <c r="AW37" s="414">
        <f>INPUT!AW37</f>
        <v>0</v>
      </c>
      <c r="AX37" s="414">
        <f>INPUT!AX37</f>
        <v>1</v>
      </c>
      <c r="AY37" s="414">
        <f>INPUT!AY37</f>
        <v>1</v>
      </c>
      <c r="AZ37" s="414">
        <f>INPUT!AZ37</f>
        <v>0</v>
      </c>
      <c r="BA37" s="414">
        <f>INPUT!BA37</f>
        <v>1</v>
      </c>
      <c r="BB37" s="414">
        <f>INPUT!BB37</f>
        <v>0</v>
      </c>
      <c r="BC37" s="414">
        <f>INPUT!BC37</f>
        <v>1</v>
      </c>
      <c r="BD37" s="414">
        <f>INPUT!BD37</f>
        <v>0</v>
      </c>
      <c r="BE37" s="412">
        <f t="shared" si="2"/>
        <v>1</v>
      </c>
      <c r="BF37" s="412">
        <f>IF(B37=0,"",IFERROR(VLOOKUP(Envoltória!F45,INPUT_REF!$BQ$18:$BR$19,2,FALSE),""))</f>
        <v>0</v>
      </c>
      <c r="BG37" s="412">
        <f>IFERROR(VLOOKUP(Envoltória!$G45,$BQ$35:$BZ$43,BG$9,FALSE),"")</f>
        <v>1</v>
      </c>
      <c r="BH37" s="412">
        <f>IFERROR(VLOOKUP(Envoltória!$G45,$BQ$35:$BZ$43,BH$9,FALSE),"")</f>
        <v>0</v>
      </c>
      <c r="BI37" s="412">
        <f>IFERROR(VLOOKUP(Envoltória!$G45,$BQ$35:$BZ$43,BI$9,FALSE),"")</f>
        <v>0</v>
      </c>
      <c r="BJ37" s="412">
        <f>IFERROR(VLOOKUP(Envoltória!$G45,$BQ$35:$BZ$43,BJ$9,FALSE),"")</f>
        <v>0</v>
      </c>
      <c r="BK37" s="412">
        <f>IFERROR(VLOOKUP(Envoltória!$G45,$BQ$35:$BZ$43,BK$9,FALSE),"")</f>
        <v>0</v>
      </c>
      <c r="BL37" s="412">
        <f>IFERROR(VLOOKUP(Envoltória!$G45,$BQ$35:$BZ$43,BL$9,FALSE),"")</f>
        <v>0</v>
      </c>
      <c r="BM37" s="412">
        <f>IFERROR(VLOOKUP(Envoltória!$G45,$BQ$35:$BZ$43,BM$9,FALSE),"")</f>
        <v>0</v>
      </c>
      <c r="BN37" s="412">
        <f>IFERROR(VLOOKUP(Envoltória!$G45,$BQ$35:$BZ$43,BN$9,FALSE),"")</f>
        <v>0</v>
      </c>
      <c r="BO37" s="412">
        <f>IFERROR(VLOOKUP(Envoltória!$G45,$BQ$35:$BZ$43,BO$9,FALSE),"")</f>
        <v>0</v>
      </c>
      <c r="BP37" s="1"/>
      <c r="BQ37" s="421" t="s">
        <v>266</v>
      </c>
      <c r="BR37" s="419">
        <v>0</v>
      </c>
      <c r="BS37" s="419">
        <v>0</v>
      </c>
      <c r="BT37" s="419">
        <v>0</v>
      </c>
      <c r="BU37" s="419">
        <v>0</v>
      </c>
      <c r="BV37" s="419">
        <v>0</v>
      </c>
      <c r="BW37" s="419">
        <v>0</v>
      </c>
      <c r="BX37" s="419">
        <v>0</v>
      </c>
      <c r="BY37" s="419">
        <v>1</v>
      </c>
      <c r="BZ37" s="419">
        <v>0</v>
      </c>
      <c r="CA37" s="11">
        <f t="shared" si="3"/>
        <v>1</v>
      </c>
    </row>
    <row r="38" spans="1:79" s="15" customFormat="1" x14ac:dyDescent="0.25">
      <c r="A38" s="1">
        <v>28</v>
      </c>
      <c r="B38" s="409" t="str">
        <f>Envoltória!I46</f>
        <v>Escritórios</v>
      </c>
      <c r="C38" s="410" t="str">
        <f>Envoltória!B46</f>
        <v>Cobertura</v>
      </c>
      <c r="D38" s="410" t="str">
        <f>Envoltória!C46</f>
        <v>ZP24</v>
      </c>
      <c r="E38" s="411">
        <f>Envoltória!D46</f>
        <v>1.56</v>
      </c>
      <c r="F38" s="412">
        <f>IF(B38=0,"",Envoltória!E46)</f>
        <v>3</v>
      </c>
      <c r="G38" s="412">
        <f t="shared" si="0"/>
        <v>4.8466666666666667</v>
      </c>
      <c r="H38" s="413">
        <f>IF(B38=0,"",IF(Envoltória!O46=0,0,VLOOKUP(B38,Aux_Lista!A:M,13,FALSE)))</f>
        <v>0</v>
      </c>
      <c r="I38" s="413">
        <f>IF(B38=0,"",IF(BF38=1,VLOOKUP(Envoltória!N46,Componentes!T:AB,7,FALSE),89))</f>
        <v>0</v>
      </c>
      <c r="J38" s="414">
        <f>IF(B38=0,"",Componentes!$Q$10)</f>
        <v>2.06</v>
      </c>
      <c r="K38" s="414">
        <f>IF(B38=0,"",Componentes!$R$10)</f>
        <v>233</v>
      </c>
      <c r="L38" s="413">
        <f>IF(B38=0,"",IFERROR(IF(BB38&lt;&gt;0,Componentes!$L$11,0),""))</f>
        <v>2.06</v>
      </c>
      <c r="M38" s="413">
        <f>IF(B38=0,"",IFERROR(IF(BB38&lt;&gt;0,Componentes!$M$11,0),""))</f>
        <v>233</v>
      </c>
      <c r="N38" s="415">
        <f>IF(B38=0,"",IFERROR(IF(BB38&lt;&gt;0,Componentes!$N$11,0),""))</f>
        <v>0.8</v>
      </c>
      <c r="O38" s="413">
        <f>IF(B38=0,"",IF(BF38=1,Componentes!$C$11,-6))</f>
        <v>2.39</v>
      </c>
      <c r="P38" s="413">
        <f>IF(B38=0,"",IF(BF38=1,Componentes!$D$11,-400))</f>
        <v>150</v>
      </c>
      <c r="Q38" s="413">
        <f>IF(B38=0,"",IF(BF38=1,Componentes!$E$11,0))</f>
        <v>0.5</v>
      </c>
      <c r="R38" s="414">
        <f>IF(B38=0,"",Componentes!$H$11)</f>
        <v>2.39</v>
      </c>
      <c r="S38" s="414">
        <f>IF(B38=0,"",Componentes!$I$11)</f>
        <v>150</v>
      </c>
      <c r="T38" s="413">
        <f>IF(B38=0,"",IFERROR(IF(H38&lt;&gt;0,Componentes!$V$11,0),""))</f>
        <v>0</v>
      </c>
      <c r="U38" s="413">
        <f>IF(B38=0,"",IFERROR(IF(H38&lt;&gt;0,Componentes!$U$11,0),""))</f>
        <v>0</v>
      </c>
      <c r="V38" s="414">
        <f>IF(B38=0,"",IFERROR(IF(AA38&lt;&gt;0,VLOOKUP(Envoltória!U46,Componentes!X:Z,2,FALSE),0),0))</f>
        <v>0</v>
      </c>
      <c r="W38" s="414">
        <f>IF(B38=0,"",IFERROR(IF(AA38&lt;&gt;0,Componentes!$AE$11,0),0))</f>
        <v>0</v>
      </c>
      <c r="X38" s="413">
        <f>IF(B38=0,"",Envoltória!U46)</f>
        <v>0.1</v>
      </c>
      <c r="Y38" s="413">
        <f>IF(B38=0,"",VLOOKUP(Início!$C$20,Aux_Lista!A:H,8,FALSE))</f>
        <v>14.1</v>
      </c>
      <c r="Z38" s="413">
        <f>IF(B38=0,"",Envoltória!T46)</f>
        <v>15</v>
      </c>
      <c r="AA38" s="416">
        <f>IF(B38=0,"",Envoltória!Q46/100)</f>
        <v>0</v>
      </c>
      <c r="AB38" s="417">
        <f>INPUT!AB38</f>
        <v>-7.02</v>
      </c>
      <c r="AC38" s="417">
        <f>INPUT!AC38</f>
        <v>249</v>
      </c>
      <c r="AD38" s="417">
        <f>INPUT!AD38</f>
        <v>27.24</v>
      </c>
      <c r="AE38" s="417">
        <f>INPUT!AE38</f>
        <v>24.17</v>
      </c>
      <c r="AF38" s="417">
        <f>INPUT!AF38</f>
        <v>30.311666670000001</v>
      </c>
      <c r="AG38" s="417">
        <f>INPUT!AG38</f>
        <v>2.8624999999999998</v>
      </c>
      <c r="AH38" s="417">
        <f>INPUT!AH38</f>
        <v>1.8233333300000001</v>
      </c>
      <c r="AI38" s="417">
        <f>INPUT!AI38</f>
        <v>3.8433333300000001</v>
      </c>
      <c r="AJ38" s="417">
        <f>INPUT!AJ38</f>
        <v>6082.0829999999996</v>
      </c>
      <c r="AK38" s="417">
        <f>INPUT!AK38</f>
        <v>5588.8329999999996</v>
      </c>
      <c r="AL38" s="417">
        <f>INPUT!AL38</f>
        <v>6759.9380000000001</v>
      </c>
      <c r="AM38" s="417">
        <f>INPUT!AM38</f>
        <v>18.44083333</v>
      </c>
      <c r="AN38" s="417">
        <f>INPUT!AN38</f>
        <v>17.19166667</v>
      </c>
      <c r="AO38" s="417">
        <f>INPUT!AO38</f>
        <v>19.883333329999999</v>
      </c>
      <c r="AP38" s="413">
        <f>IF(B38=0,"",IF(BF38=0,90,VLOOKUP(Envoltória!N46,Componentes!T:AB,9,FALSE)))</f>
        <v>0</v>
      </c>
      <c r="AQ38" s="413">
        <f>IF(B38=0,"",IF(BF38=0,90,VLOOKUP(Envoltória!N46,Componentes!T:AB,8,FALSE)))</f>
        <v>0</v>
      </c>
      <c r="AR38" s="413">
        <f t="shared" si="1"/>
        <v>1</v>
      </c>
      <c r="AS38" s="413">
        <f t="shared" si="1"/>
        <v>0</v>
      </c>
      <c r="AT38" s="413">
        <f t="shared" si="1"/>
        <v>0</v>
      </c>
      <c r="AU38" s="413">
        <f t="shared" si="1"/>
        <v>0</v>
      </c>
      <c r="AV38" s="413">
        <f t="shared" si="1"/>
        <v>0</v>
      </c>
      <c r="AW38" s="414">
        <f>INPUT!AW38</f>
        <v>1</v>
      </c>
      <c r="AX38" s="414">
        <f>INPUT!AX38</f>
        <v>0</v>
      </c>
      <c r="AY38" s="414">
        <f>INPUT!AY38</f>
        <v>1</v>
      </c>
      <c r="AZ38" s="414">
        <f>INPUT!AZ38</f>
        <v>0</v>
      </c>
      <c r="BA38" s="414">
        <f>INPUT!BA38</f>
        <v>0</v>
      </c>
      <c r="BB38" s="414">
        <f>INPUT!BB38</f>
        <v>1</v>
      </c>
      <c r="BC38" s="414">
        <f>INPUT!BC38</f>
        <v>1</v>
      </c>
      <c r="BD38" s="414">
        <f>INPUT!BD38</f>
        <v>0</v>
      </c>
      <c r="BE38" s="412">
        <f t="shared" si="2"/>
        <v>0</v>
      </c>
      <c r="BF38" s="412">
        <f>IF(B38=0,"",IFERROR(VLOOKUP(Envoltória!F46,INPUT_REF!$BQ$18:$BR$19,2,FALSE),""))</f>
        <v>1</v>
      </c>
      <c r="BG38" s="412">
        <f>IFERROR(VLOOKUP(Envoltória!$G46,$BQ$35:$BZ$43,BG$9,FALSE),"")</f>
        <v>0</v>
      </c>
      <c r="BH38" s="412">
        <f>IFERROR(VLOOKUP(Envoltória!$G46,$BQ$35:$BZ$43,BH$9,FALSE),"")</f>
        <v>0</v>
      </c>
      <c r="BI38" s="412">
        <f>IFERROR(VLOOKUP(Envoltória!$G46,$BQ$35:$BZ$43,BI$9,FALSE),"")</f>
        <v>0</v>
      </c>
      <c r="BJ38" s="412">
        <f>IFERROR(VLOOKUP(Envoltória!$G46,$BQ$35:$BZ$43,BJ$9,FALSE),"")</f>
        <v>0</v>
      </c>
      <c r="BK38" s="412">
        <f>IFERROR(VLOOKUP(Envoltória!$G46,$BQ$35:$BZ$43,BK$9,FALSE),"")</f>
        <v>1</v>
      </c>
      <c r="BL38" s="412">
        <f>IFERROR(VLOOKUP(Envoltória!$G46,$BQ$35:$BZ$43,BL$9,FALSE),"")</f>
        <v>0</v>
      </c>
      <c r="BM38" s="412">
        <f>IFERROR(VLOOKUP(Envoltória!$G46,$BQ$35:$BZ$43,BM$9,FALSE),"")</f>
        <v>0</v>
      </c>
      <c r="BN38" s="412">
        <f>IFERROR(VLOOKUP(Envoltória!$G46,$BQ$35:$BZ$43,BN$9,FALSE),"")</f>
        <v>0</v>
      </c>
      <c r="BO38" s="412">
        <f>IFERROR(VLOOKUP(Envoltória!$G46,$BQ$35:$BZ$43,BO$9,FALSE),"")</f>
        <v>0</v>
      </c>
      <c r="BP38" s="1"/>
      <c r="BQ38" s="421" t="s">
        <v>72</v>
      </c>
      <c r="BR38" s="419">
        <v>0</v>
      </c>
      <c r="BS38" s="419">
        <v>0</v>
      </c>
      <c r="BT38" s="419">
        <v>1</v>
      </c>
      <c r="BU38" s="419">
        <v>0</v>
      </c>
      <c r="BV38" s="419">
        <v>0</v>
      </c>
      <c r="BW38" s="419">
        <v>0</v>
      </c>
      <c r="BX38" s="419">
        <v>0</v>
      </c>
      <c r="BY38" s="419">
        <v>0</v>
      </c>
      <c r="BZ38" s="419">
        <v>0</v>
      </c>
      <c r="CA38" s="11">
        <f t="shared" si="3"/>
        <v>1</v>
      </c>
    </row>
    <row r="39" spans="1:79" s="15" customFormat="1" x14ac:dyDescent="0.25">
      <c r="A39" s="1">
        <v>29</v>
      </c>
      <c r="B39" s="409" t="str">
        <f>Envoltória!I47</f>
        <v>Escritórios</v>
      </c>
      <c r="C39" s="410" t="str">
        <f>Envoltória!B47</f>
        <v>Cobertura</v>
      </c>
      <c r="D39" s="410" t="str">
        <f>Envoltória!C47</f>
        <v>ZP25</v>
      </c>
      <c r="E39" s="411">
        <f>Envoltória!D47</f>
        <v>38.340000000000003</v>
      </c>
      <c r="F39" s="412">
        <f>IF(B39=0,"",Envoltória!E47)</f>
        <v>3</v>
      </c>
      <c r="G39" s="412">
        <f t="shared" si="0"/>
        <v>13.02</v>
      </c>
      <c r="H39" s="413">
        <f>IF(B39=0,"",IF(Envoltória!O47=0,0,VLOOKUP(B39,Aux_Lista!A:M,13,FALSE)))</f>
        <v>0.5</v>
      </c>
      <c r="I39" s="413">
        <f>IF(B39=0,"",IF(BF39=1,VLOOKUP(Envoltória!N47,Componentes!T:AB,7,FALSE),89))</f>
        <v>0</v>
      </c>
      <c r="J39" s="414">
        <f>IF(B39=0,"",Componentes!$Q$10)</f>
        <v>2.06</v>
      </c>
      <c r="K39" s="414">
        <f>IF(B39=0,"",Componentes!$R$10)</f>
        <v>233</v>
      </c>
      <c r="L39" s="413">
        <f>IF(B39=0,"",IFERROR(IF(BB39&lt;&gt;0,Componentes!$L$11,0),""))</f>
        <v>2.06</v>
      </c>
      <c r="M39" s="413">
        <f>IF(B39=0,"",IFERROR(IF(BB39&lt;&gt;0,Componentes!$M$11,0),""))</f>
        <v>233</v>
      </c>
      <c r="N39" s="415">
        <f>IF(B39=0,"",IFERROR(IF(BB39&lt;&gt;0,Componentes!$N$11,0),""))</f>
        <v>0.8</v>
      </c>
      <c r="O39" s="413">
        <f>IF(B39=0,"",IF(BF39=1,Componentes!$C$11,-6))</f>
        <v>2.39</v>
      </c>
      <c r="P39" s="413">
        <f>IF(B39=0,"",IF(BF39=1,Componentes!$D$11,-400))</f>
        <v>150</v>
      </c>
      <c r="Q39" s="413">
        <f>IF(B39=0,"",IF(BF39=1,Componentes!$E$11,0))</f>
        <v>0.5</v>
      </c>
      <c r="R39" s="414">
        <f>IF(B39=0,"",Componentes!$H$11)</f>
        <v>2.39</v>
      </c>
      <c r="S39" s="414">
        <f>IF(B39=0,"",Componentes!$I$11)</f>
        <v>150</v>
      </c>
      <c r="T39" s="413">
        <f>IF(B39=0,"",IFERROR(IF(H39&lt;&gt;0,Componentes!$V$11,0),""))</f>
        <v>0.82</v>
      </c>
      <c r="U39" s="413">
        <f>IF(B39=0,"",IFERROR(IF(H39&lt;&gt;0,Componentes!$U$11,0),""))</f>
        <v>5.7</v>
      </c>
      <c r="V39" s="414">
        <f>IF(B39=0,"",IFERROR(IF(AA39&lt;&gt;0,VLOOKUP(Envoltória!U47,Componentes!X:Z,2,FALSE),0),0))</f>
        <v>0</v>
      </c>
      <c r="W39" s="414">
        <f>IF(B39=0,"",IFERROR(IF(AA39&lt;&gt;0,Componentes!$AE$11,0),0))</f>
        <v>0</v>
      </c>
      <c r="X39" s="413">
        <f>IF(B39=0,"",Envoltória!U47)</f>
        <v>0.1</v>
      </c>
      <c r="Y39" s="413">
        <f>IF(B39=0,"",VLOOKUP(Início!$C$20,Aux_Lista!A:H,8,FALSE))</f>
        <v>14.1</v>
      </c>
      <c r="Z39" s="413">
        <f>IF(B39=0,"",Envoltória!T47)</f>
        <v>15</v>
      </c>
      <c r="AA39" s="416">
        <f>IF(B39=0,"",Envoltória!Q47/100)</f>
        <v>0</v>
      </c>
      <c r="AB39" s="417">
        <f>INPUT!AB39</f>
        <v>-7.02</v>
      </c>
      <c r="AC39" s="417">
        <f>INPUT!AC39</f>
        <v>249</v>
      </c>
      <c r="AD39" s="417">
        <f>INPUT!AD39</f>
        <v>27.24</v>
      </c>
      <c r="AE39" s="417">
        <f>INPUT!AE39</f>
        <v>24.17</v>
      </c>
      <c r="AF39" s="417">
        <f>INPUT!AF39</f>
        <v>30.311666670000001</v>
      </c>
      <c r="AG39" s="417">
        <f>INPUT!AG39</f>
        <v>2.8624999999999998</v>
      </c>
      <c r="AH39" s="417">
        <f>INPUT!AH39</f>
        <v>1.8233333300000001</v>
      </c>
      <c r="AI39" s="417">
        <f>INPUT!AI39</f>
        <v>3.8433333300000001</v>
      </c>
      <c r="AJ39" s="417">
        <f>INPUT!AJ39</f>
        <v>6082.0829999999996</v>
      </c>
      <c r="AK39" s="417">
        <f>INPUT!AK39</f>
        <v>5588.8329999999996</v>
      </c>
      <c r="AL39" s="417">
        <f>INPUT!AL39</f>
        <v>6759.9380000000001</v>
      </c>
      <c r="AM39" s="417">
        <f>INPUT!AM39</f>
        <v>18.44083333</v>
      </c>
      <c r="AN39" s="417">
        <f>INPUT!AN39</f>
        <v>17.19166667</v>
      </c>
      <c r="AO39" s="417">
        <f>INPUT!AO39</f>
        <v>19.883333329999999</v>
      </c>
      <c r="AP39" s="413">
        <f>IF(B39=0,"",IF(BF39=0,90,VLOOKUP(Envoltória!N47,Componentes!T:AB,9,FALSE)))</f>
        <v>0</v>
      </c>
      <c r="AQ39" s="413">
        <f>IF(B39=0,"",IF(BF39=0,90,VLOOKUP(Envoltória!N47,Componentes!T:AB,8,FALSE)))</f>
        <v>0</v>
      </c>
      <c r="AR39" s="413">
        <f t="shared" si="1"/>
        <v>1</v>
      </c>
      <c r="AS39" s="413">
        <f t="shared" si="1"/>
        <v>0</v>
      </c>
      <c r="AT39" s="413">
        <f t="shared" si="1"/>
        <v>0</v>
      </c>
      <c r="AU39" s="413">
        <f t="shared" si="1"/>
        <v>0</v>
      </c>
      <c r="AV39" s="413">
        <f t="shared" si="1"/>
        <v>0</v>
      </c>
      <c r="AW39" s="414">
        <f>INPUT!AW39</f>
        <v>1</v>
      </c>
      <c r="AX39" s="414">
        <f>INPUT!AX39</f>
        <v>0</v>
      </c>
      <c r="AY39" s="414">
        <f>INPUT!AY39</f>
        <v>1</v>
      </c>
      <c r="AZ39" s="414">
        <f>INPUT!AZ39</f>
        <v>0</v>
      </c>
      <c r="BA39" s="414">
        <f>INPUT!BA39</f>
        <v>0</v>
      </c>
      <c r="BB39" s="414">
        <f>INPUT!BB39</f>
        <v>1</v>
      </c>
      <c r="BC39" s="414">
        <f>INPUT!BC39</f>
        <v>1</v>
      </c>
      <c r="BD39" s="414">
        <f>INPUT!BD39</f>
        <v>0</v>
      </c>
      <c r="BE39" s="412">
        <f t="shared" si="2"/>
        <v>0</v>
      </c>
      <c r="BF39" s="412">
        <f>IF(B39=0,"",IFERROR(VLOOKUP(Envoltória!F47,INPUT_REF!$BQ$18:$BR$19,2,FALSE),""))</f>
        <v>1</v>
      </c>
      <c r="BG39" s="412">
        <f>IFERROR(VLOOKUP(Envoltória!$G47,$BQ$35:$BZ$43,BG$9,FALSE),"")</f>
        <v>0</v>
      </c>
      <c r="BH39" s="412">
        <f>IFERROR(VLOOKUP(Envoltória!$G47,$BQ$35:$BZ$43,BH$9,FALSE),"")</f>
        <v>0</v>
      </c>
      <c r="BI39" s="412">
        <f>IFERROR(VLOOKUP(Envoltória!$G47,$BQ$35:$BZ$43,BI$9,FALSE),"")</f>
        <v>1</v>
      </c>
      <c r="BJ39" s="412">
        <f>IFERROR(VLOOKUP(Envoltória!$G47,$BQ$35:$BZ$43,BJ$9,FALSE),"")</f>
        <v>0</v>
      </c>
      <c r="BK39" s="412">
        <f>IFERROR(VLOOKUP(Envoltória!$G47,$BQ$35:$BZ$43,BK$9,FALSE),"")</f>
        <v>0</v>
      </c>
      <c r="BL39" s="412">
        <f>IFERROR(VLOOKUP(Envoltória!$G47,$BQ$35:$BZ$43,BL$9,FALSE),"")</f>
        <v>0</v>
      </c>
      <c r="BM39" s="412">
        <f>IFERROR(VLOOKUP(Envoltória!$G47,$BQ$35:$BZ$43,BM$9,FALSE),"")</f>
        <v>0</v>
      </c>
      <c r="BN39" s="412">
        <f>IFERROR(VLOOKUP(Envoltória!$G47,$BQ$35:$BZ$43,BN$9,FALSE),"")</f>
        <v>0</v>
      </c>
      <c r="BO39" s="412">
        <f>IFERROR(VLOOKUP(Envoltória!$G47,$BQ$35:$BZ$43,BO$9,FALSE),"")</f>
        <v>0</v>
      </c>
      <c r="BP39" s="1"/>
      <c r="BQ39" s="421" t="s">
        <v>73</v>
      </c>
      <c r="BR39" s="419">
        <v>0</v>
      </c>
      <c r="BS39" s="419">
        <v>0</v>
      </c>
      <c r="BT39" s="419">
        <v>0</v>
      </c>
      <c r="BU39" s="419">
        <v>0</v>
      </c>
      <c r="BV39" s="419">
        <v>1</v>
      </c>
      <c r="BW39" s="419">
        <v>0</v>
      </c>
      <c r="BX39" s="419">
        <v>0</v>
      </c>
      <c r="BY39" s="419">
        <v>0</v>
      </c>
      <c r="BZ39" s="419">
        <v>0</v>
      </c>
      <c r="CA39" s="11">
        <f t="shared" si="3"/>
        <v>1</v>
      </c>
    </row>
    <row r="40" spans="1:79" s="15" customFormat="1" x14ac:dyDescent="0.25">
      <c r="A40" s="1">
        <v>30</v>
      </c>
      <c r="B40" s="409" t="str">
        <f>Envoltória!I48</f>
        <v>Escritórios</v>
      </c>
      <c r="C40" s="410" t="str">
        <f>Envoltória!B48</f>
        <v>Cobertura</v>
      </c>
      <c r="D40" s="410" t="str">
        <f>Envoltória!C48</f>
        <v>ZP26</v>
      </c>
      <c r="E40" s="411">
        <f>Envoltória!D48</f>
        <v>60.35</v>
      </c>
      <c r="F40" s="412">
        <f>IF(B40=0,"",Envoltória!E48)</f>
        <v>3</v>
      </c>
      <c r="G40" s="412">
        <f t="shared" si="0"/>
        <v>17.911111111111111</v>
      </c>
      <c r="H40" s="413">
        <f>IF(B40=0,"",IF(Envoltória!O48=0,0,VLOOKUP(B40,Aux_Lista!A:M,13,FALSE)))</f>
        <v>0.5</v>
      </c>
      <c r="I40" s="413">
        <f>IF(B40=0,"",IF(BF40=1,VLOOKUP(Envoltória!N48,Componentes!T:AB,7,FALSE),89))</f>
        <v>0</v>
      </c>
      <c r="J40" s="414">
        <f>IF(B40=0,"",Componentes!$Q$10)</f>
        <v>2.06</v>
      </c>
      <c r="K40" s="414">
        <f>IF(B40=0,"",Componentes!$R$10)</f>
        <v>233</v>
      </c>
      <c r="L40" s="413">
        <f>IF(B40=0,"",IFERROR(IF(BB40&lt;&gt;0,Componentes!$L$11,0),""))</f>
        <v>2.06</v>
      </c>
      <c r="M40" s="413">
        <f>IF(B40=0,"",IFERROR(IF(BB40&lt;&gt;0,Componentes!$M$11,0),""))</f>
        <v>233</v>
      </c>
      <c r="N40" s="415">
        <f>IF(B40=0,"",IFERROR(IF(BB40&lt;&gt;0,Componentes!$N$11,0),""))</f>
        <v>0.8</v>
      </c>
      <c r="O40" s="413">
        <f>IF(B40=0,"",IF(BF40=1,Componentes!$C$11,-6))</f>
        <v>2.39</v>
      </c>
      <c r="P40" s="413">
        <f>IF(B40=0,"",IF(BF40=1,Componentes!$D$11,-400))</f>
        <v>150</v>
      </c>
      <c r="Q40" s="413">
        <f>IF(B40=0,"",IF(BF40=1,Componentes!$E$11,0))</f>
        <v>0.5</v>
      </c>
      <c r="R40" s="414">
        <f>IF(B40=0,"",Componentes!$H$11)</f>
        <v>2.39</v>
      </c>
      <c r="S40" s="414">
        <f>IF(B40=0,"",Componentes!$I$11)</f>
        <v>150</v>
      </c>
      <c r="T40" s="413">
        <f>IF(B40=0,"",IFERROR(IF(H40&lt;&gt;0,Componentes!$V$11,0),""))</f>
        <v>0.82</v>
      </c>
      <c r="U40" s="413">
        <f>IF(B40=0,"",IFERROR(IF(H40&lt;&gt;0,Componentes!$U$11,0),""))</f>
        <v>5.7</v>
      </c>
      <c r="V40" s="414">
        <f>IF(B40=0,"",IFERROR(IF(AA40&lt;&gt;0,VLOOKUP(Envoltória!U48,Componentes!X:Z,2,FALSE),0),0))</f>
        <v>0</v>
      </c>
      <c r="W40" s="414">
        <f>IF(B40=0,"",IFERROR(IF(AA40&lt;&gt;0,Componentes!$AE$11,0),0))</f>
        <v>0</v>
      </c>
      <c r="X40" s="413">
        <f>IF(B40=0,"",Envoltória!U48)</f>
        <v>0.1</v>
      </c>
      <c r="Y40" s="413">
        <f>IF(B40=0,"",VLOOKUP(Início!$C$20,Aux_Lista!A:H,8,FALSE))</f>
        <v>14.1</v>
      </c>
      <c r="Z40" s="413">
        <f>IF(B40=0,"",Envoltória!T48)</f>
        <v>15</v>
      </c>
      <c r="AA40" s="416">
        <f>IF(B40=0,"",Envoltória!Q48/100)</f>
        <v>0</v>
      </c>
      <c r="AB40" s="417">
        <f>INPUT!AB40</f>
        <v>-7.02</v>
      </c>
      <c r="AC40" s="417">
        <f>INPUT!AC40</f>
        <v>249</v>
      </c>
      <c r="AD40" s="417">
        <f>INPUT!AD40</f>
        <v>27.24</v>
      </c>
      <c r="AE40" s="417">
        <f>INPUT!AE40</f>
        <v>24.17</v>
      </c>
      <c r="AF40" s="417">
        <f>INPUT!AF40</f>
        <v>30.311666670000001</v>
      </c>
      <c r="AG40" s="417">
        <f>INPUT!AG40</f>
        <v>2.8624999999999998</v>
      </c>
      <c r="AH40" s="417">
        <f>INPUT!AH40</f>
        <v>1.8233333300000001</v>
      </c>
      <c r="AI40" s="417">
        <f>INPUT!AI40</f>
        <v>3.8433333300000001</v>
      </c>
      <c r="AJ40" s="417">
        <f>INPUT!AJ40</f>
        <v>6082.0829999999996</v>
      </c>
      <c r="AK40" s="417">
        <f>INPUT!AK40</f>
        <v>5588.8329999999996</v>
      </c>
      <c r="AL40" s="417">
        <f>INPUT!AL40</f>
        <v>6759.9380000000001</v>
      </c>
      <c r="AM40" s="417">
        <f>INPUT!AM40</f>
        <v>18.44083333</v>
      </c>
      <c r="AN40" s="417">
        <f>INPUT!AN40</f>
        <v>17.19166667</v>
      </c>
      <c r="AO40" s="417">
        <f>INPUT!AO40</f>
        <v>19.883333329999999</v>
      </c>
      <c r="AP40" s="413">
        <f>IF(B40=0,"",IF(BF40=0,90,VLOOKUP(Envoltória!N48,Componentes!T:AB,9,FALSE)))</f>
        <v>0</v>
      </c>
      <c r="AQ40" s="413">
        <f>IF(B40=0,"",IF(BF40=0,90,VLOOKUP(Envoltória!N48,Componentes!T:AB,8,FALSE)))</f>
        <v>0</v>
      </c>
      <c r="AR40" s="413">
        <f t="shared" si="1"/>
        <v>1</v>
      </c>
      <c r="AS40" s="413">
        <f t="shared" si="1"/>
        <v>0</v>
      </c>
      <c r="AT40" s="413">
        <f t="shared" si="1"/>
        <v>0</v>
      </c>
      <c r="AU40" s="413">
        <f t="shared" si="1"/>
        <v>0</v>
      </c>
      <c r="AV40" s="413">
        <f t="shared" si="1"/>
        <v>0</v>
      </c>
      <c r="AW40" s="414">
        <f>INPUT!AW40</f>
        <v>1</v>
      </c>
      <c r="AX40" s="414">
        <f>INPUT!AX40</f>
        <v>0</v>
      </c>
      <c r="AY40" s="414">
        <f>INPUT!AY40</f>
        <v>1</v>
      </c>
      <c r="AZ40" s="414">
        <f>INPUT!AZ40</f>
        <v>0</v>
      </c>
      <c r="BA40" s="414">
        <f>INPUT!BA40</f>
        <v>0</v>
      </c>
      <c r="BB40" s="414">
        <f>INPUT!BB40</f>
        <v>1</v>
      </c>
      <c r="BC40" s="414">
        <f>INPUT!BC40</f>
        <v>1</v>
      </c>
      <c r="BD40" s="414">
        <f>INPUT!BD40</f>
        <v>0</v>
      </c>
      <c r="BE40" s="412">
        <f t="shared" si="2"/>
        <v>0</v>
      </c>
      <c r="BF40" s="412">
        <f>IF(B40=0,"",IFERROR(VLOOKUP(Envoltória!F48,INPUT_REF!$BQ$18:$BR$19,2,FALSE),""))</f>
        <v>1</v>
      </c>
      <c r="BG40" s="412">
        <f>IFERROR(VLOOKUP(Envoltória!$G48,$BQ$35:$BZ$43,BG$9,FALSE),"")</f>
        <v>0</v>
      </c>
      <c r="BH40" s="412">
        <f>IFERROR(VLOOKUP(Envoltória!$G48,$BQ$35:$BZ$43,BH$9,FALSE),"")</f>
        <v>0</v>
      </c>
      <c r="BI40" s="412">
        <f>IFERROR(VLOOKUP(Envoltória!$G48,$BQ$35:$BZ$43,BI$9,FALSE),"")</f>
        <v>0</v>
      </c>
      <c r="BJ40" s="412">
        <f>IFERROR(VLOOKUP(Envoltória!$G48,$BQ$35:$BZ$43,BJ$9,FALSE),"")</f>
        <v>0</v>
      </c>
      <c r="BK40" s="412">
        <f>IFERROR(VLOOKUP(Envoltória!$G48,$BQ$35:$BZ$43,BK$9,FALSE),"")</f>
        <v>0</v>
      </c>
      <c r="BL40" s="412">
        <f>IFERROR(VLOOKUP(Envoltória!$G48,$BQ$35:$BZ$43,BL$9,FALSE),"")</f>
        <v>0</v>
      </c>
      <c r="BM40" s="412">
        <f>IFERROR(VLOOKUP(Envoltória!$G48,$BQ$35:$BZ$43,BM$9,FALSE),"")</f>
        <v>0</v>
      </c>
      <c r="BN40" s="412">
        <f>IFERROR(VLOOKUP(Envoltória!$G48,$BQ$35:$BZ$43,BN$9,FALSE),"")</f>
        <v>0</v>
      </c>
      <c r="BO40" s="412">
        <f>IFERROR(VLOOKUP(Envoltória!$G48,$BQ$35:$BZ$43,BO$9,FALSE),"")</f>
        <v>1</v>
      </c>
      <c r="BP40" s="1"/>
      <c r="BQ40" s="421" t="s">
        <v>298</v>
      </c>
      <c r="BR40" s="419">
        <v>0</v>
      </c>
      <c r="BS40" s="419">
        <v>0</v>
      </c>
      <c r="BT40" s="419">
        <v>0</v>
      </c>
      <c r="BU40" s="419">
        <v>1</v>
      </c>
      <c r="BV40" s="419">
        <v>0</v>
      </c>
      <c r="BW40" s="419">
        <v>0</v>
      </c>
      <c r="BX40" s="419">
        <v>0</v>
      </c>
      <c r="BY40" s="419">
        <v>0</v>
      </c>
      <c r="BZ40" s="419">
        <v>0</v>
      </c>
      <c r="CA40" s="11">
        <f t="shared" si="3"/>
        <v>1</v>
      </c>
    </row>
    <row r="41" spans="1:79" s="15" customFormat="1" x14ac:dyDescent="0.25">
      <c r="A41" s="1">
        <v>31</v>
      </c>
      <c r="B41" s="409" t="str">
        <f>Envoltória!I49</f>
        <v>Escritórios</v>
      </c>
      <c r="C41" s="410" t="str">
        <f>Envoltória!B49</f>
        <v>Cobertura</v>
      </c>
      <c r="D41" s="410" t="str">
        <f>Envoltória!C49</f>
        <v>ZP27</v>
      </c>
      <c r="E41" s="411">
        <f>Envoltória!D49</f>
        <v>0.37</v>
      </c>
      <c r="F41" s="412">
        <f>IF(B41=0,"",Envoltória!E49)</f>
        <v>3</v>
      </c>
      <c r="G41" s="412">
        <f t="shared" si="0"/>
        <v>4.5822222222222226</v>
      </c>
      <c r="H41" s="413">
        <f>IF(B41=0,"",IF(Envoltória!O49=0,0,VLOOKUP(B41,Aux_Lista!A:M,13,FALSE)))</f>
        <v>0</v>
      </c>
      <c r="I41" s="413">
        <f>IF(B41=0,"",IF(BF41=1,VLOOKUP(Envoltória!N49,Componentes!T:AB,7,FALSE),89))</f>
        <v>0</v>
      </c>
      <c r="J41" s="414">
        <f>IF(B41=0,"",Componentes!$Q$10)</f>
        <v>2.06</v>
      </c>
      <c r="K41" s="414">
        <f>IF(B41=0,"",Componentes!$R$10)</f>
        <v>233</v>
      </c>
      <c r="L41" s="413">
        <f>IF(B41=0,"",IFERROR(IF(BB41&lt;&gt;0,Componentes!$L$11,0),""))</f>
        <v>2.06</v>
      </c>
      <c r="M41" s="413">
        <f>IF(B41=0,"",IFERROR(IF(BB41&lt;&gt;0,Componentes!$M$11,0),""))</f>
        <v>233</v>
      </c>
      <c r="N41" s="415">
        <f>IF(B41=0,"",IFERROR(IF(BB41&lt;&gt;0,Componentes!$N$11,0),""))</f>
        <v>0.8</v>
      </c>
      <c r="O41" s="413">
        <f>IF(B41=0,"",IF(BF41=1,Componentes!$C$11,-6))</f>
        <v>2.39</v>
      </c>
      <c r="P41" s="413">
        <f>IF(B41=0,"",IF(BF41=1,Componentes!$D$11,-400))</f>
        <v>150</v>
      </c>
      <c r="Q41" s="413">
        <f>IF(B41=0,"",IF(BF41=1,Componentes!$E$11,0))</f>
        <v>0.5</v>
      </c>
      <c r="R41" s="414">
        <f>IF(B41=0,"",Componentes!$H$11)</f>
        <v>2.39</v>
      </c>
      <c r="S41" s="414">
        <f>IF(B41=0,"",Componentes!$I$11)</f>
        <v>150</v>
      </c>
      <c r="T41" s="413">
        <f>IF(B41=0,"",IFERROR(IF(H41&lt;&gt;0,Componentes!$V$11,0),""))</f>
        <v>0</v>
      </c>
      <c r="U41" s="413">
        <f>IF(B41=0,"",IFERROR(IF(H41&lt;&gt;0,Componentes!$U$11,0),""))</f>
        <v>0</v>
      </c>
      <c r="V41" s="414">
        <f>IF(B41=0,"",IFERROR(IF(AA41&lt;&gt;0,VLOOKUP(Envoltória!U49,Componentes!X:Z,2,FALSE),0),0))</f>
        <v>0</v>
      </c>
      <c r="W41" s="414">
        <f>IF(B41=0,"",IFERROR(IF(AA41&lt;&gt;0,Componentes!$AE$11,0),0))</f>
        <v>0</v>
      </c>
      <c r="X41" s="413">
        <f>IF(B41=0,"",Envoltória!U49)</f>
        <v>0.1</v>
      </c>
      <c r="Y41" s="413">
        <f>IF(B41=0,"",VLOOKUP(Início!$C$20,Aux_Lista!A:H,8,FALSE))</f>
        <v>14.1</v>
      </c>
      <c r="Z41" s="413">
        <f>IF(B41=0,"",Envoltória!T49)</f>
        <v>15</v>
      </c>
      <c r="AA41" s="416">
        <f>IF(B41=0,"",Envoltória!Q49/100)</f>
        <v>0</v>
      </c>
      <c r="AB41" s="417">
        <f>INPUT!AB41</f>
        <v>-7.02</v>
      </c>
      <c r="AC41" s="417">
        <f>INPUT!AC41</f>
        <v>249</v>
      </c>
      <c r="AD41" s="417">
        <f>INPUT!AD41</f>
        <v>27.24</v>
      </c>
      <c r="AE41" s="417">
        <f>INPUT!AE41</f>
        <v>24.17</v>
      </c>
      <c r="AF41" s="417">
        <f>INPUT!AF41</f>
        <v>30.311666670000001</v>
      </c>
      <c r="AG41" s="417">
        <f>INPUT!AG41</f>
        <v>2.8624999999999998</v>
      </c>
      <c r="AH41" s="417">
        <f>INPUT!AH41</f>
        <v>1.8233333300000001</v>
      </c>
      <c r="AI41" s="417">
        <f>INPUT!AI41</f>
        <v>3.8433333300000001</v>
      </c>
      <c r="AJ41" s="417">
        <f>INPUT!AJ41</f>
        <v>6082.0829999999996</v>
      </c>
      <c r="AK41" s="417">
        <f>INPUT!AK41</f>
        <v>5588.8329999999996</v>
      </c>
      <c r="AL41" s="417">
        <f>INPUT!AL41</f>
        <v>6759.9380000000001</v>
      </c>
      <c r="AM41" s="417">
        <f>INPUT!AM41</f>
        <v>18.44083333</v>
      </c>
      <c r="AN41" s="417">
        <f>INPUT!AN41</f>
        <v>17.19166667</v>
      </c>
      <c r="AO41" s="417">
        <f>INPUT!AO41</f>
        <v>19.883333329999999</v>
      </c>
      <c r="AP41" s="413">
        <f>IF(B41=0,"",IF(BF41=0,90,VLOOKUP(Envoltória!N49,Componentes!T:AB,9,FALSE)))</f>
        <v>0</v>
      </c>
      <c r="AQ41" s="413">
        <f>IF(B41=0,"",IF(BF41=0,90,VLOOKUP(Envoltória!N49,Componentes!T:AB,8,FALSE)))</f>
        <v>0</v>
      </c>
      <c r="AR41" s="413">
        <f t="shared" si="1"/>
        <v>1</v>
      </c>
      <c r="AS41" s="413">
        <f t="shared" si="1"/>
        <v>0</v>
      </c>
      <c r="AT41" s="413">
        <f t="shared" si="1"/>
        <v>0</v>
      </c>
      <c r="AU41" s="413">
        <f t="shared" si="1"/>
        <v>0</v>
      </c>
      <c r="AV41" s="413">
        <f t="shared" si="1"/>
        <v>0</v>
      </c>
      <c r="AW41" s="414">
        <f>INPUT!AW41</f>
        <v>1</v>
      </c>
      <c r="AX41" s="414">
        <f>INPUT!AX41</f>
        <v>0</v>
      </c>
      <c r="AY41" s="414">
        <f>INPUT!AY41</f>
        <v>1</v>
      </c>
      <c r="AZ41" s="414">
        <f>INPUT!AZ41</f>
        <v>0</v>
      </c>
      <c r="BA41" s="414">
        <f>INPUT!BA41</f>
        <v>0</v>
      </c>
      <c r="BB41" s="414">
        <f>INPUT!BB41</f>
        <v>1</v>
      </c>
      <c r="BC41" s="414">
        <f>INPUT!BC41</f>
        <v>1</v>
      </c>
      <c r="BD41" s="414">
        <f>INPUT!BD41</f>
        <v>0</v>
      </c>
      <c r="BE41" s="412">
        <f t="shared" si="2"/>
        <v>0</v>
      </c>
      <c r="BF41" s="412">
        <f>IF(B41=0,"",IFERROR(VLOOKUP(Envoltória!F49,INPUT_REF!$BQ$18:$BR$19,2,FALSE),""))</f>
        <v>1</v>
      </c>
      <c r="BG41" s="412">
        <f>IFERROR(VLOOKUP(Envoltória!$G49,$BQ$35:$BZ$43,BG$9,FALSE),"")</f>
        <v>0</v>
      </c>
      <c r="BH41" s="412">
        <f>IFERROR(VLOOKUP(Envoltória!$G49,$BQ$35:$BZ$43,BH$9,FALSE),"")</f>
        <v>0</v>
      </c>
      <c r="BI41" s="412">
        <f>IFERROR(VLOOKUP(Envoltória!$G49,$BQ$35:$BZ$43,BI$9,FALSE),"")</f>
        <v>0</v>
      </c>
      <c r="BJ41" s="412">
        <f>IFERROR(VLOOKUP(Envoltória!$G49,$BQ$35:$BZ$43,BJ$9,FALSE),"")</f>
        <v>0</v>
      </c>
      <c r="BK41" s="412">
        <f>IFERROR(VLOOKUP(Envoltória!$G49,$BQ$35:$BZ$43,BK$9,FALSE),"")</f>
        <v>0</v>
      </c>
      <c r="BL41" s="412">
        <f>IFERROR(VLOOKUP(Envoltória!$G49,$BQ$35:$BZ$43,BL$9,FALSE),"")</f>
        <v>0</v>
      </c>
      <c r="BM41" s="412">
        <f>IFERROR(VLOOKUP(Envoltória!$G49,$BQ$35:$BZ$43,BM$9,FALSE),"")</f>
        <v>1</v>
      </c>
      <c r="BN41" s="412">
        <f>IFERROR(VLOOKUP(Envoltória!$G49,$BQ$35:$BZ$43,BN$9,FALSE),"")</f>
        <v>0</v>
      </c>
      <c r="BO41" s="412">
        <f>IFERROR(VLOOKUP(Envoltória!$G49,$BQ$35:$BZ$43,BO$9,FALSE),"")</f>
        <v>0</v>
      </c>
      <c r="BP41" s="1"/>
      <c r="BQ41" s="421" t="s">
        <v>308</v>
      </c>
      <c r="BR41" s="419">
        <v>0</v>
      </c>
      <c r="BS41" s="419">
        <v>0</v>
      </c>
      <c r="BT41" s="419">
        <v>0</v>
      </c>
      <c r="BU41" s="419">
        <v>0</v>
      </c>
      <c r="BV41" s="419">
        <v>0</v>
      </c>
      <c r="BW41" s="419">
        <v>1</v>
      </c>
      <c r="BX41" s="419">
        <v>0</v>
      </c>
      <c r="BY41" s="419">
        <v>0</v>
      </c>
      <c r="BZ41" s="419">
        <v>0</v>
      </c>
      <c r="CA41" s="11">
        <f t="shared" si="3"/>
        <v>1</v>
      </c>
    </row>
    <row r="42" spans="1:79" s="15" customFormat="1" x14ac:dyDescent="0.25">
      <c r="A42" s="1">
        <v>32</v>
      </c>
      <c r="B42" s="409" t="str">
        <f>Envoltória!I50</f>
        <v>Escritórios</v>
      </c>
      <c r="C42" s="410" t="str">
        <f>Envoltória!B50</f>
        <v>Cobertura</v>
      </c>
      <c r="D42" s="410" t="str">
        <f>Envoltória!C50</f>
        <v>ZP28</v>
      </c>
      <c r="E42" s="411">
        <f>Envoltória!D50</f>
        <v>9.9</v>
      </c>
      <c r="F42" s="412">
        <f>IF(B42=0,"",Envoltória!E50)</f>
        <v>3</v>
      </c>
      <c r="G42" s="412">
        <f t="shared" si="0"/>
        <v>6.7</v>
      </c>
      <c r="H42" s="413">
        <f>IF(B42=0,"",IF(Envoltória!O50=0,0,VLOOKUP(B42,Aux_Lista!A:M,13,FALSE)))</f>
        <v>0</v>
      </c>
      <c r="I42" s="413">
        <f>IF(B42=0,"",IF(BF42=1,VLOOKUP(Envoltória!N50,Componentes!T:AB,7,FALSE),89))</f>
        <v>0</v>
      </c>
      <c r="J42" s="414">
        <f>IF(B42=0,"",Componentes!$Q$10)</f>
        <v>2.06</v>
      </c>
      <c r="K42" s="414">
        <f>IF(B42=0,"",Componentes!$R$10)</f>
        <v>233</v>
      </c>
      <c r="L42" s="413">
        <f>IF(B42=0,"",IFERROR(IF(BB42&lt;&gt;0,Componentes!$L$11,0),""))</f>
        <v>2.06</v>
      </c>
      <c r="M42" s="413">
        <f>IF(B42=0,"",IFERROR(IF(BB42&lt;&gt;0,Componentes!$M$11,0),""))</f>
        <v>233</v>
      </c>
      <c r="N42" s="415">
        <f>IF(B42=0,"",IFERROR(IF(BB42&lt;&gt;0,Componentes!$N$11,0),""))</f>
        <v>0.8</v>
      </c>
      <c r="O42" s="413">
        <f>IF(B42=0,"",IF(BF42=1,Componentes!$C$11,-6))</f>
        <v>2.39</v>
      </c>
      <c r="P42" s="413">
        <f>IF(B42=0,"",IF(BF42=1,Componentes!$D$11,-400))</f>
        <v>150</v>
      </c>
      <c r="Q42" s="413">
        <f>IF(B42=0,"",IF(BF42=1,Componentes!$E$11,0))</f>
        <v>0.5</v>
      </c>
      <c r="R42" s="414">
        <f>IF(B42=0,"",Componentes!$H$11)</f>
        <v>2.39</v>
      </c>
      <c r="S42" s="414">
        <f>IF(B42=0,"",Componentes!$I$11)</f>
        <v>150</v>
      </c>
      <c r="T42" s="413">
        <f>IF(B42=0,"",IFERROR(IF(H42&lt;&gt;0,Componentes!$V$11,0),""))</f>
        <v>0</v>
      </c>
      <c r="U42" s="413">
        <f>IF(B42=0,"",IFERROR(IF(H42&lt;&gt;0,Componentes!$U$11,0),""))</f>
        <v>0</v>
      </c>
      <c r="V42" s="414">
        <f>IF(B42=0,"",IFERROR(IF(AA42&lt;&gt;0,VLOOKUP(Envoltória!U50,Componentes!X:Z,2,FALSE),0),0))</f>
        <v>0</v>
      </c>
      <c r="W42" s="414">
        <f>IF(B42=0,"",IFERROR(IF(AA42&lt;&gt;0,Componentes!$AE$11,0),0))</f>
        <v>0</v>
      </c>
      <c r="X42" s="413">
        <f>IF(B42=0,"",Envoltória!U50)</f>
        <v>0.1</v>
      </c>
      <c r="Y42" s="413">
        <f>IF(B42=0,"",VLOOKUP(Início!$C$20,Aux_Lista!A:H,8,FALSE))</f>
        <v>14.1</v>
      </c>
      <c r="Z42" s="413">
        <f>IF(B42=0,"",Envoltória!T50)</f>
        <v>15</v>
      </c>
      <c r="AA42" s="416">
        <f>IF(B42=0,"",Envoltória!Q50/100)</f>
        <v>0</v>
      </c>
      <c r="AB42" s="417">
        <f>INPUT!AB42</f>
        <v>-7.02</v>
      </c>
      <c r="AC42" s="417">
        <f>INPUT!AC42</f>
        <v>249</v>
      </c>
      <c r="AD42" s="417">
        <f>INPUT!AD42</f>
        <v>27.24</v>
      </c>
      <c r="AE42" s="417">
        <f>INPUT!AE42</f>
        <v>24.17</v>
      </c>
      <c r="AF42" s="417">
        <f>INPUT!AF42</f>
        <v>30.311666670000001</v>
      </c>
      <c r="AG42" s="417">
        <f>INPUT!AG42</f>
        <v>2.8624999999999998</v>
      </c>
      <c r="AH42" s="417">
        <f>INPUT!AH42</f>
        <v>1.8233333300000001</v>
      </c>
      <c r="AI42" s="417">
        <f>INPUT!AI42</f>
        <v>3.8433333300000001</v>
      </c>
      <c r="AJ42" s="417">
        <f>INPUT!AJ42</f>
        <v>6082.0829999999996</v>
      </c>
      <c r="AK42" s="417">
        <f>INPUT!AK42</f>
        <v>5588.8329999999996</v>
      </c>
      <c r="AL42" s="417">
        <f>INPUT!AL42</f>
        <v>6759.9380000000001</v>
      </c>
      <c r="AM42" s="417">
        <f>INPUT!AM42</f>
        <v>18.44083333</v>
      </c>
      <c r="AN42" s="417">
        <f>INPUT!AN42</f>
        <v>17.19166667</v>
      </c>
      <c r="AO42" s="417">
        <f>INPUT!AO42</f>
        <v>19.883333329999999</v>
      </c>
      <c r="AP42" s="413">
        <f>IF(B42=0,"",IF(BF42=0,90,VLOOKUP(Envoltória!N50,Componentes!T:AB,9,FALSE)))</f>
        <v>0</v>
      </c>
      <c r="AQ42" s="413">
        <f>IF(B42=0,"",IF(BF42=0,90,VLOOKUP(Envoltória!N50,Componentes!T:AB,8,FALSE)))</f>
        <v>0</v>
      </c>
      <c r="AR42" s="413">
        <f t="shared" si="1"/>
        <v>1</v>
      </c>
      <c r="AS42" s="413">
        <f t="shared" si="1"/>
        <v>0</v>
      </c>
      <c r="AT42" s="413">
        <f t="shared" si="1"/>
        <v>0</v>
      </c>
      <c r="AU42" s="413">
        <f t="shared" si="1"/>
        <v>0</v>
      </c>
      <c r="AV42" s="413">
        <f t="shared" si="1"/>
        <v>0</v>
      </c>
      <c r="AW42" s="414">
        <f>INPUT!AW42</f>
        <v>1</v>
      </c>
      <c r="AX42" s="414">
        <f>INPUT!AX42</f>
        <v>0</v>
      </c>
      <c r="AY42" s="414">
        <f>INPUT!AY42</f>
        <v>1</v>
      </c>
      <c r="AZ42" s="414">
        <f>INPUT!AZ42</f>
        <v>0</v>
      </c>
      <c r="BA42" s="414">
        <f>INPUT!BA42</f>
        <v>0</v>
      </c>
      <c r="BB42" s="414">
        <f>INPUT!BB42</f>
        <v>1</v>
      </c>
      <c r="BC42" s="414">
        <f>INPUT!BC42</f>
        <v>1</v>
      </c>
      <c r="BD42" s="414">
        <f>INPUT!BD42</f>
        <v>0</v>
      </c>
      <c r="BE42" s="412">
        <f t="shared" si="2"/>
        <v>0</v>
      </c>
      <c r="BF42" s="412">
        <f>IF(B42=0,"",IFERROR(VLOOKUP(Envoltória!F50,INPUT_REF!$BQ$18:$BR$19,2,FALSE),""))</f>
        <v>1</v>
      </c>
      <c r="BG42" s="412">
        <f>IFERROR(VLOOKUP(Envoltória!$G50,$BQ$35:$BZ$43,BG$9,FALSE),"")</f>
        <v>0</v>
      </c>
      <c r="BH42" s="412">
        <f>IFERROR(VLOOKUP(Envoltória!$G50,$BQ$35:$BZ$43,BH$9,FALSE),"")</f>
        <v>0</v>
      </c>
      <c r="BI42" s="412">
        <f>IFERROR(VLOOKUP(Envoltória!$G50,$BQ$35:$BZ$43,BI$9,FALSE),"")</f>
        <v>0</v>
      </c>
      <c r="BJ42" s="412">
        <f>IFERROR(VLOOKUP(Envoltória!$G50,$BQ$35:$BZ$43,BJ$9,FALSE),"")</f>
        <v>0</v>
      </c>
      <c r="BK42" s="412">
        <f>IFERROR(VLOOKUP(Envoltória!$G50,$BQ$35:$BZ$43,BK$9,FALSE),"")</f>
        <v>0</v>
      </c>
      <c r="BL42" s="412">
        <f>IFERROR(VLOOKUP(Envoltória!$G50,$BQ$35:$BZ$43,BL$9,FALSE),"")</f>
        <v>0</v>
      </c>
      <c r="BM42" s="412">
        <f>IFERROR(VLOOKUP(Envoltória!$G50,$BQ$35:$BZ$43,BM$9,FALSE),"")</f>
        <v>0</v>
      </c>
      <c r="BN42" s="412">
        <f>IFERROR(VLOOKUP(Envoltória!$G50,$BQ$35:$BZ$43,BN$9,FALSE),"")</f>
        <v>0</v>
      </c>
      <c r="BO42" s="412">
        <f>IFERROR(VLOOKUP(Envoltória!$G50,$BQ$35:$BZ$43,BO$9,FALSE),"")</f>
        <v>1</v>
      </c>
      <c r="BP42" s="1"/>
      <c r="BQ42" s="421" t="s">
        <v>74</v>
      </c>
      <c r="BR42" s="419">
        <v>0</v>
      </c>
      <c r="BS42" s="419">
        <v>0</v>
      </c>
      <c r="BT42" s="419">
        <v>0</v>
      </c>
      <c r="BU42" s="419">
        <v>0</v>
      </c>
      <c r="BV42" s="419">
        <v>0</v>
      </c>
      <c r="BW42" s="419">
        <v>0</v>
      </c>
      <c r="BX42" s="419">
        <v>1</v>
      </c>
      <c r="BY42" s="419">
        <v>0</v>
      </c>
      <c r="BZ42" s="419">
        <v>0</v>
      </c>
      <c r="CA42" s="11">
        <f t="shared" si="3"/>
        <v>1</v>
      </c>
    </row>
    <row r="43" spans="1:79" s="15" customFormat="1" x14ac:dyDescent="0.25">
      <c r="A43" s="1">
        <v>33</v>
      </c>
      <c r="B43" s="409" t="str">
        <f>Envoltória!I51</f>
        <v>Escritórios</v>
      </c>
      <c r="C43" s="410" t="str">
        <f>Envoltória!B51</f>
        <v>Cobertura</v>
      </c>
      <c r="D43" s="410" t="str">
        <f>Envoltória!C51</f>
        <v>ZP29</v>
      </c>
      <c r="E43" s="411">
        <f>Envoltória!D51</f>
        <v>37.21</v>
      </c>
      <c r="F43" s="412">
        <f>IF(B43=0,"",Envoltória!E51)</f>
        <v>3</v>
      </c>
      <c r="G43" s="412">
        <f t="shared" si="0"/>
        <v>12.768888888888888</v>
      </c>
      <c r="H43" s="413">
        <f>IF(B43=0,"",IF(Envoltória!O51=0,0,VLOOKUP(B43,Aux_Lista!A:M,13,FALSE)))</f>
        <v>0.5</v>
      </c>
      <c r="I43" s="413">
        <f>IF(B43=0,"",IF(BF43=1,VLOOKUP(Envoltória!N51,Componentes!T:AB,7,FALSE),89))</f>
        <v>0</v>
      </c>
      <c r="J43" s="414">
        <f>IF(B43=0,"",Componentes!$Q$10)</f>
        <v>2.06</v>
      </c>
      <c r="K43" s="414">
        <f>IF(B43=0,"",Componentes!$R$10)</f>
        <v>233</v>
      </c>
      <c r="L43" s="413">
        <f>IF(B43=0,"",IFERROR(IF(BB43&lt;&gt;0,Componentes!$L$11,0),""))</f>
        <v>2.06</v>
      </c>
      <c r="M43" s="413">
        <f>IF(B43=0,"",IFERROR(IF(BB43&lt;&gt;0,Componentes!$M$11,0),""))</f>
        <v>233</v>
      </c>
      <c r="N43" s="415">
        <f>IF(B43=0,"",IFERROR(IF(BB43&lt;&gt;0,Componentes!$N$11,0),""))</f>
        <v>0.8</v>
      </c>
      <c r="O43" s="413">
        <f>IF(B43=0,"",IF(BF43=1,Componentes!$C$11,-6))</f>
        <v>2.39</v>
      </c>
      <c r="P43" s="413">
        <f>IF(B43=0,"",IF(BF43=1,Componentes!$D$11,-400))</f>
        <v>150</v>
      </c>
      <c r="Q43" s="413">
        <f>IF(B43=0,"",IF(BF43=1,Componentes!$E$11,0))</f>
        <v>0.5</v>
      </c>
      <c r="R43" s="414">
        <f>IF(B43=0,"",Componentes!$H$11)</f>
        <v>2.39</v>
      </c>
      <c r="S43" s="414">
        <f>IF(B43=0,"",Componentes!$I$11)</f>
        <v>150</v>
      </c>
      <c r="T43" s="413">
        <f>IF(B43=0,"",IFERROR(IF(H43&lt;&gt;0,Componentes!$V$11,0),""))</f>
        <v>0.82</v>
      </c>
      <c r="U43" s="413">
        <f>IF(B43=0,"",IFERROR(IF(H43&lt;&gt;0,Componentes!$U$11,0),""))</f>
        <v>5.7</v>
      </c>
      <c r="V43" s="414">
        <f>IF(B43=0,"",IFERROR(IF(AA43&lt;&gt;0,VLOOKUP(Envoltória!U51,Componentes!X:Z,2,FALSE),0),0))</f>
        <v>0</v>
      </c>
      <c r="W43" s="414">
        <f>IF(B43=0,"",IFERROR(IF(AA43&lt;&gt;0,Componentes!$AE$11,0),0))</f>
        <v>0</v>
      </c>
      <c r="X43" s="413">
        <f>IF(B43=0,"",Envoltória!U51)</f>
        <v>0.1</v>
      </c>
      <c r="Y43" s="413">
        <f>IF(B43=0,"",VLOOKUP(Início!$C$20,Aux_Lista!A:H,8,FALSE))</f>
        <v>14.1</v>
      </c>
      <c r="Z43" s="413">
        <f>IF(B43=0,"",Envoltória!T51)</f>
        <v>15</v>
      </c>
      <c r="AA43" s="416">
        <f>IF(B43=0,"",Envoltória!Q51/100)</f>
        <v>0</v>
      </c>
      <c r="AB43" s="417">
        <f>INPUT!AB43</f>
        <v>-7.02</v>
      </c>
      <c r="AC43" s="417">
        <f>INPUT!AC43</f>
        <v>249</v>
      </c>
      <c r="AD43" s="417">
        <f>INPUT!AD43</f>
        <v>27.24</v>
      </c>
      <c r="AE43" s="417">
        <f>INPUT!AE43</f>
        <v>24.17</v>
      </c>
      <c r="AF43" s="417">
        <f>INPUT!AF43</f>
        <v>30.311666670000001</v>
      </c>
      <c r="AG43" s="417">
        <f>INPUT!AG43</f>
        <v>2.8624999999999998</v>
      </c>
      <c r="AH43" s="417">
        <f>INPUT!AH43</f>
        <v>1.8233333300000001</v>
      </c>
      <c r="AI43" s="417">
        <f>INPUT!AI43</f>
        <v>3.8433333300000001</v>
      </c>
      <c r="AJ43" s="417">
        <f>INPUT!AJ43</f>
        <v>6082.0829999999996</v>
      </c>
      <c r="AK43" s="417">
        <f>INPUT!AK43</f>
        <v>5588.8329999999996</v>
      </c>
      <c r="AL43" s="417">
        <f>INPUT!AL43</f>
        <v>6759.9380000000001</v>
      </c>
      <c r="AM43" s="417">
        <f>INPUT!AM43</f>
        <v>18.44083333</v>
      </c>
      <c r="AN43" s="417">
        <f>INPUT!AN43</f>
        <v>17.19166667</v>
      </c>
      <c r="AO43" s="417">
        <f>INPUT!AO43</f>
        <v>19.883333329999999</v>
      </c>
      <c r="AP43" s="413">
        <f>IF(B43=0,"",IF(BF43=0,90,VLOOKUP(Envoltória!N51,Componentes!T:AB,9,FALSE)))</f>
        <v>0</v>
      </c>
      <c r="AQ43" s="413">
        <f>IF(B43=0,"",IF(BF43=0,90,VLOOKUP(Envoltória!N51,Componentes!T:AB,8,FALSE)))</f>
        <v>0</v>
      </c>
      <c r="AR43" s="413">
        <f t="shared" si="1"/>
        <v>1</v>
      </c>
      <c r="AS43" s="413">
        <f t="shared" si="1"/>
        <v>0</v>
      </c>
      <c r="AT43" s="413">
        <f t="shared" si="1"/>
        <v>0</v>
      </c>
      <c r="AU43" s="413">
        <f t="shared" si="1"/>
        <v>0</v>
      </c>
      <c r="AV43" s="413">
        <f t="shared" si="1"/>
        <v>0</v>
      </c>
      <c r="AW43" s="414">
        <f>INPUT!AW43</f>
        <v>1</v>
      </c>
      <c r="AX43" s="414">
        <f>INPUT!AX43</f>
        <v>0</v>
      </c>
      <c r="AY43" s="414">
        <f>INPUT!AY43</f>
        <v>1</v>
      </c>
      <c r="AZ43" s="414">
        <f>INPUT!AZ43</f>
        <v>0</v>
      </c>
      <c r="BA43" s="414">
        <f>INPUT!BA43</f>
        <v>0</v>
      </c>
      <c r="BB43" s="414">
        <f>INPUT!BB43</f>
        <v>1</v>
      </c>
      <c r="BC43" s="414">
        <f>INPUT!BC43</f>
        <v>1</v>
      </c>
      <c r="BD43" s="414">
        <f>INPUT!BD43</f>
        <v>0</v>
      </c>
      <c r="BE43" s="412">
        <f t="shared" si="2"/>
        <v>0</v>
      </c>
      <c r="BF43" s="412">
        <f>IF(B43=0,"",IFERROR(VLOOKUP(Envoltória!F51,INPUT_REF!$BQ$18:$BR$19,2,FALSE),""))</f>
        <v>1</v>
      </c>
      <c r="BG43" s="412">
        <f>IFERROR(VLOOKUP(Envoltória!$G51,$BQ$35:$BZ$43,BG$9,FALSE),"")</f>
        <v>0</v>
      </c>
      <c r="BH43" s="412">
        <f>IFERROR(VLOOKUP(Envoltória!$G51,$BQ$35:$BZ$43,BH$9,FALSE),"")</f>
        <v>0</v>
      </c>
      <c r="BI43" s="412">
        <f>IFERROR(VLOOKUP(Envoltória!$G51,$BQ$35:$BZ$43,BI$9,FALSE),"")</f>
        <v>0</v>
      </c>
      <c r="BJ43" s="412">
        <f>IFERROR(VLOOKUP(Envoltória!$G51,$BQ$35:$BZ$43,BJ$9,FALSE),"")</f>
        <v>0</v>
      </c>
      <c r="BK43" s="412">
        <f>IFERROR(VLOOKUP(Envoltória!$G51,$BQ$35:$BZ$43,BK$9,FALSE),"")</f>
        <v>0</v>
      </c>
      <c r="BL43" s="412">
        <f>IFERROR(VLOOKUP(Envoltória!$G51,$BQ$35:$BZ$43,BL$9,FALSE),"")</f>
        <v>0</v>
      </c>
      <c r="BM43" s="412">
        <f>IFERROR(VLOOKUP(Envoltória!$G51,$BQ$35:$BZ$43,BM$9,FALSE),"")</f>
        <v>1</v>
      </c>
      <c r="BN43" s="412">
        <f>IFERROR(VLOOKUP(Envoltória!$G51,$BQ$35:$BZ$43,BN$9,FALSE),"")</f>
        <v>0</v>
      </c>
      <c r="BO43" s="412">
        <f>IFERROR(VLOOKUP(Envoltória!$G51,$BQ$35:$BZ$43,BO$9,FALSE),"")</f>
        <v>0</v>
      </c>
      <c r="BP43" s="1"/>
      <c r="BQ43" s="421" t="s">
        <v>75</v>
      </c>
      <c r="BR43" s="419">
        <v>0</v>
      </c>
      <c r="BS43" s="419">
        <v>0</v>
      </c>
      <c r="BT43" s="419">
        <v>0</v>
      </c>
      <c r="BU43" s="419">
        <v>0</v>
      </c>
      <c r="BV43" s="419">
        <v>0</v>
      </c>
      <c r="BW43" s="419">
        <v>0</v>
      </c>
      <c r="BX43" s="419">
        <v>0</v>
      </c>
      <c r="BY43" s="419">
        <v>0</v>
      </c>
      <c r="BZ43" s="419">
        <v>1</v>
      </c>
      <c r="CA43" s="11">
        <f t="shared" si="3"/>
        <v>1</v>
      </c>
    </row>
    <row r="44" spans="1:79" s="15" customFormat="1" x14ac:dyDescent="0.25">
      <c r="A44" s="1">
        <v>34</v>
      </c>
      <c r="B44" s="409" t="str">
        <f>Envoltória!I52</f>
        <v>Escritórios</v>
      </c>
      <c r="C44" s="410" t="str">
        <f>Envoltória!B52</f>
        <v>Cobertura</v>
      </c>
      <c r="D44" s="410" t="str">
        <f>Envoltória!C52</f>
        <v>ZP30</v>
      </c>
      <c r="E44" s="411">
        <f>Envoltória!D52</f>
        <v>36.81</v>
      </c>
      <c r="F44" s="412">
        <f>IF(B44=0,"",Envoltória!E52)</f>
        <v>3</v>
      </c>
      <c r="G44" s="412">
        <f t="shared" si="0"/>
        <v>12.68</v>
      </c>
      <c r="H44" s="413">
        <f>IF(B44=0,"",IF(Envoltória!O52=0,0,VLOOKUP(B44,Aux_Lista!A:M,13,FALSE)))</f>
        <v>0.5</v>
      </c>
      <c r="I44" s="413">
        <f>IF(B44=0,"",IF(BF44=1,VLOOKUP(Envoltória!N52,Componentes!T:AB,7,FALSE),89))</f>
        <v>0</v>
      </c>
      <c r="J44" s="414">
        <f>IF(B44=0,"",Componentes!$Q$10)</f>
        <v>2.06</v>
      </c>
      <c r="K44" s="414">
        <f>IF(B44=0,"",Componentes!$R$10)</f>
        <v>233</v>
      </c>
      <c r="L44" s="413">
        <f>IF(B44=0,"",IFERROR(IF(BB44&lt;&gt;0,Componentes!$L$11,0),""))</f>
        <v>2.06</v>
      </c>
      <c r="M44" s="413">
        <f>IF(B44=0,"",IFERROR(IF(BB44&lt;&gt;0,Componentes!$M$11,0),""))</f>
        <v>233</v>
      </c>
      <c r="N44" s="415">
        <f>IF(B44=0,"",IFERROR(IF(BB44&lt;&gt;0,Componentes!$N$11,0),""))</f>
        <v>0.8</v>
      </c>
      <c r="O44" s="413">
        <f>IF(B44=0,"",IF(BF44=1,Componentes!$C$11,-6))</f>
        <v>2.39</v>
      </c>
      <c r="P44" s="413">
        <f>IF(B44=0,"",IF(BF44=1,Componentes!$D$11,-400))</f>
        <v>150</v>
      </c>
      <c r="Q44" s="413">
        <f>IF(B44=0,"",IF(BF44=1,Componentes!$E$11,0))</f>
        <v>0.5</v>
      </c>
      <c r="R44" s="414">
        <f>IF(B44=0,"",Componentes!$H$11)</f>
        <v>2.39</v>
      </c>
      <c r="S44" s="414">
        <f>IF(B44=0,"",Componentes!$I$11)</f>
        <v>150</v>
      </c>
      <c r="T44" s="413">
        <f>IF(B44=0,"",IFERROR(IF(H44&lt;&gt;0,Componentes!$V$11,0),""))</f>
        <v>0.82</v>
      </c>
      <c r="U44" s="413">
        <f>IF(B44=0,"",IFERROR(IF(H44&lt;&gt;0,Componentes!$U$11,0),""))</f>
        <v>5.7</v>
      </c>
      <c r="V44" s="414">
        <f>IF(B44=0,"",IFERROR(IF(AA44&lt;&gt;0,VLOOKUP(Envoltória!U52,Componentes!X:Z,2,FALSE),0),0))</f>
        <v>0</v>
      </c>
      <c r="W44" s="414">
        <f>IF(B44=0,"",IFERROR(IF(AA44&lt;&gt;0,Componentes!$AE$11,0),0))</f>
        <v>0</v>
      </c>
      <c r="X44" s="413">
        <f>IF(B44=0,"",Envoltória!U52)</f>
        <v>0.1</v>
      </c>
      <c r="Y44" s="413">
        <f>IF(B44=0,"",VLOOKUP(Início!$C$20,Aux_Lista!A:H,8,FALSE))</f>
        <v>14.1</v>
      </c>
      <c r="Z44" s="413">
        <f>IF(B44=0,"",Envoltória!T52)</f>
        <v>15</v>
      </c>
      <c r="AA44" s="416">
        <f>IF(B44=0,"",Envoltória!Q52/100)</f>
        <v>0</v>
      </c>
      <c r="AB44" s="417">
        <f>INPUT!AB44</f>
        <v>-7.02</v>
      </c>
      <c r="AC44" s="417">
        <f>INPUT!AC44</f>
        <v>249</v>
      </c>
      <c r="AD44" s="417">
        <f>INPUT!AD44</f>
        <v>27.24</v>
      </c>
      <c r="AE44" s="417">
        <f>INPUT!AE44</f>
        <v>24.17</v>
      </c>
      <c r="AF44" s="417">
        <f>INPUT!AF44</f>
        <v>30.311666670000001</v>
      </c>
      <c r="AG44" s="417">
        <f>INPUT!AG44</f>
        <v>2.8624999999999998</v>
      </c>
      <c r="AH44" s="417">
        <f>INPUT!AH44</f>
        <v>1.8233333300000001</v>
      </c>
      <c r="AI44" s="417">
        <f>INPUT!AI44</f>
        <v>3.8433333300000001</v>
      </c>
      <c r="AJ44" s="417">
        <f>INPUT!AJ44</f>
        <v>6082.0829999999996</v>
      </c>
      <c r="AK44" s="417">
        <f>INPUT!AK44</f>
        <v>5588.8329999999996</v>
      </c>
      <c r="AL44" s="417">
        <f>INPUT!AL44</f>
        <v>6759.9380000000001</v>
      </c>
      <c r="AM44" s="417">
        <f>INPUT!AM44</f>
        <v>18.44083333</v>
      </c>
      <c r="AN44" s="417">
        <f>INPUT!AN44</f>
        <v>17.19166667</v>
      </c>
      <c r="AO44" s="417">
        <f>INPUT!AO44</f>
        <v>19.883333329999999</v>
      </c>
      <c r="AP44" s="413">
        <f>IF(B44=0,"",IF(BF44=0,90,VLOOKUP(Envoltória!N52,Componentes!T:AB,9,FALSE)))</f>
        <v>0</v>
      </c>
      <c r="AQ44" s="413">
        <f>IF(B44=0,"",IF(BF44=0,90,VLOOKUP(Envoltória!N52,Componentes!T:AB,8,FALSE)))</f>
        <v>0</v>
      </c>
      <c r="AR44" s="413">
        <f t="shared" ref="AR44:AV75" si="4">IFERROR(VLOOKUP($B44,$BQ$21:$BW$31,AR$9,FALSE),"")</f>
        <v>1</v>
      </c>
      <c r="AS44" s="413">
        <f t="shared" si="4"/>
        <v>0</v>
      </c>
      <c r="AT44" s="413">
        <f t="shared" si="4"/>
        <v>0</v>
      </c>
      <c r="AU44" s="413">
        <f t="shared" si="4"/>
        <v>0</v>
      </c>
      <c r="AV44" s="413">
        <f t="shared" si="4"/>
        <v>0</v>
      </c>
      <c r="AW44" s="414">
        <f>INPUT!AW44</f>
        <v>1</v>
      </c>
      <c r="AX44" s="414">
        <f>INPUT!AX44</f>
        <v>0</v>
      </c>
      <c r="AY44" s="414">
        <f>INPUT!AY44</f>
        <v>1</v>
      </c>
      <c r="AZ44" s="414">
        <f>INPUT!AZ44</f>
        <v>0</v>
      </c>
      <c r="BA44" s="414">
        <f>INPUT!BA44</f>
        <v>0</v>
      </c>
      <c r="BB44" s="414">
        <f>INPUT!BB44</f>
        <v>1</v>
      </c>
      <c r="BC44" s="414">
        <f>INPUT!BC44</f>
        <v>1</v>
      </c>
      <c r="BD44" s="414">
        <f>INPUT!BD44</f>
        <v>0</v>
      </c>
      <c r="BE44" s="412">
        <f t="shared" si="2"/>
        <v>0</v>
      </c>
      <c r="BF44" s="412">
        <f>IF(B44=0,"",IFERROR(VLOOKUP(Envoltória!F52,INPUT_REF!$BQ$18:$BR$19,2,FALSE),""))</f>
        <v>1</v>
      </c>
      <c r="BG44" s="412">
        <f>IFERROR(VLOOKUP(Envoltória!$G52,$BQ$35:$BZ$43,BG$9,FALSE),"")</f>
        <v>0</v>
      </c>
      <c r="BH44" s="412">
        <f>IFERROR(VLOOKUP(Envoltória!$G52,$BQ$35:$BZ$43,BH$9,FALSE),"")</f>
        <v>0</v>
      </c>
      <c r="BI44" s="412">
        <f>IFERROR(VLOOKUP(Envoltória!$G52,$BQ$35:$BZ$43,BI$9,FALSE),"")</f>
        <v>0</v>
      </c>
      <c r="BJ44" s="412">
        <f>IFERROR(VLOOKUP(Envoltória!$G52,$BQ$35:$BZ$43,BJ$9,FALSE),"")</f>
        <v>0</v>
      </c>
      <c r="BK44" s="412">
        <f>IFERROR(VLOOKUP(Envoltória!$G52,$BQ$35:$BZ$43,BK$9,FALSE),"")</f>
        <v>0</v>
      </c>
      <c r="BL44" s="412">
        <f>IFERROR(VLOOKUP(Envoltória!$G52,$BQ$35:$BZ$43,BL$9,FALSE),"")</f>
        <v>0</v>
      </c>
      <c r="BM44" s="412">
        <f>IFERROR(VLOOKUP(Envoltória!$G52,$BQ$35:$BZ$43,BM$9,FALSE),"")</f>
        <v>1</v>
      </c>
      <c r="BN44" s="412">
        <f>IFERROR(VLOOKUP(Envoltória!$G52,$BQ$35:$BZ$43,BN$9,FALSE),"")</f>
        <v>0</v>
      </c>
      <c r="BO44" s="412">
        <f>IFERROR(VLOOKUP(Envoltória!$G52,$BQ$35:$BZ$43,BO$9,FALSE),"")</f>
        <v>0</v>
      </c>
      <c r="BP44" s="1"/>
    </row>
    <row r="45" spans="1:79" s="15" customFormat="1" x14ac:dyDescent="0.25">
      <c r="A45" s="1">
        <v>35</v>
      </c>
      <c r="B45" s="409" t="str">
        <f>Envoltória!I53</f>
        <v>Escritórios</v>
      </c>
      <c r="C45" s="410" t="str">
        <f>Envoltória!B53</f>
        <v>Cobertura</v>
      </c>
      <c r="D45" s="410" t="str">
        <f>Envoltória!C53</f>
        <v>ZP31</v>
      </c>
      <c r="E45" s="411">
        <f>Envoltória!D53</f>
        <v>10.029999999999999</v>
      </c>
      <c r="F45" s="412">
        <f>IF(B45=0,"",Envoltória!E53)</f>
        <v>3</v>
      </c>
      <c r="G45" s="412">
        <f t="shared" si="0"/>
        <v>6.7288888888888891</v>
      </c>
      <c r="H45" s="413">
        <f>IF(B45=0,"",IF(Envoltória!O53=0,0,VLOOKUP(B45,Aux_Lista!A:M,13,FALSE)))</f>
        <v>0</v>
      </c>
      <c r="I45" s="413">
        <f>IF(B45=0,"",IF(BF45=1,VLOOKUP(Envoltória!N53,Componentes!T:AB,7,FALSE),89))</f>
        <v>0</v>
      </c>
      <c r="J45" s="414">
        <f>IF(B45=0,"",Componentes!$Q$10)</f>
        <v>2.06</v>
      </c>
      <c r="K45" s="414">
        <f>IF(B45=0,"",Componentes!$R$10)</f>
        <v>233</v>
      </c>
      <c r="L45" s="413">
        <f>IF(B45=0,"",IFERROR(IF(BB45&lt;&gt;0,Componentes!$L$11,0),""))</f>
        <v>2.06</v>
      </c>
      <c r="M45" s="413">
        <f>IF(B45=0,"",IFERROR(IF(BB45&lt;&gt;0,Componentes!$M$11,0),""))</f>
        <v>233</v>
      </c>
      <c r="N45" s="415">
        <f>IF(B45=0,"",IFERROR(IF(BB45&lt;&gt;0,Componentes!$N$11,0),""))</f>
        <v>0.8</v>
      </c>
      <c r="O45" s="413">
        <f>IF(B45=0,"",IF(BF45=1,Componentes!$C$11,-6))</f>
        <v>2.39</v>
      </c>
      <c r="P45" s="413">
        <f>IF(B45=0,"",IF(BF45=1,Componentes!$D$11,-400))</f>
        <v>150</v>
      </c>
      <c r="Q45" s="413">
        <f>IF(B45=0,"",IF(BF45=1,Componentes!$E$11,0))</f>
        <v>0.5</v>
      </c>
      <c r="R45" s="414">
        <f>IF(B45=0,"",Componentes!$H$11)</f>
        <v>2.39</v>
      </c>
      <c r="S45" s="414">
        <f>IF(B45=0,"",Componentes!$I$11)</f>
        <v>150</v>
      </c>
      <c r="T45" s="413">
        <f>IF(B45=0,"",IFERROR(IF(H45&lt;&gt;0,Componentes!$V$11,0),""))</f>
        <v>0</v>
      </c>
      <c r="U45" s="413">
        <f>IF(B45=0,"",IFERROR(IF(H45&lt;&gt;0,Componentes!$U$11,0),""))</f>
        <v>0</v>
      </c>
      <c r="V45" s="414">
        <f>IF(B45=0,"",IFERROR(IF(AA45&lt;&gt;0,VLOOKUP(Envoltória!U53,Componentes!X:Z,2,FALSE),0),0))</f>
        <v>0</v>
      </c>
      <c r="W45" s="414">
        <f>IF(B45=0,"",IFERROR(IF(AA45&lt;&gt;0,Componentes!$AE$11,0),0))</f>
        <v>0</v>
      </c>
      <c r="X45" s="413">
        <f>IF(B45=0,"",Envoltória!U53)</f>
        <v>0.1</v>
      </c>
      <c r="Y45" s="413">
        <f>IF(B45=0,"",VLOOKUP(Início!$C$20,Aux_Lista!A:H,8,FALSE))</f>
        <v>14.1</v>
      </c>
      <c r="Z45" s="413">
        <f>IF(B45=0,"",Envoltória!T53)</f>
        <v>15</v>
      </c>
      <c r="AA45" s="416">
        <f>IF(B45=0,"",Envoltória!Q53/100)</f>
        <v>0</v>
      </c>
      <c r="AB45" s="417">
        <f>INPUT!AB45</f>
        <v>-7.02</v>
      </c>
      <c r="AC45" s="417">
        <f>INPUT!AC45</f>
        <v>249</v>
      </c>
      <c r="AD45" s="417">
        <f>INPUT!AD45</f>
        <v>27.24</v>
      </c>
      <c r="AE45" s="417">
        <f>INPUT!AE45</f>
        <v>24.17</v>
      </c>
      <c r="AF45" s="417">
        <f>INPUT!AF45</f>
        <v>30.311666670000001</v>
      </c>
      <c r="AG45" s="417">
        <f>INPUT!AG45</f>
        <v>2.8624999999999998</v>
      </c>
      <c r="AH45" s="417">
        <f>INPUT!AH45</f>
        <v>1.8233333300000001</v>
      </c>
      <c r="AI45" s="417">
        <f>INPUT!AI45</f>
        <v>3.8433333300000001</v>
      </c>
      <c r="AJ45" s="417">
        <f>INPUT!AJ45</f>
        <v>6082.0829999999996</v>
      </c>
      <c r="AK45" s="417">
        <f>INPUT!AK45</f>
        <v>5588.8329999999996</v>
      </c>
      <c r="AL45" s="417">
        <f>INPUT!AL45</f>
        <v>6759.9380000000001</v>
      </c>
      <c r="AM45" s="417">
        <f>INPUT!AM45</f>
        <v>18.44083333</v>
      </c>
      <c r="AN45" s="417">
        <f>INPUT!AN45</f>
        <v>17.19166667</v>
      </c>
      <c r="AO45" s="417">
        <f>INPUT!AO45</f>
        <v>19.883333329999999</v>
      </c>
      <c r="AP45" s="413">
        <f>IF(B45=0,"",IF(BF45=0,90,VLOOKUP(Envoltória!N53,Componentes!T:AB,9,FALSE)))</f>
        <v>0</v>
      </c>
      <c r="AQ45" s="413">
        <f>IF(B45=0,"",IF(BF45=0,90,VLOOKUP(Envoltória!N53,Componentes!T:AB,8,FALSE)))</f>
        <v>0</v>
      </c>
      <c r="AR45" s="413">
        <f t="shared" si="4"/>
        <v>1</v>
      </c>
      <c r="AS45" s="413">
        <f t="shared" si="4"/>
        <v>0</v>
      </c>
      <c r="AT45" s="413">
        <f t="shared" si="4"/>
        <v>0</v>
      </c>
      <c r="AU45" s="413">
        <f t="shared" si="4"/>
        <v>0</v>
      </c>
      <c r="AV45" s="413">
        <f t="shared" si="4"/>
        <v>0</v>
      </c>
      <c r="AW45" s="414">
        <f>INPUT!AW45</f>
        <v>1</v>
      </c>
      <c r="AX45" s="414">
        <f>INPUT!AX45</f>
        <v>0</v>
      </c>
      <c r="AY45" s="414">
        <f>INPUT!AY45</f>
        <v>1</v>
      </c>
      <c r="AZ45" s="414">
        <f>INPUT!AZ45</f>
        <v>0</v>
      </c>
      <c r="BA45" s="414">
        <f>INPUT!BA45</f>
        <v>0</v>
      </c>
      <c r="BB45" s="414">
        <f>INPUT!BB45</f>
        <v>1</v>
      </c>
      <c r="BC45" s="414">
        <f>INPUT!BC45</f>
        <v>1</v>
      </c>
      <c r="BD45" s="414">
        <f>INPUT!BD45</f>
        <v>0</v>
      </c>
      <c r="BE45" s="412">
        <f t="shared" si="2"/>
        <v>0</v>
      </c>
      <c r="BF45" s="412">
        <f>IF(B45=0,"",IFERROR(VLOOKUP(Envoltória!F53,INPUT_REF!$BQ$18:$BR$19,2,FALSE),""))</f>
        <v>1</v>
      </c>
      <c r="BG45" s="412">
        <f>IFERROR(VLOOKUP(Envoltória!$G53,$BQ$35:$BZ$43,BG$9,FALSE),"")</f>
        <v>0</v>
      </c>
      <c r="BH45" s="412">
        <f>IFERROR(VLOOKUP(Envoltória!$G53,$BQ$35:$BZ$43,BH$9,FALSE),"")</f>
        <v>0</v>
      </c>
      <c r="BI45" s="412">
        <f>IFERROR(VLOOKUP(Envoltória!$G53,$BQ$35:$BZ$43,BI$9,FALSE),"")</f>
        <v>0</v>
      </c>
      <c r="BJ45" s="412">
        <f>IFERROR(VLOOKUP(Envoltória!$G53,$BQ$35:$BZ$43,BJ$9,FALSE),"")</f>
        <v>0</v>
      </c>
      <c r="BK45" s="412">
        <f>IFERROR(VLOOKUP(Envoltória!$G53,$BQ$35:$BZ$43,BK$9,FALSE),"")</f>
        <v>1</v>
      </c>
      <c r="BL45" s="412">
        <f>IFERROR(VLOOKUP(Envoltória!$G53,$BQ$35:$BZ$43,BL$9,FALSE),"")</f>
        <v>0</v>
      </c>
      <c r="BM45" s="412">
        <f>IFERROR(VLOOKUP(Envoltória!$G53,$BQ$35:$BZ$43,BM$9,FALSE),"")</f>
        <v>0</v>
      </c>
      <c r="BN45" s="412">
        <f>IFERROR(VLOOKUP(Envoltória!$G53,$BQ$35:$BZ$43,BN$9,FALSE),"")</f>
        <v>0</v>
      </c>
      <c r="BO45" s="412">
        <f>IFERROR(VLOOKUP(Envoltória!$G53,$BQ$35:$BZ$43,BO$9,FALSE),"")</f>
        <v>0</v>
      </c>
      <c r="BP45" s="1"/>
    </row>
    <row r="46" spans="1:79" s="15" customFormat="1" x14ac:dyDescent="0.25">
      <c r="A46" s="1">
        <v>36</v>
      </c>
      <c r="B46" s="409" t="str">
        <f>Envoltória!I54</f>
        <v>Escritórios</v>
      </c>
      <c r="C46" s="410" t="str">
        <f>Envoltória!B54</f>
        <v>Cobertura</v>
      </c>
      <c r="D46" s="410" t="str">
        <f>Envoltória!C54</f>
        <v>ZP32</v>
      </c>
      <c r="E46" s="411">
        <f>Envoltória!D54</f>
        <v>0.37</v>
      </c>
      <c r="F46" s="412">
        <f>IF(B46=0,"",Envoltória!E54)</f>
        <v>3</v>
      </c>
      <c r="G46" s="412">
        <f t="shared" si="0"/>
        <v>4.5822222222222226</v>
      </c>
      <c r="H46" s="413">
        <f>IF(B46=0,"",IF(Envoltória!O54=0,0,VLOOKUP(B46,Aux_Lista!A:M,13,FALSE)))</f>
        <v>0</v>
      </c>
      <c r="I46" s="413">
        <f>IF(B46=0,"",IF(BF46=1,VLOOKUP(Envoltória!N54,Componentes!T:AB,7,FALSE),89))</f>
        <v>0</v>
      </c>
      <c r="J46" s="414">
        <f>IF(B46=0,"",Componentes!$Q$10)</f>
        <v>2.06</v>
      </c>
      <c r="K46" s="414">
        <f>IF(B46=0,"",Componentes!$R$10)</f>
        <v>233</v>
      </c>
      <c r="L46" s="413">
        <f>IF(B46=0,"",IFERROR(IF(BB46&lt;&gt;0,Componentes!$L$11,0),""))</f>
        <v>2.06</v>
      </c>
      <c r="M46" s="413">
        <f>IF(B46=0,"",IFERROR(IF(BB46&lt;&gt;0,Componentes!$M$11,0),""))</f>
        <v>233</v>
      </c>
      <c r="N46" s="415">
        <f>IF(B46=0,"",IFERROR(IF(BB46&lt;&gt;0,Componentes!$N$11,0),""))</f>
        <v>0.8</v>
      </c>
      <c r="O46" s="413">
        <f>IF(B46=0,"",IF(BF46=1,Componentes!$C$11,-6))</f>
        <v>2.39</v>
      </c>
      <c r="P46" s="413">
        <f>IF(B46=0,"",IF(BF46=1,Componentes!$D$11,-400))</f>
        <v>150</v>
      </c>
      <c r="Q46" s="413">
        <f>IF(B46=0,"",IF(BF46=1,Componentes!$E$11,0))</f>
        <v>0.5</v>
      </c>
      <c r="R46" s="414">
        <f>IF(B46=0,"",Componentes!$H$11)</f>
        <v>2.39</v>
      </c>
      <c r="S46" s="414">
        <f>IF(B46=0,"",Componentes!$I$11)</f>
        <v>150</v>
      </c>
      <c r="T46" s="413">
        <f>IF(B46=0,"",IFERROR(IF(H46&lt;&gt;0,Componentes!$V$11,0),""))</f>
        <v>0</v>
      </c>
      <c r="U46" s="413">
        <f>IF(B46=0,"",IFERROR(IF(H46&lt;&gt;0,Componentes!$U$11,0),""))</f>
        <v>0</v>
      </c>
      <c r="V46" s="414">
        <f>IF(B46=0,"",IFERROR(IF(AA46&lt;&gt;0,VLOOKUP(Envoltória!U54,Componentes!X:Z,2,FALSE),0),0))</f>
        <v>0</v>
      </c>
      <c r="W46" s="414">
        <f>IF(B46=0,"",IFERROR(IF(AA46&lt;&gt;0,Componentes!$AE$11,0),0))</f>
        <v>0</v>
      </c>
      <c r="X46" s="413">
        <f>IF(B46=0,"",Envoltória!U54)</f>
        <v>0.1</v>
      </c>
      <c r="Y46" s="413">
        <f>IF(B46=0,"",VLOOKUP(Início!$C$20,Aux_Lista!A:H,8,FALSE))</f>
        <v>14.1</v>
      </c>
      <c r="Z46" s="413">
        <f>IF(B46=0,"",Envoltória!T54)</f>
        <v>15</v>
      </c>
      <c r="AA46" s="416">
        <f>IF(B46=0,"",Envoltória!Q54/100)</f>
        <v>0</v>
      </c>
      <c r="AB46" s="417">
        <f>INPUT!AB46</f>
        <v>-7.02</v>
      </c>
      <c r="AC46" s="417">
        <f>INPUT!AC46</f>
        <v>249</v>
      </c>
      <c r="AD46" s="417">
        <f>INPUT!AD46</f>
        <v>27.24</v>
      </c>
      <c r="AE46" s="417">
        <f>INPUT!AE46</f>
        <v>24.17</v>
      </c>
      <c r="AF46" s="417">
        <f>INPUT!AF46</f>
        <v>30.311666670000001</v>
      </c>
      <c r="AG46" s="417">
        <f>INPUT!AG46</f>
        <v>2.8624999999999998</v>
      </c>
      <c r="AH46" s="417">
        <f>INPUT!AH46</f>
        <v>1.8233333300000001</v>
      </c>
      <c r="AI46" s="417">
        <f>INPUT!AI46</f>
        <v>3.8433333300000001</v>
      </c>
      <c r="AJ46" s="417">
        <f>INPUT!AJ46</f>
        <v>6082.0829999999996</v>
      </c>
      <c r="AK46" s="417">
        <f>INPUT!AK46</f>
        <v>5588.8329999999996</v>
      </c>
      <c r="AL46" s="417">
        <f>INPUT!AL46</f>
        <v>6759.9380000000001</v>
      </c>
      <c r="AM46" s="417">
        <f>INPUT!AM46</f>
        <v>18.44083333</v>
      </c>
      <c r="AN46" s="417">
        <f>INPUT!AN46</f>
        <v>17.19166667</v>
      </c>
      <c r="AO46" s="417">
        <f>INPUT!AO46</f>
        <v>19.883333329999999</v>
      </c>
      <c r="AP46" s="413">
        <f>IF(B46=0,"",IF(BF46=0,90,VLOOKUP(Envoltória!N54,Componentes!T:AB,9,FALSE)))</f>
        <v>0</v>
      </c>
      <c r="AQ46" s="413">
        <f>IF(B46=0,"",IF(BF46=0,90,VLOOKUP(Envoltória!N54,Componentes!T:AB,8,FALSE)))</f>
        <v>0</v>
      </c>
      <c r="AR46" s="413">
        <f t="shared" si="4"/>
        <v>1</v>
      </c>
      <c r="AS46" s="413">
        <f t="shared" si="4"/>
        <v>0</v>
      </c>
      <c r="AT46" s="413">
        <f t="shared" si="4"/>
        <v>0</v>
      </c>
      <c r="AU46" s="413">
        <f t="shared" si="4"/>
        <v>0</v>
      </c>
      <c r="AV46" s="413">
        <f t="shared" si="4"/>
        <v>0</v>
      </c>
      <c r="AW46" s="414">
        <f>INPUT!AW46</f>
        <v>1</v>
      </c>
      <c r="AX46" s="414">
        <f>INPUT!AX46</f>
        <v>0</v>
      </c>
      <c r="AY46" s="414">
        <f>INPUT!AY46</f>
        <v>1</v>
      </c>
      <c r="AZ46" s="414">
        <f>INPUT!AZ46</f>
        <v>0</v>
      </c>
      <c r="BA46" s="414">
        <f>INPUT!BA46</f>
        <v>0</v>
      </c>
      <c r="BB46" s="414">
        <f>INPUT!BB46</f>
        <v>1</v>
      </c>
      <c r="BC46" s="414">
        <f>INPUT!BC46</f>
        <v>1</v>
      </c>
      <c r="BD46" s="414">
        <f>INPUT!BD46</f>
        <v>0</v>
      </c>
      <c r="BE46" s="412">
        <f t="shared" si="2"/>
        <v>0</v>
      </c>
      <c r="BF46" s="412">
        <f>IF(B46=0,"",IFERROR(VLOOKUP(Envoltória!F54,INPUT_REF!$BQ$18:$BR$19,2,FALSE),""))</f>
        <v>1</v>
      </c>
      <c r="BG46" s="412">
        <f>IFERROR(VLOOKUP(Envoltória!$G54,$BQ$35:$BZ$43,BG$9,FALSE),"")</f>
        <v>0</v>
      </c>
      <c r="BH46" s="412">
        <f>IFERROR(VLOOKUP(Envoltória!$G54,$BQ$35:$BZ$43,BH$9,FALSE),"")</f>
        <v>0</v>
      </c>
      <c r="BI46" s="412">
        <f>IFERROR(VLOOKUP(Envoltória!$G54,$BQ$35:$BZ$43,BI$9,FALSE),"")</f>
        <v>0</v>
      </c>
      <c r="BJ46" s="412">
        <f>IFERROR(VLOOKUP(Envoltória!$G54,$BQ$35:$BZ$43,BJ$9,FALSE),"")</f>
        <v>0</v>
      </c>
      <c r="BK46" s="412">
        <f>IFERROR(VLOOKUP(Envoltória!$G54,$BQ$35:$BZ$43,BK$9,FALSE),"")</f>
        <v>0</v>
      </c>
      <c r="BL46" s="412">
        <f>IFERROR(VLOOKUP(Envoltória!$G54,$BQ$35:$BZ$43,BL$9,FALSE),"")</f>
        <v>0</v>
      </c>
      <c r="BM46" s="412">
        <f>IFERROR(VLOOKUP(Envoltória!$G54,$BQ$35:$BZ$43,BM$9,FALSE),"")</f>
        <v>1</v>
      </c>
      <c r="BN46" s="412">
        <f>IFERROR(VLOOKUP(Envoltória!$G54,$BQ$35:$BZ$43,BN$9,FALSE),"")</f>
        <v>0</v>
      </c>
      <c r="BO46" s="412">
        <f>IFERROR(VLOOKUP(Envoltória!$G54,$BQ$35:$BZ$43,BO$9,FALSE),"")</f>
        <v>0</v>
      </c>
      <c r="BP46" s="1"/>
    </row>
    <row r="47" spans="1:79" s="15" customFormat="1" x14ac:dyDescent="0.25">
      <c r="A47" s="1">
        <v>37</v>
      </c>
      <c r="B47" s="409" t="str">
        <f>Envoltória!I55</f>
        <v>Escritórios</v>
      </c>
      <c r="C47" s="410" t="str">
        <f>Envoltória!B55</f>
        <v>Cobertura</v>
      </c>
      <c r="D47" s="410" t="str">
        <f>Envoltória!C55</f>
        <v>ZP33</v>
      </c>
      <c r="E47" s="411">
        <f>Envoltória!D55</f>
        <v>41.5</v>
      </c>
      <c r="F47" s="412">
        <f>IF(B47=0,"",Envoltória!E55)</f>
        <v>3</v>
      </c>
      <c r="G47" s="412">
        <f t="shared" si="0"/>
        <v>13.722222222222221</v>
      </c>
      <c r="H47" s="413">
        <f>IF(B47=0,"",IF(Envoltória!O55=0,0,VLOOKUP(B47,Aux_Lista!A:M,13,FALSE)))</f>
        <v>0.5</v>
      </c>
      <c r="I47" s="413">
        <f>IF(B47=0,"",IF(BF47=1,VLOOKUP(Envoltória!N55,Componentes!T:AB,7,FALSE),89))</f>
        <v>0</v>
      </c>
      <c r="J47" s="414">
        <f>IF(B47=0,"",Componentes!$Q$10)</f>
        <v>2.06</v>
      </c>
      <c r="K47" s="414">
        <f>IF(B47=0,"",Componentes!$R$10)</f>
        <v>233</v>
      </c>
      <c r="L47" s="413">
        <f>IF(B47=0,"",IFERROR(IF(BB47&lt;&gt;0,Componentes!$L$11,0),""))</f>
        <v>2.06</v>
      </c>
      <c r="M47" s="413">
        <f>IF(B47=0,"",IFERROR(IF(BB47&lt;&gt;0,Componentes!$M$11,0),""))</f>
        <v>233</v>
      </c>
      <c r="N47" s="415">
        <f>IF(B47=0,"",IFERROR(IF(BB47&lt;&gt;0,Componentes!$N$11,0),""))</f>
        <v>0.8</v>
      </c>
      <c r="O47" s="413">
        <f>IF(B47=0,"",IF(BF47=1,Componentes!$C$11,-6))</f>
        <v>2.39</v>
      </c>
      <c r="P47" s="413">
        <f>IF(B47=0,"",IF(BF47=1,Componentes!$D$11,-400))</f>
        <v>150</v>
      </c>
      <c r="Q47" s="413">
        <f>IF(B47=0,"",IF(BF47=1,Componentes!$E$11,0))</f>
        <v>0.5</v>
      </c>
      <c r="R47" s="414">
        <f>IF(B47=0,"",Componentes!$H$11)</f>
        <v>2.39</v>
      </c>
      <c r="S47" s="414">
        <f>IF(B47=0,"",Componentes!$I$11)</f>
        <v>150</v>
      </c>
      <c r="T47" s="413">
        <f>IF(B47=0,"",IFERROR(IF(H47&lt;&gt;0,Componentes!$V$11,0),""))</f>
        <v>0.82</v>
      </c>
      <c r="U47" s="413">
        <f>IF(B47=0,"",IFERROR(IF(H47&lt;&gt;0,Componentes!$U$11,0),""))</f>
        <v>5.7</v>
      </c>
      <c r="V47" s="414">
        <f>IF(B47=0,"",IFERROR(IF(AA47&lt;&gt;0,VLOOKUP(Envoltória!U55,Componentes!X:Z,2,FALSE),0),0))</f>
        <v>0</v>
      </c>
      <c r="W47" s="414">
        <f>IF(B47=0,"",IFERROR(IF(AA47&lt;&gt;0,Componentes!$AE$11,0),0))</f>
        <v>0</v>
      </c>
      <c r="X47" s="413">
        <f>IF(B47=0,"",Envoltória!U55)</f>
        <v>0.1</v>
      </c>
      <c r="Y47" s="413">
        <f>IF(B47=0,"",VLOOKUP(Início!$C$20,Aux_Lista!A:H,8,FALSE))</f>
        <v>14.1</v>
      </c>
      <c r="Z47" s="413">
        <f>IF(B47=0,"",Envoltória!T55)</f>
        <v>15</v>
      </c>
      <c r="AA47" s="416">
        <f>IF(B47=0,"",Envoltória!Q55/100)</f>
        <v>0</v>
      </c>
      <c r="AB47" s="417">
        <f>INPUT!AB47</f>
        <v>-7.02</v>
      </c>
      <c r="AC47" s="417">
        <f>INPUT!AC47</f>
        <v>249</v>
      </c>
      <c r="AD47" s="417">
        <f>INPUT!AD47</f>
        <v>27.24</v>
      </c>
      <c r="AE47" s="417">
        <f>INPUT!AE47</f>
        <v>24.17</v>
      </c>
      <c r="AF47" s="417">
        <f>INPUT!AF47</f>
        <v>30.311666670000001</v>
      </c>
      <c r="AG47" s="417">
        <f>INPUT!AG47</f>
        <v>2.8624999999999998</v>
      </c>
      <c r="AH47" s="417">
        <f>INPUT!AH47</f>
        <v>1.8233333300000001</v>
      </c>
      <c r="AI47" s="417">
        <f>INPUT!AI47</f>
        <v>3.8433333300000001</v>
      </c>
      <c r="AJ47" s="417">
        <f>INPUT!AJ47</f>
        <v>6082.0829999999996</v>
      </c>
      <c r="AK47" s="417">
        <f>INPUT!AK47</f>
        <v>5588.8329999999996</v>
      </c>
      <c r="AL47" s="417">
        <f>INPUT!AL47</f>
        <v>6759.9380000000001</v>
      </c>
      <c r="AM47" s="417">
        <f>INPUT!AM47</f>
        <v>18.44083333</v>
      </c>
      <c r="AN47" s="417">
        <f>INPUT!AN47</f>
        <v>17.19166667</v>
      </c>
      <c r="AO47" s="417">
        <f>INPUT!AO47</f>
        <v>19.883333329999999</v>
      </c>
      <c r="AP47" s="413">
        <f>IF(B47=0,"",IF(BF47=0,90,VLOOKUP(Envoltória!N55,Componentes!T:AB,9,FALSE)))</f>
        <v>0</v>
      </c>
      <c r="AQ47" s="413">
        <f>IF(B47=0,"",IF(BF47=0,90,VLOOKUP(Envoltória!N55,Componentes!T:AB,8,FALSE)))</f>
        <v>0</v>
      </c>
      <c r="AR47" s="413">
        <f t="shared" si="4"/>
        <v>1</v>
      </c>
      <c r="AS47" s="413">
        <f t="shared" si="4"/>
        <v>0</v>
      </c>
      <c r="AT47" s="413">
        <f t="shared" si="4"/>
        <v>0</v>
      </c>
      <c r="AU47" s="413">
        <f t="shared" si="4"/>
        <v>0</v>
      </c>
      <c r="AV47" s="413">
        <f t="shared" si="4"/>
        <v>0</v>
      </c>
      <c r="AW47" s="414">
        <f>INPUT!AW47</f>
        <v>1</v>
      </c>
      <c r="AX47" s="414">
        <f>INPUT!AX47</f>
        <v>0</v>
      </c>
      <c r="AY47" s="414">
        <f>INPUT!AY47</f>
        <v>1</v>
      </c>
      <c r="AZ47" s="414">
        <f>INPUT!AZ47</f>
        <v>0</v>
      </c>
      <c r="BA47" s="414">
        <f>INPUT!BA47</f>
        <v>0</v>
      </c>
      <c r="BB47" s="414">
        <f>INPUT!BB47</f>
        <v>1</v>
      </c>
      <c r="BC47" s="414">
        <f>INPUT!BC47</f>
        <v>1</v>
      </c>
      <c r="BD47" s="414">
        <f>INPUT!BD47</f>
        <v>0</v>
      </c>
      <c r="BE47" s="412">
        <f t="shared" si="2"/>
        <v>0</v>
      </c>
      <c r="BF47" s="412">
        <f>IF(B47=0,"",IFERROR(VLOOKUP(Envoltória!F55,INPUT_REF!$BQ$18:$BR$19,2,FALSE),""))</f>
        <v>1</v>
      </c>
      <c r="BG47" s="412">
        <f>IFERROR(VLOOKUP(Envoltória!$G55,$BQ$35:$BZ$43,BG$9,FALSE),"")</f>
        <v>0</v>
      </c>
      <c r="BH47" s="412">
        <f>IFERROR(VLOOKUP(Envoltória!$G55,$BQ$35:$BZ$43,BH$9,FALSE),"")</f>
        <v>0</v>
      </c>
      <c r="BI47" s="412">
        <f>IFERROR(VLOOKUP(Envoltória!$G55,$BQ$35:$BZ$43,BI$9,FALSE),"")</f>
        <v>0</v>
      </c>
      <c r="BJ47" s="412">
        <f>IFERROR(VLOOKUP(Envoltória!$G55,$BQ$35:$BZ$43,BJ$9,FALSE),"")</f>
        <v>0</v>
      </c>
      <c r="BK47" s="412">
        <f>IFERROR(VLOOKUP(Envoltória!$G55,$BQ$35:$BZ$43,BK$9,FALSE),"")</f>
        <v>1</v>
      </c>
      <c r="BL47" s="412">
        <f>IFERROR(VLOOKUP(Envoltória!$G55,$BQ$35:$BZ$43,BL$9,FALSE),"")</f>
        <v>0</v>
      </c>
      <c r="BM47" s="412">
        <f>IFERROR(VLOOKUP(Envoltória!$G55,$BQ$35:$BZ$43,BM$9,FALSE),"")</f>
        <v>0</v>
      </c>
      <c r="BN47" s="412">
        <f>IFERROR(VLOOKUP(Envoltória!$G55,$BQ$35:$BZ$43,BN$9,FALSE),"")</f>
        <v>0</v>
      </c>
      <c r="BO47" s="412">
        <f>IFERROR(VLOOKUP(Envoltória!$G55,$BQ$35:$BZ$43,BO$9,FALSE),"")</f>
        <v>0</v>
      </c>
      <c r="BP47" s="1"/>
    </row>
    <row r="48" spans="1:79" s="15" customFormat="1" x14ac:dyDescent="0.25">
      <c r="A48" s="1">
        <v>38</v>
      </c>
      <c r="B48" s="409" t="str">
        <f>Envoltória!I56</f>
        <v>Escritórios</v>
      </c>
      <c r="C48" s="410" t="str">
        <f>Envoltória!B56</f>
        <v>Cobertura</v>
      </c>
      <c r="D48" s="410" t="str">
        <f>Envoltória!C56</f>
        <v>ZP34</v>
      </c>
      <c r="E48" s="411">
        <f>Envoltória!D56</f>
        <v>18.05</v>
      </c>
      <c r="F48" s="412">
        <f>IF(B48=0,"",Envoltória!E56)</f>
        <v>3</v>
      </c>
      <c r="G48" s="412">
        <f t="shared" si="0"/>
        <v>8.5111111111111111</v>
      </c>
      <c r="H48" s="413">
        <f>IF(B48=0,"",IF(Envoltória!O56=0,0,VLOOKUP(B48,Aux_Lista!A:M,13,FALSE)))</f>
        <v>0</v>
      </c>
      <c r="I48" s="413">
        <f>IF(B48=0,"",IF(BF48=1,VLOOKUP(Envoltória!N56,Componentes!T:AB,7,FALSE),89))</f>
        <v>0</v>
      </c>
      <c r="J48" s="414">
        <f>IF(B48=0,"",Componentes!$Q$10)</f>
        <v>2.06</v>
      </c>
      <c r="K48" s="414">
        <f>IF(B48=0,"",Componentes!$R$10)</f>
        <v>233</v>
      </c>
      <c r="L48" s="413">
        <f>IF(B48=0,"",IFERROR(IF(BB48&lt;&gt;0,Componentes!$L$11,0),""))</f>
        <v>2.06</v>
      </c>
      <c r="M48" s="413">
        <f>IF(B48=0,"",IFERROR(IF(BB48&lt;&gt;0,Componentes!$M$11,0),""))</f>
        <v>233</v>
      </c>
      <c r="N48" s="415">
        <f>IF(B48=0,"",IFERROR(IF(BB48&lt;&gt;0,Componentes!$N$11,0),""))</f>
        <v>0.8</v>
      </c>
      <c r="O48" s="413">
        <f>IF(B48=0,"",IF(BF48=1,Componentes!$C$11,-6))</f>
        <v>2.39</v>
      </c>
      <c r="P48" s="413">
        <f>IF(B48=0,"",IF(BF48=1,Componentes!$D$11,-400))</f>
        <v>150</v>
      </c>
      <c r="Q48" s="413">
        <f>IF(B48=0,"",IF(BF48=1,Componentes!$E$11,0))</f>
        <v>0.5</v>
      </c>
      <c r="R48" s="414">
        <f>IF(B48=0,"",Componentes!$H$11)</f>
        <v>2.39</v>
      </c>
      <c r="S48" s="414">
        <f>IF(B48=0,"",Componentes!$I$11)</f>
        <v>150</v>
      </c>
      <c r="T48" s="413">
        <f>IF(B48=0,"",IFERROR(IF(H48&lt;&gt;0,Componentes!$V$11,0),""))</f>
        <v>0</v>
      </c>
      <c r="U48" s="413">
        <f>IF(B48=0,"",IFERROR(IF(H48&lt;&gt;0,Componentes!$U$11,0),""))</f>
        <v>0</v>
      </c>
      <c r="V48" s="414">
        <f>IF(B48=0,"",IFERROR(IF(AA48&lt;&gt;0,VLOOKUP(Envoltória!U56,Componentes!X:Z,2,FALSE),0),0))</f>
        <v>0</v>
      </c>
      <c r="W48" s="414">
        <f>IF(B48=0,"",IFERROR(IF(AA48&lt;&gt;0,Componentes!$AE$11,0),0))</f>
        <v>0</v>
      </c>
      <c r="X48" s="413">
        <f>IF(B48=0,"",Envoltória!U56)</f>
        <v>0.1</v>
      </c>
      <c r="Y48" s="413">
        <f>IF(B48=0,"",VLOOKUP(Início!$C$20,Aux_Lista!A:H,8,FALSE))</f>
        <v>14.1</v>
      </c>
      <c r="Z48" s="413">
        <f>IF(B48=0,"",Envoltória!T56)</f>
        <v>15</v>
      </c>
      <c r="AA48" s="416">
        <f>IF(B48=0,"",Envoltória!Q56/100)</f>
        <v>0</v>
      </c>
      <c r="AB48" s="417">
        <f>INPUT!AB48</f>
        <v>-7.02</v>
      </c>
      <c r="AC48" s="417">
        <f>INPUT!AC48</f>
        <v>249</v>
      </c>
      <c r="AD48" s="417">
        <f>INPUT!AD48</f>
        <v>27.24</v>
      </c>
      <c r="AE48" s="417">
        <f>INPUT!AE48</f>
        <v>24.17</v>
      </c>
      <c r="AF48" s="417">
        <f>INPUT!AF48</f>
        <v>30.311666670000001</v>
      </c>
      <c r="AG48" s="417">
        <f>INPUT!AG48</f>
        <v>2.8624999999999998</v>
      </c>
      <c r="AH48" s="417">
        <f>INPUT!AH48</f>
        <v>1.8233333300000001</v>
      </c>
      <c r="AI48" s="417">
        <f>INPUT!AI48</f>
        <v>3.8433333300000001</v>
      </c>
      <c r="AJ48" s="417">
        <f>INPUT!AJ48</f>
        <v>6082.0829999999996</v>
      </c>
      <c r="AK48" s="417">
        <f>INPUT!AK48</f>
        <v>5588.8329999999996</v>
      </c>
      <c r="AL48" s="417">
        <f>INPUT!AL48</f>
        <v>6759.9380000000001</v>
      </c>
      <c r="AM48" s="417">
        <f>INPUT!AM48</f>
        <v>18.44083333</v>
      </c>
      <c r="AN48" s="417">
        <f>INPUT!AN48</f>
        <v>17.19166667</v>
      </c>
      <c r="AO48" s="417">
        <f>INPUT!AO48</f>
        <v>19.883333329999999</v>
      </c>
      <c r="AP48" s="413">
        <f>IF(B48=0,"",IF(BF48=0,90,VLOOKUP(Envoltória!N56,Componentes!T:AB,9,FALSE)))</f>
        <v>0</v>
      </c>
      <c r="AQ48" s="413">
        <f>IF(B48=0,"",IF(BF48=0,90,VLOOKUP(Envoltória!N56,Componentes!T:AB,8,FALSE)))</f>
        <v>0</v>
      </c>
      <c r="AR48" s="413">
        <f t="shared" si="4"/>
        <v>1</v>
      </c>
      <c r="AS48" s="413">
        <f t="shared" si="4"/>
        <v>0</v>
      </c>
      <c r="AT48" s="413">
        <f t="shared" si="4"/>
        <v>0</v>
      </c>
      <c r="AU48" s="413">
        <f t="shared" si="4"/>
        <v>0</v>
      </c>
      <c r="AV48" s="413">
        <f t="shared" si="4"/>
        <v>0</v>
      </c>
      <c r="AW48" s="414">
        <f>INPUT!AW48</f>
        <v>1</v>
      </c>
      <c r="AX48" s="414">
        <f>INPUT!AX48</f>
        <v>0</v>
      </c>
      <c r="AY48" s="414">
        <f>INPUT!AY48</f>
        <v>1</v>
      </c>
      <c r="AZ48" s="414">
        <f>INPUT!AZ48</f>
        <v>0</v>
      </c>
      <c r="BA48" s="414">
        <f>INPUT!BA48</f>
        <v>0</v>
      </c>
      <c r="BB48" s="414">
        <f>INPUT!BB48</f>
        <v>1</v>
      </c>
      <c r="BC48" s="414">
        <f>INPUT!BC48</f>
        <v>1</v>
      </c>
      <c r="BD48" s="414">
        <f>INPUT!BD48</f>
        <v>0</v>
      </c>
      <c r="BE48" s="412">
        <f t="shared" si="2"/>
        <v>0</v>
      </c>
      <c r="BF48" s="412">
        <f>IF(B48=0,"",IFERROR(VLOOKUP(Envoltória!F56,INPUT_REF!$BQ$18:$BR$19,2,FALSE),""))</f>
        <v>1</v>
      </c>
      <c r="BG48" s="412">
        <f>IFERROR(VLOOKUP(Envoltória!$G56,$BQ$35:$BZ$43,BG$9,FALSE),"")</f>
        <v>0</v>
      </c>
      <c r="BH48" s="412">
        <f>IFERROR(VLOOKUP(Envoltória!$G56,$BQ$35:$BZ$43,BH$9,FALSE),"")</f>
        <v>0</v>
      </c>
      <c r="BI48" s="412">
        <f>IFERROR(VLOOKUP(Envoltória!$G56,$BQ$35:$BZ$43,BI$9,FALSE),"")</f>
        <v>0</v>
      </c>
      <c r="BJ48" s="412">
        <f>IFERROR(VLOOKUP(Envoltória!$G56,$BQ$35:$BZ$43,BJ$9,FALSE),"")</f>
        <v>0</v>
      </c>
      <c r="BK48" s="412">
        <f>IFERROR(VLOOKUP(Envoltória!$G56,$BQ$35:$BZ$43,BK$9,FALSE),"")</f>
        <v>1</v>
      </c>
      <c r="BL48" s="412">
        <f>IFERROR(VLOOKUP(Envoltória!$G56,$BQ$35:$BZ$43,BL$9,FALSE),"")</f>
        <v>0</v>
      </c>
      <c r="BM48" s="412">
        <f>IFERROR(VLOOKUP(Envoltória!$G56,$BQ$35:$BZ$43,BM$9,FALSE),"")</f>
        <v>0</v>
      </c>
      <c r="BN48" s="412">
        <f>IFERROR(VLOOKUP(Envoltória!$G56,$BQ$35:$BZ$43,BN$9,FALSE),"")</f>
        <v>0</v>
      </c>
      <c r="BO48" s="412">
        <f>IFERROR(VLOOKUP(Envoltória!$G56,$BQ$35:$BZ$43,BO$9,FALSE),"")</f>
        <v>0</v>
      </c>
      <c r="BP48" s="1"/>
    </row>
    <row r="49" spans="1:68" s="15" customFormat="1" x14ac:dyDescent="0.25">
      <c r="A49" s="1">
        <v>39</v>
      </c>
      <c r="B49" s="409" t="str">
        <f>Envoltória!I57</f>
        <v>Escritórios</v>
      </c>
      <c r="C49" s="410" t="str">
        <f>Envoltória!B57</f>
        <v>Cobertura</v>
      </c>
      <c r="D49" s="410" t="str">
        <f>Envoltória!C57</f>
        <v>ZP35</v>
      </c>
      <c r="E49" s="411">
        <f>Envoltória!D57</f>
        <v>46.35</v>
      </c>
      <c r="F49" s="412">
        <f>IF(B49=0,"",Envoltória!E57)</f>
        <v>3</v>
      </c>
      <c r="G49" s="412">
        <f t="shared" si="0"/>
        <v>14.799999999999999</v>
      </c>
      <c r="H49" s="413">
        <f>IF(B49=0,"",IF(Envoltória!O57=0,0,VLOOKUP(B49,Aux_Lista!A:M,13,FALSE)))</f>
        <v>0.5</v>
      </c>
      <c r="I49" s="413">
        <f>IF(B49=0,"",IF(BF49=1,VLOOKUP(Envoltória!N57,Componentes!T:AB,7,FALSE),89))</f>
        <v>0</v>
      </c>
      <c r="J49" s="414">
        <f>IF(B49=0,"",Componentes!$Q$10)</f>
        <v>2.06</v>
      </c>
      <c r="K49" s="414">
        <f>IF(B49=0,"",Componentes!$R$10)</f>
        <v>233</v>
      </c>
      <c r="L49" s="413">
        <f>IF(B49=0,"",IFERROR(IF(BB49&lt;&gt;0,Componentes!$L$11,0),""))</f>
        <v>2.06</v>
      </c>
      <c r="M49" s="413">
        <f>IF(B49=0,"",IFERROR(IF(BB49&lt;&gt;0,Componentes!$M$11,0),""))</f>
        <v>233</v>
      </c>
      <c r="N49" s="415">
        <f>IF(B49=0,"",IFERROR(IF(BB49&lt;&gt;0,Componentes!$N$11,0),""))</f>
        <v>0.8</v>
      </c>
      <c r="O49" s="413">
        <f>IF(B49=0,"",IF(BF49=1,Componentes!$C$11,-6))</f>
        <v>2.39</v>
      </c>
      <c r="P49" s="413">
        <f>IF(B49=0,"",IF(BF49=1,Componentes!$D$11,-400))</f>
        <v>150</v>
      </c>
      <c r="Q49" s="413">
        <f>IF(B49=0,"",IF(BF49=1,Componentes!$E$11,0))</f>
        <v>0.5</v>
      </c>
      <c r="R49" s="414">
        <f>IF(B49=0,"",Componentes!$H$11)</f>
        <v>2.39</v>
      </c>
      <c r="S49" s="414">
        <f>IF(B49=0,"",Componentes!$I$11)</f>
        <v>150</v>
      </c>
      <c r="T49" s="413">
        <f>IF(B49=0,"",IFERROR(IF(H49&lt;&gt;0,Componentes!$V$11,0),""))</f>
        <v>0.82</v>
      </c>
      <c r="U49" s="413">
        <f>IF(B49=0,"",IFERROR(IF(H49&lt;&gt;0,Componentes!$U$11,0),""))</f>
        <v>5.7</v>
      </c>
      <c r="V49" s="414">
        <f>IF(B49=0,"",IFERROR(IF(AA49&lt;&gt;0,VLOOKUP(Envoltória!U57,Componentes!X:Z,2,FALSE),0),0))</f>
        <v>0</v>
      </c>
      <c r="W49" s="414">
        <f>IF(B49=0,"",IFERROR(IF(AA49&lt;&gt;0,Componentes!$AE$11,0),0))</f>
        <v>0</v>
      </c>
      <c r="X49" s="413">
        <f>IF(B49=0,"",Envoltória!U57)</f>
        <v>0.1</v>
      </c>
      <c r="Y49" s="413">
        <f>IF(B49=0,"",VLOOKUP(Início!$C$20,Aux_Lista!A:H,8,FALSE))</f>
        <v>14.1</v>
      </c>
      <c r="Z49" s="413">
        <f>IF(B49=0,"",Envoltória!T57)</f>
        <v>15</v>
      </c>
      <c r="AA49" s="416">
        <f>IF(B49=0,"",Envoltória!Q57/100)</f>
        <v>0</v>
      </c>
      <c r="AB49" s="417">
        <f>INPUT!AB49</f>
        <v>-7.02</v>
      </c>
      <c r="AC49" s="417">
        <f>INPUT!AC49</f>
        <v>249</v>
      </c>
      <c r="AD49" s="417">
        <f>INPUT!AD49</f>
        <v>27.24</v>
      </c>
      <c r="AE49" s="417">
        <f>INPUT!AE49</f>
        <v>24.17</v>
      </c>
      <c r="AF49" s="417">
        <f>INPUT!AF49</f>
        <v>30.311666670000001</v>
      </c>
      <c r="AG49" s="417">
        <f>INPUT!AG49</f>
        <v>2.8624999999999998</v>
      </c>
      <c r="AH49" s="417">
        <f>INPUT!AH49</f>
        <v>1.8233333300000001</v>
      </c>
      <c r="AI49" s="417">
        <f>INPUT!AI49</f>
        <v>3.8433333300000001</v>
      </c>
      <c r="AJ49" s="417">
        <f>INPUT!AJ49</f>
        <v>6082.0829999999996</v>
      </c>
      <c r="AK49" s="417">
        <f>INPUT!AK49</f>
        <v>5588.8329999999996</v>
      </c>
      <c r="AL49" s="417">
        <f>INPUT!AL49</f>
        <v>6759.9380000000001</v>
      </c>
      <c r="AM49" s="417">
        <f>INPUT!AM49</f>
        <v>18.44083333</v>
      </c>
      <c r="AN49" s="417">
        <f>INPUT!AN49</f>
        <v>17.19166667</v>
      </c>
      <c r="AO49" s="417">
        <f>INPUT!AO49</f>
        <v>19.883333329999999</v>
      </c>
      <c r="AP49" s="413">
        <f>IF(B49=0,"",IF(BF49=0,90,VLOOKUP(Envoltória!N57,Componentes!T:AB,9,FALSE)))</f>
        <v>0</v>
      </c>
      <c r="AQ49" s="413">
        <f>IF(B49=0,"",IF(BF49=0,90,VLOOKUP(Envoltória!N57,Componentes!T:AB,8,FALSE)))</f>
        <v>0</v>
      </c>
      <c r="AR49" s="413">
        <f t="shared" si="4"/>
        <v>1</v>
      </c>
      <c r="AS49" s="413">
        <f t="shared" si="4"/>
        <v>0</v>
      </c>
      <c r="AT49" s="413">
        <f t="shared" si="4"/>
        <v>0</v>
      </c>
      <c r="AU49" s="413">
        <f t="shared" si="4"/>
        <v>0</v>
      </c>
      <c r="AV49" s="413">
        <f t="shared" si="4"/>
        <v>0</v>
      </c>
      <c r="AW49" s="414">
        <f>INPUT!AW49</f>
        <v>1</v>
      </c>
      <c r="AX49" s="414">
        <f>INPUT!AX49</f>
        <v>0</v>
      </c>
      <c r="AY49" s="414">
        <f>INPUT!AY49</f>
        <v>1</v>
      </c>
      <c r="AZ49" s="414">
        <f>INPUT!AZ49</f>
        <v>0</v>
      </c>
      <c r="BA49" s="414">
        <f>INPUT!BA49</f>
        <v>0</v>
      </c>
      <c r="BB49" s="414">
        <f>INPUT!BB49</f>
        <v>1</v>
      </c>
      <c r="BC49" s="414">
        <f>INPUT!BC49</f>
        <v>1</v>
      </c>
      <c r="BD49" s="414">
        <f>INPUT!BD49</f>
        <v>0</v>
      </c>
      <c r="BE49" s="412">
        <f t="shared" si="2"/>
        <v>0</v>
      </c>
      <c r="BF49" s="412">
        <f>IF(B49=0,"",IFERROR(VLOOKUP(Envoltória!F57,INPUT_REF!$BQ$18:$BR$19,2,FALSE),""))</f>
        <v>1</v>
      </c>
      <c r="BG49" s="412">
        <f>IFERROR(VLOOKUP(Envoltória!$G57,$BQ$35:$BZ$43,BG$9,FALSE),"")</f>
        <v>0</v>
      </c>
      <c r="BH49" s="412">
        <f>IFERROR(VLOOKUP(Envoltória!$G57,$BQ$35:$BZ$43,BH$9,FALSE),"")</f>
        <v>0</v>
      </c>
      <c r="BI49" s="412">
        <f>IFERROR(VLOOKUP(Envoltória!$G57,$BQ$35:$BZ$43,BI$9,FALSE),"")</f>
        <v>1</v>
      </c>
      <c r="BJ49" s="412">
        <f>IFERROR(VLOOKUP(Envoltória!$G57,$BQ$35:$BZ$43,BJ$9,FALSE),"")</f>
        <v>0</v>
      </c>
      <c r="BK49" s="412">
        <f>IFERROR(VLOOKUP(Envoltória!$G57,$BQ$35:$BZ$43,BK$9,FALSE),"")</f>
        <v>0</v>
      </c>
      <c r="BL49" s="412">
        <f>IFERROR(VLOOKUP(Envoltória!$G57,$BQ$35:$BZ$43,BL$9,FALSE),"")</f>
        <v>0</v>
      </c>
      <c r="BM49" s="412">
        <f>IFERROR(VLOOKUP(Envoltória!$G57,$BQ$35:$BZ$43,BM$9,FALSE),"")</f>
        <v>0</v>
      </c>
      <c r="BN49" s="412">
        <f>IFERROR(VLOOKUP(Envoltória!$G57,$BQ$35:$BZ$43,BN$9,FALSE),"")</f>
        <v>0</v>
      </c>
      <c r="BO49" s="412">
        <f>IFERROR(VLOOKUP(Envoltória!$G57,$BQ$35:$BZ$43,BO$9,FALSE),"")</f>
        <v>0</v>
      </c>
      <c r="BP49" s="1"/>
    </row>
    <row r="50" spans="1:68" x14ac:dyDescent="0.25">
      <c r="A50" s="1">
        <v>40</v>
      </c>
      <c r="B50" s="409" t="str">
        <f>Envoltória!I58</f>
        <v>Escritórios</v>
      </c>
      <c r="C50" s="410" t="str">
        <f>Envoltória!B58</f>
        <v>Cobertura</v>
      </c>
      <c r="D50" s="410" t="str">
        <f>Envoltória!C58</f>
        <v>ZP36</v>
      </c>
      <c r="E50" s="411">
        <f>Envoltória!D58</f>
        <v>1.56</v>
      </c>
      <c r="F50" s="412">
        <f>IF(B50=0,"",Envoltória!E58)</f>
        <v>3</v>
      </c>
      <c r="G50" s="412">
        <f t="shared" si="0"/>
        <v>4.8466666666666667</v>
      </c>
      <c r="H50" s="413">
        <f>IF(B50=0,"",IF(Envoltória!O58=0,0,VLOOKUP(B50,Aux_Lista!A:M,13,FALSE)))</f>
        <v>0</v>
      </c>
      <c r="I50" s="413">
        <f>IF(B50=0,"",IF(BF50=1,VLOOKUP(Envoltória!N58,Componentes!T:AB,7,FALSE),89))</f>
        <v>0</v>
      </c>
      <c r="J50" s="414">
        <f>IF(B50=0,"",Componentes!$Q$10)</f>
        <v>2.06</v>
      </c>
      <c r="K50" s="414">
        <f>IF(B50=0,"",Componentes!$R$10)</f>
        <v>233</v>
      </c>
      <c r="L50" s="413">
        <f>IF(B50=0,"",IFERROR(IF(BB50&lt;&gt;0,Componentes!$L$11,0),""))</f>
        <v>2.06</v>
      </c>
      <c r="M50" s="413">
        <f>IF(B50=0,"",IFERROR(IF(BB50&lt;&gt;0,Componentes!$M$11,0),""))</f>
        <v>233</v>
      </c>
      <c r="N50" s="415">
        <f>IF(B50=0,"",IFERROR(IF(BB50&lt;&gt;0,Componentes!$N$11,0),""))</f>
        <v>0.8</v>
      </c>
      <c r="O50" s="413">
        <f>IF(B50=0,"",IF(BF50=1,Componentes!$C$11,-6))</f>
        <v>2.39</v>
      </c>
      <c r="P50" s="413">
        <f>IF(B50=0,"",IF(BF50=1,Componentes!$D$11,-400))</f>
        <v>150</v>
      </c>
      <c r="Q50" s="413">
        <f>IF(B50=0,"",IF(BF50=1,Componentes!$E$11,0))</f>
        <v>0.5</v>
      </c>
      <c r="R50" s="414">
        <f>IF(B50=0,"",Componentes!$H$11)</f>
        <v>2.39</v>
      </c>
      <c r="S50" s="414">
        <f>IF(B50=0,"",Componentes!$I$11)</f>
        <v>150</v>
      </c>
      <c r="T50" s="413">
        <f>IF(B50=0,"",IFERROR(IF(H50&lt;&gt;0,Componentes!$V$11,0),""))</f>
        <v>0</v>
      </c>
      <c r="U50" s="413">
        <f>IF(B50=0,"",IFERROR(IF(H50&lt;&gt;0,Componentes!$U$11,0),""))</f>
        <v>0</v>
      </c>
      <c r="V50" s="414">
        <f>IF(B50=0,"",IFERROR(IF(AA50&lt;&gt;0,VLOOKUP(Envoltória!U58,Componentes!X:Z,2,FALSE),0),0))</f>
        <v>0</v>
      </c>
      <c r="W50" s="414">
        <f>IF(B50=0,"",IFERROR(IF(AA50&lt;&gt;0,Componentes!$AE$11,0),0))</f>
        <v>0</v>
      </c>
      <c r="X50" s="413">
        <f>IF(B50=0,"",Envoltória!U58)</f>
        <v>0.1</v>
      </c>
      <c r="Y50" s="413">
        <f>IF(B50=0,"",VLOOKUP(Início!$C$20,Aux_Lista!A:H,8,FALSE))</f>
        <v>14.1</v>
      </c>
      <c r="Z50" s="413">
        <f>IF(B50=0,"",Envoltória!T58)</f>
        <v>15</v>
      </c>
      <c r="AA50" s="416">
        <f>IF(B50=0,"",Envoltória!Q58/100)</f>
        <v>0</v>
      </c>
      <c r="AB50" s="417">
        <f>INPUT!AB50</f>
        <v>-7.02</v>
      </c>
      <c r="AC50" s="417">
        <f>INPUT!AC50</f>
        <v>249</v>
      </c>
      <c r="AD50" s="417">
        <f>INPUT!AD50</f>
        <v>27.24</v>
      </c>
      <c r="AE50" s="417">
        <f>INPUT!AE50</f>
        <v>24.17</v>
      </c>
      <c r="AF50" s="417">
        <f>INPUT!AF50</f>
        <v>30.311666670000001</v>
      </c>
      <c r="AG50" s="417">
        <f>INPUT!AG50</f>
        <v>2.8624999999999998</v>
      </c>
      <c r="AH50" s="417">
        <f>INPUT!AH50</f>
        <v>1.8233333300000001</v>
      </c>
      <c r="AI50" s="417">
        <f>INPUT!AI50</f>
        <v>3.8433333300000001</v>
      </c>
      <c r="AJ50" s="417">
        <f>INPUT!AJ50</f>
        <v>6082.0829999999996</v>
      </c>
      <c r="AK50" s="417">
        <f>INPUT!AK50</f>
        <v>5588.8329999999996</v>
      </c>
      <c r="AL50" s="417">
        <f>INPUT!AL50</f>
        <v>6759.9380000000001</v>
      </c>
      <c r="AM50" s="417">
        <f>INPUT!AM50</f>
        <v>18.44083333</v>
      </c>
      <c r="AN50" s="417">
        <f>INPUT!AN50</f>
        <v>17.19166667</v>
      </c>
      <c r="AO50" s="417">
        <f>INPUT!AO50</f>
        <v>19.883333329999999</v>
      </c>
      <c r="AP50" s="413">
        <f>IF(B50=0,"",IF(BF50=0,90,VLOOKUP(Envoltória!N58,Componentes!T:AB,9,FALSE)))</f>
        <v>0</v>
      </c>
      <c r="AQ50" s="413">
        <f>IF(B50=0,"",IF(BF50=0,90,VLOOKUP(Envoltória!N58,Componentes!T:AB,8,FALSE)))</f>
        <v>0</v>
      </c>
      <c r="AR50" s="413">
        <f t="shared" si="4"/>
        <v>1</v>
      </c>
      <c r="AS50" s="413">
        <f t="shared" si="4"/>
        <v>0</v>
      </c>
      <c r="AT50" s="413">
        <f t="shared" si="4"/>
        <v>0</v>
      </c>
      <c r="AU50" s="413">
        <f t="shared" si="4"/>
        <v>0</v>
      </c>
      <c r="AV50" s="413">
        <f t="shared" si="4"/>
        <v>0</v>
      </c>
      <c r="AW50" s="414">
        <f>INPUT!AW50</f>
        <v>1</v>
      </c>
      <c r="AX50" s="414">
        <f>INPUT!AX50</f>
        <v>0</v>
      </c>
      <c r="AY50" s="414">
        <f>INPUT!AY50</f>
        <v>1</v>
      </c>
      <c r="AZ50" s="414">
        <f>INPUT!AZ50</f>
        <v>0</v>
      </c>
      <c r="BA50" s="414">
        <f>INPUT!BA50</f>
        <v>0</v>
      </c>
      <c r="BB50" s="414">
        <f>INPUT!BB50</f>
        <v>1</v>
      </c>
      <c r="BC50" s="414">
        <f>INPUT!BC50</f>
        <v>1</v>
      </c>
      <c r="BD50" s="414">
        <f>INPUT!BD50</f>
        <v>0</v>
      </c>
      <c r="BE50" s="412">
        <f t="shared" si="2"/>
        <v>0</v>
      </c>
      <c r="BF50" s="412">
        <f>IF(B50=0,"",IFERROR(VLOOKUP(Envoltória!F58,INPUT_REF!$BQ$18:$BR$19,2,FALSE),""))</f>
        <v>1</v>
      </c>
      <c r="BG50" s="412">
        <f>IFERROR(VLOOKUP(Envoltória!$G58,$BQ$35:$BZ$43,BG$9,FALSE),"")</f>
        <v>0</v>
      </c>
      <c r="BH50" s="412">
        <f>IFERROR(VLOOKUP(Envoltória!$G58,$BQ$35:$BZ$43,BH$9,FALSE),"")</f>
        <v>0</v>
      </c>
      <c r="BI50" s="412">
        <f>IFERROR(VLOOKUP(Envoltória!$G58,$BQ$35:$BZ$43,BI$9,FALSE),"")</f>
        <v>0</v>
      </c>
      <c r="BJ50" s="412">
        <f>IFERROR(VLOOKUP(Envoltória!$G58,$BQ$35:$BZ$43,BJ$9,FALSE),"")</f>
        <v>0</v>
      </c>
      <c r="BK50" s="412">
        <f>IFERROR(VLOOKUP(Envoltória!$G58,$BQ$35:$BZ$43,BK$9,FALSE),"")</f>
        <v>0</v>
      </c>
      <c r="BL50" s="412">
        <f>IFERROR(VLOOKUP(Envoltória!$G58,$BQ$35:$BZ$43,BL$9,FALSE),"")</f>
        <v>0</v>
      </c>
      <c r="BM50" s="412">
        <f>IFERROR(VLOOKUP(Envoltória!$G58,$BQ$35:$BZ$43,BM$9,FALSE),"")</f>
        <v>0</v>
      </c>
      <c r="BN50" s="412">
        <f>IFERROR(VLOOKUP(Envoltória!$G58,$BQ$35:$BZ$43,BN$9,FALSE),"")</f>
        <v>0</v>
      </c>
      <c r="BO50" s="412">
        <f>IFERROR(VLOOKUP(Envoltória!$G58,$BQ$35:$BZ$43,BO$9,FALSE),"")</f>
        <v>1</v>
      </c>
    </row>
    <row r="51" spans="1:68" x14ac:dyDescent="0.25">
      <c r="A51" s="1">
        <v>41</v>
      </c>
      <c r="B51" s="409" t="str">
        <f>Envoltória!I59</f>
        <v>Escritórios</v>
      </c>
      <c r="C51" s="410" t="str">
        <f>Envoltória!B59</f>
        <v>Cobertura</v>
      </c>
      <c r="D51" s="410" t="str">
        <f>Envoltória!C59</f>
        <v>Zi5</v>
      </c>
      <c r="E51" s="411">
        <f>Envoltória!D59</f>
        <v>318.39</v>
      </c>
      <c r="F51" s="412">
        <f>IF(B51=0,"",Envoltória!E59)</f>
        <v>3</v>
      </c>
      <c r="G51" s="412">
        <f t="shared" si="0"/>
        <v>17.843486206456404</v>
      </c>
      <c r="H51" s="413">
        <f>IF(B51=0,"",IF(Envoltória!O59=0,0,VLOOKUP(B51,Aux_Lista!A:M,13,FALSE)))</f>
        <v>0</v>
      </c>
      <c r="I51" s="413">
        <f>IF(B51=0,"",IF(BF51=1,VLOOKUP(Envoltória!N59,Componentes!T:AB,7,FALSE),89))</f>
        <v>89</v>
      </c>
      <c r="J51" s="414">
        <f>IF(B51=0,"",Componentes!$Q$10)</f>
        <v>2.06</v>
      </c>
      <c r="K51" s="414">
        <f>IF(B51=0,"",Componentes!$R$10)</f>
        <v>233</v>
      </c>
      <c r="L51" s="413">
        <f>IF(B51=0,"",IFERROR(IF(BB51&lt;&gt;0,Componentes!$L$11,0),""))</f>
        <v>2.06</v>
      </c>
      <c r="M51" s="413">
        <f>IF(B51=0,"",IFERROR(IF(BB51&lt;&gt;0,Componentes!$M$11,0),""))</f>
        <v>233</v>
      </c>
      <c r="N51" s="415">
        <f>IF(B51=0,"",IFERROR(IF(BB51&lt;&gt;0,Componentes!$N$11,0),""))</f>
        <v>0.8</v>
      </c>
      <c r="O51" s="413">
        <f>IF(B51=0,"",IF(BF51=1,Componentes!$C$11,-6))</f>
        <v>-6</v>
      </c>
      <c r="P51" s="413">
        <f>IF(B51=0,"",IF(BF51=1,Componentes!$D$11,-400))</f>
        <v>-400</v>
      </c>
      <c r="Q51" s="413">
        <f>IF(B51=0,"",IF(BF51=1,Componentes!$E$11,0))</f>
        <v>0</v>
      </c>
      <c r="R51" s="414">
        <f>IF(B51=0,"",Componentes!$H$11)</f>
        <v>2.39</v>
      </c>
      <c r="S51" s="414">
        <f>IF(B51=0,"",Componentes!$I$11)</f>
        <v>150</v>
      </c>
      <c r="T51" s="413">
        <f>IF(B51=0,"",IFERROR(IF(H51&lt;&gt;0,Componentes!$V$11,0),""))</f>
        <v>0</v>
      </c>
      <c r="U51" s="413">
        <f>IF(B51=0,"",IFERROR(IF(H51&lt;&gt;0,Componentes!$U$11,0),""))</f>
        <v>0</v>
      </c>
      <c r="V51" s="414">
        <f>IF(B51=0,"",IFERROR(IF(AA51&lt;&gt;0,VLOOKUP(Envoltória!U59,Componentes!X:Z,2,FALSE),0),0))</f>
        <v>0</v>
      </c>
      <c r="W51" s="414">
        <f>IF(B51=0,"",IFERROR(IF(AA51&lt;&gt;0,Componentes!$AE$11,0),0))</f>
        <v>0</v>
      </c>
      <c r="X51" s="413">
        <f>IF(B51=0,"",Envoltória!U59)</f>
        <v>0.1</v>
      </c>
      <c r="Y51" s="413">
        <f>IF(B51=0,"",VLOOKUP(Início!$C$20,Aux_Lista!A:H,8,FALSE))</f>
        <v>14.1</v>
      </c>
      <c r="Z51" s="413">
        <f>IF(B51=0,"",Envoltória!T59)</f>
        <v>15</v>
      </c>
      <c r="AA51" s="416">
        <f>IF(B51=0,"",Envoltória!Q59/100)</f>
        <v>0</v>
      </c>
      <c r="AB51" s="417">
        <f>INPUT!AB51</f>
        <v>-7.02</v>
      </c>
      <c r="AC51" s="417">
        <f>INPUT!AC51</f>
        <v>249</v>
      </c>
      <c r="AD51" s="417">
        <f>INPUT!AD51</f>
        <v>27.24</v>
      </c>
      <c r="AE51" s="417">
        <f>INPUT!AE51</f>
        <v>24.17</v>
      </c>
      <c r="AF51" s="417">
        <f>INPUT!AF51</f>
        <v>30.311666670000001</v>
      </c>
      <c r="AG51" s="417">
        <f>INPUT!AG51</f>
        <v>2.8624999999999998</v>
      </c>
      <c r="AH51" s="417">
        <f>INPUT!AH51</f>
        <v>1.8233333300000001</v>
      </c>
      <c r="AI51" s="417">
        <f>INPUT!AI51</f>
        <v>3.8433333300000001</v>
      </c>
      <c r="AJ51" s="417">
        <f>INPUT!AJ51</f>
        <v>6082.0829999999996</v>
      </c>
      <c r="AK51" s="417">
        <f>INPUT!AK51</f>
        <v>5588.8329999999996</v>
      </c>
      <c r="AL51" s="417">
        <f>INPUT!AL51</f>
        <v>6759.9380000000001</v>
      </c>
      <c r="AM51" s="417">
        <f>INPUT!AM51</f>
        <v>18.44083333</v>
      </c>
      <c r="AN51" s="417">
        <f>INPUT!AN51</f>
        <v>17.19166667</v>
      </c>
      <c r="AO51" s="417">
        <f>INPUT!AO51</f>
        <v>19.883333329999999</v>
      </c>
      <c r="AP51" s="413">
        <f>IF(B51=0,"",IF(BF51=0,90,VLOOKUP(Envoltória!N59,Componentes!T:AB,9,FALSE)))</f>
        <v>90</v>
      </c>
      <c r="AQ51" s="413">
        <f>IF(B51=0,"",IF(BF51=0,90,VLOOKUP(Envoltória!N59,Componentes!T:AB,8,FALSE)))</f>
        <v>90</v>
      </c>
      <c r="AR51" s="413">
        <f t="shared" si="4"/>
        <v>1</v>
      </c>
      <c r="AS51" s="413">
        <f t="shared" si="4"/>
        <v>0</v>
      </c>
      <c r="AT51" s="413">
        <f t="shared" si="4"/>
        <v>0</v>
      </c>
      <c r="AU51" s="413">
        <f t="shared" si="4"/>
        <v>0</v>
      </c>
      <c r="AV51" s="413">
        <f t="shared" si="4"/>
        <v>0</v>
      </c>
      <c r="AW51" s="414">
        <f>INPUT!AW51</f>
        <v>1</v>
      </c>
      <c r="AX51" s="414">
        <f>INPUT!AX51</f>
        <v>0</v>
      </c>
      <c r="AY51" s="414">
        <f>INPUT!AY51</f>
        <v>1</v>
      </c>
      <c r="AZ51" s="414">
        <f>INPUT!AZ51</f>
        <v>0</v>
      </c>
      <c r="BA51" s="414">
        <f>INPUT!BA51</f>
        <v>0</v>
      </c>
      <c r="BB51" s="414">
        <f>INPUT!BB51</f>
        <v>1</v>
      </c>
      <c r="BC51" s="414">
        <f>INPUT!BC51</f>
        <v>1</v>
      </c>
      <c r="BD51" s="414">
        <f>INPUT!BD51</f>
        <v>0</v>
      </c>
      <c r="BE51" s="412">
        <f t="shared" si="2"/>
        <v>1</v>
      </c>
      <c r="BF51" s="412">
        <f>IF(B51=0,"",IFERROR(VLOOKUP(Envoltória!F59,INPUT_REF!$BQ$18:$BR$19,2,FALSE),""))</f>
        <v>0</v>
      </c>
      <c r="BG51" s="412">
        <f>IFERROR(VLOOKUP(Envoltória!$G59,$BQ$35:$BZ$43,BG$9,FALSE),"")</f>
        <v>1</v>
      </c>
      <c r="BH51" s="412">
        <f>IFERROR(VLOOKUP(Envoltória!$G59,$BQ$35:$BZ$43,BH$9,FALSE),"")</f>
        <v>0</v>
      </c>
      <c r="BI51" s="412">
        <f>IFERROR(VLOOKUP(Envoltória!$G59,$BQ$35:$BZ$43,BI$9,FALSE),"")</f>
        <v>0</v>
      </c>
      <c r="BJ51" s="412">
        <f>IFERROR(VLOOKUP(Envoltória!$G59,$BQ$35:$BZ$43,BJ$9,FALSE),"")</f>
        <v>0</v>
      </c>
      <c r="BK51" s="412">
        <f>IFERROR(VLOOKUP(Envoltória!$G59,$BQ$35:$BZ$43,BK$9,FALSE),"")</f>
        <v>0</v>
      </c>
      <c r="BL51" s="412">
        <f>IFERROR(VLOOKUP(Envoltória!$G59,$BQ$35:$BZ$43,BL$9,FALSE),"")</f>
        <v>0</v>
      </c>
      <c r="BM51" s="412">
        <f>IFERROR(VLOOKUP(Envoltória!$G59,$BQ$35:$BZ$43,BM$9,FALSE),"")</f>
        <v>0</v>
      </c>
      <c r="BN51" s="412">
        <f>IFERROR(VLOOKUP(Envoltória!$G59,$BQ$35:$BZ$43,BN$9,FALSE),"")</f>
        <v>0</v>
      </c>
      <c r="BO51" s="412">
        <f>IFERROR(VLOOKUP(Envoltória!$G59,$BQ$35:$BZ$43,BO$9,FALSE),"")</f>
        <v>0</v>
      </c>
    </row>
    <row r="52" spans="1:68" x14ac:dyDescent="0.25">
      <c r="A52" s="1">
        <v>42</v>
      </c>
      <c r="B52" s="409">
        <f>Envoltória!I60</f>
        <v>0</v>
      </c>
      <c r="C52" s="410">
        <f>Envoltória!B60</f>
        <v>0</v>
      </c>
      <c r="D52" s="410">
        <f>Envoltória!C60</f>
        <v>0</v>
      </c>
      <c r="E52" s="411">
        <f>Envoltória!D60</f>
        <v>0</v>
      </c>
      <c r="F52" s="412" t="str">
        <f>IF(B52=0,"",Envoltória!E60)</f>
        <v/>
      </c>
      <c r="G52" s="412" t="str">
        <f t="shared" si="0"/>
        <v/>
      </c>
      <c r="H52" s="413" t="str">
        <f>IF(B52=0,"",IF(Envoltória!O60=0,0,VLOOKUP(B52,Aux_Lista!A:M,13,FALSE)))</f>
        <v/>
      </c>
      <c r="I52" s="413" t="str">
        <f>IF(B52=0,"",IF(BF52=1,VLOOKUP(Envoltória!N60,Componentes!T:AB,7,FALSE),89))</f>
        <v/>
      </c>
      <c r="J52" s="414" t="str">
        <f>IF(B52=0,"",Componentes!$Q$10)</f>
        <v/>
      </c>
      <c r="K52" s="414" t="str">
        <f>IF(B52=0,"",Componentes!$R$10)</f>
        <v/>
      </c>
      <c r="L52" s="413" t="str">
        <f>IF(B52=0,"",IFERROR(IF(BB52&lt;&gt;0,Componentes!$L$11,0),""))</f>
        <v/>
      </c>
      <c r="M52" s="413" t="str">
        <f>IF(B52=0,"",IFERROR(IF(BB52&lt;&gt;0,Componentes!$M$11,0),""))</f>
        <v/>
      </c>
      <c r="N52" s="415" t="str">
        <f>IF(B52=0,"",IFERROR(IF(BB52&lt;&gt;0,Componentes!$N$11,0),""))</f>
        <v/>
      </c>
      <c r="O52" s="413" t="str">
        <f>IF(B52=0,"",IF(BF52=1,Componentes!$C$11,-6))</f>
        <v/>
      </c>
      <c r="P52" s="413" t="str">
        <f>IF(B52=0,"",IF(BF52=1,Componentes!$D$11,-400))</f>
        <v/>
      </c>
      <c r="Q52" s="413" t="str">
        <f>IF(B52=0,"",IF(BF52=1,Componentes!$E$11,0))</f>
        <v/>
      </c>
      <c r="R52" s="414" t="str">
        <f>IF(B52=0,"",Componentes!$H$11)</f>
        <v/>
      </c>
      <c r="S52" s="414" t="str">
        <f>IF(B52=0,"",Componentes!$I$11)</f>
        <v/>
      </c>
      <c r="T52" s="413" t="str">
        <f>IF(B52=0,"",IFERROR(IF(H52&lt;&gt;0,Componentes!$V$11,0),""))</f>
        <v/>
      </c>
      <c r="U52" s="413" t="str">
        <f>IF(B52=0,"",IFERROR(IF(H52&lt;&gt;0,Componentes!$U$11,0),""))</f>
        <v/>
      </c>
      <c r="V52" s="414" t="str">
        <f>IF(B52=0,"",IFERROR(IF(AA52&lt;&gt;0,VLOOKUP(Envoltória!U60,Componentes!X:Z,2,FALSE),0),0))</f>
        <v/>
      </c>
      <c r="W52" s="414" t="str">
        <f>IF(B52=0,"",IFERROR(IF(AA52&lt;&gt;0,Componentes!$AE$11,0),0))</f>
        <v/>
      </c>
      <c r="X52" s="413" t="str">
        <f>IF(B52=0,"",Envoltória!U60)</f>
        <v/>
      </c>
      <c r="Y52" s="413" t="str">
        <f>IF(B52=0,"",VLOOKUP(Início!$C$20,Aux_Lista!A:H,8,FALSE))</f>
        <v/>
      </c>
      <c r="Z52" s="413" t="str">
        <f>IF(B52=0,"",Envoltória!T60)</f>
        <v/>
      </c>
      <c r="AA52" s="416" t="str">
        <f>IF(B52=0,"",Envoltória!Q60/100)</f>
        <v/>
      </c>
      <c r="AB52" s="417" t="str">
        <f>INPUT!AB52</f>
        <v/>
      </c>
      <c r="AC52" s="417" t="str">
        <f>INPUT!AC52</f>
        <v/>
      </c>
      <c r="AD52" s="417" t="str">
        <f>INPUT!AD52</f>
        <v/>
      </c>
      <c r="AE52" s="417" t="str">
        <f>INPUT!AE52</f>
        <v/>
      </c>
      <c r="AF52" s="417" t="str">
        <f>INPUT!AF52</f>
        <v/>
      </c>
      <c r="AG52" s="417" t="str">
        <f>INPUT!AG52</f>
        <v/>
      </c>
      <c r="AH52" s="417" t="str">
        <f>INPUT!AH52</f>
        <v/>
      </c>
      <c r="AI52" s="417" t="str">
        <f>INPUT!AI52</f>
        <v/>
      </c>
      <c r="AJ52" s="417" t="str">
        <f>INPUT!AJ52</f>
        <v/>
      </c>
      <c r="AK52" s="417" t="str">
        <f>INPUT!AK52</f>
        <v/>
      </c>
      <c r="AL52" s="417" t="str">
        <f>INPUT!AL52</f>
        <v/>
      </c>
      <c r="AM52" s="417" t="str">
        <f>INPUT!AM52</f>
        <v/>
      </c>
      <c r="AN52" s="417" t="str">
        <f>INPUT!AN52</f>
        <v/>
      </c>
      <c r="AO52" s="417" t="str">
        <f>INPUT!AO52</f>
        <v/>
      </c>
      <c r="AP52" s="413" t="str">
        <f>IF(B52=0,"",IF(BF52=0,90,VLOOKUP(Envoltória!N60,Componentes!T:AB,9,FALSE)))</f>
        <v/>
      </c>
      <c r="AQ52" s="413" t="str">
        <f>IF(B52=0,"",IF(BF52=0,90,VLOOKUP(Envoltória!N60,Componentes!T:AB,8,FALSE)))</f>
        <v/>
      </c>
      <c r="AR52" s="413" t="str">
        <f t="shared" si="4"/>
        <v/>
      </c>
      <c r="AS52" s="413" t="str">
        <f t="shared" si="4"/>
        <v/>
      </c>
      <c r="AT52" s="413" t="str">
        <f t="shared" si="4"/>
        <v/>
      </c>
      <c r="AU52" s="413" t="str">
        <f t="shared" si="4"/>
        <v/>
      </c>
      <c r="AV52" s="413" t="str">
        <f t="shared" si="4"/>
        <v/>
      </c>
      <c r="AW52" s="414" t="str">
        <f>INPUT!AW52</f>
        <v/>
      </c>
      <c r="AX52" s="414" t="str">
        <f>INPUT!AX52</f>
        <v/>
      </c>
      <c r="AY52" s="414" t="str">
        <f>INPUT!AY52</f>
        <v/>
      </c>
      <c r="AZ52" s="414" t="str">
        <f>INPUT!AZ52</f>
        <v/>
      </c>
      <c r="BA52" s="414" t="str">
        <f>INPUT!BA52</f>
        <v/>
      </c>
      <c r="BB52" s="414" t="str">
        <f>INPUT!BB52</f>
        <v/>
      </c>
      <c r="BC52" s="414" t="str">
        <f>INPUT!BC52</f>
        <v/>
      </c>
      <c r="BD52" s="414" t="str">
        <f>INPUT!BD52</f>
        <v/>
      </c>
      <c r="BE52" s="412" t="str">
        <f t="shared" si="2"/>
        <v/>
      </c>
      <c r="BF52" s="412" t="str">
        <f>IF(B52=0,"",IFERROR(VLOOKUP(Envoltória!F60,INPUT_REF!$BQ$18:$BR$19,2,FALSE),""))</f>
        <v/>
      </c>
      <c r="BG52" s="412" t="str">
        <f>IFERROR(VLOOKUP(Envoltória!$G60,$BQ$35:$BZ$43,BG$9,FALSE),"")</f>
        <v/>
      </c>
      <c r="BH52" s="412" t="str">
        <f>IFERROR(VLOOKUP(Envoltória!$G60,$BQ$35:$BZ$43,BH$9,FALSE),"")</f>
        <v/>
      </c>
      <c r="BI52" s="412" t="str">
        <f>IFERROR(VLOOKUP(Envoltória!$G60,$BQ$35:$BZ$43,BI$9,FALSE),"")</f>
        <v/>
      </c>
      <c r="BJ52" s="412" t="str">
        <f>IFERROR(VLOOKUP(Envoltória!$G60,$BQ$35:$BZ$43,BJ$9,FALSE),"")</f>
        <v/>
      </c>
      <c r="BK52" s="412" t="str">
        <f>IFERROR(VLOOKUP(Envoltória!$G60,$BQ$35:$BZ$43,BK$9,FALSE),"")</f>
        <v/>
      </c>
      <c r="BL52" s="412" t="str">
        <f>IFERROR(VLOOKUP(Envoltória!$G60,$BQ$35:$BZ$43,BL$9,FALSE),"")</f>
        <v/>
      </c>
      <c r="BM52" s="412" t="str">
        <f>IFERROR(VLOOKUP(Envoltória!$G60,$BQ$35:$BZ$43,BM$9,FALSE),"")</f>
        <v/>
      </c>
      <c r="BN52" s="412" t="str">
        <f>IFERROR(VLOOKUP(Envoltória!$G60,$BQ$35:$BZ$43,BN$9,FALSE),"")</f>
        <v/>
      </c>
      <c r="BO52" s="412" t="str">
        <f>IFERROR(VLOOKUP(Envoltória!$G60,$BQ$35:$BZ$43,BO$9,FALSE),"")</f>
        <v/>
      </c>
    </row>
    <row r="53" spans="1:68" x14ac:dyDescent="0.25">
      <c r="A53" s="1">
        <v>43</v>
      </c>
      <c r="B53" s="409">
        <f>Envoltória!I61</f>
        <v>0</v>
      </c>
      <c r="C53" s="410">
        <f>Envoltória!B61</f>
        <v>0</v>
      </c>
      <c r="D53" s="410">
        <f>Envoltória!C61</f>
        <v>0</v>
      </c>
      <c r="E53" s="411">
        <f>Envoltória!D61</f>
        <v>0</v>
      </c>
      <c r="F53" s="412" t="str">
        <f>IF(B53=0,"",Envoltória!E61)</f>
        <v/>
      </c>
      <c r="G53" s="412" t="str">
        <f t="shared" si="0"/>
        <v/>
      </c>
      <c r="H53" s="413" t="str">
        <f>IF(B53=0,"",IF(Envoltória!O61=0,0,VLOOKUP(B53,Aux_Lista!A:M,13,FALSE)))</f>
        <v/>
      </c>
      <c r="I53" s="413" t="str">
        <f>IF(B53=0,"",IF(BF53=1,VLOOKUP(Envoltória!N61,Componentes!T:AB,7,FALSE),89))</f>
        <v/>
      </c>
      <c r="J53" s="414" t="str">
        <f>IF(B53=0,"",Componentes!$Q$10)</f>
        <v/>
      </c>
      <c r="K53" s="414" t="str">
        <f>IF(B53=0,"",Componentes!$R$10)</f>
        <v/>
      </c>
      <c r="L53" s="413" t="str">
        <f>IF(B53=0,"",IFERROR(IF(BB53&lt;&gt;0,Componentes!$L$11,0),""))</f>
        <v/>
      </c>
      <c r="M53" s="413" t="str">
        <f>IF(B53=0,"",IFERROR(IF(BB53&lt;&gt;0,Componentes!$M$11,0),""))</f>
        <v/>
      </c>
      <c r="N53" s="415" t="str">
        <f>IF(B53=0,"",IFERROR(IF(BB53&lt;&gt;0,Componentes!$N$11,0),""))</f>
        <v/>
      </c>
      <c r="O53" s="413" t="str">
        <f>IF(B53=0,"",IF(BF53=1,Componentes!$C$11,-6))</f>
        <v/>
      </c>
      <c r="P53" s="413" t="str">
        <f>IF(B53=0,"",IF(BF53=1,Componentes!$D$11,-400))</f>
        <v/>
      </c>
      <c r="Q53" s="413" t="str">
        <f>IF(B53=0,"",IF(BF53=1,Componentes!$E$11,0))</f>
        <v/>
      </c>
      <c r="R53" s="414" t="str">
        <f>IF(B53=0,"",Componentes!$H$11)</f>
        <v/>
      </c>
      <c r="S53" s="414" t="str">
        <f>IF(B53=0,"",Componentes!$I$11)</f>
        <v/>
      </c>
      <c r="T53" s="413" t="str">
        <f>IF(B53=0,"",IFERROR(IF(H53&lt;&gt;0,Componentes!$V$11,0),""))</f>
        <v/>
      </c>
      <c r="U53" s="413" t="str">
        <f>IF(B53=0,"",IFERROR(IF(H53&lt;&gt;0,Componentes!$U$11,0),""))</f>
        <v/>
      </c>
      <c r="V53" s="414" t="str">
        <f>IF(B53=0,"",IFERROR(IF(AA53&lt;&gt;0,VLOOKUP(Envoltória!U61,Componentes!X:Z,2,FALSE),0),0))</f>
        <v/>
      </c>
      <c r="W53" s="414" t="str">
        <f>IF(B53=0,"",IFERROR(IF(AA53&lt;&gt;0,Componentes!$AE$11,0),0))</f>
        <v/>
      </c>
      <c r="X53" s="413" t="str">
        <f>IF(B53=0,"",Envoltória!U61)</f>
        <v/>
      </c>
      <c r="Y53" s="413" t="str">
        <f>IF(B53=0,"",VLOOKUP(Início!$C$20,Aux_Lista!A:H,8,FALSE))</f>
        <v/>
      </c>
      <c r="Z53" s="413" t="str">
        <f>IF(B53=0,"",Envoltória!T61)</f>
        <v/>
      </c>
      <c r="AA53" s="416" t="str">
        <f>IF(B53=0,"",Envoltória!Q61/100)</f>
        <v/>
      </c>
      <c r="AB53" s="417" t="str">
        <f>INPUT!AB53</f>
        <v/>
      </c>
      <c r="AC53" s="417" t="str">
        <f>INPUT!AC53</f>
        <v/>
      </c>
      <c r="AD53" s="417" t="str">
        <f>INPUT!AD53</f>
        <v/>
      </c>
      <c r="AE53" s="417" t="str">
        <f>INPUT!AE53</f>
        <v/>
      </c>
      <c r="AF53" s="417" t="str">
        <f>INPUT!AF53</f>
        <v/>
      </c>
      <c r="AG53" s="417" t="str">
        <f>INPUT!AG53</f>
        <v/>
      </c>
      <c r="AH53" s="417" t="str">
        <f>INPUT!AH53</f>
        <v/>
      </c>
      <c r="AI53" s="417" t="str">
        <f>INPUT!AI53</f>
        <v/>
      </c>
      <c r="AJ53" s="417" t="str">
        <f>INPUT!AJ53</f>
        <v/>
      </c>
      <c r="AK53" s="417" t="str">
        <f>INPUT!AK53</f>
        <v/>
      </c>
      <c r="AL53" s="417" t="str">
        <f>INPUT!AL53</f>
        <v/>
      </c>
      <c r="AM53" s="417" t="str">
        <f>INPUT!AM53</f>
        <v/>
      </c>
      <c r="AN53" s="417" t="str">
        <f>INPUT!AN53</f>
        <v/>
      </c>
      <c r="AO53" s="417" t="str">
        <f>INPUT!AO53</f>
        <v/>
      </c>
      <c r="AP53" s="413" t="str">
        <f>IF(B53=0,"",IF(BF53=0,90,VLOOKUP(Envoltória!N61,Componentes!T:AB,9,FALSE)))</f>
        <v/>
      </c>
      <c r="AQ53" s="413" t="str">
        <f>IF(B53=0,"",IF(BF53=0,90,VLOOKUP(Envoltória!N61,Componentes!T:AB,8,FALSE)))</f>
        <v/>
      </c>
      <c r="AR53" s="413" t="str">
        <f t="shared" si="4"/>
        <v/>
      </c>
      <c r="AS53" s="413" t="str">
        <f t="shared" si="4"/>
        <v/>
      </c>
      <c r="AT53" s="413" t="str">
        <f t="shared" si="4"/>
        <v/>
      </c>
      <c r="AU53" s="413" t="str">
        <f t="shared" si="4"/>
        <v/>
      </c>
      <c r="AV53" s="413" t="str">
        <f t="shared" si="4"/>
        <v/>
      </c>
      <c r="AW53" s="414" t="str">
        <f>INPUT!AW53</f>
        <v/>
      </c>
      <c r="AX53" s="414" t="str">
        <f>INPUT!AX53</f>
        <v/>
      </c>
      <c r="AY53" s="414" t="str">
        <f>INPUT!AY53</f>
        <v/>
      </c>
      <c r="AZ53" s="414" t="str">
        <f>INPUT!AZ53</f>
        <v/>
      </c>
      <c r="BA53" s="414" t="str">
        <f>INPUT!BA53</f>
        <v/>
      </c>
      <c r="BB53" s="414" t="str">
        <f>INPUT!BB53</f>
        <v/>
      </c>
      <c r="BC53" s="414" t="str">
        <f>INPUT!BC53</f>
        <v/>
      </c>
      <c r="BD53" s="414" t="str">
        <f>INPUT!BD53</f>
        <v/>
      </c>
      <c r="BE53" s="412" t="str">
        <f t="shared" si="2"/>
        <v/>
      </c>
      <c r="BF53" s="412" t="str">
        <f>IF(B53=0,"",IFERROR(VLOOKUP(Envoltória!F61,INPUT_REF!$BQ$18:$BR$19,2,FALSE),""))</f>
        <v/>
      </c>
      <c r="BG53" s="412" t="str">
        <f>IFERROR(VLOOKUP(Envoltória!$G61,$BQ$35:$BZ$43,BG$9,FALSE),"")</f>
        <v/>
      </c>
      <c r="BH53" s="412" t="str">
        <f>IFERROR(VLOOKUP(Envoltória!$G61,$BQ$35:$BZ$43,BH$9,FALSE),"")</f>
        <v/>
      </c>
      <c r="BI53" s="412" t="str">
        <f>IFERROR(VLOOKUP(Envoltória!$G61,$BQ$35:$BZ$43,BI$9,FALSE),"")</f>
        <v/>
      </c>
      <c r="BJ53" s="412" t="str">
        <f>IFERROR(VLOOKUP(Envoltória!$G61,$BQ$35:$BZ$43,BJ$9,FALSE),"")</f>
        <v/>
      </c>
      <c r="BK53" s="412" t="str">
        <f>IFERROR(VLOOKUP(Envoltória!$G61,$BQ$35:$BZ$43,BK$9,FALSE),"")</f>
        <v/>
      </c>
      <c r="BL53" s="412" t="str">
        <f>IFERROR(VLOOKUP(Envoltória!$G61,$BQ$35:$BZ$43,BL$9,FALSE),"")</f>
        <v/>
      </c>
      <c r="BM53" s="412" t="str">
        <f>IFERROR(VLOOKUP(Envoltória!$G61,$BQ$35:$BZ$43,BM$9,FALSE),"")</f>
        <v/>
      </c>
      <c r="BN53" s="412" t="str">
        <f>IFERROR(VLOOKUP(Envoltória!$G61,$BQ$35:$BZ$43,BN$9,FALSE),"")</f>
        <v/>
      </c>
      <c r="BO53" s="412" t="str">
        <f>IFERROR(VLOOKUP(Envoltória!$G61,$BQ$35:$BZ$43,BO$9,FALSE),"")</f>
        <v/>
      </c>
    </row>
    <row r="54" spans="1:68" x14ac:dyDescent="0.25">
      <c r="A54" s="1">
        <v>44</v>
      </c>
      <c r="B54" s="409">
        <f>Envoltória!I62</f>
        <v>0</v>
      </c>
      <c r="C54" s="410">
        <f>Envoltória!B62</f>
        <v>0</v>
      </c>
      <c r="D54" s="410">
        <f>Envoltória!C62</f>
        <v>0</v>
      </c>
      <c r="E54" s="411">
        <f>Envoltória!D62</f>
        <v>0</v>
      </c>
      <c r="F54" s="412" t="str">
        <f>IF(B54=0,"",Envoltória!E62)</f>
        <v/>
      </c>
      <c r="G54" s="412" t="str">
        <f t="shared" si="0"/>
        <v/>
      </c>
      <c r="H54" s="413" t="str">
        <f>IF(B54=0,"",IF(Envoltória!O62=0,0,VLOOKUP(B54,Aux_Lista!A:M,13,FALSE)))</f>
        <v/>
      </c>
      <c r="I54" s="413" t="str">
        <f>IF(B54=0,"",IF(BF54=1,VLOOKUP(Envoltória!N62,Componentes!T:AB,7,FALSE),89))</f>
        <v/>
      </c>
      <c r="J54" s="414" t="str">
        <f>IF(B54=0,"",Componentes!$Q$10)</f>
        <v/>
      </c>
      <c r="K54" s="414" t="str">
        <f>IF(B54=0,"",Componentes!$R$10)</f>
        <v/>
      </c>
      <c r="L54" s="413" t="str">
        <f>IF(B54=0,"",IFERROR(IF(BB54&lt;&gt;0,Componentes!$L$11,0),""))</f>
        <v/>
      </c>
      <c r="M54" s="413" t="str">
        <f>IF(B54=0,"",IFERROR(IF(BB54&lt;&gt;0,Componentes!$M$11,0),""))</f>
        <v/>
      </c>
      <c r="N54" s="415" t="str">
        <f>IF(B54=0,"",IFERROR(IF(BB54&lt;&gt;0,Componentes!$N$11,0),""))</f>
        <v/>
      </c>
      <c r="O54" s="413" t="str">
        <f>IF(B54=0,"",IF(BF54=1,Componentes!$C$11,-6))</f>
        <v/>
      </c>
      <c r="P54" s="413" t="str">
        <f>IF(B54=0,"",IF(BF54=1,Componentes!$D$11,-400))</f>
        <v/>
      </c>
      <c r="Q54" s="413" t="str">
        <f>IF(B54=0,"",IF(BF54=1,Componentes!$E$11,0))</f>
        <v/>
      </c>
      <c r="R54" s="414" t="str">
        <f>IF(B54=0,"",Componentes!$H$11)</f>
        <v/>
      </c>
      <c r="S54" s="414" t="str">
        <f>IF(B54=0,"",Componentes!$I$11)</f>
        <v/>
      </c>
      <c r="T54" s="413" t="str">
        <f>IF(B54=0,"",IFERROR(IF(H54&lt;&gt;0,Componentes!$V$11,0),""))</f>
        <v/>
      </c>
      <c r="U54" s="413" t="str">
        <f>IF(B54=0,"",IFERROR(IF(H54&lt;&gt;0,Componentes!$U$11,0),""))</f>
        <v/>
      </c>
      <c r="V54" s="414" t="str">
        <f>IF(B54=0,"",IFERROR(IF(AA54&lt;&gt;0,VLOOKUP(Envoltória!U62,Componentes!X:Z,2,FALSE),0),0))</f>
        <v/>
      </c>
      <c r="W54" s="414" t="str">
        <f>IF(B54=0,"",IFERROR(IF(AA54&lt;&gt;0,Componentes!$AE$11,0),0))</f>
        <v/>
      </c>
      <c r="X54" s="413" t="str">
        <f>IF(B54=0,"",Envoltória!U62)</f>
        <v/>
      </c>
      <c r="Y54" s="413" t="str">
        <f>IF(B54=0,"",VLOOKUP(Início!$C$20,Aux_Lista!A:H,8,FALSE))</f>
        <v/>
      </c>
      <c r="Z54" s="413" t="str">
        <f>IF(B54=0,"",Envoltória!T62)</f>
        <v/>
      </c>
      <c r="AA54" s="416" t="str">
        <f>IF(B54=0,"",Envoltória!Q62/100)</f>
        <v/>
      </c>
      <c r="AB54" s="417" t="str">
        <f>INPUT!AB54</f>
        <v/>
      </c>
      <c r="AC54" s="417" t="str">
        <f>INPUT!AC54</f>
        <v/>
      </c>
      <c r="AD54" s="417" t="str">
        <f>INPUT!AD54</f>
        <v/>
      </c>
      <c r="AE54" s="417" t="str">
        <f>INPUT!AE54</f>
        <v/>
      </c>
      <c r="AF54" s="417" t="str">
        <f>INPUT!AF54</f>
        <v/>
      </c>
      <c r="AG54" s="417" t="str">
        <f>INPUT!AG54</f>
        <v/>
      </c>
      <c r="AH54" s="417" t="str">
        <f>INPUT!AH54</f>
        <v/>
      </c>
      <c r="AI54" s="417" t="str">
        <f>INPUT!AI54</f>
        <v/>
      </c>
      <c r="AJ54" s="417" t="str">
        <f>INPUT!AJ54</f>
        <v/>
      </c>
      <c r="AK54" s="417" t="str">
        <f>INPUT!AK54</f>
        <v/>
      </c>
      <c r="AL54" s="417" t="str">
        <f>INPUT!AL54</f>
        <v/>
      </c>
      <c r="AM54" s="417" t="str">
        <f>INPUT!AM54</f>
        <v/>
      </c>
      <c r="AN54" s="417" t="str">
        <f>INPUT!AN54</f>
        <v/>
      </c>
      <c r="AO54" s="417" t="str">
        <f>INPUT!AO54</f>
        <v/>
      </c>
      <c r="AP54" s="413" t="str">
        <f>IF(B54=0,"",IF(BF54=0,90,VLOOKUP(Envoltória!N62,Componentes!T:AB,9,FALSE)))</f>
        <v/>
      </c>
      <c r="AQ54" s="413" t="str">
        <f>IF(B54=0,"",IF(BF54=0,90,VLOOKUP(Envoltória!N62,Componentes!T:AB,8,FALSE)))</f>
        <v/>
      </c>
      <c r="AR54" s="413" t="str">
        <f t="shared" si="4"/>
        <v/>
      </c>
      <c r="AS54" s="413" t="str">
        <f t="shared" si="4"/>
        <v/>
      </c>
      <c r="AT54" s="413" t="str">
        <f t="shared" si="4"/>
        <v/>
      </c>
      <c r="AU54" s="413" t="str">
        <f t="shared" si="4"/>
        <v/>
      </c>
      <c r="AV54" s="413" t="str">
        <f t="shared" si="4"/>
        <v/>
      </c>
      <c r="AW54" s="414" t="str">
        <f>INPUT!AW54</f>
        <v/>
      </c>
      <c r="AX54" s="414" t="str">
        <f>INPUT!AX54</f>
        <v/>
      </c>
      <c r="AY54" s="414" t="str">
        <f>INPUT!AY54</f>
        <v/>
      </c>
      <c r="AZ54" s="414" t="str">
        <f>INPUT!AZ54</f>
        <v/>
      </c>
      <c r="BA54" s="414" t="str">
        <f>INPUT!BA54</f>
        <v/>
      </c>
      <c r="BB54" s="414" t="str">
        <f>INPUT!BB54</f>
        <v/>
      </c>
      <c r="BC54" s="414" t="str">
        <f>INPUT!BC54</f>
        <v/>
      </c>
      <c r="BD54" s="414" t="str">
        <f>INPUT!BD54</f>
        <v/>
      </c>
      <c r="BE54" s="412" t="str">
        <f t="shared" si="2"/>
        <v/>
      </c>
      <c r="BF54" s="412" t="str">
        <f>IF(B54=0,"",IFERROR(VLOOKUP(Envoltória!F62,INPUT_REF!$BQ$18:$BR$19,2,FALSE),""))</f>
        <v/>
      </c>
      <c r="BG54" s="412" t="str">
        <f>IFERROR(VLOOKUP(Envoltória!$G62,$BQ$35:$BZ$43,BG$9,FALSE),"")</f>
        <v/>
      </c>
      <c r="BH54" s="412" t="str">
        <f>IFERROR(VLOOKUP(Envoltória!$G62,$BQ$35:$BZ$43,BH$9,FALSE),"")</f>
        <v/>
      </c>
      <c r="BI54" s="412" t="str">
        <f>IFERROR(VLOOKUP(Envoltória!$G62,$BQ$35:$BZ$43,BI$9,FALSE),"")</f>
        <v/>
      </c>
      <c r="BJ54" s="412" t="str">
        <f>IFERROR(VLOOKUP(Envoltória!$G62,$BQ$35:$BZ$43,BJ$9,FALSE),"")</f>
        <v/>
      </c>
      <c r="BK54" s="412" t="str">
        <f>IFERROR(VLOOKUP(Envoltória!$G62,$BQ$35:$BZ$43,BK$9,FALSE),"")</f>
        <v/>
      </c>
      <c r="BL54" s="412" t="str">
        <f>IFERROR(VLOOKUP(Envoltória!$G62,$BQ$35:$BZ$43,BL$9,FALSE),"")</f>
        <v/>
      </c>
      <c r="BM54" s="412" t="str">
        <f>IFERROR(VLOOKUP(Envoltória!$G62,$BQ$35:$BZ$43,BM$9,FALSE),"")</f>
        <v/>
      </c>
      <c r="BN54" s="412" t="str">
        <f>IFERROR(VLOOKUP(Envoltória!$G62,$BQ$35:$BZ$43,BN$9,FALSE),"")</f>
        <v/>
      </c>
      <c r="BO54" s="412" t="str">
        <f>IFERROR(VLOOKUP(Envoltória!$G62,$BQ$35:$BZ$43,BO$9,FALSE),"")</f>
        <v/>
      </c>
    </row>
    <row r="55" spans="1:68" x14ac:dyDescent="0.25">
      <c r="A55" s="1">
        <v>45</v>
      </c>
      <c r="B55" s="409">
        <f>Envoltória!I63</f>
        <v>0</v>
      </c>
      <c r="C55" s="410">
        <f>Envoltória!B63</f>
        <v>0</v>
      </c>
      <c r="D55" s="410">
        <f>Envoltória!C63</f>
        <v>0</v>
      </c>
      <c r="E55" s="411">
        <f>Envoltória!D63</f>
        <v>0</v>
      </c>
      <c r="F55" s="412" t="str">
        <f>IF(B55=0,"",Envoltória!E63)</f>
        <v/>
      </c>
      <c r="G55" s="412" t="str">
        <f t="shared" si="0"/>
        <v/>
      </c>
      <c r="H55" s="413" t="str">
        <f>IF(B55=0,"",IF(Envoltória!O63=0,0,VLOOKUP(B55,Aux_Lista!A:M,13,FALSE)))</f>
        <v/>
      </c>
      <c r="I55" s="413" t="str">
        <f>IF(B55=0,"",IF(BF55=1,VLOOKUP(Envoltória!N63,Componentes!T:AB,7,FALSE),89))</f>
        <v/>
      </c>
      <c r="J55" s="414" t="str">
        <f>IF(B55=0,"",Componentes!$Q$10)</f>
        <v/>
      </c>
      <c r="K55" s="414" t="str">
        <f>IF(B55=0,"",Componentes!$R$10)</f>
        <v/>
      </c>
      <c r="L55" s="413" t="str">
        <f>IF(B55=0,"",IFERROR(IF(BB55&lt;&gt;0,Componentes!$L$11,0),""))</f>
        <v/>
      </c>
      <c r="M55" s="413" t="str">
        <f>IF(B55=0,"",IFERROR(IF(BB55&lt;&gt;0,Componentes!$M$11,0),""))</f>
        <v/>
      </c>
      <c r="N55" s="415" t="str">
        <f>IF(B55=0,"",IFERROR(IF(BB55&lt;&gt;0,Componentes!$N$11,0),""))</f>
        <v/>
      </c>
      <c r="O55" s="413" t="str">
        <f>IF(B55=0,"",IF(BF55=1,Componentes!$C$11,-6))</f>
        <v/>
      </c>
      <c r="P55" s="413" t="str">
        <f>IF(B55=0,"",IF(BF55=1,Componentes!$D$11,-400))</f>
        <v/>
      </c>
      <c r="Q55" s="413" t="str">
        <f>IF(B55=0,"",IF(BF55=1,Componentes!$E$11,0))</f>
        <v/>
      </c>
      <c r="R55" s="414" t="str">
        <f>IF(B55=0,"",Componentes!$H$11)</f>
        <v/>
      </c>
      <c r="S55" s="414" t="str">
        <f>IF(B55=0,"",Componentes!$I$11)</f>
        <v/>
      </c>
      <c r="T55" s="413" t="str">
        <f>IF(B55=0,"",IFERROR(IF(H55&lt;&gt;0,Componentes!$V$11,0),""))</f>
        <v/>
      </c>
      <c r="U55" s="413" t="str">
        <f>IF(B55=0,"",IFERROR(IF(H55&lt;&gt;0,Componentes!$U$11,0),""))</f>
        <v/>
      </c>
      <c r="V55" s="414" t="str">
        <f>IF(B55=0,"",IFERROR(IF(AA55&lt;&gt;0,VLOOKUP(Envoltória!U63,Componentes!X:Z,2,FALSE),0),0))</f>
        <v/>
      </c>
      <c r="W55" s="414" t="str">
        <f>IF(B55=0,"",IFERROR(IF(AA55&lt;&gt;0,Componentes!$AE$11,0),0))</f>
        <v/>
      </c>
      <c r="X55" s="413" t="str">
        <f>IF(B55=0,"",Envoltória!U63)</f>
        <v/>
      </c>
      <c r="Y55" s="413" t="str">
        <f>IF(B55=0,"",VLOOKUP(Início!$C$20,Aux_Lista!A:H,8,FALSE))</f>
        <v/>
      </c>
      <c r="Z55" s="413" t="str">
        <f>IF(B55=0,"",Envoltória!T63)</f>
        <v/>
      </c>
      <c r="AA55" s="416" t="str">
        <f>IF(B55=0,"",Envoltória!Q63/100)</f>
        <v/>
      </c>
      <c r="AB55" s="417" t="str">
        <f>INPUT!AB55</f>
        <v/>
      </c>
      <c r="AC55" s="417" t="str">
        <f>INPUT!AC55</f>
        <v/>
      </c>
      <c r="AD55" s="417" t="str">
        <f>INPUT!AD55</f>
        <v/>
      </c>
      <c r="AE55" s="417" t="str">
        <f>INPUT!AE55</f>
        <v/>
      </c>
      <c r="AF55" s="417" t="str">
        <f>INPUT!AF55</f>
        <v/>
      </c>
      <c r="AG55" s="417" t="str">
        <f>INPUT!AG55</f>
        <v/>
      </c>
      <c r="AH55" s="417" t="str">
        <f>INPUT!AH55</f>
        <v/>
      </c>
      <c r="AI55" s="417" t="str">
        <f>INPUT!AI55</f>
        <v/>
      </c>
      <c r="AJ55" s="417" t="str">
        <f>INPUT!AJ55</f>
        <v/>
      </c>
      <c r="AK55" s="417" t="str">
        <f>INPUT!AK55</f>
        <v/>
      </c>
      <c r="AL55" s="417" t="str">
        <f>INPUT!AL55</f>
        <v/>
      </c>
      <c r="AM55" s="417" t="str">
        <f>INPUT!AM55</f>
        <v/>
      </c>
      <c r="AN55" s="417" t="str">
        <f>INPUT!AN55</f>
        <v/>
      </c>
      <c r="AO55" s="417" t="str">
        <f>INPUT!AO55</f>
        <v/>
      </c>
      <c r="AP55" s="413" t="str">
        <f>IF(B55=0,"",IF(BF55=0,90,VLOOKUP(Envoltória!N63,Componentes!T:AB,9,FALSE)))</f>
        <v/>
      </c>
      <c r="AQ55" s="413" t="str">
        <f>IF(B55=0,"",IF(BF55=0,90,VLOOKUP(Envoltória!N63,Componentes!T:AB,8,FALSE)))</f>
        <v/>
      </c>
      <c r="AR55" s="413" t="str">
        <f t="shared" si="4"/>
        <v/>
      </c>
      <c r="AS55" s="413" t="str">
        <f t="shared" si="4"/>
        <v/>
      </c>
      <c r="AT55" s="413" t="str">
        <f t="shared" si="4"/>
        <v/>
      </c>
      <c r="AU55" s="413" t="str">
        <f t="shared" si="4"/>
        <v/>
      </c>
      <c r="AV55" s="413" t="str">
        <f t="shared" si="4"/>
        <v/>
      </c>
      <c r="AW55" s="414" t="str">
        <f>INPUT!AW55</f>
        <v/>
      </c>
      <c r="AX55" s="414" t="str">
        <f>INPUT!AX55</f>
        <v/>
      </c>
      <c r="AY55" s="414" t="str">
        <f>INPUT!AY55</f>
        <v/>
      </c>
      <c r="AZ55" s="414" t="str">
        <f>INPUT!AZ55</f>
        <v/>
      </c>
      <c r="BA55" s="414" t="str">
        <f>INPUT!BA55</f>
        <v/>
      </c>
      <c r="BB55" s="414" t="str">
        <f>INPUT!BB55</f>
        <v/>
      </c>
      <c r="BC55" s="414" t="str">
        <f>INPUT!BC55</f>
        <v/>
      </c>
      <c r="BD55" s="414" t="str">
        <f>INPUT!BD55</f>
        <v/>
      </c>
      <c r="BE55" s="412" t="str">
        <f t="shared" si="2"/>
        <v/>
      </c>
      <c r="BF55" s="412" t="str">
        <f>IF(B55=0,"",IFERROR(VLOOKUP(Envoltória!F63,INPUT_REF!$BQ$18:$BR$19,2,FALSE),""))</f>
        <v/>
      </c>
      <c r="BG55" s="412" t="str">
        <f>IFERROR(VLOOKUP(Envoltória!$G63,$BQ$35:$BZ$43,BG$9,FALSE),"")</f>
        <v/>
      </c>
      <c r="BH55" s="412" t="str">
        <f>IFERROR(VLOOKUP(Envoltória!$G63,$BQ$35:$BZ$43,BH$9,FALSE),"")</f>
        <v/>
      </c>
      <c r="BI55" s="412" t="str">
        <f>IFERROR(VLOOKUP(Envoltória!$G63,$BQ$35:$BZ$43,BI$9,FALSE),"")</f>
        <v/>
      </c>
      <c r="BJ55" s="412" t="str">
        <f>IFERROR(VLOOKUP(Envoltória!$G63,$BQ$35:$BZ$43,BJ$9,FALSE),"")</f>
        <v/>
      </c>
      <c r="BK55" s="412" t="str">
        <f>IFERROR(VLOOKUP(Envoltória!$G63,$BQ$35:$BZ$43,BK$9,FALSE),"")</f>
        <v/>
      </c>
      <c r="BL55" s="412" t="str">
        <f>IFERROR(VLOOKUP(Envoltória!$G63,$BQ$35:$BZ$43,BL$9,FALSE),"")</f>
        <v/>
      </c>
      <c r="BM55" s="412" t="str">
        <f>IFERROR(VLOOKUP(Envoltória!$G63,$BQ$35:$BZ$43,BM$9,FALSE),"")</f>
        <v/>
      </c>
      <c r="BN55" s="412" t="str">
        <f>IFERROR(VLOOKUP(Envoltória!$G63,$BQ$35:$BZ$43,BN$9,FALSE),"")</f>
        <v/>
      </c>
      <c r="BO55" s="412" t="str">
        <f>IFERROR(VLOOKUP(Envoltória!$G63,$BQ$35:$BZ$43,BO$9,FALSE),"")</f>
        <v/>
      </c>
    </row>
    <row r="56" spans="1:68" x14ac:dyDescent="0.25">
      <c r="A56" s="1">
        <v>46</v>
      </c>
      <c r="B56" s="409">
        <f>Envoltória!I64</f>
        <v>0</v>
      </c>
      <c r="C56" s="410">
        <f>Envoltória!B64</f>
        <v>0</v>
      </c>
      <c r="D56" s="410">
        <f>Envoltória!C64</f>
        <v>0</v>
      </c>
      <c r="E56" s="411">
        <f>Envoltória!D64</f>
        <v>0</v>
      </c>
      <c r="F56" s="412" t="str">
        <f>IF(B56=0,"",Envoltória!E64)</f>
        <v/>
      </c>
      <c r="G56" s="412" t="str">
        <f t="shared" si="0"/>
        <v/>
      </c>
      <c r="H56" s="413" t="str">
        <f>IF(B56=0,"",IF(Envoltória!O64=0,0,VLOOKUP(B56,Aux_Lista!A:M,13,FALSE)))</f>
        <v/>
      </c>
      <c r="I56" s="413" t="str">
        <f>IF(B56=0,"",IF(BF56=1,VLOOKUP(Envoltória!N64,Componentes!T:AB,7,FALSE),89))</f>
        <v/>
      </c>
      <c r="J56" s="414" t="str">
        <f>IF(B56=0,"",Componentes!$Q$10)</f>
        <v/>
      </c>
      <c r="K56" s="414" t="str">
        <f>IF(B56=0,"",Componentes!$R$10)</f>
        <v/>
      </c>
      <c r="L56" s="413" t="str">
        <f>IF(B56=0,"",IFERROR(IF(BB56&lt;&gt;0,Componentes!$L$11,0),""))</f>
        <v/>
      </c>
      <c r="M56" s="413" t="str">
        <f>IF(B56=0,"",IFERROR(IF(BB56&lt;&gt;0,Componentes!$M$11,0),""))</f>
        <v/>
      </c>
      <c r="N56" s="415" t="str">
        <f>IF(B56=0,"",IFERROR(IF(BB56&lt;&gt;0,Componentes!$N$11,0),""))</f>
        <v/>
      </c>
      <c r="O56" s="413" t="str">
        <f>IF(B56=0,"",IF(BF56=1,Componentes!$C$11,-6))</f>
        <v/>
      </c>
      <c r="P56" s="413" t="str">
        <f>IF(B56=0,"",IF(BF56=1,Componentes!$D$11,-400))</f>
        <v/>
      </c>
      <c r="Q56" s="413" t="str">
        <f>IF(B56=0,"",IF(BF56=1,Componentes!$E$11,0))</f>
        <v/>
      </c>
      <c r="R56" s="414" t="str">
        <f>IF(B56=0,"",Componentes!$H$11)</f>
        <v/>
      </c>
      <c r="S56" s="414" t="str">
        <f>IF(B56=0,"",Componentes!$I$11)</f>
        <v/>
      </c>
      <c r="T56" s="413" t="str">
        <f>IF(B56=0,"",IFERROR(IF(H56&lt;&gt;0,Componentes!$V$11,0),""))</f>
        <v/>
      </c>
      <c r="U56" s="413" t="str">
        <f>IF(B56=0,"",IFERROR(IF(H56&lt;&gt;0,Componentes!$U$11,0),""))</f>
        <v/>
      </c>
      <c r="V56" s="414" t="str">
        <f>IF(B56=0,"",IFERROR(IF(AA56&lt;&gt;0,VLOOKUP(Envoltória!U64,Componentes!X:Z,2,FALSE),0),0))</f>
        <v/>
      </c>
      <c r="W56" s="414" t="str">
        <f>IF(B56=0,"",IFERROR(IF(AA56&lt;&gt;0,Componentes!$AE$11,0),0))</f>
        <v/>
      </c>
      <c r="X56" s="413" t="str">
        <f>IF(B56=0,"",Envoltória!U64)</f>
        <v/>
      </c>
      <c r="Y56" s="413" t="str">
        <f>IF(B56=0,"",VLOOKUP(Início!$C$20,Aux_Lista!A:H,8,FALSE))</f>
        <v/>
      </c>
      <c r="Z56" s="413" t="str">
        <f>IF(B56=0,"",Envoltória!T64)</f>
        <v/>
      </c>
      <c r="AA56" s="416" t="str">
        <f>IF(B56=0,"",Envoltória!Q64/100)</f>
        <v/>
      </c>
      <c r="AB56" s="417" t="str">
        <f>INPUT!AB56</f>
        <v/>
      </c>
      <c r="AC56" s="417" t="str">
        <f>INPUT!AC56</f>
        <v/>
      </c>
      <c r="AD56" s="417" t="str">
        <f>INPUT!AD56</f>
        <v/>
      </c>
      <c r="AE56" s="417" t="str">
        <f>INPUT!AE56</f>
        <v/>
      </c>
      <c r="AF56" s="417" t="str">
        <f>INPUT!AF56</f>
        <v/>
      </c>
      <c r="AG56" s="417" t="str">
        <f>INPUT!AG56</f>
        <v/>
      </c>
      <c r="AH56" s="417" t="str">
        <f>INPUT!AH56</f>
        <v/>
      </c>
      <c r="AI56" s="417" t="str">
        <f>INPUT!AI56</f>
        <v/>
      </c>
      <c r="AJ56" s="417" t="str">
        <f>INPUT!AJ56</f>
        <v/>
      </c>
      <c r="AK56" s="417" t="str">
        <f>INPUT!AK56</f>
        <v/>
      </c>
      <c r="AL56" s="417" t="str">
        <f>INPUT!AL56</f>
        <v/>
      </c>
      <c r="AM56" s="417" t="str">
        <f>INPUT!AM56</f>
        <v/>
      </c>
      <c r="AN56" s="417" t="str">
        <f>INPUT!AN56</f>
        <v/>
      </c>
      <c r="AO56" s="417" t="str">
        <f>INPUT!AO56</f>
        <v/>
      </c>
      <c r="AP56" s="413" t="str">
        <f>IF(B56=0,"",IF(BF56=0,90,VLOOKUP(Envoltória!N64,Componentes!T:AB,9,FALSE)))</f>
        <v/>
      </c>
      <c r="AQ56" s="413" t="str">
        <f>IF(B56=0,"",IF(BF56=0,90,VLOOKUP(Envoltória!N64,Componentes!T:AB,8,FALSE)))</f>
        <v/>
      </c>
      <c r="AR56" s="413" t="str">
        <f t="shared" si="4"/>
        <v/>
      </c>
      <c r="AS56" s="413" t="str">
        <f t="shared" si="4"/>
        <v/>
      </c>
      <c r="AT56" s="413" t="str">
        <f t="shared" si="4"/>
        <v/>
      </c>
      <c r="AU56" s="413" t="str">
        <f t="shared" si="4"/>
        <v/>
      </c>
      <c r="AV56" s="413" t="str">
        <f t="shared" si="4"/>
        <v/>
      </c>
      <c r="AW56" s="414" t="str">
        <f>INPUT!AW56</f>
        <v/>
      </c>
      <c r="AX56" s="414" t="str">
        <f>INPUT!AX56</f>
        <v/>
      </c>
      <c r="AY56" s="414" t="str">
        <f>INPUT!AY56</f>
        <v/>
      </c>
      <c r="AZ56" s="414" t="str">
        <f>INPUT!AZ56</f>
        <v/>
      </c>
      <c r="BA56" s="414" t="str">
        <f>INPUT!BA56</f>
        <v/>
      </c>
      <c r="BB56" s="414" t="str">
        <f>INPUT!BB56</f>
        <v/>
      </c>
      <c r="BC56" s="414" t="str">
        <f>INPUT!BC56</f>
        <v/>
      </c>
      <c r="BD56" s="414" t="str">
        <f>INPUT!BD56</f>
        <v/>
      </c>
      <c r="BE56" s="412" t="str">
        <f t="shared" si="2"/>
        <v/>
      </c>
      <c r="BF56" s="412" t="str">
        <f>IF(B56=0,"",IFERROR(VLOOKUP(Envoltória!F64,INPUT_REF!$BQ$18:$BR$19,2,FALSE),""))</f>
        <v/>
      </c>
      <c r="BG56" s="412" t="str">
        <f>IFERROR(VLOOKUP(Envoltória!$G64,$BQ$35:$BZ$43,BG$9,FALSE),"")</f>
        <v/>
      </c>
      <c r="BH56" s="412" t="str">
        <f>IFERROR(VLOOKUP(Envoltória!$G64,$BQ$35:$BZ$43,BH$9,FALSE),"")</f>
        <v/>
      </c>
      <c r="BI56" s="412" t="str">
        <f>IFERROR(VLOOKUP(Envoltória!$G64,$BQ$35:$BZ$43,BI$9,FALSE),"")</f>
        <v/>
      </c>
      <c r="BJ56" s="412" t="str">
        <f>IFERROR(VLOOKUP(Envoltória!$G64,$BQ$35:$BZ$43,BJ$9,FALSE),"")</f>
        <v/>
      </c>
      <c r="BK56" s="412" t="str">
        <f>IFERROR(VLOOKUP(Envoltória!$G64,$BQ$35:$BZ$43,BK$9,FALSE),"")</f>
        <v/>
      </c>
      <c r="BL56" s="412" t="str">
        <f>IFERROR(VLOOKUP(Envoltória!$G64,$BQ$35:$BZ$43,BL$9,FALSE),"")</f>
        <v/>
      </c>
      <c r="BM56" s="412" t="str">
        <f>IFERROR(VLOOKUP(Envoltória!$G64,$BQ$35:$BZ$43,BM$9,FALSE),"")</f>
        <v/>
      </c>
      <c r="BN56" s="412" t="str">
        <f>IFERROR(VLOOKUP(Envoltória!$G64,$BQ$35:$BZ$43,BN$9,FALSE),"")</f>
        <v/>
      </c>
      <c r="BO56" s="412" t="str">
        <f>IFERROR(VLOOKUP(Envoltória!$G64,$BQ$35:$BZ$43,BO$9,FALSE),"")</f>
        <v/>
      </c>
    </row>
    <row r="57" spans="1:68" x14ac:dyDescent="0.25">
      <c r="A57" s="1">
        <v>47</v>
      </c>
      <c r="B57" s="409">
        <f>Envoltória!I65</f>
        <v>0</v>
      </c>
      <c r="C57" s="410">
        <f>Envoltória!B65</f>
        <v>0</v>
      </c>
      <c r="D57" s="410">
        <f>Envoltória!C65</f>
        <v>0</v>
      </c>
      <c r="E57" s="411">
        <f>Envoltória!D65</f>
        <v>0</v>
      </c>
      <c r="F57" s="412" t="str">
        <f>IF(B57=0,"",Envoltória!E65)</f>
        <v/>
      </c>
      <c r="G57" s="412" t="str">
        <f t="shared" si="0"/>
        <v/>
      </c>
      <c r="H57" s="413" t="str">
        <f>IF(B57=0,"",IF(Envoltória!O65=0,0,VLOOKUP(B57,Aux_Lista!A:M,13,FALSE)))</f>
        <v/>
      </c>
      <c r="I57" s="413" t="str">
        <f>IF(B57=0,"",IF(BF57=1,VLOOKUP(Envoltória!N65,Componentes!T:AB,7,FALSE),89))</f>
        <v/>
      </c>
      <c r="J57" s="414" t="str">
        <f>IF(B57=0,"",Componentes!$Q$10)</f>
        <v/>
      </c>
      <c r="K57" s="414" t="str">
        <f>IF(B57=0,"",Componentes!$R$10)</f>
        <v/>
      </c>
      <c r="L57" s="413" t="str">
        <f>IF(B57=0,"",IFERROR(IF(BB57&lt;&gt;0,Componentes!$L$11,0),""))</f>
        <v/>
      </c>
      <c r="M57" s="413" t="str">
        <f>IF(B57=0,"",IFERROR(IF(BB57&lt;&gt;0,Componentes!$M$11,0),""))</f>
        <v/>
      </c>
      <c r="N57" s="415" t="str">
        <f>IF(B57=0,"",IFERROR(IF(BB57&lt;&gt;0,Componentes!$N$11,0),""))</f>
        <v/>
      </c>
      <c r="O57" s="413" t="str">
        <f>IF(B57=0,"",IF(BF57=1,Componentes!$C$11,-6))</f>
        <v/>
      </c>
      <c r="P57" s="413" t="str">
        <f>IF(B57=0,"",IF(BF57=1,Componentes!$D$11,-400))</f>
        <v/>
      </c>
      <c r="Q57" s="413" t="str">
        <f>IF(B57=0,"",IF(BF57=1,Componentes!$E$11,0))</f>
        <v/>
      </c>
      <c r="R57" s="414" t="str">
        <f>IF(B57=0,"",Componentes!$H$11)</f>
        <v/>
      </c>
      <c r="S57" s="414" t="str">
        <f>IF(B57=0,"",Componentes!$I$11)</f>
        <v/>
      </c>
      <c r="T57" s="413" t="str">
        <f>IF(B57=0,"",IFERROR(IF(H57&lt;&gt;0,Componentes!$V$11,0),""))</f>
        <v/>
      </c>
      <c r="U57" s="413" t="str">
        <f>IF(B57=0,"",IFERROR(IF(H57&lt;&gt;0,Componentes!$U$11,0),""))</f>
        <v/>
      </c>
      <c r="V57" s="414" t="str">
        <f>IF(B57=0,"",IFERROR(IF(AA57&lt;&gt;0,VLOOKUP(Envoltória!U65,Componentes!X:Z,2,FALSE),0),0))</f>
        <v/>
      </c>
      <c r="W57" s="414" t="str">
        <f>IF(B57=0,"",IFERROR(IF(AA57&lt;&gt;0,Componentes!$AE$11,0),0))</f>
        <v/>
      </c>
      <c r="X57" s="413" t="str">
        <f>IF(B57=0,"",Envoltória!U65)</f>
        <v/>
      </c>
      <c r="Y57" s="413" t="str">
        <f>IF(B57=0,"",VLOOKUP(Início!$C$20,Aux_Lista!A:H,8,FALSE))</f>
        <v/>
      </c>
      <c r="Z57" s="413" t="str">
        <f>IF(B57=0,"",Envoltória!T65)</f>
        <v/>
      </c>
      <c r="AA57" s="416" t="str">
        <f>IF(B57=0,"",Envoltória!Q65/100)</f>
        <v/>
      </c>
      <c r="AB57" s="417" t="str">
        <f>INPUT!AB57</f>
        <v/>
      </c>
      <c r="AC57" s="417" t="str">
        <f>INPUT!AC57</f>
        <v/>
      </c>
      <c r="AD57" s="417" t="str">
        <f>INPUT!AD57</f>
        <v/>
      </c>
      <c r="AE57" s="417" t="str">
        <f>INPUT!AE57</f>
        <v/>
      </c>
      <c r="AF57" s="417" t="str">
        <f>INPUT!AF57</f>
        <v/>
      </c>
      <c r="AG57" s="417" t="str">
        <f>INPUT!AG57</f>
        <v/>
      </c>
      <c r="AH57" s="417" t="str">
        <f>INPUT!AH57</f>
        <v/>
      </c>
      <c r="AI57" s="417" t="str">
        <f>INPUT!AI57</f>
        <v/>
      </c>
      <c r="AJ57" s="417" t="str">
        <f>INPUT!AJ57</f>
        <v/>
      </c>
      <c r="AK57" s="417" t="str">
        <f>INPUT!AK57</f>
        <v/>
      </c>
      <c r="AL57" s="417" t="str">
        <f>INPUT!AL57</f>
        <v/>
      </c>
      <c r="AM57" s="417" t="str">
        <f>INPUT!AM57</f>
        <v/>
      </c>
      <c r="AN57" s="417" t="str">
        <f>INPUT!AN57</f>
        <v/>
      </c>
      <c r="AO57" s="417" t="str">
        <f>INPUT!AO57</f>
        <v/>
      </c>
      <c r="AP57" s="413" t="str">
        <f>IF(B57=0,"",IF(BF57=0,90,VLOOKUP(Envoltória!N65,Componentes!T:AB,9,FALSE)))</f>
        <v/>
      </c>
      <c r="AQ57" s="413" t="str">
        <f>IF(B57=0,"",IF(BF57=0,90,VLOOKUP(Envoltória!N65,Componentes!T:AB,8,FALSE)))</f>
        <v/>
      </c>
      <c r="AR57" s="413" t="str">
        <f t="shared" si="4"/>
        <v/>
      </c>
      <c r="AS57" s="413" t="str">
        <f t="shared" si="4"/>
        <v/>
      </c>
      <c r="AT57" s="413" t="str">
        <f t="shared" si="4"/>
        <v/>
      </c>
      <c r="AU57" s="413" t="str">
        <f t="shared" si="4"/>
        <v/>
      </c>
      <c r="AV57" s="413" t="str">
        <f t="shared" si="4"/>
        <v/>
      </c>
      <c r="AW57" s="414" t="str">
        <f>INPUT!AW57</f>
        <v/>
      </c>
      <c r="AX57" s="414" t="str">
        <f>INPUT!AX57</f>
        <v/>
      </c>
      <c r="AY57" s="414" t="str">
        <f>INPUT!AY57</f>
        <v/>
      </c>
      <c r="AZ57" s="414" t="str">
        <f>INPUT!AZ57</f>
        <v/>
      </c>
      <c r="BA57" s="414" t="str">
        <f>INPUT!BA57</f>
        <v/>
      </c>
      <c r="BB57" s="414" t="str">
        <f>INPUT!BB57</f>
        <v/>
      </c>
      <c r="BC57" s="414" t="str">
        <f>INPUT!BC57</f>
        <v/>
      </c>
      <c r="BD57" s="414" t="str">
        <f>INPUT!BD57</f>
        <v/>
      </c>
      <c r="BE57" s="412" t="str">
        <f t="shared" si="2"/>
        <v/>
      </c>
      <c r="BF57" s="412" t="str">
        <f>IF(B57=0,"",IFERROR(VLOOKUP(Envoltória!F65,INPUT_REF!$BQ$18:$BR$19,2,FALSE),""))</f>
        <v/>
      </c>
      <c r="BG57" s="412" t="str">
        <f>IFERROR(VLOOKUP(Envoltória!$G65,$BQ$35:$BZ$43,BG$9,FALSE),"")</f>
        <v/>
      </c>
      <c r="BH57" s="412" t="str">
        <f>IFERROR(VLOOKUP(Envoltória!$G65,$BQ$35:$BZ$43,BH$9,FALSE),"")</f>
        <v/>
      </c>
      <c r="BI57" s="412" t="str">
        <f>IFERROR(VLOOKUP(Envoltória!$G65,$BQ$35:$BZ$43,BI$9,FALSE),"")</f>
        <v/>
      </c>
      <c r="BJ57" s="412" t="str">
        <f>IFERROR(VLOOKUP(Envoltória!$G65,$BQ$35:$BZ$43,BJ$9,FALSE),"")</f>
        <v/>
      </c>
      <c r="BK57" s="412" t="str">
        <f>IFERROR(VLOOKUP(Envoltória!$G65,$BQ$35:$BZ$43,BK$9,FALSE),"")</f>
        <v/>
      </c>
      <c r="BL57" s="412" t="str">
        <f>IFERROR(VLOOKUP(Envoltória!$G65,$BQ$35:$BZ$43,BL$9,FALSE),"")</f>
        <v/>
      </c>
      <c r="BM57" s="412" t="str">
        <f>IFERROR(VLOOKUP(Envoltória!$G65,$BQ$35:$BZ$43,BM$9,FALSE),"")</f>
        <v/>
      </c>
      <c r="BN57" s="412" t="str">
        <f>IFERROR(VLOOKUP(Envoltória!$G65,$BQ$35:$BZ$43,BN$9,FALSE),"")</f>
        <v/>
      </c>
      <c r="BO57" s="412" t="str">
        <f>IFERROR(VLOOKUP(Envoltória!$G65,$BQ$35:$BZ$43,BO$9,FALSE),"")</f>
        <v/>
      </c>
    </row>
    <row r="58" spans="1:68" x14ac:dyDescent="0.25">
      <c r="A58" s="1">
        <v>48</v>
      </c>
      <c r="B58" s="409">
        <f>Envoltória!I66</f>
        <v>0</v>
      </c>
      <c r="C58" s="410">
        <f>Envoltória!B66</f>
        <v>0</v>
      </c>
      <c r="D58" s="410">
        <f>Envoltória!C66</f>
        <v>0</v>
      </c>
      <c r="E58" s="411">
        <f>Envoltória!D66</f>
        <v>0</v>
      </c>
      <c r="F58" s="412" t="str">
        <f>IF(B58=0,"",Envoltória!E66)</f>
        <v/>
      </c>
      <c r="G58" s="412" t="str">
        <f t="shared" si="0"/>
        <v/>
      </c>
      <c r="H58" s="413" t="str">
        <f>IF(B58=0,"",IF(Envoltória!O66=0,0,VLOOKUP(B58,Aux_Lista!A:M,13,FALSE)))</f>
        <v/>
      </c>
      <c r="I58" s="413" t="str">
        <f>IF(B58=0,"",IF(BF58=1,VLOOKUP(Envoltória!N66,Componentes!T:AB,7,FALSE),89))</f>
        <v/>
      </c>
      <c r="J58" s="414" t="str">
        <f>IF(B58=0,"",Componentes!$Q$10)</f>
        <v/>
      </c>
      <c r="K58" s="414" t="str">
        <f>IF(B58=0,"",Componentes!$R$10)</f>
        <v/>
      </c>
      <c r="L58" s="413" t="str">
        <f>IF(B58=0,"",IFERROR(IF(BB58&lt;&gt;0,Componentes!$L$11,0),""))</f>
        <v/>
      </c>
      <c r="M58" s="413" t="str">
        <f>IF(B58=0,"",IFERROR(IF(BB58&lt;&gt;0,Componentes!$M$11,0),""))</f>
        <v/>
      </c>
      <c r="N58" s="415" t="str">
        <f>IF(B58=0,"",IFERROR(IF(BB58&lt;&gt;0,Componentes!$N$11,0),""))</f>
        <v/>
      </c>
      <c r="O58" s="413" t="str">
        <f>IF(B58=0,"",IF(BF58=1,Componentes!$C$11,-6))</f>
        <v/>
      </c>
      <c r="P58" s="413" t="str">
        <f>IF(B58=0,"",IF(BF58=1,Componentes!$D$11,-400))</f>
        <v/>
      </c>
      <c r="Q58" s="413" t="str">
        <f>IF(B58=0,"",IF(BF58=1,Componentes!$E$11,0))</f>
        <v/>
      </c>
      <c r="R58" s="414" t="str">
        <f>IF(B58=0,"",Componentes!$H$11)</f>
        <v/>
      </c>
      <c r="S58" s="414" t="str">
        <f>IF(B58=0,"",Componentes!$I$11)</f>
        <v/>
      </c>
      <c r="T58" s="413" t="str">
        <f>IF(B58=0,"",IFERROR(IF(H58&lt;&gt;0,Componentes!$V$11,0),""))</f>
        <v/>
      </c>
      <c r="U58" s="413" t="str">
        <f>IF(B58=0,"",IFERROR(IF(H58&lt;&gt;0,Componentes!$U$11,0),""))</f>
        <v/>
      </c>
      <c r="V58" s="414" t="str">
        <f>IF(B58=0,"",IFERROR(IF(AA58&lt;&gt;0,VLOOKUP(Envoltória!U66,Componentes!X:Z,2,FALSE),0),0))</f>
        <v/>
      </c>
      <c r="W58" s="414" t="str">
        <f>IF(B58=0,"",IFERROR(IF(AA58&lt;&gt;0,Componentes!$AE$11,0),0))</f>
        <v/>
      </c>
      <c r="X58" s="413" t="str">
        <f>IF(B58=0,"",Envoltória!U66)</f>
        <v/>
      </c>
      <c r="Y58" s="413" t="str">
        <f>IF(B58=0,"",VLOOKUP(Início!$C$20,Aux_Lista!A:H,8,FALSE))</f>
        <v/>
      </c>
      <c r="Z58" s="413" t="str">
        <f>IF(B58=0,"",Envoltória!T66)</f>
        <v/>
      </c>
      <c r="AA58" s="416" t="str">
        <f>IF(B58=0,"",Envoltória!Q66/100)</f>
        <v/>
      </c>
      <c r="AB58" s="417" t="str">
        <f>INPUT!AB58</f>
        <v/>
      </c>
      <c r="AC58" s="417" t="str">
        <f>INPUT!AC58</f>
        <v/>
      </c>
      <c r="AD58" s="417" t="str">
        <f>INPUT!AD58</f>
        <v/>
      </c>
      <c r="AE58" s="417" t="str">
        <f>INPUT!AE58</f>
        <v/>
      </c>
      <c r="AF58" s="417" t="str">
        <f>INPUT!AF58</f>
        <v/>
      </c>
      <c r="AG58" s="417" t="str">
        <f>INPUT!AG58</f>
        <v/>
      </c>
      <c r="AH58" s="417" t="str">
        <f>INPUT!AH58</f>
        <v/>
      </c>
      <c r="AI58" s="417" t="str">
        <f>INPUT!AI58</f>
        <v/>
      </c>
      <c r="AJ58" s="417" t="str">
        <f>INPUT!AJ58</f>
        <v/>
      </c>
      <c r="AK58" s="417" t="str">
        <f>INPUT!AK58</f>
        <v/>
      </c>
      <c r="AL58" s="417" t="str">
        <f>INPUT!AL58</f>
        <v/>
      </c>
      <c r="AM58" s="417" t="str">
        <f>INPUT!AM58</f>
        <v/>
      </c>
      <c r="AN58" s="417" t="str">
        <f>INPUT!AN58</f>
        <v/>
      </c>
      <c r="AO58" s="417" t="str">
        <f>INPUT!AO58</f>
        <v/>
      </c>
      <c r="AP58" s="413" t="str">
        <f>IF(B58=0,"",IF(BF58=0,90,VLOOKUP(Envoltória!N66,Componentes!T:AB,9,FALSE)))</f>
        <v/>
      </c>
      <c r="AQ58" s="413" t="str">
        <f>IF(B58=0,"",IF(BF58=0,90,VLOOKUP(Envoltória!N66,Componentes!T:AB,8,FALSE)))</f>
        <v/>
      </c>
      <c r="AR58" s="413" t="str">
        <f t="shared" si="4"/>
        <v/>
      </c>
      <c r="AS58" s="413" t="str">
        <f t="shared" si="4"/>
        <v/>
      </c>
      <c r="AT58" s="413" t="str">
        <f t="shared" si="4"/>
        <v/>
      </c>
      <c r="AU58" s="413" t="str">
        <f t="shared" si="4"/>
        <v/>
      </c>
      <c r="AV58" s="413" t="str">
        <f t="shared" si="4"/>
        <v/>
      </c>
      <c r="AW58" s="414" t="str">
        <f>INPUT!AW58</f>
        <v/>
      </c>
      <c r="AX58" s="414" t="str">
        <f>INPUT!AX58</f>
        <v/>
      </c>
      <c r="AY58" s="414" t="str">
        <f>INPUT!AY58</f>
        <v/>
      </c>
      <c r="AZ58" s="414" t="str">
        <f>INPUT!AZ58</f>
        <v/>
      </c>
      <c r="BA58" s="414" t="str">
        <f>INPUT!BA58</f>
        <v/>
      </c>
      <c r="BB58" s="414" t="str">
        <f>INPUT!BB58</f>
        <v/>
      </c>
      <c r="BC58" s="414" t="str">
        <f>INPUT!BC58</f>
        <v/>
      </c>
      <c r="BD58" s="414" t="str">
        <f>INPUT!BD58</f>
        <v/>
      </c>
      <c r="BE58" s="412" t="str">
        <f t="shared" si="2"/>
        <v/>
      </c>
      <c r="BF58" s="412" t="str">
        <f>IF(B58=0,"",IFERROR(VLOOKUP(Envoltória!F66,INPUT_REF!$BQ$18:$BR$19,2,FALSE),""))</f>
        <v/>
      </c>
      <c r="BG58" s="412" t="str">
        <f>IFERROR(VLOOKUP(Envoltória!$G66,$BQ$35:$BZ$43,BG$9,FALSE),"")</f>
        <v/>
      </c>
      <c r="BH58" s="412" t="str">
        <f>IFERROR(VLOOKUP(Envoltória!$G66,$BQ$35:$BZ$43,BH$9,FALSE),"")</f>
        <v/>
      </c>
      <c r="BI58" s="412" t="str">
        <f>IFERROR(VLOOKUP(Envoltória!$G66,$BQ$35:$BZ$43,BI$9,FALSE),"")</f>
        <v/>
      </c>
      <c r="BJ58" s="412" t="str">
        <f>IFERROR(VLOOKUP(Envoltória!$G66,$BQ$35:$BZ$43,BJ$9,FALSE),"")</f>
        <v/>
      </c>
      <c r="BK58" s="412" t="str">
        <f>IFERROR(VLOOKUP(Envoltória!$G66,$BQ$35:$BZ$43,BK$9,FALSE),"")</f>
        <v/>
      </c>
      <c r="BL58" s="412" t="str">
        <f>IFERROR(VLOOKUP(Envoltória!$G66,$BQ$35:$BZ$43,BL$9,FALSE),"")</f>
        <v/>
      </c>
      <c r="BM58" s="412" t="str">
        <f>IFERROR(VLOOKUP(Envoltória!$G66,$BQ$35:$BZ$43,BM$9,FALSE),"")</f>
        <v/>
      </c>
      <c r="BN58" s="412" t="str">
        <f>IFERROR(VLOOKUP(Envoltória!$G66,$BQ$35:$BZ$43,BN$9,FALSE),"")</f>
        <v/>
      </c>
      <c r="BO58" s="412" t="str">
        <f>IFERROR(VLOOKUP(Envoltória!$G66,$BQ$35:$BZ$43,BO$9,FALSE),"")</f>
        <v/>
      </c>
    </row>
    <row r="59" spans="1:68" x14ac:dyDescent="0.25">
      <c r="A59" s="1">
        <v>49</v>
      </c>
      <c r="B59" s="409">
        <f>Envoltória!I67</f>
        <v>0</v>
      </c>
      <c r="C59" s="410">
        <f>Envoltória!B67</f>
        <v>0</v>
      </c>
      <c r="D59" s="410">
        <f>Envoltória!C67</f>
        <v>0</v>
      </c>
      <c r="E59" s="411">
        <f>Envoltória!D67</f>
        <v>0</v>
      </c>
      <c r="F59" s="412" t="str">
        <f>IF(B59=0,"",Envoltória!E67)</f>
        <v/>
      </c>
      <c r="G59" s="412" t="str">
        <f t="shared" si="0"/>
        <v/>
      </c>
      <c r="H59" s="413" t="str">
        <f>IF(B59=0,"",IF(Envoltória!O67=0,0,VLOOKUP(B59,Aux_Lista!A:M,13,FALSE)))</f>
        <v/>
      </c>
      <c r="I59" s="413" t="str">
        <f>IF(B59=0,"",IF(BF59=1,VLOOKUP(Envoltória!N67,Componentes!T:AB,7,FALSE),89))</f>
        <v/>
      </c>
      <c r="J59" s="414" t="str">
        <f>IF(B59=0,"",Componentes!$Q$10)</f>
        <v/>
      </c>
      <c r="K59" s="414" t="str">
        <f>IF(B59=0,"",Componentes!$R$10)</f>
        <v/>
      </c>
      <c r="L59" s="413" t="str">
        <f>IF(B59=0,"",IFERROR(IF(BB59&lt;&gt;0,Componentes!$L$11,0),""))</f>
        <v/>
      </c>
      <c r="M59" s="413" t="str">
        <f>IF(B59=0,"",IFERROR(IF(BB59&lt;&gt;0,Componentes!$M$11,0),""))</f>
        <v/>
      </c>
      <c r="N59" s="415" t="str">
        <f>IF(B59=0,"",IFERROR(IF(BB59&lt;&gt;0,Componentes!$N$11,0),""))</f>
        <v/>
      </c>
      <c r="O59" s="413" t="str">
        <f>IF(B59=0,"",IF(BF59=1,Componentes!$C$11,-6))</f>
        <v/>
      </c>
      <c r="P59" s="413" t="str">
        <f>IF(B59=0,"",IF(BF59=1,Componentes!$D$11,-400))</f>
        <v/>
      </c>
      <c r="Q59" s="413" t="str">
        <f>IF(B59=0,"",IF(BF59=1,Componentes!$E$11,0))</f>
        <v/>
      </c>
      <c r="R59" s="414" t="str">
        <f>IF(B59=0,"",Componentes!$H$11)</f>
        <v/>
      </c>
      <c r="S59" s="414" t="str">
        <f>IF(B59=0,"",Componentes!$I$11)</f>
        <v/>
      </c>
      <c r="T59" s="413" t="str">
        <f>IF(B59=0,"",IFERROR(IF(H59&lt;&gt;0,Componentes!$V$11,0),""))</f>
        <v/>
      </c>
      <c r="U59" s="413" t="str">
        <f>IF(B59=0,"",IFERROR(IF(H59&lt;&gt;0,Componentes!$U$11,0),""))</f>
        <v/>
      </c>
      <c r="V59" s="414" t="str">
        <f>IF(B59=0,"",IFERROR(IF(AA59&lt;&gt;0,VLOOKUP(Envoltória!U67,Componentes!X:Z,2,FALSE),0),0))</f>
        <v/>
      </c>
      <c r="W59" s="414" t="str">
        <f>IF(B59=0,"",IFERROR(IF(AA59&lt;&gt;0,Componentes!$AE$11,0),0))</f>
        <v/>
      </c>
      <c r="X59" s="413" t="str">
        <f>IF(B59=0,"",Envoltória!U67)</f>
        <v/>
      </c>
      <c r="Y59" s="413" t="str">
        <f>IF(B59=0,"",VLOOKUP(Início!$C$20,Aux_Lista!A:H,8,FALSE))</f>
        <v/>
      </c>
      <c r="Z59" s="413" t="str">
        <f>IF(B59=0,"",Envoltória!T67)</f>
        <v/>
      </c>
      <c r="AA59" s="416" t="str">
        <f>IF(B59=0,"",Envoltória!Q67/100)</f>
        <v/>
      </c>
      <c r="AB59" s="417" t="str">
        <f>INPUT!AB59</f>
        <v/>
      </c>
      <c r="AC59" s="417" t="str">
        <f>INPUT!AC59</f>
        <v/>
      </c>
      <c r="AD59" s="417" t="str">
        <f>INPUT!AD59</f>
        <v/>
      </c>
      <c r="AE59" s="417" t="str">
        <f>INPUT!AE59</f>
        <v/>
      </c>
      <c r="AF59" s="417" t="str">
        <f>INPUT!AF59</f>
        <v/>
      </c>
      <c r="AG59" s="417" t="str">
        <f>INPUT!AG59</f>
        <v/>
      </c>
      <c r="AH59" s="417" t="str">
        <f>INPUT!AH59</f>
        <v/>
      </c>
      <c r="AI59" s="417" t="str">
        <f>INPUT!AI59</f>
        <v/>
      </c>
      <c r="AJ59" s="417" t="str">
        <f>INPUT!AJ59</f>
        <v/>
      </c>
      <c r="AK59" s="417" t="str">
        <f>INPUT!AK59</f>
        <v/>
      </c>
      <c r="AL59" s="417" t="str">
        <f>INPUT!AL59</f>
        <v/>
      </c>
      <c r="AM59" s="417" t="str">
        <f>INPUT!AM59</f>
        <v/>
      </c>
      <c r="AN59" s="417" t="str">
        <f>INPUT!AN59</f>
        <v/>
      </c>
      <c r="AO59" s="417" t="str">
        <f>INPUT!AO59</f>
        <v/>
      </c>
      <c r="AP59" s="413" t="str">
        <f>IF(B59=0,"",IF(BF59=0,90,VLOOKUP(Envoltória!N67,Componentes!T:AB,9,FALSE)))</f>
        <v/>
      </c>
      <c r="AQ59" s="413" t="str">
        <f>IF(B59=0,"",IF(BF59=0,90,VLOOKUP(Envoltória!N67,Componentes!T:AB,8,FALSE)))</f>
        <v/>
      </c>
      <c r="AR59" s="413" t="str">
        <f t="shared" si="4"/>
        <v/>
      </c>
      <c r="AS59" s="413" t="str">
        <f t="shared" si="4"/>
        <v/>
      </c>
      <c r="AT59" s="413" t="str">
        <f t="shared" si="4"/>
        <v/>
      </c>
      <c r="AU59" s="413" t="str">
        <f t="shared" si="4"/>
        <v/>
      </c>
      <c r="AV59" s="413" t="str">
        <f t="shared" si="4"/>
        <v/>
      </c>
      <c r="AW59" s="414" t="str">
        <f>INPUT!AW59</f>
        <v/>
      </c>
      <c r="AX59" s="414" t="str">
        <f>INPUT!AX59</f>
        <v/>
      </c>
      <c r="AY59" s="414" t="str">
        <f>INPUT!AY59</f>
        <v/>
      </c>
      <c r="AZ59" s="414" t="str">
        <f>INPUT!AZ59</f>
        <v/>
      </c>
      <c r="BA59" s="414" t="str">
        <f>INPUT!BA59</f>
        <v/>
      </c>
      <c r="BB59" s="414" t="str">
        <f>INPUT!BB59</f>
        <v/>
      </c>
      <c r="BC59" s="414" t="str">
        <f>INPUT!BC59</f>
        <v/>
      </c>
      <c r="BD59" s="414" t="str">
        <f>INPUT!BD59</f>
        <v/>
      </c>
      <c r="BE59" s="412" t="str">
        <f t="shared" si="2"/>
        <v/>
      </c>
      <c r="BF59" s="412" t="str">
        <f>IF(B59=0,"",IFERROR(VLOOKUP(Envoltória!F67,INPUT_REF!$BQ$18:$BR$19,2,FALSE),""))</f>
        <v/>
      </c>
      <c r="BG59" s="412" t="str">
        <f>IFERROR(VLOOKUP(Envoltória!$G67,$BQ$35:$BZ$43,BG$9,FALSE),"")</f>
        <v/>
      </c>
      <c r="BH59" s="412" t="str">
        <f>IFERROR(VLOOKUP(Envoltória!$G67,$BQ$35:$BZ$43,BH$9,FALSE),"")</f>
        <v/>
      </c>
      <c r="BI59" s="412" t="str">
        <f>IFERROR(VLOOKUP(Envoltória!$G67,$BQ$35:$BZ$43,BI$9,FALSE),"")</f>
        <v/>
      </c>
      <c r="BJ59" s="412" t="str">
        <f>IFERROR(VLOOKUP(Envoltória!$G67,$BQ$35:$BZ$43,BJ$9,FALSE),"")</f>
        <v/>
      </c>
      <c r="BK59" s="412" t="str">
        <f>IFERROR(VLOOKUP(Envoltória!$G67,$BQ$35:$BZ$43,BK$9,FALSE),"")</f>
        <v/>
      </c>
      <c r="BL59" s="412" t="str">
        <f>IFERROR(VLOOKUP(Envoltória!$G67,$BQ$35:$BZ$43,BL$9,FALSE),"")</f>
        <v/>
      </c>
      <c r="BM59" s="412" t="str">
        <f>IFERROR(VLOOKUP(Envoltória!$G67,$BQ$35:$BZ$43,BM$9,FALSE),"")</f>
        <v/>
      </c>
      <c r="BN59" s="412" t="str">
        <f>IFERROR(VLOOKUP(Envoltória!$G67,$BQ$35:$BZ$43,BN$9,FALSE),"")</f>
        <v/>
      </c>
      <c r="BO59" s="412" t="str">
        <f>IFERROR(VLOOKUP(Envoltória!$G67,$BQ$35:$BZ$43,BO$9,FALSE),"")</f>
        <v/>
      </c>
    </row>
    <row r="60" spans="1:68" x14ac:dyDescent="0.25">
      <c r="A60" s="1">
        <v>50</v>
      </c>
      <c r="B60" s="409">
        <f>Envoltória!I68</f>
        <v>0</v>
      </c>
      <c r="C60" s="410">
        <f>Envoltória!B68</f>
        <v>0</v>
      </c>
      <c r="D60" s="410">
        <f>Envoltória!C68</f>
        <v>0</v>
      </c>
      <c r="E60" s="411">
        <f>Envoltória!D68</f>
        <v>0</v>
      </c>
      <c r="F60" s="412" t="str">
        <f>IF(B60=0,"",Envoltória!E68)</f>
        <v/>
      </c>
      <c r="G60" s="412" t="str">
        <f t="shared" si="0"/>
        <v/>
      </c>
      <c r="H60" s="413" t="str">
        <f>IF(B60=0,"",IF(Envoltória!O68=0,0,VLOOKUP(B60,Aux_Lista!A:M,13,FALSE)))</f>
        <v/>
      </c>
      <c r="I60" s="413" t="str">
        <f>IF(B60=0,"",IF(BF60=1,VLOOKUP(Envoltória!N68,Componentes!T:AB,7,FALSE),89))</f>
        <v/>
      </c>
      <c r="J60" s="414" t="str">
        <f>IF(B60=0,"",Componentes!$Q$10)</f>
        <v/>
      </c>
      <c r="K60" s="414" t="str">
        <f>IF(B60=0,"",Componentes!$R$10)</f>
        <v/>
      </c>
      <c r="L60" s="413" t="str">
        <f>IF(B60=0,"",IFERROR(IF(BB60&lt;&gt;0,Componentes!$L$11,0),""))</f>
        <v/>
      </c>
      <c r="M60" s="413" t="str">
        <f>IF(B60=0,"",IFERROR(IF(BB60&lt;&gt;0,Componentes!$M$11,0),""))</f>
        <v/>
      </c>
      <c r="N60" s="415" t="str">
        <f>IF(B60=0,"",IFERROR(IF(BB60&lt;&gt;0,Componentes!$N$11,0),""))</f>
        <v/>
      </c>
      <c r="O60" s="413" t="str">
        <f>IF(B60=0,"",IF(BF60=1,Componentes!$C$11,-6))</f>
        <v/>
      </c>
      <c r="P60" s="413" t="str">
        <f>IF(B60=0,"",IF(BF60=1,Componentes!$D$11,-400))</f>
        <v/>
      </c>
      <c r="Q60" s="413" t="str">
        <f>IF(B60=0,"",IF(BF60=1,Componentes!$E$11,0))</f>
        <v/>
      </c>
      <c r="R60" s="414" t="str">
        <f>IF(B60=0,"",Componentes!$H$11)</f>
        <v/>
      </c>
      <c r="S60" s="414" t="str">
        <f>IF(B60=0,"",Componentes!$I$11)</f>
        <v/>
      </c>
      <c r="T60" s="413" t="str">
        <f>IF(B60=0,"",IFERROR(IF(H60&lt;&gt;0,Componentes!$V$11,0),""))</f>
        <v/>
      </c>
      <c r="U60" s="413" t="str">
        <f>IF(B60=0,"",IFERROR(IF(H60&lt;&gt;0,Componentes!$U$11,0),""))</f>
        <v/>
      </c>
      <c r="V60" s="414" t="str">
        <f>IF(B60=0,"",IFERROR(IF(AA60&lt;&gt;0,VLOOKUP(Envoltória!U68,Componentes!X:Z,2,FALSE),0),0))</f>
        <v/>
      </c>
      <c r="W60" s="414" t="str">
        <f>IF(B60=0,"",IFERROR(IF(AA60&lt;&gt;0,Componentes!$AE$11,0),0))</f>
        <v/>
      </c>
      <c r="X60" s="413" t="str">
        <f>IF(B60=0,"",Envoltória!U68)</f>
        <v/>
      </c>
      <c r="Y60" s="413" t="str">
        <f>IF(B60=0,"",VLOOKUP(Início!$C$20,Aux_Lista!A:H,8,FALSE))</f>
        <v/>
      </c>
      <c r="Z60" s="413" t="str">
        <f>IF(B60=0,"",Envoltória!T68)</f>
        <v/>
      </c>
      <c r="AA60" s="416" t="str">
        <f>IF(B60=0,"",Envoltória!Q68/100)</f>
        <v/>
      </c>
      <c r="AB60" s="417" t="str">
        <f>INPUT!AB60</f>
        <v/>
      </c>
      <c r="AC60" s="417" t="str">
        <f>INPUT!AC60</f>
        <v/>
      </c>
      <c r="AD60" s="417" t="str">
        <f>INPUT!AD60</f>
        <v/>
      </c>
      <c r="AE60" s="417" t="str">
        <f>INPUT!AE60</f>
        <v/>
      </c>
      <c r="AF60" s="417" t="str">
        <f>INPUT!AF60</f>
        <v/>
      </c>
      <c r="AG60" s="417" t="str">
        <f>INPUT!AG60</f>
        <v/>
      </c>
      <c r="AH60" s="417" t="str">
        <f>INPUT!AH60</f>
        <v/>
      </c>
      <c r="AI60" s="417" t="str">
        <f>INPUT!AI60</f>
        <v/>
      </c>
      <c r="AJ60" s="417" t="str">
        <f>INPUT!AJ60</f>
        <v/>
      </c>
      <c r="AK60" s="417" t="str">
        <f>INPUT!AK60</f>
        <v/>
      </c>
      <c r="AL60" s="417" t="str">
        <f>INPUT!AL60</f>
        <v/>
      </c>
      <c r="AM60" s="417" t="str">
        <f>INPUT!AM60</f>
        <v/>
      </c>
      <c r="AN60" s="417" t="str">
        <f>INPUT!AN60</f>
        <v/>
      </c>
      <c r="AO60" s="417" t="str">
        <f>INPUT!AO60</f>
        <v/>
      </c>
      <c r="AP60" s="413" t="str">
        <f>IF(B60=0,"",IF(BF60=0,90,VLOOKUP(Envoltória!N68,Componentes!T:AB,9,FALSE)))</f>
        <v/>
      </c>
      <c r="AQ60" s="413" t="str">
        <f>IF(B60=0,"",IF(BF60=0,90,VLOOKUP(Envoltória!N68,Componentes!T:AB,8,FALSE)))</f>
        <v/>
      </c>
      <c r="AR60" s="413" t="str">
        <f t="shared" si="4"/>
        <v/>
      </c>
      <c r="AS60" s="413" t="str">
        <f t="shared" si="4"/>
        <v/>
      </c>
      <c r="AT60" s="413" t="str">
        <f t="shared" si="4"/>
        <v/>
      </c>
      <c r="AU60" s="413" t="str">
        <f t="shared" si="4"/>
        <v/>
      </c>
      <c r="AV60" s="413" t="str">
        <f t="shared" si="4"/>
        <v/>
      </c>
      <c r="AW60" s="414" t="str">
        <f>INPUT!AW60</f>
        <v/>
      </c>
      <c r="AX60" s="414" t="str">
        <f>INPUT!AX60</f>
        <v/>
      </c>
      <c r="AY60" s="414" t="str">
        <f>INPUT!AY60</f>
        <v/>
      </c>
      <c r="AZ60" s="414" t="str">
        <f>INPUT!AZ60</f>
        <v/>
      </c>
      <c r="BA60" s="414" t="str">
        <f>INPUT!BA60</f>
        <v/>
      </c>
      <c r="BB60" s="414" t="str">
        <f>INPUT!BB60</f>
        <v/>
      </c>
      <c r="BC60" s="414" t="str">
        <f>INPUT!BC60</f>
        <v/>
      </c>
      <c r="BD60" s="414" t="str">
        <f>INPUT!BD60</f>
        <v/>
      </c>
      <c r="BE60" s="412" t="str">
        <f t="shared" si="2"/>
        <v/>
      </c>
      <c r="BF60" s="412" t="str">
        <f>IF(B60=0,"",IFERROR(VLOOKUP(Envoltória!F68,INPUT_REF!$BQ$18:$BR$19,2,FALSE),""))</f>
        <v/>
      </c>
      <c r="BG60" s="412" t="str">
        <f>IFERROR(VLOOKUP(Envoltória!$G68,$BQ$35:$BZ$43,BG$9,FALSE),"")</f>
        <v/>
      </c>
      <c r="BH60" s="412" t="str">
        <f>IFERROR(VLOOKUP(Envoltória!$G68,$BQ$35:$BZ$43,BH$9,FALSE),"")</f>
        <v/>
      </c>
      <c r="BI60" s="412" t="str">
        <f>IFERROR(VLOOKUP(Envoltória!$G68,$BQ$35:$BZ$43,BI$9,FALSE),"")</f>
        <v/>
      </c>
      <c r="BJ60" s="412" t="str">
        <f>IFERROR(VLOOKUP(Envoltória!$G68,$BQ$35:$BZ$43,BJ$9,FALSE),"")</f>
        <v/>
      </c>
      <c r="BK60" s="412" t="str">
        <f>IFERROR(VLOOKUP(Envoltória!$G68,$BQ$35:$BZ$43,BK$9,FALSE),"")</f>
        <v/>
      </c>
      <c r="BL60" s="412" t="str">
        <f>IFERROR(VLOOKUP(Envoltória!$G68,$BQ$35:$BZ$43,BL$9,FALSE),"")</f>
        <v/>
      </c>
      <c r="BM60" s="412" t="str">
        <f>IFERROR(VLOOKUP(Envoltória!$G68,$BQ$35:$BZ$43,BM$9,FALSE),"")</f>
        <v/>
      </c>
      <c r="BN60" s="412" t="str">
        <f>IFERROR(VLOOKUP(Envoltória!$G68,$BQ$35:$BZ$43,BN$9,FALSE),"")</f>
        <v/>
      </c>
      <c r="BO60" s="412" t="str">
        <f>IFERROR(VLOOKUP(Envoltória!$G68,$BQ$35:$BZ$43,BO$9,FALSE),"")</f>
        <v/>
      </c>
    </row>
    <row r="61" spans="1:68" x14ac:dyDescent="0.25">
      <c r="A61" s="1">
        <v>51</v>
      </c>
      <c r="B61" s="409">
        <f>Envoltória!I69</f>
        <v>0</v>
      </c>
      <c r="C61" s="410">
        <f>Envoltória!B69</f>
        <v>0</v>
      </c>
      <c r="D61" s="410">
        <f>Envoltória!C69</f>
        <v>0</v>
      </c>
      <c r="E61" s="411">
        <f>Envoltória!D69</f>
        <v>0</v>
      </c>
      <c r="F61" s="412" t="str">
        <f>IF(B61=0,"",Envoltória!E69)</f>
        <v/>
      </c>
      <c r="G61" s="412" t="str">
        <f t="shared" si="0"/>
        <v/>
      </c>
      <c r="H61" s="413" t="str">
        <f>IF(B61=0,"",IF(Envoltória!O69=0,0,VLOOKUP(B61,Aux_Lista!A:M,13,FALSE)))</f>
        <v/>
      </c>
      <c r="I61" s="413" t="str">
        <f>IF(B61=0,"",IF(BF61=1,VLOOKUP(Envoltória!N69,Componentes!T:AB,7,FALSE),89))</f>
        <v/>
      </c>
      <c r="J61" s="414" t="str">
        <f>IF(B61=0,"",Componentes!$Q$10)</f>
        <v/>
      </c>
      <c r="K61" s="414" t="str">
        <f>IF(B61=0,"",Componentes!$R$10)</f>
        <v/>
      </c>
      <c r="L61" s="413" t="str">
        <f>IF(B61=0,"",IFERROR(IF(BB61&lt;&gt;0,Componentes!$L$11,0),""))</f>
        <v/>
      </c>
      <c r="M61" s="413" t="str">
        <f>IF(B61=0,"",IFERROR(IF(BB61&lt;&gt;0,Componentes!$M$11,0),""))</f>
        <v/>
      </c>
      <c r="N61" s="415" t="str">
        <f>IF(B61=0,"",IFERROR(IF(BB61&lt;&gt;0,Componentes!$N$11,0),""))</f>
        <v/>
      </c>
      <c r="O61" s="413" t="str">
        <f>IF(B61=0,"",IF(BF61=1,Componentes!$C$11,-6))</f>
        <v/>
      </c>
      <c r="P61" s="413" t="str">
        <f>IF(B61=0,"",IF(BF61=1,Componentes!$D$11,-400))</f>
        <v/>
      </c>
      <c r="Q61" s="413" t="str">
        <f>IF(B61=0,"",IF(BF61=1,Componentes!$E$11,0))</f>
        <v/>
      </c>
      <c r="R61" s="414" t="str">
        <f>IF(B61=0,"",Componentes!$H$11)</f>
        <v/>
      </c>
      <c r="S61" s="414" t="str">
        <f>IF(B61=0,"",Componentes!$I$11)</f>
        <v/>
      </c>
      <c r="T61" s="413" t="str">
        <f>IF(B61=0,"",IFERROR(IF(H61&lt;&gt;0,Componentes!$V$11,0),""))</f>
        <v/>
      </c>
      <c r="U61" s="413" t="str">
        <f>IF(B61=0,"",IFERROR(IF(H61&lt;&gt;0,Componentes!$U$11,0),""))</f>
        <v/>
      </c>
      <c r="V61" s="414" t="str">
        <f>IF(B61=0,"",IFERROR(IF(AA61&lt;&gt;0,VLOOKUP(Envoltória!U69,Componentes!X:Z,2,FALSE),0),0))</f>
        <v/>
      </c>
      <c r="W61" s="414" t="str">
        <f>IF(B61=0,"",IFERROR(IF(AA61&lt;&gt;0,Componentes!$AE$11,0),0))</f>
        <v/>
      </c>
      <c r="X61" s="413" t="str">
        <f>IF(B61=0,"",Envoltória!U69)</f>
        <v/>
      </c>
      <c r="Y61" s="413" t="str">
        <f>IF(B61=0,"",VLOOKUP(Início!$C$20,Aux_Lista!A:H,8,FALSE))</f>
        <v/>
      </c>
      <c r="Z61" s="413" t="str">
        <f>IF(B61=0,"",Envoltória!T69)</f>
        <v/>
      </c>
      <c r="AA61" s="416" t="str">
        <f>IF(B61=0,"",Envoltória!Q69/100)</f>
        <v/>
      </c>
      <c r="AB61" s="417" t="str">
        <f>INPUT!AB61</f>
        <v/>
      </c>
      <c r="AC61" s="417" t="str">
        <f>INPUT!AC61</f>
        <v/>
      </c>
      <c r="AD61" s="417" t="str">
        <f>INPUT!AD61</f>
        <v/>
      </c>
      <c r="AE61" s="417" t="str">
        <f>INPUT!AE61</f>
        <v/>
      </c>
      <c r="AF61" s="417" t="str">
        <f>INPUT!AF61</f>
        <v/>
      </c>
      <c r="AG61" s="417" t="str">
        <f>INPUT!AG61</f>
        <v/>
      </c>
      <c r="AH61" s="417" t="str">
        <f>INPUT!AH61</f>
        <v/>
      </c>
      <c r="AI61" s="417" t="str">
        <f>INPUT!AI61</f>
        <v/>
      </c>
      <c r="AJ61" s="417" t="str">
        <f>INPUT!AJ61</f>
        <v/>
      </c>
      <c r="AK61" s="417" t="str">
        <f>INPUT!AK61</f>
        <v/>
      </c>
      <c r="AL61" s="417" t="str">
        <f>INPUT!AL61</f>
        <v/>
      </c>
      <c r="AM61" s="417" t="str">
        <f>INPUT!AM61</f>
        <v/>
      </c>
      <c r="AN61" s="417" t="str">
        <f>INPUT!AN61</f>
        <v/>
      </c>
      <c r="AO61" s="417" t="str">
        <f>INPUT!AO61</f>
        <v/>
      </c>
      <c r="AP61" s="413" t="str">
        <f>IF(B61=0,"",IF(BF61=0,90,VLOOKUP(Envoltória!N69,Componentes!T:AB,9,FALSE)))</f>
        <v/>
      </c>
      <c r="AQ61" s="413" t="str">
        <f>IF(B61=0,"",IF(BF61=0,90,VLOOKUP(Envoltória!N69,Componentes!T:AB,8,FALSE)))</f>
        <v/>
      </c>
      <c r="AR61" s="413" t="str">
        <f t="shared" si="4"/>
        <v/>
      </c>
      <c r="AS61" s="413" t="str">
        <f t="shared" si="4"/>
        <v/>
      </c>
      <c r="AT61" s="413" t="str">
        <f t="shared" si="4"/>
        <v/>
      </c>
      <c r="AU61" s="413" t="str">
        <f t="shared" si="4"/>
        <v/>
      </c>
      <c r="AV61" s="413" t="str">
        <f t="shared" si="4"/>
        <v/>
      </c>
      <c r="AW61" s="414" t="str">
        <f>INPUT!AW61</f>
        <v/>
      </c>
      <c r="AX61" s="414" t="str">
        <f>INPUT!AX61</f>
        <v/>
      </c>
      <c r="AY61" s="414" t="str">
        <f>INPUT!AY61</f>
        <v/>
      </c>
      <c r="AZ61" s="414" t="str">
        <f>INPUT!AZ61</f>
        <v/>
      </c>
      <c r="BA61" s="414" t="str">
        <f>INPUT!BA61</f>
        <v/>
      </c>
      <c r="BB61" s="414" t="str">
        <f>INPUT!BB61</f>
        <v/>
      </c>
      <c r="BC61" s="414" t="str">
        <f>INPUT!BC61</f>
        <v/>
      </c>
      <c r="BD61" s="414" t="str">
        <f>INPUT!BD61</f>
        <v/>
      </c>
      <c r="BE61" s="412" t="str">
        <f t="shared" si="2"/>
        <v/>
      </c>
      <c r="BF61" s="412" t="str">
        <f>IF(B61=0,"",IFERROR(VLOOKUP(Envoltória!F69,INPUT_REF!$BQ$18:$BR$19,2,FALSE),""))</f>
        <v/>
      </c>
      <c r="BG61" s="412" t="str">
        <f>IFERROR(VLOOKUP(Envoltória!$G69,$BQ$35:$BZ$43,BG$9,FALSE),"")</f>
        <v/>
      </c>
      <c r="BH61" s="412" t="str">
        <f>IFERROR(VLOOKUP(Envoltória!$G69,$BQ$35:$BZ$43,BH$9,FALSE),"")</f>
        <v/>
      </c>
      <c r="BI61" s="412" t="str">
        <f>IFERROR(VLOOKUP(Envoltória!$G69,$BQ$35:$BZ$43,BI$9,FALSE),"")</f>
        <v/>
      </c>
      <c r="BJ61" s="412" t="str">
        <f>IFERROR(VLOOKUP(Envoltória!$G69,$BQ$35:$BZ$43,BJ$9,FALSE),"")</f>
        <v/>
      </c>
      <c r="BK61" s="412" t="str">
        <f>IFERROR(VLOOKUP(Envoltória!$G69,$BQ$35:$BZ$43,BK$9,FALSE),"")</f>
        <v/>
      </c>
      <c r="BL61" s="412" t="str">
        <f>IFERROR(VLOOKUP(Envoltória!$G69,$BQ$35:$BZ$43,BL$9,FALSE),"")</f>
        <v/>
      </c>
      <c r="BM61" s="412" t="str">
        <f>IFERROR(VLOOKUP(Envoltória!$G69,$BQ$35:$BZ$43,BM$9,FALSE),"")</f>
        <v/>
      </c>
      <c r="BN61" s="412" t="str">
        <f>IFERROR(VLOOKUP(Envoltória!$G69,$BQ$35:$BZ$43,BN$9,FALSE),"")</f>
        <v/>
      </c>
      <c r="BO61" s="412" t="str">
        <f>IFERROR(VLOOKUP(Envoltória!$G69,$BQ$35:$BZ$43,BO$9,FALSE),"")</f>
        <v/>
      </c>
    </row>
    <row r="62" spans="1:68" x14ac:dyDescent="0.25">
      <c r="A62" s="1">
        <v>52</v>
      </c>
      <c r="B62" s="409">
        <f>Envoltória!I70</f>
        <v>0</v>
      </c>
      <c r="C62" s="410">
        <f>Envoltória!B70</f>
        <v>0</v>
      </c>
      <c r="D62" s="410">
        <f>Envoltória!C70</f>
        <v>0</v>
      </c>
      <c r="E62" s="411">
        <f>Envoltória!D70</f>
        <v>0</v>
      </c>
      <c r="F62" s="412" t="str">
        <f>IF(B62=0,"",Envoltória!E70)</f>
        <v/>
      </c>
      <c r="G62" s="412" t="str">
        <f t="shared" si="0"/>
        <v/>
      </c>
      <c r="H62" s="413" t="str">
        <f>IF(B62=0,"",IF(Envoltória!O70=0,0,VLOOKUP(B62,Aux_Lista!A:M,13,FALSE)))</f>
        <v/>
      </c>
      <c r="I62" s="413" t="str">
        <f>IF(B62=0,"",IF(BF62=1,VLOOKUP(Envoltória!N70,Componentes!T:AB,7,FALSE),89))</f>
        <v/>
      </c>
      <c r="J62" s="414" t="str">
        <f>IF(B62=0,"",Componentes!$Q$10)</f>
        <v/>
      </c>
      <c r="K62" s="414" t="str">
        <f>IF(B62=0,"",Componentes!$R$10)</f>
        <v/>
      </c>
      <c r="L62" s="413" t="str">
        <f>IF(B62=0,"",IFERROR(IF(BB62&lt;&gt;0,Componentes!$L$11,0),""))</f>
        <v/>
      </c>
      <c r="M62" s="413" t="str">
        <f>IF(B62=0,"",IFERROR(IF(BB62&lt;&gt;0,Componentes!$M$11,0),""))</f>
        <v/>
      </c>
      <c r="N62" s="415" t="str">
        <f>IF(B62=0,"",IFERROR(IF(BB62&lt;&gt;0,Componentes!$N$11,0),""))</f>
        <v/>
      </c>
      <c r="O62" s="413" t="str">
        <f>IF(B62=0,"",IF(BF62=1,Componentes!$C$11,-6))</f>
        <v/>
      </c>
      <c r="P62" s="413" t="str">
        <f>IF(B62=0,"",IF(BF62=1,Componentes!$D$11,-400))</f>
        <v/>
      </c>
      <c r="Q62" s="413" t="str">
        <f>IF(B62=0,"",IF(BF62=1,Componentes!$E$11,0))</f>
        <v/>
      </c>
      <c r="R62" s="414" t="str">
        <f>IF(B62=0,"",Componentes!$H$11)</f>
        <v/>
      </c>
      <c r="S62" s="414" t="str">
        <f>IF(B62=0,"",Componentes!$I$11)</f>
        <v/>
      </c>
      <c r="T62" s="413" t="str">
        <f>IF(B62=0,"",IFERROR(IF(H62&lt;&gt;0,Componentes!$V$11,0),""))</f>
        <v/>
      </c>
      <c r="U62" s="413" t="str">
        <f>IF(B62=0,"",IFERROR(IF(H62&lt;&gt;0,Componentes!$U$11,0),""))</f>
        <v/>
      </c>
      <c r="V62" s="414" t="str">
        <f>IF(B62=0,"",IFERROR(IF(AA62&lt;&gt;0,VLOOKUP(Envoltória!U70,Componentes!X:Z,2,FALSE),0),0))</f>
        <v/>
      </c>
      <c r="W62" s="414" t="str">
        <f>IF(B62=0,"",IFERROR(IF(AA62&lt;&gt;0,Componentes!$AE$11,0),0))</f>
        <v/>
      </c>
      <c r="X62" s="413" t="str">
        <f>IF(B62=0,"",Envoltória!U70)</f>
        <v/>
      </c>
      <c r="Y62" s="413" t="str">
        <f>IF(B62=0,"",VLOOKUP(Início!$C$20,Aux_Lista!A:H,8,FALSE))</f>
        <v/>
      </c>
      <c r="Z62" s="413" t="str">
        <f>IF(B62=0,"",Envoltória!T70)</f>
        <v/>
      </c>
      <c r="AA62" s="416" t="str">
        <f>IF(B62=0,"",Envoltória!Q70/100)</f>
        <v/>
      </c>
      <c r="AB62" s="417" t="str">
        <f>INPUT!AB62</f>
        <v/>
      </c>
      <c r="AC62" s="417" t="str">
        <f>INPUT!AC62</f>
        <v/>
      </c>
      <c r="AD62" s="417" t="str">
        <f>INPUT!AD62</f>
        <v/>
      </c>
      <c r="AE62" s="417" t="str">
        <f>INPUT!AE62</f>
        <v/>
      </c>
      <c r="AF62" s="417" t="str">
        <f>INPUT!AF62</f>
        <v/>
      </c>
      <c r="AG62" s="417" t="str">
        <f>INPUT!AG62</f>
        <v/>
      </c>
      <c r="AH62" s="417" t="str">
        <f>INPUT!AH62</f>
        <v/>
      </c>
      <c r="AI62" s="417" t="str">
        <f>INPUT!AI62</f>
        <v/>
      </c>
      <c r="AJ62" s="417" t="str">
        <f>INPUT!AJ62</f>
        <v/>
      </c>
      <c r="AK62" s="417" t="str">
        <f>INPUT!AK62</f>
        <v/>
      </c>
      <c r="AL62" s="417" t="str">
        <f>INPUT!AL62</f>
        <v/>
      </c>
      <c r="AM62" s="417" t="str">
        <f>INPUT!AM62</f>
        <v/>
      </c>
      <c r="AN62" s="417" t="str">
        <f>INPUT!AN62</f>
        <v/>
      </c>
      <c r="AO62" s="417" t="str">
        <f>INPUT!AO62</f>
        <v/>
      </c>
      <c r="AP62" s="413" t="str">
        <f>IF(B62=0,"",IF(BF62=0,90,VLOOKUP(Envoltória!N70,Componentes!T:AB,9,FALSE)))</f>
        <v/>
      </c>
      <c r="AQ62" s="413" t="str">
        <f>IF(B62=0,"",IF(BF62=0,90,VLOOKUP(Envoltória!N70,Componentes!T:AB,8,FALSE)))</f>
        <v/>
      </c>
      <c r="AR62" s="413" t="str">
        <f t="shared" si="4"/>
        <v/>
      </c>
      <c r="AS62" s="413" t="str">
        <f t="shared" si="4"/>
        <v/>
      </c>
      <c r="AT62" s="413" t="str">
        <f t="shared" si="4"/>
        <v/>
      </c>
      <c r="AU62" s="413" t="str">
        <f t="shared" si="4"/>
        <v/>
      </c>
      <c r="AV62" s="413" t="str">
        <f t="shared" si="4"/>
        <v/>
      </c>
      <c r="AW62" s="414" t="str">
        <f>INPUT!AW62</f>
        <v/>
      </c>
      <c r="AX62" s="414" t="str">
        <f>INPUT!AX62</f>
        <v/>
      </c>
      <c r="AY62" s="414" t="str">
        <f>INPUT!AY62</f>
        <v/>
      </c>
      <c r="AZ62" s="414" t="str">
        <f>INPUT!AZ62</f>
        <v/>
      </c>
      <c r="BA62" s="414" t="str">
        <f>INPUT!BA62</f>
        <v/>
      </c>
      <c r="BB62" s="414" t="str">
        <f>INPUT!BB62</f>
        <v/>
      </c>
      <c r="BC62" s="414" t="str">
        <f>INPUT!BC62</f>
        <v/>
      </c>
      <c r="BD62" s="414" t="str">
        <f>INPUT!BD62</f>
        <v/>
      </c>
      <c r="BE62" s="412" t="str">
        <f t="shared" si="2"/>
        <v/>
      </c>
      <c r="BF62" s="412" t="str">
        <f>IF(B62=0,"",IFERROR(VLOOKUP(Envoltória!F70,INPUT_REF!$BQ$18:$BR$19,2,FALSE),""))</f>
        <v/>
      </c>
      <c r="BG62" s="412" t="str">
        <f>IFERROR(VLOOKUP(Envoltória!$G70,$BQ$35:$BZ$43,BG$9,FALSE),"")</f>
        <v/>
      </c>
      <c r="BH62" s="412" t="str">
        <f>IFERROR(VLOOKUP(Envoltória!$G70,$BQ$35:$BZ$43,BH$9,FALSE),"")</f>
        <v/>
      </c>
      <c r="BI62" s="412" t="str">
        <f>IFERROR(VLOOKUP(Envoltória!$G70,$BQ$35:$BZ$43,BI$9,FALSE),"")</f>
        <v/>
      </c>
      <c r="BJ62" s="412" t="str">
        <f>IFERROR(VLOOKUP(Envoltória!$G70,$BQ$35:$BZ$43,BJ$9,FALSE),"")</f>
        <v/>
      </c>
      <c r="BK62" s="412" t="str">
        <f>IFERROR(VLOOKUP(Envoltória!$G70,$BQ$35:$BZ$43,BK$9,FALSE),"")</f>
        <v/>
      </c>
      <c r="BL62" s="412" t="str">
        <f>IFERROR(VLOOKUP(Envoltória!$G70,$BQ$35:$BZ$43,BL$9,FALSE),"")</f>
        <v/>
      </c>
      <c r="BM62" s="412" t="str">
        <f>IFERROR(VLOOKUP(Envoltória!$G70,$BQ$35:$BZ$43,BM$9,FALSE),"")</f>
        <v/>
      </c>
      <c r="BN62" s="412" t="str">
        <f>IFERROR(VLOOKUP(Envoltória!$G70,$BQ$35:$BZ$43,BN$9,FALSE),"")</f>
        <v/>
      </c>
      <c r="BO62" s="412" t="str">
        <f>IFERROR(VLOOKUP(Envoltória!$G70,$BQ$35:$BZ$43,BO$9,FALSE),"")</f>
        <v/>
      </c>
    </row>
    <row r="63" spans="1:68" x14ac:dyDescent="0.25">
      <c r="A63" s="1">
        <v>53</v>
      </c>
      <c r="B63" s="409">
        <f>Envoltória!I71</f>
        <v>0</v>
      </c>
      <c r="C63" s="410">
        <f>Envoltória!B71</f>
        <v>0</v>
      </c>
      <c r="D63" s="410">
        <f>Envoltória!C71</f>
        <v>0</v>
      </c>
      <c r="E63" s="411">
        <f>Envoltória!D71</f>
        <v>0</v>
      </c>
      <c r="F63" s="412" t="str">
        <f>IF(B63=0,"",Envoltória!E71)</f>
        <v/>
      </c>
      <c r="G63" s="412" t="str">
        <f t="shared" si="0"/>
        <v/>
      </c>
      <c r="H63" s="413" t="str">
        <f>IF(B63=0,"",IF(Envoltória!O71=0,0,VLOOKUP(B63,Aux_Lista!A:M,13,FALSE)))</f>
        <v/>
      </c>
      <c r="I63" s="413" t="str">
        <f>IF(B63=0,"",IF(BF63=1,VLOOKUP(Envoltória!N71,Componentes!T:AB,7,FALSE),89))</f>
        <v/>
      </c>
      <c r="J63" s="414" t="str">
        <f>IF(B63=0,"",Componentes!$Q$10)</f>
        <v/>
      </c>
      <c r="K63" s="414" t="str">
        <f>IF(B63=0,"",Componentes!$R$10)</f>
        <v/>
      </c>
      <c r="L63" s="413" t="str">
        <f>IF(B63=0,"",IFERROR(IF(BB63&lt;&gt;0,Componentes!$L$11,0),""))</f>
        <v/>
      </c>
      <c r="M63" s="413" t="str">
        <f>IF(B63=0,"",IFERROR(IF(BB63&lt;&gt;0,Componentes!$M$11,0),""))</f>
        <v/>
      </c>
      <c r="N63" s="415" t="str">
        <f>IF(B63=0,"",IFERROR(IF(BB63&lt;&gt;0,Componentes!$N$11,0),""))</f>
        <v/>
      </c>
      <c r="O63" s="413" t="str">
        <f>IF(B63=0,"",IF(BF63=1,Componentes!$C$11,-6))</f>
        <v/>
      </c>
      <c r="P63" s="413" t="str">
        <f>IF(B63=0,"",IF(BF63=1,Componentes!$D$11,-400))</f>
        <v/>
      </c>
      <c r="Q63" s="413" t="str">
        <f>IF(B63=0,"",IF(BF63=1,Componentes!$E$11,0))</f>
        <v/>
      </c>
      <c r="R63" s="414" t="str">
        <f>IF(B63=0,"",Componentes!$H$11)</f>
        <v/>
      </c>
      <c r="S63" s="414" t="str">
        <f>IF(B63=0,"",Componentes!$I$11)</f>
        <v/>
      </c>
      <c r="T63" s="413" t="str">
        <f>IF(B63=0,"",IFERROR(IF(H63&lt;&gt;0,Componentes!$V$11,0),""))</f>
        <v/>
      </c>
      <c r="U63" s="413" t="str">
        <f>IF(B63=0,"",IFERROR(IF(H63&lt;&gt;0,Componentes!$U$11,0),""))</f>
        <v/>
      </c>
      <c r="V63" s="414" t="str">
        <f>IF(B63=0,"",IFERROR(IF(AA63&lt;&gt;0,VLOOKUP(Envoltória!U71,Componentes!X:Z,2,FALSE),0),0))</f>
        <v/>
      </c>
      <c r="W63" s="414" t="str">
        <f>IF(B63=0,"",IFERROR(IF(AA63&lt;&gt;0,Componentes!$AE$11,0),0))</f>
        <v/>
      </c>
      <c r="X63" s="413" t="str">
        <f>IF(B63=0,"",Envoltória!U71)</f>
        <v/>
      </c>
      <c r="Y63" s="413" t="str">
        <f>IF(B63=0,"",VLOOKUP(Início!$C$20,Aux_Lista!A:H,8,FALSE))</f>
        <v/>
      </c>
      <c r="Z63" s="413" t="str">
        <f>IF(B63=0,"",Envoltória!T71)</f>
        <v/>
      </c>
      <c r="AA63" s="416" t="str">
        <f>IF(B63=0,"",Envoltória!Q71/100)</f>
        <v/>
      </c>
      <c r="AB63" s="417" t="str">
        <f>INPUT!AB63</f>
        <v/>
      </c>
      <c r="AC63" s="417" t="str">
        <f>INPUT!AC63</f>
        <v/>
      </c>
      <c r="AD63" s="417" t="str">
        <f>INPUT!AD63</f>
        <v/>
      </c>
      <c r="AE63" s="417" t="str">
        <f>INPUT!AE63</f>
        <v/>
      </c>
      <c r="AF63" s="417" t="str">
        <f>INPUT!AF63</f>
        <v/>
      </c>
      <c r="AG63" s="417" t="str">
        <f>INPUT!AG63</f>
        <v/>
      </c>
      <c r="AH63" s="417" t="str">
        <f>INPUT!AH63</f>
        <v/>
      </c>
      <c r="AI63" s="417" t="str">
        <f>INPUT!AI63</f>
        <v/>
      </c>
      <c r="AJ63" s="417" t="str">
        <f>INPUT!AJ63</f>
        <v/>
      </c>
      <c r="AK63" s="417" t="str">
        <f>INPUT!AK63</f>
        <v/>
      </c>
      <c r="AL63" s="417" t="str">
        <f>INPUT!AL63</f>
        <v/>
      </c>
      <c r="AM63" s="417" t="str">
        <f>INPUT!AM63</f>
        <v/>
      </c>
      <c r="AN63" s="417" t="str">
        <f>INPUT!AN63</f>
        <v/>
      </c>
      <c r="AO63" s="417" t="str">
        <f>INPUT!AO63</f>
        <v/>
      </c>
      <c r="AP63" s="413" t="str">
        <f>IF(B63=0,"",IF(BF63=0,90,VLOOKUP(Envoltória!N71,Componentes!T:AB,9,FALSE)))</f>
        <v/>
      </c>
      <c r="AQ63" s="413" t="str">
        <f>IF(B63=0,"",IF(BF63=0,90,VLOOKUP(Envoltória!N71,Componentes!T:AB,8,FALSE)))</f>
        <v/>
      </c>
      <c r="AR63" s="413" t="str">
        <f t="shared" si="4"/>
        <v/>
      </c>
      <c r="AS63" s="413" t="str">
        <f t="shared" si="4"/>
        <v/>
      </c>
      <c r="AT63" s="413" t="str">
        <f t="shared" si="4"/>
        <v/>
      </c>
      <c r="AU63" s="413" t="str">
        <f t="shared" si="4"/>
        <v/>
      </c>
      <c r="AV63" s="413" t="str">
        <f t="shared" si="4"/>
        <v/>
      </c>
      <c r="AW63" s="414" t="str">
        <f>INPUT!AW63</f>
        <v/>
      </c>
      <c r="AX63" s="414" t="str">
        <f>INPUT!AX63</f>
        <v/>
      </c>
      <c r="AY63" s="414" t="str">
        <f>INPUT!AY63</f>
        <v/>
      </c>
      <c r="AZ63" s="414" t="str">
        <f>INPUT!AZ63</f>
        <v/>
      </c>
      <c r="BA63" s="414" t="str">
        <f>INPUT!BA63</f>
        <v/>
      </c>
      <c r="BB63" s="414" t="str">
        <f>INPUT!BB63</f>
        <v/>
      </c>
      <c r="BC63" s="414" t="str">
        <f>INPUT!BC63</f>
        <v/>
      </c>
      <c r="BD63" s="414" t="str">
        <f>INPUT!BD63</f>
        <v/>
      </c>
      <c r="BE63" s="412" t="str">
        <f t="shared" si="2"/>
        <v/>
      </c>
      <c r="BF63" s="412" t="str">
        <f>IF(B63=0,"",IFERROR(VLOOKUP(Envoltória!F71,INPUT_REF!$BQ$18:$BR$19,2,FALSE),""))</f>
        <v/>
      </c>
      <c r="BG63" s="412" t="str">
        <f>IFERROR(VLOOKUP(Envoltória!$G71,$BQ$35:$BZ$43,BG$9,FALSE),"")</f>
        <v/>
      </c>
      <c r="BH63" s="412" t="str">
        <f>IFERROR(VLOOKUP(Envoltória!$G71,$BQ$35:$BZ$43,BH$9,FALSE),"")</f>
        <v/>
      </c>
      <c r="BI63" s="412" t="str">
        <f>IFERROR(VLOOKUP(Envoltória!$G71,$BQ$35:$BZ$43,BI$9,FALSE),"")</f>
        <v/>
      </c>
      <c r="BJ63" s="412" t="str">
        <f>IFERROR(VLOOKUP(Envoltória!$G71,$BQ$35:$BZ$43,BJ$9,FALSE),"")</f>
        <v/>
      </c>
      <c r="BK63" s="412" t="str">
        <f>IFERROR(VLOOKUP(Envoltória!$G71,$BQ$35:$BZ$43,BK$9,FALSE),"")</f>
        <v/>
      </c>
      <c r="BL63" s="412" t="str">
        <f>IFERROR(VLOOKUP(Envoltória!$G71,$BQ$35:$BZ$43,BL$9,FALSE),"")</f>
        <v/>
      </c>
      <c r="BM63" s="412" t="str">
        <f>IFERROR(VLOOKUP(Envoltória!$G71,$BQ$35:$BZ$43,BM$9,FALSE),"")</f>
        <v/>
      </c>
      <c r="BN63" s="412" t="str">
        <f>IFERROR(VLOOKUP(Envoltória!$G71,$BQ$35:$BZ$43,BN$9,FALSE),"")</f>
        <v/>
      </c>
      <c r="BO63" s="412" t="str">
        <f>IFERROR(VLOOKUP(Envoltória!$G71,$BQ$35:$BZ$43,BO$9,FALSE),"")</f>
        <v/>
      </c>
    </row>
    <row r="64" spans="1:68" x14ac:dyDescent="0.25">
      <c r="A64" s="1">
        <v>54</v>
      </c>
      <c r="B64" s="409">
        <f>Envoltória!I72</f>
        <v>0</v>
      </c>
      <c r="C64" s="410">
        <f>Envoltória!B72</f>
        <v>0</v>
      </c>
      <c r="D64" s="410">
        <f>Envoltória!C72</f>
        <v>0</v>
      </c>
      <c r="E64" s="411">
        <f>Envoltória!D72</f>
        <v>0</v>
      </c>
      <c r="F64" s="412" t="str">
        <f>IF(B64=0,"",Envoltória!E72)</f>
        <v/>
      </c>
      <c r="G64" s="412" t="str">
        <f t="shared" si="0"/>
        <v/>
      </c>
      <c r="H64" s="413" t="str">
        <f>IF(B64=0,"",IF(Envoltória!O72=0,0,VLOOKUP(B64,Aux_Lista!A:M,13,FALSE)))</f>
        <v/>
      </c>
      <c r="I64" s="413" t="str">
        <f>IF(B64=0,"",IF(BF64=1,VLOOKUP(Envoltória!N72,Componentes!T:AB,7,FALSE),89))</f>
        <v/>
      </c>
      <c r="J64" s="414" t="str">
        <f>IF(B64=0,"",Componentes!$Q$10)</f>
        <v/>
      </c>
      <c r="K64" s="414" t="str">
        <f>IF(B64=0,"",Componentes!$R$10)</f>
        <v/>
      </c>
      <c r="L64" s="413" t="str">
        <f>IF(B64=0,"",IFERROR(IF(BB64&lt;&gt;0,Componentes!$L$11,0),""))</f>
        <v/>
      </c>
      <c r="M64" s="413" t="str">
        <f>IF(B64=0,"",IFERROR(IF(BB64&lt;&gt;0,Componentes!$M$11,0),""))</f>
        <v/>
      </c>
      <c r="N64" s="415" t="str">
        <f>IF(B64=0,"",IFERROR(IF(BB64&lt;&gt;0,Componentes!$N$11,0),""))</f>
        <v/>
      </c>
      <c r="O64" s="413" t="str">
        <f>IF(B64=0,"",IF(BF64=1,Componentes!$C$11,-6))</f>
        <v/>
      </c>
      <c r="P64" s="413" t="str">
        <f>IF(B64=0,"",IF(BF64=1,Componentes!$D$11,-400))</f>
        <v/>
      </c>
      <c r="Q64" s="413" t="str">
        <f>IF(B64=0,"",IF(BF64=1,Componentes!$E$11,0))</f>
        <v/>
      </c>
      <c r="R64" s="414" t="str">
        <f>IF(B64=0,"",Componentes!$H$11)</f>
        <v/>
      </c>
      <c r="S64" s="414" t="str">
        <f>IF(B64=0,"",Componentes!$I$11)</f>
        <v/>
      </c>
      <c r="T64" s="413" t="str">
        <f>IF(B64=0,"",IFERROR(IF(H64&lt;&gt;0,Componentes!$V$11,0),""))</f>
        <v/>
      </c>
      <c r="U64" s="413" t="str">
        <f>IF(B64=0,"",IFERROR(IF(H64&lt;&gt;0,Componentes!$U$11,0),""))</f>
        <v/>
      </c>
      <c r="V64" s="414" t="str">
        <f>IF(B64=0,"",IFERROR(IF(AA64&lt;&gt;0,VLOOKUP(Envoltória!U72,Componentes!X:Z,2,FALSE),0),0))</f>
        <v/>
      </c>
      <c r="W64" s="414" t="str">
        <f>IF(B64=0,"",IFERROR(IF(AA64&lt;&gt;0,Componentes!$AE$11,0),0))</f>
        <v/>
      </c>
      <c r="X64" s="413" t="str">
        <f>IF(B64=0,"",Envoltória!U72)</f>
        <v/>
      </c>
      <c r="Y64" s="413" t="str">
        <f>IF(B64=0,"",VLOOKUP(Início!$C$20,Aux_Lista!A:H,8,FALSE))</f>
        <v/>
      </c>
      <c r="Z64" s="413" t="str">
        <f>IF(B64=0,"",Envoltória!T72)</f>
        <v/>
      </c>
      <c r="AA64" s="416" t="str">
        <f>IF(B64=0,"",Envoltória!Q72/100)</f>
        <v/>
      </c>
      <c r="AB64" s="417" t="str">
        <f>INPUT!AB64</f>
        <v/>
      </c>
      <c r="AC64" s="417" t="str">
        <f>INPUT!AC64</f>
        <v/>
      </c>
      <c r="AD64" s="417" t="str">
        <f>INPUT!AD64</f>
        <v/>
      </c>
      <c r="AE64" s="417" t="str">
        <f>INPUT!AE64</f>
        <v/>
      </c>
      <c r="AF64" s="417" t="str">
        <f>INPUT!AF64</f>
        <v/>
      </c>
      <c r="AG64" s="417" t="str">
        <f>INPUT!AG64</f>
        <v/>
      </c>
      <c r="AH64" s="417" t="str">
        <f>INPUT!AH64</f>
        <v/>
      </c>
      <c r="AI64" s="417" t="str">
        <f>INPUT!AI64</f>
        <v/>
      </c>
      <c r="AJ64" s="417" t="str">
        <f>INPUT!AJ64</f>
        <v/>
      </c>
      <c r="AK64" s="417" t="str">
        <f>INPUT!AK64</f>
        <v/>
      </c>
      <c r="AL64" s="417" t="str">
        <f>INPUT!AL64</f>
        <v/>
      </c>
      <c r="AM64" s="417" t="str">
        <f>INPUT!AM64</f>
        <v/>
      </c>
      <c r="AN64" s="417" t="str">
        <f>INPUT!AN64</f>
        <v/>
      </c>
      <c r="AO64" s="417" t="str">
        <f>INPUT!AO64</f>
        <v/>
      </c>
      <c r="AP64" s="413" t="str">
        <f>IF(B64=0,"",IF(BF64=0,90,VLOOKUP(Envoltória!N72,Componentes!T:AB,9,FALSE)))</f>
        <v/>
      </c>
      <c r="AQ64" s="413" t="str">
        <f>IF(B64=0,"",IF(BF64=0,90,VLOOKUP(Envoltória!N72,Componentes!T:AB,8,FALSE)))</f>
        <v/>
      </c>
      <c r="AR64" s="413" t="str">
        <f t="shared" si="4"/>
        <v/>
      </c>
      <c r="AS64" s="413" t="str">
        <f t="shared" si="4"/>
        <v/>
      </c>
      <c r="AT64" s="413" t="str">
        <f t="shared" si="4"/>
        <v/>
      </c>
      <c r="AU64" s="413" t="str">
        <f t="shared" si="4"/>
        <v/>
      </c>
      <c r="AV64" s="413" t="str">
        <f t="shared" si="4"/>
        <v/>
      </c>
      <c r="AW64" s="414" t="str">
        <f>INPUT!AW64</f>
        <v/>
      </c>
      <c r="AX64" s="414" t="str">
        <f>INPUT!AX64</f>
        <v/>
      </c>
      <c r="AY64" s="414" t="str">
        <f>INPUT!AY64</f>
        <v/>
      </c>
      <c r="AZ64" s="414" t="str">
        <f>INPUT!AZ64</f>
        <v/>
      </c>
      <c r="BA64" s="414" t="str">
        <f>INPUT!BA64</f>
        <v/>
      </c>
      <c r="BB64" s="414" t="str">
        <f>INPUT!BB64</f>
        <v/>
      </c>
      <c r="BC64" s="414" t="str">
        <f>INPUT!BC64</f>
        <v/>
      </c>
      <c r="BD64" s="414" t="str">
        <f>INPUT!BD64</f>
        <v/>
      </c>
      <c r="BE64" s="412" t="str">
        <f t="shared" si="2"/>
        <v/>
      </c>
      <c r="BF64" s="412" t="str">
        <f>IF(B64=0,"",IFERROR(VLOOKUP(Envoltória!F72,INPUT_REF!$BQ$18:$BR$19,2,FALSE),""))</f>
        <v/>
      </c>
      <c r="BG64" s="412" t="str">
        <f>IFERROR(VLOOKUP(Envoltória!$G72,$BQ$35:$BZ$43,BG$9,FALSE),"")</f>
        <v/>
      </c>
      <c r="BH64" s="412" t="str">
        <f>IFERROR(VLOOKUP(Envoltória!$G72,$BQ$35:$BZ$43,BH$9,FALSE),"")</f>
        <v/>
      </c>
      <c r="BI64" s="412" t="str">
        <f>IFERROR(VLOOKUP(Envoltória!$G72,$BQ$35:$BZ$43,BI$9,FALSE),"")</f>
        <v/>
      </c>
      <c r="BJ64" s="412" t="str">
        <f>IFERROR(VLOOKUP(Envoltória!$G72,$BQ$35:$BZ$43,BJ$9,FALSE),"")</f>
        <v/>
      </c>
      <c r="BK64" s="412" t="str">
        <f>IFERROR(VLOOKUP(Envoltória!$G72,$BQ$35:$BZ$43,BK$9,FALSE),"")</f>
        <v/>
      </c>
      <c r="BL64" s="412" t="str">
        <f>IFERROR(VLOOKUP(Envoltória!$G72,$BQ$35:$BZ$43,BL$9,FALSE),"")</f>
        <v/>
      </c>
      <c r="BM64" s="412" t="str">
        <f>IFERROR(VLOOKUP(Envoltória!$G72,$BQ$35:$BZ$43,BM$9,FALSE),"")</f>
        <v/>
      </c>
      <c r="BN64" s="412" t="str">
        <f>IFERROR(VLOOKUP(Envoltória!$G72,$BQ$35:$BZ$43,BN$9,FALSE),"")</f>
        <v/>
      </c>
      <c r="BO64" s="412" t="str">
        <f>IFERROR(VLOOKUP(Envoltória!$G72,$BQ$35:$BZ$43,BO$9,FALSE),"")</f>
        <v/>
      </c>
    </row>
    <row r="65" spans="1:67" x14ac:dyDescent="0.25">
      <c r="A65" s="1">
        <v>55</v>
      </c>
      <c r="B65" s="409">
        <f>Envoltória!I73</f>
        <v>0</v>
      </c>
      <c r="C65" s="410">
        <f>Envoltória!B73</f>
        <v>0</v>
      </c>
      <c r="D65" s="410">
        <f>Envoltória!C73</f>
        <v>0</v>
      </c>
      <c r="E65" s="411">
        <f>Envoltória!D73</f>
        <v>0</v>
      </c>
      <c r="F65" s="412" t="str">
        <f>IF(B65=0,"",Envoltória!E73)</f>
        <v/>
      </c>
      <c r="G65" s="412" t="str">
        <f t="shared" si="0"/>
        <v/>
      </c>
      <c r="H65" s="413" t="str">
        <f>IF(B65=0,"",IF(Envoltória!O73=0,0,VLOOKUP(B65,Aux_Lista!A:M,13,FALSE)))</f>
        <v/>
      </c>
      <c r="I65" s="413" t="str">
        <f>IF(B65=0,"",IF(BF65=1,VLOOKUP(Envoltória!N73,Componentes!T:AB,7,FALSE),89))</f>
        <v/>
      </c>
      <c r="J65" s="414" t="str">
        <f>IF(B65=0,"",Componentes!$Q$10)</f>
        <v/>
      </c>
      <c r="K65" s="414" t="str">
        <f>IF(B65=0,"",Componentes!$R$10)</f>
        <v/>
      </c>
      <c r="L65" s="413" t="str">
        <f>IF(B65=0,"",IFERROR(IF(BB65&lt;&gt;0,Componentes!$L$11,0),""))</f>
        <v/>
      </c>
      <c r="M65" s="413" t="str">
        <f>IF(B65=0,"",IFERROR(IF(BB65&lt;&gt;0,Componentes!$M$11,0),""))</f>
        <v/>
      </c>
      <c r="N65" s="415" t="str">
        <f>IF(B65=0,"",IFERROR(IF(BB65&lt;&gt;0,Componentes!$N$11,0),""))</f>
        <v/>
      </c>
      <c r="O65" s="413" t="str">
        <f>IF(B65=0,"",IF(BF65=1,Componentes!$C$11,-6))</f>
        <v/>
      </c>
      <c r="P65" s="413" t="str">
        <f>IF(B65=0,"",IF(BF65=1,Componentes!$D$11,-400))</f>
        <v/>
      </c>
      <c r="Q65" s="413" t="str">
        <f>IF(B65=0,"",IF(BF65=1,Componentes!$E$11,0))</f>
        <v/>
      </c>
      <c r="R65" s="414" t="str">
        <f>IF(B65=0,"",Componentes!$H$11)</f>
        <v/>
      </c>
      <c r="S65" s="414" t="str">
        <f>IF(B65=0,"",Componentes!$I$11)</f>
        <v/>
      </c>
      <c r="T65" s="413" t="str">
        <f>IF(B65=0,"",IFERROR(IF(H65&lt;&gt;0,Componentes!$V$11,0),""))</f>
        <v/>
      </c>
      <c r="U65" s="413" t="str">
        <f>IF(B65=0,"",IFERROR(IF(H65&lt;&gt;0,Componentes!$U$11,0),""))</f>
        <v/>
      </c>
      <c r="V65" s="414" t="str">
        <f>IF(B65=0,"",IFERROR(IF(AA65&lt;&gt;0,VLOOKUP(Envoltória!U73,Componentes!X:Z,2,FALSE),0),0))</f>
        <v/>
      </c>
      <c r="W65" s="414" t="str">
        <f>IF(B65=0,"",IFERROR(IF(AA65&lt;&gt;0,Componentes!$AE$11,0),0))</f>
        <v/>
      </c>
      <c r="X65" s="413" t="str">
        <f>IF(B65=0,"",Envoltória!U73)</f>
        <v/>
      </c>
      <c r="Y65" s="413" t="str">
        <f>IF(B65=0,"",VLOOKUP(Início!$C$20,Aux_Lista!A:H,8,FALSE))</f>
        <v/>
      </c>
      <c r="Z65" s="413" t="str">
        <f>IF(B65=0,"",Envoltória!T73)</f>
        <v/>
      </c>
      <c r="AA65" s="416" t="str">
        <f>IF(B65=0,"",Envoltória!Q73/100)</f>
        <v/>
      </c>
      <c r="AB65" s="417" t="str">
        <f>INPUT!AB65</f>
        <v/>
      </c>
      <c r="AC65" s="417" t="str">
        <f>INPUT!AC65</f>
        <v/>
      </c>
      <c r="AD65" s="417" t="str">
        <f>INPUT!AD65</f>
        <v/>
      </c>
      <c r="AE65" s="417" t="str">
        <f>INPUT!AE65</f>
        <v/>
      </c>
      <c r="AF65" s="417" t="str">
        <f>INPUT!AF65</f>
        <v/>
      </c>
      <c r="AG65" s="417" t="str">
        <f>INPUT!AG65</f>
        <v/>
      </c>
      <c r="AH65" s="417" t="str">
        <f>INPUT!AH65</f>
        <v/>
      </c>
      <c r="AI65" s="417" t="str">
        <f>INPUT!AI65</f>
        <v/>
      </c>
      <c r="AJ65" s="417" t="str">
        <f>INPUT!AJ65</f>
        <v/>
      </c>
      <c r="AK65" s="417" t="str">
        <f>INPUT!AK65</f>
        <v/>
      </c>
      <c r="AL65" s="417" t="str">
        <f>INPUT!AL65</f>
        <v/>
      </c>
      <c r="AM65" s="417" t="str">
        <f>INPUT!AM65</f>
        <v/>
      </c>
      <c r="AN65" s="417" t="str">
        <f>INPUT!AN65</f>
        <v/>
      </c>
      <c r="AO65" s="417" t="str">
        <f>INPUT!AO65</f>
        <v/>
      </c>
      <c r="AP65" s="413" t="str">
        <f>IF(B65=0,"",IF(BF65=0,90,VLOOKUP(Envoltória!N73,Componentes!T:AB,9,FALSE)))</f>
        <v/>
      </c>
      <c r="AQ65" s="413" t="str">
        <f>IF(B65=0,"",IF(BF65=0,90,VLOOKUP(Envoltória!N73,Componentes!T:AB,8,FALSE)))</f>
        <v/>
      </c>
      <c r="AR65" s="413" t="str">
        <f t="shared" si="4"/>
        <v/>
      </c>
      <c r="AS65" s="413" t="str">
        <f t="shared" si="4"/>
        <v/>
      </c>
      <c r="AT65" s="413" t="str">
        <f t="shared" si="4"/>
        <v/>
      </c>
      <c r="AU65" s="413" t="str">
        <f t="shared" si="4"/>
        <v/>
      </c>
      <c r="AV65" s="413" t="str">
        <f t="shared" si="4"/>
        <v/>
      </c>
      <c r="AW65" s="414" t="str">
        <f>INPUT!AW65</f>
        <v/>
      </c>
      <c r="AX65" s="414" t="str">
        <f>INPUT!AX65</f>
        <v/>
      </c>
      <c r="AY65" s="414" t="str">
        <f>INPUT!AY65</f>
        <v/>
      </c>
      <c r="AZ65" s="414" t="str">
        <f>INPUT!AZ65</f>
        <v/>
      </c>
      <c r="BA65" s="414" t="str">
        <f>INPUT!BA65</f>
        <v/>
      </c>
      <c r="BB65" s="414" t="str">
        <f>INPUT!BB65</f>
        <v/>
      </c>
      <c r="BC65" s="414" t="str">
        <f>INPUT!BC65</f>
        <v/>
      </c>
      <c r="BD65" s="414" t="str">
        <f>INPUT!BD65</f>
        <v/>
      </c>
      <c r="BE65" s="412" t="str">
        <f t="shared" si="2"/>
        <v/>
      </c>
      <c r="BF65" s="412" t="str">
        <f>IF(B65=0,"",IFERROR(VLOOKUP(Envoltória!F73,INPUT_REF!$BQ$18:$BR$19,2,FALSE),""))</f>
        <v/>
      </c>
      <c r="BG65" s="412" t="str">
        <f>IFERROR(VLOOKUP(Envoltória!$G73,$BQ$35:$BZ$43,BG$9,FALSE),"")</f>
        <v/>
      </c>
      <c r="BH65" s="412" t="str">
        <f>IFERROR(VLOOKUP(Envoltória!$G73,$BQ$35:$BZ$43,BH$9,FALSE),"")</f>
        <v/>
      </c>
      <c r="BI65" s="412" t="str">
        <f>IFERROR(VLOOKUP(Envoltória!$G73,$BQ$35:$BZ$43,BI$9,FALSE),"")</f>
        <v/>
      </c>
      <c r="BJ65" s="412" t="str">
        <f>IFERROR(VLOOKUP(Envoltória!$G73,$BQ$35:$BZ$43,BJ$9,FALSE),"")</f>
        <v/>
      </c>
      <c r="BK65" s="412" t="str">
        <f>IFERROR(VLOOKUP(Envoltória!$G73,$BQ$35:$BZ$43,BK$9,FALSE),"")</f>
        <v/>
      </c>
      <c r="BL65" s="412" t="str">
        <f>IFERROR(VLOOKUP(Envoltória!$G73,$BQ$35:$BZ$43,BL$9,FALSE),"")</f>
        <v/>
      </c>
      <c r="BM65" s="412" t="str">
        <f>IFERROR(VLOOKUP(Envoltória!$G73,$BQ$35:$BZ$43,BM$9,FALSE),"")</f>
        <v/>
      </c>
      <c r="BN65" s="412" t="str">
        <f>IFERROR(VLOOKUP(Envoltória!$G73,$BQ$35:$BZ$43,BN$9,FALSE),"")</f>
        <v/>
      </c>
      <c r="BO65" s="412" t="str">
        <f>IFERROR(VLOOKUP(Envoltória!$G73,$BQ$35:$BZ$43,BO$9,FALSE),"")</f>
        <v/>
      </c>
    </row>
    <row r="66" spans="1:67" x14ac:dyDescent="0.25">
      <c r="A66" s="1">
        <v>56</v>
      </c>
      <c r="B66" s="409">
        <f>Envoltória!I74</f>
        <v>0</v>
      </c>
      <c r="C66" s="410">
        <f>Envoltória!B74</f>
        <v>0</v>
      </c>
      <c r="D66" s="410">
        <f>Envoltória!C74</f>
        <v>0</v>
      </c>
      <c r="E66" s="411">
        <f>Envoltória!D74</f>
        <v>0</v>
      </c>
      <c r="F66" s="412" t="str">
        <f>IF(B66=0,"",Envoltória!E74)</f>
        <v/>
      </c>
      <c r="G66" s="412" t="str">
        <f t="shared" si="0"/>
        <v/>
      </c>
      <c r="H66" s="413" t="str">
        <f>IF(B66=0,"",IF(Envoltória!O74=0,0,VLOOKUP(B66,Aux_Lista!A:M,13,FALSE)))</f>
        <v/>
      </c>
      <c r="I66" s="413" t="str">
        <f>IF(B66=0,"",IF(BF66=1,VLOOKUP(Envoltória!N74,Componentes!T:AB,7,FALSE),89))</f>
        <v/>
      </c>
      <c r="J66" s="414" t="str">
        <f>IF(B66=0,"",Componentes!$Q$10)</f>
        <v/>
      </c>
      <c r="K66" s="414" t="str">
        <f>IF(B66=0,"",Componentes!$R$10)</f>
        <v/>
      </c>
      <c r="L66" s="413" t="str">
        <f>IF(B66=0,"",IFERROR(IF(BB66&lt;&gt;0,Componentes!$L$11,0),""))</f>
        <v/>
      </c>
      <c r="M66" s="413" t="str">
        <f>IF(B66=0,"",IFERROR(IF(BB66&lt;&gt;0,Componentes!$M$11,0),""))</f>
        <v/>
      </c>
      <c r="N66" s="415" t="str">
        <f>IF(B66=0,"",IFERROR(IF(BB66&lt;&gt;0,Componentes!$N$11,0),""))</f>
        <v/>
      </c>
      <c r="O66" s="413" t="str">
        <f>IF(B66=0,"",IF(BF66=1,Componentes!$C$11,-6))</f>
        <v/>
      </c>
      <c r="P66" s="413" t="str">
        <f>IF(B66=0,"",IF(BF66=1,Componentes!$D$11,-400))</f>
        <v/>
      </c>
      <c r="Q66" s="413" t="str">
        <f>IF(B66=0,"",IF(BF66=1,Componentes!$E$11,0))</f>
        <v/>
      </c>
      <c r="R66" s="414" t="str">
        <f>IF(B66=0,"",Componentes!$H$11)</f>
        <v/>
      </c>
      <c r="S66" s="414" t="str">
        <f>IF(B66=0,"",Componentes!$I$11)</f>
        <v/>
      </c>
      <c r="T66" s="413" t="str">
        <f>IF(B66=0,"",IFERROR(IF(H66&lt;&gt;0,Componentes!$V$11,0),""))</f>
        <v/>
      </c>
      <c r="U66" s="413" t="str">
        <f>IF(B66=0,"",IFERROR(IF(H66&lt;&gt;0,Componentes!$U$11,0),""))</f>
        <v/>
      </c>
      <c r="V66" s="414" t="str">
        <f>IF(B66=0,"",IFERROR(IF(AA66&lt;&gt;0,VLOOKUP(Envoltória!U74,Componentes!X:Z,2,FALSE),0),0))</f>
        <v/>
      </c>
      <c r="W66" s="414" t="str">
        <f>IF(B66=0,"",IFERROR(IF(AA66&lt;&gt;0,Componentes!$AE$11,0),0))</f>
        <v/>
      </c>
      <c r="X66" s="413" t="str">
        <f>IF(B66=0,"",Envoltória!U74)</f>
        <v/>
      </c>
      <c r="Y66" s="413" t="str">
        <f>IF(B66=0,"",VLOOKUP(Início!$C$20,Aux_Lista!A:H,8,FALSE))</f>
        <v/>
      </c>
      <c r="Z66" s="413" t="str">
        <f>IF(B66=0,"",Envoltória!T74)</f>
        <v/>
      </c>
      <c r="AA66" s="416" t="str">
        <f>IF(B66=0,"",Envoltória!Q74/100)</f>
        <v/>
      </c>
      <c r="AB66" s="417" t="str">
        <f>INPUT!AB66</f>
        <v/>
      </c>
      <c r="AC66" s="417" t="str">
        <f>INPUT!AC66</f>
        <v/>
      </c>
      <c r="AD66" s="417" t="str">
        <f>INPUT!AD66</f>
        <v/>
      </c>
      <c r="AE66" s="417" t="str">
        <f>INPUT!AE66</f>
        <v/>
      </c>
      <c r="AF66" s="417" t="str">
        <f>INPUT!AF66</f>
        <v/>
      </c>
      <c r="AG66" s="417" t="str">
        <f>INPUT!AG66</f>
        <v/>
      </c>
      <c r="AH66" s="417" t="str">
        <f>INPUT!AH66</f>
        <v/>
      </c>
      <c r="AI66" s="417" t="str">
        <f>INPUT!AI66</f>
        <v/>
      </c>
      <c r="AJ66" s="417" t="str">
        <f>INPUT!AJ66</f>
        <v/>
      </c>
      <c r="AK66" s="417" t="str">
        <f>INPUT!AK66</f>
        <v/>
      </c>
      <c r="AL66" s="417" t="str">
        <f>INPUT!AL66</f>
        <v/>
      </c>
      <c r="AM66" s="417" t="str">
        <f>INPUT!AM66</f>
        <v/>
      </c>
      <c r="AN66" s="417" t="str">
        <f>INPUT!AN66</f>
        <v/>
      </c>
      <c r="AO66" s="417" t="str">
        <f>INPUT!AO66</f>
        <v/>
      </c>
      <c r="AP66" s="413" t="str">
        <f>IF(B66=0,"",IF(BF66=0,90,VLOOKUP(Envoltória!N74,Componentes!T:AB,9,FALSE)))</f>
        <v/>
      </c>
      <c r="AQ66" s="413" t="str">
        <f>IF(B66=0,"",IF(BF66=0,90,VLOOKUP(Envoltória!N74,Componentes!T:AB,8,FALSE)))</f>
        <v/>
      </c>
      <c r="AR66" s="413" t="str">
        <f t="shared" si="4"/>
        <v/>
      </c>
      <c r="AS66" s="413" t="str">
        <f t="shared" si="4"/>
        <v/>
      </c>
      <c r="AT66" s="413" t="str">
        <f t="shared" si="4"/>
        <v/>
      </c>
      <c r="AU66" s="413" t="str">
        <f t="shared" si="4"/>
        <v/>
      </c>
      <c r="AV66" s="413" t="str">
        <f t="shared" si="4"/>
        <v/>
      </c>
      <c r="AW66" s="414" t="str">
        <f>INPUT!AW66</f>
        <v/>
      </c>
      <c r="AX66" s="414" t="str">
        <f>INPUT!AX66</f>
        <v/>
      </c>
      <c r="AY66" s="414" t="str">
        <f>INPUT!AY66</f>
        <v/>
      </c>
      <c r="AZ66" s="414" t="str">
        <f>INPUT!AZ66</f>
        <v/>
      </c>
      <c r="BA66" s="414" t="str">
        <f>INPUT!BA66</f>
        <v/>
      </c>
      <c r="BB66" s="414" t="str">
        <f>INPUT!BB66</f>
        <v/>
      </c>
      <c r="BC66" s="414" t="str">
        <f>INPUT!BC66</f>
        <v/>
      </c>
      <c r="BD66" s="414" t="str">
        <f>INPUT!BD66</f>
        <v/>
      </c>
      <c r="BE66" s="412" t="str">
        <f t="shared" si="2"/>
        <v/>
      </c>
      <c r="BF66" s="412" t="str">
        <f>IF(B66=0,"",IFERROR(VLOOKUP(Envoltória!F74,INPUT_REF!$BQ$18:$BR$19,2,FALSE),""))</f>
        <v/>
      </c>
      <c r="BG66" s="412" t="str">
        <f>IFERROR(VLOOKUP(Envoltória!$G74,$BQ$35:$BZ$43,BG$9,FALSE),"")</f>
        <v/>
      </c>
      <c r="BH66" s="412" t="str">
        <f>IFERROR(VLOOKUP(Envoltória!$G74,$BQ$35:$BZ$43,BH$9,FALSE),"")</f>
        <v/>
      </c>
      <c r="BI66" s="412" t="str">
        <f>IFERROR(VLOOKUP(Envoltória!$G74,$BQ$35:$BZ$43,BI$9,FALSE),"")</f>
        <v/>
      </c>
      <c r="BJ66" s="412" t="str">
        <f>IFERROR(VLOOKUP(Envoltória!$G74,$BQ$35:$BZ$43,BJ$9,FALSE),"")</f>
        <v/>
      </c>
      <c r="BK66" s="412" t="str">
        <f>IFERROR(VLOOKUP(Envoltória!$G74,$BQ$35:$BZ$43,BK$9,FALSE),"")</f>
        <v/>
      </c>
      <c r="BL66" s="412" t="str">
        <f>IFERROR(VLOOKUP(Envoltória!$G74,$BQ$35:$BZ$43,BL$9,FALSE),"")</f>
        <v/>
      </c>
      <c r="BM66" s="412" t="str">
        <f>IFERROR(VLOOKUP(Envoltória!$G74,$BQ$35:$BZ$43,BM$9,FALSE),"")</f>
        <v/>
      </c>
      <c r="BN66" s="412" t="str">
        <f>IFERROR(VLOOKUP(Envoltória!$G74,$BQ$35:$BZ$43,BN$9,FALSE),"")</f>
        <v/>
      </c>
      <c r="BO66" s="412" t="str">
        <f>IFERROR(VLOOKUP(Envoltória!$G74,$BQ$35:$BZ$43,BO$9,FALSE),"")</f>
        <v/>
      </c>
    </row>
    <row r="67" spans="1:67" x14ac:dyDescent="0.25">
      <c r="A67" s="1">
        <v>57</v>
      </c>
      <c r="B67" s="409">
        <f>Envoltória!I75</f>
        <v>0</v>
      </c>
      <c r="C67" s="410">
        <f>Envoltória!B75</f>
        <v>0</v>
      </c>
      <c r="D67" s="410">
        <f>Envoltória!C75</f>
        <v>0</v>
      </c>
      <c r="E67" s="411">
        <f>Envoltória!D75</f>
        <v>0</v>
      </c>
      <c r="F67" s="412" t="str">
        <f>IF(B67=0,"",Envoltória!E75)</f>
        <v/>
      </c>
      <c r="G67" s="412" t="str">
        <f t="shared" si="0"/>
        <v/>
      </c>
      <c r="H67" s="413" t="str">
        <f>IF(B67=0,"",IF(Envoltória!O75=0,0,VLOOKUP(B67,Aux_Lista!A:M,13,FALSE)))</f>
        <v/>
      </c>
      <c r="I67" s="413" t="str">
        <f>IF(B67=0,"",IF(BF67=1,VLOOKUP(Envoltória!N75,Componentes!T:AB,7,FALSE),89))</f>
        <v/>
      </c>
      <c r="J67" s="414" t="str">
        <f>IF(B67=0,"",Componentes!$Q$10)</f>
        <v/>
      </c>
      <c r="K67" s="414" t="str">
        <f>IF(B67=0,"",Componentes!$R$10)</f>
        <v/>
      </c>
      <c r="L67" s="413" t="str">
        <f>IF(B67=0,"",IFERROR(IF(BB67&lt;&gt;0,Componentes!$L$11,0),""))</f>
        <v/>
      </c>
      <c r="M67" s="413" t="str">
        <f>IF(B67=0,"",IFERROR(IF(BB67&lt;&gt;0,Componentes!$M$11,0),""))</f>
        <v/>
      </c>
      <c r="N67" s="415" t="str">
        <f>IF(B67=0,"",IFERROR(IF(BB67&lt;&gt;0,Componentes!$N$11,0),""))</f>
        <v/>
      </c>
      <c r="O67" s="413" t="str">
        <f>IF(B67=0,"",IF(BF67=1,Componentes!$C$11,-6))</f>
        <v/>
      </c>
      <c r="P67" s="413" t="str">
        <f>IF(B67=0,"",IF(BF67=1,Componentes!$D$11,-400))</f>
        <v/>
      </c>
      <c r="Q67" s="413" t="str">
        <f>IF(B67=0,"",IF(BF67=1,Componentes!$E$11,0))</f>
        <v/>
      </c>
      <c r="R67" s="414" t="str">
        <f>IF(B67=0,"",Componentes!$H$11)</f>
        <v/>
      </c>
      <c r="S67" s="414" t="str">
        <f>IF(B67=0,"",Componentes!$I$11)</f>
        <v/>
      </c>
      <c r="T67" s="413" t="str">
        <f>IF(B67=0,"",IFERROR(IF(H67&lt;&gt;0,Componentes!$V$11,0),""))</f>
        <v/>
      </c>
      <c r="U67" s="413" t="str">
        <f>IF(B67=0,"",IFERROR(IF(H67&lt;&gt;0,Componentes!$U$11,0),""))</f>
        <v/>
      </c>
      <c r="V67" s="414" t="str">
        <f>IF(B67=0,"",IFERROR(IF(AA67&lt;&gt;0,VLOOKUP(Envoltória!U75,Componentes!X:Z,2,FALSE),0),0))</f>
        <v/>
      </c>
      <c r="W67" s="414" t="str">
        <f>IF(B67=0,"",IFERROR(IF(AA67&lt;&gt;0,Componentes!$AE$11,0),0))</f>
        <v/>
      </c>
      <c r="X67" s="413" t="str">
        <f>IF(B67=0,"",Envoltória!U75)</f>
        <v/>
      </c>
      <c r="Y67" s="413" t="str">
        <f>IF(B67=0,"",VLOOKUP(Início!$C$20,Aux_Lista!A:H,8,FALSE))</f>
        <v/>
      </c>
      <c r="Z67" s="413" t="str">
        <f>IF(B67=0,"",Envoltória!T75)</f>
        <v/>
      </c>
      <c r="AA67" s="416" t="str">
        <f>IF(B67=0,"",Envoltória!Q75/100)</f>
        <v/>
      </c>
      <c r="AB67" s="417" t="str">
        <f>INPUT!AB67</f>
        <v/>
      </c>
      <c r="AC67" s="417" t="str">
        <f>INPUT!AC67</f>
        <v/>
      </c>
      <c r="AD67" s="417" t="str">
        <f>INPUT!AD67</f>
        <v/>
      </c>
      <c r="AE67" s="417" t="str">
        <f>INPUT!AE67</f>
        <v/>
      </c>
      <c r="AF67" s="417" t="str">
        <f>INPUT!AF67</f>
        <v/>
      </c>
      <c r="AG67" s="417" t="str">
        <f>INPUT!AG67</f>
        <v/>
      </c>
      <c r="AH67" s="417" t="str">
        <f>INPUT!AH67</f>
        <v/>
      </c>
      <c r="AI67" s="417" t="str">
        <f>INPUT!AI67</f>
        <v/>
      </c>
      <c r="AJ67" s="417" t="str">
        <f>INPUT!AJ67</f>
        <v/>
      </c>
      <c r="AK67" s="417" t="str">
        <f>INPUT!AK67</f>
        <v/>
      </c>
      <c r="AL67" s="417" t="str">
        <f>INPUT!AL67</f>
        <v/>
      </c>
      <c r="AM67" s="417" t="str">
        <f>INPUT!AM67</f>
        <v/>
      </c>
      <c r="AN67" s="417" t="str">
        <f>INPUT!AN67</f>
        <v/>
      </c>
      <c r="AO67" s="417" t="str">
        <f>INPUT!AO67</f>
        <v/>
      </c>
      <c r="AP67" s="413" t="str">
        <f>IF(B67=0,"",IF(BF67=0,90,VLOOKUP(Envoltória!N75,Componentes!T:AB,9,FALSE)))</f>
        <v/>
      </c>
      <c r="AQ67" s="413" t="str">
        <f>IF(B67=0,"",IF(BF67=0,90,VLOOKUP(Envoltória!N75,Componentes!T:AB,8,FALSE)))</f>
        <v/>
      </c>
      <c r="AR67" s="413" t="str">
        <f t="shared" si="4"/>
        <v/>
      </c>
      <c r="AS67" s="413" t="str">
        <f t="shared" si="4"/>
        <v/>
      </c>
      <c r="AT67" s="413" t="str">
        <f t="shared" si="4"/>
        <v/>
      </c>
      <c r="AU67" s="413" t="str">
        <f t="shared" si="4"/>
        <v/>
      </c>
      <c r="AV67" s="413" t="str">
        <f t="shared" si="4"/>
        <v/>
      </c>
      <c r="AW67" s="414" t="str">
        <f>INPUT!AW67</f>
        <v/>
      </c>
      <c r="AX67" s="414" t="str">
        <f>INPUT!AX67</f>
        <v/>
      </c>
      <c r="AY67" s="414" t="str">
        <f>INPUT!AY67</f>
        <v/>
      </c>
      <c r="AZ67" s="414" t="str">
        <f>INPUT!AZ67</f>
        <v/>
      </c>
      <c r="BA67" s="414" t="str">
        <f>INPUT!BA67</f>
        <v/>
      </c>
      <c r="BB67" s="414" t="str">
        <f>INPUT!BB67</f>
        <v/>
      </c>
      <c r="BC67" s="414" t="str">
        <f>INPUT!BC67</f>
        <v/>
      </c>
      <c r="BD67" s="414" t="str">
        <f>INPUT!BD67</f>
        <v/>
      </c>
      <c r="BE67" s="412" t="str">
        <f t="shared" si="2"/>
        <v/>
      </c>
      <c r="BF67" s="412" t="str">
        <f>IF(B67=0,"",IFERROR(VLOOKUP(Envoltória!F75,INPUT_REF!$BQ$18:$BR$19,2,FALSE),""))</f>
        <v/>
      </c>
      <c r="BG67" s="412" t="str">
        <f>IFERROR(VLOOKUP(Envoltória!$G75,$BQ$35:$BZ$43,BG$9,FALSE),"")</f>
        <v/>
      </c>
      <c r="BH67" s="412" t="str">
        <f>IFERROR(VLOOKUP(Envoltória!$G75,$BQ$35:$BZ$43,BH$9,FALSE),"")</f>
        <v/>
      </c>
      <c r="BI67" s="412" t="str">
        <f>IFERROR(VLOOKUP(Envoltória!$G75,$BQ$35:$BZ$43,BI$9,FALSE),"")</f>
        <v/>
      </c>
      <c r="BJ67" s="412" t="str">
        <f>IFERROR(VLOOKUP(Envoltória!$G75,$BQ$35:$BZ$43,BJ$9,FALSE),"")</f>
        <v/>
      </c>
      <c r="BK67" s="412" t="str">
        <f>IFERROR(VLOOKUP(Envoltória!$G75,$BQ$35:$BZ$43,BK$9,FALSE),"")</f>
        <v/>
      </c>
      <c r="BL67" s="412" t="str">
        <f>IFERROR(VLOOKUP(Envoltória!$G75,$BQ$35:$BZ$43,BL$9,FALSE),"")</f>
        <v/>
      </c>
      <c r="BM67" s="412" t="str">
        <f>IFERROR(VLOOKUP(Envoltória!$G75,$BQ$35:$BZ$43,BM$9,FALSE),"")</f>
        <v/>
      </c>
      <c r="BN67" s="412" t="str">
        <f>IFERROR(VLOOKUP(Envoltória!$G75,$BQ$35:$BZ$43,BN$9,FALSE),"")</f>
        <v/>
      </c>
      <c r="BO67" s="412" t="str">
        <f>IFERROR(VLOOKUP(Envoltória!$G75,$BQ$35:$BZ$43,BO$9,FALSE),"")</f>
        <v/>
      </c>
    </row>
    <row r="68" spans="1:67" x14ac:dyDescent="0.25">
      <c r="A68" s="1">
        <v>58</v>
      </c>
      <c r="B68" s="409">
        <f>Envoltória!I76</f>
        <v>0</v>
      </c>
      <c r="C68" s="410">
        <f>Envoltória!B76</f>
        <v>0</v>
      </c>
      <c r="D68" s="410">
        <f>Envoltória!C76</f>
        <v>0</v>
      </c>
      <c r="E68" s="411">
        <f>Envoltória!D76</f>
        <v>0</v>
      </c>
      <c r="F68" s="412" t="str">
        <f>IF(B68=0,"",Envoltória!E76)</f>
        <v/>
      </c>
      <c r="G68" s="412" t="str">
        <f t="shared" si="0"/>
        <v/>
      </c>
      <c r="H68" s="413" t="str">
        <f>IF(B68=0,"",IF(Envoltória!O76=0,0,VLOOKUP(B68,Aux_Lista!A:M,13,FALSE)))</f>
        <v/>
      </c>
      <c r="I68" s="413" t="str">
        <f>IF(B68=0,"",IF(BF68=1,VLOOKUP(Envoltória!N76,Componentes!T:AB,7,FALSE),89))</f>
        <v/>
      </c>
      <c r="J68" s="414" t="str">
        <f>IF(B68=0,"",Componentes!$Q$10)</f>
        <v/>
      </c>
      <c r="K68" s="414" t="str">
        <f>IF(B68=0,"",Componentes!$R$10)</f>
        <v/>
      </c>
      <c r="L68" s="413" t="str">
        <f>IF(B68=0,"",IFERROR(IF(BB68&lt;&gt;0,Componentes!$L$11,0),""))</f>
        <v/>
      </c>
      <c r="M68" s="413" t="str">
        <f>IF(B68=0,"",IFERROR(IF(BB68&lt;&gt;0,Componentes!$M$11,0),""))</f>
        <v/>
      </c>
      <c r="N68" s="415" t="str">
        <f>IF(B68=0,"",IFERROR(IF(BB68&lt;&gt;0,Componentes!$N$11,0),""))</f>
        <v/>
      </c>
      <c r="O68" s="413" t="str">
        <f>IF(B68=0,"",IF(BF68=1,Componentes!$C$11,-6))</f>
        <v/>
      </c>
      <c r="P68" s="413" t="str">
        <f>IF(B68=0,"",IF(BF68=1,Componentes!$D$11,-400))</f>
        <v/>
      </c>
      <c r="Q68" s="413" t="str">
        <f>IF(B68=0,"",IF(BF68=1,Componentes!$E$11,0))</f>
        <v/>
      </c>
      <c r="R68" s="414" t="str">
        <f>IF(B68=0,"",Componentes!$H$11)</f>
        <v/>
      </c>
      <c r="S68" s="414" t="str">
        <f>IF(B68=0,"",Componentes!$I$11)</f>
        <v/>
      </c>
      <c r="T68" s="413" t="str">
        <f>IF(B68=0,"",IFERROR(IF(H68&lt;&gt;0,Componentes!$V$11,0),""))</f>
        <v/>
      </c>
      <c r="U68" s="413" t="str">
        <f>IF(B68=0,"",IFERROR(IF(H68&lt;&gt;0,Componentes!$U$11,0),""))</f>
        <v/>
      </c>
      <c r="V68" s="414" t="str">
        <f>IF(B68=0,"",IFERROR(IF(AA68&lt;&gt;0,VLOOKUP(Envoltória!U76,Componentes!X:Z,2,FALSE),0),0))</f>
        <v/>
      </c>
      <c r="W68" s="414" t="str">
        <f>IF(B68=0,"",IFERROR(IF(AA68&lt;&gt;0,Componentes!$AE$11,0),0))</f>
        <v/>
      </c>
      <c r="X68" s="413" t="str">
        <f>IF(B68=0,"",Envoltória!U76)</f>
        <v/>
      </c>
      <c r="Y68" s="413" t="str">
        <f>IF(B68=0,"",VLOOKUP(Início!$C$20,Aux_Lista!A:H,8,FALSE))</f>
        <v/>
      </c>
      <c r="Z68" s="413" t="str">
        <f>IF(B68=0,"",Envoltória!T76)</f>
        <v/>
      </c>
      <c r="AA68" s="416" t="str">
        <f>IF(B68=0,"",Envoltória!Q76/100)</f>
        <v/>
      </c>
      <c r="AB68" s="417" t="str">
        <f>INPUT!AB68</f>
        <v/>
      </c>
      <c r="AC68" s="417" t="str">
        <f>INPUT!AC68</f>
        <v/>
      </c>
      <c r="AD68" s="417" t="str">
        <f>INPUT!AD68</f>
        <v/>
      </c>
      <c r="AE68" s="417" t="str">
        <f>INPUT!AE68</f>
        <v/>
      </c>
      <c r="AF68" s="417" t="str">
        <f>INPUT!AF68</f>
        <v/>
      </c>
      <c r="AG68" s="417" t="str">
        <f>INPUT!AG68</f>
        <v/>
      </c>
      <c r="AH68" s="417" t="str">
        <f>INPUT!AH68</f>
        <v/>
      </c>
      <c r="AI68" s="417" t="str">
        <f>INPUT!AI68</f>
        <v/>
      </c>
      <c r="AJ68" s="417" t="str">
        <f>INPUT!AJ68</f>
        <v/>
      </c>
      <c r="AK68" s="417" t="str">
        <f>INPUT!AK68</f>
        <v/>
      </c>
      <c r="AL68" s="417" t="str">
        <f>INPUT!AL68</f>
        <v/>
      </c>
      <c r="AM68" s="417" t="str">
        <f>INPUT!AM68</f>
        <v/>
      </c>
      <c r="AN68" s="417" t="str">
        <f>INPUT!AN68</f>
        <v/>
      </c>
      <c r="AO68" s="417" t="str">
        <f>INPUT!AO68</f>
        <v/>
      </c>
      <c r="AP68" s="413" t="str">
        <f>IF(B68=0,"",IF(BF68=0,90,VLOOKUP(Envoltória!N76,Componentes!T:AB,9,FALSE)))</f>
        <v/>
      </c>
      <c r="AQ68" s="413" t="str">
        <f>IF(B68=0,"",IF(BF68=0,90,VLOOKUP(Envoltória!N76,Componentes!T:AB,8,FALSE)))</f>
        <v/>
      </c>
      <c r="AR68" s="413" t="str">
        <f t="shared" si="4"/>
        <v/>
      </c>
      <c r="AS68" s="413" t="str">
        <f t="shared" si="4"/>
        <v/>
      </c>
      <c r="AT68" s="413" t="str">
        <f t="shared" si="4"/>
        <v/>
      </c>
      <c r="AU68" s="413" t="str">
        <f t="shared" si="4"/>
        <v/>
      </c>
      <c r="AV68" s="413" t="str">
        <f t="shared" si="4"/>
        <v/>
      </c>
      <c r="AW68" s="414" t="str">
        <f>INPUT!AW68</f>
        <v/>
      </c>
      <c r="AX68" s="414" t="str">
        <f>INPUT!AX68</f>
        <v/>
      </c>
      <c r="AY68" s="414" t="str">
        <f>INPUT!AY68</f>
        <v/>
      </c>
      <c r="AZ68" s="414" t="str">
        <f>INPUT!AZ68</f>
        <v/>
      </c>
      <c r="BA68" s="414" t="str">
        <f>INPUT!BA68</f>
        <v/>
      </c>
      <c r="BB68" s="414" t="str">
        <f>INPUT!BB68</f>
        <v/>
      </c>
      <c r="BC68" s="414" t="str">
        <f>INPUT!BC68</f>
        <v/>
      </c>
      <c r="BD68" s="414" t="str">
        <f>INPUT!BD68</f>
        <v/>
      </c>
      <c r="BE68" s="412" t="str">
        <f t="shared" si="2"/>
        <v/>
      </c>
      <c r="BF68" s="412" t="str">
        <f>IF(B68=0,"",IFERROR(VLOOKUP(Envoltória!F76,INPUT_REF!$BQ$18:$BR$19,2,FALSE),""))</f>
        <v/>
      </c>
      <c r="BG68" s="412" t="str">
        <f>IFERROR(VLOOKUP(Envoltória!$G76,$BQ$35:$BZ$43,BG$9,FALSE),"")</f>
        <v/>
      </c>
      <c r="BH68" s="412" t="str">
        <f>IFERROR(VLOOKUP(Envoltória!$G76,$BQ$35:$BZ$43,BH$9,FALSE),"")</f>
        <v/>
      </c>
      <c r="BI68" s="412" t="str">
        <f>IFERROR(VLOOKUP(Envoltória!$G76,$BQ$35:$BZ$43,BI$9,FALSE),"")</f>
        <v/>
      </c>
      <c r="BJ68" s="412" t="str">
        <f>IFERROR(VLOOKUP(Envoltória!$G76,$BQ$35:$BZ$43,BJ$9,FALSE),"")</f>
        <v/>
      </c>
      <c r="BK68" s="412" t="str">
        <f>IFERROR(VLOOKUP(Envoltória!$G76,$BQ$35:$BZ$43,BK$9,FALSE),"")</f>
        <v/>
      </c>
      <c r="BL68" s="412" t="str">
        <f>IFERROR(VLOOKUP(Envoltória!$G76,$BQ$35:$BZ$43,BL$9,FALSE),"")</f>
        <v/>
      </c>
      <c r="BM68" s="412" t="str">
        <f>IFERROR(VLOOKUP(Envoltória!$G76,$BQ$35:$BZ$43,BM$9,FALSE),"")</f>
        <v/>
      </c>
      <c r="BN68" s="412" t="str">
        <f>IFERROR(VLOOKUP(Envoltória!$G76,$BQ$35:$BZ$43,BN$9,FALSE),"")</f>
        <v/>
      </c>
      <c r="BO68" s="412" t="str">
        <f>IFERROR(VLOOKUP(Envoltória!$G76,$BQ$35:$BZ$43,BO$9,FALSE),"")</f>
        <v/>
      </c>
    </row>
    <row r="69" spans="1:67" x14ac:dyDescent="0.25">
      <c r="A69" s="1">
        <v>59</v>
      </c>
      <c r="B69" s="409">
        <f>Envoltória!I77</f>
        <v>0</v>
      </c>
      <c r="C69" s="410">
        <f>Envoltória!B77</f>
        <v>0</v>
      </c>
      <c r="D69" s="410">
        <f>Envoltória!C77</f>
        <v>0</v>
      </c>
      <c r="E69" s="411">
        <f>Envoltória!D77</f>
        <v>0</v>
      </c>
      <c r="F69" s="412" t="str">
        <f>IF(B69=0,"",Envoltória!E77)</f>
        <v/>
      </c>
      <c r="G69" s="412" t="str">
        <f t="shared" si="0"/>
        <v/>
      </c>
      <c r="H69" s="413" t="str">
        <f>IF(B69=0,"",IF(Envoltória!O77=0,0,VLOOKUP(B69,Aux_Lista!A:M,13,FALSE)))</f>
        <v/>
      </c>
      <c r="I69" s="413" t="str">
        <f>IF(B69=0,"",IF(BF69=1,VLOOKUP(Envoltória!N77,Componentes!T:AB,7,FALSE),89))</f>
        <v/>
      </c>
      <c r="J69" s="414" t="str">
        <f>IF(B69=0,"",Componentes!$Q$10)</f>
        <v/>
      </c>
      <c r="K69" s="414" t="str">
        <f>IF(B69=0,"",Componentes!$R$10)</f>
        <v/>
      </c>
      <c r="L69" s="413" t="str">
        <f>IF(B69=0,"",IFERROR(IF(BB69&lt;&gt;0,Componentes!$L$11,0),""))</f>
        <v/>
      </c>
      <c r="M69" s="413" t="str">
        <f>IF(B69=0,"",IFERROR(IF(BB69&lt;&gt;0,Componentes!$M$11,0),""))</f>
        <v/>
      </c>
      <c r="N69" s="415" t="str">
        <f>IF(B69=0,"",IFERROR(IF(BB69&lt;&gt;0,Componentes!$N$11,0),""))</f>
        <v/>
      </c>
      <c r="O69" s="413" t="str">
        <f>IF(B69=0,"",IF(BF69=1,Componentes!$C$11,-6))</f>
        <v/>
      </c>
      <c r="P69" s="413" t="str">
        <f>IF(B69=0,"",IF(BF69=1,Componentes!$D$11,-400))</f>
        <v/>
      </c>
      <c r="Q69" s="413" t="str">
        <f>IF(B69=0,"",IF(BF69=1,Componentes!$E$11,0))</f>
        <v/>
      </c>
      <c r="R69" s="414" t="str">
        <f>IF(B69=0,"",Componentes!$H$11)</f>
        <v/>
      </c>
      <c r="S69" s="414" t="str">
        <f>IF(B69=0,"",Componentes!$I$11)</f>
        <v/>
      </c>
      <c r="T69" s="413" t="str">
        <f>IF(B69=0,"",IFERROR(IF(H69&lt;&gt;0,Componentes!$V$11,0),""))</f>
        <v/>
      </c>
      <c r="U69" s="413" t="str">
        <f>IF(B69=0,"",IFERROR(IF(H69&lt;&gt;0,Componentes!$U$11,0),""))</f>
        <v/>
      </c>
      <c r="V69" s="414" t="str">
        <f>IF(B69=0,"",IFERROR(IF(AA69&lt;&gt;0,VLOOKUP(Envoltória!U77,Componentes!X:Z,2,FALSE),0),0))</f>
        <v/>
      </c>
      <c r="W69" s="414" t="str">
        <f>IF(B69=0,"",IFERROR(IF(AA69&lt;&gt;0,Componentes!$AE$11,0),0))</f>
        <v/>
      </c>
      <c r="X69" s="413" t="str">
        <f>IF(B69=0,"",Envoltória!U77)</f>
        <v/>
      </c>
      <c r="Y69" s="413" t="str">
        <f>IF(B69=0,"",VLOOKUP(Início!$C$20,Aux_Lista!A:H,8,FALSE))</f>
        <v/>
      </c>
      <c r="Z69" s="413" t="str">
        <f>IF(B69=0,"",Envoltória!T77)</f>
        <v/>
      </c>
      <c r="AA69" s="416" t="str">
        <f>IF(B69=0,"",Envoltória!Q77/100)</f>
        <v/>
      </c>
      <c r="AB69" s="417" t="str">
        <f>INPUT!AB69</f>
        <v/>
      </c>
      <c r="AC69" s="417" t="str">
        <f>INPUT!AC69</f>
        <v/>
      </c>
      <c r="AD69" s="417" t="str">
        <f>INPUT!AD69</f>
        <v/>
      </c>
      <c r="AE69" s="417" t="str">
        <f>INPUT!AE69</f>
        <v/>
      </c>
      <c r="AF69" s="417" t="str">
        <f>INPUT!AF69</f>
        <v/>
      </c>
      <c r="AG69" s="417" t="str">
        <f>INPUT!AG69</f>
        <v/>
      </c>
      <c r="AH69" s="417" t="str">
        <f>INPUT!AH69</f>
        <v/>
      </c>
      <c r="AI69" s="417" t="str">
        <f>INPUT!AI69</f>
        <v/>
      </c>
      <c r="AJ69" s="417" t="str">
        <f>INPUT!AJ69</f>
        <v/>
      </c>
      <c r="AK69" s="417" t="str">
        <f>INPUT!AK69</f>
        <v/>
      </c>
      <c r="AL69" s="417" t="str">
        <f>INPUT!AL69</f>
        <v/>
      </c>
      <c r="AM69" s="417" t="str">
        <f>INPUT!AM69</f>
        <v/>
      </c>
      <c r="AN69" s="417" t="str">
        <f>INPUT!AN69</f>
        <v/>
      </c>
      <c r="AO69" s="417" t="str">
        <f>INPUT!AO69</f>
        <v/>
      </c>
      <c r="AP69" s="413" t="str">
        <f>IF(B69=0,"",IF(BF69=0,90,VLOOKUP(Envoltória!N77,Componentes!T:AB,9,FALSE)))</f>
        <v/>
      </c>
      <c r="AQ69" s="413" t="str">
        <f>IF(B69=0,"",IF(BF69=0,90,VLOOKUP(Envoltória!N77,Componentes!T:AB,8,FALSE)))</f>
        <v/>
      </c>
      <c r="AR69" s="413" t="str">
        <f t="shared" si="4"/>
        <v/>
      </c>
      <c r="AS69" s="413" t="str">
        <f t="shared" si="4"/>
        <v/>
      </c>
      <c r="AT69" s="413" t="str">
        <f t="shared" si="4"/>
        <v/>
      </c>
      <c r="AU69" s="413" t="str">
        <f t="shared" si="4"/>
        <v/>
      </c>
      <c r="AV69" s="413" t="str">
        <f t="shared" si="4"/>
        <v/>
      </c>
      <c r="AW69" s="414" t="str">
        <f>INPUT!AW69</f>
        <v/>
      </c>
      <c r="AX69" s="414" t="str">
        <f>INPUT!AX69</f>
        <v/>
      </c>
      <c r="AY69" s="414" t="str">
        <f>INPUT!AY69</f>
        <v/>
      </c>
      <c r="AZ69" s="414" t="str">
        <f>INPUT!AZ69</f>
        <v/>
      </c>
      <c r="BA69" s="414" t="str">
        <f>INPUT!BA69</f>
        <v/>
      </c>
      <c r="BB69" s="414" t="str">
        <f>INPUT!BB69</f>
        <v/>
      </c>
      <c r="BC69" s="414" t="str">
        <f>INPUT!BC69</f>
        <v/>
      </c>
      <c r="BD69" s="414" t="str">
        <f>INPUT!BD69</f>
        <v/>
      </c>
      <c r="BE69" s="412" t="str">
        <f t="shared" si="2"/>
        <v/>
      </c>
      <c r="BF69" s="412" t="str">
        <f>IF(B69=0,"",IFERROR(VLOOKUP(Envoltória!F77,INPUT_REF!$BQ$18:$BR$19,2,FALSE),""))</f>
        <v/>
      </c>
      <c r="BG69" s="412" t="str">
        <f>IFERROR(VLOOKUP(Envoltória!$G77,$BQ$35:$BZ$43,BG$9,FALSE),"")</f>
        <v/>
      </c>
      <c r="BH69" s="412" t="str">
        <f>IFERROR(VLOOKUP(Envoltória!$G77,$BQ$35:$BZ$43,BH$9,FALSE),"")</f>
        <v/>
      </c>
      <c r="BI69" s="412" t="str">
        <f>IFERROR(VLOOKUP(Envoltória!$G77,$BQ$35:$BZ$43,BI$9,FALSE),"")</f>
        <v/>
      </c>
      <c r="BJ69" s="412" t="str">
        <f>IFERROR(VLOOKUP(Envoltória!$G77,$BQ$35:$BZ$43,BJ$9,FALSE),"")</f>
        <v/>
      </c>
      <c r="BK69" s="412" t="str">
        <f>IFERROR(VLOOKUP(Envoltória!$G77,$BQ$35:$BZ$43,BK$9,FALSE),"")</f>
        <v/>
      </c>
      <c r="BL69" s="412" t="str">
        <f>IFERROR(VLOOKUP(Envoltória!$G77,$BQ$35:$BZ$43,BL$9,FALSE),"")</f>
        <v/>
      </c>
      <c r="BM69" s="412" t="str">
        <f>IFERROR(VLOOKUP(Envoltória!$G77,$BQ$35:$BZ$43,BM$9,FALSE),"")</f>
        <v/>
      </c>
      <c r="BN69" s="412" t="str">
        <f>IFERROR(VLOOKUP(Envoltória!$G77,$BQ$35:$BZ$43,BN$9,FALSE),"")</f>
        <v/>
      </c>
      <c r="BO69" s="412" t="str">
        <f>IFERROR(VLOOKUP(Envoltória!$G77,$BQ$35:$BZ$43,BO$9,FALSE),"")</f>
        <v/>
      </c>
    </row>
    <row r="70" spans="1:67" x14ac:dyDescent="0.25">
      <c r="A70" s="1">
        <v>60</v>
      </c>
      <c r="B70" s="409">
        <f>Envoltória!I78</f>
        <v>0</v>
      </c>
      <c r="C70" s="410">
        <f>Envoltória!B78</f>
        <v>0</v>
      </c>
      <c r="D70" s="410">
        <f>Envoltória!C78</f>
        <v>0</v>
      </c>
      <c r="E70" s="411">
        <f>Envoltória!D78</f>
        <v>0</v>
      </c>
      <c r="F70" s="412" t="str">
        <f>IF(B70=0,"",Envoltória!E78)</f>
        <v/>
      </c>
      <c r="G70" s="412" t="str">
        <f t="shared" si="0"/>
        <v/>
      </c>
      <c r="H70" s="413" t="str">
        <f>IF(B70=0,"",IF(Envoltória!O78=0,0,VLOOKUP(B70,Aux_Lista!A:M,13,FALSE)))</f>
        <v/>
      </c>
      <c r="I70" s="413" t="str">
        <f>IF(B70=0,"",IF(BF70=1,VLOOKUP(Envoltória!N78,Componentes!T:AB,7,FALSE),89))</f>
        <v/>
      </c>
      <c r="J70" s="414" t="str">
        <f>IF(B70=0,"",Componentes!$Q$10)</f>
        <v/>
      </c>
      <c r="K70" s="414" t="str">
        <f>IF(B70=0,"",Componentes!$R$10)</f>
        <v/>
      </c>
      <c r="L70" s="413" t="str">
        <f>IF(B70=0,"",IFERROR(IF(BB70&lt;&gt;0,Componentes!$L$11,0),""))</f>
        <v/>
      </c>
      <c r="M70" s="413" t="str">
        <f>IF(B70=0,"",IFERROR(IF(BB70&lt;&gt;0,Componentes!$M$11,0),""))</f>
        <v/>
      </c>
      <c r="N70" s="415" t="str">
        <f>IF(B70=0,"",IFERROR(IF(BB70&lt;&gt;0,Componentes!$N$11,0),""))</f>
        <v/>
      </c>
      <c r="O70" s="413" t="str">
        <f>IF(B70=0,"",IF(BF70=1,Componentes!$C$11,-6))</f>
        <v/>
      </c>
      <c r="P70" s="413" t="str">
        <f>IF(B70=0,"",IF(BF70=1,Componentes!$D$11,-400))</f>
        <v/>
      </c>
      <c r="Q70" s="413" t="str">
        <f>IF(B70=0,"",IF(BF70=1,Componentes!$E$11,0))</f>
        <v/>
      </c>
      <c r="R70" s="414" t="str">
        <f>IF(B70=0,"",Componentes!$H$11)</f>
        <v/>
      </c>
      <c r="S70" s="414" t="str">
        <f>IF(B70=0,"",Componentes!$I$11)</f>
        <v/>
      </c>
      <c r="T70" s="413" t="str">
        <f>IF(B70=0,"",IFERROR(IF(H70&lt;&gt;0,Componentes!$V$11,0),""))</f>
        <v/>
      </c>
      <c r="U70" s="413" t="str">
        <f>IF(B70=0,"",IFERROR(IF(H70&lt;&gt;0,Componentes!$U$11,0),""))</f>
        <v/>
      </c>
      <c r="V70" s="414" t="str">
        <f>IF(B70=0,"",IFERROR(IF(AA70&lt;&gt;0,VLOOKUP(Envoltória!U78,Componentes!X:Z,2,FALSE),0),0))</f>
        <v/>
      </c>
      <c r="W70" s="414" t="str">
        <f>IF(B70=0,"",IFERROR(IF(AA70&lt;&gt;0,Componentes!$AE$11,0),0))</f>
        <v/>
      </c>
      <c r="X70" s="413" t="str">
        <f>IF(B70=0,"",Envoltória!U78)</f>
        <v/>
      </c>
      <c r="Y70" s="413" t="str">
        <f>IF(B70=0,"",VLOOKUP(Início!$C$20,Aux_Lista!A:H,8,FALSE))</f>
        <v/>
      </c>
      <c r="Z70" s="413" t="str">
        <f>IF(B70=0,"",Envoltória!T78)</f>
        <v/>
      </c>
      <c r="AA70" s="416" t="str">
        <f>IF(B70=0,"",Envoltória!Q78/100)</f>
        <v/>
      </c>
      <c r="AB70" s="417" t="str">
        <f>INPUT!AB70</f>
        <v/>
      </c>
      <c r="AC70" s="417" t="str">
        <f>INPUT!AC70</f>
        <v/>
      </c>
      <c r="AD70" s="417" t="str">
        <f>INPUT!AD70</f>
        <v/>
      </c>
      <c r="AE70" s="417" t="str">
        <f>INPUT!AE70</f>
        <v/>
      </c>
      <c r="AF70" s="417" t="str">
        <f>INPUT!AF70</f>
        <v/>
      </c>
      <c r="AG70" s="417" t="str">
        <f>INPUT!AG70</f>
        <v/>
      </c>
      <c r="AH70" s="417" t="str">
        <f>INPUT!AH70</f>
        <v/>
      </c>
      <c r="AI70" s="417" t="str">
        <f>INPUT!AI70</f>
        <v/>
      </c>
      <c r="AJ70" s="417" t="str">
        <f>INPUT!AJ70</f>
        <v/>
      </c>
      <c r="AK70" s="417" t="str">
        <f>INPUT!AK70</f>
        <v/>
      </c>
      <c r="AL70" s="417" t="str">
        <f>INPUT!AL70</f>
        <v/>
      </c>
      <c r="AM70" s="417" t="str">
        <f>INPUT!AM70</f>
        <v/>
      </c>
      <c r="AN70" s="417" t="str">
        <f>INPUT!AN70</f>
        <v/>
      </c>
      <c r="AO70" s="417" t="str">
        <f>INPUT!AO70</f>
        <v/>
      </c>
      <c r="AP70" s="413" t="str">
        <f>IF(B70=0,"",IF(BF70=0,90,VLOOKUP(Envoltória!N78,Componentes!T:AB,9,FALSE)))</f>
        <v/>
      </c>
      <c r="AQ70" s="413" t="str">
        <f>IF(B70=0,"",IF(BF70=0,90,VLOOKUP(Envoltória!N78,Componentes!T:AB,8,FALSE)))</f>
        <v/>
      </c>
      <c r="AR70" s="413" t="str">
        <f t="shared" si="4"/>
        <v/>
      </c>
      <c r="AS70" s="413" t="str">
        <f t="shared" si="4"/>
        <v/>
      </c>
      <c r="AT70" s="413" t="str">
        <f t="shared" si="4"/>
        <v/>
      </c>
      <c r="AU70" s="413" t="str">
        <f t="shared" si="4"/>
        <v/>
      </c>
      <c r="AV70" s="413" t="str">
        <f t="shared" si="4"/>
        <v/>
      </c>
      <c r="AW70" s="414" t="str">
        <f>INPUT!AW70</f>
        <v/>
      </c>
      <c r="AX70" s="414" t="str">
        <f>INPUT!AX70</f>
        <v/>
      </c>
      <c r="AY70" s="414" t="str">
        <f>INPUT!AY70</f>
        <v/>
      </c>
      <c r="AZ70" s="414" t="str">
        <f>INPUT!AZ70</f>
        <v/>
      </c>
      <c r="BA70" s="414" t="str">
        <f>INPUT!BA70</f>
        <v/>
      </c>
      <c r="BB70" s="414" t="str">
        <f>INPUT!BB70</f>
        <v/>
      </c>
      <c r="BC70" s="414" t="str">
        <f>INPUT!BC70</f>
        <v/>
      </c>
      <c r="BD70" s="414" t="str">
        <f>INPUT!BD70</f>
        <v/>
      </c>
      <c r="BE70" s="412" t="str">
        <f t="shared" si="2"/>
        <v/>
      </c>
      <c r="BF70" s="412" t="str">
        <f>IF(B70=0,"",IFERROR(VLOOKUP(Envoltória!F78,INPUT_REF!$BQ$18:$BR$19,2,FALSE),""))</f>
        <v/>
      </c>
      <c r="BG70" s="412" t="str">
        <f>IFERROR(VLOOKUP(Envoltória!$G78,$BQ$35:$BZ$43,BG$9,FALSE),"")</f>
        <v/>
      </c>
      <c r="BH70" s="412" t="str">
        <f>IFERROR(VLOOKUP(Envoltória!$G78,$BQ$35:$BZ$43,BH$9,FALSE),"")</f>
        <v/>
      </c>
      <c r="BI70" s="412" t="str">
        <f>IFERROR(VLOOKUP(Envoltória!$G78,$BQ$35:$BZ$43,BI$9,FALSE),"")</f>
        <v/>
      </c>
      <c r="BJ70" s="412" t="str">
        <f>IFERROR(VLOOKUP(Envoltória!$G78,$BQ$35:$BZ$43,BJ$9,FALSE),"")</f>
        <v/>
      </c>
      <c r="BK70" s="412" t="str">
        <f>IFERROR(VLOOKUP(Envoltória!$G78,$BQ$35:$BZ$43,BK$9,FALSE),"")</f>
        <v/>
      </c>
      <c r="BL70" s="412" t="str">
        <f>IFERROR(VLOOKUP(Envoltória!$G78,$BQ$35:$BZ$43,BL$9,FALSE),"")</f>
        <v/>
      </c>
      <c r="BM70" s="412" t="str">
        <f>IFERROR(VLOOKUP(Envoltória!$G78,$BQ$35:$BZ$43,BM$9,FALSE),"")</f>
        <v/>
      </c>
      <c r="BN70" s="412" t="str">
        <f>IFERROR(VLOOKUP(Envoltória!$G78,$BQ$35:$BZ$43,BN$9,FALSE),"")</f>
        <v/>
      </c>
      <c r="BO70" s="412" t="str">
        <f>IFERROR(VLOOKUP(Envoltória!$G78,$BQ$35:$BZ$43,BO$9,FALSE),"")</f>
        <v/>
      </c>
    </row>
    <row r="71" spans="1:67" x14ac:dyDescent="0.25">
      <c r="A71" s="1">
        <v>61</v>
      </c>
      <c r="B71" s="409">
        <f>Envoltória!I79</f>
        <v>0</v>
      </c>
      <c r="C71" s="410">
        <f>Envoltória!B79</f>
        <v>0</v>
      </c>
      <c r="D71" s="410">
        <f>Envoltória!C79</f>
        <v>0</v>
      </c>
      <c r="E71" s="411">
        <f>Envoltória!D79</f>
        <v>0</v>
      </c>
      <c r="F71" s="412" t="str">
        <f>IF(B71=0,"",Envoltória!E79)</f>
        <v/>
      </c>
      <c r="G71" s="412" t="str">
        <f t="shared" si="0"/>
        <v/>
      </c>
      <c r="H71" s="413" t="str">
        <f>IF(B71=0,"",IF(Envoltória!O79=0,0,VLOOKUP(B71,Aux_Lista!A:M,13,FALSE)))</f>
        <v/>
      </c>
      <c r="I71" s="413" t="str">
        <f>IF(B71=0,"",IF(BF71=1,VLOOKUP(Envoltória!N79,Componentes!T:AB,7,FALSE),89))</f>
        <v/>
      </c>
      <c r="J71" s="414" t="str">
        <f>IF(B71=0,"",Componentes!$Q$10)</f>
        <v/>
      </c>
      <c r="K71" s="414" t="str">
        <f>IF(B71=0,"",Componentes!$R$10)</f>
        <v/>
      </c>
      <c r="L71" s="413" t="str">
        <f>IF(B71=0,"",IFERROR(IF(BB71&lt;&gt;0,Componentes!$L$11,0),""))</f>
        <v/>
      </c>
      <c r="M71" s="413" t="str">
        <f>IF(B71=0,"",IFERROR(IF(BB71&lt;&gt;0,Componentes!$M$11,0),""))</f>
        <v/>
      </c>
      <c r="N71" s="415" t="str">
        <f>IF(B71=0,"",IFERROR(IF(BB71&lt;&gt;0,Componentes!$N$11,0),""))</f>
        <v/>
      </c>
      <c r="O71" s="413" t="str">
        <f>IF(B71=0,"",IF(BF71=1,Componentes!$C$11,-6))</f>
        <v/>
      </c>
      <c r="P71" s="413" t="str">
        <f>IF(B71=0,"",IF(BF71=1,Componentes!$D$11,-400))</f>
        <v/>
      </c>
      <c r="Q71" s="413" t="str">
        <f>IF(B71=0,"",IF(BF71=1,Componentes!$E$11,0))</f>
        <v/>
      </c>
      <c r="R71" s="414" t="str">
        <f>IF(B71=0,"",Componentes!$H$11)</f>
        <v/>
      </c>
      <c r="S71" s="414" t="str">
        <f>IF(B71=0,"",Componentes!$I$11)</f>
        <v/>
      </c>
      <c r="T71" s="413" t="str">
        <f>IF(B71=0,"",IFERROR(IF(H71&lt;&gt;0,Componentes!$V$11,0),""))</f>
        <v/>
      </c>
      <c r="U71" s="413" t="str">
        <f>IF(B71=0,"",IFERROR(IF(H71&lt;&gt;0,Componentes!$U$11,0),""))</f>
        <v/>
      </c>
      <c r="V71" s="414" t="str">
        <f>IF(B71=0,"",IFERROR(IF(AA71&lt;&gt;0,VLOOKUP(Envoltória!U79,Componentes!X:Z,2,FALSE),0),0))</f>
        <v/>
      </c>
      <c r="W71" s="414" t="str">
        <f>IF(B71=0,"",IFERROR(IF(AA71&lt;&gt;0,Componentes!$AE$11,0),0))</f>
        <v/>
      </c>
      <c r="X71" s="413" t="str">
        <f>IF(B71=0,"",Envoltória!U79)</f>
        <v/>
      </c>
      <c r="Y71" s="413" t="str">
        <f>IF(B71=0,"",VLOOKUP(Início!$C$20,Aux_Lista!A:H,8,FALSE))</f>
        <v/>
      </c>
      <c r="Z71" s="413" t="str">
        <f>IF(B71=0,"",Envoltória!T79)</f>
        <v/>
      </c>
      <c r="AA71" s="416" t="str">
        <f>IF(B71=0,"",Envoltória!Q79/100)</f>
        <v/>
      </c>
      <c r="AB71" s="417" t="str">
        <f>INPUT!AB71</f>
        <v/>
      </c>
      <c r="AC71" s="417" t="str">
        <f>INPUT!AC71</f>
        <v/>
      </c>
      <c r="AD71" s="417" t="str">
        <f>INPUT!AD71</f>
        <v/>
      </c>
      <c r="AE71" s="417" t="str">
        <f>INPUT!AE71</f>
        <v/>
      </c>
      <c r="AF71" s="417" t="str">
        <f>INPUT!AF71</f>
        <v/>
      </c>
      <c r="AG71" s="417" t="str">
        <f>INPUT!AG71</f>
        <v/>
      </c>
      <c r="AH71" s="417" t="str">
        <f>INPUT!AH71</f>
        <v/>
      </c>
      <c r="AI71" s="417" t="str">
        <f>INPUT!AI71</f>
        <v/>
      </c>
      <c r="AJ71" s="417" t="str">
        <f>INPUT!AJ71</f>
        <v/>
      </c>
      <c r="AK71" s="417" t="str">
        <f>INPUT!AK71</f>
        <v/>
      </c>
      <c r="AL71" s="417" t="str">
        <f>INPUT!AL71</f>
        <v/>
      </c>
      <c r="AM71" s="417" t="str">
        <f>INPUT!AM71</f>
        <v/>
      </c>
      <c r="AN71" s="417" t="str">
        <f>INPUT!AN71</f>
        <v/>
      </c>
      <c r="AO71" s="417" t="str">
        <f>INPUT!AO71</f>
        <v/>
      </c>
      <c r="AP71" s="413" t="str">
        <f>IF(B71=0,"",IF(BF71=0,90,VLOOKUP(Envoltória!N79,Componentes!T:AB,9,FALSE)))</f>
        <v/>
      </c>
      <c r="AQ71" s="413" t="str">
        <f>IF(B71=0,"",IF(BF71=0,90,VLOOKUP(Envoltória!N79,Componentes!T:AB,8,FALSE)))</f>
        <v/>
      </c>
      <c r="AR71" s="413" t="str">
        <f t="shared" si="4"/>
        <v/>
      </c>
      <c r="AS71" s="413" t="str">
        <f t="shared" si="4"/>
        <v/>
      </c>
      <c r="AT71" s="413" t="str">
        <f t="shared" si="4"/>
        <v/>
      </c>
      <c r="AU71" s="413" t="str">
        <f t="shared" si="4"/>
        <v/>
      </c>
      <c r="AV71" s="413" t="str">
        <f t="shared" si="4"/>
        <v/>
      </c>
      <c r="AW71" s="414" t="str">
        <f>INPUT!AW71</f>
        <v/>
      </c>
      <c r="AX71" s="414" t="str">
        <f>INPUT!AX71</f>
        <v/>
      </c>
      <c r="AY71" s="414" t="str">
        <f>INPUT!AY71</f>
        <v/>
      </c>
      <c r="AZ71" s="414" t="str">
        <f>INPUT!AZ71</f>
        <v/>
      </c>
      <c r="BA71" s="414" t="str">
        <f>INPUT!BA71</f>
        <v/>
      </c>
      <c r="BB71" s="414" t="str">
        <f>INPUT!BB71</f>
        <v/>
      </c>
      <c r="BC71" s="414" t="str">
        <f>INPUT!BC71</f>
        <v/>
      </c>
      <c r="BD71" s="414" t="str">
        <f>INPUT!BD71</f>
        <v/>
      </c>
      <c r="BE71" s="412" t="str">
        <f t="shared" si="2"/>
        <v/>
      </c>
      <c r="BF71" s="412" t="str">
        <f>IF(B71=0,"",IFERROR(VLOOKUP(Envoltória!F79,INPUT_REF!$BQ$18:$BR$19,2,FALSE),""))</f>
        <v/>
      </c>
      <c r="BG71" s="412" t="str">
        <f>IFERROR(VLOOKUP(Envoltória!$G79,$BQ$35:$BZ$43,BG$9,FALSE),"")</f>
        <v/>
      </c>
      <c r="BH71" s="412" t="str">
        <f>IFERROR(VLOOKUP(Envoltória!$G79,$BQ$35:$BZ$43,BH$9,FALSE),"")</f>
        <v/>
      </c>
      <c r="BI71" s="412" t="str">
        <f>IFERROR(VLOOKUP(Envoltória!$G79,$BQ$35:$BZ$43,BI$9,FALSE),"")</f>
        <v/>
      </c>
      <c r="BJ71" s="412" t="str">
        <f>IFERROR(VLOOKUP(Envoltória!$G79,$BQ$35:$BZ$43,BJ$9,FALSE),"")</f>
        <v/>
      </c>
      <c r="BK71" s="412" t="str">
        <f>IFERROR(VLOOKUP(Envoltória!$G79,$BQ$35:$BZ$43,BK$9,FALSE),"")</f>
        <v/>
      </c>
      <c r="BL71" s="412" t="str">
        <f>IFERROR(VLOOKUP(Envoltória!$G79,$BQ$35:$BZ$43,BL$9,FALSE),"")</f>
        <v/>
      </c>
      <c r="BM71" s="412" t="str">
        <f>IFERROR(VLOOKUP(Envoltória!$G79,$BQ$35:$BZ$43,BM$9,FALSE),"")</f>
        <v/>
      </c>
      <c r="BN71" s="412" t="str">
        <f>IFERROR(VLOOKUP(Envoltória!$G79,$BQ$35:$BZ$43,BN$9,FALSE),"")</f>
        <v/>
      </c>
      <c r="BO71" s="412" t="str">
        <f>IFERROR(VLOOKUP(Envoltória!$G79,$BQ$35:$BZ$43,BO$9,FALSE),"")</f>
        <v/>
      </c>
    </row>
    <row r="72" spans="1:67" x14ac:dyDescent="0.25">
      <c r="A72" s="1">
        <v>62</v>
      </c>
      <c r="B72" s="409">
        <f>Envoltória!I80</f>
        <v>0</v>
      </c>
      <c r="C72" s="410">
        <f>Envoltória!B80</f>
        <v>0</v>
      </c>
      <c r="D72" s="410">
        <f>Envoltória!C80</f>
        <v>0</v>
      </c>
      <c r="E72" s="411">
        <f>Envoltória!D80</f>
        <v>0</v>
      </c>
      <c r="F72" s="412" t="str">
        <f>IF(B72=0,"",Envoltória!E80)</f>
        <v/>
      </c>
      <c r="G72" s="412" t="str">
        <f t="shared" si="0"/>
        <v/>
      </c>
      <c r="H72" s="413" t="str">
        <f>IF(B72=0,"",IF(Envoltória!O80=0,0,VLOOKUP(B72,Aux_Lista!A:M,13,FALSE)))</f>
        <v/>
      </c>
      <c r="I72" s="413" t="str">
        <f>IF(B72=0,"",IF(BF72=1,VLOOKUP(Envoltória!N80,Componentes!T:AB,7,FALSE),89))</f>
        <v/>
      </c>
      <c r="J72" s="414" t="str">
        <f>IF(B72=0,"",Componentes!$Q$10)</f>
        <v/>
      </c>
      <c r="K72" s="414" t="str">
        <f>IF(B72=0,"",Componentes!$R$10)</f>
        <v/>
      </c>
      <c r="L72" s="413" t="str">
        <f>IF(B72=0,"",IFERROR(IF(BB72&lt;&gt;0,Componentes!$L$11,0),""))</f>
        <v/>
      </c>
      <c r="M72" s="413" t="str">
        <f>IF(B72=0,"",IFERROR(IF(BB72&lt;&gt;0,Componentes!$M$11,0),""))</f>
        <v/>
      </c>
      <c r="N72" s="415" t="str">
        <f>IF(B72=0,"",IFERROR(IF(BB72&lt;&gt;0,Componentes!$N$11,0),""))</f>
        <v/>
      </c>
      <c r="O72" s="413" t="str">
        <f>IF(B72=0,"",IF(BF72=1,Componentes!$C$11,-6))</f>
        <v/>
      </c>
      <c r="P72" s="413" t="str">
        <f>IF(B72=0,"",IF(BF72=1,Componentes!$D$11,-400))</f>
        <v/>
      </c>
      <c r="Q72" s="413" t="str">
        <f>IF(B72=0,"",IF(BF72=1,Componentes!$E$11,0))</f>
        <v/>
      </c>
      <c r="R72" s="414" t="str">
        <f>IF(B72=0,"",Componentes!$H$11)</f>
        <v/>
      </c>
      <c r="S72" s="414" t="str">
        <f>IF(B72=0,"",Componentes!$I$11)</f>
        <v/>
      </c>
      <c r="T72" s="413" t="str">
        <f>IF(B72=0,"",IFERROR(IF(H72&lt;&gt;0,Componentes!$V$11,0),""))</f>
        <v/>
      </c>
      <c r="U72" s="413" t="str">
        <f>IF(B72=0,"",IFERROR(IF(H72&lt;&gt;0,Componentes!$U$11,0),""))</f>
        <v/>
      </c>
      <c r="V72" s="414" t="str">
        <f>IF(B72=0,"",IFERROR(IF(AA72&lt;&gt;0,VLOOKUP(Envoltória!U80,Componentes!X:Z,2,FALSE),0),0))</f>
        <v/>
      </c>
      <c r="W72" s="414" t="str">
        <f>IF(B72=0,"",IFERROR(IF(AA72&lt;&gt;0,Componentes!$AE$11,0),0))</f>
        <v/>
      </c>
      <c r="X72" s="413" t="str">
        <f>IF(B72=0,"",Envoltória!U80)</f>
        <v/>
      </c>
      <c r="Y72" s="413" t="str">
        <f>IF(B72=0,"",VLOOKUP(Início!$C$20,Aux_Lista!A:H,8,FALSE))</f>
        <v/>
      </c>
      <c r="Z72" s="413" t="str">
        <f>IF(B72=0,"",Envoltória!T80)</f>
        <v/>
      </c>
      <c r="AA72" s="416" t="str">
        <f>IF(B72=0,"",Envoltória!Q80/100)</f>
        <v/>
      </c>
      <c r="AB72" s="417" t="str">
        <f>INPUT!AB72</f>
        <v/>
      </c>
      <c r="AC72" s="417" t="str">
        <f>INPUT!AC72</f>
        <v/>
      </c>
      <c r="AD72" s="417" t="str">
        <f>INPUT!AD72</f>
        <v/>
      </c>
      <c r="AE72" s="417" t="str">
        <f>INPUT!AE72</f>
        <v/>
      </c>
      <c r="AF72" s="417" t="str">
        <f>INPUT!AF72</f>
        <v/>
      </c>
      <c r="AG72" s="417" t="str">
        <f>INPUT!AG72</f>
        <v/>
      </c>
      <c r="AH72" s="417" t="str">
        <f>INPUT!AH72</f>
        <v/>
      </c>
      <c r="AI72" s="417" t="str">
        <f>INPUT!AI72</f>
        <v/>
      </c>
      <c r="AJ72" s="417" t="str">
        <f>INPUT!AJ72</f>
        <v/>
      </c>
      <c r="AK72" s="417" t="str">
        <f>INPUT!AK72</f>
        <v/>
      </c>
      <c r="AL72" s="417" t="str">
        <f>INPUT!AL72</f>
        <v/>
      </c>
      <c r="AM72" s="417" t="str">
        <f>INPUT!AM72</f>
        <v/>
      </c>
      <c r="AN72" s="417" t="str">
        <f>INPUT!AN72</f>
        <v/>
      </c>
      <c r="AO72" s="417" t="str">
        <f>INPUT!AO72</f>
        <v/>
      </c>
      <c r="AP72" s="413" t="str">
        <f>IF(B72=0,"",IF(BF72=0,90,VLOOKUP(Envoltória!N80,Componentes!T:AB,9,FALSE)))</f>
        <v/>
      </c>
      <c r="AQ72" s="413" t="str">
        <f>IF(B72=0,"",IF(BF72=0,90,VLOOKUP(Envoltória!N80,Componentes!T:AB,8,FALSE)))</f>
        <v/>
      </c>
      <c r="AR72" s="413" t="str">
        <f t="shared" si="4"/>
        <v/>
      </c>
      <c r="AS72" s="413" t="str">
        <f t="shared" si="4"/>
        <v/>
      </c>
      <c r="AT72" s="413" t="str">
        <f t="shared" si="4"/>
        <v/>
      </c>
      <c r="AU72" s="413" t="str">
        <f t="shared" si="4"/>
        <v/>
      </c>
      <c r="AV72" s="413" t="str">
        <f t="shared" si="4"/>
        <v/>
      </c>
      <c r="AW72" s="414" t="str">
        <f>INPUT!AW72</f>
        <v/>
      </c>
      <c r="AX72" s="414" t="str">
        <f>INPUT!AX72</f>
        <v/>
      </c>
      <c r="AY72" s="414" t="str">
        <f>INPUT!AY72</f>
        <v/>
      </c>
      <c r="AZ72" s="414" t="str">
        <f>INPUT!AZ72</f>
        <v/>
      </c>
      <c r="BA72" s="414" t="str">
        <f>INPUT!BA72</f>
        <v/>
      </c>
      <c r="BB72" s="414" t="str">
        <f>INPUT!BB72</f>
        <v/>
      </c>
      <c r="BC72" s="414" t="str">
        <f>INPUT!BC72</f>
        <v/>
      </c>
      <c r="BD72" s="414" t="str">
        <f>INPUT!BD72</f>
        <v/>
      </c>
      <c r="BE72" s="412" t="str">
        <f t="shared" si="2"/>
        <v/>
      </c>
      <c r="BF72" s="412" t="str">
        <f>IF(B72=0,"",IFERROR(VLOOKUP(Envoltória!F80,INPUT_REF!$BQ$18:$BR$19,2,FALSE),""))</f>
        <v/>
      </c>
      <c r="BG72" s="412" t="str">
        <f>IFERROR(VLOOKUP(Envoltória!$G80,$BQ$35:$BZ$43,BG$9,FALSE),"")</f>
        <v/>
      </c>
      <c r="BH72" s="412" t="str">
        <f>IFERROR(VLOOKUP(Envoltória!$G80,$BQ$35:$BZ$43,BH$9,FALSE),"")</f>
        <v/>
      </c>
      <c r="BI72" s="412" t="str">
        <f>IFERROR(VLOOKUP(Envoltória!$G80,$BQ$35:$BZ$43,BI$9,FALSE),"")</f>
        <v/>
      </c>
      <c r="BJ72" s="412" t="str">
        <f>IFERROR(VLOOKUP(Envoltória!$G80,$BQ$35:$BZ$43,BJ$9,FALSE),"")</f>
        <v/>
      </c>
      <c r="BK72" s="412" t="str">
        <f>IFERROR(VLOOKUP(Envoltória!$G80,$BQ$35:$BZ$43,BK$9,FALSE),"")</f>
        <v/>
      </c>
      <c r="BL72" s="412" t="str">
        <f>IFERROR(VLOOKUP(Envoltória!$G80,$BQ$35:$BZ$43,BL$9,FALSE),"")</f>
        <v/>
      </c>
      <c r="BM72" s="412" t="str">
        <f>IFERROR(VLOOKUP(Envoltória!$G80,$BQ$35:$BZ$43,BM$9,FALSE),"")</f>
        <v/>
      </c>
      <c r="BN72" s="412" t="str">
        <f>IFERROR(VLOOKUP(Envoltória!$G80,$BQ$35:$BZ$43,BN$9,FALSE),"")</f>
        <v/>
      </c>
      <c r="BO72" s="412" t="str">
        <f>IFERROR(VLOOKUP(Envoltória!$G80,$BQ$35:$BZ$43,BO$9,FALSE),"")</f>
        <v/>
      </c>
    </row>
    <row r="73" spans="1:67" x14ac:dyDescent="0.25">
      <c r="A73" s="1">
        <v>63</v>
      </c>
      <c r="B73" s="409">
        <f>Envoltória!I81</f>
        <v>0</v>
      </c>
      <c r="C73" s="410">
        <f>Envoltória!B81</f>
        <v>0</v>
      </c>
      <c r="D73" s="410">
        <f>Envoltória!C81</f>
        <v>0</v>
      </c>
      <c r="E73" s="411">
        <f>Envoltória!D81</f>
        <v>0</v>
      </c>
      <c r="F73" s="412" t="str">
        <f>IF(B73=0,"",Envoltória!E81)</f>
        <v/>
      </c>
      <c r="G73" s="412" t="str">
        <f t="shared" si="0"/>
        <v/>
      </c>
      <c r="H73" s="413" t="str">
        <f>IF(B73=0,"",IF(Envoltória!O81=0,0,VLOOKUP(B73,Aux_Lista!A:M,13,FALSE)))</f>
        <v/>
      </c>
      <c r="I73" s="413" t="str">
        <f>IF(B73=0,"",IF(BF73=1,VLOOKUP(Envoltória!N81,Componentes!T:AB,7,FALSE),89))</f>
        <v/>
      </c>
      <c r="J73" s="414" t="str">
        <f>IF(B73=0,"",Componentes!$Q$10)</f>
        <v/>
      </c>
      <c r="K73" s="414" t="str">
        <f>IF(B73=0,"",Componentes!$R$10)</f>
        <v/>
      </c>
      <c r="L73" s="413" t="str">
        <f>IF(B73=0,"",IFERROR(IF(BB73&lt;&gt;0,Componentes!$L$11,0),""))</f>
        <v/>
      </c>
      <c r="M73" s="413" t="str">
        <f>IF(B73=0,"",IFERROR(IF(BB73&lt;&gt;0,Componentes!$M$11,0),""))</f>
        <v/>
      </c>
      <c r="N73" s="415" t="str">
        <f>IF(B73=0,"",IFERROR(IF(BB73&lt;&gt;0,Componentes!$N$11,0),""))</f>
        <v/>
      </c>
      <c r="O73" s="413" t="str">
        <f>IF(B73=0,"",IF(BF73=1,Componentes!$C$11,-6))</f>
        <v/>
      </c>
      <c r="P73" s="413" t="str">
        <f>IF(B73=0,"",IF(BF73=1,Componentes!$D$11,-400))</f>
        <v/>
      </c>
      <c r="Q73" s="413" t="str">
        <f>IF(B73=0,"",IF(BF73=1,Componentes!$E$11,0))</f>
        <v/>
      </c>
      <c r="R73" s="414" t="str">
        <f>IF(B73=0,"",Componentes!$H$11)</f>
        <v/>
      </c>
      <c r="S73" s="414" t="str">
        <f>IF(B73=0,"",Componentes!$I$11)</f>
        <v/>
      </c>
      <c r="T73" s="413" t="str">
        <f>IF(B73=0,"",IFERROR(IF(H73&lt;&gt;0,Componentes!$V$11,0),""))</f>
        <v/>
      </c>
      <c r="U73" s="413" t="str">
        <f>IF(B73=0,"",IFERROR(IF(H73&lt;&gt;0,Componentes!$U$11,0),""))</f>
        <v/>
      </c>
      <c r="V73" s="414" t="str">
        <f>IF(B73=0,"",IFERROR(IF(AA73&lt;&gt;0,VLOOKUP(Envoltória!U81,Componentes!X:Z,2,FALSE),0),0))</f>
        <v/>
      </c>
      <c r="W73" s="414" t="str">
        <f>IF(B73=0,"",IFERROR(IF(AA73&lt;&gt;0,Componentes!$AE$11,0),0))</f>
        <v/>
      </c>
      <c r="X73" s="413" t="str">
        <f>IF(B73=0,"",Envoltória!U81)</f>
        <v/>
      </c>
      <c r="Y73" s="413" t="str">
        <f>IF(B73=0,"",VLOOKUP(Início!$C$20,Aux_Lista!A:H,8,FALSE))</f>
        <v/>
      </c>
      <c r="Z73" s="413" t="str">
        <f>IF(B73=0,"",Envoltória!T81)</f>
        <v/>
      </c>
      <c r="AA73" s="416" t="str">
        <f>IF(B73=0,"",Envoltória!Q81/100)</f>
        <v/>
      </c>
      <c r="AB73" s="417" t="str">
        <f>INPUT!AB73</f>
        <v/>
      </c>
      <c r="AC73" s="417" t="str">
        <f>INPUT!AC73</f>
        <v/>
      </c>
      <c r="AD73" s="417" t="str">
        <f>INPUT!AD73</f>
        <v/>
      </c>
      <c r="AE73" s="417" t="str">
        <f>INPUT!AE73</f>
        <v/>
      </c>
      <c r="AF73" s="417" t="str">
        <f>INPUT!AF73</f>
        <v/>
      </c>
      <c r="AG73" s="417" t="str">
        <f>INPUT!AG73</f>
        <v/>
      </c>
      <c r="AH73" s="417" t="str">
        <f>INPUT!AH73</f>
        <v/>
      </c>
      <c r="AI73" s="417" t="str">
        <f>INPUT!AI73</f>
        <v/>
      </c>
      <c r="AJ73" s="417" t="str">
        <f>INPUT!AJ73</f>
        <v/>
      </c>
      <c r="AK73" s="417" t="str">
        <f>INPUT!AK73</f>
        <v/>
      </c>
      <c r="AL73" s="417" t="str">
        <f>INPUT!AL73</f>
        <v/>
      </c>
      <c r="AM73" s="417" t="str">
        <f>INPUT!AM73</f>
        <v/>
      </c>
      <c r="AN73" s="417" t="str">
        <f>INPUT!AN73</f>
        <v/>
      </c>
      <c r="AO73" s="417" t="str">
        <f>INPUT!AO73</f>
        <v/>
      </c>
      <c r="AP73" s="413" t="str">
        <f>IF(B73=0,"",IF(BF73=0,90,VLOOKUP(Envoltória!N81,Componentes!T:AB,9,FALSE)))</f>
        <v/>
      </c>
      <c r="AQ73" s="413" t="str">
        <f>IF(B73=0,"",IF(BF73=0,90,VLOOKUP(Envoltória!N81,Componentes!T:AB,8,FALSE)))</f>
        <v/>
      </c>
      <c r="AR73" s="413" t="str">
        <f t="shared" si="4"/>
        <v/>
      </c>
      <c r="AS73" s="413" t="str">
        <f t="shared" si="4"/>
        <v/>
      </c>
      <c r="AT73" s="413" t="str">
        <f t="shared" si="4"/>
        <v/>
      </c>
      <c r="AU73" s="413" t="str">
        <f t="shared" si="4"/>
        <v/>
      </c>
      <c r="AV73" s="413" t="str">
        <f t="shared" si="4"/>
        <v/>
      </c>
      <c r="AW73" s="414" t="str">
        <f>INPUT!AW73</f>
        <v/>
      </c>
      <c r="AX73" s="414" t="str">
        <f>INPUT!AX73</f>
        <v/>
      </c>
      <c r="AY73" s="414" t="str">
        <f>INPUT!AY73</f>
        <v/>
      </c>
      <c r="AZ73" s="414" t="str">
        <f>INPUT!AZ73</f>
        <v/>
      </c>
      <c r="BA73" s="414" t="str">
        <f>INPUT!BA73</f>
        <v/>
      </c>
      <c r="BB73" s="414" t="str">
        <f>INPUT!BB73</f>
        <v/>
      </c>
      <c r="BC73" s="414" t="str">
        <f>INPUT!BC73</f>
        <v/>
      </c>
      <c r="BD73" s="414" t="str">
        <f>INPUT!BD73</f>
        <v/>
      </c>
      <c r="BE73" s="412" t="str">
        <f t="shared" si="2"/>
        <v/>
      </c>
      <c r="BF73" s="412" t="str">
        <f>IF(B73=0,"",IFERROR(VLOOKUP(Envoltória!F81,INPUT_REF!$BQ$18:$BR$19,2,FALSE),""))</f>
        <v/>
      </c>
      <c r="BG73" s="412" t="str">
        <f>IFERROR(VLOOKUP(Envoltória!$G81,$BQ$35:$BZ$43,BG$9,FALSE),"")</f>
        <v/>
      </c>
      <c r="BH73" s="412" t="str">
        <f>IFERROR(VLOOKUP(Envoltória!$G81,$BQ$35:$BZ$43,BH$9,FALSE),"")</f>
        <v/>
      </c>
      <c r="BI73" s="412" t="str">
        <f>IFERROR(VLOOKUP(Envoltória!$G81,$BQ$35:$BZ$43,BI$9,FALSE),"")</f>
        <v/>
      </c>
      <c r="BJ73" s="412" t="str">
        <f>IFERROR(VLOOKUP(Envoltória!$G81,$BQ$35:$BZ$43,BJ$9,FALSE),"")</f>
        <v/>
      </c>
      <c r="BK73" s="412" t="str">
        <f>IFERROR(VLOOKUP(Envoltória!$G81,$BQ$35:$BZ$43,BK$9,FALSE),"")</f>
        <v/>
      </c>
      <c r="BL73" s="412" t="str">
        <f>IFERROR(VLOOKUP(Envoltória!$G81,$BQ$35:$BZ$43,BL$9,FALSE),"")</f>
        <v/>
      </c>
      <c r="BM73" s="412" t="str">
        <f>IFERROR(VLOOKUP(Envoltória!$G81,$BQ$35:$BZ$43,BM$9,FALSE),"")</f>
        <v/>
      </c>
      <c r="BN73" s="412" t="str">
        <f>IFERROR(VLOOKUP(Envoltória!$G81,$BQ$35:$BZ$43,BN$9,FALSE),"")</f>
        <v/>
      </c>
      <c r="BO73" s="412" t="str">
        <f>IFERROR(VLOOKUP(Envoltória!$G81,$BQ$35:$BZ$43,BO$9,FALSE),"")</f>
        <v/>
      </c>
    </row>
    <row r="74" spans="1:67" x14ac:dyDescent="0.25">
      <c r="A74" s="1">
        <v>64</v>
      </c>
      <c r="B74" s="409">
        <f>Envoltória!I82</f>
        <v>0</v>
      </c>
      <c r="C74" s="410">
        <f>Envoltória!B82</f>
        <v>0</v>
      </c>
      <c r="D74" s="410">
        <f>Envoltória!C82</f>
        <v>0</v>
      </c>
      <c r="E74" s="411">
        <f>Envoltória!D82</f>
        <v>0</v>
      </c>
      <c r="F74" s="412" t="str">
        <f>IF(B74=0,"",Envoltória!E82)</f>
        <v/>
      </c>
      <c r="G74" s="412" t="str">
        <f t="shared" si="0"/>
        <v/>
      </c>
      <c r="H74" s="413" t="str">
        <f>IF(B74=0,"",IF(Envoltória!O82=0,0,VLOOKUP(B74,Aux_Lista!A:M,13,FALSE)))</f>
        <v/>
      </c>
      <c r="I74" s="413" t="str">
        <f>IF(B74=0,"",IF(BF74=1,VLOOKUP(Envoltória!N82,Componentes!T:AB,7,FALSE),89))</f>
        <v/>
      </c>
      <c r="J74" s="414" t="str">
        <f>IF(B74=0,"",Componentes!$Q$10)</f>
        <v/>
      </c>
      <c r="K74" s="414" t="str">
        <f>IF(B74=0,"",Componentes!$R$10)</f>
        <v/>
      </c>
      <c r="L74" s="413" t="str">
        <f>IF(B74=0,"",IFERROR(IF(BB74&lt;&gt;0,Componentes!$L$11,0),""))</f>
        <v/>
      </c>
      <c r="M74" s="413" t="str">
        <f>IF(B74=0,"",IFERROR(IF(BB74&lt;&gt;0,Componentes!$M$11,0),""))</f>
        <v/>
      </c>
      <c r="N74" s="415" t="str">
        <f>IF(B74=0,"",IFERROR(IF(BB74&lt;&gt;0,Componentes!$N$11,0),""))</f>
        <v/>
      </c>
      <c r="O74" s="413" t="str">
        <f>IF(B74=0,"",IF(BF74=1,Componentes!$C$11,-6))</f>
        <v/>
      </c>
      <c r="P74" s="413" t="str">
        <f>IF(B74=0,"",IF(BF74=1,Componentes!$D$11,-400))</f>
        <v/>
      </c>
      <c r="Q74" s="413" t="str">
        <f>IF(B74=0,"",IF(BF74=1,Componentes!$E$11,0))</f>
        <v/>
      </c>
      <c r="R74" s="414" t="str">
        <f>IF(B74=0,"",Componentes!$H$11)</f>
        <v/>
      </c>
      <c r="S74" s="414" t="str">
        <f>IF(B74=0,"",Componentes!$I$11)</f>
        <v/>
      </c>
      <c r="T74" s="413" t="str">
        <f>IF(B74=0,"",IFERROR(IF(H74&lt;&gt;0,Componentes!$V$11,0),""))</f>
        <v/>
      </c>
      <c r="U74" s="413" t="str">
        <f>IF(B74=0,"",IFERROR(IF(H74&lt;&gt;0,Componentes!$U$11,0),""))</f>
        <v/>
      </c>
      <c r="V74" s="414" t="str">
        <f>IF(B74=0,"",IFERROR(IF(AA74&lt;&gt;0,VLOOKUP(Envoltória!U82,Componentes!X:Z,2,FALSE),0),0))</f>
        <v/>
      </c>
      <c r="W74" s="414" t="str">
        <f>IF(B74=0,"",IFERROR(IF(AA74&lt;&gt;0,Componentes!$AE$11,0),0))</f>
        <v/>
      </c>
      <c r="X74" s="413" t="str">
        <f>IF(B74=0,"",Envoltória!U82)</f>
        <v/>
      </c>
      <c r="Y74" s="413" t="str">
        <f>IF(B74=0,"",VLOOKUP(Início!$C$20,Aux_Lista!A:H,8,FALSE))</f>
        <v/>
      </c>
      <c r="Z74" s="413" t="str">
        <f>IF(B74=0,"",Envoltória!T82)</f>
        <v/>
      </c>
      <c r="AA74" s="416" t="str">
        <f>IF(B74=0,"",Envoltória!Q82/100)</f>
        <v/>
      </c>
      <c r="AB74" s="417" t="str">
        <f>INPUT!AB74</f>
        <v/>
      </c>
      <c r="AC74" s="417" t="str">
        <f>INPUT!AC74</f>
        <v/>
      </c>
      <c r="AD74" s="417" t="str">
        <f>INPUT!AD74</f>
        <v/>
      </c>
      <c r="AE74" s="417" t="str">
        <f>INPUT!AE74</f>
        <v/>
      </c>
      <c r="AF74" s="417" t="str">
        <f>INPUT!AF74</f>
        <v/>
      </c>
      <c r="AG74" s="417" t="str">
        <f>INPUT!AG74</f>
        <v/>
      </c>
      <c r="AH74" s="417" t="str">
        <f>INPUT!AH74</f>
        <v/>
      </c>
      <c r="AI74" s="417" t="str">
        <f>INPUT!AI74</f>
        <v/>
      </c>
      <c r="AJ74" s="417" t="str">
        <f>INPUT!AJ74</f>
        <v/>
      </c>
      <c r="AK74" s="417" t="str">
        <f>INPUT!AK74</f>
        <v/>
      </c>
      <c r="AL74" s="417" t="str">
        <f>INPUT!AL74</f>
        <v/>
      </c>
      <c r="AM74" s="417" t="str">
        <f>INPUT!AM74</f>
        <v/>
      </c>
      <c r="AN74" s="417" t="str">
        <f>INPUT!AN74</f>
        <v/>
      </c>
      <c r="AO74" s="417" t="str">
        <f>INPUT!AO74</f>
        <v/>
      </c>
      <c r="AP74" s="413" t="str">
        <f>IF(B74=0,"",IF(BF74=0,90,VLOOKUP(Envoltória!N82,Componentes!T:AB,9,FALSE)))</f>
        <v/>
      </c>
      <c r="AQ74" s="413" t="str">
        <f>IF(B74=0,"",IF(BF74=0,90,VLOOKUP(Envoltória!N82,Componentes!T:AB,8,FALSE)))</f>
        <v/>
      </c>
      <c r="AR74" s="413" t="str">
        <f t="shared" si="4"/>
        <v/>
      </c>
      <c r="AS74" s="413" t="str">
        <f t="shared" si="4"/>
        <v/>
      </c>
      <c r="AT74" s="413" t="str">
        <f t="shared" si="4"/>
        <v/>
      </c>
      <c r="AU74" s="413" t="str">
        <f t="shared" si="4"/>
        <v/>
      </c>
      <c r="AV74" s="413" t="str">
        <f t="shared" si="4"/>
        <v/>
      </c>
      <c r="AW74" s="414" t="str">
        <f>INPUT!AW74</f>
        <v/>
      </c>
      <c r="AX74" s="414" t="str">
        <f>INPUT!AX74</f>
        <v/>
      </c>
      <c r="AY74" s="414" t="str">
        <f>INPUT!AY74</f>
        <v/>
      </c>
      <c r="AZ74" s="414" t="str">
        <f>INPUT!AZ74</f>
        <v/>
      </c>
      <c r="BA74" s="414" t="str">
        <f>INPUT!BA74</f>
        <v/>
      </c>
      <c r="BB74" s="414" t="str">
        <f>INPUT!BB74</f>
        <v/>
      </c>
      <c r="BC74" s="414" t="str">
        <f>INPUT!BC74</f>
        <v/>
      </c>
      <c r="BD74" s="414" t="str">
        <f>INPUT!BD74</f>
        <v/>
      </c>
      <c r="BE74" s="412" t="str">
        <f t="shared" si="2"/>
        <v/>
      </c>
      <c r="BF74" s="412" t="str">
        <f>IF(B74=0,"",IFERROR(VLOOKUP(Envoltória!F82,INPUT_REF!$BQ$18:$BR$19,2,FALSE),""))</f>
        <v/>
      </c>
      <c r="BG74" s="412" t="str">
        <f>IFERROR(VLOOKUP(Envoltória!$G82,$BQ$35:$BZ$43,BG$9,FALSE),"")</f>
        <v/>
      </c>
      <c r="BH74" s="412" t="str">
        <f>IFERROR(VLOOKUP(Envoltória!$G82,$BQ$35:$BZ$43,BH$9,FALSE),"")</f>
        <v/>
      </c>
      <c r="BI74" s="412" t="str">
        <f>IFERROR(VLOOKUP(Envoltória!$G82,$BQ$35:$BZ$43,BI$9,FALSE),"")</f>
        <v/>
      </c>
      <c r="BJ74" s="412" t="str">
        <f>IFERROR(VLOOKUP(Envoltória!$G82,$BQ$35:$BZ$43,BJ$9,FALSE),"")</f>
        <v/>
      </c>
      <c r="BK74" s="412" t="str">
        <f>IFERROR(VLOOKUP(Envoltória!$G82,$BQ$35:$BZ$43,BK$9,FALSE),"")</f>
        <v/>
      </c>
      <c r="BL74" s="412" t="str">
        <f>IFERROR(VLOOKUP(Envoltória!$G82,$BQ$35:$BZ$43,BL$9,FALSE),"")</f>
        <v/>
      </c>
      <c r="BM74" s="412" t="str">
        <f>IFERROR(VLOOKUP(Envoltória!$G82,$BQ$35:$BZ$43,BM$9,FALSE),"")</f>
        <v/>
      </c>
      <c r="BN74" s="412" t="str">
        <f>IFERROR(VLOOKUP(Envoltória!$G82,$BQ$35:$BZ$43,BN$9,FALSE),"")</f>
        <v/>
      </c>
      <c r="BO74" s="412" t="str">
        <f>IFERROR(VLOOKUP(Envoltória!$G82,$BQ$35:$BZ$43,BO$9,FALSE),"")</f>
        <v/>
      </c>
    </row>
    <row r="75" spans="1:67" x14ac:dyDescent="0.25">
      <c r="A75" s="1">
        <v>65</v>
      </c>
      <c r="B75" s="409">
        <f>Envoltória!I83</f>
        <v>0</v>
      </c>
      <c r="C75" s="410">
        <f>Envoltória!B83</f>
        <v>0</v>
      </c>
      <c r="D75" s="410">
        <f>Envoltória!C83</f>
        <v>0</v>
      </c>
      <c r="E75" s="411">
        <f>Envoltória!D83</f>
        <v>0</v>
      </c>
      <c r="F75" s="412" t="str">
        <f>IF(B75=0,"",Envoltória!E83)</f>
        <v/>
      </c>
      <c r="G75" s="412" t="str">
        <f t="shared" si="0"/>
        <v/>
      </c>
      <c r="H75" s="413" t="str">
        <f>IF(B75=0,"",IF(Envoltória!O83=0,0,VLOOKUP(B75,Aux_Lista!A:M,13,FALSE)))</f>
        <v/>
      </c>
      <c r="I75" s="413" t="str">
        <f>IF(B75=0,"",IF(BF75=1,VLOOKUP(Envoltória!N83,Componentes!T:AB,7,FALSE),89))</f>
        <v/>
      </c>
      <c r="J75" s="414" t="str">
        <f>IF(B75=0,"",Componentes!$Q$10)</f>
        <v/>
      </c>
      <c r="K75" s="414" t="str">
        <f>IF(B75=0,"",Componentes!$R$10)</f>
        <v/>
      </c>
      <c r="L75" s="413" t="str">
        <f>IF(B75=0,"",IFERROR(IF(BB75&lt;&gt;0,Componentes!$L$11,0),""))</f>
        <v/>
      </c>
      <c r="M75" s="413" t="str">
        <f>IF(B75=0,"",IFERROR(IF(BB75&lt;&gt;0,Componentes!$M$11,0),""))</f>
        <v/>
      </c>
      <c r="N75" s="415" t="str">
        <f>IF(B75=0,"",IFERROR(IF(BB75&lt;&gt;0,Componentes!$N$11,0),""))</f>
        <v/>
      </c>
      <c r="O75" s="413" t="str">
        <f>IF(B75=0,"",IF(BF75=1,Componentes!$C$11,-6))</f>
        <v/>
      </c>
      <c r="P75" s="413" t="str">
        <f>IF(B75=0,"",IF(BF75=1,Componentes!$D$11,-400))</f>
        <v/>
      </c>
      <c r="Q75" s="413" t="str">
        <f>IF(B75=0,"",IF(BF75=1,Componentes!$E$11,0))</f>
        <v/>
      </c>
      <c r="R75" s="414" t="str">
        <f>IF(B75=0,"",Componentes!$H$11)</f>
        <v/>
      </c>
      <c r="S75" s="414" t="str">
        <f>IF(B75=0,"",Componentes!$I$11)</f>
        <v/>
      </c>
      <c r="T75" s="413" t="str">
        <f>IF(B75=0,"",IFERROR(IF(H75&lt;&gt;0,Componentes!$V$11,0),""))</f>
        <v/>
      </c>
      <c r="U75" s="413" t="str">
        <f>IF(B75=0,"",IFERROR(IF(H75&lt;&gt;0,Componentes!$U$11,0),""))</f>
        <v/>
      </c>
      <c r="V75" s="414" t="str">
        <f>IF(B75=0,"",IFERROR(IF(AA75&lt;&gt;0,VLOOKUP(Envoltória!U83,Componentes!X:Z,2,FALSE),0),0))</f>
        <v/>
      </c>
      <c r="W75" s="414" t="str">
        <f>IF(B75=0,"",IFERROR(IF(AA75&lt;&gt;0,Componentes!$AE$11,0),0))</f>
        <v/>
      </c>
      <c r="X75" s="413" t="str">
        <f>IF(B75=0,"",Envoltória!U83)</f>
        <v/>
      </c>
      <c r="Y75" s="413" t="str">
        <f>IF(B75=0,"",VLOOKUP(Início!$C$20,Aux_Lista!A:H,8,FALSE))</f>
        <v/>
      </c>
      <c r="Z75" s="413" t="str">
        <f>IF(B75=0,"",Envoltória!T83)</f>
        <v/>
      </c>
      <c r="AA75" s="416" t="str">
        <f>IF(B75=0,"",Envoltória!Q83/100)</f>
        <v/>
      </c>
      <c r="AB75" s="417" t="str">
        <f>INPUT!AB75</f>
        <v/>
      </c>
      <c r="AC75" s="417" t="str">
        <f>INPUT!AC75</f>
        <v/>
      </c>
      <c r="AD75" s="417" t="str">
        <f>INPUT!AD75</f>
        <v/>
      </c>
      <c r="AE75" s="417" t="str">
        <f>INPUT!AE75</f>
        <v/>
      </c>
      <c r="AF75" s="417" t="str">
        <f>INPUT!AF75</f>
        <v/>
      </c>
      <c r="AG75" s="417" t="str">
        <f>INPUT!AG75</f>
        <v/>
      </c>
      <c r="AH75" s="417" t="str">
        <f>INPUT!AH75</f>
        <v/>
      </c>
      <c r="AI75" s="417" t="str">
        <f>INPUT!AI75</f>
        <v/>
      </c>
      <c r="AJ75" s="417" t="str">
        <f>INPUT!AJ75</f>
        <v/>
      </c>
      <c r="AK75" s="417" t="str">
        <f>INPUT!AK75</f>
        <v/>
      </c>
      <c r="AL75" s="417" t="str">
        <f>INPUT!AL75</f>
        <v/>
      </c>
      <c r="AM75" s="417" t="str">
        <f>INPUT!AM75</f>
        <v/>
      </c>
      <c r="AN75" s="417" t="str">
        <f>INPUT!AN75</f>
        <v/>
      </c>
      <c r="AO75" s="417" t="str">
        <f>INPUT!AO75</f>
        <v/>
      </c>
      <c r="AP75" s="413" t="str">
        <f>IF(B75=0,"",IF(BF75=0,90,VLOOKUP(Envoltória!N83,Componentes!T:AB,9,FALSE)))</f>
        <v/>
      </c>
      <c r="AQ75" s="413" t="str">
        <f>IF(B75=0,"",IF(BF75=0,90,VLOOKUP(Envoltória!N83,Componentes!T:AB,8,FALSE)))</f>
        <v/>
      </c>
      <c r="AR75" s="413" t="str">
        <f t="shared" si="4"/>
        <v/>
      </c>
      <c r="AS75" s="413" t="str">
        <f t="shared" si="4"/>
        <v/>
      </c>
      <c r="AT75" s="413" t="str">
        <f t="shared" si="4"/>
        <v/>
      </c>
      <c r="AU75" s="413" t="str">
        <f t="shared" si="4"/>
        <v/>
      </c>
      <c r="AV75" s="413" t="str">
        <f t="shared" si="4"/>
        <v/>
      </c>
      <c r="AW75" s="414" t="str">
        <f>INPUT!AW75</f>
        <v/>
      </c>
      <c r="AX75" s="414" t="str">
        <f>INPUT!AX75</f>
        <v/>
      </c>
      <c r="AY75" s="414" t="str">
        <f>INPUT!AY75</f>
        <v/>
      </c>
      <c r="AZ75" s="414" t="str">
        <f>INPUT!AZ75</f>
        <v/>
      </c>
      <c r="BA75" s="414" t="str">
        <f>INPUT!BA75</f>
        <v/>
      </c>
      <c r="BB75" s="414" t="str">
        <f>INPUT!BB75</f>
        <v/>
      </c>
      <c r="BC75" s="414" t="str">
        <f>INPUT!BC75</f>
        <v/>
      </c>
      <c r="BD75" s="414" t="str">
        <f>INPUT!BD75</f>
        <v/>
      </c>
      <c r="BE75" s="412" t="str">
        <f t="shared" si="2"/>
        <v/>
      </c>
      <c r="BF75" s="412" t="str">
        <f>IF(B75=0,"",IFERROR(VLOOKUP(Envoltória!F83,INPUT_REF!$BQ$18:$BR$19,2,FALSE),""))</f>
        <v/>
      </c>
      <c r="BG75" s="412" t="str">
        <f>IFERROR(VLOOKUP(Envoltória!$G83,$BQ$35:$BZ$43,BG$9,FALSE),"")</f>
        <v/>
      </c>
      <c r="BH75" s="412" t="str">
        <f>IFERROR(VLOOKUP(Envoltória!$G83,$BQ$35:$BZ$43,BH$9,FALSE),"")</f>
        <v/>
      </c>
      <c r="BI75" s="412" t="str">
        <f>IFERROR(VLOOKUP(Envoltória!$G83,$BQ$35:$BZ$43,BI$9,FALSE),"")</f>
        <v/>
      </c>
      <c r="BJ75" s="412" t="str">
        <f>IFERROR(VLOOKUP(Envoltória!$G83,$BQ$35:$BZ$43,BJ$9,FALSE),"")</f>
        <v/>
      </c>
      <c r="BK75" s="412" t="str">
        <f>IFERROR(VLOOKUP(Envoltória!$G83,$BQ$35:$BZ$43,BK$9,FALSE),"")</f>
        <v/>
      </c>
      <c r="BL75" s="412" t="str">
        <f>IFERROR(VLOOKUP(Envoltória!$G83,$BQ$35:$BZ$43,BL$9,FALSE),"")</f>
        <v/>
      </c>
      <c r="BM75" s="412" t="str">
        <f>IFERROR(VLOOKUP(Envoltória!$G83,$BQ$35:$BZ$43,BM$9,FALSE),"")</f>
        <v/>
      </c>
      <c r="BN75" s="412" t="str">
        <f>IFERROR(VLOOKUP(Envoltória!$G83,$BQ$35:$BZ$43,BN$9,FALSE),"")</f>
        <v/>
      </c>
      <c r="BO75" s="412" t="str">
        <f>IFERROR(VLOOKUP(Envoltória!$G83,$BQ$35:$BZ$43,BO$9,FALSE),"")</f>
        <v/>
      </c>
    </row>
    <row r="76" spans="1:67" x14ac:dyDescent="0.25">
      <c r="A76" s="1">
        <v>66</v>
      </c>
      <c r="B76" s="409">
        <f>Envoltória!I84</f>
        <v>0</v>
      </c>
      <c r="C76" s="410">
        <f>Envoltória!B84</f>
        <v>0</v>
      </c>
      <c r="D76" s="410">
        <f>Envoltória!C84</f>
        <v>0</v>
      </c>
      <c r="E76" s="411">
        <f>Envoltória!D84</f>
        <v>0</v>
      </c>
      <c r="F76" s="412" t="str">
        <f>IF(B76=0,"",Envoltória!E84)</f>
        <v/>
      </c>
      <c r="G76" s="412" t="str">
        <f t="shared" ref="G76:G110" si="5">IF(B76=0,"",IF(BF76=1,(((2/4.5)*E76)+9)/2,SQRT(E76)))</f>
        <v/>
      </c>
      <c r="H76" s="413" t="str">
        <f>IF(B76=0,"",IF(Envoltória!O84=0,0,VLOOKUP(B76,Aux_Lista!A:M,13,FALSE)))</f>
        <v/>
      </c>
      <c r="I76" s="413" t="str">
        <f>IF(B76=0,"",IF(BF76=1,VLOOKUP(Envoltória!N84,Componentes!T:AB,7,FALSE),89))</f>
        <v/>
      </c>
      <c r="J76" s="414" t="str">
        <f>IF(B76=0,"",Componentes!$Q$10)</f>
        <v/>
      </c>
      <c r="K76" s="414" t="str">
        <f>IF(B76=0,"",Componentes!$R$10)</f>
        <v/>
      </c>
      <c r="L76" s="413" t="str">
        <f>IF(B76=0,"",IFERROR(IF(BB76&lt;&gt;0,Componentes!$L$11,0),""))</f>
        <v/>
      </c>
      <c r="M76" s="413" t="str">
        <f>IF(B76=0,"",IFERROR(IF(BB76&lt;&gt;0,Componentes!$M$11,0),""))</f>
        <v/>
      </c>
      <c r="N76" s="415" t="str">
        <f>IF(B76=0,"",IFERROR(IF(BB76&lt;&gt;0,Componentes!$N$11,0),""))</f>
        <v/>
      </c>
      <c r="O76" s="413" t="str">
        <f>IF(B76=0,"",IF(BF76=1,Componentes!$C$11,-6))</f>
        <v/>
      </c>
      <c r="P76" s="413" t="str">
        <f>IF(B76=0,"",IF(BF76=1,Componentes!$D$11,-400))</f>
        <v/>
      </c>
      <c r="Q76" s="413" t="str">
        <f>IF(B76=0,"",IF(BF76=1,Componentes!$E$11,0))</f>
        <v/>
      </c>
      <c r="R76" s="414" t="str">
        <f>IF(B76=0,"",Componentes!$H$11)</f>
        <v/>
      </c>
      <c r="S76" s="414" t="str">
        <f>IF(B76=0,"",Componentes!$I$11)</f>
        <v/>
      </c>
      <c r="T76" s="413" t="str">
        <f>IF(B76=0,"",IFERROR(IF(H76&lt;&gt;0,Componentes!$V$11,0),""))</f>
        <v/>
      </c>
      <c r="U76" s="413" t="str">
        <f>IF(B76=0,"",IFERROR(IF(H76&lt;&gt;0,Componentes!$U$11,0),""))</f>
        <v/>
      </c>
      <c r="V76" s="414" t="str">
        <f>IF(B76=0,"",IFERROR(IF(AA76&lt;&gt;0,VLOOKUP(Envoltória!U84,Componentes!X:Z,2,FALSE),0),0))</f>
        <v/>
      </c>
      <c r="W76" s="414" t="str">
        <f>IF(B76=0,"",IFERROR(IF(AA76&lt;&gt;0,Componentes!$AE$11,0),0))</f>
        <v/>
      </c>
      <c r="X76" s="413" t="str">
        <f>IF(B76=0,"",Envoltória!U84)</f>
        <v/>
      </c>
      <c r="Y76" s="413" t="str">
        <f>IF(B76=0,"",VLOOKUP(Início!$C$20,Aux_Lista!A:H,8,FALSE))</f>
        <v/>
      </c>
      <c r="Z76" s="413" t="str">
        <f>IF(B76=0,"",Envoltória!T84)</f>
        <v/>
      </c>
      <c r="AA76" s="416" t="str">
        <f>IF(B76=0,"",Envoltória!Q84/100)</f>
        <v/>
      </c>
      <c r="AB76" s="417" t="str">
        <f>INPUT!AB76</f>
        <v/>
      </c>
      <c r="AC76" s="417" t="str">
        <f>INPUT!AC76</f>
        <v/>
      </c>
      <c r="AD76" s="417" t="str">
        <f>INPUT!AD76</f>
        <v/>
      </c>
      <c r="AE76" s="417" t="str">
        <f>INPUT!AE76</f>
        <v/>
      </c>
      <c r="AF76" s="417" t="str">
        <f>INPUT!AF76</f>
        <v/>
      </c>
      <c r="AG76" s="417" t="str">
        <f>INPUT!AG76</f>
        <v/>
      </c>
      <c r="AH76" s="417" t="str">
        <f>INPUT!AH76</f>
        <v/>
      </c>
      <c r="AI76" s="417" t="str">
        <f>INPUT!AI76</f>
        <v/>
      </c>
      <c r="AJ76" s="417" t="str">
        <f>INPUT!AJ76</f>
        <v/>
      </c>
      <c r="AK76" s="417" t="str">
        <f>INPUT!AK76</f>
        <v/>
      </c>
      <c r="AL76" s="417" t="str">
        <f>INPUT!AL76</f>
        <v/>
      </c>
      <c r="AM76" s="417" t="str">
        <f>INPUT!AM76</f>
        <v/>
      </c>
      <c r="AN76" s="417" t="str">
        <f>INPUT!AN76</f>
        <v/>
      </c>
      <c r="AO76" s="417" t="str">
        <f>INPUT!AO76</f>
        <v/>
      </c>
      <c r="AP76" s="413" t="str">
        <f>IF(B76=0,"",IF(BF76=0,90,VLOOKUP(Envoltória!N84,Componentes!T:AB,9,FALSE)))</f>
        <v/>
      </c>
      <c r="AQ76" s="413" t="str">
        <f>IF(B76=0,"",IF(BF76=0,90,VLOOKUP(Envoltória!N84,Componentes!T:AB,8,FALSE)))</f>
        <v/>
      </c>
      <c r="AR76" s="413" t="str">
        <f t="shared" ref="AR76:AV110" si="6">IFERROR(VLOOKUP($B76,$BQ$21:$BW$31,AR$9,FALSE),"")</f>
        <v/>
      </c>
      <c r="AS76" s="413" t="str">
        <f t="shared" si="6"/>
        <v/>
      </c>
      <c r="AT76" s="413" t="str">
        <f t="shared" si="6"/>
        <v/>
      </c>
      <c r="AU76" s="413" t="str">
        <f t="shared" si="6"/>
        <v/>
      </c>
      <c r="AV76" s="413" t="str">
        <f t="shared" si="6"/>
        <v/>
      </c>
      <c r="AW76" s="414" t="str">
        <f>INPUT!AW76</f>
        <v/>
      </c>
      <c r="AX76" s="414" t="str">
        <f>INPUT!AX76</f>
        <v/>
      </c>
      <c r="AY76" s="414" t="str">
        <f>INPUT!AY76</f>
        <v/>
      </c>
      <c r="AZ76" s="414" t="str">
        <f>INPUT!AZ76</f>
        <v/>
      </c>
      <c r="BA76" s="414" t="str">
        <f>INPUT!BA76</f>
        <v/>
      </c>
      <c r="BB76" s="414" t="str">
        <f>INPUT!BB76</f>
        <v/>
      </c>
      <c r="BC76" s="414" t="str">
        <f>INPUT!BC76</f>
        <v/>
      </c>
      <c r="BD76" s="414" t="str">
        <f>INPUT!BD76</f>
        <v/>
      </c>
      <c r="BE76" s="412" t="str">
        <f t="shared" ref="BE76:BE110" si="7">IF(B76=0,"",IF(BF76=0,1,0))</f>
        <v/>
      </c>
      <c r="BF76" s="412" t="str">
        <f>IF(B76=0,"",IFERROR(VLOOKUP(Envoltória!F84,INPUT_REF!$BQ$18:$BR$19,2,FALSE),""))</f>
        <v/>
      </c>
      <c r="BG76" s="412" t="str">
        <f>IFERROR(VLOOKUP(Envoltória!$G84,$BQ$35:$BZ$43,BG$9,FALSE),"")</f>
        <v/>
      </c>
      <c r="BH76" s="412" t="str">
        <f>IFERROR(VLOOKUP(Envoltória!$G84,$BQ$35:$BZ$43,BH$9,FALSE),"")</f>
        <v/>
      </c>
      <c r="BI76" s="412" t="str">
        <f>IFERROR(VLOOKUP(Envoltória!$G84,$BQ$35:$BZ$43,BI$9,FALSE),"")</f>
        <v/>
      </c>
      <c r="BJ76" s="412" t="str">
        <f>IFERROR(VLOOKUP(Envoltória!$G84,$BQ$35:$BZ$43,BJ$9,FALSE),"")</f>
        <v/>
      </c>
      <c r="BK76" s="412" t="str">
        <f>IFERROR(VLOOKUP(Envoltória!$G84,$BQ$35:$BZ$43,BK$9,FALSE),"")</f>
        <v/>
      </c>
      <c r="BL76" s="412" t="str">
        <f>IFERROR(VLOOKUP(Envoltória!$G84,$BQ$35:$BZ$43,BL$9,FALSE),"")</f>
        <v/>
      </c>
      <c r="BM76" s="412" t="str">
        <f>IFERROR(VLOOKUP(Envoltória!$G84,$BQ$35:$BZ$43,BM$9,FALSE),"")</f>
        <v/>
      </c>
      <c r="BN76" s="412" t="str">
        <f>IFERROR(VLOOKUP(Envoltória!$G84,$BQ$35:$BZ$43,BN$9,FALSE),"")</f>
        <v/>
      </c>
      <c r="BO76" s="412" t="str">
        <f>IFERROR(VLOOKUP(Envoltória!$G84,$BQ$35:$BZ$43,BO$9,FALSE),"")</f>
        <v/>
      </c>
    </row>
    <row r="77" spans="1:67" x14ac:dyDescent="0.25">
      <c r="A77" s="1">
        <v>67</v>
      </c>
      <c r="B77" s="409">
        <f>Envoltória!I85</f>
        <v>0</v>
      </c>
      <c r="C77" s="410">
        <f>Envoltória!B85</f>
        <v>0</v>
      </c>
      <c r="D77" s="410">
        <f>Envoltória!C85</f>
        <v>0</v>
      </c>
      <c r="E77" s="411">
        <f>Envoltória!D85</f>
        <v>0</v>
      </c>
      <c r="F77" s="412" t="str">
        <f>IF(B77=0,"",Envoltória!E85)</f>
        <v/>
      </c>
      <c r="G77" s="412" t="str">
        <f t="shared" si="5"/>
        <v/>
      </c>
      <c r="H77" s="413" t="str">
        <f>IF(B77=0,"",IF(Envoltória!O85=0,0,VLOOKUP(B77,Aux_Lista!A:M,13,FALSE)))</f>
        <v/>
      </c>
      <c r="I77" s="413" t="str">
        <f>IF(B77=0,"",IF(BF77=1,VLOOKUP(Envoltória!N85,Componentes!T:AB,7,FALSE),89))</f>
        <v/>
      </c>
      <c r="J77" s="414" t="str">
        <f>IF(B77=0,"",Componentes!$Q$10)</f>
        <v/>
      </c>
      <c r="K77" s="414" t="str">
        <f>IF(B77=0,"",Componentes!$R$10)</f>
        <v/>
      </c>
      <c r="L77" s="413" t="str">
        <f>IF(B77=0,"",IFERROR(IF(BB77&lt;&gt;0,Componentes!$L$11,0),""))</f>
        <v/>
      </c>
      <c r="M77" s="413" t="str">
        <f>IF(B77=0,"",IFERROR(IF(BB77&lt;&gt;0,Componentes!$M$11,0),""))</f>
        <v/>
      </c>
      <c r="N77" s="415" t="str">
        <f>IF(B77=0,"",IFERROR(IF(BB77&lt;&gt;0,Componentes!$N$11,0),""))</f>
        <v/>
      </c>
      <c r="O77" s="413" t="str">
        <f>IF(B77=0,"",IF(BF77=1,Componentes!$C$11,-6))</f>
        <v/>
      </c>
      <c r="P77" s="413" t="str">
        <f>IF(B77=0,"",IF(BF77=1,Componentes!$D$11,-400))</f>
        <v/>
      </c>
      <c r="Q77" s="413" t="str">
        <f>IF(B77=0,"",IF(BF77=1,Componentes!$E$11,0))</f>
        <v/>
      </c>
      <c r="R77" s="414" t="str">
        <f>IF(B77=0,"",Componentes!$H$11)</f>
        <v/>
      </c>
      <c r="S77" s="414" t="str">
        <f>IF(B77=0,"",Componentes!$I$11)</f>
        <v/>
      </c>
      <c r="T77" s="413" t="str">
        <f>IF(B77=0,"",IFERROR(IF(H77&lt;&gt;0,Componentes!$V$11,0),""))</f>
        <v/>
      </c>
      <c r="U77" s="413" t="str">
        <f>IF(B77=0,"",IFERROR(IF(H77&lt;&gt;0,Componentes!$U$11,0),""))</f>
        <v/>
      </c>
      <c r="V77" s="414" t="str">
        <f>IF(B77=0,"",IFERROR(IF(AA77&lt;&gt;0,VLOOKUP(Envoltória!U85,Componentes!X:Z,2,FALSE),0),0))</f>
        <v/>
      </c>
      <c r="W77" s="414" t="str">
        <f>IF(B77=0,"",IFERROR(IF(AA77&lt;&gt;0,Componentes!$AE$11,0),0))</f>
        <v/>
      </c>
      <c r="X77" s="413" t="str">
        <f>IF(B77=0,"",Envoltória!U85)</f>
        <v/>
      </c>
      <c r="Y77" s="413" t="str">
        <f>IF(B77=0,"",VLOOKUP(Início!$C$20,Aux_Lista!A:H,8,FALSE))</f>
        <v/>
      </c>
      <c r="Z77" s="413" t="str">
        <f>IF(B77=0,"",Envoltória!T85)</f>
        <v/>
      </c>
      <c r="AA77" s="416" t="str">
        <f>IF(B77=0,"",Envoltória!Q85/100)</f>
        <v/>
      </c>
      <c r="AB77" s="417" t="str">
        <f>INPUT!AB77</f>
        <v/>
      </c>
      <c r="AC77" s="417" t="str">
        <f>INPUT!AC77</f>
        <v/>
      </c>
      <c r="AD77" s="417" t="str">
        <f>INPUT!AD77</f>
        <v/>
      </c>
      <c r="AE77" s="417" t="str">
        <f>INPUT!AE77</f>
        <v/>
      </c>
      <c r="AF77" s="417" t="str">
        <f>INPUT!AF77</f>
        <v/>
      </c>
      <c r="AG77" s="417" t="str">
        <f>INPUT!AG77</f>
        <v/>
      </c>
      <c r="AH77" s="417" t="str">
        <f>INPUT!AH77</f>
        <v/>
      </c>
      <c r="AI77" s="417" t="str">
        <f>INPUT!AI77</f>
        <v/>
      </c>
      <c r="AJ77" s="417" t="str">
        <f>INPUT!AJ77</f>
        <v/>
      </c>
      <c r="AK77" s="417" t="str">
        <f>INPUT!AK77</f>
        <v/>
      </c>
      <c r="AL77" s="417" t="str">
        <f>INPUT!AL77</f>
        <v/>
      </c>
      <c r="AM77" s="417" t="str">
        <f>INPUT!AM77</f>
        <v/>
      </c>
      <c r="AN77" s="417" t="str">
        <f>INPUT!AN77</f>
        <v/>
      </c>
      <c r="AO77" s="417" t="str">
        <f>INPUT!AO77</f>
        <v/>
      </c>
      <c r="AP77" s="413" t="str">
        <f>IF(B77=0,"",IF(BF77=0,90,VLOOKUP(Envoltória!N85,Componentes!T:AB,9,FALSE)))</f>
        <v/>
      </c>
      <c r="AQ77" s="413" t="str">
        <f>IF(B77=0,"",IF(BF77=0,90,VLOOKUP(Envoltória!N85,Componentes!T:AB,8,FALSE)))</f>
        <v/>
      </c>
      <c r="AR77" s="413" t="str">
        <f t="shared" si="6"/>
        <v/>
      </c>
      <c r="AS77" s="413" t="str">
        <f t="shared" si="6"/>
        <v/>
      </c>
      <c r="AT77" s="413" t="str">
        <f t="shared" si="6"/>
        <v/>
      </c>
      <c r="AU77" s="413" t="str">
        <f t="shared" si="6"/>
        <v/>
      </c>
      <c r="AV77" s="413" t="str">
        <f t="shared" si="6"/>
        <v/>
      </c>
      <c r="AW77" s="414" t="str">
        <f>INPUT!AW77</f>
        <v/>
      </c>
      <c r="AX77" s="414" t="str">
        <f>INPUT!AX77</f>
        <v/>
      </c>
      <c r="AY77" s="414" t="str">
        <f>INPUT!AY77</f>
        <v/>
      </c>
      <c r="AZ77" s="414" t="str">
        <f>INPUT!AZ77</f>
        <v/>
      </c>
      <c r="BA77" s="414" t="str">
        <f>INPUT!BA77</f>
        <v/>
      </c>
      <c r="BB77" s="414" t="str">
        <f>INPUT!BB77</f>
        <v/>
      </c>
      <c r="BC77" s="414" t="str">
        <f>INPUT!BC77</f>
        <v/>
      </c>
      <c r="BD77" s="414" t="str">
        <f>INPUT!BD77</f>
        <v/>
      </c>
      <c r="BE77" s="412" t="str">
        <f t="shared" si="7"/>
        <v/>
      </c>
      <c r="BF77" s="412" t="str">
        <f>IF(B77=0,"",IFERROR(VLOOKUP(Envoltória!F85,INPUT_REF!$BQ$18:$BR$19,2,FALSE),""))</f>
        <v/>
      </c>
      <c r="BG77" s="412" t="str">
        <f>IFERROR(VLOOKUP(Envoltória!$G85,$BQ$35:$BZ$43,BG$9,FALSE),"")</f>
        <v/>
      </c>
      <c r="BH77" s="412" t="str">
        <f>IFERROR(VLOOKUP(Envoltória!$G85,$BQ$35:$BZ$43,BH$9,FALSE),"")</f>
        <v/>
      </c>
      <c r="BI77" s="412" t="str">
        <f>IFERROR(VLOOKUP(Envoltória!$G85,$BQ$35:$BZ$43,BI$9,FALSE),"")</f>
        <v/>
      </c>
      <c r="BJ77" s="412" t="str">
        <f>IFERROR(VLOOKUP(Envoltória!$G85,$BQ$35:$BZ$43,BJ$9,FALSE),"")</f>
        <v/>
      </c>
      <c r="BK77" s="412" t="str">
        <f>IFERROR(VLOOKUP(Envoltória!$G85,$BQ$35:$BZ$43,BK$9,FALSE),"")</f>
        <v/>
      </c>
      <c r="BL77" s="412" t="str">
        <f>IFERROR(VLOOKUP(Envoltória!$G85,$BQ$35:$BZ$43,BL$9,FALSE),"")</f>
        <v/>
      </c>
      <c r="BM77" s="412" t="str">
        <f>IFERROR(VLOOKUP(Envoltória!$G85,$BQ$35:$BZ$43,BM$9,FALSE),"")</f>
        <v/>
      </c>
      <c r="BN77" s="412" t="str">
        <f>IFERROR(VLOOKUP(Envoltória!$G85,$BQ$35:$BZ$43,BN$9,FALSE),"")</f>
        <v/>
      </c>
      <c r="BO77" s="412" t="str">
        <f>IFERROR(VLOOKUP(Envoltória!$G85,$BQ$35:$BZ$43,BO$9,FALSE),"")</f>
        <v/>
      </c>
    </row>
    <row r="78" spans="1:67" x14ac:dyDescent="0.25">
      <c r="A78" s="1">
        <v>68</v>
      </c>
      <c r="B78" s="409">
        <f>Envoltória!I86</f>
        <v>0</v>
      </c>
      <c r="C78" s="410">
        <f>Envoltória!B86</f>
        <v>0</v>
      </c>
      <c r="D78" s="410">
        <f>Envoltória!C86</f>
        <v>0</v>
      </c>
      <c r="E78" s="411">
        <f>Envoltória!D86</f>
        <v>0</v>
      </c>
      <c r="F78" s="412" t="str">
        <f>IF(B78=0,"",Envoltória!E86)</f>
        <v/>
      </c>
      <c r="G78" s="412" t="str">
        <f t="shared" si="5"/>
        <v/>
      </c>
      <c r="H78" s="413" t="str">
        <f>IF(B78=0,"",IF(Envoltória!O86=0,0,VLOOKUP(B78,Aux_Lista!A:M,13,FALSE)))</f>
        <v/>
      </c>
      <c r="I78" s="413" t="str">
        <f>IF(B78=0,"",IF(BF78=1,VLOOKUP(Envoltória!N86,Componentes!T:AB,7,FALSE),89))</f>
        <v/>
      </c>
      <c r="J78" s="414" t="str">
        <f>IF(B78=0,"",Componentes!$Q$10)</f>
        <v/>
      </c>
      <c r="K78" s="414" t="str">
        <f>IF(B78=0,"",Componentes!$R$10)</f>
        <v/>
      </c>
      <c r="L78" s="413" t="str">
        <f>IF(B78=0,"",IFERROR(IF(BB78&lt;&gt;0,Componentes!$L$11,0),""))</f>
        <v/>
      </c>
      <c r="M78" s="413" t="str">
        <f>IF(B78=0,"",IFERROR(IF(BB78&lt;&gt;0,Componentes!$M$11,0),""))</f>
        <v/>
      </c>
      <c r="N78" s="415" t="str">
        <f>IF(B78=0,"",IFERROR(IF(BB78&lt;&gt;0,Componentes!$N$11,0),""))</f>
        <v/>
      </c>
      <c r="O78" s="413" t="str">
        <f>IF(B78=0,"",IF(BF78=1,Componentes!$C$11,-6))</f>
        <v/>
      </c>
      <c r="P78" s="413" t="str">
        <f>IF(B78=0,"",IF(BF78=1,Componentes!$D$11,-400))</f>
        <v/>
      </c>
      <c r="Q78" s="413" t="str">
        <f>IF(B78=0,"",IF(BF78=1,Componentes!$E$11,0))</f>
        <v/>
      </c>
      <c r="R78" s="414" t="str">
        <f>IF(B78=0,"",Componentes!$H$11)</f>
        <v/>
      </c>
      <c r="S78" s="414" t="str">
        <f>IF(B78=0,"",Componentes!$I$11)</f>
        <v/>
      </c>
      <c r="T78" s="413" t="str">
        <f>IF(B78=0,"",IFERROR(IF(H78&lt;&gt;0,Componentes!$V$11,0),""))</f>
        <v/>
      </c>
      <c r="U78" s="413" t="str">
        <f>IF(B78=0,"",IFERROR(IF(H78&lt;&gt;0,Componentes!$U$11,0),""))</f>
        <v/>
      </c>
      <c r="V78" s="414" t="str">
        <f>IF(B78=0,"",IFERROR(IF(AA78&lt;&gt;0,VLOOKUP(Envoltória!U86,Componentes!X:Z,2,FALSE),0),0))</f>
        <v/>
      </c>
      <c r="W78" s="414" t="str">
        <f>IF(B78=0,"",IFERROR(IF(AA78&lt;&gt;0,Componentes!$AE$11,0),0))</f>
        <v/>
      </c>
      <c r="X78" s="413" t="str">
        <f>IF(B78=0,"",Envoltória!U86)</f>
        <v/>
      </c>
      <c r="Y78" s="413" t="str">
        <f>IF(B78=0,"",VLOOKUP(Início!$C$20,Aux_Lista!A:H,8,FALSE))</f>
        <v/>
      </c>
      <c r="Z78" s="413" t="str">
        <f>IF(B78=0,"",Envoltória!T86)</f>
        <v/>
      </c>
      <c r="AA78" s="416" t="str">
        <f>IF(B78=0,"",Envoltória!Q86/100)</f>
        <v/>
      </c>
      <c r="AB78" s="417" t="str">
        <f>INPUT!AB78</f>
        <v/>
      </c>
      <c r="AC78" s="417" t="str">
        <f>INPUT!AC78</f>
        <v/>
      </c>
      <c r="AD78" s="417" t="str">
        <f>INPUT!AD78</f>
        <v/>
      </c>
      <c r="AE78" s="417" t="str">
        <f>INPUT!AE78</f>
        <v/>
      </c>
      <c r="AF78" s="417" t="str">
        <f>INPUT!AF78</f>
        <v/>
      </c>
      <c r="AG78" s="417" t="str">
        <f>INPUT!AG78</f>
        <v/>
      </c>
      <c r="AH78" s="417" t="str">
        <f>INPUT!AH78</f>
        <v/>
      </c>
      <c r="AI78" s="417" t="str">
        <f>INPUT!AI78</f>
        <v/>
      </c>
      <c r="AJ78" s="417" t="str">
        <f>INPUT!AJ78</f>
        <v/>
      </c>
      <c r="AK78" s="417" t="str">
        <f>INPUT!AK78</f>
        <v/>
      </c>
      <c r="AL78" s="417" t="str">
        <f>INPUT!AL78</f>
        <v/>
      </c>
      <c r="AM78" s="417" t="str">
        <f>INPUT!AM78</f>
        <v/>
      </c>
      <c r="AN78" s="417" t="str">
        <f>INPUT!AN78</f>
        <v/>
      </c>
      <c r="AO78" s="417" t="str">
        <f>INPUT!AO78</f>
        <v/>
      </c>
      <c r="AP78" s="413" t="str">
        <f>IF(B78=0,"",IF(BF78=0,90,VLOOKUP(Envoltória!N86,Componentes!T:AB,9,FALSE)))</f>
        <v/>
      </c>
      <c r="AQ78" s="413" t="str">
        <f>IF(B78=0,"",IF(BF78=0,90,VLOOKUP(Envoltória!N86,Componentes!T:AB,8,FALSE)))</f>
        <v/>
      </c>
      <c r="AR78" s="413" t="str">
        <f t="shared" si="6"/>
        <v/>
      </c>
      <c r="AS78" s="413" t="str">
        <f t="shared" si="6"/>
        <v/>
      </c>
      <c r="AT78" s="413" t="str">
        <f t="shared" si="6"/>
        <v/>
      </c>
      <c r="AU78" s="413" t="str">
        <f t="shared" si="6"/>
        <v/>
      </c>
      <c r="AV78" s="413" t="str">
        <f t="shared" si="6"/>
        <v/>
      </c>
      <c r="AW78" s="414" t="str">
        <f>INPUT!AW78</f>
        <v/>
      </c>
      <c r="AX78" s="414" t="str">
        <f>INPUT!AX78</f>
        <v/>
      </c>
      <c r="AY78" s="414" t="str">
        <f>INPUT!AY78</f>
        <v/>
      </c>
      <c r="AZ78" s="414" t="str">
        <f>INPUT!AZ78</f>
        <v/>
      </c>
      <c r="BA78" s="414" t="str">
        <f>INPUT!BA78</f>
        <v/>
      </c>
      <c r="BB78" s="414" t="str">
        <f>INPUT!BB78</f>
        <v/>
      </c>
      <c r="BC78" s="414" t="str">
        <f>INPUT!BC78</f>
        <v/>
      </c>
      <c r="BD78" s="414" t="str">
        <f>INPUT!BD78</f>
        <v/>
      </c>
      <c r="BE78" s="412" t="str">
        <f t="shared" si="7"/>
        <v/>
      </c>
      <c r="BF78" s="412" t="str">
        <f>IF(B78=0,"",IFERROR(VLOOKUP(Envoltória!F86,INPUT_REF!$BQ$18:$BR$19,2,FALSE),""))</f>
        <v/>
      </c>
      <c r="BG78" s="412" t="str">
        <f>IFERROR(VLOOKUP(Envoltória!$G86,$BQ$35:$BZ$43,BG$9,FALSE),"")</f>
        <v/>
      </c>
      <c r="BH78" s="412" t="str">
        <f>IFERROR(VLOOKUP(Envoltória!$G86,$BQ$35:$BZ$43,BH$9,FALSE),"")</f>
        <v/>
      </c>
      <c r="BI78" s="412" t="str">
        <f>IFERROR(VLOOKUP(Envoltória!$G86,$BQ$35:$BZ$43,BI$9,FALSE),"")</f>
        <v/>
      </c>
      <c r="BJ78" s="412" t="str">
        <f>IFERROR(VLOOKUP(Envoltória!$G86,$BQ$35:$BZ$43,BJ$9,FALSE),"")</f>
        <v/>
      </c>
      <c r="BK78" s="412" t="str">
        <f>IFERROR(VLOOKUP(Envoltória!$G86,$BQ$35:$BZ$43,BK$9,FALSE),"")</f>
        <v/>
      </c>
      <c r="BL78" s="412" t="str">
        <f>IFERROR(VLOOKUP(Envoltória!$G86,$BQ$35:$BZ$43,BL$9,FALSE),"")</f>
        <v/>
      </c>
      <c r="BM78" s="412" t="str">
        <f>IFERROR(VLOOKUP(Envoltória!$G86,$BQ$35:$BZ$43,BM$9,FALSE),"")</f>
        <v/>
      </c>
      <c r="BN78" s="412" t="str">
        <f>IFERROR(VLOOKUP(Envoltória!$G86,$BQ$35:$BZ$43,BN$9,FALSE),"")</f>
        <v/>
      </c>
      <c r="BO78" s="412" t="str">
        <f>IFERROR(VLOOKUP(Envoltória!$G86,$BQ$35:$BZ$43,BO$9,FALSE),"")</f>
        <v/>
      </c>
    </row>
    <row r="79" spans="1:67" x14ac:dyDescent="0.25">
      <c r="A79" s="1">
        <v>69</v>
      </c>
      <c r="B79" s="409">
        <f>Envoltória!I87</f>
        <v>0</v>
      </c>
      <c r="C79" s="410">
        <f>Envoltória!B87</f>
        <v>0</v>
      </c>
      <c r="D79" s="410">
        <f>Envoltória!C87</f>
        <v>0</v>
      </c>
      <c r="E79" s="411">
        <f>Envoltória!D87</f>
        <v>0</v>
      </c>
      <c r="F79" s="412" t="str">
        <f>IF(B79=0,"",Envoltória!E87)</f>
        <v/>
      </c>
      <c r="G79" s="412" t="str">
        <f t="shared" si="5"/>
        <v/>
      </c>
      <c r="H79" s="413" t="str">
        <f>IF(B79=0,"",IF(Envoltória!O87=0,0,VLOOKUP(B79,Aux_Lista!A:M,13,FALSE)))</f>
        <v/>
      </c>
      <c r="I79" s="413" t="str">
        <f>IF(B79=0,"",IF(BF79=1,VLOOKUP(Envoltória!N87,Componentes!T:AB,7,FALSE),89))</f>
        <v/>
      </c>
      <c r="J79" s="414" t="str">
        <f>IF(B79=0,"",Componentes!$Q$10)</f>
        <v/>
      </c>
      <c r="K79" s="414" t="str">
        <f>IF(B79=0,"",Componentes!$R$10)</f>
        <v/>
      </c>
      <c r="L79" s="413" t="str">
        <f>IF(B79=0,"",IFERROR(IF(BB79&lt;&gt;0,Componentes!$L$11,0),""))</f>
        <v/>
      </c>
      <c r="M79" s="413" t="str">
        <f>IF(B79=0,"",IFERROR(IF(BB79&lt;&gt;0,Componentes!$M$11,0),""))</f>
        <v/>
      </c>
      <c r="N79" s="415" t="str">
        <f>IF(B79=0,"",IFERROR(IF(BB79&lt;&gt;0,Componentes!$N$11,0),""))</f>
        <v/>
      </c>
      <c r="O79" s="413" t="str">
        <f>IF(B79=0,"",IF(BF79=1,Componentes!$C$11,-6))</f>
        <v/>
      </c>
      <c r="P79" s="413" t="str">
        <f>IF(B79=0,"",IF(BF79=1,Componentes!$D$11,-400))</f>
        <v/>
      </c>
      <c r="Q79" s="413" t="str">
        <f>IF(B79=0,"",IF(BF79=1,Componentes!$E$11,0))</f>
        <v/>
      </c>
      <c r="R79" s="414" t="str">
        <f>IF(B79=0,"",Componentes!$H$11)</f>
        <v/>
      </c>
      <c r="S79" s="414" t="str">
        <f>IF(B79=0,"",Componentes!$I$11)</f>
        <v/>
      </c>
      <c r="T79" s="413" t="str">
        <f>IF(B79=0,"",IFERROR(IF(H79&lt;&gt;0,Componentes!$V$11,0),""))</f>
        <v/>
      </c>
      <c r="U79" s="413" t="str">
        <f>IF(B79=0,"",IFERROR(IF(H79&lt;&gt;0,Componentes!$U$11,0),""))</f>
        <v/>
      </c>
      <c r="V79" s="414" t="str">
        <f>IF(B79=0,"",IFERROR(IF(AA79&lt;&gt;0,VLOOKUP(Envoltória!U87,Componentes!X:Z,2,FALSE),0),0))</f>
        <v/>
      </c>
      <c r="W79" s="414" t="str">
        <f>IF(B79=0,"",IFERROR(IF(AA79&lt;&gt;0,Componentes!$AE$11,0),0))</f>
        <v/>
      </c>
      <c r="X79" s="413" t="str">
        <f>IF(B79=0,"",Envoltória!U87)</f>
        <v/>
      </c>
      <c r="Y79" s="413" t="str">
        <f>IF(B79=0,"",VLOOKUP(Início!$C$20,Aux_Lista!A:H,8,FALSE))</f>
        <v/>
      </c>
      <c r="Z79" s="413" t="str">
        <f>IF(B79=0,"",Envoltória!T87)</f>
        <v/>
      </c>
      <c r="AA79" s="416" t="str">
        <f>IF(B79=0,"",Envoltória!Q87/100)</f>
        <v/>
      </c>
      <c r="AB79" s="417" t="str">
        <f>INPUT!AB79</f>
        <v/>
      </c>
      <c r="AC79" s="417" t="str">
        <f>INPUT!AC79</f>
        <v/>
      </c>
      <c r="AD79" s="417" t="str">
        <f>INPUT!AD79</f>
        <v/>
      </c>
      <c r="AE79" s="417" t="str">
        <f>INPUT!AE79</f>
        <v/>
      </c>
      <c r="AF79" s="417" t="str">
        <f>INPUT!AF79</f>
        <v/>
      </c>
      <c r="AG79" s="417" t="str">
        <f>INPUT!AG79</f>
        <v/>
      </c>
      <c r="AH79" s="417" t="str">
        <f>INPUT!AH79</f>
        <v/>
      </c>
      <c r="AI79" s="417" t="str">
        <f>INPUT!AI79</f>
        <v/>
      </c>
      <c r="AJ79" s="417" t="str">
        <f>INPUT!AJ79</f>
        <v/>
      </c>
      <c r="AK79" s="417" t="str">
        <f>INPUT!AK79</f>
        <v/>
      </c>
      <c r="AL79" s="417" t="str">
        <f>INPUT!AL79</f>
        <v/>
      </c>
      <c r="AM79" s="417" t="str">
        <f>INPUT!AM79</f>
        <v/>
      </c>
      <c r="AN79" s="417" t="str">
        <f>INPUT!AN79</f>
        <v/>
      </c>
      <c r="AO79" s="417" t="str">
        <f>INPUT!AO79</f>
        <v/>
      </c>
      <c r="AP79" s="413" t="str">
        <f>IF(B79=0,"",IF(BF79=0,90,VLOOKUP(Envoltória!N87,Componentes!T:AB,9,FALSE)))</f>
        <v/>
      </c>
      <c r="AQ79" s="413" t="str">
        <f>IF(B79=0,"",IF(BF79=0,90,VLOOKUP(Envoltória!N87,Componentes!T:AB,8,FALSE)))</f>
        <v/>
      </c>
      <c r="AR79" s="413" t="str">
        <f t="shared" si="6"/>
        <v/>
      </c>
      <c r="AS79" s="413" t="str">
        <f t="shared" si="6"/>
        <v/>
      </c>
      <c r="AT79" s="413" t="str">
        <f t="shared" si="6"/>
        <v/>
      </c>
      <c r="AU79" s="413" t="str">
        <f t="shared" si="6"/>
        <v/>
      </c>
      <c r="AV79" s="413" t="str">
        <f t="shared" si="6"/>
        <v/>
      </c>
      <c r="AW79" s="414" t="str">
        <f>INPUT!AW79</f>
        <v/>
      </c>
      <c r="AX79" s="414" t="str">
        <f>INPUT!AX79</f>
        <v/>
      </c>
      <c r="AY79" s="414" t="str">
        <f>INPUT!AY79</f>
        <v/>
      </c>
      <c r="AZ79" s="414" t="str">
        <f>INPUT!AZ79</f>
        <v/>
      </c>
      <c r="BA79" s="414" t="str">
        <f>INPUT!BA79</f>
        <v/>
      </c>
      <c r="BB79" s="414" t="str">
        <f>INPUT!BB79</f>
        <v/>
      </c>
      <c r="BC79" s="414" t="str">
        <f>INPUT!BC79</f>
        <v/>
      </c>
      <c r="BD79" s="414" t="str">
        <f>INPUT!BD79</f>
        <v/>
      </c>
      <c r="BE79" s="412" t="str">
        <f t="shared" si="7"/>
        <v/>
      </c>
      <c r="BF79" s="412" t="str">
        <f>IF(B79=0,"",IFERROR(VLOOKUP(Envoltória!F87,INPUT_REF!$BQ$18:$BR$19,2,FALSE),""))</f>
        <v/>
      </c>
      <c r="BG79" s="412" t="str">
        <f>IFERROR(VLOOKUP(Envoltória!$G87,$BQ$35:$BZ$43,BG$9,FALSE),"")</f>
        <v/>
      </c>
      <c r="BH79" s="412" t="str">
        <f>IFERROR(VLOOKUP(Envoltória!$G87,$BQ$35:$BZ$43,BH$9,FALSE),"")</f>
        <v/>
      </c>
      <c r="BI79" s="412" t="str">
        <f>IFERROR(VLOOKUP(Envoltória!$G87,$BQ$35:$BZ$43,BI$9,FALSE),"")</f>
        <v/>
      </c>
      <c r="BJ79" s="412" t="str">
        <f>IFERROR(VLOOKUP(Envoltória!$G87,$BQ$35:$BZ$43,BJ$9,FALSE),"")</f>
        <v/>
      </c>
      <c r="BK79" s="412" t="str">
        <f>IFERROR(VLOOKUP(Envoltória!$G87,$BQ$35:$BZ$43,BK$9,FALSE),"")</f>
        <v/>
      </c>
      <c r="BL79" s="412" t="str">
        <f>IFERROR(VLOOKUP(Envoltória!$G87,$BQ$35:$BZ$43,BL$9,FALSE),"")</f>
        <v/>
      </c>
      <c r="BM79" s="412" t="str">
        <f>IFERROR(VLOOKUP(Envoltória!$G87,$BQ$35:$BZ$43,BM$9,FALSE),"")</f>
        <v/>
      </c>
      <c r="BN79" s="412" t="str">
        <f>IFERROR(VLOOKUP(Envoltória!$G87,$BQ$35:$BZ$43,BN$9,FALSE),"")</f>
        <v/>
      </c>
      <c r="BO79" s="412" t="str">
        <f>IFERROR(VLOOKUP(Envoltória!$G87,$BQ$35:$BZ$43,BO$9,FALSE),"")</f>
        <v/>
      </c>
    </row>
    <row r="80" spans="1:67" x14ac:dyDescent="0.25">
      <c r="A80" s="1">
        <v>70</v>
      </c>
      <c r="B80" s="409">
        <f>Envoltória!I88</f>
        <v>0</v>
      </c>
      <c r="C80" s="410">
        <f>Envoltória!B88</f>
        <v>0</v>
      </c>
      <c r="D80" s="410">
        <f>Envoltória!C88</f>
        <v>0</v>
      </c>
      <c r="E80" s="411">
        <f>Envoltória!D88</f>
        <v>0</v>
      </c>
      <c r="F80" s="412" t="str">
        <f>IF(B80=0,"",Envoltória!E88)</f>
        <v/>
      </c>
      <c r="G80" s="412" t="str">
        <f t="shared" si="5"/>
        <v/>
      </c>
      <c r="H80" s="413" t="str">
        <f>IF(B80=0,"",IF(Envoltória!O88=0,0,VLOOKUP(B80,Aux_Lista!A:M,13,FALSE)))</f>
        <v/>
      </c>
      <c r="I80" s="413" t="str">
        <f>IF(B80=0,"",IF(BF80=1,VLOOKUP(Envoltória!N88,Componentes!T:AB,7,FALSE),89))</f>
        <v/>
      </c>
      <c r="J80" s="414" t="str">
        <f>IF(B80=0,"",Componentes!$Q$10)</f>
        <v/>
      </c>
      <c r="K80" s="414" t="str">
        <f>IF(B80=0,"",Componentes!$R$10)</f>
        <v/>
      </c>
      <c r="L80" s="413" t="str">
        <f>IF(B80=0,"",IFERROR(IF(BB80&lt;&gt;0,Componentes!$L$11,0),""))</f>
        <v/>
      </c>
      <c r="M80" s="413" t="str">
        <f>IF(B80=0,"",IFERROR(IF(BB80&lt;&gt;0,Componentes!$M$11,0),""))</f>
        <v/>
      </c>
      <c r="N80" s="415" t="str">
        <f>IF(B80=0,"",IFERROR(IF(BB80&lt;&gt;0,Componentes!$N$11,0),""))</f>
        <v/>
      </c>
      <c r="O80" s="413" t="str">
        <f>IF(B80=0,"",IF(BF80=1,Componentes!$C$11,-6))</f>
        <v/>
      </c>
      <c r="P80" s="413" t="str">
        <f>IF(B80=0,"",IF(BF80=1,Componentes!$D$11,-400))</f>
        <v/>
      </c>
      <c r="Q80" s="413" t="str">
        <f>IF(B80=0,"",IF(BF80=1,Componentes!$E$11,0))</f>
        <v/>
      </c>
      <c r="R80" s="414" t="str">
        <f>IF(B80=0,"",Componentes!$H$11)</f>
        <v/>
      </c>
      <c r="S80" s="414" t="str">
        <f>IF(B80=0,"",Componentes!$I$11)</f>
        <v/>
      </c>
      <c r="T80" s="413" t="str">
        <f>IF(B80=0,"",IFERROR(IF(H80&lt;&gt;0,Componentes!$V$11,0),""))</f>
        <v/>
      </c>
      <c r="U80" s="413" t="str">
        <f>IF(B80=0,"",IFERROR(IF(H80&lt;&gt;0,Componentes!$U$11,0),""))</f>
        <v/>
      </c>
      <c r="V80" s="414" t="str">
        <f>IF(B80=0,"",IFERROR(IF(AA80&lt;&gt;0,VLOOKUP(Envoltória!U88,Componentes!X:Z,2,FALSE),0),0))</f>
        <v/>
      </c>
      <c r="W80" s="414" t="str">
        <f>IF(B80=0,"",IFERROR(IF(AA80&lt;&gt;0,Componentes!$AE$11,0),0))</f>
        <v/>
      </c>
      <c r="X80" s="413" t="str">
        <f>IF(B80=0,"",Envoltória!U88)</f>
        <v/>
      </c>
      <c r="Y80" s="413" t="str">
        <f>IF(B80=0,"",VLOOKUP(Início!$C$20,Aux_Lista!A:H,8,FALSE))</f>
        <v/>
      </c>
      <c r="Z80" s="413" t="str">
        <f>IF(B80=0,"",Envoltória!T88)</f>
        <v/>
      </c>
      <c r="AA80" s="416" t="str">
        <f>IF(B80=0,"",Envoltória!Q88/100)</f>
        <v/>
      </c>
      <c r="AB80" s="417" t="str">
        <f>INPUT!AB80</f>
        <v/>
      </c>
      <c r="AC80" s="417" t="str">
        <f>INPUT!AC80</f>
        <v/>
      </c>
      <c r="AD80" s="417" t="str">
        <f>INPUT!AD80</f>
        <v/>
      </c>
      <c r="AE80" s="417" t="str">
        <f>INPUT!AE80</f>
        <v/>
      </c>
      <c r="AF80" s="417" t="str">
        <f>INPUT!AF80</f>
        <v/>
      </c>
      <c r="AG80" s="417" t="str">
        <f>INPUT!AG80</f>
        <v/>
      </c>
      <c r="AH80" s="417" t="str">
        <f>INPUT!AH80</f>
        <v/>
      </c>
      <c r="AI80" s="417" t="str">
        <f>INPUT!AI80</f>
        <v/>
      </c>
      <c r="AJ80" s="417" t="str">
        <f>INPUT!AJ80</f>
        <v/>
      </c>
      <c r="AK80" s="417" t="str">
        <f>INPUT!AK80</f>
        <v/>
      </c>
      <c r="AL80" s="417" t="str">
        <f>INPUT!AL80</f>
        <v/>
      </c>
      <c r="AM80" s="417" t="str">
        <f>INPUT!AM80</f>
        <v/>
      </c>
      <c r="AN80" s="417" t="str">
        <f>INPUT!AN80</f>
        <v/>
      </c>
      <c r="AO80" s="417" t="str">
        <f>INPUT!AO80</f>
        <v/>
      </c>
      <c r="AP80" s="413" t="str">
        <f>IF(B80=0,"",IF(BF80=0,90,VLOOKUP(Envoltória!N88,Componentes!T:AB,9,FALSE)))</f>
        <v/>
      </c>
      <c r="AQ80" s="413" t="str">
        <f>IF(B80=0,"",IF(BF80=0,90,VLOOKUP(Envoltória!N88,Componentes!T:AB,8,FALSE)))</f>
        <v/>
      </c>
      <c r="AR80" s="413" t="str">
        <f t="shared" si="6"/>
        <v/>
      </c>
      <c r="AS80" s="413" t="str">
        <f t="shared" si="6"/>
        <v/>
      </c>
      <c r="AT80" s="413" t="str">
        <f t="shared" si="6"/>
        <v/>
      </c>
      <c r="AU80" s="413" t="str">
        <f t="shared" si="6"/>
        <v/>
      </c>
      <c r="AV80" s="413" t="str">
        <f t="shared" si="6"/>
        <v/>
      </c>
      <c r="AW80" s="414" t="str">
        <f>INPUT!AW80</f>
        <v/>
      </c>
      <c r="AX80" s="414" t="str">
        <f>INPUT!AX80</f>
        <v/>
      </c>
      <c r="AY80" s="414" t="str">
        <f>INPUT!AY80</f>
        <v/>
      </c>
      <c r="AZ80" s="414" t="str">
        <f>INPUT!AZ80</f>
        <v/>
      </c>
      <c r="BA80" s="414" t="str">
        <f>INPUT!BA80</f>
        <v/>
      </c>
      <c r="BB80" s="414" t="str">
        <f>INPUT!BB80</f>
        <v/>
      </c>
      <c r="BC80" s="414" t="str">
        <f>INPUT!BC80</f>
        <v/>
      </c>
      <c r="BD80" s="414" t="str">
        <f>INPUT!BD80</f>
        <v/>
      </c>
      <c r="BE80" s="412" t="str">
        <f t="shared" si="7"/>
        <v/>
      </c>
      <c r="BF80" s="412" t="str">
        <f>IF(B80=0,"",IFERROR(VLOOKUP(Envoltória!F88,INPUT_REF!$BQ$18:$BR$19,2,FALSE),""))</f>
        <v/>
      </c>
      <c r="BG80" s="412" t="str">
        <f>IFERROR(VLOOKUP(Envoltória!$G88,$BQ$35:$BZ$43,BG$9,FALSE),"")</f>
        <v/>
      </c>
      <c r="BH80" s="412" t="str">
        <f>IFERROR(VLOOKUP(Envoltória!$G88,$BQ$35:$BZ$43,BH$9,FALSE),"")</f>
        <v/>
      </c>
      <c r="BI80" s="412" t="str">
        <f>IFERROR(VLOOKUP(Envoltória!$G88,$BQ$35:$BZ$43,BI$9,FALSE),"")</f>
        <v/>
      </c>
      <c r="BJ80" s="412" t="str">
        <f>IFERROR(VLOOKUP(Envoltória!$G88,$BQ$35:$BZ$43,BJ$9,FALSE),"")</f>
        <v/>
      </c>
      <c r="BK80" s="412" t="str">
        <f>IFERROR(VLOOKUP(Envoltória!$G88,$BQ$35:$BZ$43,BK$9,FALSE),"")</f>
        <v/>
      </c>
      <c r="BL80" s="412" t="str">
        <f>IFERROR(VLOOKUP(Envoltória!$G88,$BQ$35:$BZ$43,BL$9,FALSE),"")</f>
        <v/>
      </c>
      <c r="BM80" s="412" t="str">
        <f>IFERROR(VLOOKUP(Envoltória!$G88,$BQ$35:$BZ$43,BM$9,FALSE),"")</f>
        <v/>
      </c>
      <c r="BN80" s="412" t="str">
        <f>IFERROR(VLOOKUP(Envoltória!$G88,$BQ$35:$BZ$43,BN$9,FALSE),"")</f>
        <v/>
      </c>
      <c r="BO80" s="412" t="str">
        <f>IFERROR(VLOOKUP(Envoltória!$G88,$BQ$35:$BZ$43,BO$9,FALSE),"")</f>
        <v/>
      </c>
    </row>
    <row r="81" spans="1:67" x14ac:dyDescent="0.25">
      <c r="A81" s="1">
        <v>71</v>
      </c>
      <c r="B81" s="409">
        <f>Envoltória!I89</f>
        <v>0</v>
      </c>
      <c r="C81" s="410">
        <f>Envoltória!B89</f>
        <v>0</v>
      </c>
      <c r="D81" s="410">
        <f>Envoltória!C89</f>
        <v>0</v>
      </c>
      <c r="E81" s="411">
        <f>Envoltória!D89</f>
        <v>0</v>
      </c>
      <c r="F81" s="412" t="str">
        <f>IF(B81=0,"",Envoltória!E89)</f>
        <v/>
      </c>
      <c r="G81" s="412" t="str">
        <f t="shared" si="5"/>
        <v/>
      </c>
      <c r="H81" s="413" t="str">
        <f>IF(B81=0,"",IF(Envoltória!O89=0,0,VLOOKUP(B81,Aux_Lista!A:M,13,FALSE)))</f>
        <v/>
      </c>
      <c r="I81" s="413" t="str">
        <f>IF(B81=0,"",IF(BF81=1,VLOOKUP(Envoltória!N89,Componentes!T:AB,7,FALSE),89))</f>
        <v/>
      </c>
      <c r="J81" s="414" t="str">
        <f>IF(B81=0,"",Componentes!$Q$10)</f>
        <v/>
      </c>
      <c r="K81" s="414" t="str">
        <f>IF(B81=0,"",Componentes!$R$10)</f>
        <v/>
      </c>
      <c r="L81" s="413" t="str">
        <f>IF(B81=0,"",IFERROR(IF(BB81&lt;&gt;0,Componentes!$L$11,0),""))</f>
        <v/>
      </c>
      <c r="M81" s="413" t="str">
        <f>IF(B81=0,"",IFERROR(IF(BB81&lt;&gt;0,Componentes!$M$11,0),""))</f>
        <v/>
      </c>
      <c r="N81" s="415" t="str">
        <f>IF(B81=0,"",IFERROR(IF(BB81&lt;&gt;0,Componentes!$N$11,0),""))</f>
        <v/>
      </c>
      <c r="O81" s="413" t="str">
        <f>IF(B81=0,"",IF(BF81=1,Componentes!$C$11,-6))</f>
        <v/>
      </c>
      <c r="P81" s="413" t="str">
        <f>IF(B81=0,"",IF(BF81=1,Componentes!$D$11,-400))</f>
        <v/>
      </c>
      <c r="Q81" s="413" t="str">
        <f>IF(B81=0,"",IF(BF81=1,Componentes!$E$11,0))</f>
        <v/>
      </c>
      <c r="R81" s="414" t="str">
        <f>IF(B81=0,"",Componentes!$H$11)</f>
        <v/>
      </c>
      <c r="S81" s="414" t="str">
        <f>IF(B81=0,"",Componentes!$I$11)</f>
        <v/>
      </c>
      <c r="T81" s="413" t="str">
        <f>IF(B81=0,"",IFERROR(IF(H81&lt;&gt;0,Componentes!$V$11,0),""))</f>
        <v/>
      </c>
      <c r="U81" s="413" t="str">
        <f>IF(B81=0,"",IFERROR(IF(H81&lt;&gt;0,Componentes!$U$11,0),""))</f>
        <v/>
      </c>
      <c r="V81" s="414" t="str">
        <f>IF(B81=0,"",IFERROR(IF(AA81&lt;&gt;0,VLOOKUP(Envoltória!U89,Componentes!X:Z,2,FALSE),0),0))</f>
        <v/>
      </c>
      <c r="W81" s="414" t="str">
        <f>IF(B81=0,"",IFERROR(IF(AA81&lt;&gt;0,Componentes!$AE$11,0),0))</f>
        <v/>
      </c>
      <c r="X81" s="413" t="str">
        <f>IF(B81=0,"",Envoltória!U89)</f>
        <v/>
      </c>
      <c r="Y81" s="413" t="str">
        <f>IF(B81=0,"",VLOOKUP(Início!$C$20,Aux_Lista!A:H,8,FALSE))</f>
        <v/>
      </c>
      <c r="Z81" s="413" t="str">
        <f>IF(B81=0,"",Envoltória!T89)</f>
        <v/>
      </c>
      <c r="AA81" s="416" t="str">
        <f>IF(B81=0,"",Envoltória!Q89/100)</f>
        <v/>
      </c>
      <c r="AB81" s="417" t="str">
        <f>INPUT!AB81</f>
        <v/>
      </c>
      <c r="AC81" s="417" t="str">
        <f>INPUT!AC81</f>
        <v/>
      </c>
      <c r="AD81" s="417" t="str">
        <f>INPUT!AD81</f>
        <v/>
      </c>
      <c r="AE81" s="417" t="str">
        <f>INPUT!AE81</f>
        <v/>
      </c>
      <c r="AF81" s="417" t="str">
        <f>INPUT!AF81</f>
        <v/>
      </c>
      <c r="AG81" s="417" t="str">
        <f>INPUT!AG81</f>
        <v/>
      </c>
      <c r="AH81" s="417" t="str">
        <f>INPUT!AH81</f>
        <v/>
      </c>
      <c r="AI81" s="417" t="str">
        <f>INPUT!AI81</f>
        <v/>
      </c>
      <c r="AJ81" s="417" t="str">
        <f>INPUT!AJ81</f>
        <v/>
      </c>
      <c r="AK81" s="417" t="str">
        <f>INPUT!AK81</f>
        <v/>
      </c>
      <c r="AL81" s="417" t="str">
        <f>INPUT!AL81</f>
        <v/>
      </c>
      <c r="AM81" s="417" t="str">
        <f>INPUT!AM81</f>
        <v/>
      </c>
      <c r="AN81" s="417" t="str">
        <f>INPUT!AN81</f>
        <v/>
      </c>
      <c r="AO81" s="417" t="str">
        <f>INPUT!AO81</f>
        <v/>
      </c>
      <c r="AP81" s="413" t="str">
        <f>IF(B81=0,"",IF(BF81=0,90,VLOOKUP(Envoltória!N89,Componentes!T:AB,9,FALSE)))</f>
        <v/>
      </c>
      <c r="AQ81" s="413" t="str">
        <f>IF(B81=0,"",IF(BF81=0,90,VLOOKUP(Envoltória!N89,Componentes!T:AB,8,FALSE)))</f>
        <v/>
      </c>
      <c r="AR81" s="413" t="str">
        <f t="shared" si="6"/>
        <v/>
      </c>
      <c r="AS81" s="413" t="str">
        <f t="shared" si="6"/>
        <v/>
      </c>
      <c r="AT81" s="413" t="str">
        <f t="shared" si="6"/>
        <v/>
      </c>
      <c r="AU81" s="413" t="str">
        <f t="shared" si="6"/>
        <v/>
      </c>
      <c r="AV81" s="413" t="str">
        <f t="shared" si="6"/>
        <v/>
      </c>
      <c r="AW81" s="414" t="str">
        <f>INPUT!AW81</f>
        <v/>
      </c>
      <c r="AX81" s="414" t="str">
        <f>INPUT!AX81</f>
        <v/>
      </c>
      <c r="AY81" s="414" t="str">
        <f>INPUT!AY81</f>
        <v/>
      </c>
      <c r="AZ81" s="414" t="str">
        <f>INPUT!AZ81</f>
        <v/>
      </c>
      <c r="BA81" s="414" t="str">
        <f>INPUT!BA81</f>
        <v/>
      </c>
      <c r="BB81" s="414" t="str">
        <f>INPUT!BB81</f>
        <v/>
      </c>
      <c r="BC81" s="414" t="str">
        <f>INPUT!BC81</f>
        <v/>
      </c>
      <c r="BD81" s="414" t="str">
        <f>INPUT!BD81</f>
        <v/>
      </c>
      <c r="BE81" s="412" t="str">
        <f t="shared" si="7"/>
        <v/>
      </c>
      <c r="BF81" s="412" t="str">
        <f>IF(B81=0,"",IFERROR(VLOOKUP(Envoltória!F89,INPUT_REF!$BQ$18:$BR$19,2,FALSE),""))</f>
        <v/>
      </c>
      <c r="BG81" s="412" t="str">
        <f>IFERROR(VLOOKUP(Envoltória!$G89,$BQ$35:$BZ$43,BG$9,FALSE),"")</f>
        <v/>
      </c>
      <c r="BH81" s="412" t="str">
        <f>IFERROR(VLOOKUP(Envoltória!$G89,$BQ$35:$BZ$43,BH$9,FALSE),"")</f>
        <v/>
      </c>
      <c r="BI81" s="412" t="str">
        <f>IFERROR(VLOOKUP(Envoltória!$G89,$BQ$35:$BZ$43,BI$9,FALSE),"")</f>
        <v/>
      </c>
      <c r="BJ81" s="412" t="str">
        <f>IFERROR(VLOOKUP(Envoltória!$G89,$BQ$35:$BZ$43,BJ$9,FALSE),"")</f>
        <v/>
      </c>
      <c r="BK81" s="412" t="str">
        <f>IFERROR(VLOOKUP(Envoltória!$G89,$BQ$35:$BZ$43,BK$9,FALSE),"")</f>
        <v/>
      </c>
      <c r="BL81" s="412" t="str">
        <f>IFERROR(VLOOKUP(Envoltória!$G89,$BQ$35:$BZ$43,BL$9,FALSE),"")</f>
        <v/>
      </c>
      <c r="BM81" s="412" t="str">
        <f>IFERROR(VLOOKUP(Envoltória!$G89,$BQ$35:$BZ$43,BM$9,FALSE),"")</f>
        <v/>
      </c>
      <c r="BN81" s="412" t="str">
        <f>IFERROR(VLOOKUP(Envoltória!$G89,$BQ$35:$BZ$43,BN$9,FALSE),"")</f>
        <v/>
      </c>
      <c r="BO81" s="412" t="str">
        <f>IFERROR(VLOOKUP(Envoltória!$G89,$BQ$35:$BZ$43,BO$9,FALSE),"")</f>
        <v/>
      </c>
    </row>
    <row r="82" spans="1:67" x14ac:dyDescent="0.25">
      <c r="A82" s="1">
        <v>72</v>
      </c>
      <c r="B82" s="409">
        <f>Envoltória!I90</f>
        <v>0</v>
      </c>
      <c r="C82" s="410">
        <f>Envoltória!B90</f>
        <v>0</v>
      </c>
      <c r="D82" s="410">
        <f>Envoltória!C90</f>
        <v>0</v>
      </c>
      <c r="E82" s="411">
        <f>Envoltória!D90</f>
        <v>0</v>
      </c>
      <c r="F82" s="412" t="str">
        <f>IF(B82=0,"",Envoltória!E90)</f>
        <v/>
      </c>
      <c r="G82" s="412" t="str">
        <f t="shared" si="5"/>
        <v/>
      </c>
      <c r="H82" s="413" t="str">
        <f>IF(B82=0,"",IF(Envoltória!O90=0,0,VLOOKUP(B82,Aux_Lista!A:M,13,FALSE)))</f>
        <v/>
      </c>
      <c r="I82" s="413" t="str">
        <f>IF(B82=0,"",IF(BF82=1,VLOOKUP(Envoltória!N90,Componentes!T:AB,7,FALSE),89))</f>
        <v/>
      </c>
      <c r="J82" s="414" t="str">
        <f>IF(B82=0,"",Componentes!$Q$10)</f>
        <v/>
      </c>
      <c r="K82" s="414" t="str">
        <f>IF(B82=0,"",Componentes!$R$10)</f>
        <v/>
      </c>
      <c r="L82" s="413" t="str">
        <f>IF(B82=0,"",IFERROR(IF(BB82&lt;&gt;0,Componentes!$L$11,0),""))</f>
        <v/>
      </c>
      <c r="M82" s="413" t="str">
        <f>IF(B82=0,"",IFERROR(IF(BB82&lt;&gt;0,Componentes!$M$11,0),""))</f>
        <v/>
      </c>
      <c r="N82" s="415" t="str">
        <f>IF(B82=0,"",IFERROR(IF(BB82&lt;&gt;0,Componentes!$N$11,0),""))</f>
        <v/>
      </c>
      <c r="O82" s="413" t="str">
        <f>IF(B82=0,"",IF(BF82=1,Componentes!$C$11,-6))</f>
        <v/>
      </c>
      <c r="P82" s="413" t="str">
        <f>IF(B82=0,"",IF(BF82=1,Componentes!$D$11,-400))</f>
        <v/>
      </c>
      <c r="Q82" s="413" t="str">
        <f>IF(B82=0,"",IF(BF82=1,Componentes!$E$11,0))</f>
        <v/>
      </c>
      <c r="R82" s="414" t="str">
        <f>IF(B82=0,"",Componentes!$H$11)</f>
        <v/>
      </c>
      <c r="S82" s="414" t="str">
        <f>IF(B82=0,"",Componentes!$I$11)</f>
        <v/>
      </c>
      <c r="T82" s="413" t="str">
        <f>IF(B82=0,"",IFERROR(IF(H82&lt;&gt;0,Componentes!$V$11,0),""))</f>
        <v/>
      </c>
      <c r="U82" s="413" t="str">
        <f>IF(B82=0,"",IFERROR(IF(H82&lt;&gt;0,Componentes!$U$11,0),""))</f>
        <v/>
      </c>
      <c r="V82" s="414" t="str">
        <f>IF(B82=0,"",IFERROR(IF(AA82&lt;&gt;0,VLOOKUP(Envoltória!U90,Componentes!X:Z,2,FALSE),0),0))</f>
        <v/>
      </c>
      <c r="W82" s="414" t="str">
        <f>IF(B82=0,"",IFERROR(IF(AA82&lt;&gt;0,Componentes!$AE$11,0),0))</f>
        <v/>
      </c>
      <c r="X82" s="413" t="str">
        <f>IF(B82=0,"",Envoltória!U90)</f>
        <v/>
      </c>
      <c r="Y82" s="413" t="str">
        <f>IF(B82=0,"",VLOOKUP(Início!$C$20,Aux_Lista!A:H,8,FALSE))</f>
        <v/>
      </c>
      <c r="Z82" s="413" t="str">
        <f>IF(B82=0,"",Envoltória!T90)</f>
        <v/>
      </c>
      <c r="AA82" s="416" t="str">
        <f>IF(B82=0,"",Envoltória!Q90/100)</f>
        <v/>
      </c>
      <c r="AB82" s="417" t="str">
        <f>INPUT!AB82</f>
        <v/>
      </c>
      <c r="AC82" s="417" t="str">
        <f>INPUT!AC82</f>
        <v/>
      </c>
      <c r="AD82" s="417" t="str">
        <f>INPUT!AD82</f>
        <v/>
      </c>
      <c r="AE82" s="417" t="str">
        <f>INPUT!AE82</f>
        <v/>
      </c>
      <c r="AF82" s="417" t="str">
        <f>INPUT!AF82</f>
        <v/>
      </c>
      <c r="AG82" s="417" t="str">
        <f>INPUT!AG82</f>
        <v/>
      </c>
      <c r="AH82" s="417" t="str">
        <f>INPUT!AH82</f>
        <v/>
      </c>
      <c r="AI82" s="417" t="str">
        <f>INPUT!AI82</f>
        <v/>
      </c>
      <c r="AJ82" s="417" t="str">
        <f>INPUT!AJ82</f>
        <v/>
      </c>
      <c r="AK82" s="417" t="str">
        <f>INPUT!AK82</f>
        <v/>
      </c>
      <c r="AL82" s="417" t="str">
        <f>INPUT!AL82</f>
        <v/>
      </c>
      <c r="AM82" s="417" t="str">
        <f>INPUT!AM82</f>
        <v/>
      </c>
      <c r="AN82" s="417" t="str">
        <f>INPUT!AN82</f>
        <v/>
      </c>
      <c r="AO82" s="417" t="str">
        <f>INPUT!AO82</f>
        <v/>
      </c>
      <c r="AP82" s="413" t="str">
        <f>IF(B82=0,"",IF(BF82=0,90,VLOOKUP(Envoltória!N90,Componentes!T:AB,9,FALSE)))</f>
        <v/>
      </c>
      <c r="AQ82" s="413" t="str">
        <f>IF(B82=0,"",IF(BF82=0,90,VLOOKUP(Envoltória!N90,Componentes!T:AB,8,FALSE)))</f>
        <v/>
      </c>
      <c r="AR82" s="413" t="str">
        <f t="shared" si="6"/>
        <v/>
      </c>
      <c r="AS82" s="413" t="str">
        <f t="shared" si="6"/>
        <v/>
      </c>
      <c r="AT82" s="413" t="str">
        <f t="shared" si="6"/>
        <v/>
      </c>
      <c r="AU82" s="413" t="str">
        <f t="shared" si="6"/>
        <v/>
      </c>
      <c r="AV82" s="413" t="str">
        <f t="shared" si="6"/>
        <v/>
      </c>
      <c r="AW82" s="414" t="str">
        <f>INPUT!AW82</f>
        <v/>
      </c>
      <c r="AX82" s="414" t="str">
        <f>INPUT!AX82</f>
        <v/>
      </c>
      <c r="AY82" s="414" t="str">
        <f>INPUT!AY82</f>
        <v/>
      </c>
      <c r="AZ82" s="414" t="str">
        <f>INPUT!AZ82</f>
        <v/>
      </c>
      <c r="BA82" s="414" t="str">
        <f>INPUT!BA82</f>
        <v/>
      </c>
      <c r="BB82" s="414" t="str">
        <f>INPUT!BB82</f>
        <v/>
      </c>
      <c r="BC82" s="414" t="str">
        <f>INPUT!BC82</f>
        <v/>
      </c>
      <c r="BD82" s="414" t="str">
        <f>INPUT!BD82</f>
        <v/>
      </c>
      <c r="BE82" s="412" t="str">
        <f t="shared" si="7"/>
        <v/>
      </c>
      <c r="BF82" s="412" t="str">
        <f>IF(B82=0,"",IFERROR(VLOOKUP(Envoltória!F90,INPUT_REF!$BQ$18:$BR$19,2,FALSE),""))</f>
        <v/>
      </c>
      <c r="BG82" s="412" t="str">
        <f>IFERROR(VLOOKUP(Envoltória!$G90,$BQ$35:$BZ$43,BG$9,FALSE),"")</f>
        <v/>
      </c>
      <c r="BH82" s="412" t="str">
        <f>IFERROR(VLOOKUP(Envoltória!$G90,$BQ$35:$BZ$43,BH$9,FALSE),"")</f>
        <v/>
      </c>
      <c r="BI82" s="412" t="str">
        <f>IFERROR(VLOOKUP(Envoltória!$G90,$BQ$35:$BZ$43,BI$9,FALSE),"")</f>
        <v/>
      </c>
      <c r="BJ82" s="412" t="str">
        <f>IFERROR(VLOOKUP(Envoltória!$G90,$BQ$35:$BZ$43,BJ$9,FALSE),"")</f>
        <v/>
      </c>
      <c r="BK82" s="412" t="str">
        <f>IFERROR(VLOOKUP(Envoltória!$G90,$BQ$35:$BZ$43,BK$9,FALSE),"")</f>
        <v/>
      </c>
      <c r="BL82" s="412" t="str">
        <f>IFERROR(VLOOKUP(Envoltória!$G90,$BQ$35:$BZ$43,BL$9,FALSE),"")</f>
        <v/>
      </c>
      <c r="BM82" s="412" t="str">
        <f>IFERROR(VLOOKUP(Envoltória!$G90,$BQ$35:$BZ$43,BM$9,FALSE),"")</f>
        <v/>
      </c>
      <c r="BN82" s="412" t="str">
        <f>IFERROR(VLOOKUP(Envoltória!$G90,$BQ$35:$BZ$43,BN$9,FALSE),"")</f>
        <v/>
      </c>
      <c r="BO82" s="412" t="str">
        <f>IFERROR(VLOOKUP(Envoltória!$G90,$BQ$35:$BZ$43,BO$9,FALSE),"")</f>
        <v/>
      </c>
    </row>
    <row r="83" spans="1:67" x14ac:dyDescent="0.25">
      <c r="A83" s="1">
        <v>73</v>
      </c>
      <c r="B83" s="409">
        <f>Envoltória!I91</f>
        <v>0</v>
      </c>
      <c r="C83" s="410">
        <f>Envoltória!B91</f>
        <v>0</v>
      </c>
      <c r="D83" s="410">
        <f>Envoltória!C91</f>
        <v>0</v>
      </c>
      <c r="E83" s="411">
        <f>Envoltória!D91</f>
        <v>0</v>
      </c>
      <c r="F83" s="412" t="str">
        <f>IF(B83=0,"",Envoltória!E91)</f>
        <v/>
      </c>
      <c r="G83" s="412" t="str">
        <f t="shared" si="5"/>
        <v/>
      </c>
      <c r="H83" s="413" t="str">
        <f>IF(B83=0,"",IF(Envoltória!O91=0,0,VLOOKUP(B83,Aux_Lista!A:M,13,FALSE)))</f>
        <v/>
      </c>
      <c r="I83" s="413" t="str">
        <f>IF(B83=0,"",IF(BF83=1,VLOOKUP(Envoltória!N91,Componentes!T:AB,7,FALSE),89))</f>
        <v/>
      </c>
      <c r="J83" s="414" t="str">
        <f>IF(B83=0,"",Componentes!$Q$10)</f>
        <v/>
      </c>
      <c r="K83" s="414" t="str">
        <f>IF(B83=0,"",Componentes!$R$10)</f>
        <v/>
      </c>
      <c r="L83" s="413" t="str">
        <f>IF(B83=0,"",IFERROR(IF(BB83&lt;&gt;0,Componentes!$L$11,0),""))</f>
        <v/>
      </c>
      <c r="M83" s="413" t="str">
        <f>IF(B83=0,"",IFERROR(IF(BB83&lt;&gt;0,Componentes!$M$11,0),""))</f>
        <v/>
      </c>
      <c r="N83" s="415" t="str">
        <f>IF(B83=0,"",IFERROR(IF(BB83&lt;&gt;0,Componentes!$N$11,0),""))</f>
        <v/>
      </c>
      <c r="O83" s="413" t="str">
        <f>IF(B83=0,"",IF(BF83=1,Componentes!$C$11,-6))</f>
        <v/>
      </c>
      <c r="P83" s="413" t="str">
        <f>IF(B83=0,"",IF(BF83=1,Componentes!$D$11,-400))</f>
        <v/>
      </c>
      <c r="Q83" s="413" t="str">
        <f>IF(B83=0,"",IF(BF83=1,Componentes!$E$11,0))</f>
        <v/>
      </c>
      <c r="R83" s="414" t="str">
        <f>IF(B83=0,"",Componentes!$H$11)</f>
        <v/>
      </c>
      <c r="S83" s="414" t="str">
        <f>IF(B83=0,"",Componentes!$I$11)</f>
        <v/>
      </c>
      <c r="T83" s="413" t="str">
        <f>IF(B83=0,"",IFERROR(IF(H83&lt;&gt;0,Componentes!$V$11,0),""))</f>
        <v/>
      </c>
      <c r="U83" s="413" t="str">
        <f>IF(B83=0,"",IFERROR(IF(H83&lt;&gt;0,Componentes!$U$11,0),""))</f>
        <v/>
      </c>
      <c r="V83" s="414" t="str">
        <f>IF(B83=0,"",IFERROR(IF(AA83&lt;&gt;0,VLOOKUP(Envoltória!U91,Componentes!X:Z,2,FALSE),0),0))</f>
        <v/>
      </c>
      <c r="W83" s="414" t="str">
        <f>IF(B83=0,"",IFERROR(IF(AA83&lt;&gt;0,Componentes!$AE$11,0),0))</f>
        <v/>
      </c>
      <c r="X83" s="413" t="str">
        <f>IF(B83=0,"",Envoltória!U91)</f>
        <v/>
      </c>
      <c r="Y83" s="413" t="str">
        <f>IF(B83=0,"",VLOOKUP(Início!$C$20,Aux_Lista!A:H,8,FALSE))</f>
        <v/>
      </c>
      <c r="Z83" s="413" t="str">
        <f>IF(B83=0,"",Envoltória!T91)</f>
        <v/>
      </c>
      <c r="AA83" s="416" t="str">
        <f>IF(B83=0,"",Envoltória!Q91/100)</f>
        <v/>
      </c>
      <c r="AB83" s="417" t="str">
        <f>INPUT!AB83</f>
        <v/>
      </c>
      <c r="AC83" s="417" t="str">
        <f>INPUT!AC83</f>
        <v/>
      </c>
      <c r="AD83" s="417" t="str">
        <f>INPUT!AD83</f>
        <v/>
      </c>
      <c r="AE83" s="417" t="str">
        <f>INPUT!AE83</f>
        <v/>
      </c>
      <c r="AF83" s="417" t="str">
        <f>INPUT!AF83</f>
        <v/>
      </c>
      <c r="AG83" s="417" t="str">
        <f>INPUT!AG83</f>
        <v/>
      </c>
      <c r="AH83" s="417" t="str">
        <f>INPUT!AH83</f>
        <v/>
      </c>
      <c r="AI83" s="417" t="str">
        <f>INPUT!AI83</f>
        <v/>
      </c>
      <c r="AJ83" s="417" t="str">
        <f>INPUT!AJ83</f>
        <v/>
      </c>
      <c r="AK83" s="417" t="str">
        <f>INPUT!AK83</f>
        <v/>
      </c>
      <c r="AL83" s="417" t="str">
        <f>INPUT!AL83</f>
        <v/>
      </c>
      <c r="AM83" s="417" t="str">
        <f>INPUT!AM83</f>
        <v/>
      </c>
      <c r="AN83" s="417" t="str">
        <f>INPUT!AN83</f>
        <v/>
      </c>
      <c r="AO83" s="417" t="str">
        <f>INPUT!AO83</f>
        <v/>
      </c>
      <c r="AP83" s="413" t="str">
        <f>IF(B83=0,"",IF(BF83=0,90,VLOOKUP(Envoltória!N91,Componentes!T:AB,9,FALSE)))</f>
        <v/>
      </c>
      <c r="AQ83" s="413" t="str">
        <f>IF(B83=0,"",IF(BF83=0,90,VLOOKUP(Envoltória!N91,Componentes!T:AB,8,FALSE)))</f>
        <v/>
      </c>
      <c r="AR83" s="413" t="str">
        <f t="shared" si="6"/>
        <v/>
      </c>
      <c r="AS83" s="413" t="str">
        <f t="shared" si="6"/>
        <v/>
      </c>
      <c r="AT83" s="413" t="str">
        <f t="shared" si="6"/>
        <v/>
      </c>
      <c r="AU83" s="413" t="str">
        <f t="shared" si="6"/>
        <v/>
      </c>
      <c r="AV83" s="413" t="str">
        <f t="shared" si="6"/>
        <v/>
      </c>
      <c r="AW83" s="414" t="str">
        <f>INPUT!AW83</f>
        <v/>
      </c>
      <c r="AX83" s="414" t="str">
        <f>INPUT!AX83</f>
        <v/>
      </c>
      <c r="AY83" s="414" t="str">
        <f>INPUT!AY83</f>
        <v/>
      </c>
      <c r="AZ83" s="414" t="str">
        <f>INPUT!AZ83</f>
        <v/>
      </c>
      <c r="BA83" s="414" t="str">
        <f>INPUT!BA83</f>
        <v/>
      </c>
      <c r="BB83" s="414" t="str">
        <f>INPUT!BB83</f>
        <v/>
      </c>
      <c r="BC83" s="414" t="str">
        <f>INPUT!BC83</f>
        <v/>
      </c>
      <c r="BD83" s="414" t="str">
        <f>INPUT!BD83</f>
        <v/>
      </c>
      <c r="BE83" s="412" t="str">
        <f t="shared" si="7"/>
        <v/>
      </c>
      <c r="BF83" s="412" t="str">
        <f>IF(B83=0,"",IFERROR(VLOOKUP(Envoltória!F91,INPUT_REF!$BQ$18:$BR$19,2,FALSE),""))</f>
        <v/>
      </c>
      <c r="BG83" s="412" t="str">
        <f>IFERROR(VLOOKUP(Envoltória!$G91,$BQ$35:$BZ$43,BG$9,FALSE),"")</f>
        <v/>
      </c>
      <c r="BH83" s="412" t="str">
        <f>IFERROR(VLOOKUP(Envoltória!$G91,$BQ$35:$BZ$43,BH$9,FALSE),"")</f>
        <v/>
      </c>
      <c r="BI83" s="412" t="str">
        <f>IFERROR(VLOOKUP(Envoltória!$G91,$BQ$35:$BZ$43,BI$9,FALSE),"")</f>
        <v/>
      </c>
      <c r="BJ83" s="412" t="str">
        <f>IFERROR(VLOOKUP(Envoltória!$G91,$BQ$35:$BZ$43,BJ$9,FALSE),"")</f>
        <v/>
      </c>
      <c r="BK83" s="412" t="str">
        <f>IFERROR(VLOOKUP(Envoltória!$G91,$BQ$35:$BZ$43,BK$9,FALSE),"")</f>
        <v/>
      </c>
      <c r="BL83" s="412" t="str">
        <f>IFERROR(VLOOKUP(Envoltória!$G91,$BQ$35:$BZ$43,BL$9,FALSE),"")</f>
        <v/>
      </c>
      <c r="BM83" s="412" t="str">
        <f>IFERROR(VLOOKUP(Envoltória!$G91,$BQ$35:$BZ$43,BM$9,FALSE),"")</f>
        <v/>
      </c>
      <c r="BN83" s="412" t="str">
        <f>IFERROR(VLOOKUP(Envoltória!$G91,$BQ$35:$BZ$43,BN$9,FALSE),"")</f>
        <v/>
      </c>
      <c r="BO83" s="412" t="str">
        <f>IFERROR(VLOOKUP(Envoltória!$G91,$BQ$35:$BZ$43,BO$9,FALSE),"")</f>
        <v/>
      </c>
    </row>
    <row r="84" spans="1:67" x14ac:dyDescent="0.25">
      <c r="A84" s="1">
        <v>74</v>
      </c>
      <c r="B84" s="409">
        <f>Envoltória!I92</f>
        <v>0</v>
      </c>
      <c r="C84" s="410">
        <f>Envoltória!B92</f>
        <v>0</v>
      </c>
      <c r="D84" s="410">
        <f>Envoltória!C92</f>
        <v>0</v>
      </c>
      <c r="E84" s="411">
        <f>Envoltória!D92</f>
        <v>0</v>
      </c>
      <c r="F84" s="412" t="str">
        <f>IF(B84=0,"",Envoltória!E92)</f>
        <v/>
      </c>
      <c r="G84" s="412" t="str">
        <f t="shared" si="5"/>
        <v/>
      </c>
      <c r="H84" s="413" t="str">
        <f>IF(B84=0,"",IF(Envoltória!O92=0,0,VLOOKUP(B84,Aux_Lista!A:M,13,FALSE)))</f>
        <v/>
      </c>
      <c r="I84" s="413" t="str">
        <f>IF(B84=0,"",IF(BF84=1,VLOOKUP(Envoltória!N92,Componentes!T:AB,7,FALSE),89))</f>
        <v/>
      </c>
      <c r="J84" s="414" t="str">
        <f>IF(B84=0,"",Componentes!$Q$10)</f>
        <v/>
      </c>
      <c r="K84" s="414" t="str">
        <f>IF(B84=0,"",Componentes!$R$10)</f>
        <v/>
      </c>
      <c r="L84" s="413" t="str">
        <f>IF(B84=0,"",IFERROR(IF(BB84&lt;&gt;0,Componentes!$L$11,0),""))</f>
        <v/>
      </c>
      <c r="M84" s="413" t="str">
        <f>IF(B84=0,"",IFERROR(IF(BB84&lt;&gt;0,Componentes!$M$11,0),""))</f>
        <v/>
      </c>
      <c r="N84" s="415" t="str">
        <f>IF(B84=0,"",IFERROR(IF(BB84&lt;&gt;0,Componentes!$N$11,0),""))</f>
        <v/>
      </c>
      <c r="O84" s="413" t="str">
        <f>IF(B84=0,"",IF(BF84=1,Componentes!$C$11,-6))</f>
        <v/>
      </c>
      <c r="P84" s="413" t="str">
        <f>IF(B84=0,"",IF(BF84=1,Componentes!$D$11,-400))</f>
        <v/>
      </c>
      <c r="Q84" s="413" t="str">
        <f>IF(B84=0,"",IF(BF84=1,Componentes!$E$11,0))</f>
        <v/>
      </c>
      <c r="R84" s="414" t="str">
        <f>IF(B84=0,"",Componentes!$H$11)</f>
        <v/>
      </c>
      <c r="S84" s="414" t="str">
        <f>IF(B84=0,"",Componentes!$I$11)</f>
        <v/>
      </c>
      <c r="T84" s="413" t="str">
        <f>IF(B84=0,"",IFERROR(IF(H84&lt;&gt;0,Componentes!$V$11,0),""))</f>
        <v/>
      </c>
      <c r="U84" s="413" t="str">
        <f>IF(B84=0,"",IFERROR(IF(H84&lt;&gt;0,Componentes!$U$11,0),""))</f>
        <v/>
      </c>
      <c r="V84" s="414" t="str">
        <f>IF(B84=0,"",IFERROR(IF(AA84&lt;&gt;0,VLOOKUP(Envoltória!U92,Componentes!X:Z,2,FALSE),0),0))</f>
        <v/>
      </c>
      <c r="W84" s="414" t="str">
        <f>IF(B84=0,"",IFERROR(IF(AA84&lt;&gt;0,Componentes!$AE$11,0),0))</f>
        <v/>
      </c>
      <c r="X84" s="413" t="str">
        <f>IF(B84=0,"",Envoltória!U92)</f>
        <v/>
      </c>
      <c r="Y84" s="413" t="str">
        <f>IF(B84=0,"",VLOOKUP(Início!$C$20,Aux_Lista!A:H,8,FALSE))</f>
        <v/>
      </c>
      <c r="Z84" s="413" t="str">
        <f>IF(B84=0,"",Envoltória!T92)</f>
        <v/>
      </c>
      <c r="AA84" s="416" t="str">
        <f>IF(B84=0,"",Envoltória!Q92/100)</f>
        <v/>
      </c>
      <c r="AB84" s="417" t="str">
        <f>INPUT!AB84</f>
        <v/>
      </c>
      <c r="AC84" s="417" t="str">
        <f>INPUT!AC84</f>
        <v/>
      </c>
      <c r="AD84" s="417" t="str">
        <f>INPUT!AD84</f>
        <v/>
      </c>
      <c r="AE84" s="417" t="str">
        <f>INPUT!AE84</f>
        <v/>
      </c>
      <c r="AF84" s="417" t="str">
        <f>INPUT!AF84</f>
        <v/>
      </c>
      <c r="AG84" s="417" t="str">
        <f>INPUT!AG84</f>
        <v/>
      </c>
      <c r="AH84" s="417" t="str">
        <f>INPUT!AH84</f>
        <v/>
      </c>
      <c r="AI84" s="417" t="str">
        <f>INPUT!AI84</f>
        <v/>
      </c>
      <c r="AJ84" s="417" t="str">
        <f>INPUT!AJ84</f>
        <v/>
      </c>
      <c r="AK84" s="417" t="str">
        <f>INPUT!AK84</f>
        <v/>
      </c>
      <c r="AL84" s="417" t="str">
        <f>INPUT!AL84</f>
        <v/>
      </c>
      <c r="AM84" s="417" t="str">
        <f>INPUT!AM84</f>
        <v/>
      </c>
      <c r="AN84" s="417" t="str">
        <f>INPUT!AN84</f>
        <v/>
      </c>
      <c r="AO84" s="417" t="str">
        <f>INPUT!AO84</f>
        <v/>
      </c>
      <c r="AP84" s="413" t="str">
        <f>IF(B84=0,"",IF(BF84=0,90,VLOOKUP(Envoltória!N92,Componentes!T:AB,9,FALSE)))</f>
        <v/>
      </c>
      <c r="AQ84" s="413" t="str">
        <f>IF(B84=0,"",IF(BF84=0,90,VLOOKUP(Envoltória!N92,Componentes!T:AB,8,FALSE)))</f>
        <v/>
      </c>
      <c r="AR84" s="413" t="str">
        <f t="shared" si="6"/>
        <v/>
      </c>
      <c r="AS84" s="413" t="str">
        <f t="shared" si="6"/>
        <v/>
      </c>
      <c r="AT84" s="413" t="str">
        <f t="shared" si="6"/>
        <v/>
      </c>
      <c r="AU84" s="413" t="str">
        <f t="shared" si="6"/>
        <v/>
      </c>
      <c r="AV84" s="413" t="str">
        <f t="shared" si="6"/>
        <v/>
      </c>
      <c r="AW84" s="414" t="str">
        <f>INPUT!AW84</f>
        <v/>
      </c>
      <c r="AX84" s="414" t="str">
        <f>INPUT!AX84</f>
        <v/>
      </c>
      <c r="AY84" s="414" t="str">
        <f>INPUT!AY84</f>
        <v/>
      </c>
      <c r="AZ84" s="414" t="str">
        <f>INPUT!AZ84</f>
        <v/>
      </c>
      <c r="BA84" s="414" t="str">
        <f>INPUT!BA84</f>
        <v/>
      </c>
      <c r="BB84" s="414" t="str">
        <f>INPUT!BB84</f>
        <v/>
      </c>
      <c r="BC84" s="414" t="str">
        <f>INPUT!BC84</f>
        <v/>
      </c>
      <c r="BD84" s="414" t="str">
        <f>INPUT!BD84</f>
        <v/>
      </c>
      <c r="BE84" s="412" t="str">
        <f t="shared" si="7"/>
        <v/>
      </c>
      <c r="BF84" s="412" t="str">
        <f>IF(B84=0,"",IFERROR(VLOOKUP(Envoltória!F92,INPUT_REF!$BQ$18:$BR$19,2,FALSE),""))</f>
        <v/>
      </c>
      <c r="BG84" s="412" t="str">
        <f>IFERROR(VLOOKUP(Envoltória!$G92,$BQ$35:$BZ$43,BG$9,FALSE),"")</f>
        <v/>
      </c>
      <c r="BH84" s="412" t="str">
        <f>IFERROR(VLOOKUP(Envoltória!$G92,$BQ$35:$BZ$43,BH$9,FALSE),"")</f>
        <v/>
      </c>
      <c r="BI84" s="412" t="str">
        <f>IFERROR(VLOOKUP(Envoltória!$G92,$BQ$35:$BZ$43,BI$9,FALSE),"")</f>
        <v/>
      </c>
      <c r="BJ84" s="412" t="str">
        <f>IFERROR(VLOOKUP(Envoltória!$G92,$BQ$35:$BZ$43,BJ$9,FALSE),"")</f>
        <v/>
      </c>
      <c r="BK84" s="412" t="str">
        <f>IFERROR(VLOOKUP(Envoltória!$G92,$BQ$35:$BZ$43,BK$9,FALSE),"")</f>
        <v/>
      </c>
      <c r="BL84" s="412" t="str">
        <f>IFERROR(VLOOKUP(Envoltória!$G92,$BQ$35:$BZ$43,BL$9,FALSE),"")</f>
        <v/>
      </c>
      <c r="BM84" s="412" t="str">
        <f>IFERROR(VLOOKUP(Envoltória!$G92,$BQ$35:$BZ$43,BM$9,FALSE),"")</f>
        <v/>
      </c>
      <c r="BN84" s="412" t="str">
        <f>IFERROR(VLOOKUP(Envoltória!$G92,$BQ$35:$BZ$43,BN$9,FALSE),"")</f>
        <v/>
      </c>
      <c r="BO84" s="412" t="str">
        <f>IFERROR(VLOOKUP(Envoltória!$G92,$BQ$35:$BZ$43,BO$9,FALSE),"")</f>
        <v/>
      </c>
    </row>
    <row r="85" spans="1:67" x14ac:dyDescent="0.25">
      <c r="A85" s="1">
        <v>75</v>
      </c>
      <c r="B85" s="409">
        <f>Envoltória!I93</f>
        <v>0</v>
      </c>
      <c r="C85" s="410">
        <f>Envoltória!B93</f>
        <v>0</v>
      </c>
      <c r="D85" s="410">
        <f>Envoltória!C93</f>
        <v>0</v>
      </c>
      <c r="E85" s="411">
        <f>Envoltória!D93</f>
        <v>0</v>
      </c>
      <c r="F85" s="412" t="str">
        <f>IF(B85=0,"",Envoltória!E93)</f>
        <v/>
      </c>
      <c r="G85" s="412" t="str">
        <f t="shared" si="5"/>
        <v/>
      </c>
      <c r="H85" s="413" t="str">
        <f>IF(B85=0,"",IF(Envoltória!O93=0,0,VLOOKUP(B85,Aux_Lista!A:M,13,FALSE)))</f>
        <v/>
      </c>
      <c r="I85" s="413" t="str">
        <f>IF(B85=0,"",IF(BF85=1,VLOOKUP(Envoltória!N93,Componentes!T:AB,7,FALSE),89))</f>
        <v/>
      </c>
      <c r="J85" s="414" t="str">
        <f>IF(B85=0,"",Componentes!$Q$10)</f>
        <v/>
      </c>
      <c r="K85" s="414" t="str">
        <f>IF(B85=0,"",Componentes!$R$10)</f>
        <v/>
      </c>
      <c r="L85" s="413" t="str">
        <f>IF(B85=0,"",IFERROR(IF(BB85&lt;&gt;0,Componentes!$L$11,0),""))</f>
        <v/>
      </c>
      <c r="M85" s="413" t="str">
        <f>IF(B85=0,"",IFERROR(IF(BB85&lt;&gt;0,Componentes!$M$11,0),""))</f>
        <v/>
      </c>
      <c r="N85" s="415" t="str">
        <f>IF(B85=0,"",IFERROR(IF(BB85&lt;&gt;0,Componentes!$N$11,0),""))</f>
        <v/>
      </c>
      <c r="O85" s="413" t="str">
        <f>IF(B85=0,"",IF(BF85=1,Componentes!$C$11,-6))</f>
        <v/>
      </c>
      <c r="P85" s="413" t="str">
        <f>IF(B85=0,"",IF(BF85=1,Componentes!$D$11,-400))</f>
        <v/>
      </c>
      <c r="Q85" s="413" t="str">
        <f>IF(B85=0,"",IF(BF85=1,Componentes!$E$11,0))</f>
        <v/>
      </c>
      <c r="R85" s="414" t="str">
        <f>IF(B85=0,"",Componentes!$H$11)</f>
        <v/>
      </c>
      <c r="S85" s="414" t="str">
        <f>IF(B85=0,"",Componentes!$I$11)</f>
        <v/>
      </c>
      <c r="T85" s="413" t="str">
        <f>IF(B85=0,"",IFERROR(IF(H85&lt;&gt;0,Componentes!$V$11,0),""))</f>
        <v/>
      </c>
      <c r="U85" s="413" t="str">
        <f>IF(B85=0,"",IFERROR(IF(H85&lt;&gt;0,Componentes!$U$11,0),""))</f>
        <v/>
      </c>
      <c r="V85" s="414" t="str">
        <f>IF(B85=0,"",IFERROR(IF(AA85&lt;&gt;0,VLOOKUP(Envoltória!U93,Componentes!X:Z,2,FALSE),0),0))</f>
        <v/>
      </c>
      <c r="W85" s="414" t="str">
        <f>IF(B85=0,"",IFERROR(IF(AA85&lt;&gt;0,Componentes!$AE$11,0),0))</f>
        <v/>
      </c>
      <c r="X85" s="413" t="str">
        <f>IF(B85=0,"",Envoltória!U93)</f>
        <v/>
      </c>
      <c r="Y85" s="413" t="str">
        <f>IF(B85=0,"",VLOOKUP(Início!$C$20,Aux_Lista!A:H,8,FALSE))</f>
        <v/>
      </c>
      <c r="Z85" s="413" t="str">
        <f>IF(B85=0,"",Envoltória!T93)</f>
        <v/>
      </c>
      <c r="AA85" s="416" t="str">
        <f>IF(B85=0,"",Envoltória!Q93/100)</f>
        <v/>
      </c>
      <c r="AB85" s="417" t="str">
        <f>INPUT!AB85</f>
        <v/>
      </c>
      <c r="AC85" s="417" t="str">
        <f>INPUT!AC85</f>
        <v/>
      </c>
      <c r="AD85" s="417" t="str">
        <f>INPUT!AD85</f>
        <v/>
      </c>
      <c r="AE85" s="417" t="str">
        <f>INPUT!AE85</f>
        <v/>
      </c>
      <c r="AF85" s="417" t="str">
        <f>INPUT!AF85</f>
        <v/>
      </c>
      <c r="AG85" s="417" t="str">
        <f>INPUT!AG85</f>
        <v/>
      </c>
      <c r="AH85" s="417" t="str">
        <f>INPUT!AH85</f>
        <v/>
      </c>
      <c r="AI85" s="417" t="str">
        <f>INPUT!AI85</f>
        <v/>
      </c>
      <c r="AJ85" s="417" t="str">
        <f>INPUT!AJ85</f>
        <v/>
      </c>
      <c r="AK85" s="417" t="str">
        <f>INPUT!AK85</f>
        <v/>
      </c>
      <c r="AL85" s="417" t="str">
        <f>INPUT!AL85</f>
        <v/>
      </c>
      <c r="AM85" s="417" t="str">
        <f>INPUT!AM85</f>
        <v/>
      </c>
      <c r="AN85" s="417" t="str">
        <f>INPUT!AN85</f>
        <v/>
      </c>
      <c r="AO85" s="417" t="str">
        <f>INPUT!AO85</f>
        <v/>
      </c>
      <c r="AP85" s="413" t="str">
        <f>IF(B85=0,"",IF(BF85=0,90,VLOOKUP(Envoltória!N93,Componentes!T:AB,9,FALSE)))</f>
        <v/>
      </c>
      <c r="AQ85" s="413" t="str">
        <f>IF(B85=0,"",IF(BF85=0,90,VLOOKUP(Envoltória!N93,Componentes!T:AB,8,FALSE)))</f>
        <v/>
      </c>
      <c r="AR85" s="413" t="str">
        <f t="shared" si="6"/>
        <v/>
      </c>
      <c r="AS85" s="413" t="str">
        <f t="shared" si="6"/>
        <v/>
      </c>
      <c r="AT85" s="413" t="str">
        <f t="shared" si="6"/>
        <v/>
      </c>
      <c r="AU85" s="413" t="str">
        <f t="shared" si="6"/>
        <v/>
      </c>
      <c r="AV85" s="413" t="str">
        <f t="shared" si="6"/>
        <v/>
      </c>
      <c r="AW85" s="414" t="str">
        <f>INPUT!AW85</f>
        <v/>
      </c>
      <c r="AX85" s="414" t="str">
        <f>INPUT!AX85</f>
        <v/>
      </c>
      <c r="AY85" s="414" t="str">
        <f>INPUT!AY85</f>
        <v/>
      </c>
      <c r="AZ85" s="414" t="str">
        <f>INPUT!AZ85</f>
        <v/>
      </c>
      <c r="BA85" s="414" t="str">
        <f>INPUT!BA85</f>
        <v/>
      </c>
      <c r="BB85" s="414" t="str">
        <f>INPUT!BB85</f>
        <v/>
      </c>
      <c r="BC85" s="414" t="str">
        <f>INPUT!BC85</f>
        <v/>
      </c>
      <c r="BD85" s="414" t="str">
        <f>INPUT!BD85</f>
        <v/>
      </c>
      <c r="BE85" s="412" t="str">
        <f t="shared" si="7"/>
        <v/>
      </c>
      <c r="BF85" s="412" t="str">
        <f>IF(B85=0,"",IFERROR(VLOOKUP(Envoltória!F93,INPUT_REF!$BQ$18:$BR$19,2,FALSE),""))</f>
        <v/>
      </c>
      <c r="BG85" s="412" t="str">
        <f>IFERROR(VLOOKUP(Envoltória!$G93,$BQ$35:$BZ$43,BG$9,FALSE),"")</f>
        <v/>
      </c>
      <c r="BH85" s="412" t="str">
        <f>IFERROR(VLOOKUP(Envoltória!$G93,$BQ$35:$BZ$43,BH$9,FALSE),"")</f>
        <v/>
      </c>
      <c r="BI85" s="412" t="str">
        <f>IFERROR(VLOOKUP(Envoltória!$G93,$BQ$35:$BZ$43,BI$9,FALSE),"")</f>
        <v/>
      </c>
      <c r="BJ85" s="412" t="str">
        <f>IFERROR(VLOOKUP(Envoltória!$G93,$BQ$35:$BZ$43,BJ$9,FALSE),"")</f>
        <v/>
      </c>
      <c r="BK85" s="412" t="str">
        <f>IFERROR(VLOOKUP(Envoltória!$G93,$BQ$35:$BZ$43,BK$9,FALSE),"")</f>
        <v/>
      </c>
      <c r="BL85" s="412" t="str">
        <f>IFERROR(VLOOKUP(Envoltória!$G93,$BQ$35:$BZ$43,BL$9,FALSE),"")</f>
        <v/>
      </c>
      <c r="BM85" s="412" t="str">
        <f>IFERROR(VLOOKUP(Envoltória!$G93,$BQ$35:$BZ$43,BM$9,FALSE),"")</f>
        <v/>
      </c>
      <c r="BN85" s="412" t="str">
        <f>IFERROR(VLOOKUP(Envoltória!$G93,$BQ$35:$BZ$43,BN$9,FALSE),"")</f>
        <v/>
      </c>
      <c r="BO85" s="412" t="str">
        <f>IFERROR(VLOOKUP(Envoltória!$G93,$BQ$35:$BZ$43,BO$9,FALSE),"")</f>
        <v/>
      </c>
    </row>
    <row r="86" spans="1:67" x14ac:dyDescent="0.25">
      <c r="A86" s="1">
        <v>76</v>
      </c>
      <c r="B86" s="409">
        <f>Envoltória!I94</f>
        <v>0</v>
      </c>
      <c r="C86" s="410">
        <f>Envoltória!B94</f>
        <v>0</v>
      </c>
      <c r="D86" s="410">
        <f>Envoltória!C94</f>
        <v>0</v>
      </c>
      <c r="E86" s="411">
        <f>Envoltória!D94</f>
        <v>0</v>
      </c>
      <c r="F86" s="412" t="str">
        <f>IF(B86=0,"",Envoltória!E94)</f>
        <v/>
      </c>
      <c r="G86" s="412" t="str">
        <f t="shared" si="5"/>
        <v/>
      </c>
      <c r="H86" s="413" t="str">
        <f>IF(B86=0,"",IF(Envoltória!O94=0,0,VLOOKUP(B86,Aux_Lista!A:M,13,FALSE)))</f>
        <v/>
      </c>
      <c r="I86" s="413" t="str">
        <f>IF(B86=0,"",IF(BF86=1,VLOOKUP(Envoltória!N94,Componentes!T:AB,7,FALSE),89))</f>
        <v/>
      </c>
      <c r="J86" s="414" t="str">
        <f>IF(B86=0,"",Componentes!$Q$10)</f>
        <v/>
      </c>
      <c r="K86" s="414" t="str">
        <f>IF(B86=0,"",Componentes!$R$10)</f>
        <v/>
      </c>
      <c r="L86" s="413" t="str">
        <f>IF(B86=0,"",IFERROR(IF(BB86&lt;&gt;0,Componentes!$L$11,0),""))</f>
        <v/>
      </c>
      <c r="M86" s="413" t="str">
        <f>IF(B86=0,"",IFERROR(IF(BB86&lt;&gt;0,Componentes!$M$11,0),""))</f>
        <v/>
      </c>
      <c r="N86" s="415" t="str">
        <f>IF(B86=0,"",IFERROR(IF(BB86&lt;&gt;0,Componentes!$N$11,0),""))</f>
        <v/>
      </c>
      <c r="O86" s="413" t="str">
        <f>IF(B86=0,"",IF(BF86=1,Componentes!$C$11,-6))</f>
        <v/>
      </c>
      <c r="P86" s="413" t="str">
        <f>IF(B86=0,"",IF(BF86=1,Componentes!$D$11,-400))</f>
        <v/>
      </c>
      <c r="Q86" s="413" t="str">
        <f>IF(B86=0,"",IF(BF86=1,Componentes!$E$11,0))</f>
        <v/>
      </c>
      <c r="R86" s="414" t="str">
        <f>IF(B86=0,"",Componentes!$H$11)</f>
        <v/>
      </c>
      <c r="S86" s="414" t="str">
        <f>IF(B86=0,"",Componentes!$I$11)</f>
        <v/>
      </c>
      <c r="T86" s="413" t="str">
        <f>IF(B86=0,"",IFERROR(IF(H86&lt;&gt;0,Componentes!$V$11,0),""))</f>
        <v/>
      </c>
      <c r="U86" s="413" t="str">
        <f>IF(B86=0,"",IFERROR(IF(H86&lt;&gt;0,Componentes!$U$11,0),""))</f>
        <v/>
      </c>
      <c r="V86" s="414" t="str">
        <f>IF(B86=0,"",IFERROR(IF(AA86&lt;&gt;0,VLOOKUP(Envoltória!U94,Componentes!X:Z,2,FALSE),0),0))</f>
        <v/>
      </c>
      <c r="W86" s="414" t="str">
        <f>IF(B86=0,"",IFERROR(IF(AA86&lt;&gt;0,Componentes!$AE$11,0),0))</f>
        <v/>
      </c>
      <c r="X86" s="413" t="str">
        <f>IF(B86=0,"",Envoltória!U94)</f>
        <v/>
      </c>
      <c r="Y86" s="413" t="str">
        <f>IF(B86=0,"",VLOOKUP(Início!$C$20,Aux_Lista!A:H,8,FALSE))</f>
        <v/>
      </c>
      <c r="Z86" s="413" t="str">
        <f>IF(B86=0,"",Envoltória!T94)</f>
        <v/>
      </c>
      <c r="AA86" s="416" t="str">
        <f>IF(B86=0,"",Envoltória!Q94/100)</f>
        <v/>
      </c>
      <c r="AB86" s="417" t="str">
        <f>INPUT!AB86</f>
        <v/>
      </c>
      <c r="AC86" s="417" t="str">
        <f>INPUT!AC86</f>
        <v/>
      </c>
      <c r="AD86" s="417" t="str">
        <f>INPUT!AD86</f>
        <v/>
      </c>
      <c r="AE86" s="417" t="str">
        <f>INPUT!AE86</f>
        <v/>
      </c>
      <c r="AF86" s="417" t="str">
        <f>INPUT!AF86</f>
        <v/>
      </c>
      <c r="AG86" s="417" t="str">
        <f>INPUT!AG86</f>
        <v/>
      </c>
      <c r="AH86" s="417" t="str">
        <f>INPUT!AH86</f>
        <v/>
      </c>
      <c r="AI86" s="417" t="str">
        <f>INPUT!AI86</f>
        <v/>
      </c>
      <c r="AJ86" s="417" t="str">
        <f>INPUT!AJ86</f>
        <v/>
      </c>
      <c r="AK86" s="417" t="str">
        <f>INPUT!AK86</f>
        <v/>
      </c>
      <c r="AL86" s="417" t="str">
        <f>INPUT!AL86</f>
        <v/>
      </c>
      <c r="AM86" s="417" t="str">
        <f>INPUT!AM86</f>
        <v/>
      </c>
      <c r="AN86" s="417" t="str">
        <f>INPUT!AN86</f>
        <v/>
      </c>
      <c r="AO86" s="417" t="str">
        <f>INPUT!AO86</f>
        <v/>
      </c>
      <c r="AP86" s="413" t="str">
        <f>IF(B86=0,"",IF(BF86=0,90,VLOOKUP(Envoltória!N94,Componentes!T:AB,9,FALSE)))</f>
        <v/>
      </c>
      <c r="AQ86" s="413" t="str">
        <f>IF(B86=0,"",IF(BF86=0,90,VLOOKUP(Envoltória!N94,Componentes!T:AB,8,FALSE)))</f>
        <v/>
      </c>
      <c r="AR86" s="413" t="str">
        <f t="shared" si="6"/>
        <v/>
      </c>
      <c r="AS86" s="413" t="str">
        <f t="shared" si="6"/>
        <v/>
      </c>
      <c r="AT86" s="413" t="str">
        <f t="shared" si="6"/>
        <v/>
      </c>
      <c r="AU86" s="413" t="str">
        <f t="shared" si="6"/>
        <v/>
      </c>
      <c r="AV86" s="413" t="str">
        <f t="shared" si="6"/>
        <v/>
      </c>
      <c r="AW86" s="414" t="str">
        <f>INPUT!AW86</f>
        <v/>
      </c>
      <c r="AX86" s="414" t="str">
        <f>INPUT!AX86</f>
        <v/>
      </c>
      <c r="AY86" s="414" t="str">
        <f>INPUT!AY86</f>
        <v/>
      </c>
      <c r="AZ86" s="414" t="str">
        <f>INPUT!AZ86</f>
        <v/>
      </c>
      <c r="BA86" s="414" t="str">
        <f>INPUT!BA86</f>
        <v/>
      </c>
      <c r="BB86" s="414" t="str">
        <f>INPUT!BB86</f>
        <v/>
      </c>
      <c r="BC86" s="414" t="str">
        <f>INPUT!BC86</f>
        <v/>
      </c>
      <c r="BD86" s="414" t="str">
        <f>INPUT!BD86</f>
        <v/>
      </c>
      <c r="BE86" s="412" t="str">
        <f t="shared" si="7"/>
        <v/>
      </c>
      <c r="BF86" s="412" t="str">
        <f>IF(B86=0,"",IFERROR(VLOOKUP(Envoltória!F94,INPUT_REF!$BQ$18:$BR$19,2,FALSE),""))</f>
        <v/>
      </c>
      <c r="BG86" s="412" t="str">
        <f>IFERROR(VLOOKUP(Envoltória!$G94,$BQ$35:$BZ$43,BG$9,FALSE),"")</f>
        <v/>
      </c>
      <c r="BH86" s="412" t="str">
        <f>IFERROR(VLOOKUP(Envoltória!$G94,$BQ$35:$BZ$43,BH$9,FALSE),"")</f>
        <v/>
      </c>
      <c r="BI86" s="412" t="str">
        <f>IFERROR(VLOOKUP(Envoltória!$G94,$BQ$35:$BZ$43,BI$9,FALSE),"")</f>
        <v/>
      </c>
      <c r="BJ86" s="412" t="str">
        <f>IFERROR(VLOOKUP(Envoltória!$G94,$BQ$35:$BZ$43,BJ$9,FALSE),"")</f>
        <v/>
      </c>
      <c r="BK86" s="412" t="str">
        <f>IFERROR(VLOOKUP(Envoltória!$G94,$BQ$35:$BZ$43,BK$9,FALSE),"")</f>
        <v/>
      </c>
      <c r="BL86" s="412" t="str">
        <f>IFERROR(VLOOKUP(Envoltória!$G94,$BQ$35:$BZ$43,BL$9,FALSE),"")</f>
        <v/>
      </c>
      <c r="BM86" s="412" t="str">
        <f>IFERROR(VLOOKUP(Envoltória!$G94,$BQ$35:$BZ$43,BM$9,FALSE),"")</f>
        <v/>
      </c>
      <c r="BN86" s="412" t="str">
        <f>IFERROR(VLOOKUP(Envoltória!$G94,$BQ$35:$BZ$43,BN$9,FALSE),"")</f>
        <v/>
      </c>
      <c r="BO86" s="412" t="str">
        <f>IFERROR(VLOOKUP(Envoltória!$G94,$BQ$35:$BZ$43,BO$9,FALSE),"")</f>
        <v/>
      </c>
    </row>
    <row r="87" spans="1:67" x14ac:dyDescent="0.25">
      <c r="A87" s="1">
        <v>77</v>
      </c>
      <c r="B87" s="409">
        <f>Envoltória!I95</f>
        <v>0</v>
      </c>
      <c r="C87" s="410">
        <f>Envoltória!B95</f>
        <v>0</v>
      </c>
      <c r="D87" s="410">
        <f>Envoltória!C95</f>
        <v>0</v>
      </c>
      <c r="E87" s="411">
        <f>Envoltória!D95</f>
        <v>0</v>
      </c>
      <c r="F87" s="412" t="str">
        <f>IF(B87=0,"",Envoltória!E95)</f>
        <v/>
      </c>
      <c r="G87" s="412" t="str">
        <f t="shared" si="5"/>
        <v/>
      </c>
      <c r="H87" s="413" t="str">
        <f>IF(B87=0,"",IF(Envoltória!O95=0,0,VLOOKUP(B87,Aux_Lista!A:M,13,FALSE)))</f>
        <v/>
      </c>
      <c r="I87" s="413" t="str">
        <f>IF(B87=0,"",IF(BF87=1,VLOOKUP(Envoltória!N95,Componentes!T:AB,7,FALSE),89))</f>
        <v/>
      </c>
      <c r="J87" s="414" t="str">
        <f>IF(B87=0,"",Componentes!$Q$10)</f>
        <v/>
      </c>
      <c r="K87" s="414" t="str">
        <f>IF(B87=0,"",Componentes!$R$10)</f>
        <v/>
      </c>
      <c r="L87" s="413" t="str">
        <f>IF(B87=0,"",IFERROR(IF(BB87&lt;&gt;0,Componentes!$L$11,0),""))</f>
        <v/>
      </c>
      <c r="M87" s="413" t="str">
        <f>IF(B87=0,"",IFERROR(IF(BB87&lt;&gt;0,Componentes!$M$11,0),""))</f>
        <v/>
      </c>
      <c r="N87" s="415" t="str">
        <f>IF(B87=0,"",IFERROR(IF(BB87&lt;&gt;0,Componentes!$N$11,0),""))</f>
        <v/>
      </c>
      <c r="O87" s="413" t="str">
        <f>IF(B87=0,"",IF(BF87=1,Componentes!$C$11,-6))</f>
        <v/>
      </c>
      <c r="P87" s="413" t="str">
        <f>IF(B87=0,"",IF(BF87=1,Componentes!$D$11,-400))</f>
        <v/>
      </c>
      <c r="Q87" s="413" t="str">
        <f>IF(B87=0,"",IF(BF87=1,Componentes!$E$11,0))</f>
        <v/>
      </c>
      <c r="R87" s="414" t="str">
        <f>IF(B87=0,"",Componentes!$H$11)</f>
        <v/>
      </c>
      <c r="S87" s="414" t="str">
        <f>IF(B87=0,"",Componentes!$I$11)</f>
        <v/>
      </c>
      <c r="T87" s="413" t="str">
        <f>IF(B87=0,"",IFERROR(IF(H87&lt;&gt;0,Componentes!$V$11,0),""))</f>
        <v/>
      </c>
      <c r="U87" s="413" t="str">
        <f>IF(B87=0,"",IFERROR(IF(H87&lt;&gt;0,Componentes!$U$11,0),""))</f>
        <v/>
      </c>
      <c r="V87" s="414" t="str">
        <f>IF(B87=0,"",IFERROR(IF(AA87&lt;&gt;0,VLOOKUP(Envoltória!U95,Componentes!X:Z,2,FALSE),0),0))</f>
        <v/>
      </c>
      <c r="W87" s="414" t="str">
        <f>IF(B87=0,"",IFERROR(IF(AA87&lt;&gt;0,Componentes!$AE$11,0),0))</f>
        <v/>
      </c>
      <c r="X87" s="413" t="str">
        <f>IF(B87=0,"",Envoltória!U95)</f>
        <v/>
      </c>
      <c r="Y87" s="413" t="str">
        <f>IF(B87=0,"",VLOOKUP(Início!$C$20,Aux_Lista!A:H,8,FALSE))</f>
        <v/>
      </c>
      <c r="Z87" s="413" t="str">
        <f>IF(B87=0,"",Envoltória!T95)</f>
        <v/>
      </c>
      <c r="AA87" s="416" t="str">
        <f>IF(B87=0,"",Envoltória!Q95/100)</f>
        <v/>
      </c>
      <c r="AB87" s="417" t="str">
        <f>INPUT!AB87</f>
        <v/>
      </c>
      <c r="AC87" s="417" t="str">
        <f>INPUT!AC87</f>
        <v/>
      </c>
      <c r="AD87" s="417" t="str">
        <f>INPUT!AD87</f>
        <v/>
      </c>
      <c r="AE87" s="417" t="str">
        <f>INPUT!AE87</f>
        <v/>
      </c>
      <c r="AF87" s="417" t="str">
        <f>INPUT!AF87</f>
        <v/>
      </c>
      <c r="AG87" s="417" t="str">
        <f>INPUT!AG87</f>
        <v/>
      </c>
      <c r="AH87" s="417" t="str">
        <f>INPUT!AH87</f>
        <v/>
      </c>
      <c r="AI87" s="417" t="str">
        <f>INPUT!AI87</f>
        <v/>
      </c>
      <c r="AJ87" s="417" t="str">
        <f>INPUT!AJ87</f>
        <v/>
      </c>
      <c r="AK87" s="417" t="str">
        <f>INPUT!AK87</f>
        <v/>
      </c>
      <c r="AL87" s="417" t="str">
        <f>INPUT!AL87</f>
        <v/>
      </c>
      <c r="AM87" s="417" t="str">
        <f>INPUT!AM87</f>
        <v/>
      </c>
      <c r="AN87" s="417" t="str">
        <f>INPUT!AN87</f>
        <v/>
      </c>
      <c r="AO87" s="417" t="str">
        <f>INPUT!AO87</f>
        <v/>
      </c>
      <c r="AP87" s="413" t="str">
        <f>IF(B87=0,"",IF(BF87=0,90,VLOOKUP(Envoltória!N95,Componentes!T:AB,9,FALSE)))</f>
        <v/>
      </c>
      <c r="AQ87" s="413" t="str">
        <f>IF(B87=0,"",IF(BF87=0,90,VLOOKUP(Envoltória!N95,Componentes!T:AB,8,FALSE)))</f>
        <v/>
      </c>
      <c r="AR87" s="413" t="str">
        <f t="shared" si="6"/>
        <v/>
      </c>
      <c r="AS87" s="413" t="str">
        <f t="shared" si="6"/>
        <v/>
      </c>
      <c r="AT87" s="413" t="str">
        <f t="shared" si="6"/>
        <v/>
      </c>
      <c r="AU87" s="413" t="str">
        <f t="shared" si="6"/>
        <v/>
      </c>
      <c r="AV87" s="413" t="str">
        <f t="shared" si="6"/>
        <v/>
      </c>
      <c r="AW87" s="414" t="str">
        <f>INPUT!AW87</f>
        <v/>
      </c>
      <c r="AX87" s="414" t="str">
        <f>INPUT!AX87</f>
        <v/>
      </c>
      <c r="AY87" s="414" t="str">
        <f>INPUT!AY87</f>
        <v/>
      </c>
      <c r="AZ87" s="414" t="str">
        <f>INPUT!AZ87</f>
        <v/>
      </c>
      <c r="BA87" s="414" t="str">
        <f>INPUT!BA87</f>
        <v/>
      </c>
      <c r="BB87" s="414" t="str">
        <f>INPUT!BB87</f>
        <v/>
      </c>
      <c r="BC87" s="414" t="str">
        <f>INPUT!BC87</f>
        <v/>
      </c>
      <c r="BD87" s="414" t="str">
        <f>INPUT!BD87</f>
        <v/>
      </c>
      <c r="BE87" s="412" t="str">
        <f t="shared" si="7"/>
        <v/>
      </c>
      <c r="BF87" s="412" t="str">
        <f>IF(B87=0,"",IFERROR(VLOOKUP(Envoltória!F95,INPUT_REF!$BQ$18:$BR$19,2,FALSE),""))</f>
        <v/>
      </c>
      <c r="BG87" s="412" t="str">
        <f>IFERROR(VLOOKUP(Envoltória!$G95,$BQ$35:$BZ$43,BG$9,FALSE),"")</f>
        <v/>
      </c>
      <c r="BH87" s="412" t="str">
        <f>IFERROR(VLOOKUP(Envoltória!$G95,$BQ$35:$BZ$43,BH$9,FALSE),"")</f>
        <v/>
      </c>
      <c r="BI87" s="412" t="str">
        <f>IFERROR(VLOOKUP(Envoltória!$G95,$BQ$35:$BZ$43,BI$9,FALSE),"")</f>
        <v/>
      </c>
      <c r="BJ87" s="412" t="str">
        <f>IFERROR(VLOOKUP(Envoltória!$G95,$BQ$35:$BZ$43,BJ$9,FALSE),"")</f>
        <v/>
      </c>
      <c r="BK87" s="412" t="str">
        <f>IFERROR(VLOOKUP(Envoltória!$G95,$BQ$35:$BZ$43,BK$9,FALSE),"")</f>
        <v/>
      </c>
      <c r="BL87" s="412" t="str">
        <f>IFERROR(VLOOKUP(Envoltória!$G95,$BQ$35:$BZ$43,BL$9,FALSE),"")</f>
        <v/>
      </c>
      <c r="BM87" s="412" t="str">
        <f>IFERROR(VLOOKUP(Envoltória!$G95,$BQ$35:$BZ$43,BM$9,FALSE),"")</f>
        <v/>
      </c>
      <c r="BN87" s="412" t="str">
        <f>IFERROR(VLOOKUP(Envoltória!$G95,$BQ$35:$BZ$43,BN$9,FALSE),"")</f>
        <v/>
      </c>
      <c r="BO87" s="412" t="str">
        <f>IFERROR(VLOOKUP(Envoltória!$G95,$BQ$35:$BZ$43,BO$9,FALSE),"")</f>
        <v/>
      </c>
    </row>
    <row r="88" spans="1:67" x14ac:dyDescent="0.25">
      <c r="A88" s="1">
        <v>78</v>
      </c>
      <c r="B88" s="409">
        <f>Envoltória!I96</f>
        <v>0</v>
      </c>
      <c r="C88" s="410">
        <f>Envoltória!B96</f>
        <v>0</v>
      </c>
      <c r="D88" s="410">
        <f>Envoltória!C96</f>
        <v>0</v>
      </c>
      <c r="E88" s="411">
        <f>Envoltória!D96</f>
        <v>0</v>
      </c>
      <c r="F88" s="412" t="str">
        <f>IF(B88=0,"",Envoltória!E96)</f>
        <v/>
      </c>
      <c r="G88" s="412" t="str">
        <f t="shared" si="5"/>
        <v/>
      </c>
      <c r="H88" s="413" t="str">
        <f>IF(B88=0,"",IF(Envoltória!O96=0,0,VLOOKUP(B88,Aux_Lista!A:M,13,FALSE)))</f>
        <v/>
      </c>
      <c r="I88" s="413" t="str">
        <f>IF(B88=0,"",IF(BF88=1,VLOOKUP(Envoltória!N96,Componentes!T:AB,7,FALSE),89))</f>
        <v/>
      </c>
      <c r="J88" s="414" t="str">
        <f>IF(B88=0,"",Componentes!$Q$10)</f>
        <v/>
      </c>
      <c r="K88" s="414" t="str">
        <f>IF(B88=0,"",Componentes!$R$10)</f>
        <v/>
      </c>
      <c r="L88" s="413" t="str">
        <f>IF(B88=0,"",IFERROR(IF(BB88&lt;&gt;0,Componentes!$L$11,0),""))</f>
        <v/>
      </c>
      <c r="M88" s="413" t="str">
        <f>IF(B88=0,"",IFERROR(IF(BB88&lt;&gt;0,Componentes!$M$11,0),""))</f>
        <v/>
      </c>
      <c r="N88" s="415" t="str">
        <f>IF(B88=0,"",IFERROR(IF(BB88&lt;&gt;0,Componentes!$N$11,0),""))</f>
        <v/>
      </c>
      <c r="O88" s="413" t="str">
        <f>IF(B88=0,"",IF(BF88=1,Componentes!$C$11,-6))</f>
        <v/>
      </c>
      <c r="P88" s="413" t="str">
        <f>IF(B88=0,"",IF(BF88=1,Componentes!$D$11,-400))</f>
        <v/>
      </c>
      <c r="Q88" s="413" t="str">
        <f>IF(B88=0,"",IF(BF88=1,Componentes!$E$11,0))</f>
        <v/>
      </c>
      <c r="R88" s="414" t="str">
        <f>IF(B88=0,"",Componentes!$H$11)</f>
        <v/>
      </c>
      <c r="S88" s="414" t="str">
        <f>IF(B88=0,"",Componentes!$I$11)</f>
        <v/>
      </c>
      <c r="T88" s="413" t="str">
        <f>IF(B88=0,"",IFERROR(IF(H88&lt;&gt;0,Componentes!$V$11,0),""))</f>
        <v/>
      </c>
      <c r="U88" s="413" t="str">
        <f>IF(B88=0,"",IFERROR(IF(H88&lt;&gt;0,Componentes!$U$11,0),""))</f>
        <v/>
      </c>
      <c r="V88" s="414" t="str">
        <f>IF(B88=0,"",IFERROR(IF(AA88&lt;&gt;0,VLOOKUP(Envoltória!U96,Componentes!X:Z,2,FALSE),0),0))</f>
        <v/>
      </c>
      <c r="W88" s="414" t="str">
        <f>IF(B88=0,"",IFERROR(IF(AA88&lt;&gt;0,Componentes!$AE$11,0),0))</f>
        <v/>
      </c>
      <c r="X88" s="413" t="str">
        <f>IF(B88=0,"",Envoltória!U96)</f>
        <v/>
      </c>
      <c r="Y88" s="413" t="str">
        <f>IF(B88=0,"",VLOOKUP(Início!$C$20,Aux_Lista!A:H,8,FALSE))</f>
        <v/>
      </c>
      <c r="Z88" s="413" t="str">
        <f>IF(B88=0,"",Envoltória!T96)</f>
        <v/>
      </c>
      <c r="AA88" s="416" t="str">
        <f>IF(B88=0,"",Envoltória!Q96/100)</f>
        <v/>
      </c>
      <c r="AB88" s="417" t="str">
        <f>INPUT!AB88</f>
        <v/>
      </c>
      <c r="AC88" s="417" t="str">
        <f>INPUT!AC88</f>
        <v/>
      </c>
      <c r="AD88" s="417" t="str">
        <f>INPUT!AD88</f>
        <v/>
      </c>
      <c r="AE88" s="417" t="str">
        <f>INPUT!AE88</f>
        <v/>
      </c>
      <c r="AF88" s="417" t="str">
        <f>INPUT!AF88</f>
        <v/>
      </c>
      <c r="AG88" s="417" t="str">
        <f>INPUT!AG88</f>
        <v/>
      </c>
      <c r="AH88" s="417" t="str">
        <f>INPUT!AH88</f>
        <v/>
      </c>
      <c r="AI88" s="417" t="str">
        <f>INPUT!AI88</f>
        <v/>
      </c>
      <c r="AJ88" s="417" t="str">
        <f>INPUT!AJ88</f>
        <v/>
      </c>
      <c r="AK88" s="417" t="str">
        <f>INPUT!AK88</f>
        <v/>
      </c>
      <c r="AL88" s="417" t="str">
        <f>INPUT!AL88</f>
        <v/>
      </c>
      <c r="AM88" s="417" t="str">
        <f>INPUT!AM88</f>
        <v/>
      </c>
      <c r="AN88" s="417" t="str">
        <f>INPUT!AN88</f>
        <v/>
      </c>
      <c r="AO88" s="417" t="str">
        <f>INPUT!AO88</f>
        <v/>
      </c>
      <c r="AP88" s="413" t="str">
        <f>IF(B88=0,"",IF(BF88=0,90,VLOOKUP(Envoltória!N96,Componentes!T:AB,9,FALSE)))</f>
        <v/>
      </c>
      <c r="AQ88" s="413" t="str">
        <f>IF(B88=0,"",IF(BF88=0,90,VLOOKUP(Envoltória!N96,Componentes!T:AB,8,FALSE)))</f>
        <v/>
      </c>
      <c r="AR88" s="413" t="str">
        <f t="shared" si="6"/>
        <v/>
      </c>
      <c r="AS88" s="413" t="str">
        <f t="shared" si="6"/>
        <v/>
      </c>
      <c r="AT88" s="413" t="str">
        <f t="shared" si="6"/>
        <v/>
      </c>
      <c r="AU88" s="413" t="str">
        <f t="shared" si="6"/>
        <v/>
      </c>
      <c r="AV88" s="413" t="str">
        <f t="shared" si="6"/>
        <v/>
      </c>
      <c r="AW88" s="414" t="str">
        <f>INPUT!AW88</f>
        <v/>
      </c>
      <c r="AX88" s="414" t="str">
        <f>INPUT!AX88</f>
        <v/>
      </c>
      <c r="AY88" s="414" t="str">
        <f>INPUT!AY88</f>
        <v/>
      </c>
      <c r="AZ88" s="414" t="str">
        <f>INPUT!AZ88</f>
        <v/>
      </c>
      <c r="BA88" s="414" t="str">
        <f>INPUT!BA88</f>
        <v/>
      </c>
      <c r="BB88" s="414" t="str">
        <f>INPUT!BB88</f>
        <v/>
      </c>
      <c r="BC88" s="414" t="str">
        <f>INPUT!BC88</f>
        <v/>
      </c>
      <c r="BD88" s="414" t="str">
        <f>INPUT!BD88</f>
        <v/>
      </c>
      <c r="BE88" s="412" t="str">
        <f t="shared" si="7"/>
        <v/>
      </c>
      <c r="BF88" s="412" t="str">
        <f>IF(B88=0,"",IFERROR(VLOOKUP(Envoltória!F96,INPUT_REF!$BQ$18:$BR$19,2,FALSE),""))</f>
        <v/>
      </c>
      <c r="BG88" s="412" t="str">
        <f>IFERROR(VLOOKUP(Envoltória!$G96,$BQ$35:$BZ$43,BG$9,FALSE),"")</f>
        <v/>
      </c>
      <c r="BH88" s="412" t="str">
        <f>IFERROR(VLOOKUP(Envoltória!$G96,$BQ$35:$BZ$43,BH$9,FALSE),"")</f>
        <v/>
      </c>
      <c r="BI88" s="412" t="str">
        <f>IFERROR(VLOOKUP(Envoltória!$G96,$BQ$35:$BZ$43,BI$9,FALSE),"")</f>
        <v/>
      </c>
      <c r="BJ88" s="412" t="str">
        <f>IFERROR(VLOOKUP(Envoltória!$G96,$BQ$35:$BZ$43,BJ$9,FALSE),"")</f>
        <v/>
      </c>
      <c r="BK88" s="412" t="str">
        <f>IFERROR(VLOOKUP(Envoltória!$G96,$BQ$35:$BZ$43,BK$9,FALSE),"")</f>
        <v/>
      </c>
      <c r="BL88" s="412" t="str">
        <f>IFERROR(VLOOKUP(Envoltória!$G96,$BQ$35:$BZ$43,BL$9,FALSE),"")</f>
        <v/>
      </c>
      <c r="BM88" s="412" t="str">
        <f>IFERROR(VLOOKUP(Envoltória!$G96,$BQ$35:$BZ$43,BM$9,FALSE),"")</f>
        <v/>
      </c>
      <c r="BN88" s="412" t="str">
        <f>IFERROR(VLOOKUP(Envoltória!$G96,$BQ$35:$BZ$43,BN$9,FALSE),"")</f>
        <v/>
      </c>
      <c r="BO88" s="412" t="str">
        <f>IFERROR(VLOOKUP(Envoltória!$G96,$BQ$35:$BZ$43,BO$9,FALSE),"")</f>
        <v/>
      </c>
    </row>
    <row r="89" spans="1:67" x14ac:dyDescent="0.25">
      <c r="A89" s="1">
        <v>79</v>
      </c>
      <c r="B89" s="409">
        <f>Envoltória!I97</f>
        <v>0</v>
      </c>
      <c r="C89" s="410">
        <f>Envoltória!B97</f>
        <v>0</v>
      </c>
      <c r="D89" s="410">
        <f>Envoltória!C97</f>
        <v>0</v>
      </c>
      <c r="E89" s="411">
        <f>Envoltória!D97</f>
        <v>0</v>
      </c>
      <c r="F89" s="412" t="str">
        <f>IF(B89=0,"",Envoltória!E97)</f>
        <v/>
      </c>
      <c r="G89" s="412" t="str">
        <f t="shared" si="5"/>
        <v/>
      </c>
      <c r="H89" s="413" t="str">
        <f>IF(B89=0,"",IF(Envoltória!O97=0,0,VLOOKUP(B89,Aux_Lista!A:M,13,FALSE)))</f>
        <v/>
      </c>
      <c r="I89" s="413" t="str">
        <f>IF(B89=0,"",IF(BF89=1,VLOOKUP(Envoltória!N97,Componentes!T:AB,7,FALSE),89))</f>
        <v/>
      </c>
      <c r="J89" s="414" t="str">
        <f>IF(B89=0,"",Componentes!$Q$10)</f>
        <v/>
      </c>
      <c r="K89" s="414" t="str">
        <f>IF(B89=0,"",Componentes!$R$10)</f>
        <v/>
      </c>
      <c r="L89" s="413" t="str">
        <f>IF(B89=0,"",IFERROR(IF(BB89&lt;&gt;0,Componentes!$L$11,0),""))</f>
        <v/>
      </c>
      <c r="M89" s="413" t="str">
        <f>IF(B89=0,"",IFERROR(IF(BB89&lt;&gt;0,Componentes!$M$11,0),""))</f>
        <v/>
      </c>
      <c r="N89" s="415" t="str">
        <f>IF(B89=0,"",IFERROR(IF(BB89&lt;&gt;0,Componentes!$N$11,0),""))</f>
        <v/>
      </c>
      <c r="O89" s="413" t="str">
        <f>IF(B89=0,"",IF(BF89=1,Componentes!$C$11,-6))</f>
        <v/>
      </c>
      <c r="P89" s="413" t="str">
        <f>IF(B89=0,"",IF(BF89=1,Componentes!$D$11,-400))</f>
        <v/>
      </c>
      <c r="Q89" s="413" t="str">
        <f>IF(B89=0,"",IF(BF89=1,Componentes!$E$11,0))</f>
        <v/>
      </c>
      <c r="R89" s="414" t="str">
        <f>IF(B89=0,"",Componentes!$H$11)</f>
        <v/>
      </c>
      <c r="S89" s="414" t="str">
        <f>IF(B89=0,"",Componentes!$I$11)</f>
        <v/>
      </c>
      <c r="T89" s="413" t="str">
        <f>IF(B89=0,"",IFERROR(IF(H89&lt;&gt;0,Componentes!$V$11,0),""))</f>
        <v/>
      </c>
      <c r="U89" s="413" t="str">
        <f>IF(B89=0,"",IFERROR(IF(H89&lt;&gt;0,Componentes!$U$11,0),""))</f>
        <v/>
      </c>
      <c r="V89" s="414" t="str">
        <f>IF(B89=0,"",IFERROR(IF(AA89&lt;&gt;0,VLOOKUP(Envoltória!U97,Componentes!X:Z,2,FALSE),0),0))</f>
        <v/>
      </c>
      <c r="W89" s="414" t="str">
        <f>IF(B89=0,"",IFERROR(IF(AA89&lt;&gt;0,Componentes!$AE$11,0),0))</f>
        <v/>
      </c>
      <c r="X89" s="413" t="str">
        <f>IF(B89=0,"",Envoltória!U97)</f>
        <v/>
      </c>
      <c r="Y89" s="413" t="str">
        <f>IF(B89=0,"",VLOOKUP(Início!$C$20,Aux_Lista!A:H,8,FALSE))</f>
        <v/>
      </c>
      <c r="Z89" s="413" t="str">
        <f>IF(B89=0,"",Envoltória!T97)</f>
        <v/>
      </c>
      <c r="AA89" s="416" t="str">
        <f>IF(B89=0,"",Envoltória!Q97/100)</f>
        <v/>
      </c>
      <c r="AB89" s="417" t="str">
        <f>INPUT!AB89</f>
        <v/>
      </c>
      <c r="AC89" s="417" t="str">
        <f>INPUT!AC89</f>
        <v/>
      </c>
      <c r="AD89" s="417" t="str">
        <f>INPUT!AD89</f>
        <v/>
      </c>
      <c r="AE89" s="417" t="str">
        <f>INPUT!AE89</f>
        <v/>
      </c>
      <c r="AF89" s="417" t="str">
        <f>INPUT!AF89</f>
        <v/>
      </c>
      <c r="AG89" s="417" t="str">
        <f>INPUT!AG89</f>
        <v/>
      </c>
      <c r="AH89" s="417" t="str">
        <f>INPUT!AH89</f>
        <v/>
      </c>
      <c r="AI89" s="417" t="str">
        <f>INPUT!AI89</f>
        <v/>
      </c>
      <c r="AJ89" s="417" t="str">
        <f>INPUT!AJ89</f>
        <v/>
      </c>
      <c r="AK89" s="417" t="str">
        <f>INPUT!AK89</f>
        <v/>
      </c>
      <c r="AL89" s="417" t="str">
        <f>INPUT!AL89</f>
        <v/>
      </c>
      <c r="AM89" s="417" t="str">
        <f>INPUT!AM89</f>
        <v/>
      </c>
      <c r="AN89" s="417" t="str">
        <f>INPUT!AN89</f>
        <v/>
      </c>
      <c r="AO89" s="417" t="str">
        <f>INPUT!AO89</f>
        <v/>
      </c>
      <c r="AP89" s="413" t="str">
        <f>IF(B89=0,"",IF(BF89=0,90,VLOOKUP(Envoltória!N97,Componentes!T:AB,9,FALSE)))</f>
        <v/>
      </c>
      <c r="AQ89" s="413" t="str">
        <f>IF(B89=0,"",IF(BF89=0,90,VLOOKUP(Envoltória!N97,Componentes!T:AB,8,FALSE)))</f>
        <v/>
      </c>
      <c r="AR89" s="413" t="str">
        <f t="shared" si="6"/>
        <v/>
      </c>
      <c r="AS89" s="413" t="str">
        <f t="shared" si="6"/>
        <v/>
      </c>
      <c r="AT89" s="413" t="str">
        <f t="shared" si="6"/>
        <v/>
      </c>
      <c r="AU89" s="413" t="str">
        <f t="shared" si="6"/>
        <v/>
      </c>
      <c r="AV89" s="413" t="str">
        <f t="shared" si="6"/>
        <v/>
      </c>
      <c r="AW89" s="414" t="str">
        <f>INPUT!AW89</f>
        <v/>
      </c>
      <c r="AX89" s="414" t="str">
        <f>INPUT!AX89</f>
        <v/>
      </c>
      <c r="AY89" s="414" t="str">
        <f>INPUT!AY89</f>
        <v/>
      </c>
      <c r="AZ89" s="414" t="str">
        <f>INPUT!AZ89</f>
        <v/>
      </c>
      <c r="BA89" s="414" t="str">
        <f>INPUT!BA89</f>
        <v/>
      </c>
      <c r="BB89" s="414" t="str">
        <f>INPUT!BB89</f>
        <v/>
      </c>
      <c r="BC89" s="414" t="str">
        <f>INPUT!BC89</f>
        <v/>
      </c>
      <c r="BD89" s="414" t="str">
        <f>INPUT!BD89</f>
        <v/>
      </c>
      <c r="BE89" s="412" t="str">
        <f t="shared" si="7"/>
        <v/>
      </c>
      <c r="BF89" s="412" t="str">
        <f>IF(B89=0,"",IFERROR(VLOOKUP(Envoltória!F97,INPUT_REF!$BQ$18:$BR$19,2,FALSE),""))</f>
        <v/>
      </c>
      <c r="BG89" s="412" t="str">
        <f>IFERROR(VLOOKUP(Envoltória!$G97,$BQ$35:$BZ$43,BG$9,FALSE),"")</f>
        <v/>
      </c>
      <c r="BH89" s="412" t="str">
        <f>IFERROR(VLOOKUP(Envoltória!$G97,$BQ$35:$BZ$43,BH$9,FALSE),"")</f>
        <v/>
      </c>
      <c r="BI89" s="412" t="str">
        <f>IFERROR(VLOOKUP(Envoltória!$G97,$BQ$35:$BZ$43,BI$9,FALSE),"")</f>
        <v/>
      </c>
      <c r="BJ89" s="412" t="str">
        <f>IFERROR(VLOOKUP(Envoltória!$G97,$BQ$35:$BZ$43,BJ$9,FALSE),"")</f>
        <v/>
      </c>
      <c r="BK89" s="412" t="str">
        <f>IFERROR(VLOOKUP(Envoltória!$G97,$BQ$35:$BZ$43,BK$9,FALSE),"")</f>
        <v/>
      </c>
      <c r="BL89" s="412" t="str">
        <f>IFERROR(VLOOKUP(Envoltória!$G97,$BQ$35:$BZ$43,BL$9,FALSE),"")</f>
        <v/>
      </c>
      <c r="BM89" s="412" t="str">
        <f>IFERROR(VLOOKUP(Envoltória!$G97,$BQ$35:$BZ$43,BM$9,FALSE),"")</f>
        <v/>
      </c>
      <c r="BN89" s="412" t="str">
        <f>IFERROR(VLOOKUP(Envoltória!$G97,$BQ$35:$BZ$43,BN$9,FALSE),"")</f>
        <v/>
      </c>
      <c r="BO89" s="412" t="str">
        <f>IFERROR(VLOOKUP(Envoltória!$G97,$BQ$35:$BZ$43,BO$9,FALSE),"")</f>
        <v/>
      </c>
    </row>
    <row r="90" spans="1:67" x14ac:dyDescent="0.25">
      <c r="A90" s="1">
        <v>80</v>
      </c>
      <c r="B90" s="409">
        <f>Envoltória!I98</f>
        <v>0</v>
      </c>
      <c r="C90" s="410">
        <f>Envoltória!B98</f>
        <v>0</v>
      </c>
      <c r="D90" s="410">
        <f>Envoltória!C98</f>
        <v>0</v>
      </c>
      <c r="E90" s="411">
        <f>Envoltória!D98</f>
        <v>0</v>
      </c>
      <c r="F90" s="412" t="str">
        <f>IF(B90=0,"",Envoltória!E98)</f>
        <v/>
      </c>
      <c r="G90" s="412" t="str">
        <f t="shared" si="5"/>
        <v/>
      </c>
      <c r="H90" s="413" t="str">
        <f>IF(B90=0,"",IF(Envoltória!O98=0,0,VLOOKUP(B90,Aux_Lista!A:M,13,FALSE)))</f>
        <v/>
      </c>
      <c r="I90" s="413" t="str">
        <f>IF(B90=0,"",IF(BF90=1,VLOOKUP(Envoltória!N98,Componentes!T:AB,7,FALSE),89))</f>
        <v/>
      </c>
      <c r="J90" s="414" t="str">
        <f>IF(B90=0,"",Componentes!$Q$10)</f>
        <v/>
      </c>
      <c r="K90" s="414" t="str">
        <f>IF(B90=0,"",Componentes!$R$10)</f>
        <v/>
      </c>
      <c r="L90" s="413" t="str">
        <f>IF(B90=0,"",IFERROR(IF(BB90&lt;&gt;0,Componentes!$L$11,0),""))</f>
        <v/>
      </c>
      <c r="M90" s="413" t="str">
        <f>IF(B90=0,"",IFERROR(IF(BB90&lt;&gt;0,Componentes!$M$11,0),""))</f>
        <v/>
      </c>
      <c r="N90" s="415" t="str">
        <f>IF(B90=0,"",IFERROR(IF(BB90&lt;&gt;0,Componentes!$N$11,0),""))</f>
        <v/>
      </c>
      <c r="O90" s="413" t="str">
        <f>IF(B90=0,"",IF(BF90=1,Componentes!$C$11,-6))</f>
        <v/>
      </c>
      <c r="P90" s="413" t="str">
        <f>IF(B90=0,"",IF(BF90=1,Componentes!$D$11,-400))</f>
        <v/>
      </c>
      <c r="Q90" s="413" t="str">
        <f>IF(B90=0,"",IF(BF90=1,Componentes!$E$11,0))</f>
        <v/>
      </c>
      <c r="R90" s="414" t="str">
        <f>IF(B90=0,"",Componentes!$H$11)</f>
        <v/>
      </c>
      <c r="S90" s="414" t="str">
        <f>IF(B90=0,"",Componentes!$I$11)</f>
        <v/>
      </c>
      <c r="T90" s="413" t="str">
        <f>IF(B90=0,"",IFERROR(IF(H90&lt;&gt;0,Componentes!$V$11,0),""))</f>
        <v/>
      </c>
      <c r="U90" s="413" t="str">
        <f>IF(B90=0,"",IFERROR(IF(H90&lt;&gt;0,Componentes!$U$11,0),""))</f>
        <v/>
      </c>
      <c r="V90" s="414" t="str">
        <f>IF(B90=0,"",IFERROR(IF(AA90&lt;&gt;0,VLOOKUP(Envoltória!U98,Componentes!X:Z,2,FALSE),0),0))</f>
        <v/>
      </c>
      <c r="W90" s="414" t="str">
        <f>IF(B90=0,"",IFERROR(IF(AA90&lt;&gt;0,Componentes!$AE$11,0),0))</f>
        <v/>
      </c>
      <c r="X90" s="413" t="str">
        <f>IF(B90=0,"",Envoltória!U98)</f>
        <v/>
      </c>
      <c r="Y90" s="413" t="str">
        <f>IF(B90=0,"",VLOOKUP(Início!$C$20,Aux_Lista!A:H,8,FALSE))</f>
        <v/>
      </c>
      <c r="Z90" s="413" t="str">
        <f>IF(B90=0,"",Envoltória!T98)</f>
        <v/>
      </c>
      <c r="AA90" s="416" t="str">
        <f>IF(B90=0,"",Envoltória!Q98/100)</f>
        <v/>
      </c>
      <c r="AB90" s="417" t="str">
        <f>INPUT!AB90</f>
        <v/>
      </c>
      <c r="AC90" s="417" t="str">
        <f>INPUT!AC90</f>
        <v/>
      </c>
      <c r="AD90" s="417" t="str">
        <f>INPUT!AD90</f>
        <v/>
      </c>
      <c r="AE90" s="417" t="str">
        <f>INPUT!AE90</f>
        <v/>
      </c>
      <c r="AF90" s="417" t="str">
        <f>INPUT!AF90</f>
        <v/>
      </c>
      <c r="AG90" s="417" t="str">
        <f>INPUT!AG90</f>
        <v/>
      </c>
      <c r="AH90" s="417" t="str">
        <f>INPUT!AH90</f>
        <v/>
      </c>
      <c r="AI90" s="417" t="str">
        <f>INPUT!AI90</f>
        <v/>
      </c>
      <c r="AJ90" s="417" t="str">
        <f>INPUT!AJ90</f>
        <v/>
      </c>
      <c r="AK90" s="417" t="str">
        <f>INPUT!AK90</f>
        <v/>
      </c>
      <c r="AL90" s="417" t="str">
        <f>INPUT!AL90</f>
        <v/>
      </c>
      <c r="AM90" s="417" t="str">
        <f>INPUT!AM90</f>
        <v/>
      </c>
      <c r="AN90" s="417" t="str">
        <f>INPUT!AN90</f>
        <v/>
      </c>
      <c r="AO90" s="417" t="str">
        <f>INPUT!AO90</f>
        <v/>
      </c>
      <c r="AP90" s="413" t="str">
        <f>IF(B90=0,"",IF(BF90=0,90,VLOOKUP(Envoltória!N98,Componentes!T:AB,9,FALSE)))</f>
        <v/>
      </c>
      <c r="AQ90" s="413" t="str">
        <f>IF(B90=0,"",IF(BF90=0,90,VLOOKUP(Envoltória!N98,Componentes!T:AB,8,FALSE)))</f>
        <v/>
      </c>
      <c r="AR90" s="413" t="str">
        <f t="shared" si="6"/>
        <v/>
      </c>
      <c r="AS90" s="413" t="str">
        <f t="shared" si="6"/>
        <v/>
      </c>
      <c r="AT90" s="413" t="str">
        <f t="shared" si="6"/>
        <v/>
      </c>
      <c r="AU90" s="413" t="str">
        <f t="shared" si="6"/>
        <v/>
      </c>
      <c r="AV90" s="413" t="str">
        <f t="shared" si="6"/>
        <v/>
      </c>
      <c r="AW90" s="414" t="str">
        <f>INPUT!AW90</f>
        <v/>
      </c>
      <c r="AX90" s="414" t="str">
        <f>INPUT!AX90</f>
        <v/>
      </c>
      <c r="AY90" s="414" t="str">
        <f>INPUT!AY90</f>
        <v/>
      </c>
      <c r="AZ90" s="414" t="str">
        <f>INPUT!AZ90</f>
        <v/>
      </c>
      <c r="BA90" s="414" t="str">
        <f>INPUT!BA90</f>
        <v/>
      </c>
      <c r="BB90" s="414" t="str">
        <f>INPUT!BB90</f>
        <v/>
      </c>
      <c r="BC90" s="414" t="str">
        <f>INPUT!BC90</f>
        <v/>
      </c>
      <c r="BD90" s="414" t="str">
        <f>INPUT!BD90</f>
        <v/>
      </c>
      <c r="BE90" s="412" t="str">
        <f t="shared" si="7"/>
        <v/>
      </c>
      <c r="BF90" s="412" t="str">
        <f>IF(B90=0,"",IFERROR(VLOOKUP(Envoltória!F98,INPUT_REF!$BQ$18:$BR$19,2,FALSE),""))</f>
        <v/>
      </c>
      <c r="BG90" s="412" t="str">
        <f>IFERROR(VLOOKUP(Envoltória!$G98,$BQ$35:$BZ$43,BG$9,FALSE),"")</f>
        <v/>
      </c>
      <c r="BH90" s="412" t="str">
        <f>IFERROR(VLOOKUP(Envoltória!$G98,$BQ$35:$BZ$43,BH$9,FALSE),"")</f>
        <v/>
      </c>
      <c r="BI90" s="412" t="str">
        <f>IFERROR(VLOOKUP(Envoltória!$G98,$BQ$35:$BZ$43,BI$9,FALSE),"")</f>
        <v/>
      </c>
      <c r="BJ90" s="412" t="str">
        <f>IFERROR(VLOOKUP(Envoltória!$G98,$BQ$35:$BZ$43,BJ$9,FALSE),"")</f>
        <v/>
      </c>
      <c r="BK90" s="412" t="str">
        <f>IFERROR(VLOOKUP(Envoltória!$G98,$BQ$35:$BZ$43,BK$9,FALSE),"")</f>
        <v/>
      </c>
      <c r="BL90" s="412" t="str">
        <f>IFERROR(VLOOKUP(Envoltória!$G98,$BQ$35:$BZ$43,BL$9,FALSE),"")</f>
        <v/>
      </c>
      <c r="BM90" s="412" t="str">
        <f>IFERROR(VLOOKUP(Envoltória!$G98,$BQ$35:$BZ$43,BM$9,FALSE),"")</f>
        <v/>
      </c>
      <c r="BN90" s="412" t="str">
        <f>IFERROR(VLOOKUP(Envoltória!$G98,$BQ$35:$BZ$43,BN$9,FALSE),"")</f>
        <v/>
      </c>
      <c r="BO90" s="412" t="str">
        <f>IFERROR(VLOOKUP(Envoltória!$G98,$BQ$35:$BZ$43,BO$9,FALSE),"")</f>
        <v/>
      </c>
    </row>
    <row r="91" spans="1:67" x14ac:dyDescent="0.25">
      <c r="A91" s="1">
        <v>81</v>
      </c>
      <c r="B91" s="409">
        <f>Envoltória!I99</f>
        <v>0</v>
      </c>
      <c r="C91" s="410">
        <f>Envoltória!B99</f>
        <v>0</v>
      </c>
      <c r="D91" s="410">
        <f>Envoltória!C99</f>
        <v>0</v>
      </c>
      <c r="E91" s="411">
        <f>Envoltória!D99</f>
        <v>0</v>
      </c>
      <c r="F91" s="412" t="str">
        <f>IF(B91=0,"",Envoltória!E99)</f>
        <v/>
      </c>
      <c r="G91" s="412" t="str">
        <f t="shared" si="5"/>
        <v/>
      </c>
      <c r="H91" s="413" t="str">
        <f>IF(B91=0,"",IF(Envoltória!O99=0,0,VLOOKUP(B91,Aux_Lista!A:M,13,FALSE)))</f>
        <v/>
      </c>
      <c r="I91" s="413" t="str">
        <f>IF(B91=0,"",IF(BF91=1,VLOOKUP(Envoltória!N99,Componentes!T:AB,7,FALSE),89))</f>
        <v/>
      </c>
      <c r="J91" s="414" t="str">
        <f>IF(B91=0,"",Componentes!$Q$10)</f>
        <v/>
      </c>
      <c r="K91" s="414" t="str">
        <f>IF(B91=0,"",Componentes!$R$10)</f>
        <v/>
      </c>
      <c r="L91" s="413" t="str">
        <f>IF(B91=0,"",IFERROR(IF(BB91&lt;&gt;0,Componentes!$L$11,0),""))</f>
        <v/>
      </c>
      <c r="M91" s="413" t="str">
        <f>IF(B91=0,"",IFERROR(IF(BB91&lt;&gt;0,Componentes!$M$11,0),""))</f>
        <v/>
      </c>
      <c r="N91" s="415" t="str">
        <f>IF(B91=0,"",IFERROR(IF(BB91&lt;&gt;0,Componentes!$N$11,0),""))</f>
        <v/>
      </c>
      <c r="O91" s="413" t="str">
        <f>IF(B91=0,"",IF(BF91=1,Componentes!$C$11,-6))</f>
        <v/>
      </c>
      <c r="P91" s="413" t="str">
        <f>IF(B91=0,"",IF(BF91=1,Componentes!$D$11,-400))</f>
        <v/>
      </c>
      <c r="Q91" s="413" t="str">
        <f>IF(B91=0,"",IF(BF91=1,Componentes!$E$11,0))</f>
        <v/>
      </c>
      <c r="R91" s="414" t="str">
        <f>IF(B91=0,"",Componentes!$H$11)</f>
        <v/>
      </c>
      <c r="S91" s="414" t="str">
        <f>IF(B91=0,"",Componentes!$I$11)</f>
        <v/>
      </c>
      <c r="T91" s="413" t="str">
        <f>IF(B91=0,"",IFERROR(IF(H91&lt;&gt;0,Componentes!$V$11,0),""))</f>
        <v/>
      </c>
      <c r="U91" s="413" t="str">
        <f>IF(B91=0,"",IFERROR(IF(H91&lt;&gt;0,Componentes!$U$11,0),""))</f>
        <v/>
      </c>
      <c r="V91" s="414" t="str">
        <f>IF(B91=0,"",IFERROR(IF(AA91&lt;&gt;0,VLOOKUP(Envoltória!U99,Componentes!X:Z,2,FALSE),0),0))</f>
        <v/>
      </c>
      <c r="W91" s="414" t="str">
        <f>IF(B91=0,"",IFERROR(IF(AA91&lt;&gt;0,Componentes!$AE$11,0),0))</f>
        <v/>
      </c>
      <c r="X91" s="413" t="str">
        <f>IF(B91=0,"",Envoltória!U99)</f>
        <v/>
      </c>
      <c r="Y91" s="413" t="str">
        <f>IF(B91=0,"",VLOOKUP(Início!$C$20,Aux_Lista!A:H,8,FALSE))</f>
        <v/>
      </c>
      <c r="Z91" s="413" t="str">
        <f>IF(B91=0,"",Envoltória!T99)</f>
        <v/>
      </c>
      <c r="AA91" s="416" t="str">
        <f>IF(B91=0,"",Envoltória!Q99/100)</f>
        <v/>
      </c>
      <c r="AB91" s="417" t="str">
        <f>INPUT!AB91</f>
        <v/>
      </c>
      <c r="AC91" s="417" t="str">
        <f>INPUT!AC91</f>
        <v/>
      </c>
      <c r="AD91" s="417" t="str">
        <f>INPUT!AD91</f>
        <v/>
      </c>
      <c r="AE91" s="417" t="str">
        <f>INPUT!AE91</f>
        <v/>
      </c>
      <c r="AF91" s="417" t="str">
        <f>INPUT!AF91</f>
        <v/>
      </c>
      <c r="AG91" s="417" t="str">
        <f>INPUT!AG91</f>
        <v/>
      </c>
      <c r="AH91" s="417" t="str">
        <f>INPUT!AH91</f>
        <v/>
      </c>
      <c r="AI91" s="417" t="str">
        <f>INPUT!AI91</f>
        <v/>
      </c>
      <c r="AJ91" s="417" t="str">
        <f>INPUT!AJ91</f>
        <v/>
      </c>
      <c r="AK91" s="417" t="str">
        <f>INPUT!AK91</f>
        <v/>
      </c>
      <c r="AL91" s="417" t="str">
        <f>INPUT!AL91</f>
        <v/>
      </c>
      <c r="AM91" s="417" t="str">
        <f>INPUT!AM91</f>
        <v/>
      </c>
      <c r="AN91" s="417" t="str">
        <f>INPUT!AN91</f>
        <v/>
      </c>
      <c r="AO91" s="417" t="str">
        <f>INPUT!AO91</f>
        <v/>
      </c>
      <c r="AP91" s="413" t="str">
        <f>IF(B91=0,"",IF(BF91=0,90,VLOOKUP(Envoltória!N99,Componentes!T:AB,9,FALSE)))</f>
        <v/>
      </c>
      <c r="AQ91" s="413" t="str">
        <f>IF(B91=0,"",IF(BF91=0,90,VLOOKUP(Envoltória!N99,Componentes!T:AB,8,FALSE)))</f>
        <v/>
      </c>
      <c r="AR91" s="413" t="str">
        <f t="shared" si="6"/>
        <v/>
      </c>
      <c r="AS91" s="413" t="str">
        <f t="shared" si="6"/>
        <v/>
      </c>
      <c r="AT91" s="413" t="str">
        <f t="shared" si="6"/>
        <v/>
      </c>
      <c r="AU91" s="413" t="str">
        <f t="shared" si="6"/>
        <v/>
      </c>
      <c r="AV91" s="413" t="str">
        <f t="shared" si="6"/>
        <v/>
      </c>
      <c r="AW91" s="414" t="str">
        <f>INPUT!AW91</f>
        <v/>
      </c>
      <c r="AX91" s="414" t="str">
        <f>INPUT!AX91</f>
        <v/>
      </c>
      <c r="AY91" s="414" t="str">
        <f>INPUT!AY91</f>
        <v/>
      </c>
      <c r="AZ91" s="414" t="str">
        <f>INPUT!AZ91</f>
        <v/>
      </c>
      <c r="BA91" s="414" t="str">
        <f>INPUT!BA91</f>
        <v/>
      </c>
      <c r="BB91" s="414" t="str">
        <f>INPUT!BB91</f>
        <v/>
      </c>
      <c r="BC91" s="414" t="str">
        <f>INPUT!BC91</f>
        <v/>
      </c>
      <c r="BD91" s="414" t="str">
        <f>INPUT!BD91</f>
        <v/>
      </c>
      <c r="BE91" s="412" t="str">
        <f t="shared" si="7"/>
        <v/>
      </c>
      <c r="BF91" s="412" t="str">
        <f>IF(B91=0,"",IFERROR(VLOOKUP(Envoltória!F99,INPUT_REF!$BQ$18:$BR$19,2,FALSE),""))</f>
        <v/>
      </c>
      <c r="BG91" s="412" t="str">
        <f>IFERROR(VLOOKUP(Envoltória!$G99,$BQ$35:$BZ$43,BG$9,FALSE),"")</f>
        <v/>
      </c>
      <c r="BH91" s="412" t="str">
        <f>IFERROR(VLOOKUP(Envoltória!$G99,$BQ$35:$BZ$43,BH$9,FALSE),"")</f>
        <v/>
      </c>
      <c r="BI91" s="412" t="str">
        <f>IFERROR(VLOOKUP(Envoltória!$G99,$BQ$35:$BZ$43,BI$9,FALSE),"")</f>
        <v/>
      </c>
      <c r="BJ91" s="412" t="str">
        <f>IFERROR(VLOOKUP(Envoltória!$G99,$BQ$35:$BZ$43,BJ$9,FALSE),"")</f>
        <v/>
      </c>
      <c r="BK91" s="412" t="str">
        <f>IFERROR(VLOOKUP(Envoltória!$G99,$BQ$35:$BZ$43,BK$9,FALSE),"")</f>
        <v/>
      </c>
      <c r="BL91" s="412" t="str">
        <f>IFERROR(VLOOKUP(Envoltória!$G99,$BQ$35:$BZ$43,BL$9,FALSE),"")</f>
        <v/>
      </c>
      <c r="BM91" s="412" t="str">
        <f>IFERROR(VLOOKUP(Envoltória!$G99,$BQ$35:$BZ$43,BM$9,FALSE),"")</f>
        <v/>
      </c>
      <c r="BN91" s="412" t="str">
        <f>IFERROR(VLOOKUP(Envoltória!$G99,$BQ$35:$BZ$43,BN$9,FALSE),"")</f>
        <v/>
      </c>
      <c r="BO91" s="412" t="str">
        <f>IFERROR(VLOOKUP(Envoltória!$G99,$BQ$35:$BZ$43,BO$9,FALSE),"")</f>
        <v/>
      </c>
    </row>
    <row r="92" spans="1:67" x14ac:dyDescent="0.25">
      <c r="A92" s="1">
        <v>82</v>
      </c>
      <c r="B92" s="409">
        <f>Envoltória!I100</f>
        <v>0</v>
      </c>
      <c r="C92" s="410">
        <f>Envoltória!B100</f>
        <v>0</v>
      </c>
      <c r="D92" s="410">
        <f>Envoltória!C100</f>
        <v>0</v>
      </c>
      <c r="E92" s="411">
        <f>Envoltória!D100</f>
        <v>0</v>
      </c>
      <c r="F92" s="412" t="str">
        <f>IF(B92=0,"",Envoltória!E100)</f>
        <v/>
      </c>
      <c r="G92" s="412" t="str">
        <f t="shared" si="5"/>
        <v/>
      </c>
      <c r="H92" s="413" t="str">
        <f>IF(B92=0,"",IF(Envoltória!O100=0,0,VLOOKUP(B92,Aux_Lista!A:M,13,FALSE)))</f>
        <v/>
      </c>
      <c r="I92" s="413" t="str">
        <f>IF(B92=0,"",IF(BF92=1,VLOOKUP(Envoltória!N100,Componentes!T:AB,7,FALSE),89))</f>
        <v/>
      </c>
      <c r="J92" s="414" t="str">
        <f>IF(B92=0,"",Componentes!$Q$10)</f>
        <v/>
      </c>
      <c r="K92" s="414" t="str">
        <f>IF(B92=0,"",Componentes!$R$10)</f>
        <v/>
      </c>
      <c r="L92" s="413" t="str">
        <f>IF(B92=0,"",IFERROR(IF(BB92&lt;&gt;0,Componentes!$L$11,0),""))</f>
        <v/>
      </c>
      <c r="M92" s="413" t="str">
        <f>IF(B92=0,"",IFERROR(IF(BB92&lt;&gt;0,Componentes!$M$11,0),""))</f>
        <v/>
      </c>
      <c r="N92" s="415" t="str">
        <f>IF(B92=0,"",IFERROR(IF(BB92&lt;&gt;0,Componentes!$N$11,0),""))</f>
        <v/>
      </c>
      <c r="O92" s="413" t="str">
        <f>IF(B92=0,"",IF(BF92=1,Componentes!$C$11,-6))</f>
        <v/>
      </c>
      <c r="P92" s="413" t="str">
        <f>IF(B92=0,"",IF(BF92=1,Componentes!$D$11,-400))</f>
        <v/>
      </c>
      <c r="Q92" s="413" t="str">
        <f>IF(B92=0,"",IF(BF92=1,Componentes!$E$11,0))</f>
        <v/>
      </c>
      <c r="R92" s="414" t="str">
        <f>IF(B92=0,"",Componentes!$H$11)</f>
        <v/>
      </c>
      <c r="S92" s="414" t="str">
        <f>IF(B92=0,"",Componentes!$I$11)</f>
        <v/>
      </c>
      <c r="T92" s="413" t="str">
        <f>IF(B92=0,"",IFERROR(IF(H92&lt;&gt;0,Componentes!$V$11,0),""))</f>
        <v/>
      </c>
      <c r="U92" s="413" t="str">
        <f>IF(B92=0,"",IFERROR(IF(H92&lt;&gt;0,Componentes!$U$11,0),""))</f>
        <v/>
      </c>
      <c r="V92" s="414" t="str">
        <f>IF(B92=0,"",IFERROR(IF(AA92&lt;&gt;0,VLOOKUP(Envoltória!U100,Componentes!X:Z,2,FALSE),0),0))</f>
        <v/>
      </c>
      <c r="W92" s="414" t="str">
        <f>IF(B92=0,"",IFERROR(IF(AA92&lt;&gt;0,Componentes!$AE$11,0),0))</f>
        <v/>
      </c>
      <c r="X92" s="413" t="str">
        <f>IF(B92=0,"",Envoltória!U100)</f>
        <v/>
      </c>
      <c r="Y92" s="413" t="str">
        <f>IF(B92=0,"",VLOOKUP(Início!$C$20,Aux_Lista!A:H,8,FALSE))</f>
        <v/>
      </c>
      <c r="Z92" s="413" t="str">
        <f>IF(B92=0,"",Envoltória!T100)</f>
        <v/>
      </c>
      <c r="AA92" s="416" t="str">
        <f>IF(B92=0,"",Envoltória!Q100/100)</f>
        <v/>
      </c>
      <c r="AB92" s="417" t="str">
        <f>INPUT!AB92</f>
        <v/>
      </c>
      <c r="AC92" s="417" t="str">
        <f>INPUT!AC92</f>
        <v/>
      </c>
      <c r="AD92" s="417" t="str">
        <f>INPUT!AD92</f>
        <v/>
      </c>
      <c r="AE92" s="417" t="str">
        <f>INPUT!AE92</f>
        <v/>
      </c>
      <c r="AF92" s="417" t="str">
        <f>INPUT!AF92</f>
        <v/>
      </c>
      <c r="AG92" s="417" t="str">
        <f>INPUT!AG92</f>
        <v/>
      </c>
      <c r="AH92" s="417" t="str">
        <f>INPUT!AH92</f>
        <v/>
      </c>
      <c r="AI92" s="417" t="str">
        <f>INPUT!AI92</f>
        <v/>
      </c>
      <c r="AJ92" s="417" t="str">
        <f>INPUT!AJ92</f>
        <v/>
      </c>
      <c r="AK92" s="417" t="str">
        <f>INPUT!AK92</f>
        <v/>
      </c>
      <c r="AL92" s="417" t="str">
        <f>INPUT!AL92</f>
        <v/>
      </c>
      <c r="AM92" s="417" t="str">
        <f>INPUT!AM92</f>
        <v/>
      </c>
      <c r="AN92" s="417" t="str">
        <f>INPUT!AN92</f>
        <v/>
      </c>
      <c r="AO92" s="417" t="str">
        <f>INPUT!AO92</f>
        <v/>
      </c>
      <c r="AP92" s="413" t="str">
        <f>IF(B92=0,"",IF(BF92=0,90,VLOOKUP(Envoltória!N100,Componentes!T:AB,9,FALSE)))</f>
        <v/>
      </c>
      <c r="AQ92" s="413" t="str">
        <f>IF(B92=0,"",IF(BF92=0,90,VLOOKUP(Envoltória!N100,Componentes!T:AB,8,FALSE)))</f>
        <v/>
      </c>
      <c r="AR92" s="413" t="str">
        <f t="shared" si="6"/>
        <v/>
      </c>
      <c r="AS92" s="413" t="str">
        <f t="shared" si="6"/>
        <v/>
      </c>
      <c r="AT92" s="413" t="str">
        <f t="shared" si="6"/>
        <v/>
      </c>
      <c r="AU92" s="413" t="str">
        <f t="shared" si="6"/>
        <v/>
      </c>
      <c r="AV92" s="413" t="str">
        <f t="shared" si="6"/>
        <v/>
      </c>
      <c r="AW92" s="414" t="str">
        <f>INPUT!AW92</f>
        <v/>
      </c>
      <c r="AX92" s="414" t="str">
        <f>INPUT!AX92</f>
        <v/>
      </c>
      <c r="AY92" s="414" t="str">
        <f>INPUT!AY92</f>
        <v/>
      </c>
      <c r="AZ92" s="414" t="str">
        <f>INPUT!AZ92</f>
        <v/>
      </c>
      <c r="BA92" s="414" t="str">
        <f>INPUT!BA92</f>
        <v/>
      </c>
      <c r="BB92" s="414" t="str">
        <f>INPUT!BB92</f>
        <v/>
      </c>
      <c r="BC92" s="414" t="str">
        <f>INPUT!BC92</f>
        <v/>
      </c>
      <c r="BD92" s="414" t="str">
        <f>INPUT!BD92</f>
        <v/>
      </c>
      <c r="BE92" s="412" t="str">
        <f t="shared" si="7"/>
        <v/>
      </c>
      <c r="BF92" s="412" t="str">
        <f>IF(B92=0,"",IFERROR(VLOOKUP(Envoltória!F100,INPUT_REF!$BQ$18:$BR$19,2,FALSE),""))</f>
        <v/>
      </c>
      <c r="BG92" s="412" t="str">
        <f>IFERROR(VLOOKUP(Envoltória!$G100,$BQ$35:$BZ$43,BG$9,FALSE),"")</f>
        <v/>
      </c>
      <c r="BH92" s="412" t="str">
        <f>IFERROR(VLOOKUP(Envoltória!$G100,$BQ$35:$BZ$43,BH$9,FALSE),"")</f>
        <v/>
      </c>
      <c r="BI92" s="412" t="str">
        <f>IFERROR(VLOOKUP(Envoltória!$G100,$BQ$35:$BZ$43,BI$9,FALSE),"")</f>
        <v/>
      </c>
      <c r="BJ92" s="412" t="str">
        <f>IFERROR(VLOOKUP(Envoltória!$G100,$BQ$35:$BZ$43,BJ$9,FALSE),"")</f>
        <v/>
      </c>
      <c r="BK92" s="412" t="str">
        <f>IFERROR(VLOOKUP(Envoltória!$G100,$BQ$35:$BZ$43,BK$9,FALSE),"")</f>
        <v/>
      </c>
      <c r="BL92" s="412" t="str">
        <f>IFERROR(VLOOKUP(Envoltória!$G100,$BQ$35:$BZ$43,BL$9,FALSE),"")</f>
        <v/>
      </c>
      <c r="BM92" s="412" t="str">
        <f>IFERROR(VLOOKUP(Envoltória!$G100,$BQ$35:$BZ$43,BM$9,FALSE),"")</f>
        <v/>
      </c>
      <c r="BN92" s="412" t="str">
        <f>IFERROR(VLOOKUP(Envoltória!$G100,$BQ$35:$BZ$43,BN$9,FALSE),"")</f>
        <v/>
      </c>
      <c r="BO92" s="412" t="str">
        <f>IFERROR(VLOOKUP(Envoltória!$G100,$BQ$35:$BZ$43,BO$9,FALSE),"")</f>
        <v/>
      </c>
    </row>
    <row r="93" spans="1:67" x14ac:dyDescent="0.25">
      <c r="A93" s="1">
        <v>83</v>
      </c>
      <c r="B93" s="409">
        <f>Envoltória!I101</f>
        <v>0</v>
      </c>
      <c r="C93" s="410">
        <f>Envoltória!B101</f>
        <v>0</v>
      </c>
      <c r="D93" s="410">
        <f>Envoltória!C101</f>
        <v>0</v>
      </c>
      <c r="E93" s="411">
        <f>Envoltória!D101</f>
        <v>0</v>
      </c>
      <c r="F93" s="412" t="str">
        <f>IF(B93=0,"",Envoltória!E101)</f>
        <v/>
      </c>
      <c r="G93" s="412" t="str">
        <f t="shared" si="5"/>
        <v/>
      </c>
      <c r="H93" s="413" t="str">
        <f>IF(B93=0,"",IF(Envoltória!O101=0,0,VLOOKUP(B93,Aux_Lista!A:M,13,FALSE)))</f>
        <v/>
      </c>
      <c r="I93" s="413" t="str">
        <f>IF(B93=0,"",IF(BF93=1,VLOOKUP(Envoltória!N101,Componentes!T:AB,7,FALSE),89))</f>
        <v/>
      </c>
      <c r="J93" s="414" t="str">
        <f>IF(B93=0,"",Componentes!$Q$10)</f>
        <v/>
      </c>
      <c r="K93" s="414" t="str">
        <f>IF(B93=0,"",Componentes!$R$10)</f>
        <v/>
      </c>
      <c r="L93" s="413" t="str">
        <f>IF(B93=0,"",IFERROR(IF(BB93&lt;&gt;0,Componentes!$L$11,0),""))</f>
        <v/>
      </c>
      <c r="M93" s="413" t="str">
        <f>IF(B93=0,"",IFERROR(IF(BB93&lt;&gt;0,Componentes!$M$11,0),""))</f>
        <v/>
      </c>
      <c r="N93" s="415" t="str">
        <f>IF(B93=0,"",IFERROR(IF(BB93&lt;&gt;0,Componentes!$N$11,0),""))</f>
        <v/>
      </c>
      <c r="O93" s="413" t="str">
        <f>IF(B93=0,"",IF(BF93=1,Componentes!$C$11,-6))</f>
        <v/>
      </c>
      <c r="P93" s="413" t="str">
        <f>IF(B93=0,"",IF(BF93=1,Componentes!$D$11,-400))</f>
        <v/>
      </c>
      <c r="Q93" s="413" t="str">
        <f>IF(B93=0,"",IF(BF93=1,Componentes!$E$11,0))</f>
        <v/>
      </c>
      <c r="R93" s="414" t="str">
        <f>IF(B93=0,"",Componentes!$H$11)</f>
        <v/>
      </c>
      <c r="S93" s="414" t="str">
        <f>IF(B93=0,"",Componentes!$I$11)</f>
        <v/>
      </c>
      <c r="T93" s="413" t="str">
        <f>IF(B93=0,"",IFERROR(IF(H93&lt;&gt;0,Componentes!$V$11,0),""))</f>
        <v/>
      </c>
      <c r="U93" s="413" t="str">
        <f>IF(B93=0,"",IFERROR(IF(H93&lt;&gt;0,Componentes!$U$11,0),""))</f>
        <v/>
      </c>
      <c r="V93" s="414" t="str">
        <f>IF(B93=0,"",IFERROR(IF(AA93&lt;&gt;0,VLOOKUP(Envoltória!U101,Componentes!X:Z,2,FALSE),0),0))</f>
        <v/>
      </c>
      <c r="W93" s="414" t="str">
        <f>IF(B93=0,"",IFERROR(IF(AA93&lt;&gt;0,Componentes!$AE$11,0),0))</f>
        <v/>
      </c>
      <c r="X93" s="413" t="str">
        <f>IF(B93=0,"",Envoltória!U101)</f>
        <v/>
      </c>
      <c r="Y93" s="413" t="str">
        <f>IF(B93=0,"",VLOOKUP(Início!$C$20,Aux_Lista!A:H,8,FALSE))</f>
        <v/>
      </c>
      <c r="Z93" s="413" t="str">
        <f>IF(B93=0,"",Envoltória!T101)</f>
        <v/>
      </c>
      <c r="AA93" s="416" t="str">
        <f>IF(B93=0,"",Envoltória!Q101/100)</f>
        <v/>
      </c>
      <c r="AB93" s="417" t="str">
        <f>INPUT!AB93</f>
        <v/>
      </c>
      <c r="AC93" s="417" t="str">
        <f>INPUT!AC93</f>
        <v/>
      </c>
      <c r="AD93" s="417" t="str">
        <f>INPUT!AD93</f>
        <v/>
      </c>
      <c r="AE93" s="417" t="str">
        <f>INPUT!AE93</f>
        <v/>
      </c>
      <c r="AF93" s="417" t="str">
        <f>INPUT!AF93</f>
        <v/>
      </c>
      <c r="AG93" s="417" t="str">
        <f>INPUT!AG93</f>
        <v/>
      </c>
      <c r="AH93" s="417" t="str">
        <f>INPUT!AH93</f>
        <v/>
      </c>
      <c r="AI93" s="417" t="str">
        <f>INPUT!AI93</f>
        <v/>
      </c>
      <c r="AJ93" s="417" t="str">
        <f>INPUT!AJ93</f>
        <v/>
      </c>
      <c r="AK93" s="417" t="str">
        <f>INPUT!AK93</f>
        <v/>
      </c>
      <c r="AL93" s="417" t="str">
        <f>INPUT!AL93</f>
        <v/>
      </c>
      <c r="AM93" s="417" t="str">
        <f>INPUT!AM93</f>
        <v/>
      </c>
      <c r="AN93" s="417" t="str">
        <f>INPUT!AN93</f>
        <v/>
      </c>
      <c r="AO93" s="417" t="str">
        <f>INPUT!AO93</f>
        <v/>
      </c>
      <c r="AP93" s="413" t="str">
        <f>IF(B93=0,"",IF(BF93=0,90,VLOOKUP(Envoltória!N101,Componentes!T:AB,9,FALSE)))</f>
        <v/>
      </c>
      <c r="AQ93" s="413" t="str">
        <f>IF(B93=0,"",IF(BF93=0,90,VLOOKUP(Envoltória!N101,Componentes!T:AB,8,FALSE)))</f>
        <v/>
      </c>
      <c r="AR93" s="413" t="str">
        <f t="shared" si="6"/>
        <v/>
      </c>
      <c r="AS93" s="413" t="str">
        <f t="shared" si="6"/>
        <v/>
      </c>
      <c r="AT93" s="413" t="str">
        <f t="shared" si="6"/>
        <v/>
      </c>
      <c r="AU93" s="413" t="str">
        <f t="shared" si="6"/>
        <v/>
      </c>
      <c r="AV93" s="413" t="str">
        <f t="shared" si="6"/>
        <v/>
      </c>
      <c r="AW93" s="414" t="str">
        <f>INPUT!AW93</f>
        <v/>
      </c>
      <c r="AX93" s="414" t="str">
        <f>INPUT!AX93</f>
        <v/>
      </c>
      <c r="AY93" s="414" t="str">
        <f>INPUT!AY93</f>
        <v/>
      </c>
      <c r="AZ93" s="414" t="str">
        <f>INPUT!AZ93</f>
        <v/>
      </c>
      <c r="BA93" s="414" t="str">
        <f>INPUT!BA93</f>
        <v/>
      </c>
      <c r="BB93" s="414" t="str">
        <f>INPUT!BB93</f>
        <v/>
      </c>
      <c r="BC93" s="414" t="str">
        <f>INPUT!BC93</f>
        <v/>
      </c>
      <c r="BD93" s="414" t="str">
        <f>INPUT!BD93</f>
        <v/>
      </c>
      <c r="BE93" s="412" t="str">
        <f t="shared" si="7"/>
        <v/>
      </c>
      <c r="BF93" s="412" t="str">
        <f>IF(B93=0,"",IFERROR(VLOOKUP(Envoltória!F101,INPUT_REF!$BQ$18:$BR$19,2,FALSE),""))</f>
        <v/>
      </c>
      <c r="BG93" s="412" t="str">
        <f>IFERROR(VLOOKUP(Envoltória!$G101,$BQ$35:$BZ$43,BG$9,FALSE),"")</f>
        <v/>
      </c>
      <c r="BH93" s="412" t="str">
        <f>IFERROR(VLOOKUP(Envoltória!$G101,$BQ$35:$BZ$43,BH$9,FALSE),"")</f>
        <v/>
      </c>
      <c r="BI93" s="412" t="str">
        <f>IFERROR(VLOOKUP(Envoltória!$G101,$BQ$35:$BZ$43,BI$9,FALSE),"")</f>
        <v/>
      </c>
      <c r="BJ93" s="412" t="str">
        <f>IFERROR(VLOOKUP(Envoltória!$G101,$BQ$35:$BZ$43,BJ$9,FALSE),"")</f>
        <v/>
      </c>
      <c r="BK93" s="412" t="str">
        <f>IFERROR(VLOOKUP(Envoltória!$G101,$BQ$35:$BZ$43,BK$9,FALSE),"")</f>
        <v/>
      </c>
      <c r="BL93" s="412" t="str">
        <f>IFERROR(VLOOKUP(Envoltória!$G101,$BQ$35:$BZ$43,BL$9,FALSE),"")</f>
        <v/>
      </c>
      <c r="BM93" s="412" t="str">
        <f>IFERROR(VLOOKUP(Envoltória!$G101,$BQ$35:$BZ$43,BM$9,FALSE),"")</f>
        <v/>
      </c>
      <c r="BN93" s="412" t="str">
        <f>IFERROR(VLOOKUP(Envoltória!$G101,$BQ$35:$BZ$43,BN$9,FALSE),"")</f>
        <v/>
      </c>
      <c r="BO93" s="412" t="str">
        <f>IFERROR(VLOOKUP(Envoltória!$G101,$BQ$35:$BZ$43,BO$9,FALSE),"")</f>
        <v/>
      </c>
    </row>
    <row r="94" spans="1:67" x14ac:dyDescent="0.25">
      <c r="A94" s="1">
        <v>84</v>
      </c>
      <c r="B94" s="409">
        <f>Envoltória!I102</f>
        <v>0</v>
      </c>
      <c r="C94" s="410">
        <f>Envoltória!B102</f>
        <v>0</v>
      </c>
      <c r="D94" s="410">
        <f>Envoltória!C102</f>
        <v>0</v>
      </c>
      <c r="E94" s="411">
        <f>Envoltória!D102</f>
        <v>0</v>
      </c>
      <c r="F94" s="412" t="str">
        <f>IF(B94=0,"",Envoltória!E102)</f>
        <v/>
      </c>
      <c r="G94" s="412" t="str">
        <f t="shared" si="5"/>
        <v/>
      </c>
      <c r="H94" s="413" t="str">
        <f>IF(B94=0,"",IF(Envoltória!O102=0,0,VLOOKUP(B94,Aux_Lista!A:M,13,FALSE)))</f>
        <v/>
      </c>
      <c r="I94" s="413" t="str">
        <f>IF(B94=0,"",IF(BF94=1,VLOOKUP(Envoltória!N102,Componentes!T:AB,7,FALSE),89))</f>
        <v/>
      </c>
      <c r="J94" s="414" t="str">
        <f>IF(B94=0,"",Componentes!$Q$10)</f>
        <v/>
      </c>
      <c r="K94" s="414" t="str">
        <f>IF(B94=0,"",Componentes!$R$10)</f>
        <v/>
      </c>
      <c r="L94" s="413" t="str">
        <f>IF(B94=0,"",IFERROR(IF(BB94&lt;&gt;0,Componentes!$L$11,0),""))</f>
        <v/>
      </c>
      <c r="M94" s="413" t="str">
        <f>IF(B94=0,"",IFERROR(IF(BB94&lt;&gt;0,Componentes!$M$11,0),""))</f>
        <v/>
      </c>
      <c r="N94" s="415" t="str">
        <f>IF(B94=0,"",IFERROR(IF(BB94&lt;&gt;0,Componentes!$N$11,0),""))</f>
        <v/>
      </c>
      <c r="O94" s="413" t="str">
        <f>IF(B94=0,"",IF(BF94=1,Componentes!$C$11,-6))</f>
        <v/>
      </c>
      <c r="P94" s="413" t="str">
        <f>IF(B94=0,"",IF(BF94=1,Componentes!$D$11,-400))</f>
        <v/>
      </c>
      <c r="Q94" s="413" t="str">
        <f>IF(B94=0,"",IF(BF94=1,Componentes!$E$11,0))</f>
        <v/>
      </c>
      <c r="R94" s="414" t="str">
        <f>IF(B94=0,"",Componentes!$H$11)</f>
        <v/>
      </c>
      <c r="S94" s="414" t="str">
        <f>IF(B94=0,"",Componentes!$I$11)</f>
        <v/>
      </c>
      <c r="T94" s="413" t="str">
        <f>IF(B94=0,"",IFERROR(IF(H94&lt;&gt;0,Componentes!$V$11,0),""))</f>
        <v/>
      </c>
      <c r="U94" s="413" t="str">
        <f>IF(B94=0,"",IFERROR(IF(H94&lt;&gt;0,Componentes!$U$11,0),""))</f>
        <v/>
      </c>
      <c r="V94" s="414" t="str">
        <f>IF(B94=0,"",IFERROR(IF(AA94&lt;&gt;0,VLOOKUP(Envoltória!U102,Componentes!X:Z,2,FALSE),0),0))</f>
        <v/>
      </c>
      <c r="W94" s="414" t="str">
        <f>IF(B94=0,"",IFERROR(IF(AA94&lt;&gt;0,Componentes!$AE$11,0),0))</f>
        <v/>
      </c>
      <c r="X94" s="413" t="str">
        <f>IF(B94=0,"",Envoltória!U102)</f>
        <v/>
      </c>
      <c r="Y94" s="413" t="str">
        <f>IF(B94=0,"",VLOOKUP(Início!$C$20,Aux_Lista!A:H,8,FALSE))</f>
        <v/>
      </c>
      <c r="Z94" s="413" t="str">
        <f>IF(B94=0,"",Envoltória!T102)</f>
        <v/>
      </c>
      <c r="AA94" s="416" t="str">
        <f>IF(B94=0,"",Envoltória!Q102/100)</f>
        <v/>
      </c>
      <c r="AB94" s="417" t="str">
        <f>INPUT!AB94</f>
        <v/>
      </c>
      <c r="AC94" s="417" t="str">
        <f>INPUT!AC94</f>
        <v/>
      </c>
      <c r="AD94" s="417" t="str">
        <f>INPUT!AD94</f>
        <v/>
      </c>
      <c r="AE94" s="417" t="str">
        <f>INPUT!AE94</f>
        <v/>
      </c>
      <c r="AF94" s="417" t="str">
        <f>INPUT!AF94</f>
        <v/>
      </c>
      <c r="AG94" s="417" t="str">
        <f>INPUT!AG94</f>
        <v/>
      </c>
      <c r="AH94" s="417" t="str">
        <f>INPUT!AH94</f>
        <v/>
      </c>
      <c r="AI94" s="417" t="str">
        <f>INPUT!AI94</f>
        <v/>
      </c>
      <c r="AJ94" s="417" t="str">
        <f>INPUT!AJ94</f>
        <v/>
      </c>
      <c r="AK94" s="417" t="str">
        <f>INPUT!AK94</f>
        <v/>
      </c>
      <c r="AL94" s="417" t="str">
        <f>INPUT!AL94</f>
        <v/>
      </c>
      <c r="AM94" s="417" t="str">
        <f>INPUT!AM94</f>
        <v/>
      </c>
      <c r="AN94" s="417" t="str">
        <f>INPUT!AN94</f>
        <v/>
      </c>
      <c r="AO94" s="417" t="str">
        <f>INPUT!AO94</f>
        <v/>
      </c>
      <c r="AP94" s="413" t="str">
        <f>IF(B94=0,"",IF(BF94=0,90,VLOOKUP(Envoltória!N102,Componentes!T:AB,9,FALSE)))</f>
        <v/>
      </c>
      <c r="AQ94" s="413" t="str">
        <f>IF(B94=0,"",IF(BF94=0,90,VLOOKUP(Envoltória!N102,Componentes!T:AB,8,FALSE)))</f>
        <v/>
      </c>
      <c r="AR94" s="413" t="str">
        <f t="shared" si="6"/>
        <v/>
      </c>
      <c r="AS94" s="413" t="str">
        <f t="shared" si="6"/>
        <v/>
      </c>
      <c r="AT94" s="413" t="str">
        <f t="shared" si="6"/>
        <v/>
      </c>
      <c r="AU94" s="413" t="str">
        <f t="shared" si="6"/>
        <v/>
      </c>
      <c r="AV94" s="413" t="str">
        <f t="shared" si="6"/>
        <v/>
      </c>
      <c r="AW94" s="414" t="str">
        <f>INPUT!AW94</f>
        <v/>
      </c>
      <c r="AX94" s="414" t="str">
        <f>INPUT!AX94</f>
        <v/>
      </c>
      <c r="AY94" s="414" t="str">
        <f>INPUT!AY94</f>
        <v/>
      </c>
      <c r="AZ94" s="414" t="str">
        <f>INPUT!AZ94</f>
        <v/>
      </c>
      <c r="BA94" s="414" t="str">
        <f>INPUT!BA94</f>
        <v/>
      </c>
      <c r="BB94" s="414" t="str">
        <f>INPUT!BB94</f>
        <v/>
      </c>
      <c r="BC94" s="414" t="str">
        <f>INPUT!BC94</f>
        <v/>
      </c>
      <c r="BD94" s="414" t="str">
        <f>INPUT!BD94</f>
        <v/>
      </c>
      <c r="BE94" s="412" t="str">
        <f t="shared" si="7"/>
        <v/>
      </c>
      <c r="BF94" s="412" t="str">
        <f>IF(B94=0,"",IFERROR(VLOOKUP(Envoltória!F102,INPUT_REF!$BQ$18:$BR$19,2,FALSE),""))</f>
        <v/>
      </c>
      <c r="BG94" s="412" t="str">
        <f>IFERROR(VLOOKUP(Envoltória!$G102,$BQ$35:$BZ$43,BG$9,FALSE),"")</f>
        <v/>
      </c>
      <c r="BH94" s="412" t="str">
        <f>IFERROR(VLOOKUP(Envoltória!$G102,$BQ$35:$BZ$43,BH$9,FALSE),"")</f>
        <v/>
      </c>
      <c r="BI94" s="412" t="str">
        <f>IFERROR(VLOOKUP(Envoltória!$G102,$BQ$35:$BZ$43,BI$9,FALSE),"")</f>
        <v/>
      </c>
      <c r="BJ94" s="412" t="str">
        <f>IFERROR(VLOOKUP(Envoltória!$G102,$BQ$35:$BZ$43,BJ$9,FALSE),"")</f>
        <v/>
      </c>
      <c r="BK94" s="412" t="str">
        <f>IFERROR(VLOOKUP(Envoltória!$G102,$BQ$35:$BZ$43,BK$9,FALSE),"")</f>
        <v/>
      </c>
      <c r="BL94" s="412" t="str">
        <f>IFERROR(VLOOKUP(Envoltória!$G102,$BQ$35:$BZ$43,BL$9,FALSE),"")</f>
        <v/>
      </c>
      <c r="BM94" s="412" t="str">
        <f>IFERROR(VLOOKUP(Envoltória!$G102,$BQ$35:$BZ$43,BM$9,FALSE),"")</f>
        <v/>
      </c>
      <c r="BN94" s="412" t="str">
        <f>IFERROR(VLOOKUP(Envoltória!$G102,$BQ$35:$BZ$43,BN$9,FALSE),"")</f>
        <v/>
      </c>
      <c r="BO94" s="412" t="str">
        <f>IFERROR(VLOOKUP(Envoltória!$G102,$BQ$35:$BZ$43,BO$9,FALSE),"")</f>
        <v/>
      </c>
    </row>
    <row r="95" spans="1:67" x14ac:dyDescent="0.25">
      <c r="A95" s="1">
        <v>85</v>
      </c>
      <c r="B95" s="409">
        <f>Envoltória!I103</f>
        <v>0</v>
      </c>
      <c r="C95" s="410">
        <f>Envoltória!B103</f>
        <v>0</v>
      </c>
      <c r="D95" s="410">
        <f>Envoltória!C103</f>
        <v>0</v>
      </c>
      <c r="E95" s="411">
        <f>Envoltória!D103</f>
        <v>0</v>
      </c>
      <c r="F95" s="412" t="str">
        <f>IF(B95=0,"",Envoltória!E103)</f>
        <v/>
      </c>
      <c r="G95" s="412" t="str">
        <f t="shared" si="5"/>
        <v/>
      </c>
      <c r="H95" s="413" t="str">
        <f>IF(B95=0,"",IF(Envoltória!O103=0,0,VLOOKUP(B95,Aux_Lista!A:M,13,FALSE)))</f>
        <v/>
      </c>
      <c r="I95" s="413" t="str">
        <f>IF(B95=0,"",IF(BF95=1,VLOOKUP(Envoltória!N103,Componentes!T:AB,7,FALSE),89))</f>
        <v/>
      </c>
      <c r="J95" s="414" t="str">
        <f>IF(B95=0,"",Componentes!$Q$10)</f>
        <v/>
      </c>
      <c r="K95" s="414" t="str">
        <f>IF(B95=0,"",Componentes!$R$10)</f>
        <v/>
      </c>
      <c r="L95" s="413" t="str">
        <f>IF(B95=0,"",IFERROR(IF(BB95&lt;&gt;0,Componentes!$L$11,0),""))</f>
        <v/>
      </c>
      <c r="M95" s="413" t="str">
        <f>IF(B95=0,"",IFERROR(IF(BB95&lt;&gt;0,Componentes!$M$11,0),""))</f>
        <v/>
      </c>
      <c r="N95" s="415" t="str">
        <f>IF(B95=0,"",IFERROR(IF(BB95&lt;&gt;0,Componentes!$N$11,0),""))</f>
        <v/>
      </c>
      <c r="O95" s="413" t="str">
        <f>IF(B95=0,"",IF(BF95=1,Componentes!$C$11,-6))</f>
        <v/>
      </c>
      <c r="P95" s="413" t="str">
        <f>IF(B95=0,"",IF(BF95=1,Componentes!$D$11,-400))</f>
        <v/>
      </c>
      <c r="Q95" s="413" t="str">
        <f>IF(B95=0,"",IF(BF95=1,Componentes!$E$11,0))</f>
        <v/>
      </c>
      <c r="R95" s="414" t="str">
        <f>IF(B95=0,"",Componentes!$H$11)</f>
        <v/>
      </c>
      <c r="S95" s="414" t="str">
        <f>IF(B95=0,"",Componentes!$I$11)</f>
        <v/>
      </c>
      <c r="T95" s="413" t="str">
        <f>IF(B95=0,"",IFERROR(IF(H95&lt;&gt;0,Componentes!$V$11,0),""))</f>
        <v/>
      </c>
      <c r="U95" s="413" t="str">
        <f>IF(B95=0,"",IFERROR(IF(H95&lt;&gt;0,Componentes!$U$11,0),""))</f>
        <v/>
      </c>
      <c r="V95" s="414" t="str">
        <f>IF(B95=0,"",IFERROR(IF(AA95&lt;&gt;0,VLOOKUP(Envoltória!U103,Componentes!X:Z,2,FALSE),0),0))</f>
        <v/>
      </c>
      <c r="W95" s="414" t="str">
        <f>IF(B95=0,"",IFERROR(IF(AA95&lt;&gt;0,Componentes!$AE$11,0),0))</f>
        <v/>
      </c>
      <c r="X95" s="413" t="str">
        <f>IF(B95=0,"",Envoltória!U103)</f>
        <v/>
      </c>
      <c r="Y95" s="413" t="str">
        <f>IF(B95=0,"",VLOOKUP(Início!$C$20,Aux_Lista!A:H,8,FALSE))</f>
        <v/>
      </c>
      <c r="Z95" s="413" t="str">
        <f>IF(B95=0,"",Envoltória!T103)</f>
        <v/>
      </c>
      <c r="AA95" s="416" t="str">
        <f>IF(B95=0,"",Envoltória!Q103/100)</f>
        <v/>
      </c>
      <c r="AB95" s="417" t="str">
        <f>INPUT!AB95</f>
        <v/>
      </c>
      <c r="AC95" s="417" t="str">
        <f>INPUT!AC95</f>
        <v/>
      </c>
      <c r="AD95" s="417" t="str">
        <f>INPUT!AD95</f>
        <v/>
      </c>
      <c r="AE95" s="417" t="str">
        <f>INPUT!AE95</f>
        <v/>
      </c>
      <c r="AF95" s="417" t="str">
        <f>INPUT!AF95</f>
        <v/>
      </c>
      <c r="AG95" s="417" t="str">
        <f>INPUT!AG95</f>
        <v/>
      </c>
      <c r="AH95" s="417" t="str">
        <f>INPUT!AH95</f>
        <v/>
      </c>
      <c r="AI95" s="417" t="str">
        <f>INPUT!AI95</f>
        <v/>
      </c>
      <c r="AJ95" s="417" t="str">
        <f>INPUT!AJ95</f>
        <v/>
      </c>
      <c r="AK95" s="417" t="str">
        <f>INPUT!AK95</f>
        <v/>
      </c>
      <c r="AL95" s="417" t="str">
        <f>INPUT!AL95</f>
        <v/>
      </c>
      <c r="AM95" s="417" t="str">
        <f>INPUT!AM95</f>
        <v/>
      </c>
      <c r="AN95" s="417" t="str">
        <f>INPUT!AN95</f>
        <v/>
      </c>
      <c r="AO95" s="417" t="str">
        <f>INPUT!AO95</f>
        <v/>
      </c>
      <c r="AP95" s="413" t="str">
        <f>IF(B95=0,"",IF(BF95=0,90,VLOOKUP(Envoltória!N103,Componentes!T:AB,9,FALSE)))</f>
        <v/>
      </c>
      <c r="AQ95" s="413" t="str">
        <f>IF(B95=0,"",IF(BF95=0,90,VLOOKUP(Envoltória!N103,Componentes!T:AB,8,FALSE)))</f>
        <v/>
      </c>
      <c r="AR95" s="413" t="str">
        <f t="shared" si="6"/>
        <v/>
      </c>
      <c r="AS95" s="413" t="str">
        <f t="shared" si="6"/>
        <v/>
      </c>
      <c r="AT95" s="413" t="str">
        <f t="shared" si="6"/>
        <v/>
      </c>
      <c r="AU95" s="413" t="str">
        <f t="shared" si="6"/>
        <v/>
      </c>
      <c r="AV95" s="413" t="str">
        <f t="shared" si="6"/>
        <v/>
      </c>
      <c r="AW95" s="414" t="str">
        <f>INPUT!AW95</f>
        <v/>
      </c>
      <c r="AX95" s="414" t="str">
        <f>INPUT!AX95</f>
        <v/>
      </c>
      <c r="AY95" s="414" t="str">
        <f>INPUT!AY95</f>
        <v/>
      </c>
      <c r="AZ95" s="414" t="str">
        <f>INPUT!AZ95</f>
        <v/>
      </c>
      <c r="BA95" s="414" t="str">
        <f>INPUT!BA95</f>
        <v/>
      </c>
      <c r="BB95" s="414" t="str">
        <f>INPUT!BB95</f>
        <v/>
      </c>
      <c r="BC95" s="414" t="str">
        <f>INPUT!BC95</f>
        <v/>
      </c>
      <c r="BD95" s="414" t="str">
        <f>INPUT!BD95</f>
        <v/>
      </c>
      <c r="BE95" s="412" t="str">
        <f t="shared" si="7"/>
        <v/>
      </c>
      <c r="BF95" s="412" t="str">
        <f>IF(B95=0,"",IFERROR(VLOOKUP(Envoltória!F103,INPUT_REF!$BQ$18:$BR$19,2,FALSE),""))</f>
        <v/>
      </c>
      <c r="BG95" s="412" t="str">
        <f>IFERROR(VLOOKUP(Envoltória!$G103,$BQ$35:$BZ$43,BG$9,FALSE),"")</f>
        <v/>
      </c>
      <c r="BH95" s="412" t="str">
        <f>IFERROR(VLOOKUP(Envoltória!$G103,$BQ$35:$BZ$43,BH$9,FALSE),"")</f>
        <v/>
      </c>
      <c r="BI95" s="412" t="str">
        <f>IFERROR(VLOOKUP(Envoltória!$G103,$BQ$35:$BZ$43,BI$9,FALSE),"")</f>
        <v/>
      </c>
      <c r="BJ95" s="412" t="str">
        <f>IFERROR(VLOOKUP(Envoltória!$G103,$BQ$35:$BZ$43,BJ$9,FALSE),"")</f>
        <v/>
      </c>
      <c r="BK95" s="412" t="str">
        <f>IFERROR(VLOOKUP(Envoltória!$G103,$BQ$35:$BZ$43,BK$9,FALSE),"")</f>
        <v/>
      </c>
      <c r="BL95" s="412" t="str">
        <f>IFERROR(VLOOKUP(Envoltória!$G103,$BQ$35:$BZ$43,BL$9,FALSE),"")</f>
        <v/>
      </c>
      <c r="BM95" s="412" t="str">
        <f>IFERROR(VLOOKUP(Envoltória!$G103,$BQ$35:$BZ$43,BM$9,FALSE),"")</f>
        <v/>
      </c>
      <c r="BN95" s="412" t="str">
        <f>IFERROR(VLOOKUP(Envoltória!$G103,$BQ$35:$BZ$43,BN$9,FALSE),"")</f>
        <v/>
      </c>
      <c r="BO95" s="412" t="str">
        <f>IFERROR(VLOOKUP(Envoltória!$G103,$BQ$35:$BZ$43,BO$9,FALSE),"")</f>
        <v/>
      </c>
    </row>
    <row r="96" spans="1:67" x14ac:dyDescent="0.25">
      <c r="A96" s="1">
        <v>86</v>
      </c>
      <c r="B96" s="409">
        <f>Envoltória!I104</f>
        <v>0</v>
      </c>
      <c r="C96" s="410">
        <f>Envoltória!B104</f>
        <v>0</v>
      </c>
      <c r="D96" s="410">
        <f>Envoltória!C104</f>
        <v>0</v>
      </c>
      <c r="E96" s="411">
        <f>Envoltória!D104</f>
        <v>0</v>
      </c>
      <c r="F96" s="412" t="str">
        <f>IF(B96=0,"",Envoltória!E104)</f>
        <v/>
      </c>
      <c r="G96" s="412" t="str">
        <f t="shared" si="5"/>
        <v/>
      </c>
      <c r="H96" s="413" t="str">
        <f>IF(B96=0,"",IF(Envoltória!O104=0,0,VLOOKUP(B96,Aux_Lista!A:M,13,FALSE)))</f>
        <v/>
      </c>
      <c r="I96" s="413" t="str">
        <f>IF(B96=0,"",IF(BF96=1,VLOOKUP(Envoltória!N104,Componentes!T:AB,7,FALSE),89))</f>
        <v/>
      </c>
      <c r="J96" s="414" t="str">
        <f>IF(B96=0,"",Componentes!$Q$10)</f>
        <v/>
      </c>
      <c r="K96" s="414" t="str">
        <f>IF(B96=0,"",Componentes!$R$10)</f>
        <v/>
      </c>
      <c r="L96" s="413" t="str">
        <f>IF(B96=0,"",IFERROR(IF(BB96&lt;&gt;0,Componentes!$L$11,0),""))</f>
        <v/>
      </c>
      <c r="M96" s="413" t="str">
        <f>IF(B96=0,"",IFERROR(IF(BB96&lt;&gt;0,Componentes!$M$11,0),""))</f>
        <v/>
      </c>
      <c r="N96" s="415" t="str">
        <f>IF(B96=0,"",IFERROR(IF(BB96&lt;&gt;0,Componentes!$N$11,0),""))</f>
        <v/>
      </c>
      <c r="O96" s="413" t="str">
        <f>IF(B96=0,"",IF(BF96=1,Componentes!$C$11,-6))</f>
        <v/>
      </c>
      <c r="P96" s="413" t="str">
        <f>IF(B96=0,"",IF(BF96=1,Componentes!$D$11,-400))</f>
        <v/>
      </c>
      <c r="Q96" s="413" t="str">
        <f>IF(B96=0,"",IF(BF96=1,Componentes!$E$11,0))</f>
        <v/>
      </c>
      <c r="R96" s="414" t="str">
        <f>IF(B96=0,"",Componentes!$H$11)</f>
        <v/>
      </c>
      <c r="S96" s="414" t="str">
        <f>IF(B96=0,"",Componentes!$I$11)</f>
        <v/>
      </c>
      <c r="T96" s="413" t="str">
        <f>IF(B96=0,"",IFERROR(IF(H96&lt;&gt;0,Componentes!$V$11,0),""))</f>
        <v/>
      </c>
      <c r="U96" s="413" t="str">
        <f>IF(B96=0,"",IFERROR(IF(H96&lt;&gt;0,Componentes!$U$11,0),""))</f>
        <v/>
      </c>
      <c r="V96" s="414" t="str">
        <f>IF(B96=0,"",IFERROR(IF(AA96&lt;&gt;0,VLOOKUP(Envoltória!U104,Componentes!X:Z,2,FALSE),0),0))</f>
        <v/>
      </c>
      <c r="W96" s="414" t="str">
        <f>IF(B96=0,"",IFERROR(IF(AA96&lt;&gt;0,Componentes!$AE$11,0),0))</f>
        <v/>
      </c>
      <c r="X96" s="413" t="str">
        <f>IF(B96=0,"",Envoltória!U104)</f>
        <v/>
      </c>
      <c r="Y96" s="413" t="str">
        <f>IF(B96=0,"",VLOOKUP(Início!$C$20,Aux_Lista!A:H,8,FALSE))</f>
        <v/>
      </c>
      <c r="Z96" s="413" t="str">
        <f>IF(B96=0,"",Envoltória!T104)</f>
        <v/>
      </c>
      <c r="AA96" s="416" t="str">
        <f>IF(B96=0,"",Envoltória!Q104/100)</f>
        <v/>
      </c>
      <c r="AB96" s="417" t="str">
        <f>INPUT!AB96</f>
        <v/>
      </c>
      <c r="AC96" s="417" t="str">
        <f>INPUT!AC96</f>
        <v/>
      </c>
      <c r="AD96" s="417" t="str">
        <f>INPUT!AD96</f>
        <v/>
      </c>
      <c r="AE96" s="417" t="str">
        <f>INPUT!AE96</f>
        <v/>
      </c>
      <c r="AF96" s="417" t="str">
        <f>INPUT!AF96</f>
        <v/>
      </c>
      <c r="AG96" s="417" t="str">
        <f>INPUT!AG96</f>
        <v/>
      </c>
      <c r="AH96" s="417" t="str">
        <f>INPUT!AH96</f>
        <v/>
      </c>
      <c r="AI96" s="417" t="str">
        <f>INPUT!AI96</f>
        <v/>
      </c>
      <c r="AJ96" s="417" t="str">
        <f>INPUT!AJ96</f>
        <v/>
      </c>
      <c r="AK96" s="417" t="str">
        <f>INPUT!AK96</f>
        <v/>
      </c>
      <c r="AL96" s="417" t="str">
        <f>INPUT!AL96</f>
        <v/>
      </c>
      <c r="AM96" s="417" t="str">
        <f>INPUT!AM96</f>
        <v/>
      </c>
      <c r="AN96" s="417" t="str">
        <f>INPUT!AN96</f>
        <v/>
      </c>
      <c r="AO96" s="417" t="str">
        <f>INPUT!AO96</f>
        <v/>
      </c>
      <c r="AP96" s="413" t="str">
        <f>IF(B96=0,"",IF(BF96=0,90,VLOOKUP(Envoltória!N104,Componentes!T:AB,9,FALSE)))</f>
        <v/>
      </c>
      <c r="AQ96" s="413" t="str">
        <f>IF(B96=0,"",IF(BF96=0,90,VLOOKUP(Envoltória!N104,Componentes!T:AB,8,FALSE)))</f>
        <v/>
      </c>
      <c r="AR96" s="413" t="str">
        <f t="shared" si="6"/>
        <v/>
      </c>
      <c r="AS96" s="413" t="str">
        <f t="shared" si="6"/>
        <v/>
      </c>
      <c r="AT96" s="413" t="str">
        <f t="shared" si="6"/>
        <v/>
      </c>
      <c r="AU96" s="413" t="str">
        <f t="shared" si="6"/>
        <v/>
      </c>
      <c r="AV96" s="413" t="str">
        <f t="shared" si="6"/>
        <v/>
      </c>
      <c r="AW96" s="414" t="str">
        <f>INPUT!AW96</f>
        <v/>
      </c>
      <c r="AX96" s="414" t="str">
        <f>INPUT!AX96</f>
        <v/>
      </c>
      <c r="AY96" s="414" t="str">
        <f>INPUT!AY96</f>
        <v/>
      </c>
      <c r="AZ96" s="414" t="str">
        <f>INPUT!AZ96</f>
        <v/>
      </c>
      <c r="BA96" s="414" t="str">
        <f>INPUT!BA96</f>
        <v/>
      </c>
      <c r="BB96" s="414" t="str">
        <f>INPUT!BB96</f>
        <v/>
      </c>
      <c r="BC96" s="414" t="str">
        <f>INPUT!BC96</f>
        <v/>
      </c>
      <c r="BD96" s="414" t="str">
        <f>INPUT!BD96</f>
        <v/>
      </c>
      <c r="BE96" s="412" t="str">
        <f t="shared" si="7"/>
        <v/>
      </c>
      <c r="BF96" s="412" t="str">
        <f>IF(B96=0,"",IFERROR(VLOOKUP(Envoltória!F104,INPUT_REF!$BQ$18:$BR$19,2,FALSE),""))</f>
        <v/>
      </c>
      <c r="BG96" s="412" t="str">
        <f>IFERROR(VLOOKUP(Envoltória!$G104,$BQ$35:$BZ$43,BG$9,FALSE),"")</f>
        <v/>
      </c>
      <c r="BH96" s="412" t="str">
        <f>IFERROR(VLOOKUP(Envoltória!$G104,$BQ$35:$BZ$43,BH$9,FALSE),"")</f>
        <v/>
      </c>
      <c r="BI96" s="412" t="str">
        <f>IFERROR(VLOOKUP(Envoltória!$G104,$BQ$35:$BZ$43,BI$9,FALSE),"")</f>
        <v/>
      </c>
      <c r="BJ96" s="412" t="str">
        <f>IFERROR(VLOOKUP(Envoltória!$G104,$BQ$35:$BZ$43,BJ$9,FALSE),"")</f>
        <v/>
      </c>
      <c r="BK96" s="412" t="str">
        <f>IFERROR(VLOOKUP(Envoltória!$G104,$BQ$35:$BZ$43,BK$9,FALSE),"")</f>
        <v/>
      </c>
      <c r="BL96" s="412" t="str">
        <f>IFERROR(VLOOKUP(Envoltória!$G104,$BQ$35:$BZ$43,BL$9,FALSE),"")</f>
        <v/>
      </c>
      <c r="BM96" s="412" t="str">
        <f>IFERROR(VLOOKUP(Envoltória!$G104,$BQ$35:$BZ$43,BM$9,FALSE),"")</f>
        <v/>
      </c>
      <c r="BN96" s="412" t="str">
        <f>IFERROR(VLOOKUP(Envoltória!$G104,$BQ$35:$BZ$43,BN$9,FALSE),"")</f>
        <v/>
      </c>
      <c r="BO96" s="412" t="str">
        <f>IFERROR(VLOOKUP(Envoltória!$G104,$BQ$35:$BZ$43,BO$9,FALSE),"")</f>
        <v/>
      </c>
    </row>
    <row r="97" spans="1:67" x14ac:dyDescent="0.25">
      <c r="A97" s="1">
        <v>87</v>
      </c>
      <c r="B97" s="409">
        <f>Envoltória!I105</f>
        <v>0</v>
      </c>
      <c r="C97" s="410">
        <f>Envoltória!B105</f>
        <v>0</v>
      </c>
      <c r="D97" s="410">
        <f>Envoltória!C105</f>
        <v>0</v>
      </c>
      <c r="E97" s="411">
        <f>Envoltória!D105</f>
        <v>0</v>
      </c>
      <c r="F97" s="412" t="str">
        <f>IF(B97=0,"",Envoltória!E105)</f>
        <v/>
      </c>
      <c r="G97" s="412" t="str">
        <f t="shared" si="5"/>
        <v/>
      </c>
      <c r="H97" s="413" t="str">
        <f>IF(B97=0,"",IF(Envoltória!O105=0,0,VLOOKUP(B97,Aux_Lista!A:M,13,FALSE)))</f>
        <v/>
      </c>
      <c r="I97" s="413" t="str">
        <f>IF(B97=0,"",IF(BF97=1,VLOOKUP(Envoltória!N105,Componentes!T:AB,7,FALSE),89))</f>
        <v/>
      </c>
      <c r="J97" s="414" t="str">
        <f>IF(B97=0,"",Componentes!$Q$10)</f>
        <v/>
      </c>
      <c r="K97" s="414" t="str">
        <f>IF(B97=0,"",Componentes!$R$10)</f>
        <v/>
      </c>
      <c r="L97" s="413" t="str">
        <f>IF(B97=0,"",IFERROR(IF(BB97&lt;&gt;0,Componentes!$L$11,0),""))</f>
        <v/>
      </c>
      <c r="M97" s="413" t="str">
        <f>IF(B97=0,"",IFERROR(IF(BB97&lt;&gt;0,Componentes!$M$11,0),""))</f>
        <v/>
      </c>
      <c r="N97" s="415" t="str">
        <f>IF(B97=0,"",IFERROR(IF(BB97&lt;&gt;0,Componentes!$N$11,0),""))</f>
        <v/>
      </c>
      <c r="O97" s="413" t="str">
        <f>IF(B97=0,"",IF(BF97=1,Componentes!$C$11,-6))</f>
        <v/>
      </c>
      <c r="P97" s="413" t="str">
        <f>IF(B97=0,"",IF(BF97=1,Componentes!$D$11,-400))</f>
        <v/>
      </c>
      <c r="Q97" s="413" t="str">
        <f>IF(B97=0,"",IF(BF97=1,Componentes!$E$11,0))</f>
        <v/>
      </c>
      <c r="R97" s="414" t="str">
        <f>IF(B97=0,"",Componentes!$H$11)</f>
        <v/>
      </c>
      <c r="S97" s="414" t="str">
        <f>IF(B97=0,"",Componentes!$I$11)</f>
        <v/>
      </c>
      <c r="T97" s="413" t="str">
        <f>IF(B97=0,"",IFERROR(IF(H97&lt;&gt;0,Componentes!$V$11,0),""))</f>
        <v/>
      </c>
      <c r="U97" s="413" t="str">
        <f>IF(B97=0,"",IFERROR(IF(H97&lt;&gt;0,Componentes!$U$11,0),""))</f>
        <v/>
      </c>
      <c r="V97" s="414" t="str">
        <f>IF(B97=0,"",IFERROR(IF(AA97&lt;&gt;0,VLOOKUP(Envoltória!U105,Componentes!X:Z,2,FALSE),0),0))</f>
        <v/>
      </c>
      <c r="W97" s="414" t="str">
        <f>IF(B97=0,"",IFERROR(IF(AA97&lt;&gt;0,Componentes!$AE$11,0),0))</f>
        <v/>
      </c>
      <c r="X97" s="413" t="str">
        <f>IF(B97=0,"",Envoltória!U105)</f>
        <v/>
      </c>
      <c r="Y97" s="413" t="str">
        <f>IF(B97=0,"",VLOOKUP(Início!$C$20,Aux_Lista!A:H,8,FALSE))</f>
        <v/>
      </c>
      <c r="Z97" s="413" t="str">
        <f>IF(B97=0,"",Envoltória!T105)</f>
        <v/>
      </c>
      <c r="AA97" s="416" t="str">
        <f>IF(B97=0,"",Envoltória!Q105/100)</f>
        <v/>
      </c>
      <c r="AB97" s="417" t="str">
        <f>INPUT!AB97</f>
        <v/>
      </c>
      <c r="AC97" s="417" t="str">
        <f>INPUT!AC97</f>
        <v/>
      </c>
      <c r="AD97" s="417" t="str">
        <f>INPUT!AD97</f>
        <v/>
      </c>
      <c r="AE97" s="417" t="str">
        <f>INPUT!AE97</f>
        <v/>
      </c>
      <c r="AF97" s="417" t="str">
        <f>INPUT!AF97</f>
        <v/>
      </c>
      <c r="AG97" s="417" t="str">
        <f>INPUT!AG97</f>
        <v/>
      </c>
      <c r="AH97" s="417" t="str">
        <f>INPUT!AH97</f>
        <v/>
      </c>
      <c r="AI97" s="417" t="str">
        <f>INPUT!AI97</f>
        <v/>
      </c>
      <c r="AJ97" s="417" t="str">
        <f>INPUT!AJ97</f>
        <v/>
      </c>
      <c r="AK97" s="417" t="str">
        <f>INPUT!AK97</f>
        <v/>
      </c>
      <c r="AL97" s="417" t="str">
        <f>INPUT!AL97</f>
        <v/>
      </c>
      <c r="AM97" s="417" t="str">
        <f>INPUT!AM97</f>
        <v/>
      </c>
      <c r="AN97" s="417" t="str">
        <f>INPUT!AN97</f>
        <v/>
      </c>
      <c r="AO97" s="417" t="str">
        <f>INPUT!AO97</f>
        <v/>
      </c>
      <c r="AP97" s="413" t="str">
        <f>IF(B97=0,"",IF(BF97=0,90,VLOOKUP(Envoltória!N105,Componentes!T:AB,9,FALSE)))</f>
        <v/>
      </c>
      <c r="AQ97" s="413" t="str">
        <f>IF(B97=0,"",IF(BF97=0,90,VLOOKUP(Envoltória!N105,Componentes!T:AB,8,FALSE)))</f>
        <v/>
      </c>
      <c r="AR97" s="413" t="str">
        <f t="shared" si="6"/>
        <v/>
      </c>
      <c r="AS97" s="413" t="str">
        <f t="shared" si="6"/>
        <v/>
      </c>
      <c r="AT97" s="413" t="str">
        <f t="shared" si="6"/>
        <v/>
      </c>
      <c r="AU97" s="413" t="str">
        <f t="shared" si="6"/>
        <v/>
      </c>
      <c r="AV97" s="413" t="str">
        <f t="shared" si="6"/>
        <v/>
      </c>
      <c r="AW97" s="414" t="str">
        <f>INPUT!AW97</f>
        <v/>
      </c>
      <c r="AX97" s="414" t="str">
        <f>INPUT!AX97</f>
        <v/>
      </c>
      <c r="AY97" s="414" t="str">
        <f>INPUT!AY97</f>
        <v/>
      </c>
      <c r="AZ97" s="414" t="str">
        <f>INPUT!AZ97</f>
        <v/>
      </c>
      <c r="BA97" s="414" t="str">
        <f>INPUT!BA97</f>
        <v/>
      </c>
      <c r="BB97" s="414" t="str">
        <f>INPUT!BB97</f>
        <v/>
      </c>
      <c r="BC97" s="414" t="str">
        <f>INPUT!BC97</f>
        <v/>
      </c>
      <c r="BD97" s="414" t="str">
        <f>INPUT!BD97</f>
        <v/>
      </c>
      <c r="BE97" s="412" t="str">
        <f t="shared" si="7"/>
        <v/>
      </c>
      <c r="BF97" s="412" t="str">
        <f>IF(B97=0,"",IFERROR(VLOOKUP(Envoltória!F105,INPUT_REF!$BQ$18:$BR$19,2,FALSE),""))</f>
        <v/>
      </c>
      <c r="BG97" s="412" t="str">
        <f>IFERROR(VLOOKUP(Envoltória!$G105,$BQ$35:$BZ$43,BG$9,FALSE),"")</f>
        <v/>
      </c>
      <c r="BH97" s="412" t="str">
        <f>IFERROR(VLOOKUP(Envoltória!$G105,$BQ$35:$BZ$43,BH$9,FALSE),"")</f>
        <v/>
      </c>
      <c r="BI97" s="412" t="str">
        <f>IFERROR(VLOOKUP(Envoltória!$G105,$BQ$35:$BZ$43,BI$9,FALSE),"")</f>
        <v/>
      </c>
      <c r="BJ97" s="412" t="str">
        <f>IFERROR(VLOOKUP(Envoltória!$G105,$BQ$35:$BZ$43,BJ$9,FALSE),"")</f>
        <v/>
      </c>
      <c r="BK97" s="412" t="str">
        <f>IFERROR(VLOOKUP(Envoltória!$G105,$BQ$35:$BZ$43,BK$9,FALSE),"")</f>
        <v/>
      </c>
      <c r="BL97" s="412" t="str">
        <f>IFERROR(VLOOKUP(Envoltória!$G105,$BQ$35:$BZ$43,BL$9,FALSE),"")</f>
        <v/>
      </c>
      <c r="BM97" s="412" t="str">
        <f>IFERROR(VLOOKUP(Envoltória!$G105,$BQ$35:$BZ$43,BM$9,FALSE),"")</f>
        <v/>
      </c>
      <c r="BN97" s="412" t="str">
        <f>IFERROR(VLOOKUP(Envoltória!$G105,$BQ$35:$BZ$43,BN$9,FALSE),"")</f>
        <v/>
      </c>
      <c r="BO97" s="412" t="str">
        <f>IFERROR(VLOOKUP(Envoltória!$G105,$BQ$35:$BZ$43,BO$9,FALSE),"")</f>
        <v/>
      </c>
    </row>
    <row r="98" spans="1:67" x14ac:dyDescent="0.25">
      <c r="A98" s="1">
        <v>88</v>
      </c>
      <c r="B98" s="409">
        <f>Envoltória!I106</f>
        <v>0</v>
      </c>
      <c r="C98" s="410">
        <f>Envoltória!B106</f>
        <v>0</v>
      </c>
      <c r="D98" s="410">
        <f>Envoltória!C106</f>
        <v>0</v>
      </c>
      <c r="E98" s="411">
        <f>Envoltória!D106</f>
        <v>0</v>
      </c>
      <c r="F98" s="412" t="str">
        <f>IF(B98=0,"",Envoltória!E106)</f>
        <v/>
      </c>
      <c r="G98" s="412" t="str">
        <f t="shared" si="5"/>
        <v/>
      </c>
      <c r="H98" s="413" t="str">
        <f>IF(B98=0,"",IF(Envoltória!O106=0,0,VLOOKUP(B98,Aux_Lista!A:M,13,FALSE)))</f>
        <v/>
      </c>
      <c r="I98" s="413" t="str">
        <f>IF(B98=0,"",IF(BF98=1,VLOOKUP(Envoltória!N106,Componentes!T:AB,7,FALSE),89))</f>
        <v/>
      </c>
      <c r="J98" s="414" t="str">
        <f>IF(B98=0,"",Componentes!$Q$10)</f>
        <v/>
      </c>
      <c r="K98" s="414" t="str">
        <f>IF(B98=0,"",Componentes!$R$10)</f>
        <v/>
      </c>
      <c r="L98" s="413" t="str">
        <f>IF(B98=0,"",IFERROR(IF(BB98&lt;&gt;0,Componentes!$L$11,0),""))</f>
        <v/>
      </c>
      <c r="M98" s="413" t="str">
        <f>IF(B98=0,"",IFERROR(IF(BB98&lt;&gt;0,Componentes!$M$11,0),""))</f>
        <v/>
      </c>
      <c r="N98" s="415" t="str">
        <f>IF(B98=0,"",IFERROR(IF(BB98&lt;&gt;0,Componentes!$N$11,0),""))</f>
        <v/>
      </c>
      <c r="O98" s="413" t="str">
        <f>IF(B98=0,"",IF(BF98=1,Componentes!$C$11,-6))</f>
        <v/>
      </c>
      <c r="P98" s="413" t="str">
        <f>IF(B98=0,"",IF(BF98=1,Componentes!$D$11,-400))</f>
        <v/>
      </c>
      <c r="Q98" s="413" t="str">
        <f>IF(B98=0,"",IF(BF98=1,Componentes!$E$11,0))</f>
        <v/>
      </c>
      <c r="R98" s="414" t="str">
        <f>IF(B98=0,"",Componentes!$H$11)</f>
        <v/>
      </c>
      <c r="S98" s="414" t="str">
        <f>IF(B98=0,"",Componentes!$I$11)</f>
        <v/>
      </c>
      <c r="T98" s="413" t="str">
        <f>IF(B98=0,"",IFERROR(IF(H98&lt;&gt;0,Componentes!$V$11,0),""))</f>
        <v/>
      </c>
      <c r="U98" s="413" t="str">
        <f>IF(B98=0,"",IFERROR(IF(H98&lt;&gt;0,Componentes!$U$11,0),""))</f>
        <v/>
      </c>
      <c r="V98" s="414" t="str">
        <f>IF(B98=0,"",IFERROR(IF(AA98&lt;&gt;0,VLOOKUP(Envoltória!U106,Componentes!X:Z,2,FALSE),0),0))</f>
        <v/>
      </c>
      <c r="W98" s="414" t="str">
        <f>IF(B98=0,"",IFERROR(IF(AA98&lt;&gt;0,Componentes!$AE$11,0),0))</f>
        <v/>
      </c>
      <c r="X98" s="413" t="str">
        <f>IF(B98=0,"",Envoltória!U106)</f>
        <v/>
      </c>
      <c r="Y98" s="413" t="str">
        <f>IF(B98=0,"",VLOOKUP(Início!$C$20,Aux_Lista!A:H,8,FALSE))</f>
        <v/>
      </c>
      <c r="Z98" s="413" t="str">
        <f>IF(B98=0,"",Envoltória!T106)</f>
        <v/>
      </c>
      <c r="AA98" s="416" t="str">
        <f>IF(B98=0,"",Envoltória!Q106/100)</f>
        <v/>
      </c>
      <c r="AB98" s="417" t="str">
        <f>INPUT!AB98</f>
        <v/>
      </c>
      <c r="AC98" s="417" t="str">
        <f>INPUT!AC98</f>
        <v/>
      </c>
      <c r="AD98" s="417" t="str">
        <f>INPUT!AD98</f>
        <v/>
      </c>
      <c r="AE98" s="417" t="str">
        <f>INPUT!AE98</f>
        <v/>
      </c>
      <c r="AF98" s="417" t="str">
        <f>INPUT!AF98</f>
        <v/>
      </c>
      <c r="AG98" s="417" t="str">
        <f>INPUT!AG98</f>
        <v/>
      </c>
      <c r="AH98" s="417" t="str">
        <f>INPUT!AH98</f>
        <v/>
      </c>
      <c r="AI98" s="417" t="str">
        <f>INPUT!AI98</f>
        <v/>
      </c>
      <c r="AJ98" s="417" t="str">
        <f>INPUT!AJ98</f>
        <v/>
      </c>
      <c r="AK98" s="417" t="str">
        <f>INPUT!AK98</f>
        <v/>
      </c>
      <c r="AL98" s="417" t="str">
        <f>INPUT!AL98</f>
        <v/>
      </c>
      <c r="AM98" s="417" t="str">
        <f>INPUT!AM98</f>
        <v/>
      </c>
      <c r="AN98" s="417" t="str">
        <f>INPUT!AN98</f>
        <v/>
      </c>
      <c r="AO98" s="417" t="str">
        <f>INPUT!AO98</f>
        <v/>
      </c>
      <c r="AP98" s="413" t="str">
        <f>IF(B98=0,"",IF(BF98=0,90,VLOOKUP(Envoltória!N106,Componentes!T:AB,9,FALSE)))</f>
        <v/>
      </c>
      <c r="AQ98" s="413" t="str">
        <f>IF(B98=0,"",IF(BF98=0,90,VLOOKUP(Envoltória!N106,Componentes!T:AB,8,FALSE)))</f>
        <v/>
      </c>
      <c r="AR98" s="413" t="str">
        <f t="shared" si="6"/>
        <v/>
      </c>
      <c r="AS98" s="413" t="str">
        <f t="shared" si="6"/>
        <v/>
      </c>
      <c r="AT98" s="413" t="str">
        <f t="shared" si="6"/>
        <v/>
      </c>
      <c r="AU98" s="413" t="str">
        <f t="shared" si="6"/>
        <v/>
      </c>
      <c r="AV98" s="413" t="str">
        <f t="shared" si="6"/>
        <v/>
      </c>
      <c r="AW98" s="414" t="str">
        <f>INPUT!AW98</f>
        <v/>
      </c>
      <c r="AX98" s="414" t="str">
        <f>INPUT!AX98</f>
        <v/>
      </c>
      <c r="AY98" s="414" t="str">
        <f>INPUT!AY98</f>
        <v/>
      </c>
      <c r="AZ98" s="414" t="str">
        <f>INPUT!AZ98</f>
        <v/>
      </c>
      <c r="BA98" s="414" t="str">
        <f>INPUT!BA98</f>
        <v/>
      </c>
      <c r="BB98" s="414" t="str">
        <f>INPUT!BB98</f>
        <v/>
      </c>
      <c r="BC98" s="414" t="str">
        <f>INPUT!BC98</f>
        <v/>
      </c>
      <c r="BD98" s="414" t="str">
        <f>INPUT!BD98</f>
        <v/>
      </c>
      <c r="BE98" s="412" t="str">
        <f t="shared" si="7"/>
        <v/>
      </c>
      <c r="BF98" s="412" t="str">
        <f>IF(B98=0,"",IFERROR(VLOOKUP(Envoltória!F106,INPUT_REF!$BQ$18:$BR$19,2,FALSE),""))</f>
        <v/>
      </c>
      <c r="BG98" s="412" t="str">
        <f>IFERROR(VLOOKUP(Envoltória!$G106,$BQ$35:$BZ$43,BG$9,FALSE),"")</f>
        <v/>
      </c>
      <c r="BH98" s="412" t="str">
        <f>IFERROR(VLOOKUP(Envoltória!$G106,$BQ$35:$BZ$43,BH$9,FALSE),"")</f>
        <v/>
      </c>
      <c r="BI98" s="412" t="str">
        <f>IFERROR(VLOOKUP(Envoltória!$G106,$BQ$35:$BZ$43,BI$9,FALSE),"")</f>
        <v/>
      </c>
      <c r="BJ98" s="412" t="str">
        <f>IFERROR(VLOOKUP(Envoltória!$G106,$BQ$35:$BZ$43,BJ$9,FALSE),"")</f>
        <v/>
      </c>
      <c r="BK98" s="412" t="str">
        <f>IFERROR(VLOOKUP(Envoltória!$G106,$BQ$35:$BZ$43,BK$9,FALSE),"")</f>
        <v/>
      </c>
      <c r="BL98" s="412" t="str">
        <f>IFERROR(VLOOKUP(Envoltória!$G106,$BQ$35:$BZ$43,BL$9,FALSE),"")</f>
        <v/>
      </c>
      <c r="BM98" s="412" t="str">
        <f>IFERROR(VLOOKUP(Envoltória!$G106,$BQ$35:$BZ$43,BM$9,FALSE),"")</f>
        <v/>
      </c>
      <c r="BN98" s="412" t="str">
        <f>IFERROR(VLOOKUP(Envoltória!$G106,$BQ$35:$BZ$43,BN$9,FALSE),"")</f>
        <v/>
      </c>
      <c r="BO98" s="412" t="str">
        <f>IFERROR(VLOOKUP(Envoltória!$G106,$BQ$35:$BZ$43,BO$9,FALSE),"")</f>
        <v/>
      </c>
    </row>
    <row r="99" spans="1:67" x14ac:dyDescent="0.25">
      <c r="A99" s="1">
        <v>89</v>
      </c>
      <c r="B99" s="409">
        <f>Envoltória!I107</f>
        <v>0</v>
      </c>
      <c r="C99" s="410">
        <f>Envoltória!B107</f>
        <v>0</v>
      </c>
      <c r="D99" s="410">
        <f>Envoltória!C107</f>
        <v>0</v>
      </c>
      <c r="E99" s="411">
        <f>Envoltória!D107</f>
        <v>0</v>
      </c>
      <c r="F99" s="412" t="str">
        <f>IF(B99=0,"",Envoltória!E107)</f>
        <v/>
      </c>
      <c r="G99" s="412" t="str">
        <f t="shared" si="5"/>
        <v/>
      </c>
      <c r="H99" s="413" t="str">
        <f>IF(B99=0,"",IF(Envoltória!O107=0,0,VLOOKUP(B99,Aux_Lista!A:M,13,FALSE)))</f>
        <v/>
      </c>
      <c r="I99" s="413" t="str">
        <f>IF(B99=0,"",IF(BF99=1,VLOOKUP(Envoltória!N107,Componentes!T:AB,7,FALSE),89))</f>
        <v/>
      </c>
      <c r="J99" s="414" t="str">
        <f>IF(B99=0,"",Componentes!$Q$10)</f>
        <v/>
      </c>
      <c r="K99" s="414" t="str">
        <f>IF(B99=0,"",Componentes!$R$10)</f>
        <v/>
      </c>
      <c r="L99" s="413" t="str">
        <f>IF(B99=0,"",IFERROR(IF(BB99&lt;&gt;0,Componentes!$L$11,0),""))</f>
        <v/>
      </c>
      <c r="M99" s="413" t="str">
        <f>IF(B99=0,"",IFERROR(IF(BB99&lt;&gt;0,Componentes!$M$11,0),""))</f>
        <v/>
      </c>
      <c r="N99" s="415" t="str">
        <f>IF(B99=0,"",IFERROR(IF(BB99&lt;&gt;0,Componentes!$N$11,0),""))</f>
        <v/>
      </c>
      <c r="O99" s="413" t="str">
        <f>IF(B99=0,"",IF(BF99=1,Componentes!$C$11,-6))</f>
        <v/>
      </c>
      <c r="P99" s="413" t="str">
        <f>IF(B99=0,"",IF(BF99=1,Componentes!$D$11,-400))</f>
        <v/>
      </c>
      <c r="Q99" s="413" t="str">
        <f>IF(B99=0,"",IF(BF99=1,Componentes!$E$11,0))</f>
        <v/>
      </c>
      <c r="R99" s="414" t="str">
        <f>IF(B99=0,"",Componentes!$H$11)</f>
        <v/>
      </c>
      <c r="S99" s="414" t="str">
        <f>IF(B99=0,"",Componentes!$I$11)</f>
        <v/>
      </c>
      <c r="T99" s="413" t="str">
        <f>IF(B99=0,"",IFERROR(IF(H99&lt;&gt;0,Componentes!$V$11,0),""))</f>
        <v/>
      </c>
      <c r="U99" s="413" t="str">
        <f>IF(B99=0,"",IFERROR(IF(H99&lt;&gt;0,Componentes!$U$11,0),""))</f>
        <v/>
      </c>
      <c r="V99" s="414" t="str">
        <f>IF(B99=0,"",IFERROR(IF(AA99&lt;&gt;0,VLOOKUP(Envoltória!U107,Componentes!X:Z,2,FALSE),0),0))</f>
        <v/>
      </c>
      <c r="W99" s="414" t="str">
        <f>IF(B99=0,"",IFERROR(IF(AA99&lt;&gt;0,Componentes!$AE$11,0),0))</f>
        <v/>
      </c>
      <c r="X99" s="413" t="str">
        <f>IF(B99=0,"",Envoltória!U107)</f>
        <v/>
      </c>
      <c r="Y99" s="413" t="str">
        <f>IF(B99=0,"",VLOOKUP(Início!$C$20,Aux_Lista!A:H,8,FALSE))</f>
        <v/>
      </c>
      <c r="Z99" s="413" t="str">
        <f>IF(B99=0,"",Envoltória!T107)</f>
        <v/>
      </c>
      <c r="AA99" s="416" t="str">
        <f>IF(B99=0,"",Envoltória!Q107/100)</f>
        <v/>
      </c>
      <c r="AB99" s="417" t="str">
        <f>INPUT!AB99</f>
        <v/>
      </c>
      <c r="AC99" s="417" t="str">
        <f>INPUT!AC99</f>
        <v/>
      </c>
      <c r="AD99" s="417" t="str">
        <f>INPUT!AD99</f>
        <v/>
      </c>
      <c r="AE99" s="417" t="str">
        <f>INPUT!AE99</f>
        <v/>
      </c>
      <c r="AF99" s="417" t="str">
        <f>INPUT!AF99</f>
        <v/>
      </c>
      <c r="AG99" s="417" t="str">
        <f>INPUT!AG99</f>
        <v/>
      </c>
      <c r="AH99" s="417" t="str">
        <f>INPUT!AH99</f>
        <v/>
      </c>
      <c r="AI99" s="417" t="str">
        <f>INPUT!AI99</f>
        <v/>
      </c>
      <c r="AJ99" s="417" t="str">
        <f>INPUT!AJ99</f>
        <v/>
      </c>
      <c r="AK99" s="417" t="str">
        <f>INPUT!AK99</f>
        <v/>
      </c>
      <c r="AL99" s="417" t="str">
        <f>INPUT!AL99</f>
        <v/>
      </c>
      <c r="AM99" s="417" t="str">
        <f>INPUT!AM99</f>
        <v/>
      </c>
      <c r="AN99" s="417" t="str">
        <f>INPUT!AN99</f>
        <v/>
      </c>
      <c r="AO99" s="417" t="str">
        <f>INPUT!AO99</f>
        <v/>
      </c>
      <c r="AP99" s="413" t="str">
        <f>IF(B99=0,"",IF(BF99=0,90,VLOOKUP(Envoltória!N107,Componentes!T:AB,9,FALSE)))</f>
        <v/>
      </c>
      <c r="AQ99" s="413" t="str">
        <f>IF(B99=0,"",IF(BF99=0,90,VLOOKUP(Envoltória!N107,Componentes!T:AB,8,FALSE)))</f>
        <v/>
      </c>
      <c r="AR99" s="413" t="str">
        <f t="shared" si="6"/>
        <v/>
      </c>
      <c r="AS99" s="413" t="str">
        <f t="shared" si="6"/>
        <v/>
      </c>
      <c r="AT99" s="413" t="str">
        <f t="shared" si="6"/>
        <v/>
      </c>
      <c r="AU99" s="413" t="str">
        <f t="shared" si="6"/>
        <v/>
      </c>
      <c r="AV99" s="413" t="str">
        <f t="shared" si="6"/>
        <v/>
      </c>
      <c r="AW99" s="414" t="str">
        <f>INPUT!AW99</f>
        <v/>
      </c>
      <c r="AX99" s="414" t="str">
        <f>INPUT!AX99</f>
        <v/>
      </c>
      <c r="AY99" s="414" t="str">
        <f>INPUT!AY99</f>
        <v/>
      </c>
      <c r="AZ99" s="414" t="str">
        <f>INPUT!AZ99</f>
        <v/>
      </c>
      <c r="BA99" s="414" t="str">
        <f>INPUT!BA99</f>
        <v/>
      </c>
      <c r="BB99" s="414" t="str">
        <f>INPUT!BB99</f>
        <v/>
      </c>
      <c r="BC99" s="414" t="str">
        <f>INPUT!BC99</f>
        <v/>
      </c>
      <c r="BD99" s="414" t="str">
        <f>INPUT!BD99</f>
        <v/>
      </c>
      <c r="BE99" s="412" t="str">
        <f t="shared" si="7"/>
        <v/>
      </c>
      <c r="BF99" s="412" t="str">
        <f>IF(B99=0,"",IFERROR(VLOOKUP(Envoltória!F107,INPUT_REF!$BQ$18:$BR$19,2,FALSE),""))</f>
        <v/>
      </c>
      <c r="BG99" s="412" t="str">
        <f>IFERROR(VLOOKUP(Envoltória!$G107,$BQ$35:$BZ$43,BG$9,FALSE),"")</f>
        <v/>
      </c>
      <c r="BH99" s="412" t="str">
        <f>IFERROR(VLOOKUP(Envoltória!$G107,$BQ$35:$BZ$43,BH$9,FALSE),"")</f>
        <v/>
      </c>
      <c r="BI99" s="412" t="str">
        <f>IFERROR(VLOOKUP(Envoltória!$G107,$BQ$35:$BZ$43,BI$9,FALSE),"")</f>
        <v/>
      </c>
      <c r="BJ99" s="412" t="str">
        <f>IFERROR(VLOOKUP(Envoltória!$G107,$BQ$35:$BZ$43,BJ$9,FALSE),"")</f>
        <v/>
      </c>
      <c r="BK99" s="412" t="str">
        <f>IFERROR(VLOOKUP(Envoltória!$G107,$BQ$35:$BZ$43,BK$9,FALSE),"")</f>
        <v/>
      </c>
      <c r="BL99" s="412" t="str">
        <f>IFERROR(VLOOKUP(Envoltória!$G107,$BQ$35:$BZ$43,BL$9,FALSE),"")</f>
        <v/>
      </c>
      <c r="BM99" s="412" t="str">
        <f>IFERROR(VLOOKUP(Envoltória!$G107,$BQ$35:$BZ$43,BM$9,FALSE),"")</f>
        <v/>
      </c>
      <c r="BN99" s="412" t="str">
        <f>IFERROR(VLOOKUP(Envoltória!$G107,$BQ$35:$BZ$43,BN$9,FALSE),"")</f>
        <v/>
      </c>
      <c r="BO99" s="412" t="str">
        <f>IFERROR(VLOOKUP(Envoltória!$G107,$BQ$35:$BZ$43,BO$9,FALSE),"")</f>
        <v/>
      </c>
    </row>
    <row r="100" spans="1:67" x14ac:dyDescent="0.25">
      <c r="A100" s="1">
        <v>90</v>
      </c>
      <c r="B100" s="409">
        <f>Envoltória!I108</f>
        <v>0</v>
      </c>
      <c r="C100" s="410">
        <f>Envoltória!B108</f>
        <v>0</v>
      </c>
      <c r="D100" s="410">
        <f>Envoltória!C108</f>
        <v>0</v>
      </c>
      <c r="E100" s="411">
        <f>Envoltória!D108</f>
        <v>0</v>
      </c>
      <c r="F100" s="412" t="str">
        <f>IF(B100=0,"",Envoltória!E108)</f>
        <v/>
      </c>
      <c r="G100" s="412" t="str">
        <f t="shared" si="5"/>
        <v/>
      </c>
      <c r="H100" s="413" t="str">
        <f>IF(B100=0,"",IF(Envoltória!O108=0,0,VLOOKUP(B100,Aux_Lista!A:M,13,FALSE)))</f>
        <v/>
      </c>
      <c r="I100" s="413" t="str">
        <f>IF(B100=0,"",IF(BF100=1,VLOOKUP(Envoltória!N108,Componentes!T:AB,7,FALSE),89))</f>
        <v/>
      </c>
      <c r="J100" s="414" t="str">
        <f>IF(B100=0,"",Componentes!$Q$10)</f>
        <v/>
      </c>
      <c r="K100" s="414" t="str">
        <f>IF(B100=0,"",Componentes!$R$10)</f>
        <v/>
      </c>
      <c r="L100" s="413" t="str">
        <f>IF(B100=0,"",IFERROR(IF(BB100&lt;&gt;0,Componentes!$L$11,0),""))</f>
        <v/>
      </c>
      <c r="M100" s="413" t="str">
        <f>IF(B100=0,"",IFERROR(IF(BB100&lt;&gt;0,Componentes!$M$11,0),""))</f>
        <v/>
      </c>
      <c r="N100" s="415" t="str">
        <f>IF(B100=0,"",IFERROR(IF(BB100&lt;&gt;0,Componentes!$N$11,0),""))</f>
        <v/>
      </c>
      <c r="O100" s="413" t="str">
        <f>IF(B100=0,"",IF(BF100=1,Componentes!$C$11,-6))</f>
        <v/>
      </c>
      <c r="P100" s="413" t="str">
        <f>IF(B100=0,"",IF(BF100=1,Componentes!$D$11,-400))</f>
        <v/>
      </c>
      <c r="Q100" s="413" t="str">
        <f>IF(B100=0,"",IF(BF100=1,Componentes!$E$11,0))</f>
        <v/>
      </c>
      <c r="R100" s="414" t="str">
        <f>IF(B100=0,"",Componentes!$H$11)</f>
        <v/>
      </c>
      <c r="S100" s="414" t="str">
        <f>IF(B100=0,"",Componentes!$I$11)</f>
        <v/>
      </c>
      <c r="T100" s="413" t="str">
        <f>IF(B100=0,"",IFERROR(IF(H100&lt;&gt;0,Componentes!$V$11,0),""))</f>
        <v/>
      </c>
      <c r="U100" s="413" t="str">
        <f>IF(B100=0,"",IFERROR(IF(H100&lt;&gt;0,Componentes!$U$11,0),""))</f>
        <v/>
      </c>
      <c r="V100" s="414" t="str">
        <f>IF(B100=0,"",IFERROR(IF(AA100&lt;&gt;0,VLOOKUP(Envoltória!U108,Componentes!X:Z,2,FALSE),0),0))</f>
        <v/>
      </c>
      <c r="W100" s="414" t="str">
        <f>IF(B100=0,"",IFERROR(IF(AA100&lt;&gt;0,Componentes!$AE$11,0),0))</f>
        <v/>
      </c>
      <c r="X100" s="413" t="str">
        <f>IF(B100=0,"",Envoltória!U108)</f>
        <v/>
      </c>
      <c r="Y100" s="413" t="str">
        <f>IF(B100=0,"",VLOOKUP(Início!$C$20,Aux_Lista!A:H,8,FALSE))</f>
        <v/>
      </c>
      <c r="Z100" s="413" t="str">
        <f>IF(B100=0,"",Envoltória!T108)</f>
        <v/>
      </c>
      <c r="AA100" s="416" t="str">
        <f>IF(B100=0,"",Envoltória!Q108/100)</f>
        <v/>
      </c>
      <c r="AB100" s="417" t="str">
        <f>INPUT!AB100</f>
        <v/>
      </c>
      <c r="AC100" s="417" t="str">
        <f>INPUT!AC100</f>
        <v/>
      </c>
      <c r="AD100" s="417" t="str">
        <f>INPUT!AD100</f>
        <v/>
      </c>
      <c r="AE100" s="417" t="str">
        <f>INPUT!AE100</f>
        <v/>
      </c>
      <c r="AF100" s="417" t="str">
        <f>INPUT!AF100</f>
        <v/>
      </c>
      <c r="AG100" s="417" t="str">
        <f>INPUT!AG100</f>
        <v/>
      </c>
      <c r="AH100" s="417" t="str">
        <f>INPUT!AH100</f>
        <v/>
      </c>
      <c r="AI100" s="417" t="str">
        <f>INPUT!AI100</f>
        <v/>
      </c>
      <c r="AJ100" s="417" t="str">
        <f>INPUT!AJ100</f>
        <v/>
      </c>
      <c r="AK100" s="417" t="str">
        <f>INPUT!AK100</f>
        <v/>
      </c>
      <c r="AL100" s="417" t="str">
        <f>INPUT!AL100</f>
        <v/>
      </c>
      <c r="AM100" s="417" t="str">
        <f>INPUT!AM100</f>
        <v/>
      </c>
      <c r="AN100" s="417" t="str">
        <f>INPUT!AN100</f>
        <v/>
      </c>
      <c r="AO100" s="417" t="str">
        <f>INPUT!AO100</f>
        <v/>
      </c>
      <c r="AP100" s="413" t="str">
        <f>IF(B100=0,"",IF(BF100=0,90,VLOOKUP(Envoltória!N108,Componentes!T:AB,9,FALSE)))</f>
        <v/>
      </c>
      <c r="AQ100" s="413" t="str">
        <f>IF(B100=0,"",IF(BF100=0,90,VLOOKUP(Envoltória!N108,Componentes!T:AB,8,FALSE)))</f>
        <v/>
      </c>
      <c r="AR100" s="413" t="str">
        <f t="shared" si="6"/>
        <v/>
      </c>
      <c r="AS100" s="413" t="str">
        <f t="shared" si="6"/>
        <v/>
      </c>
      <c r="AT100" s="413" t="str">
        <f t="shared" si="6"/>
        <v/>
      </c>
      <c r="AU100" s="413" t="str">
        <f t="shared" si="6"/>
        <v/>
      </c>
      <c r="AV100" s="413" t="str">
        <f t="shared" si="6"/>
        <v/>
      </c>
      <c r="AW100" s="414" t="str">
        <f>INPUT!AW100</f>
        <v/>
      </c>
      <c r="AX100" s="414" t="str">
        <f>INPUT!AX100</f>
        <v/>
      </c>
      <c r="AY100" s="414" t="str">
        <f>INPUT!AY100</f>
        <v/>
      </c>
      <c r="AZ100" s="414" t="str">
        <f>INPUT!AZ100</f>
        <v/>
      </c>
      <c r="BA100" s="414" t="str">
        <f>INPUT!BA100</f>
        <v/>
      </c>
      <c r="BB100" s="414" t="str">
        <f>INPUT!BB100</f>
        <v/>
      </c>
      <c r="BC100" s="414" t="str">
        <f>INPUT!BC100</f>
        <v/>
      </c>
      <c r="BD100" s="414" t="str">
        <f>INPUT!BD100</f>
        <v/>
      </c>
      <c r="BE100" s="412" t="str">
        <f t="shared" si="7"/>
        <v/>
      </c>
      <c r="BF100" s="412" t="str">
        <f>IF(B100=0,"",IFERROR(VLOOKUP(Envoltória!F108,INPUT_REF!$BQ$18:$BR$19,2,FALSE),""))</f>
        <v/>
      </c>
      <c r="BG100" s="412" t="str">
        <f>IFERROR(VLOOKUP(Envoltória!$G108,$BQ$35:$BZ$43,BG$9,FALSE),"")</f>
        <v/>
      </c>
      <c r="BH100" s="412" t="str">
        <f>IFERROR(VLOOKUP(Envoltória!$G108,$BQ$35:$BZ$43,BH$9,FALSE),"")</f>
        <v/>
      </c>
      <c r="BI100" s="412" t="str">
        <f>IFERROR(VLOOKUP(Envoltória!$G108,$BQ$35:$BZ$43,BI$9,FALSE),"")</f>
        <v/>
      </c>
      <c r="BJ100" s="412" t="str">
        <f>IFERROR(VLOOKUP(Envoltória!$G108,$BQ$35:$BZ$43,BJ$9,FALSE),"")</f>
        <v/>
      </c>
      <c r="BK100" s="412" t="str">
        <f>IFERROR(VLOOKUP(Envoltória!$G108,$BQ$35:$BZ$43,BK$9,FALSE),"")</f>
        <v/>
      </c>
      <c r="BL100" s="412" t="str">
        <f>IFERROR(VLOOKUP(Envoltória!$G108,$BQ$35:$BZ$43,BL$9,FALSE),"")</f>
        <v/>
      </c>
      <c r="BM100" s="412" t="str">
        <f>IFERROR(VLOOKUP(Envoltória!$G108,$BQ$35:$BZ$43,BM$9,FALSE),"")</f>
        <v/>
      </c>
      <c r="BN100" s="412" t="str">
        <f>IFERROR(VLOOKUP(Envoltória!$G108,$BQ$35:$BZ$43,BN$9,FALSE),"")</f>
        <v/>
      </c>
      <c r="BO100" s="412" t="str">
        <f>IFERROR(VLOOKUP(Envoltória!$G108,$BQ$35:$BZ$43,BO$9,FALSE),"")</f>
        <v/>
      </c>
    </row>
    <row r="101" spans="1:67" x14ac:dyDescent="0.25">
      <c r="A101" s="1">
        <v>91</v>
      </c>
      <c r="B101" s="409">
        <f>Envoltória!I109</f>
        <v>0</v>
      </c>
      <c r="C101" s="410">
        <f>Envoltória!B109</f>
        <v>0</v>
      </c>
      <c r="D101" s="410">
        <f>Envoltória!C109</f>
        <v>0</v>
      </c>
      <c r="E101" s="411">
        <f>Envoltória!D109</f>
        <v>0</v>
      </c>
      <c r="F101" s="412" t="str">
        <f>IF(B101=0,"",Envoltória!E109)</f>
        <v/>
      </c>
      <c r="G101" s="412" t="str">
        <f t="shared" si="5"/>
        <v/>
      </c>
      <c r="H101" s="413" t="str">
        <f>IF(B101=0,"",IF(Envoltória!O109=0,0,VLOOKUP(B101,Aux_Lista!A:M,13,FALSE)))</f>
        <v/>
      </c>
      <c r="I101" s="413" t="str">
        <f>IF(B101=0,"",IF(BF101=1,VLOOKUP(Envoltória!N109,Componentes!T:AB,7,FALSE),89))</f>
        <v/>
      </c>
      <c r="J101" s="414" t="str">
        <f>IF(B101=0,"",Componentes!$Q$10)</f>
        <v/>
      </c>
      <c r="K101" s="414" t="str">
        <f>IF(B101=0,"",Componentes!$R$10)</f>
        <v/>
      </c>
      <c r="L101" s="413" t="str">
        <f>IF(B101=0,"",IFERROR(IF(BB101&lt;&gt;0,Componentes!$L$11,0),""))</f>
        <v/>
      </c>
      <c r="M101" s="413" t="str">
        <f>IF(B101=0,"",IFERROR(IF(BB101&lt;&gt;0,Componentes!$M$11,0),""))</f>
        <v/>
      </c>
      <c r="N101" s="415" t="str">
        <f>IF(B101=0,"",IFERROR(IF(BB101&lt;&gt;0,Componentes!$N$11,0),""))</f>
        <v/>
      </c>
      <c r="O101" s="413" t="str">
        <f>IF(B101=0,"",IF(BF101=1,Componentes!$C$11,-6))</f>
        <v/>
      </c>
      <c r="P101" s="413" t="str">
        <f>IF(B101=0,"",IF(BF101=1,Componentes!$D$11,-400))</f>
        <v/>
      </c>
      <c r="Q101" s="413" t="str">
        <f>IF(B101=0,"",IF(BF101=1,Componentes!$E$11,0))</f>
        <v/>
      </c>
      <c r="R101" s="414" t="str">
        <f>IF(B101=0,"",Componentes!$H$11)</f>
        <v/>
      </c>
      <c r="S101" s="414" t="str">
        <f>IF(B101=0,"",Componentes!$I$11)</f>
        <v/>
      </c>
      <c r="T101" s="413" t="str">
        <f>IF(B101=0,"",IFERROR(IF(H101&lt;&gt;0,Componentes!$V$11,0),""))</f>
        <v/>
      </c>
      <c r="U101" s="413" t="str">
        <f>IF(B101=0,"",IFERROR(IF(H101&lt;&gt;0,Componentes!$U$11,0),""))</f>
        <v/>
      </c>
      <c r="V101" s="414" t="str">
        <f>IF(B101=0,"",IFERROR(IF(AA101&lt;&gt;0,VLOOKUP(Envoltória!U109,Componentes!X:Z,2,FALSE),0),0))</f>
        <v/>
      </c>
      <c r="W101" s="414" t="str">
        <f>IF(B101=0,"",IFERROR(IF(AA101&lt;&gt;0,Componentes!$AE$11,0),0))</f>
        <v/>
      </c>
      <c r="X101" s="413" t="str">
        <f>IF(B101=0,"",Envoltória!U109)</f>
        <v/>
      </c>
      <c r="Y101" s="413" t="str">
        <f>IF(B101=0,"",VLOOKUP(Início!$C$20,Aux_Lista!A:H,8,FALSE))</f>
        <v/>
      </c>
      <c r="Z101" s="413" t="str">
        <f>IF(B101=0,"",Envoltória!T109)</f>
        <v/>
      </c>
      <c r="AA101" s="416" t="str">
        <f>IF(B101=0,"",Envoltória!Q109/100)</f>
        <v/>
      </c>
      <c r="AB101" s="417" t="str">
        <f>INPUT!AB101</f>
        <v/>
      </c>
      <c r="AC101" s="417" t="str">
        <f>INPUT!AC101</f>
        <v/>
      </c>
      <c r="AD101" s="417" t="str">
        <f>INPUT!AD101</f>
        <v/>
      </c>
      <c r="AE101" s="417" t="str">
        <f>INPUT!AE101</f>
        <v/>
      </c>
      <c r="AF101" s="417" t="str">
        <f>INPUT!AF101</f>
        <v/>
      </c>
      <c r="AG101" s="417" t="str">
        <f>INPUT!AG101</f>
        <v/>
      </c>
      <c r="AH101" s="417" t="str">
        <f>INPUT!AH101</f>
        <v/>
      </c>
      <c r="AI101" s="417" t="str">
        <f>INPUT!AI101</f>
        <v/>
      </c>
      <c r="AJ101" s="417" t="str">
        <f>INPUT!AJ101</f>
        <v/>
      </c>
      <c r="AK101" s="417" t="str">
        <f>INPUT!AK101</f>
        <v/>
      </c>
      <c r="AL101" s="417" t="str">
        <f>INPUT!AL101</f>
        <v/>
      </c>
      <c r="AM101" s="417" t="str">
        <f>INPUT!AM101</f>
        <v/>
      </c>
      <c r="AN101" s="417" t="str">
        <f>INPUT!AN101</f>
        <v/>
      </c>
      <c r="AO101" s="417" t="str">
        <f>INPUT!AO101</f>
        <v/>
      </c>
      <c r="AP101" s="413" t="str">
        <f>IF(B101=0,"",IF(BF101=0,90,VLOOKUP(Envoltória!N109,Componentes!T:AB,9,FALSE)))</f>
        <v/>
      </c>
      <c r="AQ101" s="413" t="str">
        <f>IF(B101=0,"",IF(BF101=0,90,VLOOKUP(Envoltória!N109,Componentes!T:AB,8,FALSE)))</f>
        <v/>
      </c>
      <c r="AR101" s="413" t="str">
        <f t="shared" si="6"/>
        <v/>
      </c>
      <c r="AS101" s="413" t="str">
        <f t="shared" si="6"/>
        <v/>
      </c>
      <c r="AT101" s="413" t="str">
        <f t="shared" si="6"/>
        <v/>
      </c>
      <c r="AU101" s="413" t="str">
        <f t="shared" si="6"/>
        <v/>
      </c>
      <c r="AV101" s="413" t="str">
        <f t="shared" si="6"/>
        <v/>
      </c>
      <c r="AW101" s="414" t="str">
        <f>INPUT!AW101</f>
        <v/>
      </c>
      <c r="AX101" s="414" t="str">
        <f>INPUT!AX101</f>
        <v/>
      </c>
      <c r="AY101" s="414" t="str">
        <f>INPUT!AY101</f>
        <v/>
      </c>
      <c r="AZ101" s="414" t="str">
        <f>INPUT!AZ101</f>
        <v/>
      </c>
      <c r="BA101" s="414" t="str">
        <f>INPUT!BA101</f>
        <v/>
      </c>
      <c r="BB101" s="414" t="str">
        <f>INPUT!BB101</f>
        <v/>
      </c>
      <c r="BC101" s="414" t="str">
        <f>INPUT!BC101</f>
        <v/>
      </c>
      <c r="BD101" s="414" t="str">
        <f>INPUT!BD101</f>
        <v/>
      </c>
      <c r="BE101" s="412" t="str">
        <f t="shared" si="7"/>
        <v/>
      </c>
      <c r="BF101" s="412" t="str">
        <f>IF(B101=0,"",IFERROR(VLOOKUP(Envoltória!F109,INPUT_REF!$BQ$18:$BR$19,2,FALSE),""))</f>
        <v/>
      </c>
      <c r="BG101" s="412" t="str">
        <f>IFERROR(VLOOKUP(Envoltória!$G109,$BQ$35:$BZ$43,BG$9,FALSE),"")</f>
        <v/>
      </c>
      <c r="BH101" s="412" t="str">
        <f>IFERROR(VLOOKUP(Envoltória!$G109,$BQ$35:$BZ$43,BH$9,FALSE),"")</f>
        <v/>
      </c>
      <c r="BI101" s="412" t="str">
        <f>IFERROR(VLOOKUP(Envoltória!$G109,$BQ$35:$BZ$43,BI$9,FALSE),"")</f>
        <v/>
      </c>
      <c r="BJ101" s="412" t="str">
        <f>IFERROR(VLOOKUP(Envoltória!$G109,$BQ$35:$BZ$43,BJ$9,FALSE),"")</f>
        <v/>
      </c>
      <c r="BK101" s="412" t="str">
        <f>IFERROR(VLOOKUP(Envoltória!$G109,$BQ$35:$BZ$43,BK$9,FALSE),"")</f>
        <v/>
      </c>
      <c r="BL101" s="412" t="str">
        <f>IFERROR(VLOOKUP(Envoltória!$G109,$BQ$35:$BZ$43,BL$9,FALSE),"")</f>
        <v/>
      </c>
      <c r="BM101" s="412" t="str">
        <f>IFERROR(VLOOKUP(Envoltória!$G109,$BQ$35:$BZ$43,BM$9,FALSE),"")</f>
        <v/>
      </c>
      <c r="BN101" s="412" t="str">
        <f>IFERROR(VLOOKUP(Envoltória!$G109,$BQ$35:$BZ$43,BN$9,FALSE),"")</f>
        <v/>
      </c>
      <c r="BO101" s="412" t="str">
        <f>IFERROR(VLOOKUP(Envoltória!$G109,$BQ$35:$BZ$43,BO$9,FALSE),"")</f>
        <v/>
      </c>
    </row>
    <row r="102" spans="1:67" x14ac:dyDescent="0.25">
      <c r="A102" s="1">
        <v>92</v>
      </c>
      <c r="B102" s="409">
        <f>Envoltória!I110</f>
        <v>0</v>
      </c>
      <c r="C102" s="410">
        <f>Envoltória!B110</f>
        <v>0</v>
      </c>
      <c r="D102" s="410">
        <f>Envoltória!C110</f>
        <v>0</v>
      </c>
      <c r="E102" s="411">
        <f>Envoltória!D110</f>
        <v>0</v>
      </c>
      <c r="F102" s="412" t="str">
        <f>IF(B102=0,"",Envoltória!E110)</f>
        <v/>
      </c>
      <c r="G102" s="412" t="str">
        <f t="shared" si="5"/>
        <v/>
      </c>
      <c r="H102" s="413" t="str">
        <f>IF(B102=0,"",IF(Envoltória!O110=0,0,VLOOKUP(B102,Aux_Lista!A:M,13,FALSE)))</f>
        <v/>
      </c>
      <c r="I102" s="413" t="str">
        <f>IF(B102=0,"",IF(BF102=1,VLOOKUP(Envoltória!N110,Componentes!T:AB,7,FALSE),89))</f>
        <v/>
      </c>
      <c r="J102" s="414" t="str">
        <f>IF(B102=0,"",Componentes!$Q$10)</f>
        <v/>
      </c>
      <c r="K102" s="414" t="str">
        <f>IF(B102=0,"",Componentes!$R$10)</f>
        <v/>
      </c>
      <c r="L102" s="413" t="str">
        <f>IF(B102=0,"",IFERROR(IF(BB102&lt;&gt;0,Componentes!$L$11,0),""))</f>
        <v/>
      </c>
      <c r="M102" s="413" t="str">
        <f>IF(B102=0,"",IFERROR(IF(BB102&lt;&gt;0,Componentes!$M$11,0),""))</f>
        <v/>
      </c>
      <c r="N102" s="415" t="str">
        <f>IF(B102=0,"",IFERROR(IF(BB102&lt;&gt;0,Componentes!$N$11,0),""))</f>
        <v/>
      </c>
      <c r="O102" s="413" t="str">
        <f>IF(B102=0,"",IF(BF102=1,Componentes!$C$11,-6))</f>
        <v/>
      </c>
      <c r="P102" s="413" t="str">
        <f>IF(B102=0,"",IF(BF102=1,Componentes!$D$11,-400))</f>
        <v/>
      </c>
      <c r="Q102" s="413" t="str">
        <f>IF(B102=0,"",IF(BF102=1,Componentes!$E$11,0))</f>
        <v/>
      </c>
      <c r="R102" s="414" t="str">
        <f>IF(B102=0,"",Componentes!$H$11)</f>
        <v/>
      </c>
      <c r="S102" s="414" t="str">
        <f>IF(B102=0,"",Componentes!$I$11)</f>
        <v/>
      </c>
      <c r="T102" s="413" t="str">
        <f>IF(B102=0,"",IFERROR(IF(H102&lt;&gt;0,Componentes!$V$11,0),""))</f>
        <v/>
      </c>
      <c r="U102" s="413" t="str">
        <f>IF(B102=0,"",IFERROR(IF(H102&lt;&gt;0,Componentes!$U$11,0),""))</f>
        <v/>
      </c>
      <c r="V102" s="414" t="str">
        <f>IF(B102=0,"",IFERROR(IF(AA102&lt;&gt;0,VLOOKUP(Envoltória!U110,Componentes!X:Z,2,FALSE),0),0))</f>
        <v/>
      </c>
      <c r="W102" s="414" t="str">
        <f>IF(B102=0,"",IFERROR(IF(AA102&lt;&gt;0,Componentes!$AE$11,0),0))</f>
        <v/>
      </c>
      <c r="X102" s="413" t="str">
        <f>IF(B102=0,"",Envoltória!U110)</f>
        <v/>
      </c>
      <c r="Y102" s="413" t="str">
        <f>IF(B102=0,"",VLOOKUP(Início!$C$20,Aux_Lista!A:H,8,FALSE))</f>
        <v/>
      </c>
      <c r="Z102" s="413" t="str">
        <f>IF(B102=0,"",Envoltória!T110)</f>
        <v/>
      </c>
      <c r="AA102" s="416" t="str">
        <f>IF(B102=0,"",Envoltória!Q110/100)</f>
        <v/>
      </c>
      <c r="AB102" s="417" t="str">
        <f>INPUT!AB102</f>
        <v/>
      </c>
      <c r="AC102" s="417" t="str">
        <f>INPUT!AC102</f>
        <v/>
      </c>
      <c r="AD102" s="417" t="str">
        <f>INPUT!AD102</f>
        <v/>
      </c>
      <c r="AE102" s="417" t="str">
        <f>INPUT!AE102</f>
        <v/>
      </c>
      <c r="AF102" s="417" t="str">
        <f>INPUT!AF102</f>
        <v/>
      </c>
      <c r="AG102" s="417" t="str">
        <f>INPUT!AG102</f>
        <v/>
      </c>
      <c r="AH102" s="417" t="str">
        <f>INPUT!AH102</f>
        <v/>
      </c>
      <c r="AI102" s="417" t="str">
        <f>INPUT!AI102</f>
        <v/>
      </c>
      <c r="AJ102" s="417" t="str">
        <f>INPUT!AJ102</f>
        <v/>
      </c>
      <c r="AK102" s="417" t="str">
        <f>INPUT!AK102</f>
        <v/>
      </c>
      <c r="AL102" s="417" t="str">
        <f>INPUT!AL102</f>
        <v/>
      </c>
      <c r="AM102" s="417" t="str">
        <f>INPUT!AM102</f>
        <v/>
      </c>
      <c r="AN102" s="417" t="str">
        <f>INPUT!AN102</f>
        <v/>
      </c>
      <c r="AO102" s="417" t="str">
        <f>INPUT!AO102</f>
        <v/>
      </c>
      <c r="AP102" s="413" t="str">
        <f>IF(B102=0,"",IF(BF102=0,90,VLOOKUP(Envoltória!N110,Componentes!T:AB,9,FALSE)))</f>
        <v/>
      </c>
      <c r="AQ102" s="413" t="str">
        <f>IF(B102=0,"",IF(BF102=0,90,VLOOKUP(Envoltória!N110,Componentes!T:AB,8,FALSE)))</f>
        <v/>
      </c>
      <c r="AR102" s="413" t="str">
        <f t="shared" si="6"/>
        <v/>
      </c>
      <c r="AS102" s="413" t="str">
        <f t="shared" si="6"/>
        <v/>
      </c>
      <c r="AT102" s="413" t="str">
        <f t="shared" si="6"/>
        <v/>
      </c>
      <c r="AU102" s="413" t="str">
        <f t="shared" si="6"/>
        <v/>
      </c>
      <c r="AV102" s="413" t="str">
        <f t="shared" si="6"/>
        <v/>
      </c>
      <c r="AW102" s="414" t="str">
        <f>INPUT!AW102</f>
        <v/>
      </c>
      <c r="AX102" s="414" t="str">
        <f>INPUT!AX102</f>
        <v/>
      </c>
      <c r="AY102" s="414" t="str">
        <f>INPUT!AY102</f>
        <v/>
      </c>
      <c r="AZ102" s="414" t="str">
        <f>INPUT!AZ102</f>
        <v/>
      </c>
      <c r="BA102" s="414" t="str">
        <f>INPUT!BA102</f>
        <v/>
      </c>
      <c r="BB102" s="414" t="str">
        <f>INPUT!BB102</f>
        <v/>
      </c>
      <c r="BC102" s="414" t="str">
        <f>INPUT!BC102</f>
        <v/>
      </c>
      <c r="BD102" s="414" t="str">
        <f>INPUT!BD102</f>
        <v/>
      </c>
      <c r="BE102" s="412" t="str">
        <f t="shared" si="7"/>
        <v/>
      </c>
      <c r="BF102" s="412" t="str">
        <f>IF(B102=0,"",IFERROR(VLOOKUP(Envoltória!F110,INPUT_REF!$BQ$18:$BR$19,2,FALSE),""))</f>
        <v/>
      </c>
      <c r="BG102" s="412" t="str">
        <f>IFERROR(VLOOKUP(Envoltória!$G110,$BQ$35:$BZ$43,BG$9,FALSE),"")</f>
        <v/>
      </c>
      <c r="BH102" s="412" t="str">
        <f>IFERROR(VLOOKUP(Envoltória!$G110,$BQ$35:$BZ$43,BH$9,FALSE),"")</f>
        <v/>
      </c>
      <c r="BI102" s="412" t="str">
        <f>IFERROR(VLOOKUP(Envoltória!$G110,$BQ$35:$BZ$43,BI$9,FALSE),"")</f>
        <v/>
      </c>
      <c r="BJ102" s="412" t="str">
        <f>IFERROR(VLOOKUP(Envoltória!$G110,$BQ$35:$BZ$43,BJ$9,FALSE),"")</f>
        <v/>
      </c>
      <c r="BK102" s="412" t="str">
        <f>IFERROR(VLOOKUP(Envoltória!$G110,$BQ$35:$BZ$43,BK$9,FALSE),"")</f>
        <v/>
      </c>
      <c r="BL102" s="412" t="str">
        <f>IFERROR(VLOOKUP(Envoltória!$G110,$BQ$35:$BZ$43,BL$9,FALSE),"")</f>
        <v/>
      </c>
      <c r="BM102" s="412" t="str">
        <f>IFERROR(VLOOKUP(Envoltória!$G110,$BQ$35:$BZ$43,BM$9,FALSE),"")</f>
        <v/>
      </c>
      <c r="BN102" s="412" t="str">
        <f>IFERROR(VLOOKUP(Envoltória!$G110,$BQ$35:$BZ$43,BN$9,FALSE),"")</f>
        <v/>
      </c>
      <c r="BO102" s="412" t="str">
        <f>IFERROR(VLOOKUP(Envoltória!$G110,$BQ$35:$BZ$43,BO$9,FALSE),"")</f>
        <v/>
      </c>
    </row>
    <row r="103" spans="1:67" x14ac:dyDescent="0.25">
      <c r="A103" s="1">
        <v>93</v>
      </c>
      <c r="B103" s="409">
        <f>Envoltória!I111</f>
        <v>0</v>
      </c>
      <c r="C103" s="410">
        <f>Envoltória!B111</f>
        <v>0</v>
      </c>
      <c r="D103" s="410">
        <f>Envoltória!C111</f>
        <v>0</v>
      </c>
      <c r="E103" s="411">
        <f>Envoltória!D111</f>
        <v>0</v>
      </c>
      <c r="F103" s="412" t="str">
        <f>IF(B103=0,"",Envoltória!E111)</f>
        <v/>
      </c>
      <c r="G103" s="412" t="str">
        <f t="shared" si="5"/>
        <v/>
      </c>
      <c r="H103" s="413" t="str">
        <f>IF(B103=0,"",IF(Envoltória!O111=0,0,VLOOKUP(B103,Aux_Lista!A:M,13,FALSE)))</f>
        <v/>
      </c>
      <c r="I103" s="413" t="str">
        <f>IF(B103=0,"",IF(BF103=1,VLOOKUP(Envoltória!N111,Componentes!T:AB,7,FALSE),89))</f>
        <v/>
      </c>
      <c r="J103" s="414" t="str">
        <f>IF(B103=0,"",Componentes!$Q$10)</f>
        <v/>
      </c>
      <c r="K103" s="414" t="str">
        <f>IF(B103=0,"",Componentes!$R$10)</f>
        <v/>
      </c>
      <c r="L103" s="413" t="str">
        <f>IF(B103=0,"",IFERROR(IF(BB103&lt;&gt;0,Componentes!$L$11,0),""))</f>
        <v/>
      </c>
      <c r="M103" s="413" t="str">
        <f>IF(B103=0,"",IFERROR(IF(BB103&lt;&gt;0,Componentes!$M$11,0),""))</f>
        <v/>
      </c>
      <c r="N103" s="415" t="str">
        <f>IF(B103=0,"",IFERROR(IF(BB103&lt;&gt;0,Componentes!$N$11,0),""))</f>
        <v/>
      </c>
      <c r="O103" s="413" t="str">
        <f>IF(B103=0,"",IF(BF103=1,Componentes!$C$11,-6))</f>
        <v/>
      </c>
      <c r="P103" s="413" t="str">
        <f>IF(B103=0,"",IF(BF103=1,Componentes!$D$11,-400))</f>
        <v/>
      </c>
      <c r="Q103" s="413" t="str">
        <f>IF(B103=0,"",IF(BF103=1,Componentes!$E$11,0))</f>
        <v/>
      </c>
      <c r="R103" s="414" t="str">
        <f>IF(B103=0,"",Componentes!$H$11)</f>
        <v/>
      </c>
      <c r="S103" s="414" t="str">
        <f>IF(B103=0,"",Componentes!$I$11)</f>
        <v/>
      </c>
      <c r="T103" s="413" t="str">
        <f>IF(B103=0,"",IFERROR(IF(H103&lt;&gt;0,Componentes!$V$11,0),""))</f>
        <v/>
      </c>
      <c r="U103" s="413" t="str">
        <f>IF(B103=0,"",IFERROR(IF(H103&lt;&gt;0,Componentes!$U$11,0),""))</f>
        <v/>
      </c>
      <c r="V103" s="414" t="str">
        <f>IF(B103=0,"",IFERROR(IF(AA103&lt;&gt;0,VLOOKUP(Envoltória!U111,Componentes!X:Z,2,FALSE),0),0))</f>
        <v/>
      </c>
      <c r="W103" s="414" t="str">
        <f>IF(B103=0,"",IFERROR(IF(AA103&lt;&gt;0,Componentes!$AE$11,0),0))</f>
        <v/>
      </c>
      <c r="X103" s="413" t="str">
        <f>IF(B103=0,"",Envoltória!U111)</f>
        <v/>
      </c>
      <c r="Y103" s="413" t="str">
        <f>IF(B103=0,"",VLOOKUP(Início!$C$20,Aux_Lista!A:H,8,FALSE))</f>
        <v/>
      </c>
      <c r="Z103" s="413" t="str">
        <f>IF(B103=0,"",Envoltória!T111)</f>
        <v/>
      </c>
      <c r="AA103" s="416" t="str">
        <f>IF(B103=0,"",Envoltória!Q111/100)</f>
        <v/>
      </c>
      <c r="AB103" s="417" t="str">
        <f>INPUT!AB103</f>
        <v/>
      </c>
      <c r="AC103" s="417" t="str">
        <f>INPUT!AC103</f>
        <v/>
      </c>
      <c r="AD103" s="417" t="str">
        <f>INPUT!AD103</f>
        <v/>
      </c>
      <c r="AE103" s="417" t="str">
        <f>INPUT!AE103</f>
        <v/>
      </c>
      <c r="AF103" s="417" t="str">
        <f>INPUT!AF103</f>
        <v/>
      </c>
      <c r="AG103" s="417" t="str">
        <f>INPUT!AG103</f>
        <v/>
      </c>
      <c r="AH103" s="417" t="str">
        <f>INPUT!AH103</f>
        <v/>
      </c>
      <c r="AI103" s="417" t="str">
        <f>INPUT!AI103</f>
        <v/>
      </c>
      <c r="AJ103" s="417" t="str">
        <f>INPUT!AJ103</f>
        <v/>
      </c>
      <c r="AK103" s="417" t="str">
        <f>INPUT!AK103</f>
        <v/>
      </c>
      <c r="AL103" s="417" t="str">
        <f>INPUT!AL103</f>
        <v/>
      </c>
      <c r="AM103" s="417" t="str">
        <f>INPUT!AM103</f>
        <v/>
      </c>
      <c r="AN103" s="417" t="str">
        <f>INPUT!AN103</f>
        <v/>
      </c>
      <c r="AO103" s="417" t="str">
        <f>INPUT!AO103</f>
        <v/>
      </c>
      <c r="AP103" s="413" t="str">
        <f>IF(B103=0,"",IF(BF103=0,90,VLOOKUP(Envoltória!N111,Componentes!T:AB,9,FALSE)))</f>
        <v/>
      </c>
      <c r="AQ103" s="413" t="str">
        <f>IF(B103=0,"",IF(BF103=0,90,VLOOKUP(Envoltória!N111,Componentes!T:AB,8,FALSE)))</f>
        <v/>
      </c>
      <c r="AR103" s="413" t="str">
        <f t="shared" si="6"/>
        <v/>
      </c>
      <c r="AS103" s="413" t="str">
        <f t="shared" si="6"/>
        <v/>
      </c>
      <c r="AT103" s="413" t="str">
        <f t="shared" si="6"/>
        <v/>
      </c>
      <c r="AU103" s="413" t="str">
        <f t="shared" si="6"/>
        <v/>
      </c>
      <c r="AV103" s="413" t="str">
        <f t="shared" si="6"/>
        <v/>
      </c>
      <c r="AW103" s="414" t="str">
        <f>INPUT!AW103</f>
        <v/>
      </c>
      <c r="AX103" s="414" t="str">
        <f>INPUT!AX103</f>
        <v/>
      </c>
      <c r="AY103" s="414" t="str">
        <f>INPUT!AY103</f>
        <v/>
      </c>
      <c r="AZ103" s="414" t="str">
        <f>INPUT!AZ103</f>
        <v/>
      </c>
      <c r="BA103" s="414" t="str">
        <f>INPUT!BA103</f>
        <v/>
      </c>
      <c r="BB103" s="414" t="str">
        <f>INPUT!BB103</f>
        <v/>
      </c>
      <c r="BC103" s="414" t="str">
        <f>INPUT!BC103</f>
        <v/>
      </c>
      <c r="BD103" s="414" t="str">
        <f>INPUT!BD103</f>
        <v/>
      </c>
      <c r="BE103" s="412" t="str">
        <f t="shared" si="7"/>
        <v/>
      </c>
      <c r="BF103" s="412" t="str">
        <f>IF(B103=0,"",IFERROR(VLOOKUP(Envoltória!F111,INPUT_REF!$BQ$18:$BR$19,2,FALSE),""))</f>
        <v/>
      </c>
      <c r="BG103" s="412" t="str">
        <f>IFERROR(VLOOKUP(Envoltória!$G111,$BQ$35:$BZ$43,BG$9,FALSE),"")</f>
        <v/>
      </c>
      <c r="BH103" s="412" t="str">
        <f>IFERROR(VLOOKUP(Envoltória!$G111,$BQ$35:$BZ$43,BH$9,FALSE),"")</f>
        <v/>
      </c>
      <c r="BI103" s="412" t="str">
        <f>IFERROR(VLOOKUP(Envoltória!$G111,$BQ$35:$BZ$43,BI$9,FALSE),"")</f>
        <v/>
      </c>
      <c r="BJ103" s="412" t="str">
        <f>IFERROR(VLOOKUP(Envoltória!$G111,$BQ$35:$BZ$43,BJ$9,FALSE),"")</f>
        <v/>
      </c>
      <c r="BK103" s="412" t="str">
        <f>IFERROR(VLOOKUP(Envoltória!$G111,$BQ$35:$BZ$43,BK$9,FALSE),"")</f>
        <v/>
      </c>
      <c r="BL103" s="412" t="str">
        <f>IFERROR(VLOOKUP(Envoltória!$G111,$BQ$35:$BZ$43,BL$9,FALSE),"")</f>
        <v/>
      </c>
      <c r="BM103" s="412" t="str">
        <f>IFERROR(VLOOKUP(Envoltória!$G111,$BQ$35:$BZ$43,BM$9,FALSE),"")</f>
        <v/>
      </c>
      <c r="BN103" s="412" t="str">
        <f>IFERROR(VLOOKUP(Envoltória!$G111,$BQ$35:$BZ$43,BN$9,FALSE),"")</f>
        <v/>
      </c>
      <c r="BO103" s="412" t="str">
        <f>IFERROR(VLOOKUP(Envoltória!$G111,$BQ$35:$BZ$43,BO$9,FALSE),"")</f>
        <v/>
      </c>
    </row>
    <row r="104" spans="1:67" x14ac:dyDescent="0.25">
      <c r="A104" s="1">
        <v>94</v>
      </c>
      <c r="B104" s="409">
        <f>Envoltória!I112</f>
        <v>0</v>
      </c>
      <c r="C104" s="410">
        <f>Envoltória!B112</f>
        <v>0</v>
      </c>
      <c r="D104" s="410">
        <f>Envoltória!C112</f>
        <v>0</v>
      </c>
      <c r="E104" s="411">
        <f>Envoltória!D112</f>
        <v>0</v>
      </c>
      <c r="F104" s="412" t="str">
        <f>IF(B104=0,"",Envoltória!E112)</f>
        <v/>
      </c>
      <c r="G104" s="412" t="str">
        <f t="shared" si="5"/>
        <v/>
      </c>
      <c r="H104" s="413" t="str">
        <f>IF(B104=0,"",IF(Envoltória!O112=0,0,VLOOKUP(B104,Aux_Lista!A:M,13,FALSE)))</f>
        <v/>
      </c>
      <c r="I104" s="413" t="str">
        <f>IF(B104=0,"",IF(BF104=1,VLOOKUP(Envoltória!N112,Componentes!T:AB,7,FALSE),89))</f>
        <v/>
      </c>
      <c r="J104" s="414" t="str">
        <f>IF(B104=0,"",Componentes!$Q$10)</f>
        <v/>
      </c>
      <c r="K104" s="414" t="str">
        <f>IF(B104=0,"",Componentes!$R$10)</f>
        <v/>
      </c>
      <c r="L104" s="413" t="str">
        <f>IF(B104=0,"",IFERROR(IF(BB104&lt;&gt;0,Componentes!$L$11,0),""))</f>
        <v/>
      </c>
      <c r="M104" s="413" t="str">
        <f>IF(B104=0,"",IFERROR(IF(BB104&lt;&gt;0,Componentes!$M$11,0),""))</f>
        <v/>
      </c>
      <c r="N104" s="415" t="str">
        <f>IF(B104=0,"",IFERROR(IF(BB104&lt;&gt;0,Componentes!$N$11,0),""))</f>
        <v/>
      </c>
      <c r="O104" s="413" t="str">
        <f>IF(B104=0,"",IF(BF104=1,Componentes!$C$11,-6))</f>
        <v/>
      </c>
      <c r="P104" s="413" t="str">
        <f>IF(B104=0,"",IF(BF104=1,Componentes!$D$11,-400))</f>
        <v/>
      </c>
      <c r="Q104" s="413" t="str">
        <f>IF(B104=0,"",IF(BF104=1,Componentes!$E$11,0))</f>
        <v/>
      </c>
      <c r="R104" s="414" t="str">
        <f>IF(B104=0,"",Componentes!$H$11)</f>
        <v/>
      </c>
      <c r="S104" s="414" t="str">
        <f>IF(B104=0,"",Componentes!$I$11)</f>
        <v/>
      </c>
      <c r="T104" s="413" t="str">
        <f>IF(B104=0,"",IFERROR(IF(H104&lt;&gt;0,Componentes!$V$11,0),""))</f>
        <v/>
      </c>
      <c r="U104" s="413" t="str">
        <f>IF(B104=0,"",IFERROR(IF(H104&lt;&gt;0,Componentes!$U$11,0),""))</f>
        <v/>
      </c>
      <c r="V104" s="414" t="str">
        <f>IF(B104=0,"",IFERROR(IF(AA104&lt;&gt;0,VLOOKUP(Envoltória!U112,Componentes!X:Z,2,FALSE),0),0))</f>
        <v/>
      </c>
      <c r="W104" s="414" t="str">
        <f>IF(B104=0,"",IFERROR(IF(AA104&lt;&gt;0,Componentes!$AE$11,0),0))</f>
        <v/>
      </c>
      <c r="X104" s="413" t="str">
        <f>IF(B104=0,"",Envoltória!U112)</f>
        <v/>
      </c>
      <c r="Y104" s="413" t="str">
        <f>IF(B104=0,"",VLOOKUP(Início!$C$20,Aux_Lista!A:H,8,FALSE))</f>
        <v/>
      </c>
      <c r="Z104" s="413" t="str">
        <f>IF(B104=0,"",Envoltória!T112)</f>
        <v/>
      </c>
      <c r="AA104" s="416" t="str">
        <f>IF(B104=0,"",Envoltória!Q112/100)</f>
        <v/>
      </c>
      <c r="AB104" s="417" t="str">
        <f>INPUT!AB104</f>
        <v/>
      </c>
      <c r="AC104" s="417" t="str">
        <f>INPUT!AC104</f>
        <v/>
      </c>
      <c r="AD104" s="417" t="str">
        <f>INPUT!AD104</f>
        <v/>
      </c>
      <c r="AE104" s="417" t="str">
        <f>INPUT!AE104</f>
        <v/>
      </c>
      <c r="AF104" s="417" t="str">
        <f>INPUT!AF104</f>
        <v/>
      </c>
      <c r="AG104" s="417" t="str">
        <f>INPUT!AG104</f>
        <v/>
      </c>
      <c r="AH104" s="417" t="str">
        <f>INPUT!AH104</f>
        <v/>
      </c>
      <c r="AI104" s="417" t="str">
        <f>INPUT!AI104</f>
        <v/>
      </c>
      <c r="AJ104" s="417" t="str">
        <f>INPUT!AJ104</f>
        <v/>
      </c>
      <c r="AK104" s="417" t="str">
        <f>INPUT!AK104</f>
        <v/>
      </c>
      <c r="AL104" s="417" t="str">
        <f>INPUT!AL104</f>
        <v/>
      </c>
      <c r="AM104" s="417" t="str">
        <f>INPUT!AM104</f>
        <v/>
      </c>
      <c r="AN104" s="417" t="str">
        <f>INPUT!AN104</f>
        <v/>
      </c>
      <c r="AO104" s="417" t="str">
        <f>INPUT!AO104</f>
        <v/>
      </c>
      <c r="AP104" s="413" t="str">
        <f>IF(B104=0,"",IF(BF104=0,90,VLOOKUP(Envoltória!N112,Componentes!T:AB,9,FALSE)))</f>
        <v/>
      </c>
      <c r="AQ104" s="413" t="str">
        <f>IF(B104=0,"",IF(BF104=0,90,VLOOKUP(Envoltória!N112,Componentes!T:AB,8,FALSE)))</f>
        <v/>
      </c>
      <c r="AR104" s="413" t="str">
        <f t="shared" si="6"/>
        <v/>
      </c>
      <c r="AS104" s="413" t="str">
        <f t="shared" si="6"/>
        <v/>
      </c>
      <c r="AT104" s="413" t="str">
        <f t="shared" si="6"/>
        <v/>
      </c>
      <c r="AU104" s="413" t="str">
        <f t="shared" si="6"/>
        <v/>
      </c>
      <c r="AV104" s="413" t="str">
        <f t="shared" si="6"/>
        <v/>
      </c>
      <c r="AW104" s="414" t="str">
        <f>INPUT!AW104</f>
        <v/>
      </c>
      <c r="AX104" s="414" t="str">
        <f>INPUT!AX104</f>
        <v/>
      </c>
      <c r="AY104" s="414" t="str">
        <f>INPUT!AY104</f>
        <v/>
      </c>
      <c r="AZ104" s="414" t="str">
        <f>INPUT!AZ104</f>
        <v/>
      </c>
      <c r="BA104" s="414" t="str">
        <f>INPUT!BA104</f>
        <v/>
      </c>
      <c r="BB104" s="414" t="str">
        <f>INPUT!BB104</f>
        <v/>
      </c>
      <c r="BC104" s="414" t="str">
        <f>INPUT!BC104</f>
        <v/>
      </c>
      <c r="BD104" s="414" t="str">
        <f>INPUT!BD104</f>
        <v/>
      </c>
      <c r="BE104" s="412" t="str">
        <f t="shared" si="7"/>
        <v/>
      </c>
      <c r="BF104" s="412" t="str">
        <f>IF(B104=0,"",IFERROR(VLOOKUP(Envoltória!F112,INPUT_REF!$BQ$18:$BR$19,2,FALSE),""))</f>
        <v/>
      </c>
      <c r="BG104" s="412" t="str">
        <f>IFERROR(VLOOKUP(Envoltória!$G112,$BQ$35:$BZ$43,BG$9,FALSE),"")</f>
        <v/>
      </c>
      <c r="BH104" s="412" t="str">
        <f>IFERROR(VLOOKUP(Envoltória!$G112,$BQ$35:$BZ$43,BH$9,FALSE),"")</f>
        <v/>
      </c>
      <c r="BI104" s="412" t="str">
        <f>IFERROR(VLOOKUP(Envoltória!$G112,$BQ$35:$BZ$43,BI$9,FALSE),"")</f>
        <v/>
      </c>
      <c r="BJ104" s="412" t="str">
        <f>IFERROR(VLOOKUP(Envoltória!$G112,$BQ$35:$BZ$43,BJ$9,FALSE),"")</f>
        <v/>
      </c>
      <c r="BK104" s="412" t="str">
        <f>IFERROR(VLOOKUP(Envoltória!$G112,$BQ$35:$BZ$43,BK$9,FALSE),"")</f>
        <v/>
      </c>
      <c r="BL104" s="412" t="str">
        <f>IFERROR(VLOOKUP(Envoltória!$G112,$BQ$35:$BZ$43,BL$9,FALSE),"")</f>
        <v/>
      </c>
      <c r="BM104" s="412" t="str">
        <f>IFERROR(VLOOKUP(Envoltória!$G112,$BQ$35:$BZ$43,BM$9,FALSE),"")</f>
        <v/>
      </c>
      <c r="BN104" s="412" t="str">
        <f>IFERROR(VLOOKUP(Envoltória!$G112,$BQ$35:$BZ$43,BN$9,FALSE),"")</f>
        <v/>
      </c>
      <c r="BO104" s="412" t="str">
        <f>IFERROR(VLOOKUP(Envoltória!$G112,$BQ$35:$BZ$43,BO$9,FALSE),"")</f>
        <v/>
      </c>
    </row>
    <row r="105" spans="1:67" x14ac:dyDescent="0.25">
      <c r="A105" s="1">
        <v>95</v>
      </c>
      <c r="B105" s="409">
        <f>Envoltória!I113</f>
        <v>0</v>
      </c>
      <c r="C105" s="410">
        <f>Envoltória!B113</f>
        <v>0</v>
      </c>
      <c r="D105" s="410">
        <f>Envoltória!C113</f>
        <v>0</v>
      </c>
      <c r="E105" s="411">
        <f>Envoltória!D113</f>
        <v>0</v>
      </c>
      <c r="F105" s="412" t="str">
        <f>IF(B105=0,"",Envoltória!E113)</f>
        <v/>
      </c>
      <c r="G105" s="412" t="str">
        <f t="shared" si="5"/>
        <v/>
      </c>
      <c r="H105" s="413" t="str">
        <f>IF(B105=0,"",IF(Envoltória!O113=0,0,VLOOKUP(B105,Aux_Lista!A:M,13,FALSE)))</f>
        <v/>
      </c>
      <c r="I105" s="413" t="str">
        <f>IF(B105=0,"",IF(BF105=1,VLOOKUP(Envoltória!N113,Componentes!T:AB,7,FALSE),89))</f>
        <v/>
      </c>
      <c r="J105" s="414" t="str">
        <f>IF(B105=0,"",Componentes!$Q$10)</f>
        <v/>
      </c>
      <c r="K105" s="414" t="str">
        <f>IF(B105=0,"",Componentes!$R$10)</f>
        <v/>
      </c>
      <c r="L105" s="413" t="str">
        <f>IF(B105=0,"",IFERROR(IF(BB105&lt;&gt;0,Componentes!$L$11,0),""))</f>
        <v/>
      </c>
      <c r="M105" s="413" t="str">
        <f>IF(B105=0,"",IFERROR(IF(BB105&lt;&gt;0,Componentes!$M$11,0),""))</f>
        <v/>
      </c>
      <c r="N105" s="415" t="str">
        <f>IF(B105=0,"",IFERROR(IF(BB105&lt;&gt;0,Componentes!$N$11,0),""))</f>
        <v/>
      </c>
      <c r="O105" s="413" t="str">
        <f>IF(B105=0,"",IF(BF105=1,Componentes!$C$11,-6))</f>
        <v/>
      </c>
      <c r="P105" s="413" t="str">
        <f>IF(B105=0,"",IF(BF105=1,Componentes!$D$11,-400))</f>
        <v/>
      </c>
      <c r="Q105" s="413" t="str">
        <f>IF(B105=0,"",IF(BF105=1,Componentes!$E$11,0))</f>
        <v/>
      </c>
      <c r="R105" s="414" t="str">
        <f>IF(B105=0,"",Componentes!$H$11)</f>
        <v/>
      </c>
      <c r="S105" s="414" t="str">
        <f>IF(B105=0,"",Componentes!$I$11)</f>
        <v/>
      </c>
      <c r="T105" s="413" t="str">
        <f>IF(B105=0,"",IFERROR(IF(H105&lt;&gt;0,Componentes!$V$11,0),""))</f>
        <v/>
      </c>
      <c r="U105" s="413" t="str">
        <f>IF(B105=0,"",IFERROR(IF(H105&lt;&gt;0,Componentes!$U$11,0),""))</f>
        <v/>
      </c>
      <c r="V105" s="414" t="str">
        <f>IF(B105=0,"",IFERROR(IF(AA105&lt;&gt;0,VLOOKUP(Envoltória!U113,Componentes!X:Z,2,FALSE),0),0))</f>
        <v/>
      </c>
      <c r="W105" s="414" t="str">
        <f>IF(B105=0,"",IFERROR(IF(AA105&lt;&gt;0,Componentes!$AE$11,0),0))</f>
        <v/>
      </c>
      <c r="X105" s="413" t="str">
        <f>IF(B105=0,"",Envoltória!U113)</f>
        <v/>
      </c>
      <c r="Y105" s="413" t="str">
        <f>IF(B105=0,"",VLOOKUP(Início!$C$20,Aux_Lista!A:H,8,FALSE))</f>
        <v/>
      </c>
      <c r="Z105" s="413" t="str">
        <f>IF(B105=0,"",Envoltória!T113)</f>
        <v/>
      </c>
      <c r="AA105" s="416" t="str">
        <f>IF(B105=0,"",Envoltória!Q113/100)</f>
        <v/>
      </c>
      <c r="AB105" s="417" t="str">
        <f>INPUT!AB105</f>
        <v/>
      </c>
      <c r="AC105" s="417" t="str">
        <f>INPUT!AC105</f>
        <v/>
      </c>
      <c r="AD105" s="417" t="str">
        <f>INPUT!AD105</f>
        <v/>
      </c>
      <c r="AE105" s="417" t="str">
        <f>INPUT!AE105</f>
        <v/>
      </c>
      <c r="AF105" s="417" t="str">
        <f>INPUT!AF105</f>
        <v/>
      </c>
      <c r="AG105" s="417" t="str">
        <f>INPUT!AG105</f>
        <v/>
      </c>
      <c r="AH105" s="417" t="str">
        <f>INPUT!AH105</f>
        <v/>
      </c>
      <c r="AI105" s="417" t="str">
        <f>INPUT!AI105</f>
        <v/>
      </c>
      <c r="AJ105" s="417" t="str">
        <f>INPUT!AJ105</f>
        <v/>
      </c>
      <c r="AK105" s="417" t="str">
        <f>INPUT!AK105</f>
        <v/>
      </c>
      <c r="AL105" s="417" t="str">
        <f>INPUT!AL105</f>
        <v/>
      </c>
      <c r="AM105" s="417" t="str">
        <f>INPUT!AM105</f>
        <v/>
      </c>
      <c r="AN105" s="417" t="str">
        <f>INPUT!AN105</f>
        <v/>
      </c>
      <c r="AO105" s="417" t="str">
        <f>INPUT!AO105</f>
        <v/>
      </c>
      <c r="AP105" s="413" t="str">
        <f>IF(B105=0,"",IF(BF105=0,90,VLOOKUP(Envoltória!N113,Componentes!T:AB,9,FALSE)))</f>
        <v/>
      </c>
      <c r="AQ105" s="413" t="str">
        <f>IF(B105=0,"",IF(BF105=0,90,VLOOKUP(Envoltória!N113,Componentes!T:AB,8,FALSE)))</f>
        <v/>
      </c>
      <c r="AR105" s="413" t="str">
        <f t="shared" si="6"/>
        <v/>
      </c>
      <c r="AS105" s="413" t="str">
        <f t="shared" si="6"/>
        <v/>
      </c>
      <c r="AT105" s="413" t="str">
        <f t="shared" si="6"/>
        <v/>
      </c>
      <c r="AU105" s="413" t="str">
        <f t="shared" si="6"/>
        <v/>
      </c>
      <c r="AV105" s="413" t="str">
        <f t="shared" si="6"/>
        <v/>
      </c>
      <c r="AW105" s="414" t="str">
        <f>INPUT!AW105</f>
        <v/>
      </c>
      <c r="AX105" s="414" t="str">
        <f>INPUT!AX105</f>
        <v/>
      </c>
      <c r="AY105" s="414" t="str">
        <f>INPUT!AY105</f>
        <v/>
      </c>
      <c r="AZ105" s="414" t="str">
        <f>INPUT!AZ105</f>
        <v/>
      </c>
      <c r="BA105" s="414" t="str">
        <f>INPUT!BA105</f>
        <v/>
      </c>
      <c r="BB105" s="414" t="str">
        <f>INPUT!BB105</f>
        <v/>
      </c>
      <c r="BC105" s="414" t="str">
        <f>INPUT!BC105</f>
        <v/>
      </c>
      <c r="BD105" s="414" t="str">
        <f>INPUT!BD105</f>
        <v/>
      </c>
      <c r="BE105" s="412" t="str">
        <f t="shared" si="7"/>
        <v/>
      </c>
      <c r="BF105" s="412" t="str">
        <f>IF(B105=0,"",IFERROR(VLOOKUP(Envoltória!F113,INPUT_REF!$BQ$18:$BR$19,2,FALSE),""))</f>
        <v/>
      </c>
      <c r="BG105" s="412" t="str">
        <f>IFERROR(VLOOKUP(Envoltória!$G113,$BQ$35:$BZ$43,BG$9,FALSE),"")</f>
        <v/>
      </c>
      <c r="BH105" s="412" t="str">
        <f>IFERROR(VLOOKUP(Envoltória!$G113,$BQ$35:$BZ$43,BH$9,FALSE),"")</f>
        <v/>
      </c>
      <c r="BI105" s="412" t="str">
        <f>IFERROR(VLOOKUP(Envoltória!$G113,$BQ$35:$BZ$43,BI$9,FALSE),"")</f>
        <v/>
      </c>
      <c r="BJ105" s="412" t="str">
        <f>IFERROR(VLOOKUP(Envoltória!$G113,$BQ$35:$BZ$43,BJ$9,FALSE),"")</f>
        <v/>
      </c>
      <c r="BK105" s="412" t="str">
        <f>IFERROR(VLOOKUP(Envoltória!$G113,$BQ$35:$BZ$43,BK$9,FALSE),"")</f>
        <v/>
      </c>
      <c r="BL105" s="412" t="str">
        <f>IFERROR(VLOOKUP(Envoltória!$G113,$BQ$35:$BZ$43,BL$9,FALSE),"")</f>
        <v/>
      </c>
      <c r="BM105" s="412" t="str">
        <f>IFERROR(VLOOKUP(Envoltória!$G113,$BQ$35:$BZ$43,BM$9,FALSE),"")</f>
        <v/>
      </c>
      <c r="BN105" s="412" t="str">
        <f>IFERROR(VLOOKUP(Envoltória!$G113,$BQ$35:$BZ$43,BN$9,FALSE),"")</f>
        <v/>
      </c>
      <c r="BO105" s="412" t="str">
        <f>IFERROR(VLOOKUP(Envoltória!$G113,$BQ$35:$BZ$43,BO$9,FALSE),"")</f>
        <v/>
      </c>
    </row>
    <row r="106" spans="1:67" x14ac:dyDescent="0.25">
      <c r="A106" s="1">
        <v>96</v>
      </c>
      <c r="B106" s="409">
        <f>Envoltória!I114</f>
        <v>0</v>
      </c>
      <c r="C106" s="410">
        <f>Envoltória!B114</f>
        <v>0</v>
      </c>
      <c r="D106" s="410">
        <f>Envoltória!C114</f>
        <v>0</v>
      </c>
      <c r="E106" s="411">
        <f>Envoltória!D114</f>
        <v>0</v>
      </c>
      <c r="F106" s="412" t="str">
        <f>IF(B106=0,"",Envoltória!E114)</f>
        <v/>
      </c>
      <c r="G106" s="412" t="str">
        <f t="shared" si="5"/>
        <v/>
      </c>
      <c r="H106" s="413" t="str">
        <f>IF(B106=0,"",IF(Envoltória!O114=0,0,VLOOKUP(B106,Aux_Lista!A:M,13,FALSE)))</f>
        <v/>
      </c>
      <c r="I106" s="413" t="str">
        <f>IF(B106=0,"",IF(BF106=1,VLOOKUP(Envoltória!N114,Componentes!T:AB,7,FALSE),89))</f>
        <v/>
      </c>
      <c r="J106" s="414" t="str">
        <f>IF(B106=0,"",Componentes!$Q$10)</f>
        <v/>
      </c>
      <c r="K106" s="414" t="str">
        <f>IF(B106=0,"",Componentes!$R$10)</f>
        <v/>
      </c>
      <c r="L106" s="413" t="str">
        <f>IF(B106=0,"",IFERROR(IF(BB106&lt;&gt;0,Componentes!$L$11,0),""))</f>
        <v/>
      </c>
      <c r="M106" s="413" t="str">
        <f>IF(B106=0,"",IFERROR(IF(BB106&lt;&gt;0,Componentes!$M$11,0),""))</f>
        <v/>
      </c>
      <c r="N106" s="415" t="str">
        <f>IF(B106=0,"",IFERROR(IF(BB106&lt;&gt;0,Componentes!$N$11,0),""))</f>
        <v/>
      </c>
      <c r="O106" s="413" t="str">
        <f>IF(B106=0,"",IF(BF106=1,Componentes!$C$11,-6))</f>
        <v/>
      </c>
      <c r="P106" s="413" t="str">
        <f>IF(B106=0,"",IF(BF106=1,Componentes!$D$11,-400))</f>
        <v/>
      </c>
      <c r="Q106" s="413" t="str">
        <f>IF(B106=0,"",IF(BF106=1,Componentes!$E$11,0))</f>
        <v/>
      </c>
      <c r="R106" s="414" t="str">
        <f>IF(B106=0,"",Componentes!$H$11)</f>
        <v/>
      </c>
      <c r="S106" s="414" t="str">
        <f>IF(B106=0,"",Componentes!$I$11)</f>
        <v/>
      </c>
      <c r="T106" s="413" t="str">
        <f>IF(B106=0,"",IFERROR(IF(H106&lt;&gt;0,Componentes!$V$11,0),""))</f>
        <v/>
      </c>
      <c r="U106" s="413" t="str">
        <f>IF(B106=0,"",IFERROR(IF(H106&lt;&gt;0,Componentes!$U$11,0),""))</f>
        <v/>
      </c>
      <c r="V106" s="414" t="str">
        <f>IF(B106=0,"",IFERROR(IF(AA106&lt;&gt;0,VLOOKUP(Envoltória!U114,Componentes!X:Z,2,FALSE),0),0))</f>
        <v/>
      </c>
      <c r="W106" s="414" t="str">
        <f>IF(B106=0,"",IFERROR(IF(AA106&lt;&gt;0,Componentes!$AE$11,0),0))</f>
        <v/>
      </c>
      <c r="X106" s="413" t="str">
        <f>IF(B106=0,"",Envoltória!U114)</f>
        <v/>
      </c>
      <c r="Y106" s="413" t="str">
        <f>IF(B106=0,"",VLOOKUP(Início!$C$20,Aux_Lista!A:H,8,FALSE))</f>
        <v/>
      </c>
      <c r="Z106" s="413" t="str">
        <f>IF(B106=0,"",Envoltória!T114)</f>
        <v/>
      </c>
      <c r="AA106" s="416" t="str">
        <f>IF(B106=0,"",Envoltória!Q114/100)</f>
        <v/>
      </c>
      <c r="AB106" s="417" t="str">
        <f>INPUT!AB106</f>
        <v/>
      </c>
      <c r="AC106" s="417" t="str">
        <f>INPUT!AC106</f>
        <v/>
      </c>
      <c r="AD106" s="417" t="str">
        <f>INPUT!AD106</f>
        <v/>
      </c>
      <c r="AE106" s="417" t="str">
        <f>INPUT!AE106</f>
        <v/>
      </c>
      <c r="AF106" s="417" t="str">
        <f>INPUT!AF106</f>
        <v/>
      </c>
      <c r="AG106" s="417" t="str">
        <f>INPUT!AG106</f>
        <v/>
      </c>
      <c r="AH106" s="417" t="str">
        <f>INPUT!AH106</f>
        <v/>
      </c>
      <c r="AI106" s="417" t="str">
        <f>INPUT!AI106</f>
        <v/>
      </c>
      <c r="AJ106" s="417" t="str">
        <f>INPUT!AJ106</f>
        <v/>
      </c>
      <c r="AK106" s="417" t="str">
        <f>INPUT!AK106</f>
        <v/>
      </c>
      <c r="AL106" s="417" t="str">
        <f>INPUT!AL106</f>
        <v/>
      </c>
      <c r="AM106" s="417" t="str">
        <f>INPUT!AM106</f>
        <v/>
      </c>
      <c r="AN106" s="417" t="str">
        <f>INPUT!AN106</f>
        <v/>
      </c>
      <c r="AO106" s="417" t="str">
        <f>INPUT!AO106</f>
        <v/>
      </c>
      <c r="AP106" s="413" t="str">
        <f>IF(B106=0,"",IF(BF106=0,90,VLOOKUP(Envoltória!N114,Componentes!T:AB,9,FALSE)))</f>
        <v/>
      </c>
      <c r="AQ106" s="413" t="str">
        <f>IF(B106=0,"",IF(BF106=0,90,VLOOKUP(Envoltória!N114,Componentes!T:AB,8,FALSE)))</f>
        <v/>
      </c>
      <c r="AR106" s="413" t="str">
        <f t="shared" si="6"/>
        <v/>
      </c>
      <c r="AS106" s="413" t="str">
        <f t="shared" si="6"/>
        <v/>
      </c>
      <c r="AT106" s="413" t="str">
        <f t="shared" si="6"/>
        <v/>
      </c>
      <c r="AU106" s="413" t="str">
        <f t="shared" si="6"/>
        <v/>
      </c>
      <c r="AV106" s="413" t="str">
        <f t="shared" si="6"/>
        <v/>
      </c>
      <c r="AW106" s="414" t="str">
        <f>INPUT!AW106</f>
        <v/>
      </c>
      <c r="AX106" s="414" t="str">
        <f>INPUT!AX106</f>
        <v/>
      </c>
      <c r="AY106" s="414" t="str">
        <f>INPUT!AY106</f>
        <v/>
      </c>
      <c r="AZ106" s="414" t="str">
        <f>INPUT!AZ106</f>
        <v/>
      </c>
      <c r="BA106" s="414" t="str">
        <f>INPUT!BA106</f>
        <v/>
      </c>
      <c r="BB106" s="414" t="str">
        <f>INPUT!BB106</f>
        <v/>
      </c>
      <c r="BC106" s="414" t="str">
        <f>INPUT!BC106</f>
        <v/>
      </c>
      <c r="BD106" s="414" t="str">
        <f>INPUT!BD106</f>
        <v/>
      </c>
      <c r="BE106" s="412" t="str">
        <f t="shared" si="7"/>
        <v/>
      </c>
      <c r="BF106" s="412" t="str">
        <f>IF(B106=0,"",IFERROR(VLOOKUP(Envoltória!F114,INPUT_REF!$BQ$18:$BR$19,2,FALSE),""))</f>
        <v/>
      </c>
      <c r="BG106" s="412" t="str">
        <f>IFERROR(VLOOKUP(Envoltória!$G114,$BQ$35:$BZ$43,BG$9,FALSE),"")</f>
        <v/>
      </c>
      <c r="BH106" s="412" t="str">
        <f>IFERROR(VLOOKUP(Envoltória!$G114,$BQ$35:$BZ$43,BH$9,FALSE),"")</f>
        <v/>
      </c>
      <c r="BI106" s="412" t="str">
        <f>IFERROR(VLOOKUP(Envoltória!$G114,$BQ$35:$BZ$43,BI$9,FALSE),"")</f>
        <v/>
      </c>
      <c r="BJ106" s="412" t="str">
        <f>IFERROR(VLOOKUP(Envoltória!$G114,$BQ$35:$BZ$43,BJ$9,FALSE),"")</f>
        <v/>
      </c>
      <c r="BK106" s="412" t="str">
        <f>IFERROR(VLOOKUP(Envoltória!$G114,$BQ$35:$BZ$43,BK$9,FALSE),"")</f>
        <v/>
      </c>
      <c r="BL106" s="412" t="str">
        <f>IFERROR(VLOOKUP(Envoltória!$G114,$BQ$35:$BZ$43,BL$9,FALSE),"")</f>
        <v/>
      </c>
      <c r="BM106" s="412" t="str">
        <f>IFERROR(VLOOKUP(Envoltória!$G114,$BQ$35:$BZ$43,BM$9,FALSE),"")</f>
        <v/>
      </c>
      <c r="BN106" s="412" t="str">
        <f>IFERROR(VLOOKUP(Envoltória!$G114,$BQ$35:$BZ$43,BN$9,FALSE),"")</f>
        <v/>
      </c>
      <c r="BO106" s="412" t="str">
        <f>IFERROR(VLOOKUP(Envoltória!$G114,$BQ$35:$BZ$43,BO$9,FALSE),"")</f>
        <v/>
      </c>
    </row>
    <row r="107" spans="1:67" x14ac:dyDescent="0.25">
      <c r="A107" s="1">
        <v>97</v>
      </c>
      <c r="B107" s="409">
        <f>Envoltória!I115</f>
        <v>0</v>
      </c>
      <c r="C107" s="410">
        <f>Envoltória!B115</f>
        <v>0</v>
      </c>
      <c r="D107" s="410">
        <f>Envoltória!C115</f>
        <v>0</v>
      </c>
      <c r="E107" s="411">
        <f>Envoltória!D115</f>
        <v>0</v>
      </c>
      <c r="F107" s="412" t="str">
        <f>IF(B107=0,"",Envoltória!E115)</f>
        <v/>
      </c>
      <c r="G107" s="412" t="str">
        <f t="shared" si="5"/>
        <v/>
      </c>
      <c r="H107" s="413" t="str">
        <f>IF(B107=0,"",IF(Envoltória!O115=0,0,VLOOKUP(B107,Aux_Lista!A:M,13,FALSE)))</f>
        <v/>
      </c>
      <c r="I107" s="413" t="str">
        <f>IF(B107=0,"",IF(BF107=1,VLOOKUP(Envoltória!N115,Componentes!T:AB,7,FALSE),89))</f>
        <v/>
      </c>
      <c r="J107" s="414" t="str">
        <f>IF(B107=0,"",Componentes!$Q$10)</f>
        <v/>
      </c>
      <c r="K107" s="414" t="str">
        <f>IF(B107=0,"",Componentes!$R$10)</f>
        <v/>
      </c>
      <c r="L107" s="413" t="str">
        <f>IF(B107=0,"",IFERROR(IF(BB107&lt;&gt;0,Componentes!$L$11,0),""))</f>
        <v/>
      </c>
      <c r="M107" s="413" t="str">
        <f>IF(B107=0,"",IFERROR(IF(BB107&lt;&gt;0,Componentes!$M$11,0),""))</f>
        <v/>
      </c>
      <c r="N107" s="415" t="str">
        <f>IF(B107=0,"",IFERROR(IF(BB107&lt;&gt;0,Componentes!$N$11,0),""))</f>
        <v/>
      </c>
      <c r="O107" s="413" t="str">
        <f>IF(B107=0,"",IF(BF107=1,Componentes!$C$11,-6))</f>
        <v/>
      </c>
      <c r="P107" s="413" t="str">
        <f>IF(B107=0,"",IF(BF107=1,Componentes!$D$11,-400))</f>
        <v/>
      </c>
      <c r="Q107" s="413" t="str">
        <f>IF(B107=0,"",IF(BF107=1,Componentes!$E$11,0))</f>
        <v/>
      </c>
      <c r="R107" s="414" t="str">
        <f>IF(B107=0,"",Componentes!$H$11)</f>
        <v/>
      </c>
      <c r="S107" s="414" t="str">
        <f>IF(B107=0,"",Componentes!$I$11)</f>
        <v/>
      </c>
      <c r="T107" s="413" t="str">
        <f>IF(B107=0,"",IFERROR(IF(H107&lt;&gt;0,Componentes!$V$11,0),""))</f>
        <v/>
      </c>
      <c r="U107" s="413" t="str">
        <f>IF(B107=0,"",IFERROR(IF(H107&lt;&gt;0,Componentes!$U$11,0),""))</f>
        <v/>
      </c>
      <c r="V107" s="414" t="str">
        <f>IF(B107=0,"",IFERROR(IF(AA107&lt;&gt;0,VLOOKUP(Envoltória!U115,Componentes!X:Z,2,FALSE),0),0))</f>
        <v/>
      </c>
      <c r="W107" s="414" t="str">
        <f>IF(B107=0,"",IFERROR(IF(AA107&lt;&gt;0,Componentes!$AE$11,0),0))</f>
        <v/>
      </c>
      <c r="X107" s="413" t="str">
        <f>IF(B107=0,"",Envoltória!U115)</f>
        <v/>
      </c>
      <c r="Y107" s="413" t="str">
        <f>IF(B107=0,"",VLOOKUP(Início!$C$20,Aux_Lista!A:H,8,FALSE))</f>
        <v/>
      </c>
      <c r="Z107" s="413" t="str">
        <f>IF(B107=0,"",Envoltória!T115)</f>
        <v/>
      </c>
      <c r="AA107" s="416" t="str">
        <f>IF(B107=0,"",Envoltória!Q115/100)</f>
        <v/>
      </c>
      <c r="AB107" s="417" t="str">
        <f>INPUT!AB107</f>
        <v/>
      </c>
      <c r="AC107" s="417" t="str">
        <f>INPUT!AC107</f>
        <v/>
      </c>
      <c r="AD107" s="417" t="str">
        <f>INPUT!AD107</f>
        <v/>
      </c>
      <c r="AE107" s="417" t="str">
        <f>INPUT!AE107</f>
        <v/>
      </c>
      <c r="AF107" s="417" t="str">
        <f>INPUT!AF107</f>
        <v/>
      </c>
      <c r="AG107" s="417" t="str">
        <f>INPUT!AG107</f>
        <v/>
      </c>
      <c r="AH107" s="417" t="str">
        <f>INPUT!AH107</f>
        <v/>
      </c>
      <c r="AI107" s="417" t="str">
        <f>INPUT!AI107</f>
        <v/>
      </c>
      <c r="AJ107" s="417" t="str">
        <f>INPUT!AJ107</f>
        <v/>
      </c>
      <c r="AK107" s="417" t="str">
        <f>INPUT!AK107</f>
        <v/>
      </c>
      <c r="AL107" s="417" t="str">
        <f>INPUT!AL107</f>
        <v/>
      </c>
      <c r="AM107" s="417" t="str">
        <f>INPUT!AM107</f>
        <v/>
      </c>
      <c r="AN107" s="417" t="str">
        <f>INPUT!AN107</f>
        <v/>
      </c>
      <c r="AO107" s="417" t="str">
        <f>INPUT!AO107</f>
        <v/>
      </c>
      <c r="AP107" s="413" t="str">
        <f>IF(B107=0,"",IF(BF107=0,90,VLOOKUP(Envoltória!N115,Componentes!T:AB,9,FALSE)))</f>
        <v/>
      </c>
      <c r="AQ107" s="413" t="str">
        <f>IF(B107=0,"",IF(BF107=0,90,VLOOKUP(Envoltória!N115,Componentes!T:AB,8,FALSE)))</f>
        <v/>
      </c>
      <c r="AR107" s="413" t="str">
        <f t="shared" si="6"/>
        <v/>
      </c>
      <c r="AS107" s="413" t="str">
        <f t="shared" si="6"/>
        <v/>
      </c>
      <c r="AT107" s="413" t="str">
        <f t="shared" si="6"/>
        <v/>
      </c>
      <c r="AU107" s="413" t="str">
        <f t="shared" si="6"/>
        <v/>
      </c>
      <c r="AV107" s="413" t="str">
        <f t="shared" si="6"/>
        <v/>
      </c>
      <c r="AW107" s="414" t="str">
        <f>INPUT!AW107</f>
        <v/>
      </c>
      <c r="AX107" s="414" t="str">
        <f>INPUT!AX107</f>
        <v/>
      </c>
      <c r="AY107" s="414" t="str">
        <f>INPUT!AY107</f>
        <v/>
      </c>
      <c r="AZ107" s="414" t="str">
        <f>INPUT!AZ107</f>
        <v/>
      </c>
      <c r="BA107" s="414" t="str">
        <f>INPUT!BA107</f>
        <v/>
      </c>
      <c r="BB107" s="414" t="str">
        <f>INPUT!BB107</f>
        <v/>
      </c>
      <c r="BC107" s="414" t="str">
        <f>INPUT!BC107</f>
        <v/>
      </c>
      <c r="BD107" s="414" t="str">
        <f>INPUT!BD107</f>
        <v/>
      </c>
      <c r="BE107" s="412" t="str">
        <f t="shared" si="7"/>
        <v/>
      </c>
      <c r="BF107" s="412" t="str">
        <f>IF(B107=0,"",IFERROR(VLOOKUP(Envoltória!F115,INPUT_REF!$BQ$18:$BR$19,2,FALSE),""))</f>
        <v/>
      </c>
      <c r="BG107" s="412" t="str">
        <f>IFERROR(VLOOKUP(Envoltória!$G115,$BQ$35:$BZ$43,BG$9,FALSE),"")</f>
        <v/>
      </c>
      <c r="BH107" s="412" t="str">
        <f>IFERROR(VLOOKUP(Envoltória!$G115,$BQ$35:$BZ$43,BH$9,FALSE),"")</f>
        <v/>
      </c>
      <c r="BI107" s="412" t="str">
        <f>IFERROR(VLOOKUP(Envoltória!$G115,$BQ$35:$BZ$43,BI$9,FALSE),"")</f>
        <v/>
      </c>
      <c r="BJ107" s="412" t="str">
        <f>IFERROR(VLOOKUP(Envoltória!$G115,$BQ$35:$BZ$43,BJ$9,FALSE),"")</f>
        <v/>
      </c>
      <c r="BK107" s="412" t="str">
        <f>IFERROR(VLOOKUP(Envoltória!$G115,$BQ$35:$BZ$43,BK$9,FALSE),"")</f>
        <v/>
      </c>
      <c r="BL107" s="412" t="str">
        <f>IFERROR(VLOOKUP(Envoltória!$G115,$BQ$35:$BZ$43,BL$9,FALSE),"")</f>
        <v/>
      </c>
      <c r="BM107" s="412" t="str">
        <f>IFERROR(VLOOKUP(Envoltória!$G115,$BQ$35:$BZ$43,BM$9,FALSE),"")</f>
        <v/>
      </c>
      <c r="BN107" s="412" t="str">
        <f>IFERROR(VLOOKUP(Envoltória!$G115,$BQ$35:$BZ$43,BN$9,FALSE),"")</f>
        <v/>
      </c>
      <c r="BO107" s="412" t="str">
        <f>IFERROR(VLOOKUP(Envoltória!$G115,$BQ$35:$BZ$43,BO$9,FALSE),"")</f>
        <v/>
      </c>
    </row>
    <row r="108" spans="1:67" x14ac:dyDescent="0.25">
      <c r="A108" s="1">
        <v>98</v>
      </c>
      <c r="B108" s="409">
        <f>Envoltória!I116</f>
        <v>0</v>
      </c>
      <c r="C108" s="410">
        <f>Envoltória!B116</f>
        <v>0</v>
      </c>
      <c r="D108" s="410">
        <f>Envoltória!C116</f>
        <v>0</v>
      </c>
      <c r="E108" s="411">
        <f>Envoltória!D116</f>
        <v>0</v>
      </c>
      <c r="F108" s="412" t="str">
        <f>IF(B108=0,"",Envoltória!E116)</f>
        <v/>
      </c>
      <c r="G108" s="412" t="str">
        <f t="shared" si="5"/>
        <v/>
      </c>
      <c r="H108" s="413" t="str">
        <f>IF(B108=0,"",IF(Envoltória!O116=0,0,VLOOKUP(B108,Aux_Lista!A:M,13,FALSE)))</f>
        <v/>
      </c>
      <c r="I108" s="413" t="str">
        <f>IF(B108=0,"",IF(BF108=1,VLOOKUP(Envoltória!N116,Componentes!T:AB,7,FALSE),89))</f>
        <v/>
      </c>
      <c r="J108" s="414" t="str">
        <f>IF(B108=0,"",Componentes!$Q$10)</f>
        <v/>
      </c>
      <c r="K108" s="414" t="str">
        <f>IF(B108=0,"",Componentes!$R$10)</f>
        <v/>
      </c>
      <c r="L108" s="413" t="str">
        <f>IF(B108=0,"",IFERROR(IF(BB108&lt;&gt;0,Componentes!$L$11,0),""))</f>
        <v/>
      </c>
      <c r="M108" s="413" t="str">
        <f>IF(B108=0,"",IFERROR(IF(BB108&lt;&gt;0,Componentes!$M$11,0),""))</f>
        <v/>
      </c>
      <c r="N108" s="415" t="str">
        <f>IF(B108=0,"",IFERROR(IF(BB108&lt;&gt;0,Componentes!$N$11,0),""))</f>
        <v/>
      </c>
      <c r="O108" s="413" t="str">
        <f>IF(B108=0,"",IF(BF108=1,Componentes!$C$11,-6))</f>
        <v/>
      </c>
      <c r="P108" s="413" t="str">
        <f>IF(B108=0,"",IF(BF108=1,Componentes!$D$11,-400))</f>
        <v/>
      </c>
      <c r="Q108" s="413" t="str">
        <f>IF(B108=0,"",IF(BF108=1,Componentes!$E$11,0))</f>
        <v/>
      </c>
      <c r="R108" s="414" t="str">
        <f>IF(B108=0,"",Componentes!$H$11)</f>
        <v/>
      </c>
      <c r="S108" s="414" t="str">
        <f>IF(B108=0,"",Componentes!$I$11)</f>
        <v/>
      </c>
      <c r="T108" s="413" t="str">
        <f>IF(B108=0,"",IFERROR(IF(H108&lt;&gt;0,Componentes!$V$11,0),""))</f>
        <v/>
      </c>
      <c r="U108" s="413" t="str">
        <f>IF(B108=0,"",IFERROR(IF(H108&lt;&gt;0,Componentes!$U$11,0),""))</f>
        <v/>
      </c>
      <c r="V108" s="414" t="str">
        <f>IF(B108=0,"",IFERROR(IF(AA108&lt;&gt;0,VLOOKUP(Envoltória!U116,Componentes!X:Z,2,FALSE),0),0))</f>
        <v/>
      </c>
      <c r="W108" s="414" t="str">
        <f>IF(B108=0,"",IFERROR(IF(AA108&lt;&gt;0,Componentes!$AE$11,0),0))</f>
        <v/>
      </c>
      <c r="X108" s="413" t="str">
        <f>IF(B108=0,"",Envoltória!U116)</f>
        <v/>
      </c>
      <c r="Y108" s="413" t="str">
        <f>IF(B108=0,"",VLOOKUP(Início!$C$20,Aux_Lista!A:H,8,FALSE))</f>
        <v/>
      </c>
      <c r="Z108" s="413" t="str">
        <f>IF(B108=0,"",Envoltória!T116)</f>
        <v/>
      </c>
      <c r="AA108" s="416" t="str">
        <f>IF(B108=0,"",Envoltória!Q116/100)</f>
        <v/>
      </c>
      <c r="AB108" s="417" t="str">
        <f>INPUT!AB108</f>
        <v/>
      </c>
      <c r="AC108" s="417" t="str">
        <f>INPUT!AC108</f>
        <v/>
      </c>
      <c r="AD108" s="417" t="str">
        <f>INPUT!AD108</f>
        <v/>
      </c>
      <c r="AE108" s="417" t="str">
        <f>INPUT!AE108</f>
        <v/>
      </c>
      <c r="AF108" s="417" t="str">
        <f>INPUT!AF108</f>
        <v/>
      </c>
      <c r="AG108" s="417" t="str">
        <f>INPUT!AG108</f>
        <v/>
      </c>
      <c r="AH108" s="417" t="str">
        <f>INPUT!AH108</f>
        <v/>
      </c>
      <c r="AI108" s="417" t="str">
        <f>INPUT!AI108</f>
        <v/>
      </c>
      <c r="AJ108" s="417" t="str">
        <f>INPUT!AJ108</f>
        <v/>
      </c>
      <c r="AK108" s="417" t="str">
        <f>INPUT!AK108</f>
        <v/>
      </c>
      <c r="AL108" s="417" t="str">
        <f>INPUT!AL108</f>
        <v/>
      </c>
      <c r="AM108" s="417" t="str">
        <f>INPUT!AM108</f>
        <v/>
      </c>
      <c r="AN108" s="417" t="str">
        <f>INPUT!AN108</f>
        <v/>
      </c>
      <c r="AO108" s="417" t="str">
        <f>INPUT!AO108</f>
        <v/>
      </c>
      <c r="AP108" s="413" t="str">
        <f>IF(B108=0,"",IF(BF108=0,90,VLOOKUP(Envoltória!N116,Componentes!T:AB,9,FALSE)))</f>
        <v/>
      </c>
      <c r="AQ108" s="413" t="str">
        <f>IF(B108=0,"",IF(BF108=0,90,VLOOKUP(Envoltória!N116,Componentes!T:AB,8,FALSE)))</f>
        <v/>
      </c>
      <c r="AR108" s="413" t="str">
        <f t="shared" si="6"/>
        <v/>
      </c>
      <c r="AS108" s="413" t="str">
        <f t="shared" si="6"/>
        <v/>
      </c>
      <c r="AT108" s="413" t="str">
        <f t="shared" si="6"/>
        <v/>
      </c>
      <c r="AU108" s="413" t="str">
        <f t="shared" si="6"/>
        <v/>
      </c>
      <c r="AV108" s="413" t="str">
        <f t="shared" si="6"/>
        <v/>
      </c>
      <c r="AW108" s="414" t="str">
        <f>INPUT!AW108</f>
        <v/>
      </c>
      <c r="AX108" s="414" t="str">
        <f>INPUT!AX108</f>
        <v/>
      </c>
      <c r="AY108" s="414" t="str">
        <f>INPUT!AY108</f>
        <v/>
      </c>
      <c r="AZ108" s="414" t="str">
        <f>INPUT!AZ108</f>
        <v/>
      </c>
      <c r="BA108" s="414" t="str">
        <f>INPUT!BA108</f>
        <v/>
      </c>
      <c r="BB108" s="414" t="str">
        <f>INPUT!BB108</f>
        <v/>
      </c>
      <c r="BC108" s="414" t="str">
        <f>INPUT!BC108</f>
        <v/>
      </c>
      <c r="BD108" s="414" t="str">
        <f>INPUT!BD108</f>
        <v/>
      </c>
      <c r="BE108" s="412" t="str">
        <f t="shared" si="7"/>
        <v/>
      </c>
      <c r="BF108" s="412" t="str">
        <f>IF(B108=0,"",IFERROR(VLOOKUP(Envoltória!F116,INPUT_REF!$BQ$18:$BR$19,2,FALSE),""))</f>
        <v/>
      </c>
      <c r="BG108" s="412" t="str">
        <f>IFERROR(VLOOKUP(Envoltória!$G116,$BQ$35:$BZ$43,BG$9,FALSE),"")</f>
        <v/>
      </c>
      <c r="BH108" s="412" t="str">
        <f>IFERROR(VLOOKUP(Envoltória!$G116,$BQ$35:$BZ$43,BH$9,FALSE),"")</f>
        <v/>
      </c>
      <c r="BI108" s="412" t="str">
        <f>IFERROR(VLOOKUP(Envoltória!$G116,$BQ$35:$BZ$43,BI$9,FALSE),"")</f>
        <v/>
      </c>
      <c r="BJ108" s="412" t="str">
        <f>IFERROR(VLOOKUP(Envoltória!$G116,$BQ$35:$BZ$43,BJ$9,FALSE),"")</f>
        <v/>
      </c>
      <c r="BK108" s="412" t="str">
        <f>IFERROR(VLOOKUP(Envoltória!$G116,$BQ$35:$BZ$43,BK$9,FALSE),"")</f>
        <v/>
      </c>
      <c r="BL108" s="412" t="str">
        <f>IFERROR(VLOOKUP(Envoltória!$G116,$BQ$35:$BZ$43,BL$9,FALSE),"")</f>
        <v/>
      </c>
      <c r="BM108" s="412" t="str">
        <f>IFERROR(VLOOKUP(Envoltória!$G116,$BQ$35:$BZ$43,BM$9,FALSE),"")</f>
        <v/>
      </c>
      <c r="BN108" s="412" t="str">
        <f>IFERROR(VLOOKUP(Envoltória!$G116,$BQ$35:$BZ$43,BN$9,FALSE),"")</f>
        <v/>
      </c>
      <c r="BO108" s="412" t="str">
        <f>IFERROR(VLOOKUP(Envoltória!$G116,$BQ$35:$BZ$43,BO$9,FALSE),"")</f>
        <v/>
      </c>
    </row>
    <row r="109" spans="1:67" x14ac:dyDescent="0.25">
      <c r="A109" s="1">
        <v>99</v>
      </c>
      <c r="B109" s="409">
        <f>Envoltória!I117</f>
        <v>0</v>
      </c>
      <c r="C109" s="410">
        <f>Envoltória!B117</f>
        <v>0</v>
      </c>
      <c r="D109" s="410">
        <f>Envoltória!C117</f>
        <v>0</v>
      </c>
      <c r="E109" s="411">
        <f>Envoltória!D117</f>
        <v>0</v>
      </c>
      <c r="F109" s="412" t="str">
        <f>IF(B109=0,"",Envoltória!E117)</f>
        <v/>
      </c>
      <c r="G109" s="412" t="str">
        <f t="shared" si="5"/>
        <v/>
      </c>
      <c r="H109" s="413" t="str">
        <f>IF(B109=0,"",IF(Envoltória!O117=0,0,VLOOKUP(B109,Aux_Lista!A:M,13,FALSE)))</f>
        <v/>
      </c>
      <c r="I109" s="413" t="str">
        <f>IF(B109=0,"",IF(BF109=1,VLOOKUP(Envoltória!N117,Componentes!T:AB,7,FALSE),89))</f>
        <v/>
      </c>
      <c r="J109" s="414" t="str">
        <f>IF(B109=0,"",Componentes!$Q$10)</f>
        <v/>
      </c>
      <c r="K109" s="414" t="str">
        <f>IF(B109=0,"",Componentes!$R$10)</f>
        <v/>
      </c>
      <c r="L109" s="413" t="str">
        <f>IF(B109=0,"",IFERROR(IF(BB109&lt;&gt;0,Componentes!$L$11,0),""))</f>
        <v/>
      </c>
      <c r="M109" s="413" t="str">
        <f>IF(B109=0,"",IFERROR(IF(BB109&lt;&gt;0,Componentes!$M$11,0),""))</f>
        <v/>
      </c>
      <c r="N109" s="415" t="str">
        <f>IF(B109=0,"",IFERROR(IF(BB109&lt;&gt;0,Componentes!$N$11,0),""))</f>
        <v/>
      </c>
      <c r="O109" s="413" t="str">
        <f>IF(B109=0,"",IF(BF109=1,Componentes!$C$11,-6))</f>
        <v/>
      </c>
      <c r="P109" s="413" t="str">
        <f>IF(B109=0,"",IF(BF109=1,Componentes!$D$11,-400))</f>
        <v/>
      </c>
      <c r="Q109" s="413" t="str">
        <f>IF(B109=0,"",IF(BF109=1,Componentes!$E$11,0))</f>
        <v/>
      </c>
      <c r="R109" s="414" t="str">
        <f>IF(B109=0,"",Componentes!$H$11)</f>
        <v/>
      </c>
      <c r="S109" s="414" t="str">
        <f>IF(B109=0,"",Componentes!$I$11)</f>
        <v/>
      </c>
      <c r="T109" s="413" t="str">
        <f>IF(B109=0,"",IFERROR(IF(H109&lt;&gt;0,Componentes!$V$11,0),""))</f>
        <v/>
      </c>
      <c r="U109" s="413" t="str">
        <f>IF(B109=0,"",IFERROR(IF(H109&lt;&gt;0,Componentes!$U$11,0),""))</f>
        <v/>
      </c>
      <c r="V109" s="414" t="str">
        <f>IF(B109=0,"",IFERROR(IF(AA109&lt;&gt;0,VLOOKUP(Envoltória!U117,Componentes!X:Z,2,FALSE),0),0))</f>
        <v/>
      </c>
      <c r="W109" s="414" t="str">
        <f>IF(B109=0,"",IFERROR(IF(AA109&lt;&gt;0,Componentes!$AE$11,0),0))</f>
        <v/>
      </c>
      <c r="X109" s="413" t="str">
        <f>IF(B109=0,"",Envoltória!U117)</f>
        <v/>
      </c>
      <c r="Y109" s="413" t="str">
        <f>IF(B109=0,"",VLOOKUP(Início!$C$20,Aux_Lista!A:H,8,FALSE))</f>
        <v/>
      </c>
      <c r="Z109" s="413" t="str">
        <f>IF(B109=0,"",Envoltória!T117)</f>
        <v/>
      </c>
      <c r="AA109" s="416" t="str">
        <f>IF(B109=0,"",Envoltória!Q117/100)</f>
        <v/>
      </c>
      <c r="AB109" s="417" t="str">
        <f>INPUT!AB109</f>
        <v/>
      </c>
      <c r="AC109" s="417" t="str">
        <f>INPUT!AC109</f>
        <v/>
      </c>
      <c r="AD109" s="417" t="str">
        <f>INPUT!AD109</f>
        <v/>
      </c>
      <c r="AE109" s="417" t="str">
        <f>INPUT!AE109</f>
        <v/>
      </c>
      <c r="AF109" s="417" t="str">
        <f>INPUT!AF109</f>
        <v/>
      </c>
      <c r="AG109" s="417" t="str">
        <f>INPUT!AG109</f>
        <v/>
      </c>
      <c r="AH109" s="417" t="str">
        <f>INPUT!AH109</f>
        <v/>
      </c>
      <c r="AI109" s="417" t="str">
        <f>INPUT!AI109</f>
        <v/>
      </c>
      <c r="AJ109" s="417" t="str">
        <f>INPUT!AJ109</f>
        <v/>
      </c>
      <c r="AK109" s="417" t="str">
        <f>INPUT!AK109</f>
        <v/>
      </c>
      <c r="AL109" s="417" t="str">
        <f>INPUT!AL109</f>
        <v/>
      </c>
      <c r="AM109" s="417" t="str">
        <f>INPUT!AM109</f>
        <v/>
      </c>
      <c r="AN109" s="417" t="str">
        <f>INPUT!AN109</f>
        <v/>
      </c>
      <c r="AO109" s="417" t="str">
        <f>INPUT!AO109</f>
        <v/>
      </c>
      <c r="AP109" s="413" t="str">
        <f>IF(B109=0,"",IF(BF109=0,90,VLOOKUP(Envoltória!N117,Componentes!T:AB,9,FALSE)))</f>
        <v/>
      </c>
      <c r="AQ109" s="413" t="str">
        <f>IF(B109=0,"",IF(BF109=0,90,VLOOKUP(Envoltória!N117,Componentes!T:AB,8,FALSE)))</f>
        <v/>
      </c>
      <c r="AR109" s="413" t="str">
        <f t="shared" si="6"/>
        <v/>
      </c>
      <c r="AS109" s="413" t="str">
        <f t="shared" si="6"/>
        <v/>
      </c>
      <c r="AT109" s="413" t="str">
        <f t="shared" si="6"/>
        <v/>
      </c>
      <c r="AU109" s="413" t="str">
        <f t="shared" si="6"/>
        <v/>
      </c>
      <c r="AV109" s="413" t="str">
        <f t="shared" si="6"/>
        <v/>
      </c>
      <c r="AW109" s="414" t="str">
        <f>INPUT!AW109</f>
        <v/>
      </c>
      <c r="AX109" s="414" t="str">
        <f>INPUT!AX109</f>
        <v/>
      </c>
      <c r="AY109" s="414" t="str">
        <f>INPUT!AY109</f>
        <v/>
      </c>
      <c r="AZ109" s="414" t="str">
        <f>INPUT!AZ109</f>
        <v/>
      </c>
      <c r="BA109" s="414" t="str">
        <f>INPUT!BA109</f>
        <v/>
      </c>
      <c r="BB109" s="414" t="str">
        <f>INPUT!BB109</f>
        <v/>
      </c>
      <c r="BC109" s="414" t="str">
        <f>INPUT!BC109</f>
        <v/>
      </c>
      <c r="BD109" s="414" t="str">
        <f>INPUT!BD109</f>
        <v/>
      </c>
      <c r="BE109" s="412" t="str">
        <f t="shared" si="7"/>
        <v/>
      </c>
      <c r="BF109" s="412" t="str">
        <f>IF(B109=0,"",IFERROR(VLOOKUP(Envoltória!F117,INPUT_REF!$BQ$18:$BR$19,2,FALSE),""))</f>
        <v/>
      </c>
      <c r="BG109" s="412" t="str">
        <f>IFERROR(VLOOKUP(Envoltória!$G117,$BQ$35:$BZ$43,BG$9,FALSE),"")</f>
        <v/>
      </c>
      <c r="BH109" s="412" t="str">
        <f>IFERROR(VLOOKUP(Envoltória!$G117,$BQ$35:$BZ$43,BH$9,FALSE),"")</f>
        <v/>
      </c>
      <c r="BI109" s="412" t="str">
        <f>IFERROR(VLOOKUP(Envoltória!$G117,$BQ$35:$BZ$43,BI$9,FALSE),"")</f>
        <v/>
      </c>
      <c r="BJ109" s="412" t="str">
        <f>IFERROR(VLOOKUP(Envoltória!$G117,$BQ$35:$BZ$43,BJ$9,FALSE),"")</f>
        <v/>
      </c>
      <c r="BK109" s="412" t="str">
        <f>IFERROR(VLOOKUP(Envoltória!$G117,$BQ$35:$BZ$43,BK$9,FALSE),"")</f>
        <v/>
      </c>
      <c r="BL109" s="412" t="str">
        <f>IFERROR(VLOOKUP(Envoltória!$G117,$BQ$35:$BZ$43,BL$9,FALSE),"")</f>
        <v/>
      </c>
      <c r="BM109" s="412" t="str">
        <f>IFERROR(VLOOKUP(Envoltória!$G117,$BQ$35:$BZ$43,BM$9,FALSE),"")</f>
        <v/>
      </c>
      <c r="BN109" s="412" t="str">
        <f>IFERROR(VLOOKUP(Envoltória!$G117,$BQ$35:$BZ$43,BN$9,FALSE),"")</f>
        <v/>
      </c>
      <c r="BO109" s="412" t="str">
        <f>IFERROR(VLOOKUP(Envoltória!$G117,$BQ$35:$BZ$43,BO$9,FALSE),"")</f>
        <v/>
      </c>
    </row>
    <row r="110" spans="1:67" x14ac:dyDescent="0.25">
      <c r="A110" s="1">
        <v>100</v>
      </c>
      <c r="B110" s="409">
        <f>Envoltória!I118</f>
        <v>0</v>
      </c>
      <c r="C110" s="410">
        <f>Envoltória!B118</f>
        <v>0</v>
      </c>
      <c r="D110" s="410">
        <f>Envoltória!C118</f>
        <v>0</v>
      </c>
      <c r="E110" s="411">
        <f>Envoltória!D118</f>
        <v>0</v>
      </c>
      <c r="F110" s="412" t="str">
        <f>IF(B110=0,"",Envoltória!E118)</f>
        <v/>
      </c>
      <c r="G110" s="412" t="str">
        <f t="shared" si="5"/>
        <v/>
      </c>
      <c r="H110" s="413" t="str">
        <f>IF(B110=0,"",IF(Envoltória!O118=0,0,VLOOKUP(B110,Aux_Lista!A:M,13,FALSE)))</f>
        <v/>
      </c>
      <c r="I110" s="413" t="str">
        <f>IF(B110=0,"",IF(BF110=1,VLOOKUP(Envoltória!N118,Componentes!T:AB,7,FALSE),89))</f>
        <v/>
      </c>
      <c r="J110" s="414" t="str">
        <f>IF(B110=0,"",Componentes!$Q$10)</f>
        <v/>
      </c>
      <c r="K110" s="414" t="str">
        <f>IF(B110=0,"",Componentes!$R$10)</f>
        <v/>
      </c>
      <c r="L110" s="413" t="str">
        <f>IF(B110=0,"",IFERROR(IF(BB110&lt;&gt;0,Componentes!$L$11,0),""))</f>
        <v/>
      </c>
      <c r="M110" s="413" t="str">
        <f>IF(B110=0,"",IFERROR(IF(BB110&lt;&gt;0,Componentes!$M$11,0),""))</f>
        <v/>
      </c>
      <c r="N110" s="415" t="str">
        <f>IF(B110=0,"",IFERROR(IF(BB110&lt;&gt;0,Componentes!$N$11,0),""))</f>
        <v/>
      </c>
      <c r="O110" s="413" t="str">
        <f>IF(B110=0,"",IF(BF110=1,Componentes!$C$11,-6))</f>
        <v/>
      </c>
      <c r="P110" s="413" t="str">
        <f>IF(B110=0,"",IF(BF110=1,Componentes!$D$11,-400))</f>
        <v/>
      </c>
      <c r="Q110" s="413" t="str">
        <f>IF(B110=0,"",IF(BF110=1,Componentes!$E$11,0))</f>
        <v/>
      </c>
      <c r="R110" s="414" t="str">
        <f>IF(B110=0,"",Componentes!$H$11)</f>
        <v/>
      </c>
      <c r="S110" s="414" t="str">
        <f>IF(B110=0,"",Componentes!$I$11)</f>
        <v/>
      </c>
      <c r="T110" s="413" t="str">
        <f>IF(B110=0,"",IFERROR(IF(H110&lt;&gt;0,Componentes!$V$11,0),""))</f>
        <v/>
      </c>
      <c r="U110" s="413" t="str">
        <f>IF(B110=0,"",IFERROR(IF(H110&lt;&gt;0,Componentes!$U$11,0),""))</f>
        <v/>
      </c>
      <c r="V110" s="414" t="str">
        <f>IF(B110=0,"",IFERROR(IF(AA110&lt;&gt;0,VLOOKUP(Envoltória!U118,Componentes!X:Z,2,FALSE),0),0))</f>
        <v/>
      </c>
      <c r="W110" s="414" t="str">
        <f>IF(B110=0,"",IFERROR(IF(AA110&lt;&gt;0,Componentes!$AE$11,0),0))</f>
        <v/>
      </c>
      <c r="X110" s="413" t="str">
        <f>IF(B110=0,"",Envoltória!U118)</f>
        <v/>
      </c>
      <c r="Y110" s="413" t="str">
        <f>IF(B110=0,"",VLOOKUP(Início!$C$20,Aux_Lista!A:H,8,FALSE))</f>
        <v/>
      </c>
      <c r="Z110" s="413" t="str">
        <f>IF(B110=0,"",Envoltória!T118)</f>
        <v/>
      </c>
      <c r="AA110" s="416" t="str">
        <f>IF(B110=0,"",Envoltória!Q118/100)</f>
        <v/>
      </c>
      <c r="AB110" s="417" t="str">
        <f>INPUT!AB110</f>
        <v/>
      </c>
      <c r="AC110" s="417" t="str">
        <f>INPUT!AC110</f>
        <v/>
      </c>
      <c r="AD110" s="417" t="str">
        <f>INPUT!AD110</f>
        <v/>
      </c>
      <c r="AE110" s="417" t="str">
        <f>INPUT!AE110</f>
        <v/>
      </c>
      <c r="AF110" s="417" t="str">
        <f>INPUT!AF110</f>
        <v/>
      </c>
      <c r="AG110" s="417" t="str">
        <f>INPUT!AG110</f>
        <v/>
      </c>
      <c r="AH110" s="417" t="str">
        <f>INPUT!AH110</f>
        <v/>
      </c>
      <c r="AI110" s="417" t="str">
        <f>INPUT!AI110</f>
        <v/>
      </c>
      <c r="AJ110" s="417" t="str">
        <f>INPUT!AJ110</f>
        <v/>
      </c>
      <c r="AK110" s="417" t="str">
        <f>INPUT!AK110</f>
        <v/>
      </c>
      <c r="AL110" s="417" t="str">
        <f>INPUT!AL110</f>
        <v/>
      </c>
      <c r="AM110" s="417" t="str">
        <f>INPUT!AM110</f>
        <v/>
      </c>
      <c r="AN110" s="417" t="str">
        <f>INPUT!AN110</f>
        <v/>
      </c>
      <c r="AO110" s="417" t="str">
        <f>INPUT!AO110</f>
        <v/>
      </c>
      <c r="AP110" s="413" t="str">
        <f>IF(B110=0,"",IF(BF110=0,90,VLOOKUP(Envoltória!N118,Componentes!T:AB,9,FALSE)))</f>
        <v/>
      </c>
      <c r="AQ110" s="413" t="str">
        <f>IF(B110=0,"",IF(BF110=0,90,VLOOKUP(Envoltória!N118,Componentes!T:AB,8,FALSE)))</f>
        <v/>
      </c>
      <c r="AR110" s="413" t="str">
        <f t="shared" si="6"/>
        <v/>
      </c>
      <c r="AS110" s="413" t="str">
        <f t="shared" si="6"/>
        <v/>
      </c>
      <c r="AT110" s="413" t="str">
        <f t="shared" si="6"/>
        <v/>
      </c>
      <c r="AU110" s="413" t="str">
        <f t="shared" si="6"/>
        <v/>
      </c>
      <c r="AV110" s="413" t="str">
        <f t="shared" si="6"/>
        <v/>
      </c>
      <c r="AW110" s="414" t="str">
        <f>INPUT!AW110</f>
        <v/>
      </c>
      <c r="AX110" s="414" t="str">
        <f>INPUT!AX110</f>
        <v/>
      </c>
      <c r="AY110" s="414" t="str">
        <f>INPUT!AY110</f>
        <v/>
      </c>
      <c r="AZ110" s="414" t="str">
        <f>INPUT!AZ110</f>
        <v/>
      </c>
      <c r="BA110" s="414" t="str">
        <f>INPUT!BA110</f>
        <v/>
      </c>
      <c r="BB110" s="414" t="str">
        <f>INPUT!BB110</f>
        <v/>
      </c>
      <c r="BC110" s="414" t="str">
        <f>INPUT!BC110</f>
        <v/>
      </c>
      <c r="BD110" s="414" t="str">
        <f>INPUT!BD110</f>
        <v/>
      </c>
      <c r="BE110" s="412" t="str">
        <f t="shared" si="7"/>
        <v/>
      </c>
      <c r="BF110" s="412" t="str">
        <f>IF(B110=0,"",IFERROR(VLOOKUP(Envoltória!F118,INPUT_REF!$BQ$18:$BR$19,2,FALSE),""))</f>
        <v/>
      </c>
      <c r="BG110" s="412" t="str">
        <f>IFERROR(VLOOKUP(Envoltória!$G118,$BQ$35:$BZ$43,BG$9,FALSE),"")</f>
        <v/>
      </c>
      <c r="BH110" s="412" t="str">
        <f>IFERROR(VLOOKUP(Envoltória!$G118,$BQ$35:$BZ$43,BH$9,FALSE),"")</f>
        <v/>
      </c>
      <c r="BI110" s="412" t="str">
        <f>IFERROR(VLOOKUP(Envoltória!$G118,$BQ$35:$BZ$43,BI$9,FALSE),"")</f>
        <v/>
      </c>
      <c r="BJ110" s="412" t="str">
        <f>IFERROR(VLOOKUP(Envoltória!$G118,$BQ$35:$BZ$43,BJ$9,FALSE),"")</f>
        <v/>
      </c>
      <c r="BK110" s="412" t="str">
        <f>IFERROR(VLOOKUP(Envoltória!$G118,$BQ$35:$BZ$43,BK$9,FALSE),"")</f>
        <v/>
      </c>
      <c r="BL110" s="412" t="str">
        <f>IFERROR(VLOOKUP(Envoltória!$G118,$BQ$35:$BZ$43,BL$9,FALSE),"")</f>
        <v/>
      </c>
      <c r="BM110" s="412" t="str">
        <f>IFERROR(VLOOKUP(Envoltória!$G118,$BQ$35:$BZ$43,BM$9,FALSE),"")</f>
        <v/>
      </c>
      <c r="BN110" s="412" t="str">
        <f>IFERROR(VLOOKUP(Envoltória!$G118,$BQ$35:$BZ$43,BN$9,FALSE),"")</f>
        <v/>
      </c>
      <c r="BO110" s="412" t="str">
        <f>IFERROR(VLOOKUP(Envoltória!$G118,$BQ$35:$BZ$43,BO$9,FALSE),"")</f>
        <v/>
      </c>
    </row>
    <row r="111" spans="1:67" x14ac:dyDescent="0.25">
      <c r="A111" s="1"/>
    </row>
  </sheetData>
  <mergeCells count="1">
    <mergeCell ref="AB9:AO9"/>
  </mergeCells>
  <pageMargins left="0.511811024" right="0.511811024" top="0.78740157499999996" bottom="0.78740157499999996" header="0.31496062000000002" footer="0.31496062000000002"/>
  <pageSetup paperSize="9"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6"/>
  <dimension ref="A1:DR5565"/>
  <sheetViews>
    <sheetView topLeftCell="AD1" zoomScale="85" zoomScaleNormal="85" workbookViewId="0">
      <selection activeCell="H2" sqref="H2:H12"/>
    </sheetView>
  </sheetViews>
  <sheetFormatPr defaultColWidth="9.140625" defaultRowHeight="15" x14ac:dyDescent="0.25"/>
  <cols>
    <col min="1" max="1" width="33.140625" style="123" bestFit="1" customWidth="1"/>
    <col min="2" max="2" width="4.7109375" style="123" customWidth="1"/>
    <col min="3" max="3" width="13.5703125" style="123" customWidth="1"/>
    <col min="4" max="4" width="2.7109375" style="123" customWidth="1"/>
    <col min="5" max="5" width="10.7109375" style="123" bestFit="1" customWidth="1"/>
    <col min="6" max="6" width="10.7109375" style="123" customWidth="1"/>
    <col min="7" max="7" width="2.7109375" style="123" customWidth="1"/>
    <col min="8" max="8" width="11.140625" style="123" bestFit="1" customWidth="1"/>
    <col min="9" max="9" width="11.5703125" style="123" bestFit="1" customWidth="1"/>
    <col min="10" max="10" width="21.140625" style="123" bestFit="1" customWidth="1"/>
    <col min="11" max="11" width="17.7109375" style="123" bestFit="1" customWidth="1"/>
    <col min="12" max="12" width="16.28515625" style="123" bestFit="1" customWidth="1"/>
    <col min="13" max="13" width="16.28515625" style="123" customWidth="1"/>
    <col min="14" max="14" width="2.7109375" style="123" customWidth="1"/>
    <col min="15" max="15" width="28.140625" style="123" bestFit="1" customWidth="1"/>
    <col min="16" max="21" width="11.5703125" style="123" customWidth="1"/>
    <col min="22" max="22" width="2.7109375" style="123" customWidth="1"/>
    <col min="23" max="23" width="31.28515625" style="123" bestFit="1" customWidth="1"/>
    <col min="24" max="25" width="23.28515625" style="123" customWidth="1"/>
    <col min="26" max="26" width="2.140625" style="123" customWidth="1"/>
    <col min="27" max="27" width="8" style="123" customWidth="1"/>
    <col min="28" max="28" width="2.7109375" style="123" customWidth="1"/>
    <col min="29" max="29" width="7.5703125" style="123" customWidth="1"/>
    <col min="30" max="30" width="30" style="123" bestFit="1" customWidth="1"/>
    <col min="31" max="31" width="5.5703125" style="128" bestFit="1" customWidth="1"/>
    <col min="32" max="32" width="2.7109375" style="123" customWidth="1"/>
    <col min="33" max="33" width="56.42578125" style="123" customWidth="1"/>
    <col min="34" max="34" width="20.42578125" style="123" customWidth="1"/>
    <col min="35" max="35" width="2.7109375" style="123" customWidth="1"/>
    <col min="36" max="36" width="58.5703125" style="123" customWidth="1"/>
    <col min="37" max="37" width="27.28515625" style="123" customWidth="1"/>
    <col min="38" max="38" width="34" style="123" customWidth="1"/>
    <col min="39" max="39" width="2.7109375" style="123" customWidth="1"/>
    <col min="40" max="40" width="60.85546875" style="123" customWidth="1"/>
    <col min="41" max="42" width="18.28515625" style="123" customWidth="1"/>
    <col min="43" max="43" width="2.7109375" style="123" customWidth="1"/>
    <col min="44" max="44" width="12" style="123" bestFit="1" customWidth="1"/>
    <col min="45" max="45" width="6.7109375" style="123" bestFit="1" customWidth="1"/>
    <col min="46" max="46" width="2.7109375" style="123" customWidth="1"/>
    <col min="47" max="47" width="34.7109375" style="123" customWidth="1"/>
    <col min="48" max="48" width="29.42578125" style="123" customWidth="1"/>
    <col min="49" max="49" width="11.85546875" style="123" bestFit="1" customWidth="1"/>
    <col min="50" max="50" width="2.7109375" style="123" customWidth="1"/>
    <col min="51" max="51" width="31.85546875" style="123" bestFit="1" customWidth="1"/>
    <col min="52" max="52" width="69.85546875" style="123" customWidth="1"/>
    <col min="53" max="53" width="12.140625" style="123" bestFit="1" customWidth="1"/>
    <col min="54" max="54" width="2.7109375" style="123" customWidth="1"/>
    <col min="55" max="55" width="34.7109375" style="123" customWidth="1"/>
    <col min="56" max="56" width="12.140625" style="123" bestFit="1" customWidth="1"/>
    <col min="57" max="58" width="12.140625" style="123" customWidth="1"/>
    <col min="59" max="59" width="12.5703125" style="123" bestFit="1" customWidth="1"/>
    <col min="60" max="60" width="13.85546875" style="123" customWidth="1"/>
    <col min="61" max="61" width="9.140625" style="123"/>
    <col min="62" max="62" width="12.85546875" style="123" customWidth="1"/>
    <col min="63" max="64" width="9.140625" style="123"/>
    <col min="65" max="65" width="34.7109375" style="123" customWidth="1"/>
    <col min="66" max="66" width="12.140625" style="123" bestFit="1" customWidth="1"/>
    <col min="67" max="68" width="12.140625" style="123" customWidth="1"/>
    <col min="69" max="69" width="12.5703125" style="123" bestFit="1" customWidth="1"/>
    <col min="70" max="70" width="13.85546875" style="123" customWidth="1"/>
    <col min="71" max="71" width="9.140625" style="123"/>
    <col min="72" max="72" width="12.85546875" style="123" customWidth="1"/>
    <col min="73" max="74" width="9.140625" style="123"/>
    <col min="75" max="75" width="33.140625" style="123" bestFit="1" customWidth="1"/>
    <col min="76" max="76" width="13.85546875" style="123" customWidth="1"/>
    <col min="77" max="78" width="12.140625" style="123" customWidth="1"/>
    <col min="79" max="79" width="12" style="123" customWidth="1"/>
    <col min="80" max="80" width="13.85546875" style="123" customWidth="1"/>
    <col min="81" max="81" width="9.140625" style="123"/>
    <col min="82" max="82" width="12.85546875" style="123" customWidth="1"/>
    <col min="83" max="85" width="9.140625" style="123"/>
    <col min="86" max="86" width="31.5703125" style="123" customWidth="1"/>
    <col min="87" max="88" width="9.140625" style="123"/>
    <col min="89" max="89" width="47.28515625" style="123" customWidth="1"/>
    <col min="90" max="91" width="10.28515625" style="192" customWidth="1"/>
    <col min="92" max="92" width="6.42578125" style="123" bestFit="1" customWidth="1"/>
    <col min="93" max="93" width="15.5703125" style="123" bestFit="1" customWidth="1"/>
    <col min="94" max="94" width="14.7109375" style="123" bestFit="1" customWidth="1"/>
    <col min="95" max="95" width="7.7109375" style="123" bestFit="1" customWidth="1"/>
    <col min="96" max="96" width="18.28515625" style="123" bestFit="1" customWidth="1"/>
    <col min="97" max="97" width="20.7109375" style="123" bestFit="1" customWidth="1"/>
    <col min="98" max="98" width="6.140625" style="123" bestFit="1" customWidth="1"/>
    <col min="99" max="99" width="14.7109375" style="123" bestFit="1" customWidth="1"/>
    <col min="100" max="101" width="9.140625" style="123"/>
    <col min="102" max="102" width="8" style="123" customWidth="1"/>
    <col min="103" max="103" width="16" style="123" customWidth="1"/>
    <col min="104" max="104" width="2.7109375" style="123" customWidth="1"/>
    <col min="105" max="105" width="7.5703125" style="123" customWidth="1"/>
    <col min="106" max="106" width="30" style="123" customWidth="1"/>
    <col min="107" max="107" width="30" style="123" bestFit="1" customWidth="1"/>
    <col min="108" max="108" width="5.5703125" style="128" customWidth="1"/>
    <col min="109" max="109" width="24.28515625" style="128" customWidth="1"/>
    <col min="112" max="112" width="24.28515625" customWidth="1"/>
    <col min="113" max="113" width="28.28515625" customWidth="1"/>
    <col min="114" max="116" width="10.85546875" customWidth="1"/>
    <col min="117" max="117" width="7.28515625" style="1" customWidth="1"/>
    <col min="118" max="118" width="55.28515625" bestFit="1" customWidth="1"/>
    <col min="119" max="120" width="10.85546875" customWidth="1"/>
    <col min="121" max="121" width="9.140625" style="123"/>
    <col min="122" max="122" width="39.140625" style="123" bestFit="1" customWidth="1"/>
    <col min="123" max="16384" width="9.140625" style="123"/>
  </cols>
  <sheetData>
    <row r="1" spans="1:122" s="121" customFormat="1" ht="33.75" customHeight="1" x14ac:dyDescent="0.25">
      <c r="A1" s="118" t="s">
        <v>61</v>
      </c>
      <c r="C1" s="118" t="s">
        <v>202</v>
      </c>
      <c r="E1" s="118" t="s">
        <v>60</v>
      </c>
      <c r="F1" s="118" t="s">
        <v>60</v>
      </c>
      <c r="H1" s="118" t="s">
        <v>62</v>
      </c>
      <c r="I1" s="118" t="s">
        <v>63</v>
      </c>
      <c r="J1" s="118" t="s">
        <v>203</v>
      </c>
      <c r="K1" s="118" t="s">
        <v>65</v>
      </c>
      <c r="L1" s="118" t="s">
        <v>204</v>
      </c>
      <c r="M1" s="121" t="s">
        <v>9053</v>
      </c>
      <c r="O1" s="118" t="s">
        <v>205</v>
      </c>
      <c r="P1" s="118" t="s">
        <v>206</v>
      </c>
      <c r="Q1" s="118" t="s">
        <v>207</v>
      </c>
      <c r="R1" s="118" t="s">
        <v>208</v>
      </c>
      <c r="S1" s="118" t="s">
        <v>209</v>
      </c>
      <c r="T1" s="118" t="s">
        <v>210</v>
      </c>
      <c r="U1" s="118" t="s">
        <v>211</v>
      </c>
      <c r="W1" s="118"/>
      <c r="X1" s="118" t="s">
        <v>212</v>
      </c>
      <c r="Y1" s="118" t="s">
        <v>213</v>
      </c>
      <c r="AA1" s="130" t="s">
        <v>214</v>
      </c>
      <c r="AB1" s="131"/>
      <c r="AC1" s="124" t="s">
        <v>215</v>
      </c>
      <c r="AD1" s="124" t="s">
        <v>120</v>
      </c>
      <c r="AE1" s="124" t="s">
        <v>77</v>
      </c>
      <c r="AG1" s="124" t="s">
        <v>216</v>
      </c>
      <c r="AH1" s="118" t="s">
        <v>217</v>
      </c>
      <c r="AJ1" s="117" t="s">
        <v>218</v>
      </c>
      <c r="AK1" s="118" t="s">
        <v>5871</v>
      </c>
      <c r="AL1" s="118" t="s">
        <v>5872</v>
      </c>
      <c r="AN1" s="117" t="s">
        <v>219</v>
      </c>
      <c r="AO1" s="118" t="s">
        <v>5871</v>
      </c>
      <c r="AP1" s="118" t="s">
        <v>5872</v>
      </c>
      <c r="AR1" s="117" t="s">
        <v>220</v>
      </c>
      <c r="AS1" s="117" t="s">
        <v>221</v>
      </c>
      <c r="AU1" s="117" t="s">
        <v>222</v>
      </c>
      <c r="AV1" s="117" t="s">
        <v>223</v>
      </c>
      <c r="AW1" s="117" t="s">
        <v>224</v>
      </c>
      <c r="AY1" s="117" t="s">
        <v>225</v>
      </c>
      <c r="AZ1" s="117" t="s">
        <v>226</v>
      </c>
      <c r="BA1" s="117" t="s">
        <v>224</v>
      </c>
      <c r="BC1" s="118" t="s">
        <v>227</v>
      </c>
      <c r="BD1" s="118" t="s">
        <v>228</v>
      </c>
      <c r="BE1" s="118" t="s">
        <v>229</v>
      </c>
      <c r="BF1" s="118" t="s">
        <v>230</v>
      </c>
      <c r="BG1" s="118" t="s">
        <v>5859</v>
      </c>
      <c r="BH1" s="118" t="s">
        <v>231</v>
      </c>
      <c r="BI1" s="129">
        <f>Início!C21</f>
        <v>0.37</v>
      </c>
      <c r="BJ1" s="129" t="str">
        <f>Início!C20</f>
        <v>Escritórios</v>
      </c>
      <c r="BK1" s="129">
        <f>Início!C18</f>
        <v>7</v>
      </c>
      <c r="BL1" s="131"/>
      <c r="BM1" s="118" t="s">
        <v>227</v>
      </c>
      <c r="BN1" s="118" t="s">
        <v>228</v>
      </c>
      <c r="BO1" s="118" t="s">
        <v>229</v>
      </c>
      <c r="BP1" s="118" t="s">
        <v>230</v>
      </c>
      <c r="BQ1" s="118" t="s">
        <v>5860</v>
      </c>
      <c r="BR1" s="118" t="s">
        <v>231</v>
      </c>
      <c r="BS1" s="129">
        <f>Início!M21</f>
        <v>0</v>
      </c>
      <c r="BT1" s="129">
        <f>Início!M20</f>
        <v>0</v>
      </c>
      <c r="BU1" s="129">
        <f>Início!M18</f>
        <v>0</v>
      </c>
      <c r="BV1" s="131"/>
      <c r="BW1" s="118" t="s">
        <v>227</v>
      </c>
      <c r="BX1" s="118" t="s">
        <v>228</v>
      </c>
      <c r="BY1" s="118" t="s">
        <v>229</v>
      </c>
      <c r="BZ1" s="118" t="s">
        <v>230</v>
      </c>
      <c r="CA1" s="118" t="s">
        <v>5861</v>
      </c>
      <c r="CB1" s="118" t="s">
        <v>231</v>
      </c>
      <c r="CC1" s="129">
        <f>BI1</f>
        <v>0.37</v>
      </c>
      <c r="CD1" s="129" t="str">
        <f>BJ1</f>
        <v>Escritórios</v>
      </c>
      <c r="CE1" s="129">
        <f>BK1</f>
        <v>7</v>
      </c>
      <c r="CF1" s="123"/>
      <c r="CH1" s="181" t="s">
        <v>232</v>
      </c>
      <c r="CK1" s="588" t="s">
        <v>5855</v>
      </c>
      <c r="CL1" s="588"/>
      <c r="CM1" s="588"/>
      <c r="CN1" s="588"/>
      <c r="CO1" s="588"/>
      <c r="CP1" s="588"/>
      <c r="CQ1" s="588"/>
      <c r="CR1" s="588"/>
      <c r="CS1" s="588"/>
      <c r="CT1" s="588"/>
      <c r="CU1" s="588"/>
      <c r="CX1" s="124" t="s">
        <v>214</v>
      </c>
      <c r="CY1" s="401" t="s">
        <v>5713</v>
      </c>
      <c r="CZ1" s="131"/>
      <c r="DA1" s="124" t="s">
        <v>215</v>
      </c>
      <c r="DB1" s="124" t="s">
        <v>6061</v>
      </c>
      <c r="DC1" s="124" t="s">
        <v>120</v>
      </c>
      <c r="DD1" s="124" t="s">
        <v>77</v>
      </c>
      <c r="DE1" s="118" t="s">
        <v>6062</v>
      </c>
      <c r="DF1"/>
      <c r="DG1" s="402" t="s">
        <v>215</v>
      </c>
      <c r="DH1" s="402" t="s">
        <v>120</v>
      </c>
      <c r="DI1" s="402" t="s">
        <v>10548</v>
      </c>
      <c r="DJ1" s="402" t="s">
        <v>6063</v>
      </c>
      <c r="DK1" s="403" t="s">
        <v>6064</v>
      </c>
      <c r="DL1" s="403" t="s">
        <v>6065</v>
      </c>
      <c r="DM1" s="403" t="s">
        <v>77</v>
      </c>
      <c r="DN1" s="402" t="s">
        <v>6066</v>
      </c>
      <c r="DO1" s="402" t="s">
        <v>6067</v>
      </c>
      <c r="DP1" s="403" t="s">
        <v>6068</v>
      </c>
      <c r="DR1" s="131" t="s">
        <v>10547</v>
      </c>
    </row>
    <row r="2" spans="1:122" x14ac:dyDescent="0.25">
      <c r="A2" s="122" t="s">
        <v>35</v>
      </c>
      <c r="C2" s="122" t="s">
        <v>67</v>
      </c>
      <c r="E2" s="122" t="s">
        <v>68</v>
      </c>
      <c r="F2" s="122">
        <v>0</v>
      </c>
      <c r="H2" s="122">
        <v>14.1</v>
      </c>
      <c r="I2" s="122">
        <v>15</v>
      </c>
      <c r="J2" s="122">
        <v>10</v>
      </c>
      <c r="K2" s="122">
        <v>10</v>
      </c>
      <c r="L2" s="122">
        <v>260</v>
      </c>
      <c r="M2" s="425">
        <v>0.5</v>
      </c>
      <c r="O2" s="123" t="s">
        <v>5862</v>
      </c>
      <c r="P2" s="123">
        <v>0</v>
      </c>
      <c r="Q2" s="123">
        <v>1</v>
      </c>
      <c r="R2" s="123">
        <v>0</v>
      </c>
      <c r="S2" s="123">
        <v>1</v>
      </c>
      <c r="T2" s="123">
        <v>0</v>
      </c>
      <c r="U2" s="123">
        <v>0</v>
      </c>
      <c r="W2" s="122" t="s">
        <v>69</v>
      </c>
      <c r="X2" s="122">
        <v>1</v>
      </c>
      <c r="Y2" s="122">
        <v>0</v>
      </c>
      <c r="AA2" s="122" t="s">
        <v>234</v>
      </c>
      <c r="AB2" s="123" t="s">
        <v>235</v>
      </c>
      <c r="AC2" s="122" t="s">
        <v>236</v>
      </c>
      <c r="AD2" s="122" t="s">
        <v>237</v>
      </c>
      <c r="AE2" s="127">
        <v>2</v>
      </c>
      <c r="AG2" s="324" t="s">
        <v>238</v>
      </c>
      <c r="AH2" s="120">
        <v>0.9</v>
      </c>
      <c r="AJ2" s="119" t="s">
        <v>239</v>
      </c>
      <c r="AK2" s="120">
        <v>7</v>
      </c>
      <c r="AL2" s="120">
        <v>13.8</v>
      </c>
      <c r="AN2" t="s">
        <v>5805</v>
      </c>
      <c r="AO2">
        <v>7.45</v>
      </c>
      <c r="AP2">
        <v>16.32</v>
      </c>
      <c r="AR2" s="119" t="s">
        <v>119</v>
      </c>
      <c r="AS2" s="119">
        <v>1.6</v>
      </c>
      <c r="AU2" s="119" t="s">
        <v>240</v>
      </c>
      <c r="AV2" s="119">
        <v>0.20200000000000001</v>
      </c>
      <c r="AW2" s="119" t="s">
        <v>241</v>
      </c>
      <c r="AY2" s="119" t="s">
        <v>242</v>
      </c>
      <c r="AZ2" s="120">
        <v>0.09</v>
      </c>
      <c r="BA2" s="117" t="s">
        <v>243</v>
      </c>
      <c r="BC2" s="122" t="s">
        <v>35</v>
      </c>
      <c r="BD2" s="115">
        <v>1</v>
      </c>
      <c r="BE2" s="115">
        <v>0</v>
      </c>
      <c r="BF2" s="115">
        <v>0.2</v>
      </c>
      <c r="BG2" s="115">
        <v>0.38</v>
      </c>
      <c r="BH2" s="122" t="str">
        <f>IF(BD2=$BK$1,IF(BC2=$BJ$1,IF(AND($BI$1&gt;BE2,$BI$1&lt;=BF2),BG2,""),""),"")</f>
        <v/>
      </c>
      <c r="BM2" s="122" t="s">
        <v>35</v>
      </c>
      <c r="BN2" s="115">
        <v>1</v>
      </c>
      <c r="BO2" s="115">
        <v>0</v>
      </c>
      <c r="BP2" s="115">
        <v>0.2</v>
      </c>
      <c r="BQ2" s="115">
        <v>0.67</v>
      </c>
      <c r="BR2" s="122" t="str">
        <f>IF(BN2=$BK$1,IF(BM2=$BJ$1,IF(AND($BI$1&gt;BO2,$BI$1&lt;=BP2),BQ2,""),""),"")</f>
        <v/>
      </c>
      <c r="BW2" s="122" t="s">
        <v>35</v>
      </c>
      <c r="BX2" s="115">
        <v>1</v>
      </c>
      <c r="BY2" s="115">
        <v>0</v>
      </c>
      <c r="BZ2" s="115">
        <v>0.2</v>
      </c>
      <c r="CA2" s="115">
        <v>0.52</v>
      </c>
      <c r="CB2" s="122" t="str">
        <f>IF(BX2=$BK$1,IF(BW2=$BJ$1,IF(AND($BI$1&gt;BY2,$BI$1&lt;=BZ2),CA2,""),""),"")</f>
        <v/>
      </c>
      <c r="CH2" s="182" t="s">
        <v>31</v>
      </c>
      <c r="CL2" s="123"/>
      <c r="CM2" s="123"/>
      <c r="CX2" s="404" t="s">
        <v>234</v>
      </c>
      <c r="CY2" s="126" t="s">
        <v>235</v>
      </c>
      <c r="DA2" s="122" t="s">
        <v>234</v>
      </c>
      <c r="DB2" s="122" t="s">
        <v>4872</v>
      </c>
      <c r="DC2" s="122" t="s">
        <v>4872</v>
      </c>
      <c r="DD2" s="127">
        <v>8</v>
      </c>
      <c r="DE2" s="127">
        <v>8</v>
      </c>
      <c r="DG2" s="405" t="s">
        <v>234</v>
      </c>
      <c r="DH2" s="406" t="s">
        <v>4872</v>
      </c>
      <c r="DI2" s="406" t="str">
        <f>CONCATENATE(DG2,", ",DH2)</f>
        <v>AC, Acrelândia</v>
      </c>
      <c r="DJ2" s="406">
        <v>-9.8279999999999994</v>
      </c>
      <c r="DK2" s="80">
        <v>-66.882999999999996</v>
      </c>
      <c r="DL2" s="80">
        <v>25</v>
      </c>
      <c r="DM2" s="64">
        <v>8</v>
      </c>
      <c r="DN2" s="406" t="s">
        <v>6069</v>
      </c>
      <c r="DO2" s="406">
        <v>-9.9600000000000009</v>
      </c>
      <c r="DP2" s="80">
        <v>220</v>
      </c>
      <c r="DR2" s="131" t="str">
        <f>VLOOKUP(CONCATENATE(Início!C15,", ",Início!C16),Aux_Lista!DI:DN,6,FALSE)</f>
        <v>BRA_PB_Patos.819130_INMET.epw</v>
      </c>
    </row>
    <row r="3" spans="1:122" x14ac:dyDescent="0.25">
      <c r="A3" s="122" t="s">
        <v>244</v>
      </c>
      <c r="C3" s="122" t="s">
        <v>75</v>
      </c>
      <c r="E3" s="122" t="s">
        <v>245</v>
      </c>
      <c r="F3" s="122">
        <v>45</v>
      </c>
      <c r="H3" s="122">
        <v>15.5</v>
      </c>
      <c r="I3" s="122">
        <v>15</v>
      </c>
      <c r="J3" s="122">
        <v>2.5</v>
      </c>
      <c r="K3" s="122">
        <v>8</v>
      </c>
      <c r="L3" s="122">
        <v>200</v>
      </c>
      <c r="M3" s="425">
        <v>0.4</v>
      </c>
      <c r="O3" s="122" t="s">
        <v>233</v>
      </c>
      <c r="P3" s="122">
        <v>0</v>
      </c>
      <c r="Q3" s="122">
        <v>1</v>
      </c>
      <c r="R3" s="122">
        <v>1</v>
      </c>
      <c r="S3" s="122">
        <v>0</v>
      </c>
      <c r="T3" s="122">
        <v>1</v>
      </c>
      <c r="U3" s="122">
        <v>0</v>
      </c>
      <c r="W3" s="122" t="s">
        <v>246</v>
      </c>
      <c r="X3" s="122">
        <v>0</v>
      </c>
      <c r="Y3" s="122">
        <v>1</v>
      </c>
      <c r="AA3" s="122" t="s">
        <v>247</v>
      </c>
      <c r="AB3" s="123" t="s">
        <v>248</v>
      </c>
      <c r="AC3" s="122" t="s">
        <v>236</v>
      </c>
      <c r="AD3" s="122" t="s">
        <v>249</v>
      </c>
      <c r="AE3" s="127">
        <v>3</v>
      </c>
      <c r="AG3" s="125" t="s">
        <v>5981</v>
      </c>
      <c r="AH3" s="127">
        <v>0.8</v>
      </c>
      <c r="AJ3" s="119" t="s">
        <v>250</v>
      </c>
      <c r="AK3" s="120">
        <v>5.2</v>
      </c>
      <c r="AL3" s="120">
        <v>10.3</v>
      </c>
      <c r="AN3" t="s">
        <v>5806</v>
      </c>
      <c r="AO3">
        <v>3.8</v>
      </c>
      <c r="AP3">
        <v>8</v>
      </c>
      <c r="AR3" s="119" t="s">
        <v>251</v>
      </c>
      <c r="AS3" s="119">
        <v>1.1000000000000001</v>
      </c>
      <c r="AU3" s="119" t="s">
        <v>252</v>
      </c>
      <c r="AV3" s="119">
        <v>0.26700000000000002</v>
      </c>
      <c r="AW3" s="119" t="s">
        <v>241</v>
      </c>
      <c r="AY3" s="119" t="s">
        <v>253</v>
      </c>
      <c r="AZ3" s="120">
        <v>0.753</v>
      </c>
      <c r="BA3" s="117" t="s">
        <v>243</v>
      </c>
      <c r="BC3" s="122" t="s">
        <v>35</v>
      </c>
      <c r="BD3" s="115">
        <v>1</v>
      </c>
      <c r="BE3" s="115">
        <v>0.2</v>
      </c>
      <c r="BF3" s="115">
        <v>0.3</v>
      </c>
      <c r="BG3" s="115">
        <v>0.39</v>
      </c>
      <c r="BH3" s="122" t="str">
        <f t="shared" ref="BH3:BH66" si="0">IF(BD3=$BK$1,IF(BC3=$BJ$1,IF(AND($BI$1&gt;BE3,$BI$1&lt;=BF3),BG3,""),""),"")</f>
        <v/>
      </c>
      <c r="BM3" s="122" t="s">
        <v>35</v>
      </c>
      <c r="BN3" s="115">
        <v>2</v>
      </c>
      <c r="BO3" s="115">
        <v>0</v>
      </c>
      <c r="BP3" s="115">
        <v>0.2</v>
      </c>
      <c r="BQ3" s="115">
        <v>0.59</v>
      </c>
      <c r="BR3" s="122" t="str">
        <f t="shared" ref="BR3:BR66" si="1">IF(BN3=$BK$1,IF(BM3=$BJ$1,IF(AND($BI$1&gt;BO3,$BI$1&lt;=BP3),BQ3,""),""),"")</f>
        <v/>
      </c>
      <c r="BW3" s="122" t="s">
        <v>35</v>
      </c>
      <c r="BX3" s="115">
        <v>1</v>
      </c>
      <c r="BY3" s="115">
        <v>0.2</v>
      </c>
      <c r="BZ3" s="115">
        <v>0.3</v>
      </c>
      <c r="CA3" s="115">
        <v>0.52</v>
      </c>
      <c r="CB3" s="122" t="str">
        <f t="shared" ref="CB3:CB66" si="2">IF(BX3=$BK$1,IF(BW3=$BJ$1,IF(AND($BI$1&gt;BY3,$BI$1&lt;=BZ3),CA3,""),""),"")</f>
        <v/>
      </c>
      <c r="CH3" s="182" t="s">
        <v>254</v>
      </c>
      <c r="CK3" s="219" t="s">
        <v>193</v>
      </c>
      <c r="CL3" s="220" t="s">
        <v>255</v>
      </c>
      <c r="CM3" s="225" t="s">
        <v>256</v>
      </c>
      <c r="CN3" s="220" t="s">
        <v>257</v>
      </c>
      <c r="CO3" s="220" t="s">
        <v>258</v>
      </c>
      <c r="CP3" s="220" t="s">
        <v>259</v>
      </c>
      <c r="CQ3" s="220" t="s">
        <v>260</v>
      </c>
      <c r="CR3" s="220" t="s">
        <v>261</v>
      </c>
      <c r="CS3" s="220" t="s">
        <v>262</v>
      </c>
      <c r="CT3" s="221" t="s">
        <v>263</v>
      </c>
      <c r="CU3" s="222" t="s">
        <v>264</v>
      </c>
      <c r="CX3" s="404" t="s">
        <v>247</v>
      </c>
      <c r="CY3" s="126" t="s">
        <v>248</v>
      </c>
      <c r="DA3" s="122" t="s">
        <v>234</v>
      </c>
      <c r="DB3" s="122" t="s">
        <v>6070</v>
      </c>
      <c r="DC3" s="122" t="s">
        <v>4804</v>
      </c>
      <c r="DD3" s="127">
        <v>8</v>
      </c>
      <c r="DE3" s="127">
        <v>8</v>
      </c>
      <c r="DG3" s="405" t="s">
        <v>234</v>
      </c>
      <c r="DH3" s="406" t="s">
        <v>4804</v>
      </c>
      <c r="DI3" s="406" t="str">
        <f t="shared" ref="DI3:DI66" si="3">CONCATENATE(DG3,", ",DH3)</f>
        <v>AC, Assis Brasil</v>
      </c>
      <c r="DJ3" s="406">
        <v>-10.941000000000001</v>
      </c>
      <c r="DK3" s="80">
        <v>-69.566999999999993</v>
      </c>
      <c r="DL3" s="80">
        <v>239</v>
      </c>
      <c r="DM3" s="64">
        <v>8</v>
      </c>
      <c r="DN3" s="406" t="s">
        <v>6071</v>
      </c>
      <c r="DO3" s="406">
        <v>-9.3699999999999992</v>
      </c>
      <c r="DP3" s="80">
        <v>206</v>
      </c>
    </row>
    <row r="4" spans="1:122" ht="15.75" x14ac:dyDescent="0.25">
      <c r="A4" s="122" t="s">
        <v>265</v>
      </c>
      <c r="E4" s="122" t="s">
        <v>266</v>
      </c>
      <c r="F4" s="122">
        <v>-45</v>
      </c>
      <c r="H4" s="122">
        <v>15.5</v>
      </c>
      <c r="I4" s="122">
        <v>15</v>
      </c>
      <c r="J4" s="122">
        <v>1.5</v>
      </c>
      <c r="K4" s="122">
        <v>8</v>
      </c>
      <c r="L4" s="122">
        <v>200</v>
      </c>
      <c r="M4" s="425">
        <v>0.4</v>
      </c>
      <c r="O4" s="122" t="s">
        <v>66</v>
      </c>
      <c r="P4" s="122">
        <v>0</v>
      </c>
      <c r="Q4" s="122">
        <v>1</v>
      </c>
      <c r="R4" s="122">
        <v>1</v>
      </c>
      <c r="S4" s="122">
        <v>0</v>
      </c>
      <c r="T4" s="122">
        <v>0</v>
      </c>
      <c r="U4" s="122">
        <v>1</v>
      </c>
      <c r="AA4" s="122" t="s">
        <v>268</v>
      </c>
      <c r="AB4" s="123" t="s">
        <v>235</v>
      </c>
      <c r="AC4" s="122" t="s">
        <v>27</v>
      </c>
      <c r="AD4" s="122" t="s">
        <v>269</v>
      </c>
      <c r="AE4" s="127">
        <v>2</v>
      </c>
      <c r="AG4" s="125" t="s">
        <v>5977</v>
      </c>
      <c r="AH4" s="127">
        <v>0.95</v>
      </c>
      <c r="AJ4" s="119" t="s">
        <v>270</v>
      </c>
      <c r="AK4" s="120">
        <v>8.4</v>
      </c>
      <c r="AL4" s="120">
        <v>18.399999999999999</v>
      </c>
      <c r="AN4" t="s">
        <v>5807</v>
      </c>
      <c r="AO4">
        <v>0.1</v>
      </c>
      <c r="AP4">
        <v>0.48</v>
      </c>
      <c r="AU4" s="119" t="s">
        <v>271</v>
      </c>
      <c r="AV4" s="119">
        <v>0.22700000000000001</v>
      </c>
      <c r="AW4" s="119" t="s">
        <v>241</v>
      </c>
      <c r="BC4" s="122" t="s">
        <v>35</v>
      </c>
      <c r="BD4" s="115">
        <v>1</v>
      </c>
      <c r="BE4" s="115">
        <v>0.3</v>
      </c>
      <c r="BF4" s="115">
        <v>0.4</v>
      </c>
      <c r="BG4" s="115">
        <v>0.43</v>
      </c>
      <c r="BH4" s="122" t="str">
        <f t="shared" si="0"/>
        <v/>
      </c>
      <c r="BM4" s="122" t="s">
        <v>35</v>
      </c>
      <c r="BN4" s="115">
        <v>3</v>
      </c>
      <c r="BO4" s="115">
        <v>0</v>
      </c>
      <c r="BP4" s="115">
        <v>0.2</v>
      </c>
      <c r="BQ4" s="115">
        <v>0.61</v>
      </c>
      <c r="BR4" s="122" t="str">
        <f t="shared" si="1"/>
        <v/>
      </c>
      <c r="BW4" s="122" t="s">
        <v>35</v>
      </c>
      <c r="BX4" s="115">
        <v>1</v>
      </c>
      <c r="BY4" s="115">
        <v>0.3</v>
      </c>
      <c r="BZ4" s="115">
        <v>0.4</v>
      </c>
      <c r="CA4" s="115">
        <v>0.53</v>
      </c>
      <c r="CB4" s="122" t="str">
        <f t="shared" si="2"/>
        <v/>
      </c>
      <c r="CF4" s="114"/>
      <c r="CK4" s="226" t="s">
        <v>272</v>
      </c>
      <c r="CL4" s="123" t="s">
        <v>257</v>
      </c>
      <c r="CM4" s="227">
        <v>7.1</v>
      </c>
      <c r="CN4" s="123" t="s">
        <v>273</v>
      </c>
      <c r="CO4" s="123" t="s">
        <v>198</v>
      </c>
      <c r="CP4" s="123" t="s">
        <v>274</v>
      </c>
      <c r="CQ4" s="123" t="s">
        <v>275</v>
      </c>
      <c r="CR4" s="123" t="s">
        <v>276</v>
      </c>
      <c r="CS4" s="123" t="s">
        <v>275</v>
      </c>
      <c r="CT4" s="123" t="s">
        <v>201</v>
      </c>
      <c r="CU4" s="189" t="s">
        <v>198</v>
      </c>
      <c r="CX4" s="404" t="s">
        <v>268</v>
      </c>
      <c r="CY4" s="126" t="s">
        <v>235</v>
      </c>
      <c r="DA4" s="122" t="s">
        <v>234</v>
      </c>
      <c r="DB4" s="122" t="s">
        <v>4924</v>
      </c>
      <c r="DC4" s="122" t="s">
        <v>4924</v>
      </c>
      <c r="DD4" s="127">
        <v>8</v>
      </c>
      <c r="DE4" s="127">
        <v>8</v>
      </c>
      <c r="DG4" s="405" t="s">
        <v>234</v>
      </c>
      <c r="DH4" s="406" t="s">
        <v>4924</v>
      </c>
      <c r="DI4" s="406" t="str">
        <f t="shared" si="3"/>
        <v>AC, Brasiléia</v>
      </c>
      <c r="DJ4" s="406">
        <v>-11.01</v>
      </c>
      <c r="DK4" s="80">
        <v>-68.748000000000005</v>
      </c>
      <c r="DL4" s="80">
        <v>172</v>
      </c>
      <c r="DM4" s="64">
        <v>8</v>
      </c>
      <c r="DN4" s="406" t="s">
        <v>6069</v>
      </c>
      <c r="DO4" s="406">
        <v>-9.9600000000000009</v>
      </c>
      <c r="DP4" s="80">
        <v>220</v>
      </c>
    </row>
    <row r="5" spans="1:122" ht="15.75" x14ac:dyDescent="0.25">
      <c r="A5" s="122" t="s">
        <v>277</v>
      </c>
      <c r="E5" s="122" t="s">
        <v>72</v>
      </c>
      <c r="F5" s="122">
        <v>90</v>
      </c>
      <c r="H5" s="122">
        <v>15.5</v>
      </c>
      <c r="I5" s="122">
        <v>15</v>
      </c>
      <c r="J5" s="122">
        <v>1.5</v>
      </c>
      <c r="K5" s="122">
        <v>8</v>
      </c>
      <c r="L5" s="122">
        <v>200</v>
      </c>
      <c r="M5" s="425">
        <v>0.4</v>
      </c>
      <c r="O5" s="122" t="s">
        <v>267</v>
      </c>
      <c r="P5" s="122">
        <v>0</v>
      </c>
      <c r="Q5" s="122">
        <v>1</v>
      </c>
      <c r="R5" s="122">
        <v>0</v>
      </c>
      <c r="S5" s="122">
        <v>1</v>
      </c>
      <c r="T5" s="122">
        <v>1</v>
      </c>
      <c r="U5" s="122">
        <v>0</v>
      </c>
      <c r="AA5" s="122" t="s">
        <v>279</v>
      </c>
      <c r="AB5" s="123" t="s">
        <v>235</v>
      </c>
      <c r="AC5" s="122" t="s">
        <v>236</v>
      </c>
      <c r="AD5" s="122" t="s">
        <v>280</v>
      </c>
      <c r="AE5" s="127">
        <v>2</v>
      </c>
      <c r="AG5" s="125" t="s">
        <v>281</v>
      </c>
      <c r="AH5" s="127">
        <v>1</v>
      </c>
      <c r="AJ5" s="119" t="s">
        <v>282</v>
      </c>
      <c r="AK5" s="120">
        <v>5.7</v>
      </c>
      <c r="AL5" s="120">
        <v>11</v>
      </c>
      <c r="AN5" t="s">
        <v>5808</v>
      </c>
      <c r="AO5">
        <v>7.0000000000000007E-2</v>
      </c>
      <c r="AP5">
        <v>0.32</v>
      </c>
      <c r="AU5" s="119" t="s">
        <v>283</v>
      </c>
      <c r="AV5" s="119">
        <v>0.53100000000000003</v>
      </c>
      <c r="AW5" s="119" t="s">
        <v>241</v>
      </c>
      <c r="BC5" s="122" t="s">
        <v>35</v>
      </c>
      <c r="BD5" s="115">
        <v>1</v>
      </c>
      <c r="BE5" s="115">
        <v>0.4</v>
      </c>
      <c r="BF5" s="115">
        <v>100</v>
      </c>
      <c r="BG5" s="115">
        <v>0.46</v>
      </c>
      <c r="BH5" s="122" t="str">
        <f t="shared" si="0"/>
        <v/>
      </c>
      <c r="BM5" s="122" t="s">
        <v>35</v>
      </c>
      <c r="BN5" s="115">
        <v>4</v>
      </c>
      <c r="BO5" s="115">
        <v>0</v>
      </c>
      <c r="BP5" s="115">
        <v>0.2</v>
      </c>
      <c r="BQ5" s="115">
        <v>0.65</v>
      </c>
      <c r="BR5" s="122" t="str">
        <f t="shared" si="1"/>
        <v/>
      </c>
      <c r="BW5" s="122" t="s">
        <v>35</v>
      </c>
      <c r="BX5" s="115">
        <v>1</v>
      </c>
      <c r="BY5" s="115">
        <v>0.4</v>
      </c>
      <c r="BZ5" s="115">
        <v>100</v>
      </c>
      <c r="CA5" s="115">
        <v>0.55000000000000004</v>
      </c>
      <c r="CB5" s="122" t="str">
        <f t="shared" si="2"/>
        <v/>
      </c>
      <c r="CF5" s="114"/>
      <c r="CK5" s="226" t="s">
        <v>195</v>
      </c>
      <c r="CL5" s="123" t="s">
        <v>258</v>
      </c>
      <c r="CM5" s="227">
        <v>7.1</v>
      </c>
      <c r="CO5" s="123" t="s">
        <v>196</v>
      </c>
      <c r="CP5" s="123" t="s">
        <v>198</v>
      </c>
      <c r="CQ5" s="123" t="s">
        <v>284</v>
      </c>
      <c r="CR5" s="123" t="s">
        <v>285</v>
      </c>
      <c r="CS5" s="123" t="s">
        <v>286</v>
      </c>
      <c r="CU5" s="189" t="s">
        <v>196</v>
      </c>
      <c r="CX5" s="404" t="s">
        <v>279</v>
      </c>
      <c r="CY5" s="126" t="s">
        <v>235</v>
      </c>
      <c r="DA5" s="122" t="s">
        <v>234</v>
      </c>
      <c r="DB5" s="122" t="s">
        <v>4439</v>
      </c>
      <c r="DC5" s="122" t="s">
        <v>4439</v>
      </c>
      <c r="DD5" s="127">
        <v>8</v>
      </c>
      <c r="DE5" s="127">
        <v>8</v>
      </c>
      <c r="DG5" s="405" t="s">
        <v>234</v>
      </c>
      <c r="DH5" s="406" t="s">
        <v>4439</v>
      </c>
      <c r="DI5" s="406" t="str">
        <f t="shared" si="3"/>
        <v>AC, Bujari</v>
      </c>
      <c r="DJ5" s="406">
        <v>-9.8309999999999995</v>
      </c>
      <c r="DK5" s="80">
        <v>-67.951999999999998</v>
      </c>
      <c r="DL5" s="80">
        <v>50</v>
      </c>
      <c r="DM5" s="64">
        <v>8</v>
      </c>
      <c r="DN5" s="406" t="s">
        <v>6069</v>
      </c>
      <c r="DO5" s="406">
        <v>-9.9600000000000009</v>
      </c>
      <c r="DP5" s="80">
        <v>220</v>
      </c>
    </row>
    <row r="6" spans="1:122" ht="15.75" x14ac:dyDescent="0.25">
      <c r="A6" s="122" t="s">
        <v>287</v>
      </c>
      <c r="E6" s="122" t="s">
        <v>73</v>
      </c>
      <c r="F6" s="122">
        <v>180</v>
      </c>
      <c r="H6" s="122">
        <v>15.7</v>
      </c>
      <c r="I6" s="122">
        <v>20</v>
      </c>
      <c r="J6" s="122">
        <v>18</v>
      </c>
      <c r="K6" s="122">
        <v>12</v>
      </c>
      <c r="L6" s="122">
        <v>365</v>
      </c>
      <c r="M6" s="426">
        <v>0.45</v>
      </c>
      <c r="O6" s="122" t="s">
        <v>278</v>
      </c>
      <c r="P6" s="122">
        <v>0</v>
      </c>
      <c r="Q6" s="122">
        <v>1</v>
      </c>
      <c r="R6" s="122">
        <v>0</v>
      </c>
      <c r="S6" s="122">
        <v>1</v>
      </c>
      <c r="T6" s="122">
        <v>0</v>
      </c>
      <c r="U6" s="122">
        <v>1</v>
      </c>
      <c r="AA6" s="122" t="s">
        <v>289</v>
      </c>
      <c r="AB6" s="123" t="s">
        <v>248</v>
      </c>
      <c r="AC6" s="122" t="s">
        <v>236</v>
      </c>
      <c r="AD6" s="122" t="s">
        <v>290</v>
      </c>
      <c r="AE6" s="127">
        <v>2</v>
      </c>
      <c r="AJ6" s="119" t="s">
        <v>291</v>
      </c>
      <c r="AK6" s="120">
        <v>8.6999999999999993</v>
      </c>
      <c r="AL6" s="120">
        <v>16.8</v>
      </c>
      <c r="AN6" t="s">
        <v>5804</v>
      </c>
      <c r="AO6">
        <v>11.5</v>
      </c>
      <c r="AP6">
        <v>13.6</v>
      </c>
      <c r="AU6" s="119" t="s">
        <v>292</v>
      </c>
      <c r="AV6" s="119">
        <v>0.249</v>
      </c>
      <c r="AW6" s="119" t="s">
        <v>241</v>
      </c>
      <c r="BC6" s="122" t="s">
        <v>35</v>
      </c>
      <c r="BD6" s="115">
        <v>2</v>
      </c>
      <c r="BE6" s="115">
        <v>0</v>
      </c>
      <c r="BF6" s="115">
        <v>0.2</v>
      </c>
      <c r="BG6" s="115">
        <v>0.34</v>
      </c>
      <c r="BH6" s="122" t="str">
        <f t="shared" si="0"/>
        <v/>
      </c>
      <c r="BM6" s="122" t="s">
        <v>35</v>
      </c>
      <c r="BN6" s="115">
        <v>5</v>
      </c>
      <c r="BO6" s="115">
        <v>0</v>
      </c>
      <c r="BP6" s="115">
        <v>0.2</v>
      </c>
      <c r="BQ6" s="115">
        <v>0.56000000000000005</v>
      </c>
      <c r="BR6" s="122" t="str">
        <f t="shared" si="1"/>
        <v/>
      </c>
      <c r="BW6" s="122" t="s">
        <v>35</v>
      </c>
      <c r="BX6" s="115">
        <v>2</v>
      </c>
      <c r="BY6" s="115">
        <v>0</v>
      </c>
      <c r="BZ6" s="115">
        <v>0.2</v>
      </c>
      <c r="CA6" s="115">
        <v>0.5</v>
      </c>
      <c r="CB6" s="122" t="str">
        <f t="shared" si="2"/>
        <v/>
      </c>
      <c r="CF6" s="114"/>
      <c r="CK6" s="226" t="s">
        <v>293</v>
      </c>
      <c r="CL6" s="123" t="s">
        <v>258</v>
      </c>
      <c r="CM6" s="227">
        <v>7.1</v>
      </c>
      <c r="CO6" s="123" t="s">
        <v>294</v>
      </c>
      <c r="CP6" s="123" t="s">
        <v>196</v>
      </c>
      <c r="CR6" s="123" t="s">
        <v>286</v>
      </c>
      <c r="CS6" s="123" t="s">
        <v>295</v>
      </c>
      <c r="CU6" s="189" t="s">
        <v>296</v>
      </c>
      <c r="CX6" s="404" t="s">
        <v>289</v>
      </c>
      <c r="CY6" s="126" t="s">
        <v>248</v>
      </c>
      <c r="DA6" s="122" t="s">
        <v>234</v>
      </c>
      <c r="DB6" s="122" t="s">
        <v>4817</v>
      </c>
      <c r="DC6" s="122" t="s">
        <v>4817</v>
      </c>
      <c r="DD6" s="127">
        <v>8</v>
      </c>
      <c r="DE6" s="127">
        <v>8</v>
      </c>
      <c r="DG6" s="405" t="s">
        <v>234</v>
      </c>
      <c r="DH6" s="406" t="s">
        <v>4817</v>
      </c>
      <c r="DI6" s="406" t="str">
        <f t="shared" si="3"/>
        <v>AC, Capixaba</v>
      </c>
      <c r="DJ6" s="406">
        <v>-10.573</v>
      </c>
      <c r="DK6" s="80">
        <v>-67.676000000000002</v>
      </c>
      <c r="DL6" s="80">
        <v>40</v>
      </c>
      <c r="DM6" s="64">
        <v>8</v>
      </c>
      <c r="DN6" s="406" t="s">
        <v>6069</v>
      </c>
      <c r="DO6" s="406">
        <v>-9.9600000000000009</v>
      </c>
      <c r="DP6" s="80">
        <v>220</v>
      </c>
    </row>
    <row r="7" spans="1:122" ht="15.75" x14ac:dyDescent="0.25">
      <c r="A7" s="122" t="s">
        <v>297</v>
      </c>
      <c r="E7" s="122" t="s">
        <v>298</v>
      </c>
      <c r="F7" s="122">
        <v>135</v>
      </c>
      <c r="H7" s="122">
        <v>15</v>
      </c>
      <c r="I7" s="122">
        <v>40</v>
      </c>
      <c r="J7" s="122">
        <v>5</v>
      </c>
      <c r="K7" s="122">
        <v>12</v>
      </c>
      <c r="L7" s="122">
        <v>365</v>
      </c>
      <c r="M7" s="426">
        <v>0.14000000000000001</v>
      </c>
      <c r="O7" s="122" t="s">
        <v>288</v>
      </c>
      <c r="P7" s="122">
        <v>1</v>
      </c>
      <c r="Q7" s="122">
        <v>0</v>
      </c>
      <c r="R7" s="122">
        <v>1</v>
      </c>
      <c r="S7" s="122">
        <v>0</v>
      </c>
      <c r="T7" s="122">
        <v>1</v>
      </c>
      <c r="U7" s="122">
        <v>0</v>
      </c>
      <c r="AA7" s="122" t="s">
        <v>300</v>
      </c>
      <c r="AB7" s="123" t="s">
        <v>248</v>
      </c>
      <c r="AC7" s="122" t="s">
        <v>27</v>
      </c>
      <c r="AD7" s="122" t="s">
        <v>301</v>
      </c>
      <c r="AE7" s="127">
        <v>2</v>
      </c>
      <c r="AJ7" s="119" t="s">
        <v>302</v>
      </c>
      <c r="AK7" s="120">
        <v>8.9</v>
      </c>
      <c r="AL7" s="120">
        <v>12.9</v>
      </c>
      <c r="AN7" t="s">
        <v>5809</v>
      </c>
      <c r="AO7">
        <v>11.5</v>
      </c>
      <c r="AP7">
        <v>14.08</v>
      </c>
      <c r="AU7" s="119" t="s">
        <v>303</v>
      </c>
      <c r="AV7" s="119">
        <v>0.248</v>
      </c>
      <c r="AW7" s="119" t="s">
        <v>241</v>
      </c>
      <c r="BC7" s="122" t="s">
        <v>35</v>
      </c>
      <c r="BD7" s="115">
        <v>2</v>
      </c>
      <c r="BE7" s="115">
        <v>0.2</v>
      </c>
      <c r="BF7" s="115">
        <v>0.3</v>
      </c>
      <c r="BG7" s="115">
        <v>0.34</v>
      </c>
      <c r="BH7" s="122" t="str">
        <f t="shared" si="0"/>
        <v/>
      </c>
      <c r="BM7" s="122" t="s">
        <v>35</v>
      </c>
      <c r="BN7" s="115">
        <v>6</v>
      </c>
      <c r="BO7" s="115">
        <v>0</v>
      </c>
      <c r="BP7" s="115">
        <v>0.2</v>
      </c>
      <c r="BQ7" s="115">
        <v>0.56000000000000005</v>
      </c>
      <c r="BR7" s="122" t="str">
        <f t="shared" si="1"/>
        <v/>
      </c>
      <c r="BW7" s="122" t="s">
        <v>35</v>
      </c>
      <c r="BX7" s="115">
        <v>2</v>
      </c>
      <c r="BY7" s="115">
        <v>0.2</v>
      </c>
      <c r="BZ7" s="115">
        <v>0.3</v>
      </c>
      <c r="CA7" s="115">
        <v>0.5</v>
      </c>
      <c r="CB7" s="122" t="str">
        <f t="shared" si="2"/>
        <v/>
      </c>
      <c r="CF7" s="114"/>
      <c r="CK7" s="226" t="s">
        <v>304</v>
      </c>
      <c r="CL7" s="123" t="s">
        <v>257</v>
      </c>
      <c r="CM7" s="227">
        <v>7.2</v>
      </c>
      <c r="CO7" s="123" t="s">
        <v>305</v>
      </c>
      <c r="CP7" s="123" t="s">
        <v>296</v>
      </c>
      <c r="CR7" s="123" t="s">
        <v>306</v>
      </c>
      <c r="CS7" s="123" t="s">
        <v>307</v>
      </c>
      <c r="CU7" s="189"/>
      <c r="CX7" s="404" t="s">
        <v>300</v>
      </c>
      <c r="CY7" s="126" t="s">
        <v>248</v>
      </c>
      <c r="DA7" s="122" t="s">
        <v>234</v>
      </c>
      <c r="DB7" s="122" t="s">
        <v>6072</v>
      </c>
      <c r="DC7" s="122" t="s">
        <v>1425</v>
      </c>
      <c r="DD7" s="127">
        <v>8</v>
      </c>
      <c r="DE7" s="127">
        <v>8</v>
      </c>
      <c r="DG7" s="405" t="s">
        <v>234</v>
      </c>
      <c r="DH7" s="406" t="s">
        <v>1425</v>
      </c>
      <c r="DI7" s="406" t="str">
        <f t="shared" si="3"/>
        <v>AC, Cruzeiro do Sul</v>
      </c>
      <c r="DJ7" s="406">
        <v>-7.6310000000000002</v>
      </c>
      <c r="DK7" s="80">
        <v>-72.67</v>
      </c>
      <c r="DL7" s="80">
        <v>182</v>
      </c>
      <c r="DM7" s="64">
        <v>8</v>
      </c>
      <c r="DN7" s="406" t="s">
        <v>6073</v>
      </c>
      <c r="DO7" s="406">
        <v>-8.27</v>
      </c>
      <c r="DP7" s="80">
        <v>240</v>
      </c>
    </row>
    <row r="8" spans="1:122" ht="15.75" x14ac:dyDescent="0.25">
      <c r="A8" s="122" t="s">
        <v>10667</v>
      </c>
      <c r="E8" s="122" t="s">
        <v>308</v>
      </c>
      <c r="F8" s="122">
        <v>225</v>
      </c>
      <c r="H8" s="122">
        <v>20</v>
      </c>
      <c r="I8" s="122">
        <v>20</v>
      </c>
      <c r="J8" s="122">
        <v>5</v>
      </c>
      <c r="K8" s="122">
        <v>12</v>
      </c>
      <c r="L8" s="122">
        <v>300</v>
      </c>
      <c r="M8" s="426">
        <v>0.6</v>
      </c>
      <c r="O8" s="122" t="s">
        <v>299</v>
      </c>
      <c r="P8" s="122">
        <v>1</v>
      </c>
      <c r="Q8" s="122">
        <v>0</v>
      </c>
      <c r="R8" s="122">
        <v>1</v>
      </c>
      <c r="S8" s="122">
        <v>0</v>
      </c>
      <c r="T8" s="122">
        <v>0</v>
      </c>
      <c r="U8" s="122">
        <v>1</v>
      </c>
      <c r="AA8" s="122" t="s">
        <v>309</v>
      </c>
      <c r="AB8" s="123" t="s">
        <v>310</v>
      </c>
      <c r="AC8" s="122" t="s">
        <v>311</v>
      </c>
      <c r="AD8" s="122" t="s">
        <v>312</v>
      </c>
      <c r="AE8" s="127">
        <v>2</v>
      </c>
      <c r="AJ8" s="119" t="s">
        <v>313</v>
      </c>
      <c r="AK8" s="120">
        <v>11.4</v>
      </c>
      <c r="AL8" s="120">
        <v>21.9</v>
      </c>
      <c r="AN8" t="s">
        <v>5810</v>
      </c>
      <c r="AO8">
        <v>12.25</v>
      </c>
      <c r="AP8">
        <v>14.97</v>
      </c>
      <c r="BC8" s="122" t="s">
        <v>35</v>
      </c>
      <c r="BD8" s="115">
        <v>2</v>
      </c>
      <c r="BE8" s="115">
        <v>0.3</v>
      </c>
      <c r="BF8" s="115">
        <v>0.4</v>
      </c>
      <c r="BG8" s="115">
        <v>0.38</v>
      </c>
      <c r="BH8" s="122" t="str">
        <f t="shared" si="0"/>
        <v/>
      </c>
      <c r="BM8" s="122" t="s">
        <v>35</v>
      </c>
      <c r="BN8" s="115">
        <v>7</v>
      </c>
      <c r="BO8" s="115">
        <v>0</v>
      </c>
      <c r="BP8" s="115">
        <v>0.2</v>
      </c>
      <c r="BQ8" s="115">
        <v>0.41</v>
      </c>
      <c r="BR8" s="122" t="str">
        <f t="shared" si="1"/>
        <v/>
      </c>
      <c r="BW8" s="122" t="s">
        <v>35</v>
      </c>
      <c r="BX8" s="115">
        <v>2</v>
      </c>
      <c r="BY8" s="115">
        <v>0.3</v>
      </c>
      <c r="BZ8" s="115">
        <v>0.4</v>
      </c>
      <c r="CA8" s="115">
        <v>0.52</v>
      </c>
      <c r="CB8" s="122" t="str">
        <f t="shared" si="2"/>
        <v/>
      </c>
      <c r="CF8" s="114"/>
      <c r="CK8" s="226" t="s">
        <v>314</v>
      </c>
      <c r="CL8" s="123" t="s">
        <v>258</v>
      </c>
      <c r="CM8" s="227">
        <v>7.2</v>
      </c>
      <c r="CR8" s="123" t="s">
        <v>315</v>
      </c>
      <c r="CS8" s="123" t="s">
        <v>315</v>
      </c>
      <c r="CU8" s="189"/>
      <c r="CX8" s="404" t="s">
        <v>309</v>
      </c>
      <c r="CY8" s="126" t="s">
        <v>310</v>
      </c>
      <c r="DA8" s="122" t="s">
        <v>234</v>
      </c>
      <c r="DB8" s="122" t="s">
        <v>4928</v>
      </c>
      <c r="DC8" s="122" t="s">
        <v>4928</v>
      </c>
      <c r="DD8" s="127">
        <v>8</v>
      </c>
      <c r="DE8" s="127">
        <v>8</v>
      </c>
      <c r="DG8" s="405" t="s">
        <v>234</v>
      </c>
      <c r="DH8" s="406" t="s">
        <v>4928</v>
      </c>
      <c r="DI8" s="406" t="str">
        <f t="shared" si="3"/>
        <v>AC, Epitaciolândia</v>
      </c>
      <c r="DJ8" s="406">
        <v>-11.029</v>
      </c>
      <c r="DK8" s="80">
        <v>-68.741</v>
      </c>
      <c r="DL8" s="80">
        <v>225</v>
      </c>
      <c r="DM8" s="64">
        <v>8</v>
      </c>
      <c r="DN8" s="406" t="s">
        <v>6069</v>
      </c>
      <c r="DO8" s="406">
        <v>-9.9600000000000009</v>
      </c>
      <c r="DP8" s="80">
        <v>220</v>
      </c>
    </row>
    <row r="9" spans="1:122" ht="15.75" x14ac:dyDescent="0.25">
      <c r="A9" s="122" t="s">
        <v>10668</v>
      </c>
      <c r="E9" s="122" t="s">
        <v>74</v>
      </c>
      <c r="F9" s="122">
        <v>270</v>
      </c>
      <c r="H9" s="122">
        <v>16.3</v>
      </c>
      <c r="I9" s="122">
        <v>40</v>
      </c>
      <c r="J9" s="122">
        <v>5</v>
      </c>
      <c r="K9" s="122">
        <v>12</v>
      </c>
      <c r="L9" s="122">
        <v>350</v>
      </c>
      <c r="M9" s="426">
        <v>0.6</v>
      </c>
      <c r="AA9" s="122" t="s">
        <v>317</v>
      </c>
      <c r="AB9" s="123" t="s">
        <v>318</v>
      </c>
      <c r="AC9" s="122" t="s">
        <v>311</v>
      </c>
      <c r="AD9" s="122" t="s">
        <v>319</v>
      </c>
      <c r="AE9" s="127">
        <v>2</v>
      </c>
      <c r="AJ9" s="119" t="s">
        <v>320</v>
      </c>
      <c r="AK9" s="120">
        <v>7.2</v>
      </c>
      <c r="AL9" s="120">
        <v>13.6</v>
      </c>
      <c r="AN9" t="s">
        <v>5811</v>
      </c>
      <c r="AO9">
        <v>11.5</v>
      </c>
      <c r="AP9">
        <v>13.59</v>
      </c>
      <c r="BC9" s="122" t="s">
        <v>35</v>
      </c>
      <c r="BD9" s="115">
        <v>2</v>
      </c>
      <c r="BE9" s="115">
        <v>0.4</v>
      </c>
      <c r="BF9" s="115">
        <v>100</v>
      </c>
      <c r="BG9" s="115">
        <v>0.41</v>
      </c>
      <c r="BH9" s="122" t="str">
        <f t="shared" si="0"/>
        <v/>
      </c>
      <c r="BM9" s="122" t="s">
        <v>35</v>
      </c>
      <c r="BN9" s="115">
        <v>8</v>
      </c>
      <c r="BO9" s="115">
        <v>0</v>
      </c>
      <c r="BP9" s="115">
        <v>0.2</v>
      </c>
      <c r="BQ9" s="115">
        <v>0.5</v>
      </c>
      <c r="BR9" s="122" t="str">
        <f t="shared" si="1"/>
        <v/>
      </c>
      <c r="BW9" s="122" t="s">
        <v>35</v>
      </c>
      <c r="BX9" s="115">
        <v>2</v>
      </c>
      <c r="BY9" s="115">
        <v>0.4</v>
      </c>
      <c r="BZ9" s="115">
        <v>100</v>
      </c>
      <c r="CA9" s="115">
        <v>0.53</v>
      </c>
      <c r="CB9" s="122" t="str">
        <f t="shared" si="2"/>
        <v/>
      </c>
      <c r="CF9" s="114"/>
      <c r="CK9" s="226" t="s">
        <v>199</v>
      </c>
      <c r="CL9" s="123" t="s">
        <v>258</v>
      </c>
      <c r="CM9" s="227">
        <v>7.2</v>
      </c>
      <c r="CU9" s="189"/>
      <c r="CX9" s="404" t="s">
        <v>317</v>
      </c>
      <c r="CY9" s="126" t="s">
        <v>318</v>
      </c>
      <c r="DA9" s="122" t="s">
        <v>234</v>
      </c>
      <c r="DB9" s="122" t="s">
        <v>4324</v>
      </c>
      <c r="DC9" s="122" t="s">
        <v>4324</v>
      </c>
      <c r="DD9" s="127">
        <v>8</v>
      </c>
      <c r="DE9" s="127">
        <v>8</v>
      </c>
      <c r="DG9" s="405" t="s">
        <v>234</v>
      </c>
      <c r="DH9" s="406" t="s">
        <v>4324</v>
      </c>
      <c r="DI9" s="406" t="str">
        <f t="shared" si="3"/>
        <v>AC, Feijó</v>
      </c>
      <c r="DJ9" s="406">
        <v>-8.1639999999999997</v>
      </c>
      <c r="DK9" s="80">
        <v>-70.353999999999999</v>
      </c>
      <c r="DL9" s="80">
        <v>153</v>
      </c>
      <c r="DM9" s="64">
        <v>8</v>
      </c>
      <c r="DN9" s="406" t="s">
        <v>6074</v>
      </c>
      <c r="DO9" s="406">
        <v>-8.14</v>
      </c>
      <c r="DP9" s="80">
        <v>163</v>
      </c>
    </row>
    <row r="10" spans="1:122" ht="15.75" x14ac:dyDescent="0.25">
      <c r="A10" s="122" t="s">
        <v>10669</v>
      </c>
      <c r="E10" s="122" t="s">
        <v>75</v>
      </c>
      <c r="F10" s="122">
        <v>360</v>
      </c>
      <c r="H10" s="122">
        <v>13.9</v>
      </c>
      <c r="I10" s="122">
        <v>40</v>
      </c>
      <c r="J10" s="122">
        <v>5</v>
      </c>
      <c r="K10" s="122">
        <v>8</v>
      </c>
      <c r="L10" s="122">
        <v>350</v>
      </c>
      <c r="M10" s="426">
        <v>0.4</v>
      </c>
      <c r="AA10" s="122" t="s">
        <v>322</v>
      </c>
      <c r="AB10" s="123" t="s">
        <v>310</v>
      </c>
      <c r="AC10" s="122" t="s">
        <v>323</v>
      </c>
      <c r="AD10" s="122" t="s">
        <v>324</v>
      </c>
      <c r="AE10" s="127">
        <v>8</v>
      </c>
      <c r="AJ10" s="119" t="s">
        <v>325</v>
      </c>
      <c r="AK10" s="120">
        <v>7.6</v>
      </c>
      <c r="AL10" s="120">
        <v>12.8</v>
      </c>
      <c r="AN10" t="s">
        <v>5812</v>
      </c>
      <c r="AO10">
        <v>21.85</v>
      </c>
      <c r="AP10">
        <v>41.92</v>
      </c>
      <c r="BC10" s="122" t="s">
        <v>35</v>
      </c>
      <c r="BD10" s="115">
        <v>3</v>
      </c>
      <c r="BE10" s="115">
        <v>0</v>
      </c>
      <c r="BF10" s="115">
        <v>0.2</v>
      </c>
      <c r="BG10" s="115">
        <v>0.31</v>
      </c>
      <c r="BH10" s="122" t="str">
        <f t="shared" si="0"/>
        <v/>
      </c>
      <c r="BM10" s="122" t="s">
        <v>35</v>
      </c>
      <c r="BN10" s="115">
        <v>1</v>
      </c>
      <c r="BO10" s="115">
        <v>0.2</v>
      </c>
      <c r="BP10" s="115">
        <v>0.3</v>
      </c>
      <c r="BQ10" s="115">
        <v>0.67</v>
      </c>
      <c r="BR10" s="122" t="str">
        <f t="shared" si="1"/>
        <v/>
      </c>
      <c r="BW10" s="122" t="s">
        <v>35</v>
      </c>
      <c r="BX10" s="115">
        <v>3</v>
      </c>
      <c r="BY10" s="115">
        <v>0</v>
      </c>
      <c r="BZ10" s="115">
        <v>0.2</v>
      </c>
      <c r="CA10" s="115">
        <v>0.51</v>
      </c>
      <c r="CB10" s="122" t="str">
        <f t="shared" si="2"/>
        <v/>
      </c>
      <c r="CF10" s="114"/>
      <c r="CK10" s="226" t="s">
        <v>326</v>
      </c>
      <c r="CL10" s="123" t="s">
        <v>259</v>
      </c>
      <c r="CM10" s="227">
        <v>7.3</v>
      </c>
      <c r="CU10" s="189"/>
      <c r="CX10" s="404" t="s">
        <v>322</v>
      </c>
      <c r="CY10" s="126" t="s">
        <v>310</v>
      </c>
      <c r="DA10" s="122" t="s">
        <v>234</v>
      </c>
      <c r="DB10" s="122" t="s">
        <v>5309</v>
      </c>
      <c r="DC10" s="122" t="s">
        <v>5309</v>
      </c>
      <c r="DD10" s="127">
        <v>8</v>
      </c>
      <c r="DE10" s="127">
        <v>8</v>
      </c>
      <c r="DG10" s="405" t="s">
        <v>234</v>
      </c>
      <c r="DH10" s="406" t="s">
        <v>5309</v>
      </c>
      <c r="DI10" s="406" t="str">
        <f t="shared" si="3"/>
        <v>AC, Jordão</v>
      </c>
      <c r="DJ10" s="406">
        <v>-9.4339999999999993</v>
      </c>
      <c r="DK10" s="80">
        <v>-71.884</v>
      </c>
      <c r="DL10" s="80">
        <v>278</v>
      </c>
      <c r="DM10" s="64">
        <v>8</v>
      </c>
      <c r="DN10" s="406" t="s">
        <v>6073</v>
      </c>
      <c r="DO10" s="406">
        <v>-8.27</v>
      </c>
      <c r="DP10" s="80">
        <v>240</v>
      </c>
    </row>
    <row r="11" spans="1:122" ht="15.75" x14ac:dyDescent="0.25">
      <c r="A11" s="122" t="s">
        <v>10678</v>
      </c>
      <c r="H11" s="122">
        <v>15</v>
      </c>
      <c r="I11" s="122">
        <f>IF(Início!C38=0,40,Início!C38)</f>
        <v>40</v>
      </c>
      <c r="J11" s="122">
        <v>10</v>
      </c>
      <c r="K11" s="122">
        <v>12</v>
      </c>
      <c r="L11" s="122">
        <v>300</v>
      </c>
      <c r="M11" s="426">
        <v>0.6</v>
      </c>
      <c r="AA11" s="122" t="s">
        <v>328</v>
      </c>
      <c r="AB11" s="123" t="s">
        <v>248</v>
      </c>
      <c r="AC11" s="122" t="s">
        <v>317</v>
      </c>
      <c r="AD11" s="122" t="s">
        <v>329</v>
      </c>
      <c r="AE11" s="127">
        <v>8</v>
      </c>
      <c r="AJ11" s="119" t="s">
        <v>330</v>
      </c>
      <c r="AK11" s="120">
        <v>8.6999999999999993</v>
      </c>
      <c r="AL11" s="120">
        <v>15.5</v>
      </c>
      <c r="AN11" t="s">
        <v>115</v>
      </c>
      <c r="AO11">
        <v>10</v>
      </c>
      <c r="AP11">
        <v>23.84</v>
      </c>
      <c r="BC11" s="122" t="s">
        <v>35</v>
      </c>
      <c r="BD11" s="115">
        <v>3</v>
      </c>
      <c r="BE11" s="115">
        <v>0.2</v>
      </c>
      <c r="BF11" s="115">
        <v>0.3</v>
      </c>
      <c r="BG11" s="115">
        <v>0.32</v>
      </c>
      <c r="BH11" s="122" t="str">
        <f t="shared" si="0"/>
        <v/>
      </c>
      <c r="BM11" s="122" t="s">
        <v>35</v>
      </c>
      <c r="BN11" s="115">
        <v>2</v>
      </c>
      <c r="BO11" s="115">
        <v>0.2</v>
      </c>
      <c r="BP11" s="115">
        <v>0.3</v>
      </c>
      <c r="BQ11" s="115">
        <v>0.59</v>
      </c>
      <c r="BR11" s="122" t="str">
        <f t="shared" si="1"/>
        <v/>
      </c>
      <c r="BW11" s="122" t="s">
        <v>35</v>
      </c>
      <c r="BX11" s="115">
        <v>3</v>
      </c>
      <c r="BY11" s="115">
        <v>0.2</v>
      </c>
      <c r="BZ11" s="115">
        <v>0.3</v>
      </c>
      <c r="CA11" s="115">
        <v>0.51</v>
      </c>
      <c r="CB11" s="122" t="str">
        <f t="shared" si="2"/>
        <v/>
      </c>
      <c r="CF11" s="114"/>
      <c r="CK11" s="226" t="s">
        <v>331</v>
      </c>
      <c r="CL11" s="123" t="s">
        <v>259</v>
      </c>
      <c r="CM11" s="227">
        <v>7.4</v>
      </c>
      <c r="CU11" s="189"/>
      <c r="CX11" s="404" t="s">
        <v>328</v>
      </c>
      <c r="CY11" s="126" t="s">
        <v>248</v>
      </c>
      <c r="DA11" s="122" t="s">
        <v>234</v>
      </c>
      <c r="DB11" s="122" t="s">
        <v>6075</v>
      </c>
      <c r="DC11" s="122" t="s">
        <v>4561</v>
      </c>
      <c r="DD11" s="127">
        <v>8</v>
      </c>
      <c r="DE11" s="127">
        <v>8</v>
      </c>
      <c r="DG11" s="405" t="s">
        <v>234</v>
      </c>
      <c r="DH11" s="406" t="s">
        <v>4561</v>
      </c>
      <c r="DI11" s="406" t="str">
        <f t="shared" si="3"/>
        <v>AC, Mâncio Lima</v>
      </c>
      <c r="DJ11" s="406">
        <v>-7.6139999999999999</v>
      </c>
      <c r="DK11" s="80">
        <v>-72.896000000000001</v>
      </c>
      <c r="DL11" s="80">
        <v>195</v>
      </c>
      <c r="DM11" s="64">
        <v>8</v>
      </c>
      <c r="DN11" s="406" t="s">
        <v>6073</v>
      </c>
      <c r="DO11" s="406">
        <v>-8.27</v>
      </c>
      <c r="DP11" s="80">
        <v>240</v>
      </c>
    </row>
    <row r="12" spans="1:122" x14ac:dyDescent="0.25">
      <c r="A12" s="122" t="s">
        <v>332</v>
      </c>
      <c r="H12" s="122">
        <v>15.5</v>
      </c>
      <c r="I12" s="122">
        <v>15</v>
      </c>
      <c r="J12" s="122">
        <v>1.5</v>
      </c>
      <c r="K12" s="122">
        <v>8</v>
      </c>
      <c r="L12" s="122">
        <v>200</v>
      </c>
      <c r="M12" s="426">
        <v>0.4</v>
      </c>
      <c r="AA12" s="122" t="s">
        <v>333</v>
      </c>
      <c r="AB12" s="123" t="s">
        <v>318</v>
      </c>
      <c r="AC12" s="122" t="s">
        <v>317</v>
      </c>
      <c r="AD12" s="122" t="s">
        <v>334</v>
      </c>
      <c r="AE12" s="127">
        <v>8</v>
      </c>
      <c r="AJ12" s="119" t="s">
        <v>114</v>
      </c>
      <c r="AK12" s="120">
        <v>8.5</v>
      </c>
      <c r="AL12" s="120">
        <v>14.1</v>
      </c>
      <c r="AN12" t="s">
        <v>351</v>
      </c>
      <c r="AO12">
        <v>9.15</v>
      </c>
      <c r="AP12">
        <v>13.73</v>
      </c>
      <c r="BC12" s="122" t="s">
        <v>35</v>
      </c>
      <c r="BD12" s="115">
        <v>3</v>
      </c>
      <c r="BE12" s="115">
        <v>0.3</v>
      </c>
      <c r="BF12" s="115">
        <v>0.4</v>
      </c>
      <c r="BG12" s="115">
        <v>0.35</v>
      </c>
      <c r="BH12" s="122" t="str">
        <f t="shared" si="0"/>
        <v/>
      </c>
      <c r="BM12" s="122" t="s">
        <v>35</v>
      </c>
      <c r="BN12" s="115">
        <v>3</v>
      </c>
      <c r="BO12" s="115">
        <v>0.2</v>
      </c>
      <c r="BP12" s="115">
        <v>0.3</v>
      </c>
      <c r="BQ12" s="115">
        <v>0.61</v>
      </c>
      <c r="BR12" s="122" t="str">
        <f t="shared" si="1"/>
        <v/>
      </c>
      <c r="BW12" s="122" t="s">
        <v>35</v>
      </c>
      <c r="BX12" s="115">
        <v>3</v>
      </c>
      <c r="BY12" s="115">
        <v>0.3</v>
      </c>
      <c r="BZ12" s="115">
        <v>0.4</v>
      </c>
      <c r="CA12" s="115">
        <v>0.53</v>
      </c>
      <c r="CB12" s="122" t="str">
        <f t="shared" si="2"/>
        <v/>
      </c>
      <c r="CK12" s="226" t="s">
        <v>335</v>
      </c>
      <c r="CL12" s="223" t="s">
        <v>264</v>
      </c>
      <c r="CM12" s="227">
        <v>7.4</v>
      </c>
      <c r="CU12" s="189"/>
      <c r="CX12" s="404" t="s">
        <v>333</v>
      </c>
      <c r="CY12" s="126" t="s">
        <v>318</v>
      </c>
      <c r="DA12" s="122" t="s">
        <v>234</v>
      </c>
      <c r="DB12" s="122" t="s">
        <v>6076</v>
      </c>
      <c r="DC12" s="122" t="s">
        <v>4405</v>
      </c>
      <c r="DD12" s="127">
        <v>8</v>
      </c>
      <c r="DE12" s="127">
        <v>8</v>
      </c>
      <c r="DG12" s="405" t="s">
        <v>234</v>
      </c>
      <c r="DH12" s="406" t="s">
        <v>4405</v>
      </c>
      <c r="DI12" s="406" t="str">
        <f t="shared" si="3"/>
        <v>AC, Manoel Urbano</v>
      </c>
      <c r="DJ12" s="406">
        <v>-8.8390000000000004</v>
      </c>
      <c r="DK12" s="80">
        <v>-69.260000000000005</v>
      </c>
      <c r="DL12" s="80">
        <v>162</v>
      </c>
      <c r="DM12" s="64">
        <v>8</v>
      </c>
      <c r="DN12" s="406" t="s">
        <v>6071</v>
      </c>
      <c r="DO12" s="406">
        <v>-9.3699999999999992</v>
      </c>
      <c r="DP12" s="80">
        <v>206</v>
      </c>
    </row>
    <row r="13" spans="1:122" x14ac:dyDescent="0.25">
      <c r="AA13" s="122" t="s">
        <v>336</v>
      </c>
      <c r="AB13" s="123" t="s">
        <v>310</v>
      </c>
      <c r="AC13" s="122" t="s">
        <v>27</v>
      </c>
      <c r="AD13" s="122" t="s">
        <v>337</v>
      </c>
      <c r="AE13" s="127">
        <v>3</v>
      </c>
      <c r="AJ13" s="119" t="s">
        <v>338</v>
      </c>
      <c r="AK13" s="120">
        <v>9.4</v>
      </c>
      <c r="AL13" s="120">
        <v>12.2</v>
      </c>
      <c r="AN13" t="s">
        <v>5813</v>
      </c>
      <c r="AO13">
        <v>6</v>
      </c>
      <c r="AP13">
        <v>12.48</v>
      </c>
      <c r="BC13" s="122" t="s">
        <v>35</v>
      </c>
      <c r="BD13" s="115">
        <v>3</v>
      </c>
      <c r="BE13" s="115">
        <v>0.4</v>
      </c>
      <c r="BF13" s="115">
        <v>100</v>
      </c>
      <c r="BG13" s="115">
        <v>0.37</v>
      </c>
      <c r="BH13" s="122" t="str">
        <f t="shared" si="0"/>
        <v/>
      </c>
      <c r="BM13" s="122" t="s">
        <v>35</v>
      </c>
      <c r="BN13" s="115">
        <v>4</v>
      </c>
      <c r="BO13" s="115">
        <v>0.2</v>
      </c>
      <c r="BP13" s="115">
        <v>0.3</v>
      </c>
      <c r="BQ13" s="115">
        <v>0.65</v>
      </c>
      <c r="BR13" s="122" t="str">
        <f t="shared" si="1"/>
        <v/>
      </c>
      <c r="BW13" s="122" t="s">
        <v>35</v>
      </c>
      <c r="BX13" s="115">
        <v>3</v>
      </c>
      <c r="BY13" s="115">
        <v>0.4</v>
      </c>
      <c r="BZ13" s="115">
        <v>100</v>
      </c>
      <c r="CA13" s="115">
        <v>0.54</v>
      </c>
      <c r="CB13" s="122" t="str">
        <f t="shared" si="2"/>
        <v/>
      </c>
      <c r="CK13" s="226" t="s">
        <v>197</v>
      </c>
      <c r="CL13" s="123" t="s">
        <v>259</v>
      </c>
      <c r="CM13" s="227">
        <v>7.5</v>
      </c>
      <c r="CU13" s="189"/>
      <c r="CX13" s="404" t="s">
        <v>336</v>
      </c>
      <c r="CY13" s="126" t="s">
        <v>310</v>
      </c>
      <c r="DA13" s="122" t="s">
        <v>234</v>
      </c>
      <c r="DB13" s="122" t="s">
        <v>6077</v>
      </c>
      <c r="DC13" s="122" t="s">
        <v>5267</v>
      </c>
      <c r="DD13" s="127">
        <v>8</v>
      </c>
      <c r="DE13" s="127">
        <v>8</v>
      </c>
      <c r="DG13" s="405" t="s">
        <v>234</v>
      </c>
      <c r="DH13" s="406" t="s">
        <v>5267</v>
      </c>
      <c r="DI13" s="406" t="str">
        <f t="shared" si="3"/>
        <v>AC, Marechal Thaumaturgo</v>
      </c>
      <c r="DJ13" s="406">
        <v>-8.9410000000000007</v>
      </c>
      <c r="DK13" s="80">
        <v>-72.792000000000002</v>
      </c>
      <c r="DL13" s="80">
        <v>190</v>
      </c>
      <c r="DM13" s="64">
        <v>8</v>
      </c>
      <c r="DN13" s="406" t="s">
        <v>6073</v>
      </c>
      <c r="DO13" s="406">
        <v>-8.27</v>
      </c>
      <c r="DP13" s="80">
        <v>240</v>
      </c>
    </row>
    <row r="14" spans="1:122" x14ac:dyDescent="0.25">
      <c r="AA14" s="122" t="s">
        <v>340</v>
      </c>
      <c r="AB14" s="123" t="s">
        <v>310</v>
      </c>
      <c r="AC14" s="122" t="s">
        <v>317</v>
      </c>
      <c r="AD14" s="122" t="s">
        <v>341</v>
      </c>
      <c r="AE14" s="127">
        <v>8</v>
      </c>
      <c r="AJ14" s="119" t="s">
        <v>113</v>
      </c>
      <c r="AK14" s="120">
        <v>1.6</v>
      </c>
      <c r="AL14" s="120">
        <v>3.9</v>
      </c>
      <c r="AN14" t="s">
        <v>5814</v>
      </c>
      <c r="AO14">
        <v>8.85</v>
      </c>
      <c r="AP14">
        <v>16</v>
      </c>
      <c r="BC14" s="122" t="s">
        <v>35</v>
      </c>
      <c r="BD14" s="115">
        <v>4</v>
      </c>
      <c r="BE14" s="115">
        <v>0</v>
      </c>
      <c r="BF14" s="115">
        <v>0.2</v>
      </c>
      <c r="BG14" s="115">
        <v>0.35</v>
      </c>
      <c r="BH14" s="122" t="str">
        <f t="shared" si="0"/>
        <v/>
      </c>
      <c r="BM14" s="122" t="s">
        <v>35</v>
      </c>
      <c r="BN14" s="115">
        <v>5</v>
      </c>
      <c r="BO14" s="115">
        <v>0.2</v>
      </c>
      <c r="BP14" s="115">
        <v>0.3</v>
      </c>
      <c r="BQ14" s="115">
        <v>0.56000000000000005</v>
      </c>
      <c r="BR14" s="122" t="str">
        <f t="shared" si="1"/>
        <v/>
      </c>
      <c r="BW14" s="122" t="s">
        <v>35</v>
      </c>
      <c r="BX14" s="115">
        <v>4</v>
      </c>
      <c r="BY14" s="115">
        <v>0</v>
      </c>
      <c r="BZ14" s="115">
        <v>0.2</v>
      </c>
      <c r="CA14" s="115">
        <v>0.54</v>
      </c>
      <c r="CB14" s="122" t="str">
        <f t="shared" si="2"/>
        <v/>
      </c>
      <c r="CK14" s="226" t="s">
        <v>343</v>
      </c>
      <c r="CL14" s="123" t="s">
        <v>259</v>
      </c>
      <c r="CM14" s="227">
        <v>7.5</v>
      </c>
      <c r="CU14" s="189"/>
      <c r="CX14" s="404" t="s">
        <v>340</v>
      </c>
      <c r="CY14" s="126" t="s">
        <v>310</v>
      </c>
      <c r="DA14" s="122" t="s">
        <v>234</v>
      </c>
      <c r="DB14" s="122" t="s">
        <v>6078</v>
      </c>
      <c r="DC14" s="122" t="s">
        <v>4800</v>
      </c>
      <c r="DD14" s="127">
        <v>8</v>
      </c>
      <c r="DE14" s="127">
        <v>8</v>
      </c>
      <c r="DG14" s="405" t="s">
        <v>234</v>
      </c>
      <c r="DH14" s="406" t="s">
        <v>4800</v>
      </c>
      <c r="DI14" s="406" t="str">
        <f t="shared" si="3"/>
        <v>AC, Plácido de Castro</v>
      </c>
      <c r="DJ14" s="406">
        <v>-10.335000000000001</v>
      </c>
      <c r="DK14" s="80">
        <v>-67.183999999999997</v>
      </c>
      <c r="DL14" s="80">
        <v>136</v>
      </c>
      <c r="DM14" s="64">
        <v>8</v>
      </c>
      <c r="DN14" s="406" t="s">
        <v>6069</v>
      </c>
      <c r="DO14" s="406">
        <v>-9.9600000000000009</v>
      </c>
      <c r="DP14" s="80">
        <v>220</v>
      </c>
    </row>
    <row r="15" spans="1:122" x14ac:dyDescent="0.25">
      <c r="AA15" s="122" t="s">
        <v>344</v>
      </c>
      <c r="AB15" s="123" t="s">
        <v>235</v>
      </c>
      <c r="AC15" s="122" t="s">
        <v>27</v>
      </c>
      <c r="AD15" s="122" t="s">
        <v>345</v>
      </c>
      <c r="AE15" s="127">
        <v>3</v>
      </c>
      <c r="AJ15" s="119" t="s">
        <v>346</v>
      </c>
      <c r="AK15" s="120">
        <v>7.3</v>
      </c>
      <c r="AL15" s="120">
        <v>15.7</v>
      </c>
      <c r="AN15" t="s">
        <v>5815</v>
      </c>
      <c r="AO15">
        <v>12.9</v>
      </c>
      <c r="AP15">
        <v>29.44</v>
      </c>
      <c r="BC15" s="122" t="s">
        <v>35</v>
      </c>
      <c r="BD15" s="115">
        <v>4</v>
      </c>
      <c r="BE15" s="115">
        <v>0.2</v>
      </c>
      <c r="BF15" s="115">
        <v>0.3</v>
      </c>
      <c r="BG15" s="115">
        <v>0.36</v>
      </c>
      <c r="BH15" s="122" t="str">
        <f t="shared" si="0"/>
        <v/>
      </c>
      <c r="BM15" s="122" t="s">
        <v>35</v>
      </c>
      <c r="BN15" s="115">
        <v>6</v>
      </c>
      <c r="BO15" s="115">
        <v>0.2</v>
      </c>
      <c r="BP15" s="115">
        <v>0.3</v>
      </c>
      <c r="BQ15" s="115">
        <v>0.56000000000000005</v>
      </c>
      <c r="BR15" s="122" t="str">
        <f t="shared" si="1"/>
        <v/>
      </c>
      <c r="BW15" s="122" t="s">
        <v>35</v>
      </c>
      <c r="BX15" s="115">
        <v>4</v>
      </c>
      <c r="BY15" s="115">
        <v>0.2</v>
      </c>
      <c r="BZ15" s="115">
        <v>0.3</v>
      </c>
      <c r="CA15" s="115">
        <v>0.54</v>
      </c>
      <c r="CB15" s="122" t="str">
        <f t="shared" si="2"/>
        <v/>
      </c>
      <c r="CK15" s="226" t="s">
        <v>347</v>
      </c>
      <c r="CL15" s="123" t="s">
        <v>260</v>
      </c>
      <c r="CM15" s="227">
        <v>7.6</v>
      </c>
      <c r="CU15" s="189"/>
      <c r="CX15" s="404" t="s">
        <v>344</v>
      </c>
      <c r="CY15" s="126" t="s">
        <v>235</v>
      </c>
      <c r="DA15" s="122" t="s">
        <v>234</v>
      </c>
      <c r="DB15" s="122" t="s">
        <v>6079</v>
      </c>
      <c r="DC15" s="122" t="s">
        <v>4819</v>
      </c>
      <c r="DD15" s="127">
        <v>8</v>
      </c>
      <c r="DE15" s="127">
        <v>8</v>
      </c>
      <c r="DG15" s="405" t="s">
        <v>234</v>
      </c>
      <c r="DH15" s="406" t="s">
        <v>4819</v>
      </c>
      <c r="DI15" s="406" t="str">
        <f t="shared" si="3"/>
        <v>AC, Porto Acre</v>
      </c>
      <c r="DJ15" s="406">
        <v>-9.5879999999999992</v>
      </c>
      <c r="DK15" s="80">
        <v>-67.533000000000001</v>
      </c>
      <c r="DL15" s="80">
        <v>145</v>
      </c>
      <c r="DM15" s="64">
        <v>8</v>
      </c>
      <c r="DN15" s="406" t="s">
        <v>6069</v>
      </c>
      <c r="DO15" s="406">
        <v>-9.9600000000000009</v>
      </c>
      <c r="DP15" s="80">
        <v>220</v>
      </c>
    </row>
    <row r="16" spans="1:122" x14ac:dyDescent="0.25">
      <c r="AA16" s="122" t="s">
        <v>348</v>
      </c>
      <c r="AB16" s="123" t="s">
        <v>248</v>
      </c>
      <c r="AC16" s="122" t="s">
        <v>27</v>
      </c>
      <c r="AD16" s="122" t="s">
        <v>349</v>
      </c>
      <c r="AE16" s="127">
        <v>2</v>
      </c>
      <c r="AJ16" s="119" t="s">
        <v>350</v>
      </c>
      <c r="AK16" s="120">
        <v>6.6</v>
      </c>
      <c r="AL16" s="120">
        <v>9.6</v>
      </c>
      <c r="AN16" t="s">
        <v>5879</v>
      </c>
      <c r="AO16">
        <v>4.6500000000000004</v>
      </c>
      <c r="AP16">
        <v>9.6</v>
      </c>
      <c r="BC16" s="122" t="s">
        <v>35</v>
      </c>
      <c r="BD16" s="115">
        <v>4</v>
      </c>
      <c r="BE16" s="115">
        <v>0.3</v>
      </c>
      <c r="BF16" s="115">
        <v>0.4</v>
      </c>
      <c r="BG16" s="115">
        <v>0.4</v>
      </c>
      <c r="BH16" s="122" t="str">
        <f t="shared" si="0"/>
        <v/>
      </c>
      <c r="BM16" s="122" t="s">
        <v>35</v>
      </c>
      <c r="BN16" s="115">
        <v>7</v>
      </c>
      <c r="BO16" s="115">
        <v>0.2</v>
      </c>
      <c r="BP16" s="115">
        <v>0.3</v>
      </c>
      <c r="BQ16" s="115">
        <v>0.41</v>
      </c>
      <c r="BR16" s="122" t="str">
        <f t="shared" si="1"/>
        <v/>
      </c>
      <c r="BW16" s="122" t="s">
        <v>35</v>
      </c>
      <c r="BX16" s="115">
        <v>4</v>
      </c>
      <c r="BY16" s="115">
        <v>0.3</v>
      </c>
      <c r="BZ16" s="115">
        <v>0.4</v>
      </c>
      <c r="CA16" s="115">
        <v>0.56000000000000005</v>
      </c>
      <c r="CB16" s="122" t="str">
        <f t="shared" si="2"/>
        <v/>
      </c>
      <c r="CK16" s="226" t="s">
        <v>352</v>
      </c>
      <c r="CL16" s="123" t="s">
        <v>261</v>
      </c>
      <c r="CM16" s="227">
        <v>7.6</v>
      </c>
      <c r="CU16" s="189"/>
      <c r="CX16" s="404" t="s">
        <v>348</v>
      </c>
      <c r="CY16" s="126" t="s">
        <v>248</v>
      </c>
      <c r="DA16" s="122" t="s">
        <v>234</v>
      </c>
      <c r="DB16" s="122" t="s">
        <v>6080</v>
      </c>
      <c r="DC16" s="122" t="s">
        <v>4198</v>
      </c>
      <c r="DD16" s="127">
        <v>8</v>
      </c>
      <c r="DE16" s="127">
        <v>8</v>
      </c>
      <c r="DG16" s="405" t="s">
        <v>234</v>
      </c>
      <c r="DH16" s="406" t="s">
        <v>4198</v>
      </c>
      <c r="DI16" s="406" t="str">
        <f t="shared" si="3"/>
        <v>AC, Porto Walter</v>
      </c>
      <c r="DJ16" s="406">
        <v>-8.2690000000000001</v>
      </c>
      <c r="DK16" s="80">
        <v>-72.744</v>
      </c>
      <c r="DL16" s="80">
        <v>195</v>
      </c>
      <c r="DM16" s="64">
        <v>8</v>
      </c>
      <c r="DN16" s="406" t="s">
        <v>6073</v>
      </c>
      <c r="DO16" s="406">
        <v>-8.27</v>
      </c>
      <c r="DP16" s="80">
        <v>240</v>
      </c>
    </row>
    <row r="17" spans="1:120" x14ac:dyDescent="0.25">
      <c r="A17" s="126" t="s">
        <v>353</v>
      </c>
      <c r="B17" s="126">
        <v>3.24</v>
      </c>
      <c r="AA17" s="122" t="s">
        <v>323</v>
      </c>
      <c r="AB17" s="123" t="s">
        <v>248</v>
      </c>
      <c r="AC17" s="122" t="s">
        <v>27</v>
      </c>
      <c r="AD17" s="122" t="s">
        <v>354</v>
      </c>
      <c r="AE17" s="127">
        <v>1</v>
      </c>
      <c r="AJ17" s="119" t="s">
        <v>355</v>
      </c>
      <c r="AK17" s="120">
        <v>11.3</v>
      </c>
      <c r="AL17" s="120">
        <v>18.899999999999999</v>
      </c>
      <c r="AN17" t="s">
        <v>5880</v>
      </c>
      <c r="AO17">
        <v>9.5</v>
      </c>
      <c r="AP17">
        <v>24.96</v>
      </c>
      <c r="BC17" s="122" t="s">
        <v>35</v>
      </c>
      <c r="BD17" s="115">
        <v>4</v>
      </c>
      <c r="BE17" s="115">
        <v>0.4</v>
      </c>
      <c r="BF17" s="115">
        <v>100</v>
      </c>
      <c r="BG17" s="115">
        <v>0.43</v>
      </c>
      <c r="BH17" s="122" t="str">
        <f t="shared" si="0"/>
        <v/>
      </c>
      <c r="BM17" s="122" t="s">
        <v>35</v>
      </c>
      <c r="BN17" s="115">
        <v>8</v>
      </c>
      <c r="BO17" s="115">
        <v>0.2</v>
      </c>
      <c r="BP17" s="115">
        <v>0.3</v>
      </c>
      <c r="BQ17" s="115">
        <v>0.5</v>
      </c>
      <c r="BR17" s="122" t="str">
        <f t="shared" si="1"/>
        <v/>
      </c>
      <c r="BW17" s="122" t="s">
        <v>35</v>
      </c>
      <c r="BX17" s="115">
        <v>4</v>
      </c>
      <c r="BY17" s="115">
        <v>0.4</v>
      </c>
      <c r="BZ17" s="115">
        <v>100</v>
      </c>
      <c r="CA17" s="115">
        <v>0.57999999999999996</v>
      </c>
      <c r="CB17" s="122" t="str">
        <f t="shared" si="2"/>
        <v/>
      </c>
      <c r="CK17" s="226" t="s">
        <v>356</v>
      </c>
      <c r="CL17" s="123" t="s">
        <v>262</v>
      </c>
      <c r="CM17" s="227">
        <v>7.6</v>
      </c>
      <c r="CU17" s="189"/>
      <c r="CX17" s="404" t="s">
        <v>323</v>
      </c>
      <c r="CY17" s="126" t="s">
        <v>248</v>
      </c>
      <c r="DA17" s="122" t="s">
        <v>234</v>
      </c>
      <c r="DB17" s="122" t="s">
        <v>6081</v>
      </c>
      <c r="DC17" s="122" t="s">
        <v>4776</v>
      </c>
      <c r="DD17" s="127">
        <v>8</v>
      </c>
      <c r="DE17" s="127">
        <v>8</v>
      </c>
      <c r="DG17" s="405" t="s">
        <v>234</v>
      </c>
      <c r="DH17" s="406" t="s">
        <v>4776</v>
      </c>
      <c r="DI17" s="406" t="str">
        <f t="shared" si="3"/>
        <v>AC, Rio Branco</v>
      </c>
      <c r="DJ17" s="406">
        <v>-9.9749999999999996</v>
      </c>
      <c r="DK17" s="80">
        <v>-67.81</v>
      </c>
      <c r="DL17" s="80">
        <v>153</v>
      </c>
      <c r="DM17" s="64">
        <v>8</v>
      </c>
      <c r="DN17" s="406" t="s">
        <v>6069</v>
      </c>
      <c r="DO17" s="406">
        <v>-9.9600000000000009</v>
      </c>
      <c r="DP17" s="80">
        <v>220</v>
      </c>
    </row>
    <row r="18" spans="1:120" x14ac:dyDescent="0.25">
      <c r="AA18" s="122" t="s">
        <v>357</v>
      </c>
      <c r="AB18" s="123" t="s">
        <v>248</v>
      </c>
      <c r="AC18" s="122" t="s">
        <v>358</v>
      </c>
      <c r="AD18" s="122" t="s">
        <v>359</v>
      </c>
      <c r="AE18" s="127">
        <v>3</v>
      </c>
      <c r="AJ18" s="119" t="s">
        <v>360</v>
      </c>
      <c r="AK18" s="120">
        <v>8.1</v>
      </c>
      <c r="AL18" s="120">
        <v>15.7</v>
      </c>
      <c r="AN18" t="s">
        <v>382</v>
      </c>
      <c r="AO18">
        <v>7.1</v>
      </c>
      <c r="AP18">
        <v>11.36</v>
      </c>
      <c r="BC18" s="122" t="s">
        <v>35</v>
      </c>
      <c r="BD18" s="115">
        <v>5</v>
      </c>
      <c r="BE18" s="115">
        <v>0</v>
      </c>
      <c r="BF18" s="115">
        <v>0.2</v>
      </c>
      <c r="BG18" s="115">
        <v>0.3</v>
      </c>
      <c r="BH18" s="122" t="str">
        <f t="shared" si="0"/>
        <v/>
      </c>
      <c r="BM18" s="122" t="s">
        <v>35</v>
      </c>
      <c r="BN18" s="115">
        <v>1</v>
      </c>
      <c r="BO18" s="115">
        <v>0.3</v>
      </c>
      <c r="BP18" s="115">
        <v>0.4</v>
      </c>
      <c r="BQ18" s="115">
        <v>0.69</v>
      </c>
      <c r="BR18" s="122" t="str">
        <f t="shared" si="1"/>
        <v/>
      </c>
      <c r="BW18" s="122" t="s">
        <v>35</v>
      </c>
      <c r="BX18" s="115">
        <v>5</v>
      </c>
      <c r="BY18" s="115">
        <v>0</v>
      </c>
      <c r="BZ18" s="115">
        <v>0.2</v>
      </c>
      <c r="CA18" s="115">
        <v>0.49</v>
      </c>
      <c r="CB18" s="122" t="str">
        <f t="shared" si="2"/>
        <v/>
      </c>
      <c r="CK18" s="226" t="s">
        <v>361</v>
      </c>
      <c r="CL18" s="123" t="s">
        <v>263</v>
      </c>
      <c r="CM18" s="227">
        <v>7.6</v>
      </c>
      <c r="CU18" s="189"/>
      <c r="CX18" s="404" t="s">
        <v>357</v>
      </c>
      <c r="CY18" s="126" t="s">
        <v>248</v>
      </c>
      <c r="DA18" s="122" t="s">
        <v>234</v>
      </c>
      <c r="DB18" s="122" t="s">
        <v>6082</v>
      </c>
      <c r="DC18" s="122" t="s">
        <v>4530</v>
      </c>
      <c r="DD18" s="127">
        <v>8</v>
      </c>
      <c r="DE18" s="127">
        <v>8</v>
      </c>
      <c r="DG18" s="405" t="s">
        <v>234</v>
      </c>
      <c r="DH18" s="406" t="s">
        <v>4530</v>
      </c>
      <c r="DI18" s="406" t="str">
        <f t="shared" si="3"/>
        <v>AC, Rodrigues Alves</v>
      </c>
      <c r="DJ18" s="406">
        <v>-7.742</v>
      </c>
      <c r="DK18" s="80">
        <v>-72.647000000000006</v>
      </c>
      <c r="DL18" s="80">
        <v>186</v>
      </c>
      <c r="DM18" s="64">
        <v>8</v>
      </c>
      <c r="DN18" s="406" t="s">
        <v>6073</v>
      </c>
      <c r="DO18" s="406">
        <v>-8.27</v>
      </c>
      <c r="DP18" s="80">
        <v>240</v>
      </c>
    </row>
    <row r="19" spans="1:120" x14ac:dyDescent="0.25">
      <c r="A19" s="118" t="s">
        <v>362</v>
      </c>
      <c r="AA19" s="122" t="s">
        <v>311</v>
      </c>
      <c r="AB19" s="123" t="s">
        <v>363</v>
      </c>
      <c r="AC19" s="122" t="s">
        <v>27</v>
      </c>
      <c r="AD19" s="122" t="s">
        <v>364</v>
      </c>
      <c r="AE19" s="127">
        <v>1</v>
      </c>
      <c r="AJ19" s="119" t="s">
        <v>365</v>
      </c>
      <c r="AK19" s="120">
        <v>10.1</v>
      </c>
      <c r="AL19" s="120">
        <v>16.399999999999999</v>
      </c>
      <c r="AN19" t="s">
        <v>5881</v>
      </c>
      <c r="AO19">
        <v>13.15</v>
      </c>
      <c r="AP19">
        <v>28.96</v>
      </c>
      <c r="BC19" s="122" t="s">
        <v>35</v>
      </c>
      <c r="BD19" s="115">
        <v>5</v>
      </c>
      <c r="BE19" s="115">
        <v>0.2</v>
      </c>
      <c r="BF19" s="115">
        <v>0.3</v>
      </c>
      <c r="BG19" s="115">
        <v>0.3</v>
      </c>
      <c r="BH19" s="122" t="str">
        <f t="shared" si="0"/>
        <v/>
      </c>
      <c r="BM19" s="122" t="s">
        <v>35</v>
      </c>
      <c r="BN19" s="115">
        <v>2</v>
      </c>
      <c r="BO19" s="115">
        <v>0.3</v>
      </c>
      <c r="BP19" s="115">
        <v>0.4</v>
      </c>
      <c r="BQ19" s="115">
        <v>0.61</v>
      </c>
      <c r="BR19" s="122" t="str">
        <f t="shared" si="1"/>
        <v/>
      </c>
      <c r="BW19" s="122" t="s">
        <v>35</v>
      </c>
      <c r="BX19" s="115">
        <v>5</v>
      </c>
      <c r="BY19" s="115">
        <v>0.2</v>
      </c>
      <c r="BZ19" s="115">
        <v>0.3</v>
      </c>
      <c r="CA19" s="115">
        <v>0.5</v>
      </c>
      <c r="CB19" s="122" t="str">
        <f t="shared" si="2"/>
        <v/>
      </c>
      <c r="CK19" s="226" t="s">
        <v>366</v>
      </c>
      <c r="CL19" s="123" t="s">
        <v>263</v>
      </c>
      <c r="CM19" s="227">
        <v>7.6</v>
      </c>
      <c r="CU19" s="189"/>
      <c r="CX19" s="404" t="s">
        <v>311</v>
      </c>
      <c r="CY19" s="126" t="s">
        <v>363</v>
      </c>
      <c r="DA19" s="122" t="s">
        <v>234</v>
      </c>
      <c r="DB19" s="122" t="s">
        <v>6083</v>
      </c>
      <c r="DC19" s="122" t="s">
        <v>4443</v>
      </c>
      <c r="DD19" s="127">
        <v>8</v>
      </c>
      <c r="DE19" s="127">
        <v>8</v>
      </c>
      <c r="DG19" s="405" t="s">
        <v>234</v>
      </c>
      <c r="DH19" s="406" t="s">
        <v>4443</v>
      </c>
      <c r="DI19" s="406" t="str">
        <f t="shared" si="3"/>
        <v>AC, Santa Rosa do Purus</v>
      </c>
      <c r="DJ19" s="406">
        <v>-9.4329999999999998</v>
      </c>
      <c r="DK19" s="80">
        <v>-70.492999999999995</v>
      </c>
      <c r="DL19" s="80">
        <v>25</v>
      </c>
      <c r="DM19" s="64">
        <v>8</v>
      </c>
      <c r="DN19" s="406" t="s">
        <v>6071</v>
      </c>
      <c r="DO19" s="406">
        <v>-9.3699999999999992</v>
      </c>
      <c r="DP19" s="80">
        <v>206</v>
      </c>
    </row>
    <row r="20" spans="1:120" x14ac:dyDescent="0.25">
      <c r="A20" s="122" t="s">
        <v>35</v>
      </c>
      <c r="AA20" s="122" t="s">
        <v>358</v>
      </c>
      <c r="AB20" s="123" t="s">
        <v>318</v>
      </c>
      <c r="AC20" s="122" t="s">
        <v>311</v>
      </c>
      <c r="AD20" s="122" t="s">
        <v>367</v>
      </c>
      <c r="AE20" s="127">
        <v>1</v>
      </c>
      <c r="AJ20" s="119" t="s">
        <v>116</v>
      </c>
      <c r="AK20" s="120">
        <v>8.4</v>
      </c>
      <c r="AL20" s="120">
        <v>13.9</v>
      </c>
      <c r="AN20" t="s">
        <v>5882</v>
      </c>
      <c r="AO20">
        <v>5.4</v>
      </c>
      <c r="AP20">
        <v>16.32</v>
      </c>
      <c r="BC20" s="122" t="s">
        <v>35</v>
      </c>
      <c r="BD20" s="115">
        <v>5</v>
      </c>
      <c r="BE20" s="115">
        <v>0.3</v>
      </c>
      <c r="BF20" s="115">
        <v>0.4</v>
      </c>
      <c r="BG20" s="115">
        <v>0.33</v>
      </c>
      <c r="BH20" s="122" t="str">
        <f t="shared" si="0"/>
        <v/>
      </c>
      <c r="BM20" s="122" t="s">
        <v>35</v>
      </c>
      <c r="BN20" s="115">
        <v>3</v>
      </c>
      <c r="BO20" s="115">
        <v>0.3</v>
      </c>
      <c r="BP20" s="115">
        <v>0.4</v>
      </c>
      <c r="BQ20" s="115">
        <v>0.63</v>
      </c>
      <c r="BR20" s="122" t="str">
        <f t="shared" si="1"/>
        <v/>
      </c>
      <c r="BW20" s="122" t="s">
        <v>35</v>
      </c>
      <c r="BX20" s="115">
        <v>5</v>
      </c>
      <c r="BY20" s="115">
        <v>0.3</v>
      </c>
      <c r="BZ20" s="115">
        <v>0.4</v>
      </c>
      <c r="CA20" s="115">
        <v>0.51</v>
      </c>
      <c r="CB20" s="122" t="str">
        <f t="shared" si="2"/>
        <v/>
      </c>
      <c r="CK20" s="226" t="s">
        <v>368</v>
      </c>
      <c r="CL20" s="123" t="s">
        <v>263</v>
      </c>
      <c r="CM20" s="227">
        <v>7.6</v>
      </c>
      <c r="CU20" s="189"/>
      <c r="CX20" s="404" t="s">
        <v>358</v>
      </c>
      <c r="CY20" s="126" t="s">
        <v>318</v>
      </c>
      <c r="DA20" s="122" t="s">
        <v>234</v>
      </c>
      <c r="DB20" s="122" t="s">
        <v>6084</v>
      </c>
      <c r="DC20" s="122" t="s">
        <v>4729</v>
      </c>
      <c r="DD20" s="127">
        <v>8</v>
      </c>
      <c r="DE20" s="127">
        <v>8</v>
      </c>
      <c r="DG20" s="405" t="s">
        <v>234</v>
      </c>
      <c r="DH20" s="406" t="s">
        <v>4729</v>
      </c>
      <c r="DI20" s="406" t="str">
        <f t="shared" si="3"/>
        <v>AC, Sena Madureira</v>
      </c>
      <c r="DJ20" s="406">
        <v>-9.0660000000000007</v>
      </c>
      <c r="DK20" s="80">
        <v>-68.656999999999996</v>
      </c>
      <c r="DL20" s="80">
        <v>150</v>
      </c>
      <c r="DM20" s="64">
        <v>8</v>
      </c>
      <c r="DN20" s="406" t="s">
        <v>6071</v>
      </c>
      <c r="DO20" s="406">
        <v>-9.3699999999999992</v>
      </c>
      <c r="DP20" s="80">
        <v>206</v>
      </c>
    </row>
    <row r="21" spans="1:120" x14ac:dyDescent="0.25">
      <c r="A21" s="122" t="s">
        <v>332</v>
      </c>
      <c r="AA21" s="122" t="s">
        <v>369</v>
      </c>
      <c r="AB21" s="123" t="s">
        <v>248</v>
      </c>
      <c r="AC21" s="122" t="s">
        <v>27</v>
      </c>
      <c r="AD21" s="122" t="s">
        <v>370</v>
      </c>
      <c r="AE21" s="127">
        <v>2</v>
      </c>
      <c r="AJ21" s="119" t="s">
        <v>371</v>
      </c>
      <c r="AK21" s="120">
        <v>10.7</v>
      </c>
      <c r="AL21" s="120">
        <v>15.5</v>
      </c>
      <c r="AN21" t="s">
        <v>391</v>
      </c>
      <c r="AO21">
        <v>11.4</v>
      </c>
      <c r="AP21">
        <v>17.12</v>
      </c>
      <c r="BC21" s="122" t="s">
        <v>35</v>
      </c>
      <c r="BD21" s="115">
        <v>5</v>
      </c>
      <c r="BE21" s="115">
        <v>0.4</v>
      </c>
      <c r="BF21" s="115">
        <v>100</v>
      </c>
      <c r="BG21" s="115">
        <v>0.36</v>
      </c>
      <c r="BH21" s="122" t="str">
        <f t="shared" si="0"/>
        <v/>
      </c>
      <c r="BM21" s="122" t="s">
        <v>35</v>
      </c>
      <c r="BN21" s="115">
        <v>4</v>
      </c>
      <c r="BO21" s="115">
        <v>0.3</v>
      </c>
      <c r="BP21" s="115">
        <v>0.4</v>
      </c>
      <c r="BQ21" s="115">
        <v>0.67</v>
      </c>
      <c r="BR21" s="122" t="str">
        <f t="shared" si="1"/>
        <v/>
      </c>
      <c r="BW21" s="122" t="s">
        <v>35</v>
      </c>
      <c r="BX21" s="115">
        <v>5</v>
      </c>
      <c r="BY21" s="115">
        <v>0.4</v>
      </c>
      <c r="BZ21" s="115">
        <v>100</v>
      </c>
      <c r="CA21" s="115">
        <v>0.53</v>
      </c>
      <c r="CB21" s="122" t="str">
        <f t="shared" si="2"/>
        <v/>
      </c>
      <c r="CK21" s="228" t="s">
        <v>200</v>
      </c>
      <c r="CL21" s="193" t="s">
        <v>263</v>
      </c>
      <c r="CM21" s="229">
        <v>7.6</v>
      </c>
      <c r="CN21" s="193"/>
      <c r="CO21" s="193"/>
      <c r="CP21" s="193"/>
      <c r="CQ21" s="193"/>
      <c r="CR21" s="193"/>
      <c r="CS21" s="193"/>
      <c r="CT21" s="193"/>
      <c r="CU21" s="190"/>
      <c r="CX21" s="404" t="s">
        <v>369</v>
      </c>
      <c r="CY21" s="126" t="s">
        <v>248</v>
      </c>
      <c r="DA21" s="122" t="s">
        <v>234</v>
      </c>
      <c r="DB21" s="122" t="s">
        <v>6085</v>
      </c>
      <c r="DC21" s="122" t="s">
        <v>4801</v>
      </c>
      <c r="DD21" s="127">
        <v>8</v>
      </c>
      <c r="DE21" s="127">
        <v>8</v>
      </c>
      <c r="DG21" s="405" t="s">
        <v>234</v>
      </c>
      <c r="DH21" s="406" t="s">
        <v>4801</v>
      </c>
      <c r="DI21" s="406" t="str">
        <f t="shared" si="3"/>
        <v>AC, Senador Guiomard</v>
      </c>
      <c r="DJ21" s="406">
        <v>-10.151</v>
      </c>
      <c r="DK21" s="80">
        <v>-67.736000000000004</v>
      </c>
      <c r="DL21" s="80">
        <v>201</v>
      </c>
      <c r="DM21" s="64">
        <v>8</v>
      </c>
      <c r="DN21" s="406" t="s">
        <v>6069</v>
      </c>
      <c r="DO21" s="406">
        <v>-9.9600000000000009</v>
      </c>
      <c r="DP21" s="80">
        <v>220</v>
      </c>
    </row>
    <row r="22" spans="1:120" x14ac:dyDescent="0.25">
      <c r="A22" s="122" t="s">
        <v>287</v>
      </c>
      <c r="AA22" s="122" t="s">
        <v>372</v>
      </c>
      <c r="AB22" s="123" t="s">
        <v>235</v>
      </c>
      <c r="AC22" s="122" t="s">
        <v>27</v>
      </c>
      <c r="AD22" s="122" t="s">
        <v>373</v>
      </c>
      <c r="AE22" s="127">
        <v>2</v>
      </c>
      <c r="AJ22" s="119" t="s">
        <v>374</v>
      </c>
      <c r="AK22" s="120">
        <v>8.5</v>
      </c>
      <c r="AL22" s="120">
        <v>14.1</v>
      </c>
      <c r="AN22" t="s">
        <v>396</v>
      </c>
      <c r="AO22">
        <v>4.95</v>
      </c>
      <c r="AP22">
        <v>8</v>
      </c>
      <c r="BC22" s="122" t="s">
        <v>35</v>
      </c>
      <c r="BD22" s="115">
        <v>6</v>
      </c>
      <c r="BE22" s="115">
        <v>0</v>
      </c>
      <c r="BF22" s="115">
        <v>0.2</v>
      </c>
      <c r="BG22" s="115">
        <v>0.32</v>
      </c>
      <c r="BH22" s="122" t="str">
        <f t="shared" si="0"/>
        <v/>
      </c>
      <c r="BM22" s="122" t="s">
        <v>35</v>
      </c>
      <c r="BN22" s="115">
        <v>5</v>
      </c>
      <c r="BO22" s="115">
        <v>0.3</v>
      </c>
      <c r="BP22" s="115">
        <v>0.4</v>
      </c>
      <c r="BQ22" s="115">
        <v>0.57999999999999996</v>
      </c>
      <c r="BR22" s="122" t="str">
        <f t="shared" si="1"/>
        <v/>
      </c>
      <c r="BW22" s="122" t="s">
        <v>35</v>
      </c>
      <c r="BX22" s="115">
        <v>6</v>
      </c>
      <c r="BY22" s="115">
        <v>0</v>
      </c>
      <c r="BZ22" s="115">
        <v>0.2</v>
      </c>
      <c r="CA22" s="115">
        <v>0.5</v>
      </c>
      <c r="CB22" s="122" t="str">
        <f t="shared" si="2"/>
        <v/>
      </c>
      <c r="CK22" s="230"/>
      <c r="CX22" s="404" t="s">
        <v>372</v>
      </c>
      <c r="CY22" s="126" t="s">
        <v>235</v>
      </c>
      <c r="DA22" s="122" t="s">
        <v>234</v>
      </c>
      <c r="DB22" s="122" t="s">
        <v>4673</v>
      </c>
      <c r="DC22" s="122" t="s">
        <v>4673</v>
      </c>
      <c r="DD22" s="127">
        <v>8</v>
      </c>
      <c r="DE22" s="127">
        <v>8</v>
      </c>
      <c r="DG22" s="405" t="s">
        <v>234</v>
      </c>
      <c r="DH22" s="406" t="s">
        <v>4673</v>
      </c>
      <c r="DI22" s="406" t="str">
        <f t="shared" si="3"/>
        <v>AC, Tarauacá</v>
      </c>
      <c r="DJ22" s="406">
        <v>-8.1609999999999996</v>
      </c>
      <c r="DK22" s="80">
        <v>-70.766000000000005</v>
      </c>
      <c r="DL22" s="80">
        <v>168</v>
      </c>
      <c r="DM22" s="64">
        <v>8</v>
      </c>
      <c r="DN22" s="406" t="s">
        <v>6074</v>
      </c>
      <c r="DO22" s="406">
        <v>-8.14</v>
      </c>
      <c r="DP22" s="80">
        <v>163</v>
      </c>
    </row>
    <row r="23" spans="1:120" x14ac:dyDescent="0.25">
      <c r="A23" s="122" t="s">
        <v>297</v>
      </c>
      <c r="AA23" s="122" t="s">
        <v>375</v>
      </c>
      <c r="AB23" s="123" t="s">
        <v>235</v>
      </c>
      <c r="AC23" s="122" t="s">
        <v>376</v>
      </c>
      <c r="AD23" s="122" t="s">
        <v>377</v>
      </c>
      <c r="AE23" s="127">
        <v>3</v>
      </c>
      <c r="AJ23" s="119" t="s">
        <v>378</v>
      </c>
      <c r="AK23" s="120">
        <v>11.4</v>
      </c>
      <c r="AL23" s="120">
        <v>16.5</v>
      </c>
      <c r="AN23" t="s">
        <v>399</v>
      </c>
      <c r="AO23">
        <v>6.65</v>
      </c>
      <c r="AP23">
        <v>10.47</v>
      </c>
      <c r="BC23" s="122" t="s">
        <v>35</v>
      </c>
      <c r="BD23" s="115">
        <v>6</v>
      </c>
      <c r="BE23" s="115">
        <v>0.2</v>
      </c>
      <c r="BF23" s="115">
        <v>0.3</v>
      </c>
      <c r="BG23" s="115">
        <v>0.32</v>
      </c>
      <c r="BH23" s="122" t="str">
        <f t="shared" si="0"/>
        <v/>
      </c>
      <c r="BM23" s="122" t="s">
        <v>35</v>
      </c>
      <c r="BN23" s="115">
        <v>6</v>
      </c>
      <c r="BO23" s="115">
        <v>0.3</v>
      </c>
      <c r="BP23" s="115">
        <v>0.4</v>
      </c>
      <c r="BQ23" s="115">
        <v>0.57999999999999996</v>
      </c>
      <c r="BR23" s="122" t="str">
        <f t="shared" si="1"/>
        <v/>
      </c>
      <c r="BW23" s="122" t="s">
        <v>35</v>
      </c>
      <c r="BX23" s="115">
        <v>6</v>
      </c>
      <c r="BY23" s="115">
        <v>0.2</v>
      </c>
      <c r="BZ23" s="115">
        <v>0.3</v>
      </c>
      <c r="CA23" s="115">
        <v>0.5</v>
      </c>
      <c r="CB23" s="122" t="str">
        <f t="shared" si="2"/>
        <v/>
      </c>
      <c r="CJ23" s="194"/>
      <c r="CK23" s="224" t="s">
        <v>379</v>
      </c>
      <c r="CL23" s="188"/>
      <c r="CM23" s="123"/>
      <c r="CX23" s="404" t="s">
        <v>375</v>
      </c>
      <c r="CY23" s="126" t="s">
        <v>235</v>
      </c>
      <c r="DA23" s="122" t="s">
        <v>234</v>
      </c>
      <c r="DB23" s="122" t="s">
        <v>4958</v>
      </c>
      <c r="DC23" s="122" t="s">
        <v>4958</v>
      </c>
      <c r="DD23" s="127">
        <v>8</v>
      </c>
      <c r="DE23" s="127">
        <v>8</v>
      </c>
      <c r="DG23" s="405" t="s">
        <v>234</v>
      </c>
      <c r="DH23" s="406" t="s">
        <v>4958</v>
      </c>
      <c r="DI23" s="406" t="str">
        <f t="shared" si="3"/>
        <v>AC, Xapuri</v>
      </c>
      <c r="DJ23" s="406">
        <v>-10.651999999999999</v>
      </c>
      <c r="DK23" s="80">
        <v>-68.504000000000005</v>
      </c>
      <c r="DL23" s="80">
        <v>150</v>
      </c>
      <c r="DM23" s="64">
        <v>8</v>
      </c>
      <c r="DN23" s="406" t="s">
        <v>6069</v>
      </c>
      <c r="DO23" s="406">
        <v>-9.9600000000000009</v>
      </c>
      <c r="DP23" s="80">
        <v>220</v>
      </c>
    </row>
    <row r="24" spans="1:120" x14ac:dyDescent="0.25">
      <c r="A24" s="122" t="s">
        <v>10667</v>
      </c>
      <c r="AA24" s="122" t="s">
        <v>236</v>
      </c>
      <c r="AB24" s="123" t="s">
        <v>363</v>
      </c>
      <c r="AC24" s="122" t="s">
        <v>358</v>
      </c>
      <c r="AD24" s="122" t="s">
        <v>380</v>
      </c>
      <c r="AE24" s="127">
        <v>3</v>
      </c>
      <c r="AJ24" s="119" t="s">
        <v>381</v>
      </c>
      <c r="AK24" s="120">
        <v>11.2</v>
      </c>
      <c r="AL24" s="120">
        <v>18.7</v>
      </c>
      <c r="AN24" t="s">
        <v>403</v>
      </c>
      <c r="AO24">
        <v>6.25</v>
      </c>
      <c r="AP24">
        <v>11.84</v>
      </c>
      <c r="BC24" s="122" t="s">
        <v>35</v>
      </c>
      <c r="BD24" s="115">
        <v>6</v>
      </c>
      <c r="BE24" s="115">
        <v>0.3</v>
      </c>
      <c r="BF24" s="115">
        <v>0.4</v>
      </c>
      <c r="BG24" s="115">
        <v>0.35</v>
      </c>
      <c r="BH24" s="122" t="str">
        <f t="shared" si="0"/>
        <v/>
      </c>
      <c r="BM24" s="122" t="s">
        <v>35</v>
      </c>
      <c r="BN24" s="115">
        <v>7</v>
      </c>
      <c r="BO24" s="115">
        <v>0.3</v>
      </c>
      <c r="BP24" s="115">
        <v>0.4</v>
      </c>
      <c r="BQ24" s="115">
        <v>0.43</v>
      </c>
      <c r="BR24" s="122">
        <f t="shared" si="1"/>
        <v>0.43</v>
      </c>
      <c r="BW24" s="122" t="s">
        <v>35</v>
      </c>
      <c r="BX24" s="115">
        <v>6</v>
      </c>
      <c r="BY24" s="115">
        <v>0.3</v>
      </c>
      <c r="BZ24" s="115">
        <v>0.4</v>
      </c>
      <c r="CA24" s="115">
        <v>0.52</v>
      </c>
      <c r="CB24" s="122" t="str">
        <f t="shared" si="2"/>
        <v/>
      </c>
      <c r="CJ24" s="231">
        <v>7.1</v>
      </c>
      <c r="CK24" s="230" t="str">
        <f>CONCATENATE($CK$4,": ",caso1)</f>
        <v>Split, self a ar, splitão e rooftop (todos): &lt;19 kW</v>
      </c>
      <c r="CL24" s="191" t="s">
        <v>383</v>
      </c>
      <c r="CX24" s="404" t="s">
        <v>236</v>
      </c>
      <c r="CY24" s="126" t="s">
        <v>363</v>
      </c>
      <c r="DA24" s="122" t="s">
        <v>247</v>
      </c>
      <c r="DB24" s="122" t="s">
        <v>6086</v>
      </c>
      <c r="DC24" s="122" t="s">
        <v>2199</v>
      </c>
      <c r="DD24" s="127">
        <v>5</v>
      </c>
      <c r="DE24" s="127">
        <v>5</v>
      </c>
      <c r="DG24" s="405" t="s">
        <v>247</v>
      </c>
      <c r="DH24" s="406" t="s">
        <v>2199</v>
      </c>
      <c r="DI24" s="406" t="str">
        <f t="shared" si="3"/>
        <v>AL, Água Branca</v>
      </c>
      <c r="DJ24" s="406">
        <v>-9.2620000000000005</v>
      </c>
      <c r="DK24" s="80">
        <v>-37.938000000000002</v>
      </c>
      <c r="DL24" s="80">
        <v>570</v>
      </c>
      <c r="DM24" s="64">
        <v>5</v>
      </c>
      <c r="DN24" s="406" t="s">
        <v>6087</v>
      </c>
      <c r="DO24" s="406">
        <v>-9.41</v>
      </c>
      <c r="DP24" s="80">
        <v>253</v>
      </c>
    </row>
    <row r="25" spans="1:120" x14ac:dyDescent="0.25">
      <c r="A25" s="122" t="s">
        <v>10668</v>
      </c>
      <c r="AA25" s="122" t="s">
        <v>27</v>
      </c>
      <c r="AB25" s="123" t="s">
        <v>363</v>
      </c>
      <c r="AC25" s="122" t="s">
        <v>376</v>
      </c>
      <c r="AD25" s="122" t="s">
        <v>384</v>
      </c>
      <c r="AE25" s="127">
        <v>3</v>
      </c>
      <c r="AJ25" s="119" t="s">
        <v>339</v>
      </c>
      <c r="AK25" s="120">
        <v>8.6</v>
      </c>
      <c r="AL25" s="120">
        <v>15.1</v>
      </c>
      <c r="AN25" t="s">
        <v>114</v>
      </c>
      <c r="AO25">
        <v>10</v>
      </c>
      <c r="AP25">
        <v>19.04</v>
      </c>
      <c r="BC25" s="122" t="s">
        <v>35</v>
      </c>
      <c r="BD25" s="115">
        <v>6</v>
      </c>
      <c r="BE25" s="115">
        <v>0.4</v>
      </c>
      <c r="BF25" s="115">
        <v>100</v>
      </c>
      <c r="BG25" s="115">
        <v>0.38</v>
      </c>
      <c r="BH25" s="122" t="str">
        <f t="shared" si="0"/>
        <v/>
      </c>
      <c r="BM25" s="122" t="s">
        <v>35</v>
      </c>
      <c r="BN25" s="115">
        <v>8</v>
      </c>
      <c r="BO25" s="115">
        <v>0.3</v>
      </c>
      <c r="BP25" s="115">
        <v>0.4</v>
      </c>
      <c r="BQ25" s="115">
        <v>0.52</v>
      </c>
      <c r="BR25" s="122" t="str">
        <f t="shared" si="1"/>
        <v/>
      </c>
      <c r="BW25" s="122" t="s">
        <v>35</v>
      </c>
      <c r="BX25" s="115">
        <v>6</v>
      </c>
      <c r="BY25" s="115">
        <v>0.4</v>
      </c>
      <c r="BZ25" s="115">
        <v>100</v>
      </c>
      <c r="CA25" s="115">
        <v>0.53</v>
      </c>
      <c r="CB25" s="122" t="str">
        <f t="shared" si="2"/>
        <v/>
      </c>
      <c r="CJ25" s="231">
        <v>7.1</v>
      </c>
      <c r="CK25" s="230" t="str">
        <f>CONCATENATE($CK$5,": ",CO4)</f>
        <v>Split, self a ar, splitão e rooftop - Aquecimento: sem ou resistência elétrica: ≥ 19 kW e &lt; 40 kW</v>
      </c>
      <c r="CL25" s="191" t="s">
        <v>385</v>
      </c>
      <c r="CX25" s="404" t="s">
        <v>27</v>
      </c>
      <c r="CY25" s="126" t="s">
        <v>363</v>
      </c>
      <c r="DA25" s="122" t="s">
        <v>247</v>
      </c>
      <c r="DB25" s="122" t="s">
        <v>2712</v>
      </c>
      <c r="DC25" s="122" t="s">
        <v>2712</v>
      </c>
      <c r="DD25" s="127">
        <v>8</v>
      </c>
      <c r="DE25" s="127">
        <v>8</v>
      </c>
      <c r="DG25" s="405" t="s">
        <v>247</v>
      </c>
      <c r="DH25" s="406" t="s">
        <v>2712</v>
      </c>
      <c r="DI25" s="406" t="str">
        <f t="shared" si="3"/>
        <v>AL, Anadia</v>
      </c>
      <c r="DJ25" s="406">
        <v>-9.6839999999999993</v>
      </c>
      <c r="DK25" s="80">
        <v>-36.304000000000002</v>
      </c>
      <c r="DL25" s="80">
        <v>153</v>
      </c>
      <c r="DM25" s="64">
        <v>8</v>
      </c>
      <c r="DN25" s="406" t="s">
        <v>6088</v>
      </c>
      <c r="DO25" s="406">
        <v>-9.8000000000000007</v>
      </c>
      <c r="DP25" s="80">
        <v>241</v>
      </c>
    </row>
    <row r="26" spans="1:120" x14ac:dyDescent="0.25">
      <c r="A26" s="122" t="s">
        <v>10669</v>
      </c>
      <c r="AA26" s="122" t="s">
        <v>298</v>
      </c>
      <c r="AB26" s="123" t="s">
        <v>248</v>
      </c>
      <c r="AC26" s="122" t="s">
        <v>376</v>
      </c>
      <c r="AD26" s="122" t="s">
        <v>386</v>
      </c>
      <c r="AE26" s="127">
        <v>3</v>
      </c>
      <c r="AJ26" s="119" t="s">
        <v>387</v>
      </c>
      <c r="AK26" s="120">
        <v>8.8000000000000007</v>
      </c>
      <c r="AL26" s="120">
        <v>13.6</v>
      </c>
      <c r="AN26" t="s">
        <v>5873</v>
      </c>
      <c r="AO26">
        <v>8.6999999999999993</v>
      </c>
      <c r="AP26">
        <v>16.8</v>
      </c>
      <c r="BC26" s="122" t="s">
        <v>35</v>
      </c>
      <c r="BD26" s="115">
        <v>7</v>
      </c>
      <c r="BE26" s="115">
        <v>0</v>
      </c>
      <c r="BF26" s="115">
        <v>0.2</v>
      </c>
      <c r="BG26" s="115">
        <v>0.25</v>
      </c>
      <c r="BH26" s="122" t="str">
        <f t="shared" si="0"/>
        <v/>
      </c>
      <c r="BM26" s="122" t="s">
        <v>35</v>
      </c>
      <c r="BN26" s="115">
        <v>1</v>
      </c>
      <c r="BO26" s="115">
        <v>0.4</v>
      </c>
      <c r="BP26" s="115">
        <v>100</v>
      </c>
      <c r="BQ26" s="115">
        <v>0.71</v>
      </c>
      <c r="BR26" s="122" t="str">
        <f t="shared" si="1"/>
        <v/>
      </c>
      <c r="BW26" s="122" t="s">
        <v>35</v>
      </c>
      <c r="BX26" s="115">
        <v>7</v>
      </c>
      <c r="BY26" s="115">
        <v>0</v>
      </c>
      <c r="BZ26" s="115">
        <v>0.2</v>
      </c>
      <c r="CA26" s="115">
        <v>0.4</v>
      </c>
      <c r="CB26" s="122" t="str">
        <f t="shared" si="2"/>
        <v/>
      </c>
      <c r="CJ26" s="231">
        <v>7.1</v>
      </c>
      <c r="CK26" s="230" t="str">
        <f t="shared" ref="CK26:CK28" si="4">CONCATENATE($CK$5,": ",CO5)</f>
        <v>Split, self a ar, splitão e rooftop - Aquecimento: sem ou resistência elétrica: ≥ 40 kW e &lt; 70 kW</v>
      </c>
      <c r="CL26" s="191" t="s">
        <v>388</v>
      </c>
      <c r="CX26" s="404" t="s">
        <v>298</v>
      </c>
      <c r="CY26" s="126" t="s">
        <v>248</v>
      </c>
      <c r="DA26" s="122" t="s">
        <v>247</v>
      </c>
      <c r="DB26" s="122" t="s">
        <v>5116</v>
      </c>
      <c r="DC26" s="122" t="s">
        <v>5116</v>
      </c>
      <c r="DD26" s="127">
        <v>8</v>
      </c>
      <c r="DE26" s="127">
        <v>8</v>
      </c>
      <c r="DG26" s="405" t="s">
        <v>247</v>
      </c>
      <c r="DH26" s="406" t="s">
        <v>5116</v>
      </c>
      <c r="DI26" s="406" t="str">
        <f t="shared" si="3"/>
        <v>AL, Arapiraca</v>
      </c>
      <c r="DJ26" s="406">
        <v>-9.7520000000000007</v>
      </c>
      <c r="DK26" s="80">
        <v>-36.661000000000001</v>
      </c>
      <c r="DL26" s="80">
        <v>264</v>
      </c>
      <c r="DM26" s="64">
        <v>8</v>
      </c>
      <c r="DN26" s="406" t="s">
        <v>6088</v>
      </c>
      <c r="DO26" s="406">
        <v>-9.8000000000000007</v>
      </c>
      <c r="DP26" s="80">
        <v>241</v>
      </c>
    </row>
    <row r="27" spans="1:120" x14ac:dyDescent="0.25">
      <c r="A27" s="122" t="s">
        <v>10678</v>
      </c>
      <c r="AA27" s="122" t="s">
        <v>376</v>
      </c>
      <c r="AB27" s="123" t="s">
        <v>318</v>
      </c>
      <c r="AC27" s="122" t="s">
        <v>27</v>
      </c>
      <c r="AD27" s="122" t="s">
        <v>389</v>
      </c>
      <c r="AE27" s="127">
        <v>2</v>
      </c>
      <c r="AJ27" s="119" t="s">
        <v>390</v>
      </c>
      <c r="AK27" s="120">
        <v>8.6</v>
      </c>
      <c r="AL27" s="120">
        <v>14.9</v>
      </c>
      <c r="AN27" t="s">
        <v>411</v>
      </c>
      <c r="AO27">
        <v>1.5</v>
      </c>
      <c r="AP27">
        <v>3.2</v>
      </c>
      <c r="BC27" s="122" t="s">
        <v>35</v>
      </c>
      <c r="BD27" s="115">
        <v>7</v>
      </c>
      <c r="BE27" s="115">
        <v>0.2</v>
      </c>
      <c r="BF27" s="115">
        <v>0.3</v>
      </c>
      <c r="BG27" s="115">
        <v>0.25</v>
      </c>
      <c r="BH27" s="122" t="str">
        <f t="shared" si="0"/>
        <v/>
      </c>
      <c r="BM27" s="122" t="s">
        <v>35</v>
      </c>
      <c r="BN27" s="115">
        <v>2</v>
      </c>
      <c r="BO27" s="115">
        <v>0.4</v>
      </c>
      <c r="BP27" s="115">
        <v>100</v>
      </c>
      <c r="BQ27" s="115">
        <v>0.63</v>
      </c>
      <c r="BR27" s="122" t="str">
        <f t="shared" si="1"/>
        <v/>
      </c>
      <c r="BW27" s="122" t="s">
        <v>35</v>
      </c>
      <c r="BX27" s="115">
        <v>7</v>
      </c>
      <c r="BY27" s="115">
        <v>0.2</v>
      </c>
      <c r="BZ27" s="115">
        <v>0.3</v>
      </c>
      <c r="CA27" s="115">
        <v>0.41</v>
      </c>
      <c r="CB27" s="122" t="str">
        <f t="shared" si="2"/>
        <v/>
      </c>
      <c r="CJ27" s="231">
        <v>7.1</v>
      </c>
      <c r="CK27" s="230" t="str">
        <f t="shared" si="4"/>
        <v>Split, self a ar, splitão e rooftop - Aquecimento: sem ou resistência elétrica: ≥ 70 kW e &lt; 223 kW</v>
      </c>
      <c r="CL27" s="191" t="s">
        <v>392</v>
      </c>
      <c r="CX27" s="404" t="s">
        <v>376</v>
      </c>
      <c r="CY27" s="126" t="s">
        <v>318</v>
      </c>
      <c r="DA27" s="122" t="s">
        <v>247</v>
      </c>
      <c r="DB27" s="122" t="s">
        <v>3304</v>
      </c>
      <c r="DC27" s="122" t="s">
        <v>3304</v>
      </c>
      <c r="DD27" s="127">
        <v>8</v>
      </c>
      <c r="DE27" s="127">
        <v>8</v>
      </c>
      <c r="DG27" s="405" t="s">
        <v>247</v>
      </c>
      <c r="DH27" s="406" t="s">
        <v>3304</v>
      </c>
      <c r="DI27" s="406" t="str">
        <f t="shared" si="3"/>
        <v>AL, Atalaia</v>
      </c>
      <c r="DJ27" s="406">
        <v>-9.5020000000000007</v>
      </c>
      <c r="DK27" s="80">
        <v>-36.023000000000003</v>
      </c>
      <c r="DL27" s="80">
        <v>54</v>
      </c>
      <c r="DM27" s="64">
        <v>8</v>
      </c>
      <c r="DN27" s="406" t="s">
        <v>6089</v>
      </c>
      <c r="DO27" s="406">
        <v>-9.67</v>
      </c>
      <c r="DP27" s="80">
        <v>64</v>
      </c>
    </row>
    <row r="28" spans="1:120" x14ac:dyDescent="0.25">
      <c r="AA28" s="122" t="s">
        <v>393</v>
      </c>
      <c r="AB28" s="123" t="s">
        <v>235</v>
      </c>
      <c r="AC28" s="122" t="s">
        <v>27</v>
      </c>
      <c r="AD28" s="122" t="s">
        <v>394</v>
      </c>
      <c r="AE28" s="127">
        <v>2</v>
      </c>
      <c r="AJ28" s="119" t="s">
        <v>395</v>
      </c>
      <c r="AK28" s="120">
        <v>8.6</v>
      </c>
      <c r="AL28" s="120">
        <v>14.4</v>
      </c>
      <c r="AN28" t="s">
        <v>5816</v>
      </c>
      <c r="AO28">
        <v>8.85</v>
      </c>
      <c r="AP28">
        <v>12.48</v>
      </c>
      <c r="BC28" s="122" t="s">
        <v>35</v>
      </c>
      <c r="BD28" s="115">
        <v>7</v>
      </c>
      <c r="BE28" s="115">
        <v>0.3</v>
      </c>
      <c r="BF28" s="115">
        <v>0.4</v>
      </c>
      <c r="BG28" s="115">
        <v>0.28000000000000003</v>
      </c>
      <c r="BH28" s="122">
        <f t="shared" si="0"/>
        <v>0.28000000000000003</v>
      </c>
      <c r="BM28" s="122" t="s">
        <v>35</v>
      </c>
      <c r="BN28" s="115">
        <v>3</v>
      </c>
      <c r="BO28" s="115">
        <v>0.4</v>
      </c>
      <c r="BP28" s="115">
        <v>100</v>
      </c>
      <c r="BQ28" s="115">
        <v>0.64</v>
      </c>
      <c r="BR28" s="122" t="str">
        <f t="shared" si="1"/>
        <v/>
      </c>
      <c r="BW28" s="122" t="s">
        <v>35</v>
      </c>
      <c r="BX28" s="115">
        <v>7</v>
      </c>
      <c r="BY28" s="115">
        <v>0.3</v>
      </c>
      <c r="BZ28" s="115">
        <v>0.4</v>
      </c>
      <c r="CA28" s="115">
        <v>0.42</v>
      </c>
      <c r="CB28" s="122">
        <f t="shared" si="2"/>
        <v>0.42</v>
      </c>
      <c r="CJ28" s="231">
        <v>7.1</v>
      </c>
      <c r="CK28" s="230" t="str">
        <f t="shared" si="4"/>
        <v>Split, self a ar, splitão e rooftop - Aquecimento: sem ou resistência elétrica: ≥ 223 kW</v>
      </c>
      <c r="CL28" s="191" t="s">
        <v>397</v>
      </c>
      <c r="CX28" s="404" t="s">
        <v>393</v>
      </c>
      <c r="CY28" s="126" t="s">
        <v>235</v>
      </c>
      <c r="DA28" s="122" t="s">
        <v>247</v>
      </c>
      <c r="DB28" s="122" t="s">
        <v>6090</v>
      </c>
      <c r="DC28" s="122" t="s">
        <v>5103</v>
      </c>
      <c r="DD28" s="127">
        <v>8</v>
      </c>
      <c r="DE28" s="127">
        <v>8</v>
      </c>
      <c r="DG28" s="405" t="s">
        <v>247</v>
      </c>
      <c r="DH28" s="406" t="s">
        <v>5103</v>
      </c>
      <c r="DI28" s="406" t="str">
        <f t="shared" si="3"/>
        <v>AL, Barra de Santo Antônio</v>
      </c>
      <c r="DJ28" s="406">
        <v>-9.4049999999999994</v>
      </c>
      <c r="DK28" s="80">
        <v>-35.506999999999998</v>
      </c>
      <c r="DL28" s="80">
        <v>10</v>
      </c>
      <c r="DM28" s="64">
        <v>8</v>
      </c>
      <c r="DN28" s="406" t="s">
        <v>6091</v>
      </c>
      <c r="DO28" s="406">
        <v>-9.2899999999999991</v>
      </c>
      <c r="DP28" s="80">
        <v>19</v>
      </c>
    </row>
    <row r="29" spans="1:120" x14ac:dyDescent="0.25">
      <c r="AC29" s="122" t="s">
        <v>27</v>
      </c>
      <c r="AD29" s="122" t="s">
        <v>398</v>
      </c>
      <c r="AE29" s="127">
        <v>2</v>
      </c>
      <c r="AJ29" s="119" t="s">
        <v>342</v>
      </c>
      <c r="AK29" s="120">
        <v>12.7</v>
      </c>
      <c r="AL29" s="120">
        <v>21.8</v>
      </c>
      <c r="AN29" t="s">
        <v>5817</v>
      </c>
      <c r="AO29">
        <v>7</v>
      </c>
      <c r="AP29">
        <v>13</v>
      </c>
      <c r="BC29" s="122" t="s">
        <v>35</v>
      </c>
      <c r="BD29" s="115">
        <v>7</v>
      </c>
      <c r="BE29" s="115">
        <v>0.4</v>
      </c>
      <c r="BF29" s="115">
        <v>100</v>
      </c>
      <c r="BG29" s="115">
        <v>0.3</v>
      </c>
      <c r="BH29" s="122" t="str">
        <f t="shared" si="0"/>
        <v/>
      </c>
      <c r="BM29" s="122" t="s">
        <v>35</v>
      </c>
      <c r="BN29" s="115">
        <v>4</v>
      </c>
      <c r="BO29" s="115">
        <v>0.4</v>
      </c>
      <c r="BP29" s="115">
        <v>100</v>
      </c>
      <c r="BQ29" s="115">
        <v>0.69</v>
      </c>
      <c r="BR29" s="122" t="str">
        <f t="shared" si="1"/>
        <v/>
      </c>
      <c r="BW29" s="122" t="s">
        <v>35</v>
      </c>
      <c r="BX29" s="115">
        <v>7</v>
      </c>
      <c r="BY29" s="115">
        <v>0.4</v>
      </c>
      <c r="BZ29" s="115">
        <v>100</v>
      </c>
      <c r="CA29" s="115">
        <v>0.44</v>
      </c>
      <c r="CB29" s="122" t="str">
        <f t="shared" si="2"/>
        <v/>
      </c>
      <c r="CJ29" s="231">
        <v>7.1</v>
      </c>
      <c r="CK29" s="230" t="str">
        <f>CONCATENATE($CK$6,": ",CO4)</f>
        <v>Split, self a ar, splitão e rooftop - Aquecimento: outros: ≥ 19 kW e &lt; 40 kW</v>
      </c>
      <c r="CL29" s="191" t="s">
        <v>400</v>
      </c>
      <c r="DA29" s="122" t="s">
        <v>247</v>
      </c>
      <c r="DB29" s="122" t="s">
        <v>6092</v>
      </c>
      <c r="DC29" s="122" t="s">
        <v>2247</v>
      </c>
      <c r="DD29" s="127">
        <v>8</v>
      </c>
      <c r="DE29" s="127">
        <v>8</v>
      </c>
      <c r="DG29" s="405" t="s">
        <v>247</v>
      </c>
      <c r="DH29" s="406" t="s">
        <v>2247</v>
      </c>
      <c r="DI29" s="406" t="str">
        <f t="shared" si="3"/>
        <v>AL, Barra de São Miguel</v>
      </c>
      <c r="DJ29" s="406">
        <v>-9.84</v>
      </c>
      <c r="DK29" s="80">
        <v>-35.908000000000001</v>
      </c>
      <c r="DL29" s="80">
        <v>2</v>
      </c>
      <c r="DM29" s="64">
        <v>8</v>
      </c>
      <c r="DN29" s="406" t="s">
        <v>6089</v>
      </c>
      <c r="DO29" s="406">
        <v>-9.67</v>
      </c>
      <c r="DP29" s="80">
        <v>64</v>
      </c>
    </row>
    <row r="30" spans="1:120" x14ac:dyDescent="0.25">
      <c r="AC30" s="122" t="s">
        <v>376</v>
      </c>
      <c r="AD30" s="122" t="s">
        <v>401</v>
      </c>
      <c r="AE30" s="127">
        <v>3</v>
      </c>
      <c r="AJ30" s="119" t="s">
        <v>402</v>
      </c>
      <c r="AK30" s="120">
        <v>6.8</v>
      </c>
      <c r="AL30" s="120">
        <v>12</v>
      </c>
      <c r="AN30" t="s">
        <v>5818</v>
      </c>
      <c r="AO30">
        <v>26.4</v>
      </c>
      <c r="AP30">
        <v>46.08</v>
      </c>
      <c r="BC30" s="122" t="s">
        <v>35</v>
      </c>
      <c r="BD30" s="115">
        <v>8</v>
      </c>
      <c r="BE30" s="115">
        <v>0</v>
      </c>
      <c r="BF30" s="115">
        <v>0.2</v>
      </c>
      <c r="BG30" s="115">
        <v>0.24</v>
      </c>
      <c r="BH30" s="122" t="str">
        <f t="shared" si="0"/>
        <v/>
      </c>
      <c r="BM30" s="122" t="s">
        <v>35</v>
      </c>
      <c r="BN30" s="115">
        <v>5</v>
      </c>
      <c r="BO30" s="115">
        <v>0.4</v>
      </c>
      <c r="BP30" s="115">
        <v>100</v>
      </c>
      <c r="BQ30" s="115">
        <v>0.59</v>
      </c>
      <c r="BR30" s="122" t="str">
        <f t="shared" si="1"/>
        <v/>
      </c>
      <c r="BW30" s="122" t="s">
        <v>35</v>
      </c>
      <c r="BX30" s="115">
        <v>8</v>
      </c>
      <c r="BY30" s="115">
        <v>0</v>
      </c>
      <c r="BZ30" s="115">
        <v>0.2</v>
      </c>
      <c r="CA30" s="115">
        <v>0.46</v>
      </c>
      <c r="CB30" s="122" t="str">
        <f t="shared" si="2"/>
        <v/>
      </c>
      <c r="CJ30" s="231">
        <v>7.1</v>
      </c>
      <c r="CK30" s="230" t="str">
        <f t="shared" ref="CK30:CK32" si="5">CONCATENATE($CK$6,": ",CO5)</f>
        <v>Split, self a ar, splitão e rooftop - Aquecimento: outros: ≥ 40 kW e &lt; 70 kW</v>
      </c>
      <c r="CL30" s="191" t="s">
        <v>404</v>
      </c>
      <c r="DA30" s="122" t="s">
        <v>247</v>
      </c>
      <c r="DB30" s="122" t="s">
        <v>4760</v>
      </c>
      <c r="DC30" s="122" t="s">
        <v>4760</v>
      </c>
      <c r="DD30" s="127">
        <v>8</v>
      </c>
      <c r="DE30" s="127">
        <v>8</v>
      </c>
      <c r="DG30" s="405" t="s">
        <v>247</v>
      </c>
      <c r="DH30" s="406" t="s">
        <v>4760</v>
      </c>
      <c r="DI30" s="406" t="str">
        <f t="shared" si="3"/>
        <v>AL, Batalha</v>
      </c>
      <c r="DJ30" s="406">
        <v>-9.6780000000000008</v>
      </c>
      <c r="DK30" s="80">
        <v>-37.125</v>
      </c>
      <c r="DL30" s="80">
        <v>120</v>
      </c>
      <c r="DM30" s="64">
        <v>8</v>
      </c>
      <c r="DN30" s="406" t="s">
        <v>6093</v>
      </c>
      <c r="DO30" s="406">
        <v>-9.75</v>
      </c>
      <c r="DP30" s="80">
        <v>19</v>
      </c>
    </row>
    <row r="31" spans="1:120" x14ac:dyDescent="0.25">
      <c r="AC31" s="122" t="s">
        <v>376</v>
      </c>
      <c r="AD31" s="122" t="s">
        <v>405</v>
      </c>
      <c r="AE31" s="127">
        <v>3</v>
      </c>
      <c r="AJ31" s="119" t="s">
        <v>406</v>
      </c>
      <c r="AK31" s="120">
        <v>9.6999999999999993</v>
      </c>
      <c r="AL31" s="120">
        <v>16.399999999999999</v>
      </c>
      <c r="AN31" t="s">
        <v>5883</v>
      </c>
      <c r="AO31">
        <v>12.15</v>
      </c>
      <c r="AP31">
        <v>18.850000000000001</v>
      </c>
      <c r="BC31" s="122" t="s">
        <v>35</v>
      </c>
      <c r="BD31" s="115">
        <v>8</v>
      </c>
      <c r="BE31" s="115">
        <v>0.2</v>
      </c>
      <c r="BF31" s="115">
        <v>0.3</v>
      </c>
      <c r="BG31" s="115">
        <v>0.24</v>
      </c>
      <c r="BH31" s="122" t="str">
        <f t="shared" si="0"/>
        <v/>
      </c>
      <c r="BM31" s="122" t="s">
        <v>35</v>
      </c>
      <c r="BN31" s="115">
        <v>6</v>
      </c>
      <c r="BO31" s="115">
        <v>0.4</v>
      </c>
      <c r="BP31" s="115">
        <v>100</v>
      </c>
      <c r="BQ31" s="115">
        <v>0.6</v>
      </c>
      <c r="BR31" s="122" t="str">
        <f t="shared" si="1"/>
        <v/>
      </c>
      <c r="BW31" s="122" t="s">
        <v>35</v>
      </c>
      <c r="BX31" s="115">
        <v>8</v>
      </c>
      <c r="BY31" s="115">
        <v>0.2</v>
      </c>
      <c r="BZ31" s="115">
        <v>0.3</v>
      </c>
      <c r="CA31" s="115">
        <v>0.47</v>
      </c>
      <c r="CB31" s="122" t="str">
        <f t="shared" si="2"/>
        <v/>
      </c>
      <c r="CJ31" s="231">
        <v>7.1</v>
      </c>
      <c r="CK31" s="230" t="str">
        <f t="shared" si="5"/>
        <v>Split, self a ar, splitão e rooftop - Aquecimento: outros: ≥ 70 kW e &lt; 223 kW</v>
      </c>
      <c r="CL31" s="191" t="s">
        <v>407</v>
      </c>
      <c r="DA31" s="122" t="s">
        <v>247</v>
      </c>
      <c r="DB31" s="122" t="s">
        <v>2167</v>
      </c>
      <c r="DC31" s="122" t="s">
        <v>2167</v>
      </c>
      <c r="DD31" s="127">
        <v>8</v>
      </c>
      <c r="DE31" s="127">
        <v>8</v>
      </c>
      <c r="DG31" s="405" t="s">
        <v>247</v>
      </c>
      <c r="DH31" s="406" t="s">
        <v>2167</v>
      </c>
      <c r="DI31" s="406" t="str">
        <f t="shared" si="3"/>
        <v>AL, Belém</v>
      </c>
      <c r="DJ31" s="406">
        <v>-9.5709999999999997</v>
      </c>
      <c r="DK31" s="80">
        <v>-36.491999999999997</v>
      </c>
      <c r="DL31" s="80">
        <v>311</v>
      </c>
      <c r="DM31" s="64">
        <v>8</v>
      </c>
      <c r="DN31" s="406" t="s">
        <v>6094</v>
      </c>
      <c r="DO31" s="406">
        <v>-9.41</v>
      </c>
      <c r="DP31" s="80">
        <v>275</v>
      </c>
    </row>
    <row r="32" spans="1:120" x14ac:dyDescent="0.25">
      <c r="AC32" s="122" t="s">
        <v>376</v>
      </c>
      <c r="AD32" s="122" t="s">
        <v>408</v>
      </c>
      <c r="AE32" s="127">
        <v>3</v>
      </c>
      <c r="AN32" t="s">
        <v>5884</v>
      </c>
      <c r="AO32">
        <v>18.3</v>
      </c>
      <c r="AP32">
        <v>28.37</v>
      </c>
      <c r="BC32" s="122" t="s">
        <v>35</v>
      </c>
      <c r="BD32" s="115">
        <v>8</v>
      </c>
      <c r="BE32" s="115">
        <v>0.3</v>
      </c>
      <c r="BF32" s="115">
        <v>0.4</v>
      </c>
      <c r="BG32" s="115">
        <v>0.27</v>
      </c>
      <c r="BH32" s="122" t="str">
        <f t="shared" si="0"/>
        <v/>
      </c>
      <c r="BM32" s="122" t="s">
        <v>35</v>
      </c>
      <c r="BN32" s="115">
        <v>7</v>
      </c>
      <c r="BO32" s="115">
        <v>0.4</v>
      </c>
      <c r="BP32" s="115">
        <v>100</v>
      </c>
      <c r="BQ32" s="115">
        <v>0.45</v>
      </c>
      <c r="BR32" s="122" t="str">
        <f t="shared" si="1"/>
        <v/>
      </c>
      <c r="BW32" s="122" t="s">
        <v>35</v>
      </c>
      <c r="BX32" s="115">
        <v>8</v>
      </c>
      <c r="BY32" s="115">
        <v>0.3</v>
      </c>
      <c r="BZ32" s="115">
        <v>0.4</v>
      </c>
      <c r="CA32" s="115">
        <v>0.48</v>
      </c>
      <c r="CB32" s="122" t="str">
        <f t="shared" si="2"/>
        <v/>
      </c>
      <c r="CJ32" s="231">
        <v>7.1</v>
      </c>
      <c r="CK32" s="230" t="str">
        <f t="shared" si="5"/>
        <v>Split, self a ar, splitão e rooftop - Aquecimento: outros: ≥ 223 kW</v>
      </c>
      <c r="CL32" s="191" t="s">
        <v>409</v>
      </c>
      <c r="DA32" s="122" t="s">
        <v>247</v>
      </c>
      <c r="DB32" s="122" t="s">
        <v>6095</v>
      </c>
      <c r="DC32" s="122" t="s">
        <v>5337</v>
      </c>
      <c r="DD32" s="127">
        <v>8</v>
      </c>
      <c r="DE32" s="127">
        <v>8</v>
      </c>
      <c r="DG32" s="405" t="s">
        <v>247</v>
      </c>
      <c r="DH32" s="406" t="s">
        <v>5337</v>
      </c>
      <c r="DI32" s="406" t="str">
        <f t="shared" si="3"/>
        <v>AL, Belo Monte</v>
      </c>
      <c r="DJ32" s="406">
        <v>-9.8279999999999994</v>
      </c>
      <c r="DK32" s="80">
        <v>-37.28</v>
      </c>
      <c r="DL32" s="80">
        <v>30</v>
      </c>
      <c r="DM32" s="64">
        <v>8</v>
      </c>
      <c r="DN32" s="406" t="s">
        <v>6093</v>
      </c>
      <c r="DO32" s="406">
        <v>-9.75</v>
      </c>
      <c r="DP32" s="80">
        <v>19</v>
      </c>
    </row>
    <row r="33" spans="29:120" x14ac:dyDescent="0.25">
      <c r="AC33" s="122" t="s">
        <v>376</v>
      </c>
      <c r="AD33" s="122" t="s">
        <v>410</v>
      </c>
      <c r="AE33" s="127">
        <v>3</v>
      </c>
      <c r="AN33" t="s">
        <v>5885</v>
      </c>
      <c r="AO33">
        <v>21.1</v>
      </c>
      <c r="AP33">
        <v>33.119999999999997</v>
      </c>
      <c r="BC33" s="122" t="s">
        <v>35</v>
      </c>
      <c r="BD33" s="115">
        <v>8</v>
      </c>
      <c r="BE33" s="115">
        <v>0.4</v>
      </c>
      <c r="BF33" s="115">
        <v>100</v>
      </c>
      <c r="BG33" s="115">
        <v>0.28999999999999998</v>
      </c>
      <c r="BH33" s="122" t="str">
        <f t="shared" si="0"/>
        <v/>
      </c>
      <c r="BM33" s="122" t="s">
        <v>35</v>
      </c>
      <c r="BN33" s="115">
        <v>8</v>
      </c>
      <c r="BO33" s="115">
        <v>0.4</v>
      </c>
      <c r="BP33" s="115">
        <v>100</v>
      </c>
      <c r="BQ33" s="115">
        <v>0.53</v>
      </c>
      <c r="BR33" s="122" t="str">
        <f t="shared" si="1"/>
        <v/>
      </c>
      <c r="BW33" s="122" t="s">
        <v>35</v>
      </c>
      <c r="BX33" s="115">
        <v>8</v>
      </c>
      <c r="BY33" s="115">
        <v>0.4</v>
      </c>
      <c r="BZ33" s="115">
        <v>100</v>
      </c>
      <c r="CA33" s="115">
        <v>0.49</v>
      </c>
      <c r="CB33" s="122" t="str">
        <f t="shared" si="2"/>
        <v/>
      </c>
      <c r="CJ33" s="231">
        <v>7.2</v>
      </c>
      <c r="CK33" s="230" t="str">
        <f>CONCATENATE($CK$7,": ",CN4)</f>
        <v>Self a água, split a água: &lt;19 kW</v>
      </c>
      <c r="CL33" s="191" t="s">
        <v>412</v>
      </c>
      <c r="DA33" s="122" t="s">
        <v>247</v>
      </c>
      <c r="DB33" s="122" t="s">
        <v>6096</v>
      </c>
      <c r="DC33" s="122" t="s">
        <v>5412</v>
      </c>
      <c r="DD33" s="127">
        <v>8</v>
      </c>
      <c r="DE33" s="127">
        <v>8</v>
      </c>
      <c r="DG33" s="405" t="s">
        <v>247</v>
      </c>
      <c r="DH33" s="406" t="s">
        <v>5412</v>
      </c>
      <c r="DI33" s="406" t="str">
        <f t="shared" si="3"/>
        <v>AL, Boca da Mata</v>
      </c>
      <c r="DJ33" s="406">
        <v>-9.641</v>
      </c>
      <c r="DK33" s="80">
        <v>-36.22</v>
      </c>
      <c r="DL33" s="80">
        <v>132</v>
      </c>
      <c r="DM33" s="64">
        <v>8</v>
      </c>
      <c r="DN33" s="406" t="s">
        <v>6088</v>
      </c>
      <c r="DO33" s="406">
        <v>-9.8000000000000007</v>
      </c>
      <c r="DP33" s="80">
        <v>241</v>
      </c>
    </row>
    <row r="34" spans="29:120" x14ac:dyDescent="0.25">
      <c r="AC34" s="122" t="s">
        <v>27</v>
      </c>
      <c r="AD34" s="122" t="s">
        <v>413</v>
      </c>
      <c r="AE34" s="127">
        <v>2</v>
      </c>
      <c r="AN34" t="s">
        <v>5886</v>
      </c>
      <c r="AO34">
        <v>26.6</v>
      </c>
      <c r="AP34">
        <v>51.84</v>
      </c>
      <c r="BC34" s="122" t="s">
        <v>332</v>
      </c>
      <c r="BD34" s="115">
        <v>1</v>
      </c>
      <c r="BE34" s="115">
        <v>0</v>
      </c>
      <c r="BF34" s="115">
        <v>0.2</v>
      </c>
      <c r="BG34" s="115">
        <v>0.22</v>
      </c>
      <c r="BH34" s="122" t="str">
        <f t="shared" si="0"/>
        <v/>
      </c>
      <c r="BM34" s="122" t="s">
        <v>332</v>
      </c>
      <c r="BN34" s="115">
        <v>1</v>
      </c>
      <c r="BO34" s="115">
        <v>0</v>
      </c>
      <c r="BP34" s="115">
        <v>0.2</v>
      </c>
      <c r="BQ34" s="115">
        <v>0.57999999999999996</v>
      </c>
      <c r="BR34" s="122" t="str">
        <f t="shared" si="1"/>
        <v/>
      </c>
      <c r="BW34" s="122" t="s">
        <v>332</v>
      </c>
      <c r="BX34" s="115">
        <v>1</v>
      </c>
      <c r="BY34" s="115">
        <v>0</v>
      </c>
      <c r="BZ34" s="115">
        <v>0.2</v>
      </c>
      <c r="CA34" s="115">
        <v>0.52</v>
      </c>
      <c r="CB34" s="122" t="str">
        <f t="shared" si="2"/>
        <v/>
      </c>
      <c r="CJ34" s="231">
        <f>CJ33</f>
        <v>7.2</v>
      </c>
      <c r="CK34" s="230" t="str">
        <f>CONCATENATE($CK$8,": ",CO4)</f>
        <v>Self a água, split a água - Aquecimento: sem ou resistência elétrica: ≥ 19 kW e &lt; 40 kW</v>
      </c>
      <c r="CL34" s="191" t="s">
        <v>414</v>
      </c>
      <c r="DA34" s="122" t="s">
        <v>247</v>
      </c>
      <c r="DB34" s="122" t="s">
        <v>5424</v>
      </c>
      <c r="DC34" s="122" t="s">
        <v>5424</v>
      </c>
      <c r="DD34" s="127">
        <v>8</v>
      </c>
      <c r="DE34" s="127">
        <v>8</v>
      </c>
      <c r="DG34" s="405" t="s">
        <v>247</v>
      </c>
      <c r="DH34" s="406" t="s">
        <v>5424</v>
      </c>
      <c r="DI34" s="406" t="str">
        <f t="shared" si="3"/>
        <v>AL, Branquinha</v>
      </c>
      <c r="DJ34" s="406">
        <v>-9.2460000000000004</v>
      </c>
      <c r="DK34" s="80">
        <v>-36.015000000000001</v>
      </c>
      <c r="DL34" s="80">
        <v>100</v>
      </c>
      <c r="DM34" s="64">
        <v>8</v>
      </c>
      <c r="DN34" s="406" t="s">
        <v>6091</v>
      </c>
      <c r="DO34" s="406">
        <v>-9.2899999999999991</v>
      </c>
      <c r="DP34" s="80">
        <v>19</v>
      </c>
    </row>
    <row r="35" spans="29:120" x14ac:dyDescent="0.25">
      <c r="AC35" s="122" t="s">
        <v>27</v>
      </c>
      <c r="AD35" s="122" t="s">
        <v>415</v>
      </c>
      <c r="AE35" s="127">
        <v>2</v>
      </c>
      <c r="AN35" t="s">
        <v>5819</v>
      </c>
      <c r="AO35">
        <v>7.45</v>
      </c>
      <c r="AP35">
        <v>8.32</v>
      </c>
      <c r="BC35" s="122" t="s">
        <v>332</v>
      </c>
      <c r="BD35" s="115">
        <v>1</v>
      </c>
      <c r="BE35" s="115">
        <v>0.2</v>
      </c>
      <c r="BF35" s="115">
        <v>0.3</v>
      </c>
      <c r="BG35" s="115">
        <v>0.23</v>
      </c>
      <c r="BH35" s="122" t="str">
        <f t="shared" si="0"/>
        <v/>
      </c>
      <c r="BM35" s="122" t="s">
        <v>332</v>
      </c>
      <c r="BN35" s="115">
        <v>2</v>
      </c>
      <c r="BO35" s="115">
        <v>0</v>
      </c>
      <c r="BP35" s="115">
        <v>0.2</v>
      </c>
      <c r="BQ35" s="115">
        <v>0.51</v>
      </c>
      <c r="BR35" s="122" t="str">
        <f t="shared" si="1"/>
        <v/>
      </c>
      <c r="BW35" s="122" t="s">
        <v>332</v>
      </c>
      <c r="BX35" s="115">
        <v>1</v>
      </c>
      <c r="BY35" s="115">
        <v>0.2</v>
      </c>
      <c r="BZ35" s="115">
        <v>0.3</v>
      </c>
      <c r="CA35" s="115">
        <v>0.52</v>
      </c>
      <c r="CB35" s="122" t="str">
        <f t="shared" si="2"/>
        <v/>
      </c>
      <c r="CJ35" s="231">
        <f t="shared" ref="CJ35:CJ76" si="6">CJ34</f>
        <v>7.2</v>
      </c>
      <c r="CK35" s="230" t="str">
        <f t="shared" ref="CK35:CK37" si="7">CONCATENATE($CK$8,": ",CO5)</f>
        <v>Self a água, split a água - Aquecimento: sem ou resistência elétrica: ≥ 40 kW e &lt; 70 kW</v>
      </c>
      <c r="CL35" s="191" t="s">
        <v>414</v>
      </c>
      <c r="DA35" s="122" t="s">
        <v>247</v>
      </c>
      <c r="DB35" s="122" t="s">
        <v>2566</v>
      </c>
      <c r="DC35" s="122" t="s">
        <v>2566</v>
      </c>
      <c r="DD35" s="127">
        <v>8</v>
      </c>
      <c r="DE35" s="127">
        <v>8</v>
      </c>
      <c r="DG35" s="405" t="s">
        <v>247</v>
      </c>
      <c r="DH35" s="406" t="s">
        <v>2566</v>
      </c>
      <c r="DI35" s="406" t="str">
        <f t="shared" si="3"/>
        <v>AL, Cacimbinhas</v>
      </c>
      <c r="DJ35" s="406">
        <v>-9.4</v>
      </c>
      <c r="DK35" s="80">
        <v>-36.99</v>
      </c>
      <c r="DL35" s="80">
        <v>270</v>
      </c>
      <c r="DM35" s="64">
        <v>8</v>
      </c>
      <c r="DN35" s="406" t="s">
        <v>6094</v>
      </c>
      <c r="DO35" s="406">
        <v>-9.41</v>
      </c>
      <c r="DP35" s="80">
        <v>275</v>
      </c>
    </row>
    <row r="36" spans="29:120" x14ac:dyDescent="0.25">
      <c r="AC36" s="122" t="s">
        <v>358</v>
      </c>
      <c r="AD36" s="122" t="s">
        <v>416</v>
      </c>
      <c r="AE36" s="127">
        <v>3</v>
      </c>
      <c r="AN36" t="s">
        <v>5820</v>
      </c>
      <c r="AO36">
        <v>4.8499999999999996</v>
      </c>
      <c r="AP36">
        <v>12.8</v>
      </c>
      <c r="BC36" s="122" t="s">
        <v>332</v>
      </c>
      <c r="BD36" s="115">
        <v>1</v>
      </c>
      <c r="BE36" s="115">
        <v>0.3</v>
      </c>
      <c r="BF36" s="115">
        <v>0.4</v>
      </c>
      <c r="BG36" s="115">
        <v>0.28000000000000003</v>
      </c>
      <c r="BH36" s="122" t="str">
        <f t="shared" si="0"/>
        <v/>
      </c>
      <c r="BM36" s="122" t="s">
        <v>332</v>
      </c>
      <c r="BN36" s="115">
        <v>3</v>
      </c>
      <c r="BO36" s="115">
        <v>0</v>
      </c>
      <c r="BP36" s="115">
        <v>0.2</v>
      </c>
      <c r="BQ36" s="115">
        <v>0.52</v>
      </c>
      <c r="BR36" s="122" t="str">
        <f t="shared" si="1"/>
        <v/>
      </c>
      <c r="BW36" s="122" t="s">
        <v>332</v>
      </c>
      <c r="BX36" s="115">
        <v>1</v>
      </c>
      <c r="BY36" s="115">
        <v>0.3</v>
      </c>
      <c r="BZ36" s="115">
        <v>0.4</v>
      </c>
      <c r="CA36" s="115">
        <v>0.53</v>
      </c>
      <c r="CB36" s="122" t="str">
        <f t="shared" si="2"/>
        <v/>
      </c>
      <c r="CJ36" s="231">
        <f t="shared" si="6"/>
        <v>7.2</v>
      </c>
      <c r="CK36" s="230" t="str">
        <f t="shared" si="7"/>
        <v>Self a água, split a água - Aquecimento: sem ou resistência elétrica: ≥ 70 kW e &lt; 223 kW</v>
      </c>
      <c r="CL36" s="191" t="s">
        <v>417</v>
      </c>
      <c r="DA36" s="122" t="s">
        <v>247</v>
      </c>
      <c r="DB36" s="122" t="s">
        <v>2602</v>
      </c>
      <c r="DC36" s="122" t="s">
        <v>2602</v>
      </c>
      <c r="DD36" s="127">
        <v>8</v>
      </c>
      <c r="DE36" s="127">
        <v>8</v>
      </c>
      <c r="DG36" s="405" t="s">
        <v>247</v>
      </c>
      <c r="DH36" s="406" t="s">
        <v>2602</v>
      </c>
      <c r="DI36" s="406" t="str">
        <f t="shared" si="3"/>
        <v>AL, Cajueiro</v>
      </c>
      <c r="DJ36" s="406">
        <v>-9.3970000000000002</v>
      </c>
      <c r="DK36" s="80">
        <v>-36.154000000000003</v>
      </c>
      <c r="DL36" s="80">
        <v>102</v>
      </c>
      <c r="DM36" s="64">
        <v>8</v>
      </c>
      <c r="DN36" s="406" t="s">
        <v>6094</v>
      </c>
      <c r="DO36" s="406">
        <v>-9.41</v>
      </c>
      <c r="DP36" s="80">
        <v>275</v>
      </c>
    </row>
    <row r="37" spans="29:120" x14ac:dyDescent="0.25">
      <c r="AC37" s="122" t="s">
        <v>27</v>
      </c>
      <c r="AD37" s="122" t="s">
        <v>418</v>
      </c>
      <c r="AE37" s="127">
        <v>2</v>
      </c>
      <c r="AN37" t="s">
        <v>5821</v>
      </c>
      <c r="AO37">
        <v>11.4</v>
      </c>
      <c r="AP37">
        <v>12.8</v>
      </c>
      <c r="BC37" s="122" t="s">
        <v>332</v>
      </c>
      <c r="BD37" s="115">
        <v>1</v>
      </c>
      <c r="BE37" s="115">
        <v>0.4</v>
      </c>
      <c r="BF37" s="115">
        <v>100</v>
      </c>
      <c r="BG37" s="115">
        <v>0.38</v>
      </c>
      <c r="BH37" s="122" t="str">
        <f t="shared" si="0"/>
        <v/>
      </c>
      <c r="BM37" s="122" t="s">
        <v>332</v>
      </c>
      <c r="BN37" s="115">
        <v>4</v>
      </c>
      <c r="BO37" s="115">
        <v>0</v>
      </c>
      <c r="BP37" s="115">
        <v>0.2</v>
      </c>
      <c r="BQ37" s="115">
        <v>0.56999999999999995</v>
      </c>
      <c r="BR37" s="122" t="str">
        <f t="shared" si="1"/>
        <v/>
      </c>
      <c r="BW37" s="122" t="s">
        <v>332</v>
      </c>
      <c r="BX37" s="115">
        <v>1</v>
      </c>
      <c r="BY37" s="115">
        <v>0.4</v>
      </c>
      <c r="BZ37" s="115">
        <v>100</v>
      </c>
      <c r="CA37" s="115">
        <v>0.57999999999999996</v>
      </c>
      <c r="CB37" s="122" t="str">
        <f t="shared" si="2"/>
        <v/>
      </c>
      <c r="CJ37" s="231">
        <f t="shared" si="6"/>
        <v>7.2</v>
      </c>
      <c r="CK37" s="230" t="str">
        <f t="shared" si="7"/>
        <v>Self a água, split a água - Aquecimento: sem ou resistência elétrica: ≥ 223 kW</v>
      </c>
      <c r="CL37" s="191" t="s">
        <v>419</v>
      </c>
      <c r="DA37" s="122" t="s">
        <v>247</v>
      </c>
      <c r="DB37" s="122" t="s">
        <v>1000</v>
      </c>
      <c r="DC37" s="122" t="s">
        <v>1000</v>
      </c>
      <c r="DD37" s="127">
        <v>8</v>
      </c>
      <c r="DE37" s="127">
        <v>8</v>
      </c>
      <c r="DG37" s="405" t="s">
        <v>247</v>
      </c>
      <c r="DH37" s="406" t="s">
        <v>1000</v>
      </c>
      <c r="DI37" s="406" t="str">
        <f t="shared" si="3"/>
        <v>AL, Campestre</v>
      </c>
      <c r="DJ37" s="406">
        <v>-8.8460000000000001</v>
      </c>
      <c r="DK37" s="80">
        <v>-35.567999999999998</v>
      </c>
      <c r="DL37" s="80">
        <v>117</v>
      </c>
      <c r="DM37" s="64">
        <v>8</v>
      </c>
      <c r="DN37" s="406" t="s">
        <v>6097</v>
      </c>
      <c r="DO37" s="406">
        <v>-8.67</v>
      </c>
      <c r="DP37" s="80">
        <v>180</v>
      </c>
    </row>
    <row r="38" spans="29:120" x14ac:dyDescent="0.25">
      <c r="AC38" s="122" t="s">
        <v>333</v>
      </c>
      <c r="AD38" s="122" t="s">
        <v>420</v>
      </c>
      <c r="AE38" s="127">
        <v>3</v>
      </c>
      <c r="AN38" t="s">
        <v>5822</v>
      </c>
      <c r="AO38">
        <v>18.3</v>
      </c>
      <c r="AP38">
        <v>20.5</v>
      </c>
      <c r="BC38" s="122" t="s">
        <v>332</v>
      </c>
      <c r="BD38" s="115">
        <v>2</v>
      </c>
      <c r="BE38" s="115">
        <v>0</v>
      </c>
      <c r="BF38" s="115">
        <v>0.2</v>
      </c>
      <c r="BG38" s="115">
        <v>0.2</v>
      </c>
      <c r="BH38" s="122" t="str">
        <f t="shared" si="0"/>
        <v/>
      </c>
      <c r="BM38" s="122" t="s">
        <v>332</v>
      </c>
      <c r="BN38" s="115">
        <v>5</v>
      </c>
      <c r="BO38" s="115">
        <v>0</v>
      </c>
      <c r="BP38" s="115">
        <v>0.2</v>
      </c>
      <c r="BQ38" s="115">
        <v>0.47</v>
      </c>
      <c r="BR38" s="122" t="str">
        <f t="shared" si="1"/>
        <v/>
      </c>
      <c r="BW38" s="122" t="s">
        <v>332</v>
      </c>
      <c r="BX38" s="115">
        <v>2</v>
      </c>
      <c r="BY38" s="115">
        <v>0</v>
      </c>
      <c r="BZ38" s="115">
        <v>0.2</v>
      </c>
      <c r="CA38" s="115">
        <v>0.48</v>
      </c>
      <c r="CB38" s="122" t="str">
        <f t="shared" si="2"/>
        <v/>
      </c>
      <c r="CJ38" s="231">
        <f t="shared" si="6"/>
        <v>7.2</v>
      </c>
      <c r="CK38" s="230" t="str">
        <f>CONCATENATE($CK$9,": ",CO4)</f>
        <v>Self a água, split a água  - Aquecimento: outros: ≥ 19 kW e &lt; 40 kW</v>
      </c>
      <c r="CL38" s="191" t="s">
        <v>421</v>
      </c>
      <c r="DA38" s="122" t="s">
        <v>247</v>
      </c>
      <c r="DB38" s="122" t="s">
        <v>6098</v>
      </c>
      <c r="DC38" s="122" t="s">
        <v>723</v>
      </c>
      <c r="DD38" s="127">
        <v>8</v>
      </c>
      <c r="DE38" s="127">
        <v>8</v>
      </c>
      <c r="DG38" s="405" t="s">
        <v>247</v>
      </c>
      <c r="DH38" s="406" t="s">
        <v>723</v>
      </c>
      <c r="DI38" s="406" t="str">
        <f t="shared" si="3"/>
        <v>AL, Campo Alegre</v>
      </c>
      <c r="DJ38" s="406">
        <v>-9.782</v>
      </c>
      <c r="DK38" s="80">
        <v>-36.350999999999999</v>
      </c>
      <c r="DL38" s="80">
        <v>176</v>
      </c>
      <c r="DM38" s="64">
        <v>8</v>
      </c>
      <c r="DN38" s="406" t="s">
        <v>6088</v>
      </c>
      <c r="DO38" s="406">
        <v>-9.8000000000000007</v>
      </c>
      <c r="DP38" s="80">
        <v>241</v>
      </c>
    </row>
    <row r="39" spans="29:120" x14ac:dyDescent="0.25">
      <c r="AC39" s="122" t="s">
        <v>311</v>
      </c>
      <c r="AD39" s="122" t="s">
        <v>422</v>
      </c>
      <c r="AE39" s="127">
        <v>2</v>
      </c>
      <c r="AN39" t="s">
        <v>5823</v>
      </c>
      <c r="AO39">
        <v>10.8</v>
      </c>
      <c r="AP39">
        <v>12.07</v>
      </c>
      <c r="BC39" s="122" t="s">
        <v>332</v>
      </c>
      <c r="BD39" s="115">
        <v>2</v>
      </c>
      <c r="BE39" s="115">
        <v>0.2</v>
      </c>
      <c r="BF39" s="115">
        <v>0.3</v>
      </c>
      <c r="BG39" s="115">
        <v>0.2</v>
      </c>
      <c r="BH39" s="122" t="str">
        <f t="shared" si="0"/>
        <v/>
      </c>
      <c r="BM39" s="122" t="s">
        <v>332</v>
      </c>
      <c r="BN39" s="115">
        <v>6</v>
      </c>
      <c r="BO39" s="115">
        <v>0</v>
      </c>
      <c r="BP39" s="115">
        <v>0.2</v>
      </c>
      <c r="BQ39" s="115">
        <v>0.47</v>
      </c>
      <c r="BR39" s="122" t="str">
        <f t="shared" si="1"/>
        <v/>
      </c>
      <c r="BW39" s="122" t="s">
        <v>332</v>
      </c>
      <c r="BX39" s="115">
        <v>2</v>
      </c>
      <c r="BY39" s="115">
        <v>0.2</v>
      </c>
      <c r="BZ39" s="115">
        <v>0.3</v>
      </c>
      <c r="CA39" s="115">
        <v>0.48</v>
      </c>
      <c r="CB39" s="122" t="str">
        <f t="shared" si="2"/>
        <v/>
      </c>
      <c r="CJ39" s="231">
        <f t="shared" si="6"/>
        <v>7.2</v>
      </c>
      <c r="CK39" s="230" t="str">
        <f t="shared" ref="CK39:CK41" si="8">CONCATENATE($CK$9,": ",CO5)</f>
        <v>Self a água, split a água  - Aquecimento: outros: ≥ 40 kW e &lt; 70 kW</v>
      </c>
      <c r="CL39" s="191" t="s">
        <v>421</v>
      </c>
      <c r="DA39" s="122" t="s">
        <v>247</v>
      </c>
      <c r="DB39" s="122" t="s">
        <v>6099</v>
      </c>
      <c r="DC39" s="122" t="s">
        <v>2358</v>
      </c>
      <c r="DD39" s="127">
        <v>8</v>
      </c>
      <c r="DE39" s="127">
        <v>8</v>
      </c>
      <c r="DG39" s="405" t="s">
        <v>247</v>
      </c>
      <c r="DH39" s="406" t="s">
        <v>2358</v>
      </c>
      <c r="DI39" s="406" t="str">
        <f t="shared" si="3"/>
        <v>AL, Campo Grande</v>
      </c>
      <c r="DJ39" s="406">
        <v>-9.9580000000000002</v>
      </c>
      <c r="DK39" s="80">
        <v>-36.792000000000002</v>
      </c>
      <c r="DL39" s="80">
        <v>142</v>
      </c>
      <c r="DM39" s="64">
        <v>8</v>
      </c>
      <c r="DN39" s="406" t="s">
        <v>6088</v>
      </c>
      <c r="DO39" s="406">
        <v>-9.8000000000000007</v>
      </c>
      <c r="DP39" s="80">
        <v>241</v>
      </c>
    </row>
    <row r="40" spans="29:120" x14ac:dyDescent="0.25">
      <c r="AC40" s="122" t="s">
        <v>311</v>
      </c>
      <c r="AD40" s="122" t="s">
        <v>423</v>
      </c>
      <c r="AE40" s="127">
        <v>1</v>
      </c>
      <c r="AN40" t="s">
        <v>5824</v>
      </c>
      <c r="AO40">
        <v>9.9</v>
      </c>
      <c r="AP40">
        <v>15.36</v>
      </c>
      <c r="BC40" s="122" t="s">
        <v>332</v>
      </c>
      <c r="BD40" s="115">
        <v>2</v>
      </c>
      <c r="BE40" s="115">
        <v>0.3</v>
      </c>
      <c r="BF40" s="115">
        <v>0.4</v>
      </c>
      <c r="BG40" s="115">
        <v>0.24</v>
      </c>
      <c r="BH40" s="122" t="str">
        <f t="shared" si="0"/>
        <v/>
      </c>
      <c r="BM40" s="122" t="s">
        <v>332</v>
      </c>
      <c r="BN40" s="115">
        <v>7</v>
      </c>
      <c r="BO40" s="115">
        <v>0</v>
      </c>
      <c r="BP40" s="115">
        <v>0.2</v>
      </c>
      <c r="BQ40" s="115">
        <v>0.32</v>
      </c>
      <c r="BR40" s="122" t="str">
        <f t="shared" si="1"/>
        <v/>
      </c>
      <c r="BW40" s="122" t="s">
        <v>332</v>
      </c>
      <c r="BX40" s="115">
        <v>2</v>
      </c>
      <c r="BY40" s="115">
        <v>0.3</v>
      </c>
      <c r="BZ40" s="115">
        <v>0.4</v>
      </c>
      <c r="CA40" s="115">
        <v>0.5</v>
      </c>
      <c r="CB40" s="122" t="str">
        <f t="shared" si="2"/>
        <v/>
      </c>
      <c r="CJ40" s="231">
        <f t="shared" si="6"/>
        <v>7.2</v>
      </c>
      <c r="CK40" s="230" t="str">
        <f t="shared" si="8"/>
        <v>Self a água, split a água  - Aquecimento: outros: ≥ 70 kW e &lt; 223 kW</v>
      </c>
      <c r="CL40" s="191" t="s">
        <v>424</v>
      </c>
      <c r="DA40" s="122" t="s">
        <v>247</v>
      </c>
      <c r="DB40" s="122" t="s">
        <v>2568</v>
      </c>
      <c r="DC40" s="122" t="s">
        <v>2568</v>
      </c>
      <c r="DD40" s="127">
        <v>8</v>
      </c>
      <c r="DE40" s="127">
        <v>8</v>
      </c>
      <c r="DG40" s="405" t="s">
        <v>247</v>
      </c>
      <c r="DH40" s="406" t="s">
        <v>2568</v>
      </c>
      <c r="DI40" s="406" t="str">
        <f t="shared" si="3"/>
        <v>AL, Canapi</v>
      </c>
      <c r="DJ40" s="406">
        <v>-9.1270000000000007</v>
      </c>
      <c r="DK40" s="80">
        <v>-37.604999999999997</v>
      </c>
      <c r="DL40" s="80">
        <v>342</v>
      </c>
      <c r="DM40" s="64">
        <v>8</v>
      </c>
      <c r="DN40" s="406" t="s">
        <v>6100</v>
      </c>
      <c r="DO40" s="406">
        <v>-8.51</v>
      </c>
      <c r="DP40" s="80">
        <v>448</v>
      </c>
    </row>
    <row r="41" spans="29:120" x14ac:dyDescent="0.25">
      <c r="AC41" s="122" t="s">
        <v>311</v>
      </c>
      <c r="AD41" s="122" t="s">
        <v>425</v>
      </c>
      <c r="AE41" s="127">
        <v>2</v>
      </c>
      <c r="AN41" t="s">
        <v>5825</v>
      </c>
      <c r="AO41">
        <v>18.100000000000001</v>
      </c>
      <c r="AP41">
        <v>38.880000000000003</v>
      </c>
      <c r="BC41" s="122" t="s">
        <v>332</v>
      </c>
      <c r="BD41" s="115">
        <v>2</v>
      </c>
      <c r="BE41" s="115">
        <v>0.4</v>
      </c>
      <c r="BF41" s="115">
        <v>100</v>
      </c>
      <c r="BG41" s="115">
        <v>0.28999999999999998</v>
      </c>
      <c r="BH41" s="122" t="str">
        <f t="shared" si="0"/>
        <v/>
      </c>
      <c r="BM41" s="122" t="s">
        <v>332</v>
      </c>
      <c r="BN41" s="115">
        <v>8</v>
      </c>
      <c r="BO41" s="115">
        <v>0</v>
      </c>
      <c r="BP41" s="115">
        <v>0.2</v>
      </c>
      <c r="BQ41" s="115">
        <v>0.41</v>
      </c>
      <c r="BR41" s="122" t="str">
        <f t="shared" si="1"/>
        <v/>
      </c>
      <c r="BW41" s="122" t="s">
        <v>332</v>
      </c>
      <c r="BX41" s="115">
        <v>2</v>
      </c>
      <c r="BY41" s="115">
        <v>0.4</v>
      </c>
      <c r="BZ41" s="115">
        <v>100</v>
      </c>
      <c r="CA41" s="115">
        <v>0.52</v>
      </c>
      <c r="CB41" s="122" t="str">
        <f t="shared" si="2"/>
        <v/>
      </c>
      <c r="CJ41" s="231">
        <f t="shared" si="6"/>
        <v>7.2</v>
      </c>
      <c r="CK41" s="230" t="str">
        <f t="shared" si="8"/>
        <v>Self a água, split a água  - Aquecimento: outros: ≥ 223 kW</v>
      </c>
      <c r="CL41" s="191" t="s">
        <v>426</v>
      </c>
      <c r="DA41" s="122" t="s">
        <v>247</v>
      </c>
      <c r="DB41" s="122" t="s">
        <v>2503</v>
      </c>
      <c r="DC41" s="122" t="s">
        <v>2503</v>
      </c>
      <c r="DD41" s="127">
        <v>8</v>
      </c>
      <c r="DE41" s="127">
        <v>8</v>
      </c>
      <c r="DG41" s="405" t="s">
        <v>247</v>
      </c>
      <c r="DH41" s="406" t="s">
        <v>2503</v>
      </c>
      <c r="DI41" s="406" t="str">
        <f t="shared" si="3"/>
        <v>AL, Capela</v>
      </c>
      <c r="DJ41" s="406">
        <v>-9.4079999999999995</v>
      </c>
      <c r="DK41" s="80">
        <v>-36.073999999999998</v>
      </c>
      <c r="DL41" s="80">
        <v>84</v>
      </c>
      <c r="DM41" s="64">
        <v>8</v>
      </c>
      <c r="DN41" s="406" t="s">
        <v>6089</v>
      </c>
      <c r="DO41" s="406">
        <v>-9.67</v>
      </c>
      <c r="DP41" s="80">
        <v>64</v>
      </c>
    </row>
    <row r="42" spans="29:120" x14ac:dyDescent="0.25">
      <c r="AC42" s="122" t="s">
        <v>376</v>
      </c>
      <c r="AD42" s="122" t="s">
        <v>427</v>
      </c>
      <c r="AE42" s="127">
        <v>3</v>
      </c>
      <c r="AN42" t="s">
        <v>5826</v>
      </c>
      <c r="AO42">
        <v>10.75</v>
      </c>
      <c r="AP42">
        <v>15.2</v>
      </c>
      <c r="BC42" s="122" t="s">
        <v>332</v>
      </c>
      <c r="BD42" s="115">
        <v>3</v>
      </c>
      <c r="BE42" s="115">
        <v>0</v>
      </c>
      <c r="BF42" s="115">
        <v>0.2</v>
      </c>
      <c r="BG42" s="115">
        <v>0.16</v>
      </c>
      <c r="BH42" s="122" t="str">
        <f t="shared" si="0"/>
        <v/>
      </c>
      <c r="BM42" s="122" t="s">
        <v>332</v>
      </c>
      <c r="BN42" s="115">
        <v>1</v>
      </c>
      <c r="BO42" s="115">
        <v>0.2</v>
      </c>
      <c r="BP42" s="115">
        <v>0.3</v>
      </c>
      <c r="BQ42" s="115">
        <v>0.59</v>
      </c>
      <c r="BR42" s="122" t="str">
        <f t="shared" si="1"/>
        <v/>
      </c>
      <c r="BW42" s="122" t="s">
        <v>332</v>
      </c>
      <c r="BX42" s="115">
        <v>3</v>
      </c>
      <c r="BY42" s="115">
        <v>0</v>
      </c>
      <c r="BZ42" s="115">
        <v>0.2</v>
      </c>
      <c r="CA42" s="115">
        <v>0.5</v>
      </c>
      <c r="CB42" s="122" t="str">
        <f t="shared" si="2"/>
        <v/>
      </c>
      <c r="CJ42" s="231">
        <v>7.3</v>
      </c>
      <c r="CK42" s="230" t="str">
        <f>CONCATENATE($CK$10,": ",CP4)</f>
        <v>Multi-split VRF a ar (sem ciclo reverso): &lt; 19 kW</v>
      </c>
      <c r="CL42" s="191" t="s">
        <v>428</v>
      </c>
      <c r="DA42" s="122" t="s">
        <v>247</v>
      </c>
      <c r="DB42" s="122" t="s">
        <v>2624</v>
      </c>
      <c r="DC42" s="122" t="s">
        <v>2624</v>
      </c>
      <c r="DD42" s="127">
        <v>8</v>
      </c>
      <c r="DE42" s="127">
        <v>8</v>
      </c>
      <c r="DG42" s="405" t="s">
        <v>247</v>
      </c>
      <c r="DH42" s="406" t="s">
        <v>2624</v>
      </c>
      <c r="DI42" s="406" t="str">
        <f t="shared" si="3"/>
        <v>AL, Carneiros</v>
      </c>
      <c r="DJ42" s="406">
        <v>-9.4830000000000005</v>
      </c>
      <c r="DK42" s="80">
        <v>-37.377000000000002</v>
      </c>
      <c r="DL42" s="80">
        <v>347</v>
      </c>
      <c r="DM42" s="64">
        <v>8</v>
      </c>
      <c r="DN42" s="406" t="s">
        <v>6093</v>
      </c>
      <c r="DO42" s="406">
        <v>-9.75</v>
      </c>
      <c r="DP42" s="80">
        <v>19</v>
      </c>
    </row>
    <row r="43" spans="29:120" x14ac:dyDescent="0.25">
      <c r="AC43" s="122" t="s">
        <v>27</v>
      </c>
      <c r="AD43" s="122" t="s">
        <v>429</v>
      </c>
      <c r="AE43" s="127">
        <v>2</v>
      </c>
      <c r="AN43" t="s">
        <v>5827</v>
      </c>
      <c r="AO43">
        <v>14.45</v>
      </c>
      <c r="AP43">
        <v>22.85</v>
      </c>
      <c r="BC43" s="122" t="s">
        <v>332</v>
      </c>
      <c r="BD43" s="115">
        <v>3</v>
      </c>
      <c r="BE43" s="115">
        <v>0.2</v>
      </c>
      <c r="BF43" s="115">
        <v>0.3</v>
      </c>
      <c r="BG43" s="115">
        <v>0.17</v>
      </c>
      <c r="BH43" s="122" t="str">
        <f t="shared" si="0"/>
        <v/>
      </c>
      <c r="BM43" s="122" t="s">
        <v>332</v>
      </c>
      <c r="BN43" s="115">
        <v>2</v>
      </c>
      <c r="BO43" s="115">
        <v>0.2</v>
      </c>
      <c r="BP43" s="115">
        <v>0.3</v>
      </c>
      <c r="BQ43" s="115">
        <v>0.51</v>
      </c>
      <c r="BR43" s="122" t="str">
        <f t="shared" si="1"/>
        <v/>
      </c>
      <c r="BW43" s="122" t="s">
        <v>332</v>
      </c>
      <c r="BX43" s="115">
        <v>3</v>
      </c>
      <c r="BY43" s="115">
        <v>0.2</v>
      </c>
      <c r="BZ43" s="115">
        <v>0.3</v>
      </c>
      <c r="CA43" s="115">
        <v>0.5</v>
      </c>
      <c r="CB43" s="122" t="str">
        <f t="shared" si="2"/>
        <v/>
      </c>
      <c r="CJ43" s="231">
        <f t="shared" si="6"/>
        <v>7.3</v>
      </c>
      <c r="CK43" s="230" t="str">
        <f t="shared" ref="CK43:CK45" si="9">CONCATENATE($CK$10,": ",CP5)</f>
        <v>Multi-split VRF a ar (sem ciclo reverso): ≥ 19 kW e &lt; 40 kW</v>
      </c>
      <c r="CL43" s="191" t="s">
        <v>430</v>
      </c>
      <c r="DA43" s="122" t="s">
        <v>247</v>
      </c>
      <c r="DB43" s="122" t="s">
        <v>6101</v>
      </c>
      <c r="DC43" s="122" t="s">
        <v>2603</v>
      </c>
      <c r="DD43" s="127">
        <v>8</v>
      </c>
      <c r="DE43" s="127">
        <v>8</v>
      </c>
      <c r="DG43" s="405" t="s">
        <v>247</v>
      </c>
      <c r="DH43" s="406" t="s">
        <v>2603</v>
      </c>
      <c r="DI43" s="406" t="str">
        <f t="shared" si="3"/>
        <v>AL, Chã Preta</v>
      </c>
      <c r="DJ43" s="406">
        <v>-9.2550000000000008</v>
      </c>
      <c r="DK43" s="80">
        <v>-36.295999999999999</v>
      </c>
      <c r="DL43" s="80">
        <v>463</v>
      </c>
      <c r="DM43" s="64">
        <v>8</v>
      </c>
      <c r="DN43" s="406" t="s">
        <v>6094</v>
      </c>
      <c r="DO43" s="406">
        <v>-9.41</v>
      </c>
      <c r="DP43" s="80">
        <v>275</v>
      </c>
    </row>
    <row r="44" spans="29:120" x14ac:dyDescent="0.25">
      <c r="AC44" s="122" t="s">
        <v>27</v>
      </c>
      <c r="AD44" s="122" t="s">
        <v>431</v>
      </c>
      <c r="AE44" s="127">
        <v>2</v>
      </c>
      <c r="AN44" t="s">
        <v>5828</v>
      </c>
      <c r="AO44">
        <v>18.100000000000001</v>
      </c>
      <c r="AP44">
        <v>28.64</v>
      </c>
      <c r="BC44" s="122" t="s">
        <v>332</v>
      </c>
      <c r="BD44" s="115">
        <v>3</v>
      </c>
      <c r="BE44" s="115">
        <v>0.3</v>
      </c>
      <c r="BF44" s="115">
        <v>0.4</v>
      </c>
      <c r="BG44" s="115">
        <v>0.2</v>
      </c>
      <c r="BH44" s="122" t="str">
        <f t="shared" si="0"/>
        <v/>
      </c>
      <c r="BM44" s="122" t="s">
        <v>332</v>
      </c>
      <c r="BN44" s="115">
        <v>3</v>
      </c>
      <c r="BO44" s="115">
        <v>0.2</v>
      </c>
      <c r="BP44" s="115">
        <v>0.3</v>
      </c>
      <c r="BQ44" s="115">
        <v>0.53</v>
      </c>
      <c r="BR44" s="122" t="str">
        <f t="shared" si="1"/>
        <v/>
      </c>
      <c r="BW44" s="122" t="s">
        <v>332</v>
      </c>
      <c r="BX44" s="115">
        <v>3</v>
      </c>
      <c r="BY44" s="115">
        <v>0.3</v>
      </c>
      <c r="BZ44" s="115">
        <v>0.4</v>
      </c>
      <c r="CA44" s="115">
        <v>0.51</v>
      </c>
      <c r="CB44" s="122" t="str">
        <f t="shared" si="2"/>
        <v/>
      </c>
      <c r="CJ44" s="231">
        <f t="shared" si="6"/>
        <v>7.3</v>
      </c>
      <c r="CK44" s="230" t="str">
        <f t="shared" si="9"/>
        <v>Multi-split VRF a ar (sem ciclo reverso): ≥ 40 kW e &lt; 70 kW</v>
      </c>
      <c r="CL44" s="191" t="s">
        <v>432</v>
      </c>
      <c r="DA44" s="122" t="s">
        <v>247</v>
      </c>
      <c r="DB44" s="122" t="s">
        <v>6102</v>
      </c>
      <c r="DC44" s="122" t="s">
        <v>2438</v>
      </c>
      <c r="DD44" s="127">
        <v>8</v>
      </c>
      <c r="DE44" s="127">
        <v>8</v>
      </c>
      <c r="DG44" s="405" t="s">
        <v>247</v>
      </c>
      <c r="DH44" s="406" t="s">
        <v>2438</v>
      </c>
      <c r="DI44" s="406" t="str">
        <f t="shared" si="3"/>
        <v>AL, Coité do Nóia</v>
      </c>
      <c r="DJ44" s="406">
        <v>-9.6319999999999997</v>
      </c>
      <c r="DK44" s="80">
        <v>-36.579000000000001</v>
      </c>
      <c r="DL44" s="80">
        <v>280</v>
      </c>
      <c r="DM44" s="64">
        <v>8</v>
      </c>
      <c r="DN44" s="406" t="s">
        <v>6088</v>
      </c>
      <c r="DO44" s="406">
        <v>-9.8000000000000007</v>
      </c>
      <c r="DP44" s="80">
        <v>241</v>
      </c>
    </row>
    <row r="45" spans="29:120" x14ac:dyDescent="0.25">
      <c r="AC45" s="122" t="s">
        <v>27</v>
      </c>
      <c r="AD45" s="122" t="s">
        <v>433</v>
      </c>
      <c r="AE45" s="127">
        <v>2</v>
      </c>
      <c r="AN45" t="s">
        <v>5829</v>
      </c>
      <c r="AO45">
        <v>14.4</v>
      </c>
      <c r="AP45">
        <v>19.68</v>
      </c>
      <c r="BC45" s="122" t="s">
        <v>332</v>
      </c>
      <c r="BD45" s="115">
        <v>3</v>
      </c>
      <c r="BE45" s="115">
        <v>0.4</v>
      </c>
      <c r="BF45" s="115">
        <v>100</v>
      </c>
      <c r="BG45" s="115">
        <v>0.25</v>
      </c>
      <c r="BH45" s="122" t="str">
        <f t="shared" si="0"/>
        <v/>
      </c>
      <c r="BM45" s="122" t="s">
        <v>332</v>
      </c>
      <c r="BN45" s="115">
        <v>4</v>
      </c>
      <c r="BO45" s="115">
        <v>0.2</v>
      </c>
      <c r="BP45" s="115">
        <v>0.3</v>
      </c>
      <c r="BQ45" s="115">
        <v>0.56999999999999995</v>
      </c>
      <c r="BR45" s="122" t="str">
        <f t="shared" si="1"/>
        <v/>
      </c>
      <c r="BW45" s="122" t="s">
        <v>332</v>
      </c>
      <c r="BX45" s="115">
        <v>3</v>
      </c>
      <c r="BY45" s="115">
        <v>0.4</v>
      </c>
      <c r="BZ45" s="115">
        <v>100</v>
      </c>
      <c r="CA45" s="115">
        <v>0.53</v>
      </c>
      <c r="CB45" s="122" t="str">
        <f t="shared" si="2"/>
        <v/>
      </c>
      <c r="CJ45" s="231">
        <f t="shared" si="6"/>
        <v>7.3</v>
      </c>
      <c r="CK45" s="230" t="str">
        <f t="shared" si="9"/>
        <v>Multi-split VRF a ar (sem ciclo reverso): ≥ 70 kW</v>
      </c>
      <c r="CL45" s="191" t="s">
        <v>414</v>
      </c>
      <c r="DA45" s="122" t="s">
        <v>247</v>
      </c>
      <c r="DB45" s="122" t="s">
        <v>6103</v>
      </c>
      <c r="DC45" s="122" t="s">
        <v>5376</v>
      </c>
      <c r="DD45" s="127">
        <v>8</v>
      </c>
      <c r="DE45" s="127">
        <v>8</v>
      </c>
      <c r="DG45" s="405" t="s">
        <v>247</v>
      </c>
      <c r="DH45" s="406" t="s">
        <v>5376</v>
      </c>
      <c r="DI45" s="406" t="str">
        <f t="shared" si="3"/>
        <v>AL, Colônia Leopoldina</v>
      </c>
      <c r="DJ45" s="406">
        <v>-8.9090000000000007</v>
      </c>
      <c r="DK45" s="80">
        <v>-35.725000000000001</v>
      </c>
      <c r="DL45" s="80">
        <v>140</v>
      </c>
      <c r="DM45" s="64">
        <v>8</v>
      </c>
      <c r="DN45" s="406" t="s">
        <v>6097</v>
      </c>
      <c r="DO45" s="406">
        <v>-8.67</v>
      </c>
      <c r="DP45" s="80">
        <v>180</v>
      </c>
    </row>
    <row r="46" spans="29:120" x14ac:dyDescent="0.25">
      <c r="AC46" s="122" t="s">
        <v>311</v>
      </c>
      <c r="AD46" s="122" t="s">
        <v>434</v>
      </c>
      <c r="AE46" s="127">
        <v>2</v>
      </c>
      <c r="AN46" t="s">
        <v>5830</v>
      </c>
      <c r="AO46">
        <v>9.0500000000000007</v>
      </c>
      <c r="AP46">
        <v>15.68</v>
      </c>
      <c r="BC46" s="122" t="s">
        <v>332</v>
      </c>
      <c r="BD46" s="115">
        <v>4</v>
      </c>
      <c r="BE46" s="115">
        <v>0</v>
      </c>
      <c r="BF46" s="115">
        <v>0.2</v>
      </c>
      <c r="BG46" s="115">
        <v>0.21</v>
      </c>
      <c r="BH46" s="122" t="str">
        <f t="shared" si="0"/>
        <v/>
      </c>
      <c r="BM46" s="122" t="s">
        <v>332</v>
      </c>
      <c r="BN46" s="115">
        <v>5</v>
      </c>
      <c r="BO46" s="115">
        <v>0.2</v>
      </c>
      <c r="BP46" s="115">
        <v>0.3</v>
      </c>
      <c r="BQ46" s="115">
        <v>0.47</v>
      </c>
      <c r="BR46" s="122" t="str">
        <f t="shared" si="1"/>
        <v/>
      </c>
      <c r="BW46" s="122" t="s">
        <v>332</v>
      </c>
      <c r="BX46" s="115">
        <v>4</v>
      </c>
      <c r="BY46" s="115">
        <v>0</v>
      </c>
      <c r="BZ46" s="115">
        <v>0.2</v>
      </c>
      <c r="CA46" s="115">
        <v>0.52</v>
      </c>
      <c r="CB46" s="122" t="str">
        <f t="shared" si="2"/>
        <v/>
      </c>
      <c r="CJ46" s="231">
        <v>7.4</v>
      </c>
      <c r="CK46" s="230" t="str">
        <f>CONCATENATE($CK$11,": ",CP4)</f>
        <v>Multi-split VRF a ar (ciclo reverso): &lt; 19 kW</v>
      </c>
      <c r="CL46" s="191" t="s">
        <v>428</v>
      </c>
      <c r="DA46" s="122" t="s">
        <v>247</v>
      </c>
      <c r="DB46" s="122" t="s">
        <v>6104</v>
      </c>
      <c r="DC46" s="122" t="s">
        <v>5104</v>
      </c>
      <c r="DD46" s="127">
        <v>8</v>
      </c>
      <c r="DE46" s="127">
        <v>8</v>
      </c>
      <c r="DG46" s="405" t="s">
        <v>247</v>
      </c>
      <c r="DH46" s="406" t="s">
        <v>5104</v>
      </c>
      <c r="DI46" s="406" t="str">
        <f t="shared" si="3"/>
        <v>AL, Coqueiro Seco</v>
      </c>
      <c r="DJ46" s="406">
        <v>-9.6379999999999999</v>
      </c>
      <c r="DK46" s="80">
        <v>-35.802999999999997</v>
      </c>
      <c r="DL46" s="80">
        <v>31</v>
      </c>
      <c r="DM46" s="64">
        <v>8</v>
      </c>
      <c r="DN46" s="406" t="s">
        <v>6089</v>
      </c>
      <c r="DO46" s="406">
        <v>-9.67</v>
      </c>
      <c r="DP46" s="80">
        <v>64</v>
      </c>
    </row>
    <row r="47" spans="29:120" x14ac:dyDescent="0.25">
      <c r="AC47" s="122" t="s">
        <v>311</v>
      </c>
      <c r="AD47" s="122" t="s">
        <v>435</v>
      </c>
      <c r="AE47" s="127">
        <v>2</v>
      </c>
      <c r="AN47" t="s">
        <v>5831</v>
      </c>
      <c r="AO47">
        <v>8.4</v>
      </c>
      <c r="AP47">
        <v>18.399999999999999</v>
      </c>
      <c r="BC47" s="122" t="s">
        <v>332</v>
      </c>
      <c r="BD47" s="115">
        <v>4</v>
      </c>
      <c r="BE47" s="115">
        <v>0.2</v>
      </c>
      <c r="BF47" s="115">
        <v>0.3</v>
      </c>
      <c r="BG47" s="115">
        <v>0.21</v>
      </c>
      <c r="BH47" s="122" t="str">
        <f t="shared" si="0"/>
        <v/>
      </c>
      <c r="BM47" s="122" t="s">
        <v>332</v>
      </c>
      <c r="BN47" s="115">
        <v>6</v>
      </c>
      <c r="BO47" s="115">
        <v>0.2</v>
      </c>
      <c r="BP47" s="115">
        <v>0.3</v>
      </c>
      <c r="BQ47" s="115">
        <v>0.47</v>
      </c>
      <c r="BR47" s="122" t="str">
        <f t="shared" si="1"/>
        <v/>
      </c>
      <c r="BW47" s="122" t="s">
        <v>332</v>
      </c>
      <c r="BX47" s="115">
        <v>4</v>
      </c>
      <c r="BY47" s="115">
        <v>0.2</v>
      </c>
      <c r="BZ47" s="115">
        <v>0.3</v>
      </c>
      <c r="CA47" s="115">
        <v>0.53</v>
      </c>
      <c r="CB47" s="122" t="str">
        <f t="shared" si="2"/>
        <v/>
      </c>
      <c r="CJ47" s="231">
        <f t="shared" si="6"/>
        <v>7.4</v>
      </c>
      <c r="CK47" s="230" t="str">
        <f t="shared" ref="CK47:CK49" si="10">CONCATENATE($CK$11,": ",CP5)</f>
        <v>Multi-split VRF a ar (ciclo reverso): ≥ 19 kW e &lt; 40 kW</v>
      </c>
      <c r="CL47" s="191" t="s">
        <v>436</v>
      </c>
      <c r="DA47" s="122" t="s">
        <v>247</v>
      </c>
      <c r="DB47" s="122" t="s">
        <v>5077</v>
      </c>
      <c r="DC47" s="122" t="s">
        <v>5077</v>
      </c>
      <c r="DD47" s="127">
        <v>8</v>
      </c>
      <c r="DE47" s="127">
        <v>8</v>
      </c>
      <c r="DG47" s="405" t="s">
        <v>247</v>
      </c>
      <c r="DH47" s="406" t="s">
        <v>5077</v>
      </c>
      <c r="DI47" s="406" t="str">
        <f t="shared" si="3"/>
        <v>AL, Coruripe</v>
      </c>
      <c r="DJ47" s="406">
        <v>-10.125999999999999</v>
      </c>
      <c r="DK47" s="80">
        <v>-36.176000000000002</v>
      </c>
      <c r="DL47" s="80">
        <v>16</v>
      </c>
      <c r="DM47" s="64">
        <v>8</v>
      </c>
      <c r="DN47" s="406" t="s">
        <v>6105</v>
      </c>
      <c r="DO47" s="406">
        <v>-10.130000000000001</v>
      </c>
      <c r="DP47" s="80">
        <v>74</v>
      </c>
    </row>
    <row r="48" spans="29:120" x14ac:dyDescent="0.25">
      <c r="AC48" s="122" t="s">
        <v>236</v>
      </c>
      <c r="AD48" s="122" t="s">
        <v>437</v>
      </c>
      <c r="AE48" s="127">
        <v>2</v>
      </c>
      <c r="AN48" t="s">
        <v>5832</v>
      </c>
      <c r="AO48">
        <v>11.1</v>
      </c>
      <c r="AP48">
        <v>19.84</v>
      </c>
      <c r="BC48" s="122" t="s">
        <v>332</v>
      </c>
      <c r="BD48" s="115">
        <v>4</v>
      </c>
      <c r="BE48" s="115">
        <v>0.3</v>
      </c>
      <c r="BF48" s="115">
        <v>0.4</v>
      </c>
      <c r="BG48" s="115">
        <v>0.26</v>
      </c>
      <c r="BH48" s="122" t="str">
        <f t="shared" si="0"/>
        <v/>
      </c>
      <c r="BM48" s="122" t="s">
        <v>332</v>
      </c>
      <c r="BN48" s="115">
        <v>7</v>
      </c>
      <c r="BO48" s="115">
        <v>0.2</v>
      </c>
      <c r="BP48" s="115">
        <v>0.3</v>
      </c>
      <c r="BQ48" s="115">
        <v>0.32</v>
      </c>
      <c r="BR48" s="122" t="str">
        <f t="shared" si="1"/>
        <v/>
      </c>
      <c r="BW48" s="122" t="s">
        <v>332</v>
      </c>
      <c r="BX48" s="115">
        <v>4</v>
      </c>
      <c r="BY48" s="115">
        <v>0.3</v>
      </c>
      <c r="BZ48" s="115">
        <v>0.4</v>
      </c>
      <c r="CA48" s="115">
        <v>0.54</v>
      </c>
      <c r="CB48" s="122" t="str">
        <f t="shared" si="2"/>
        <v/>
      </c>
      <c r="CJ48" s="231">
        <f t="shared" si="6"/>
        <v>7.4</v>
      </c>
      <c r="CK48" s="230" t="str">
        <f t="shared" si="10"/>
        <v>Multi-split VRF a ar (ciclo reverso): ≥ 40 kW e &lt; 70 kW</v>
      </c>
      <c r="CL48" s="191" t="s">
        <v>414</v>
      </c>
      <c r="DA48" s="122" t="s">
        <v>247</v>
      </c>
      <c r="DB48" s="122" t="s">
        <v>5331</v>
      </c>
      <c r="DC48" s="122" t="s">
        <v>5331</v>
      </c>
      <c r="DD48" s="127">
        <v>8</v>
      </c>
      <c r="DE48" s="127">
        <v>8</v>
      </c>
      <c r="DG48" s="405" t="s">
        <v>247</v>
      </c>
      <c r="DH48" s="406" t="s">
        <v>5331</v>
      </c>
      <c r="DI48" s="406" t="str">
        <f t="shared" si="3"/>
        <v>AL, Craíbas</v>
      </c>
      <c r="DJ48" s="406">
        <v>-9.6180000000000003</v>
      </c>
      <c r="DK48" s="80">
        <v>-36.768000000000001</v>
      </c>
      <c r="DL48" s="80">
        <v>252</v>
      </c>
      <c r="DM48" s="64">
        <v>8</v>
      </c>
      <c r="DN48" s="406" t="s">
        <v>6088</v>
      </c>
      <c r="DO48" s="406">
        <v>-9.8000000000000007</v>
      </c>
      <c r="DP48" s="80">
        <v>241</v>
      </c>
    </row>
    <row r="49" spans="29:120" x14ac:dyDescent="0.25">
      <c r="AC49" s="122" t="s">
        <v>27</v>
      </c>
      <c r="AD49" s="122" t="s">
        <v>438</v>
      </c>
      <c r="AE49" s="127">
        <v>2</v>
      </c>
      <c r="AN49" t="s">
        <v>5833</v>
      </c>
      <c r="AO49">
        <v>9.4</v>
      </c>
      <c r="AP49">
        <v>15.04</v>
      </c>
      <c r="BC49" s="122" t="s">
        <v>332</v>
      </c>
      <c r="BD49" s="115">
        <v>4</v>
      </c>
      <c r="BE49" s="115">
        <v>0.4</v>
      </c>
      <c r="BF49" s="115">
        <v>100</v>
      </c>
      <c r="BG49" s="115">
        <v>0.31</v>
      </c>
      <c r="BH49" s="122" t="str">
        <f t="shared" si="0"/>
        <v/>
      </c>
      <c r="BM49" s="122" t="s">
        <v>332</v>
      </c>
      <c r="BN49" s="115">
        <v>8</v>
      </c>
      <c r="BO49" s="115">
        <v>0.2</v>
      </c>
      <c r="BP49" s="115">
        <v>0.3</v>
      </c>
      <c r="BQ49" s="115">
        <v>0.42</v>
      </c>
      <c r="BR49" s="122" t="str">
        <f t="shared" si="1"/>
        <v/>
      </c>
      <c r="BW49" s="122" t="s">
        <v>332</v>
      </c>
      <c r="BX49" s="115">
        <v>4</v>
      </c>
      <c r="BY49" s="115">
        <v>0.4</v>
      </c>
      <c r="BZ49" s="115">
        <v>100</v>
      </c>
      <c r="CA49" s="115">
        <v>0.56999999999999995</v>
      </c>
      <c r="CB49" s="122" t="str">
        <f t="shared" si="2"/>
        <v/>
      </c>
      <c r="CJ49" s="231">
        <f t="shared" si="6"/>
        <v>7.4</v>
      </c>
      <c r="CK49" s="230" t="str">
        <f t="shared" si="10"/>
        <v>Multi-split VRF a ar (ciclo reverso): ≥ 70 kW</v>
      </c>
      <c r="CL49" s="191" t="s">
        <v>404</v>
      </c>
      <c r="DA49" s="122" t="s">
        <v>247</v>
      </c>
      <c r="DB49" s="122" t="s">
        <v>6106</v>
      </c>
      <c r="DC49" s="122" t="s">
        <v>2625</v>
      </c>
      <c r="DD49" s="127">
        <v>5</v>
      </c>
      <c r="DE49" s="127">
        <v>5</v>
      </c>
      <c r="DG49" s="405" t="s">
        <v>247</v>
      </c>
      <c r="DH49" s="406" t="s">
        <v>2625</v>
      </c>
      <c r="DI49" s="406" t="str">
        <f t="shared" si="3"/>
        <v>AL, Delmiro Gouveia</v>
      </c>
      <c r="DJ49" s="406">
        <v>-9.3859999999999992</v>
      </c>
      <c r="DK49" s="80">
        <v>-37.996000000000002</v>
      </c>
      <c r="DL49" s="80">
        <v>256</v>
      </c>
      <c r="DM49" s="64">
        <v>5</v>
      </c>
      <c r="DN49" s="406" t="s">
        <v>6087</v>
      </c>
      <c r="DO49" s="406">
        <v>-9.41</v>
      </c>
      <c r="DP49" s="80">
        <v>253</v>
      </c>
    </row>
    <row r="50" spans="29:120" x14ac:dyDescent="0.25">
      <c r="AC50" s="122" t="s">
        <v>323</v>
      </c>
      <c r="AD50" s="122" t="s">
        <v>439</v>
      </c>
      <c r="AE50" s="127">
        <v>8</v>
      </c>
      <c r="AN50" t="s">
        <v>5834</v>
      </c>
      <c r="AO50">
        <v>23.35</v>
      </c>
      <c r="AP50">
        <v>32.479999999999997</v>
      </c>
      <c r="BC50" s="122" t="s">
        <v>332</v>
      </c>
      <c r="BD50" s="115">
        <v>5</v>
      </c>
      <c r="BE50" s="115">
        <v>0</v>
      </c>
      <c r="BF50" s="115">
        <v>0.2</v>
      </c>
      <c r="BG50" s="115">
        <v>0.15</v>
      </c>
      <c r="BH50" s="122" t="str">
        <f t="shared" si="0"/>
        <v/>
      </c>
      <c r="BM50" s="122" t="s">
        <v>332</v>
      </c>
      <c r="BN50" s="115">
        <v>1</v>
      </c>
      <c r="BO50" s="115">
        <v>0.3</v>
      </c>
      <c r="BP50" s="115">
        <v>0.4</v>
      </c>
      <c r="BQ50" s="115">
        <v>0.61</v>
      </c>
      <c r="BR50" s="122" t="str">
        <f t="shared" si="1"/>
        <v/>
      </c>
      <c r="BW50" s="122" t="s">
        <v>332</v>
      </c>
      <c r="BX50" s="115">
        <v>5</v>
      </c>
      <c r="BY50" s="115">
        <v>0</v>
      </c>
      <c r="BZ50" s="115">
        <v>0.2</v>
      </c>
      <c r="CA50" s="115">
        <v>0.46</v>
      </c>
      <c r="CB50" s="122" t="str">
        <f t="shared" si="2"/>
        <v/>
      </c>
      <c r="CJ50" s="231">
        <f t="shared" si="6"/>
        <v>7.4</v>
      </c>
      <c r="CK50" s="230" t="str">
        <f>CONCATENATE($CK$12,": ",CU4)</f>
        <v>Multi-split VRF a ar (ciclo reverso) - refrigeração e aquecimento simultâneos : ≥ 19 kW e &lt; 40 kW</v>
      </c>
      <c r="CL50" s="191" t="s">
        <v>440</v>
      </c>
      <c r="DA50" s="122" t="s">
        <v>247</v>
      </c>
      <c r="DB50" s="122" t="s">
        <v>6107</v>
      </c>
      <c r="DC50" s="122" t="s">
        <v>2601</v>
      </c>
      <c r="DD50" s="127">
        <v>8</v>
      </c>
      <c r="DE50" s="127">
        <v>8</v>
      </c>
      <c r="DG50" s="405" t="s">
        <v>247</v>
      </c>
      <c r="DH50" s="406" t="s">
        <v>2601</v>
      </c>
      <c r="DI50" s="406" t="str">
        <f t="shared" si="3"/>
        <v>AL, Dois Riachos</v>
      </c>
      <c r="DJ50" s="406">
        <v>-9.3930000000000007</v>
      </c>
      <c r="DK50" s="80">
        <v>-37.100999999999999</v>
      </c>
      <c r="DL50" s="80">
        <v>245</v>
      </c>
      <c r="DM50" s="64">
        <v>8</v>
      </c>
      <c r="DN50" s="406" t="s">
        <v>6094</v>
      </c>
      <c r="DO50" s="406">
        <v>-9.41</v>
      </c>
      <c r="DP50" s="80">
        <v>275</v>
      </c>
    </row>
    <row r="51" spans="29:120" x14ac:dyDescent="0.25">
      <c r="AC51" s="122" t="s">
        <v>358</v>
      </c>
      <c r="AD51" s="122" t="s">
        <v>441</v>
      </c>
      <c r="AE51" s="127">
        <v>3</v>
      </c>
      <c r="AN51" t="s">
        <v>5835</v>
      </c>
      <c r="AO51">
        <v>6.65</v>
      </c>
      <c r="AP51">
        <v>10.72</v>
      </c>
      <c r="BC51" s="122" t="s">
        <v>332</v>
      </c>
      <c r="BD51" s="115">
        <v>5</v>
      </c>
      <c r="BE51" s="115">
        <v>0.2</v>
      </c>
      <c r="BF51" s="115">
        <v>0.3</v>
      </c>
      <c r="BG51" s="115">
        <v>0.16</v>
      </c>
      <c r="BH51" s="122" t="str">
        <f t="shared" si="0"/>
        <v/>
      </c>
      <c r="BM51" s="122" t="s">
        <v>332</v>
      </c>
      <c r="BN51" s="115">
        <v>2</v>
      </c>
      <c r="BO51" s="115">
        <v>0.3</v>
      </c>
      <c r="BP51" s="115">
        <v>0.4</v>
      </c>
      <c r="BQ51" s="115">
        <v>0.53</v>
      </c>
      <c r="BR51" s="122" t="str">
        <f t="shared" si="1"/>
        <v/>
      </c>
      <c r="BW51" s="122" t="s">
        <v>332</v>
      </c>
      <c r="BX51" s="115">
        <v>5</v>
      </c>
      <c r="BY51" s="115">
        <v>0.2</v>
      </c>
      <c r="BZ51" s="115">
        <v>0.3</v>
      </c>
      <c r="CA51" s="115">
        <v>0.46</v>
      </c>
      <c r="CB51" s="122" t="str">
        <f t="shared" si="2"/>
        <v/>
      </c>
      <c r="CJ51" s="231">
        <f t="shared" si="6"/>
        <v>7.4</v>
      </c>
      <c r="CK51" s="230" t="str">
        <f t="shared" ref="CK51:CK52" si="11">CONCATENATE($CK$12,": ",CU5)</f>
        <v>Multi-split VRF a ar (ciclo reverso) - refrigeração e aquecimento simultâneos : ≥ 40 kW e &lt; 70 kW</v>
      </c>
      <c r="CL51" s="191" t="s">
        <v>442</v>
      </c>
      <c r="DA51" s="122" t="s">
        <v>247</v>
      </c>
      <c r="DB51" s="122" t="s">
        <v>6108</v>
      </c>
      <c r="DC51" s="122" t="s">
        <v>1922</v>
      </c>
      <c r="DD51" s="127">
        <v>8</v>
      </c>
      <c r="DE51" s="127">
        <v>8</v>
      </c>
      <c r="DG51" s="405" t="s">
        <v>247</v>
      </c>
      <c r="DH51" s="406" t="s">
        <v>1922</v>
      </c>
      <c r="DI51" s="406" t="str">
        <f t="shared" si="3"/>
        <v>AL, Estrela de Alagoas</v>
      </c>
      <c r="DJ51" s="406">
        <v>-9.39</v>
      </c>
      <c r="DK51" s="80">
        <v>-36.76</v>
      </c>
      <c r="DL51" s="80">
        <v>297</v>
      </c>
      <c r="DM51" s="64">
        <v>8</v>
      </c>
      <c r="DN51" s="406" t="s">
        <v>6094</v>
      </c>
      <c r="DO51" s="406">
        <v>-9.41</v>
      </c>
      <c r="DP51" s="80">
        <v>275</v>
      </c>
    </row>
    <row r="52" spans="29:120" x14ac:dyDescent="0.25">
      <c r="AC52" s="122" t="s">
        <v>236</v>
      </c>
      <c r="AD52" s="122" t="s">
        <v>443</v>
      </c>
      <c r="AE52" s="127">
        <v>2</v>
      </c>
      <c r="AN52" t="s">
        <v>5836</v>
      </c>
      <c r="AO52">
        <v>5.8</v>
      </c>
      <c r="AP52">
        <v>21.92</v>
      </c>
      <c r="BC52" s="122" t="s">
        <v>332</v>
      </c>
      <c r="BD52" s="115">
        <v>5</v>
      </c>
      <c r="BE52" s="115">
        <v>0.3</v>
      </c>
      <c r="BF52" s="115">
        <v>0.4</v>
      </c>
      <c r="BG52" s="115">
        <v>0.19</v>
      </c>
      <c r="BH52" s="122" t="str">
        <f t="shared" si="0"/>
        <v/>
      </c>
      <c r="BM52" s="122" t="s">
        <v>332</v>
      </c>
      <c r="BN52" s="115">
        <v>3</v>
      </c>
      <c r="BO52" s="115">
        <v>0.3</v>
      </c>
      <c r="BP52" s="115">
        <v>0.4</v>
      </c>
      <c r="BQ52" s="115">
        <v>0.54</v>
      </c>
      <c r="BR52" s="122" t="str">
        <f t="shared" si="1"/>
        <v/>
      </c>
      <c r="BW52" s="122" t="s">
        <v>332</v>
      </c>
      <c r="BX52" s="115">
        <v>5</v>
      </c>
      <c r="BY52" s="115">
        <v>0.3</v>
      </c>
      <c r="BZ52" s="115">
        <v>0.4</v>
      </c>
      <c r="CA52" s="115">
        <v>0.48</v>
      </c>
      <c r="CB52" s="122" t="str">
        <f t="shared" si="2"/>
        <v/>
      </c>
      <c r="CJ52" s="231">
        <f t="shared" si="6"/>
        <v>7.4</v>
      </c>
      <c r="CK52" s="230" t="str">
        <f t="shared" si="11"/>
        <v>Multi-split VRF a ar (ciclo reverso) - refrigeração e aquecimento simultâneos : ≥ 70 kW</v>
      </c>
      <c r="CL52" s="191" t="s">
        <v>444</v>
      </c>
      <c r="DA52" s="122" t="s">
        <v>247</v>
      </c>
      <c r="DB52" s="122" t="s">
        <v>6109</v>
      </c>
      <c r="DC52" s="122" t="s">
        <v>2562</v>
      </c>
      <c r="DD52" s="127">
        <v>8</v>
      </c>
      <c r="DE52" s="127">
        <v>8</v>
      </c>
      <c r="DG52" s="405" t="s">
        <v>247</v>
      </c>
      <c r="DH52" s="406" t="s">
        <v>2562</v>
      </c>
      <c r="DI52" s="406" t="str">
        <f t="shared" si="3"/>
        <v>AL, Feira Grande</v>
      </c>
      <c r="DJ52" s="406">
        <v>-9.9</v>
      </c>
      <c r="DK52" s="80">
        <v>-36.677999999999997</v>
      </c>
      <c r="DL52" s="80">
        <v>220</v>
      </c>
      <c r="DM52" s="64">
        <v>8</v>
      </c>
      <c r="DN52" s="406" t="s">
        <v>6088</v>
      </c>
      <c r="DO52" s="406">
        <v>-9.8000000000000007</v>
      </c>
      <c r="DP52" s="80">
        <v>241</v>
      </c>
    </row>
    <row r="53" spans="29:120" x14ac:dyDescent="0.25">
      <c r="AC53" s="122" t="s">
        <v>311</v>
      </c>
      <c r="AD53" s="122" t="s">
        <v>445</v>
      </c>
      <c r="AE53" s="127">
        <v>2</v>
      </c>
      <c r="AN53" t="s">
        <v>5837</v>
      </c>
      <c r="AO53">
        <v>16.5</v>
      </c>
      <c r="AP53">
        <v>26.4</v>
      </c>
      <c r="BC53" s="122" t="s">
        <v>332</v>
      </c>
      <c r="BD53" s="115">
        <v>5</v>
      </c>
      <c r="BE53" s="115">
        <v>0.4</v>
      </c>
      <c r="BF53" s="115">
        <v>100</v>
      </c>
      <c r="BG53" s="115">
        <v>0.23</v>
      </c>
      <c r="BH53" s="122" t="str">
        <f t="shared" si="0"/>
        <v/>
      </c>
      <c r="BM53" s="122" t="s">
        <v>332</v>
      </c>
      <c r="BN53" s="115">
        <v>4</v>
      </c>
      <c r="BO53" s="115">
        <v>0.3</v>
      </c>
      <c r="BP53" s="115">
        <v>0.4</v>
      </c>
      <c r="BQ53" s="115">
        <v>0.59</v>
      </c>
      <c r="BR53" s="122" t="str">
        <f t="shared" si="1"/>
        <v/>
      </c>
      <c r="BW53" s="122" t="s">
        <v>332</v>
      </c>
      <c r="BX53" s="115">
        <v>5</v>
      </c>
      <c r="BY53" s="115">
        <v>0.4</v>
      </c>
      <c r="BZ53" s="115">
        <v>100</v>
      </c>
      <c r="CA53" s="115">
        <v>0.5</v>
      </c>
      <c r="CB53" s="122" t="str">
        <f t="shared" si="2"/>
        <v/>
      </c>
      <c r="CJ53" s="231">
        <v>7.5</v>
      </c>
      <c r="CK53" s="230" t="str">
        <f>CONCATENATE($CK$13,": ",CP4)</f>
        <v>Multi-split VRF a água (ciclo reverso): &lt; 19 kW</v>
      </c>
      <c r="CL53" s="191" t="s">
        <v>446</v>
      </c>
      <c r="DA53" s="122" t="s">
        <v>247</v>
      </c>
      <c r="DB53" s="122" t="s">
        <v>6110</v>
      </c>
      <c r="DC53" s="122" t="s">
        <v>5050</v>
      </c>
      <c r="DD53" s="127">
        <v>8</v>
      </c>
      <c r="DE53" s="127">
        <v>8</v>
      </c>
      <c r="DG53" s="405" t="s">
        <v>247</v>
      </c>
      <c r="DH53" s="406" t="s">
        <v>5050</v>
      </c>
      <c r="DI53" s="406" t="str">
        <f t="shared" si="3"/>
        <v>AL, Feliz Deserto</v>
      </c>
      <c r="DJ53" s="406">
        <v>-10.292</v>
      </c>
      <c r="DK53" s="80">
        <v>-36.305999999999997</v>
      </c>
      <c r="DL53" s="80">
        <v>6</v>
      </c>
      <c r="DM53" s="64">
        <v>8</v>
      </c>
      <c r="DN53" s="406" t="s">
        <v>6105</v>
      </c>
      <c r="DO53" s="406">
        <v>-10.130000000000001</v>
      </c>
      <c r="DP53" s="80">
        <v>74</v>
      </c>
    </row>
    <row r="54" spans="29:120" x14ac:dyDescent="0.25">
      <c r="AC54" s="122" t="s">
        <v>311</v>
      </c>
      <c r="AD54" s="122" t="s">
        <v>447</v>
      </c>
      <c r="AE54" s="127">
        <v>2</v>
      </c>
      <c r="AN54" t="s">
        <v>5838</v>
      </c>
      <c r="AO54">
        <v>16.5</v>
      </c>
      <c r="AP54">
        <v>26.4</v>
      </c>
      <c r="BC54" s="122" t="s">
        <v>332</v>
      </c>
      <c r="BD54" s="115">
        <v>6</v>
      </c>
      <c r="BE54" s="115">
        <v>0</v>
      </c>
      <c r="BF54" s="115">
        <v>0.2</v>
      </c>
      <c r="BG54" s="115">
        <v>0.17</v>
      </c>
      <c r="BH54" s="122" t="str">
        <f t="shared" si="0"/>
        <v/>
      </c>
      <c r="BM54" s="122" t="s">
        <v>332</v>
      </c>
      <c r="BN54" s="115">
        <v>5</v>
      </c>
      <c r="BO54" s="115">
        <v>0.3</v>
      </c>
      <c r="BP54" s="115">
        <v>0.4</v>
      </c>
      <c r="BQ54" s="115">
        <v>0.49</v>
      </c>
      <c r="BR54" s="122" t="str">
        <f t="shared" si="1"/>
        <v/>
      </c>
      <c r="BW54" s="122" t="s">
        <v>332</v>
      </c>
      <c r="BX54" s="115">
        <v>6</v>
      </c>
      <c r="BY54" s="115">
        <v>0</v>
      </c>
      <c r="BZ54" s="115">
        <v>0.2</v>
      </c>
      <c r="CA54" s="115">
        <v>0.46</v>
      </c>
      <c r="CB54" s="122" t="str">
        <f t="shared" si="2"/>
        <v/>
      </c>
      <c r="CJ54" s="231">
        <f t="shared" si="6"/>
        <v>7.5</v>
      </c>
      <c r="CK54" s="230" t="str">
        <f t="shared" ref="CK54:CK56" si="12">CONCATENATE($CK$13,": ",CP5)</f>
        <v>Multi-split VRF a água (ciclo reverso): ≥ 19 kW e &lt; 40 kW</v>
      </c>
      <c r="CL54" s="191" t="s">
        <v>448</v>
      </c>
      <c r="DA54" s="122" t="s">
        <v>247</v>
      </c>
      <c r="DB54" s="122" t="s">
        <v>5388</v>
      </c>
      <c r="DC54" s="122" t="s">
        <v>5388</v>
      </c>
      <c r="DD54" s="127">
        <v>8</v>
      </c>
      <c r="DE54" s="127">
        <v>8</v>
      </c>
      <c r="DG54" s="405" t="s">
        <v>247</v>
      </c>
      <c r="DH54" s="406" t="s">
        <v>5388</v>
      </c>
      <c r="DI54" s="406" t="str">
        <f t="shared" si="3"/>
        <v>AL, Flexeiras</v>
      </c>
      <c r="DJ54" s="406">
        <v>-9.2729999999999997</v>
      </c>
      <c r="DK54" s="80">
        <v>-35.715000000000003</v>
      </c>
      <c r="DL54" s="80">
        <v>78</v>
      </c>
      <c r="DM54" s="64">
        <v>8</v>
      </c>
      <c r="DN54" s="406" t="s">
        <v>6091</v>
      </c>
      <c r="DO54" s="406">
        <v>-9.2899999999999991</v>
      </c>
      <c r="DP54" s="80">
        <v>19</v>
      </c>
    </row>
    <row r="55" spans="29:120" x14ac:dyDescent="0.25">
      <c r="AC55" s="122" t="s">
        <v>376</v>
      </c>
      <c r="AD55" s="122" t="s">
        <v>449</v>
      </c>
      <c r="AE55" s="127">
        <v>3</v>
      </c>
      <c r="AN55" t="s">
        <v>5839</v>
      </c>
      <c r="AO55">
        <v>5.9</v>
      </c>
      <c r="AP55">
        <v>11.04</v>
      </c>
      <c r="BC55" s="122" t="s">
        <v>332</v>
      </c>
      <c r="BD55" s="115">
        <v>6</v>
      </c>
      <c r="BE55" s="115">
        <v>0.2</v>
      </c>
      <c r="BF55" s="115">
        <v>0.3</v>
      </c>
      <c r="BG55" s="115">
        <v>0.18</v>
      </c>
      <c r="BH55" s="122" t="str">
        <f t="shared" si="0"/>
        <v/>
      </c>
      <c r="BM55" s="122" t="s">
        <v>332</v>
      </c>
      <c r="BN55" s="115">
        <v>6</v>
      </c>
      <c r="BO55" s="115">
        <v>0.3</v>
      </c>
      <c r="BP55" s="115">
        <v>0.4</v>
      </c>
      <c r="BQ55" s="115">
        <v>0.49</v>
      </c>
      <c r="BR55" s="122" t="str">
        <f t="shared" si="1"/>
        <v/>
      </c>
      <c r="BW55" s="122" t="s">
        <v>332</v>
      </c>
      <c r="BX55" s="115">
        <v>6</v>
      </c>
      <c r="BY55" s="115">
        <v>0.2</v>
      </c>
      <c r="BZ55" s="115">
        <v>0.3</v>
      </c>
      <c r="CA55" s="115">
        <v>0.46</v>
      </c>
      <c r="CB55" s="122" t="str">
        <f t="shared" si="2"/>
        <v/>
      </c>
      <c r="CJ55" s="231">
        <f t="shared" si="6"/>
        <v>7.5</v>
      </c>
      <c r="CK55" s="230" t="str">
        <f t="shared" si="12"/>
        <v>Multi-split VRF a água (ciclo reverso): ≥ 40 kW e &lt; 70 kW</v>
      </c>
      <c r="CL55" s="191" t="s">
        <v>450</v>
      </c>
      <c r="DA55" s="122" t="s">
        <v>247</v>
      </c>
      <c r="DB55" s="122" t="s">
        <v>6111</v>
      </c>
      <c r="DC55" s="122" t="s">
        <v>5416</v>
      </c>
      <c r="DD55" s="127">
        <v>8</v>
      </c>
      <c r="DE55" s="127">
        <v>8</v>
      </c>
      <c r="DG55" s="405" t="s">
        <v>247</v>
      </c>
      <c r="DH55" s="406" t="s">
        <v>5416</v>
      </c>
      <c r="DI55" s="406" t="str">
        <f t="shared" si="3"/>
        <v>AL, Girau do Ponciano</v>
      </c>
      <c r="DJ55" s="406">
        <v>-9.8840000000000003</v>
      </c>
      <c r="DK55" s="80">
        <v>-36.829000000000001</v>
      </c>
      <c r="DL55" s="80">
        <v>244</v>
      </c>
      <c r="DM55" s="64">
        <v>8</v>
      </c>
      <c r="DN55" s="406" t="s">
        <v>6088</v>
      </c>
      <c r="DO55" s="406">
        <v>-9.8000000000000007</v>
      </c>
      <c r="DP55" s="80">
        <v>241</v>
      </c>
    </row>
    <row r="56" spans="29:120" x14ac:dyDescent="0.25">
      <c r="AC56" s="122" t="s">
        <v>311</v>
      </c>
      <c r="AD56" s="122" t="s">
        <v>451</v>
      </c>
      <c r="AE56" s="127">
        <v>2</v>
      </c>
      <c r="AN56" t="s">
        <v>5840</v>
      </c>
      <c r="AO56">
        <v>12.9</v>
      </c>
      <c r="AP56">
        <v>16.32</v>
      </c>
      <c r="BC56" s="122" t="s">
        <v>332</v>
      </c>
      <c r="BD56" s="115">
        <v>6</v>
      </c>
      <c r="BE56" s="115">
        <v>0.3</v>
      </c>
      <c r="BF56" s="115">
        <v>0.4</v>
      </c>
      <c r="BG56" s="115">
        <v>0.21</v>
      </c>
      <c r="BH56" s="122" t="str">
        <f t="shared" si="0"/>
        <v/>
      </c>
      <c r="BM56" s="122" t="s">
        <v>332</v>
      </c>
      <c r="BN56" s="115">
        <v>7</v>
      </c>
      <c r="BO56" s="115">
        <v>0.3</v>
      </c>
      <c r="BP56" s="115">
        <v>0.4</v>
      </c>
      <c r="BQ56" s="115">
        <v>0.34</v>
      </c>
      <c r="BR56" s="122" t="str">
        <f t="shared" si="1"/>
        <v/>
      </c>
      <c r="BW56" s="122" t="s">
        <v>332</v>
      </c>
      <c r="BX56" s="115">
        <v>6</v>
      </c>
      <c r="BY56" s="115">
        <v>0.3</v>
      </c>
      <c r="BZ56" s="115">
        <v>0.4</v>
      </c>
      <c r="CA56" s="115">
        <v>0.48</v>
      </c>
      <c r="CB56" s="122" t="str">
        <f t="shared" si="2"/>
        <v/>
      </c>
      <c r="CJ56" s="231">
        <f t="shared" si="6"/>
        <v>7.5</v>
      </c>
      <c r="CK56" s="230" t="str">
        <f t="shared" si="12"/>
        <v>Multi-split VRF a água (ciclo reverso): ≥ 70 kW</v>
      </c>
      <c r="CL56" s="191" t="s">
        <v>452</v>
      </c>
      <c r="DA56" s="122" t="s">
        <v>247</v>
      </c>
      <c r="DB56" s="122" t="s">
        <v>2572</v>
      </c>
      <c r="DC56" s="122" t="s">
        <v>2572</v>
      </c>
      <c r="DD56" s="127">
        <v>8</v>
      </c>
      <c r="DE56" s="127">
        <v>8</v>
      </c>
      <c r="DG56" s="405" t="s">
        <v>247</v>
      </c>
      <c r="DH56" s="406" t="s">
        <v>2572</v>
      </c>
      <c r="DI56" s="406" t="str">
        <f t="shared" si="3"/>
        <v>AL, Ibateguara</v>
      </c>
      <c r="DJ56" s="406">
        <v>-8.9730000000000008</v>
      </c>
      <c r="DK56" s="80">
        <v>-35.939</v>
      </c>
      <c r="DL56" s="80">
        <v>505</v>
      </c>
      <c r="DM56" s="64">
        <v>8</v>
      </c>
      <c r="DN56" s="406" t="s">
        <v>6097</v>
      </c>
      <c r="DO56" s="406">
        <v>-8.67</v>
      </c>
      <c r="DP56" s="80">
        <v>180</v>
      </c>
    </row>
    <row r="57" spans="29:120" x14ac:dyDescent="0.25">
      <c r="AC57" s="122" t="s">
        <v>323</v>
      </c>
      <c r="AD57" s="122" t="s">
        <v>453</v>
      </c>
      <c r="AE57" s="127">
        <v>8</v>
      </c>
      <c r="AN57" t="s">
        <v>5841</v>
      </c>
      <c r="AO57">
        <v>15.6</v>
      </c>
      <c r="AP57">
        <v>31.2</v>
      </c>
      <c r="BC57" s="122" t="s">
        <v>332</v>
      </c>
      <c r="BD57" s="115">
        <v>6</v>
      </c>
      <c r="BE57" s="115">
        <v>0.4</v>
      </c>
      <c r="BF57" s="115">
        <v>100</v>
      </c>
      <c r="BG57" s="115">
        <v>0.25</v>
      </c>
      <c r="BH57" s="122" t="str">
        <f t="shared" si="0"/>
        <v/>
      </c>
      <c r="BM57" s="122" t="s">
        <v>332</v>
      </c>
      <c r="BN57" s="115">
        <v>8</v>
      </c>
      <c r="BO57" s="115">
        <v>0.3</v>
      </c>
      <c r="BP57" s="115">
        <v>0.4</v>
      </c>
      <c r="BQ57" s="115">
        <v>0.43</v>
      </c>
      <c r="BR57" s="122" t="str">
        <f t="shared" si="1"/>
        <v/>
      </c>
      <c r="BW57" s="122" t="s">
        <v>332</v>
      </c>
      <c r="BX57" s="115">
        <v>6</v>
      </c>
      <c r="BY57" s="115">
        <v>0.4</v>
      </c>
      <c r="BZ57" s="115">
        <v>100</v>
      </c>
      <c r="CA57" s="115">
        <v>0.5</v>
      </c>
      <c r="CB57" s="122" t="str">
        <f t="shared" si="2"/>
        <v/>
      </c>
      <c r="CJ57" s="231">
        <f t="shared" si="6"/>
        <v>7.5</v>
      </c>
      <c r="CK57" s="230" t="str">
        <f>CONCATENATE($CK$14,": ",CP4)</f>
        <v>Multi-split VRF a água (ciclo reverso) - refrigeração e aquecimento simultâneos : &lt; 19 kW</v>
      </c>
      <c r="CL57" s="191" t="s">
        <v>454</v>
      </c>
      <c r="DA57" s="122" t="s">
        <v>247</v>
      </c>
      <c r="DB57" s="122" t="s">
        <v>2598</v>
      </c>
      <c r="DC57" s="122" t="s">
        <v>2598</v>
      </c>
      <c r="DD57" s="127">
        <v>8</v>
      </c>
      <c r="DE57" s="127">
        <v>8</v>
      </c>
      <c r="DG57" s="405" t="s">
        <v>247</v>
      </c>
      <c r="DH57" s="406" t="s">
        <v>2598</v>
      </c>
      <c r="DI57" s="406" t="str">
        <f t="shared" si="3"/>
        <v>AL, Igaci</v>
      </c>
      <c r="DJ57" s="406">
        <v>-9.5370000000000008</v>
      </c>
      <c r="DK57" s="80">
        <v>-36.634</v>
      </c>
      <c r="DL57" s="80">
        <v>240</v>
      </c>
      <c r="DM57" s="64">
        <v>8</v>
      </c>
      <c r="DN57" s="406" t="s">
        <v>6094</v>
      </c>
      <c r="DO57" s="406">
        <v>-9.41</v>
      </c>
      <c r="DP57" s="80">
        <v>275</v>
      </c>
    </row>
    <row r="58" spans="29:120" x14ac:dyDescent="0.25">
      <c r="AC58" s="122" t="s">
        <v>27</v>
      </c>
      <c r="AD58" s="122" t="s">
        <v>455</v>
      </c>
      <c r="AE58" s="127">
        <v>2</v>
      </c>
      <c r="AN58" t="s">
        <v>468</v>
      </c>
      <c r="AO58">
        <v>4.6500000000000004</v>
      </c>
      <c r="AP58">
        <v>10.4</v>
      </c>
      <c r="BC58" s="122" t="s">
        <v>332</v>
      </c>
      <c r="BD58" s="115">
        <v>7</v>
      </c>
      <c r="BE58" s="115">
        <v>0</v>
      </c>
      <c r="BF58" s="115">
        <v>0.2</v>
      </c>
      <c r="BG58" s="115">
        <v>0.13</v>
      </c>
      <c r="BH58" s="122" t="str">
        <f t="shared" si="0"/>
        <v/>
      </c>
      <c r="BM58" s="122" t="s">
        <v>332</v>
      </c>
      <c r="BN58" s="115">
        <v>1</v>
      </c>
      <c r="BO58" s="115">
        <v>0.4</v>
      </c>
      <c r="BP58" s="115">
        <v>100</v>
      </c>
      <c r="BQ58" s="115">
        <v>0.67</v>
      </c>
      <c r="BR58" s="122" t="str">
        <f t="shared" si="1"/>
        <v/>
      </c>
      <c r="BW58" s="122" t="s">
        <v>332</v>
      </c>
      <c r="BX58" s="115">
        <v>7</v>
      </c>
      <c r="BY58" s="115">
        <v>0</v>
      </c>
      <c r="BZ58" s="115">
        <v>0.2</v>
      </c>
      <c r="CA58" s="115">
        <v>0.34</v>
      </c>
      <c r="CB58" s="122" t="str">
        <f t="shared" si="2"/>
        <v/>
      </c>
      <c r="CJ58" s="231">
        <f t="shared" si="6"/>
        <v>7.5</v>
      </c>
      <c r="CK58" s="230" t="str">
        <f t="shared" ref="CK58:CK60" si="13">CONCATENATE($CK$14,": ",CP5)</f>
        <v>Multi-split VRF a água (ciclo reverso) - refrigeração e aquecimento simultâneos : ≥ 19 kW e &lt; 40 kW</v>
      </c>
      <c r="CL58" s="191" t="s">
        <v>454</v>
      </c>
      <c r="DA58" s="122" t="s">
        <v>247</v>
      </c>
      <c r="DB58" s="122" t="s">
        <v>6112</v>
      </c>
      <c r="DC58" s="122" t="s">
        <v>5384</v>
      </c>
      <c r="DD58" s="127">
        <v>8</v>
      </c>
      <c r="DE58" s="127">
        <v>8</v>
      </c>
      <c r="DG58" s="405" t="s">
        <v>247</v>
      </c>
      <c r="DH58" s="406" t="s">
        <v>5384</v>
      </c>
      <c r="DI58" s="406" t="str">
        <f t="shared" si="3"/>
        <v>AL, Igreja Nova</v>
      </c>
      <c r="DJ58" s="406">
        <v>-10.125</v>
      </c>
      <c r="DK58" s="80">
        <v>-36.661999999999999</v>
      </c>
      <c r="DL58" s="80">
        <v>14</v>
      </c>
      <c r="DM58" s="64">
        <v>8</v>
      </c>
      <c r="DN58" s="406" t="s">
        <v>6088</v>
      </c>
      <c r="DO58" s="406">
        <v>-9.8000000000000007</v>
      </c>
      <c r="DP58" s="80">
        <v>241</v>
      </c>
    </row>
    <row r="59" spans="29:120" x14ac:dyDescent="0.25">
      <c r="AC59" s="122" t="s">
        <v>27</v>
      </c>
      <c r="AD59" s="122" t="s">
        <v>456</v>
      </c>
      <c r="AE59" s="127">
        <v>2</v>
      </c>
      <c r="AN59" t="s">
        <v>5842</v>
      </c>
      <c r="AO59">
        <v>9.15</v>
      </c>
      <c r="AP59">
        <v>17.600000000000001</v>
      </c>
      <c r="BC59" s="122" t="s">
        <v>332</v>
      </c>
      <c r="BD59" s="115">
        <v>7</v>
      </c>
      <c r="BE59" s="115">
        <v>0.2</v>
      </c>
      <c r="BF59" s="115">
        <v>0.3</v>
      </c>
      <c r="BG59" s="115">
        <v>0.13</v>
      </c>
      <c r="BH59" s="122" t="str">
        <f t="shared" si="0"/>
        <v/>
      </c>
      <c r="BM59" s="122" t="s">
        <v>332</v>
      </c>
      <c r="BN59" s="115">
        <v>2</v>
      </c>
      <c r="BO59" s="115">
        <v>0.4</v>
      </c>
      <c r="BP59" s="115">
        <v>100</v>
      </c>
      <c r="BQ59" s="115">
        <v>0.56000000000000005</v>
      </c>
      <c r="BR59" s="122" t="str">
        <f t="shared" si="1"/>
        <v/>
      </c>
      <c r="BW59" s="122" t="s">
        <v>332</v>
      </c>
      <c r="BX59" s="115">
        <v>7</v>
      </c>
      <c r="BY59" s="115">
        <v>0.2</v>
      </c>
      <c r="BZ59" s="115">
        <v>0.3</v>
      </c>
      <c r="CA59" s="115">
        <v>0.34</v>
      </c>
      <c r="CB59" s="122" t="str">
        <f t="shared" si="2"/>
        <v/>
      </c>
      <c r="CJ59" s="231">
        <f t="shared" si="6"/>
        <v>7.5</v>
      </c>
      <c r="CK59" s="230" t="str">
        <f t="shared" si="13"/>
        <v>Multi-split VRF a água (ciclo reverso) - refrigeração e aquecimento simultâneos : ≥ 40 kW e &lt; 70 kW</v>
      </c>
      <c r="CL59" s="191" t="s">
        <v>452</v>
      </c>
      <c r="DA59" s="122" t="s">
        <v>247</v>
      </c>
      <c r="DB59" s="122" t="s">
        <v>2606</v>
      </c>
      <c r="DC59" s="122" t="s">
        <v>2606</v>
      </c>
      <c r="DD59" s="127">
        <v>8</v>
      </c>
      <c r="DE59" s="127">
        <v>8</v>
      </c>
      <c r="DG59" s="405" t="s">
        <v>247</v>
      </c>
      <c r="DH59" s="406" t="s">
        <v>2606</v>
      </c>
      <c r="DI59" s="406" t="str">
        <f t="shared" si="3"/>
        <v>AL, Inhapi</v>
      </c>
      <c r="DJ59" s="406">
        <v>-9.2189999999999994</v>
      </c>
      <c r="DK59" s="80">
        <v>-37.753999999999998</v>
      </c>
      <c r="DL59" s="80">
        <v>410</v>
      </c>
      <c r="DM59" s="64">
        <v>8</v>
      </c>
      <c r="DN59" s="406" t="s">
        <v>6087</v>
      </c>
      <c r="DO59" s="406">
        <v>-9.41</v>
      </c>
      <c r="DP59" s="80">
        <v>253</v>
      </c>
    </row>
    <row r="60" spans="29:120" x14ac:dyDescent="0.25">
      <c r="AC60" s="122" t="s">
        <v>27</v>
      </c>
      <c r="AD60" s="122" t="s">
        <v>457</v>
      </c>
      <c r="AE60" s="127">
        <v>5</v>
      </c>
      <c r="AN60" t="s">
        <v>5843</v>
      </c>
      <c r="AO60">
        <v>11.5</v>
      </c>
      <c r="AP60">
        <v>18.079999999999998</v>
      </c>
      <c r="BC60" s="122" t="s">
        <v>332</v>
      </c>
      <c r="BD60" s="115">
        <v>7</v>
      </c>
      <c r="BE60" s="115">
        <v>0.3</v>
      </c>
      <c r="BF60" s="115">
        <v>0.4</v>
      </c>
      <c r="BG60" s="115">
        <v>0.16</v>
      </c>
      <c r="BH60" s="122" t="str">
        <f t="shared" si="0"/>
        <v/>
      </c>
      <c r="BM60" s="122" t="s">
        <v>332</v>
      </c>
      <c r="BN60" s="115">
        <v>3</v>
      </c>
      <c r="BO60" s="115">
        <v>0.4</v>
      </c>
      <c r="BP60" s="115">
        <v>100</v>
      </c>
      <c r="BQ60" s="115">
        <v>0.56999999999999995</v>
      </c>
      <c r="BR60" s="122" t="str">
        <f t="shared" si="1"/>
        <v/>
      </c>
      <c r="BW60" s="122" t="s">
        <v>332</v>
      </c>
      <c r="BX60" s="115">
        <v>7</v>
      </c>
      <c r="BY60" s="115">
        <v>0.3</v>
      </c>
      <c r="BZ60" s="115">
        <v>0.4</v>
      </c>
      <c r="CA60" s="115">
        <v>0.36</v>
      </c>
      <c r="CB60" s="122" t="str">
        <f t="shared" si="2"/>
        <v/>
      </c>
      <c r="CJ60" s="231">
        <f t="shared" si="6"/>
        <v>7.5</v>
      </c>
      <c r="CK60" s="230" t="str">
        <f t="shared" si="13"/>
        <v>Multi-split VRF a água (ciclo reverso) - refrigeração e aquecimento simultâneos : ≥ 70 kW</v>
      </c>
      <c r="CL60" s="191" t="s">
        <v>458</v>
      </c>
      <c r="DA60" s="122" t="s">
        <v>247</v>
      </c>
      <c r="DB60" s="122" t="s">
        <v>6113</v>
      </c>
      <c r="DC60" s="122" t="s">
        <v>5408</v>
      </c>
      <c r="DD60" s="127">
        <v>8</v>
      </c>
      <c r="DE60" s="127">
        <v>8</v>
      </c>
      <c r="DG60" s="405" t="s">
        <v>247</v>
      </c>
      <c r="DH60" s="406" t="s">
        <v>5408</v>
      </c>
      <c r="DI60" s="406" t="str">
        <f t="shared" si="3"/>
        <v>AL, Jacaré dos Homens</v>
      </c>
      <c r="DJ60" s="406">
        <v>-9.6359999999999992</v>
      </c>
      <c r="DK60" s="80">
        <v>-37.204999999999998</v>
      </c>
      <c r="DL60" s="80">
        <v>135</v>
      </c>
      <c r="DM60" s="64">
        <v>8</v>
      </c>
      <c r="DN60" s="406" t="s">
        <v>6093</v>
      </c>
      <c r="DO60" s="406">
        <v>-9.75</v>
      </c>
      <c r="DP60" s="80">
        <v>19</v>
      </c>
    </row>
    <row r="61" spans="29:120" x14ac:dyDescent="0.25">
      <c r="AC61" s="122" t="s">
        <v>27</v>
      </c>
      <c r="AD61" s="122" t="s">
        <v>459</v>
      </c>
      <c r="AE61" s="127">
        <v>2</v>
      </c>
      <c r="AN61" t="s">
        <v>5874</v>
      </c>
      <c r="AO61">
        <v>7.05</v>
      </c>
      <c r="AP61">
        <v>9.6</v>
      </c>
      <c r="BC61" s="122" t="s">
        <v>332</v>
      </c>
      <c r="BD61" s="115">
        <v>7</v>
      </c>
      <c r="BE61" s="115">
        <v>0.4</v>
      </c>
      <c r="BF61" s="115">
        <v>100</v>
      </c>
      <c r="BG61" s="115">
        <v>0.19</v>
      </c>
      <c r="BH61" s="122" t="str">
        <f t="shared" si="0"/>
        <v/>
      </c>
      <c r="BM61" s="122" t="s">
        <v>332</v>
      </c>
      <c r="BN61" s="115">
        <v>4</v>
      </c>
      <c r="BO61" s="115">
        <v>0.4</v>
      </c>
      <c r="BP61" s="115">
        <v>100</v>
      </c>
      <c r="BQ61" s="115">
        <v>0.62</v>
      </c>
      <c r="BR61" s="122" t="str">
        <f t="shared" si="1"/>
        <v/>
      </c>
      <c r="BW61" s="122" t="s">
        <v>332</v>
      </c>
      <c r="BX61" s="115">
        <v>7</v>
      </c>
      <c r="BY61" s="115">
        <v>0.4</v>
      </c>
      <c r="BZ61" s="115">
        <v>100</v>
      </c>
      <c r="CA61" s="115">
        <v>0.38</v>
      </c>
      <c r="CB61" s="122" t="str">
        <f t="shared" si="2"/>
        <v/>
      </c>
      <c r="CJ61" s="231">
        <v>7.6</v>
      </c>
      <c r="CK61" s="230" t="str">
        <f>CONCATENATE($CK$15,": ",CQ4)</f>
        <v>Condensação a ar com condensador: &lt; 528 kW</v>
      </c>
      <c r="CL61" s="191" t="s">
        <v>460</v>
      </c>
      <c r="DA61" s="122" t="s">
        <v>247</v>
      </c>
      <c r="DB61" s="122" t="s">
        <v>5377</v>
      </c>
      <c r="DC61" s="122" t="s">
        <v>5377</v>
      </c>
      <c r="DD61" s="127">
        <v>8</v>
      </c>
      <c r="DE61" s="127">
        <v>8</v>
      </c>
      <c r="DG61" s="405" t="s">
        <v>247</v>
      </c>
      <c r="DH61" s="406" t="s">
        <v>5377</v>
      </c>
      <c r="DI61" s="406" t="str">
        <f t="shared" si="3"/>
        <v>AL, Jacuípe</v>
      </c>
      <c r="DJ61" s="406">
        <v>-8.8420000000000005</v>
      </c>
      <c r="DK61" s="80">
        <v>-35.46</v>
      </c>
      <c r="DL61" s="80">
        <v>74</v>
      </c>
      <c r="DM61" s="64">
        <v>8</v>
      </c>
      <c r="DN61" s="406" t="s">
        <v>6097</v>
      </c>
      <c r="DO61" s="406">
        <v>-8.67</v>
      </c>
      <c r="DP61" s="80">
        <v>180</v>
      </c>
    </row>
    <row r="62" spans="29:120" x14ac:dyDescent="0.25">
      <c r="AC62" s="122" t="s">
        <v>311</v>
      </c>
      <c r="AD62" s="122" t="s">
        <v>461</v>
      </c>
      <c r="AE62" s="127">
        <v>1</v>
      </c>
      <c r="AN62" t="s">
        <v>474</v>
      </c>
      <c r="AO62">
        <v>12.25</v>
      </c>
      <c r="AP62">
        <v>27.36</v>
      </c>
      <c r="BC62" s="122" t="s">
        <v>332</v>
      </c>
      <c r="BD62" s="115">
        <v>8</v>
      </c>
      <c r="BE62" s="115">
        <v>0</v>
      </c>
      <c r="BF62" s="115">
        <v>0.2</v>
      </c>
      <c r="BG62" s="115">
        <v>0.11</v>
      </c>
      <c r="BH62" s="122" t="str">
        <f t="shared" si="0"/>
        <v/>
      </c>
      <c r="BM62" s="122" t="s">
        <v>332</v>
      </c>
      <c r="BN62" s="115">
        <v>5</v>
      </c>
      <c r="BO62" s="115">
        <v>0.4</v>
      </c>
      <c r="BP62" s="115">
        <v>100</v>
      </c>
      <c r="BQ62" s="115">
        <v>0.52</v>
      </c>
      <c r="BR62" s="122" t="str">
        <f t="shared" si="1"/>
        <v/>
      </c>
      <c r="BW62" s="122" t="s">
        <v>332</v>
      </c>
      <c r="BX62" s="115">
        <v>8</v>
      </c>
      <c r="BY62" s="115">
        <v>0</v>
      </c>
      <c r="BZ62" s="115">
        <v>0.2</v>
      </c>
      <c r="CA62" s="115">
        <v>0.42</v>
      </c>
      <c r="CB62" s="122" t="str">
        <f t="shared" si="2"/>
        <v/>
      </c>
      <c r="CJ62" s="231">
        <f t="shared" si="6"/>
        <v>7.6</v>
      </c>
      <c r="CK62" s="230" t="str">
        <f t="shared" ref="CK62" si="14">CONCATENATE($CK$15,": ",CQ5)</f>
        <v>Condensação a ar com condensador: ≥ 528 kW</v>
      </c>
      <c r="CL62" s="191" t="s">
        <v>460</v>
      </c>
      <c r="DA62" s="122" t="s">
        <v>247</v>
      </c>
      <c r="DB62" s="122" t="s">
        <v>5091</v>
      </c>
      <c r="DC62" s="122" t="s">
        <v>5091</v>
      </c>
      <c r="DD62" s="127">
        <v>8</v>
      </c>
      <c r="DE62" s="127">
        <v>8</v>
      </c>
      <c r="DG62" s="405" t="s">
        <v>247</v>
      </c>
      <c r="DH62" s="406" t="s">
        <v>5091</v>
      </c>
      <c r="DI62" s="406" t="str">
        <f t="shared" si="3"/>
        <v>AL, Japaratinga</v>
      </c>
      <c r="DJ62" s="406">
        <v>-9.0879999999999992</v>
      </c>
      <c r="DK62" s="80">
        <v>-35.258000000000003</v>
      </c>
      <c r="DL62" s="80">
        <v>5</v>
      </c>
      <c r="DM62" s="64">
        <v>8</v>
      </c>
      <c r="DN62" s="406" t="s">
        <v>6091</v>
      </c>
      <c r="DO62" s="406">
        <v>-9.2899999999999991</v>
      </c>
      <c r="DP62" s="80">
        <v>19</v>
      </c>
    </row>
    <row r="63" spans="29:120" x14ac:dyDescent="0.25">
      <c r="AC63" s="122" t="s">
        <v>236</v>
      </c>
      <c r="AD63" s="122" t="s">
        <v>462</v>
      </c>
      <c r="AE63" s="127">
        <v>2</v>
      </c>
      <c r="AN63" t="s">
        <v>476</v>
      </c>
      <c r="AO63">
        <v>8.3000000000000007</v>
      </c>
      <c r="AP63">
        <v>13</v>
      </c>
      <c r="BC63" s="122" t="s">
        <v>332</v>
      </c>
      <c r="BD63" s="115">
        <v>8</v>
      </c>
      <c r="BE63" s="115">
        <v>0.2</v>
      </c>
      <c r="BF63" s="115">
        <v>0.3</v>
      </c>
      <c r="BG63" s="115">
        <v>0.11</v>
      </c>
      <c r="BH63" s="122" t="str">
        <f t="shared" si="0"/>
        <v/>
      </c>
      <c r="BM63" s="122" t="s">
        <v>332</v>
      </c>
      <c r="BN63" s="115">
        <v>6</v>
      </c>
      <c r="BO63" s="115">
        <v>0.4</v>
      </c>
      <c r="BP63" s="115">
        <v>100</v>
      </c>
      <c r="BQ63" s="115">
        <v>0.51</v>
      </c>
      <c r="BR63" s="122" t="str">
        <f t="shared" si="1"/>
        <v/>
      </c>
      <c r="BW63" s="122" t="s">
        <v>332</v>
      </c>
      <c r="BX63" s="115">
        <v>8</v>
      </c>
      <c r="BY63" s="115">
        <v>0.2</v>
      </c>
      <c r="BZ63" s="115">
        <v>0.3</v>
      </c>
      <c r="CA63" s="115">
        <v>0.42</v>
      </c>
      <c r="CB63" s="122" t="str">
        <f t="shared" si="2"/>
        <v/>
      </c>
      <c r="CJ63" s="231">
        <f t="shared" si="6"/>
        <v>7.6</v>
      </c>
      <c r="CK63" s="230" t="str">
        <f>CONCATENATE($CK$16,": ",CR4)</f>
        <v>Condensação a água (compressor do tipo alternativo, parafuso e scroll): &lt; 264 kW</v>
      </c>
      <c r="CL63" s="191" t="s">
        <v>460</v>
      </c>
      <c r="DA63" s="122" t="s">
        <v>247</v>
      </c>
      <c r="DB63" s="122" t="s">
        <v>5392</v>
      </c>
      <c r="DC63" s="122" t="s">
        <v>5392</v>
      </c>
      <c r="DD63" s="127">
        <v>8</v>
      </c>
      <c r="DE63" s="127">
        <v>8</v>
      </c>
      <c r="DG63" s="405" t="s">
        <v>247</v>
      </c>
      <c r="DH63" s="406" t="s">
        <v>5392</v>
      </c>
      <c r="DI63" s="406" t="str">
        <f t="shared" si="3"/>
        <v>AL, Jaramataia</v>
      </c>
      <c r="DJ63" s="406">
        <v>-9.6590000000000007</v>
      </c>
      <c r="DK63" s="80">
        <v>-37.002000000000002</v>
      </c>
      <c r="DL63" s="80">
        <v>164</v>
      </c>
      <c r="DM63" s="64">
        <v>8</v>
      </c>
      <c r="DN63" s="406" t="s">
        <v>6088</v>
      </c>
      <c r="DO63" s="406">
        <v>-9.8000000000000007</v>
      </c>
      <c r="DP63" s="80">
        <v>241</v>
      </c>
    </row>
    <row r="64" spans="29:120" x14ac:dyDescent="0.25">
      <c r="AC64" s="122" t="s">
        <v>311</v>
      </c>
      <c r="AD64" s="122" t="s">
        <v>463</v>
      </c>
      <c r="AE64" s="127">
        <v>3</v>
      </c>
      <c r="AN64" t="s">
        <v>478</v>
      </c>
      <c r="AO64">
        <v>6.8</v>
      </c>
      <c r="AP64">
        <v>18.399999999999999</v>
      </c>
      <c r="BC64" s="122" t="s">
        <v>332</v>
      </c>
      <c r="BD64" s="115">
        <v>8</v>
      </c>
      <c r="BE64" s="115">
        <v>0.3</v>
      </c>
      <c r="BF64" s="115">
        <v>0.4</v>
      </c>
      <c r="BG64" s="115">
        <v>0.14000000000000001</v>
      </c>
      <c r="BH64" s="122" t="str">
        <f t="shared" si="0"/>
        <v/>
      </c>
      <c r="BM64" s="122" t="s">
        <v>332</v>
      </c>
      <c r="BN64" s="115">
        <v>7</v>
      </c>
      <c r="BO64" s="115">
        <v>0.4</v>
      </c>
      <c r="BP64" s="115">
        <v>100</v>
      </c>
      <c r="BQ64" s="115">
        <v>0.37</v>
      </c>
      <c r="BR64" s="122" t="str">
        <f t="shared" si="1"/>
        <v/>
      </c>
      <c r="BW64" s="122" t="s">
        <v>332</v>
      </c>
      <c r="BX64" s="115">
        <v>8</v>
      </c>
      <c r="BY64" s="115">
        <v>0.3</v>
      </c>
      <c r="BZ64" s="115">
        <v>0.4</v>
      </c>
      <c r="CA64" s="115">
        <v>0.43</v>
      </c>
      <c r="CB64" s="122" t="str">
        <f t="shared" si="2"/>
        <v/>
      </c>
      <c r="CJ64" s="231">
        <f t="shared" si="6"/>
        <v>7.6</v>
      </c>
      <c r="CK64" s="230" t="str">
        <f t="shared" ref="CK64:CK67" si="15">CONCATENATE($CK$16,": ",CR5)</f>
        <v>Condensação a água (compressor do tipo alternativo, parafuso e scroll): ≥ 264 kW e &lt; 528 kW</v>
      </c>
      <c r="CL64" s="191" t="s">
        <v>460</v>
      </c>
      <c r="DA64" s="122" t="s">
        <v>247</v>
      </c>
      <c r="DB64" s="122" t="s">
        <v>6114</v>
      </c>
      <c r="DC64" s="122" t="s">
        <v>5035</v>
      </c>
      <c r="DD64" s="127">
        <v>8</v>
      </c>
      <c r="DE64" s="127">
        <v>8</v>
      </c>
      <c r="DG64" s="405" t="s">
        <v>247</v>
      </c>
      <c r="DH64" s="406" t="s">
        <v>5035</v>
      </c>
      <c r="DI64" s="406" t="str">
        <f t="shared" si="3"/>
        <v>AL, Jequiá da Praia</v>
      </c>
      <c r="DJ64" s="406">
        <v>-10.012</v>
      </c>
      <c r="DK64" s="80">
        <v>-36.021000000000001</v>
      </c>
      <c r="DL64" s="80">
        <v>34</v>
      </c>
      <c r="DM64" s="64">
        <v>8</v>
      </c>
      <c r="DN64" s="406" t="s">
        <v>6105</v>
      </c>
      <c r="DO64" s="406">
        <v>-10.130000000000001</v>
      </c>
      <c r="DP64" s="80">
        <v>74</v>
      </c>
    </row>
    <row r="65" spans="29:120" x14ac:dyDescent="0.25">
      <c r="AC65" s="122" t="s">
        <v>376</v>
      </c>
      <c r="AD65" s="122" t="s">
        <v>464</v>
      </c>
      <c r="AE65" s="127">
        <v>3</v>
      </c>
      <c r="AN65" t="s">
        <v>5875</v>
      </c>
      <c r="AO65">
        <v>7.65</v>
      </c>
      <c r="AP65">
        <v>15.36</v>
      </c>
      <c r="BC65" s="122" t="s">
        <v>332</v>
      </c>
      <c r="BD65" s="115">
        <v>8</v>
      </c>
      <c r="BE65" s="115">
        <v>0.4</v>
      </c>
      <c r="BF65" s="115">
        <v>100</v>
      </c>
      <c r="BG65" s="115">
        <v>0.17</v>
      </c>
      <c r="BH65" s="122" t="str">
        <f t="shared" si="0"/>
        <v/>
      </c>
      <c r="BM65" s="122" t="s">
        <v>332</v>
      </c>
      <c r="BN65" s="115">
        <v>8</v>
      </c>
      <c r="BO65" s="115">
        <v>0.4</v>
      </c>
      <c r="BP65" s="115">
        <v>100</v>
      </c>
      <c r="BQ65" s="115">
        <v>0.45</v>
      </c>
      <c r="BR65" s="122" t="str">
        <f t="shared" si="1"/>
        <v/>
      </c>
      <c r="BW65" s="122" t="s">
        <v>332</v>
      </c>
      <c r="BX65" s="115">
        <v>8</v>
      </c>
      <c r="BY65" s="115">
        <v>0.4</v>
      </c>
      <c r="BZ65" s="115">
        <v>100</v>
      </c>
      <c r="CA65" s="115">
        <v>0.45</v>
      </c>
      <c r="CB65" s="122" t="str">
        <f t="shared" si="2"/>
        <v/>
      </c>
      <c r="CJ65" s="231">
        <f t="shared" si="6"/>
        <v>7.6</v>
      </c>
      <c r="CK65" s="230" t="str">
        <f t="shared" si="15"/>
        <v>Condensação a água (compressor do tipo alternativo, parafuso e scroll): ≥ 528 kW e &lt; 1055 kW</v>
      </c>
      <c r="CL65" s="191" t="s">
        <v>460</v>
      </c>
      <c r="DA65" s="122" t="s">
        <v>247</v>
      </c>
      <c r="DB65" s="122" t="s">
        <v>6115</v>
      </c>
      <c r="DC65" s="122" t="s">
        <v>2597</v>
      </c>
      <c r="DD65" s="127">
        <v>8</v>
      </c>
      <c r="DE65" s="127">
        <v>8</v>
      </c>
      <c r="DG65" s="405" t="s">
        <v>247</v>
      </c>
      <c r="DH65" s="406" t="s">
        <v>2597</v>
      </c>
      <c r="DI65" s="406" t="str">
        <f t="shared" si="3"/>
        <v>AL, Joaquim Gomes</v>
      </c>
      <c r="DJ65" s="406">
        <v>-9.1329999999999991</v>
      </c>
      <c r="DK65" s="80">
        <v>-35.747999999999998</v>
      </c>
      <c r="DL65" s="80">
        <v>104</v>
      </c>
      <c r="DM65" s="64">
        <v>8</v>
      </c>
      <c r="DN65" s="406" t="s">
        <v>6091</v>
      </c>
      <c r="DO65" s="406">
        <v>-9.2899999999999991</v>
      </c>
      <c r="DP65" s="80">
        <v>19</v>
      </c>
    </row>
    <row r="66" spans="29:120" x14ac:dyDescent="0.25">
      <c r="AC66" s="122" t="s">
        <v>27</v>
      </c>
      <c r="AD66" s="122" t="s">
        <v>465</v>
      </c>
      <c r="AE66" s="127">
        <v>3</v>
      </c>
      <c r="AN66" t="s">
        <v>5876</v>
      </c>
      <c r="AO66">
        <v>6.8</v>
      </c>
      <c r="AP66">
        <v>11.2</v>
      </c>
      <c r="BC66" s="122" t="s">
        <v>287</v>
      </c>
      <c r="BD66" s="115">
        <v>1</v>
      </c>
      <c r="BE66" s="115">
        <v>0</v>
      </c>
      <c r="BF66" s="115">
        <v>0.2</v>
      </c>
      <c r="BG66" s="115">
        <v>0.36</v>
      </c>
      <c r="BH66" s="122" t="str">
        <f t="shared" si="0"/>
        <v/>
      </c>
      <c r="BM66" s="122" t="s">
        <v>287</v>
      </c>
      <c r="BN66" s="115">
        <v>1</v>
      </c>
      <c r="BO66" s="115">
        <v>0</v>
      </c>
      <c r="BP66" s="115">
        <v>0.2</v>
      </c>
      <c r="BQ66" s="115">
        <v>0.62</v>
      </c>
      <c r="BR66" s="122" t="str">
        <f t="shared" si="1"/>
        <v/>
      </c>
      <c r="BW66" s="122" t="s">
        <v>287</v>
      </c>
      <c r="BX66" s="115">
        <v>1</v>
      </c>
      <c r="BY66" s="115">
        <v>0</v>
      </c>
      <c r="BZ66" s="115">
        <v>0.2</v>
      </c>
      <c r="CA66" s="115">
        <v>0.55000000000000004</v>
      </c>
      <c r="CB66" s="122" t="str">
        <f t="shared" si="2"/>
        <v/>
      </c>
      <c r="CJ66" s="231">
        <f t="shared" si="6"/>
        <v>7.6</v>
      </c>
      <c r="CK66" s="230" t="str">
        <f t="shared" si="15"/>
        <v>Condensação a água (compressor do tipo alternativo, parafuso e scroll): ≥ 1055 kW e &lt; 2110 kW</v>
      </c>
      <c r="CL66" s="191" t="s">
        <v>460</v>
      </c>
      <c r="DA66" s="122" t="s">
        <v>247</v>
      </c>
      <c r="DB66" s="122" t="s">
        <v>5079</v>
      </c>
      <c r="DC66" s="122" t="s">
        <v>5079</v>
      </c>
      <c r="DD66" s="127">
        <v>8</v>
      </c>
      <c r="DE66" s="127">
        <v>8</v>
      </c>
      <c r="DG66" s="405" t="s">
        <v>247</v>
      </c>
      <c r="DH66" s="406" t="s">
        <v>5079</v>
      </c>
      <c r="DI66" s="406" t="str">
        <f t="shared" si="3"/>
        <v>AL, Jundiá</v>
      </c>
      <c r="DJ66" s="406">
        <v>-8.9350000000000005</v>
      </c>
      <c r="DK66" s="80">
        <v>-35.573999999999998</v>
      </c>
      <c r="DL66" s="80">
        <v>94</v>
      </c>
      <c r="DM66" s="64">
        <v>8</v>
      </c>
      <c r="DN66" s="406" t="s">
        <v>6097</v>
      </c>
      <c r="DO66" s="406">
        <v>-8.67</v>
      </c>
      <c r="DP66" s="80">
        <v>180</v>
      </c>
    </row>
    <row r="67" spans="29:120" x14ac:dyDescent="0.25">
      <c r="AC67" s="122" t="s">
        <v>27</v>
      </c>
      <c r="AD67" s="122" t="s">
        <v>434</v>
      </c>
      <c r="AE67" s="127">
        <v>2</v>
      </c>
      <c r="AN67" t="s">
        <v>5877</v>
      </c>
      <c r="AO67">
        <v>10</v>
      </c>
      <c r="AP67">
        <v>14.08</v>
      </c>
      <c r="BC67" s="122" t="s">
        <v>287</v>
      </c>
      <c r="BD67" s="115">
        <v>1</v>
      </c>
      <c r="BE67" s="115">
        <v>0.2</v>
      </c>
      <c r="BF67" s="115">
        <v>0.3</v>
      </c>
      <c r="BG67" s="115">
        <v>0.35</v>
      </c>
      <c r="BH67" s="122" t="str">
        <f t="shared" ref="BH67:BH130" si="16">IF(BD67=$BK$1,IF(BC67=$BJ$1,IF(AND($BI$1&gt;BE67,$BI$1&lt;=BF67),BG67,""),""),"")</f>
        <v/>
      </c>
      <c r="BM67" s="122" t="s">
        <v>287</v>
      </c>
      <c r="BN67" s="115">
        <v>2</v>
      </c>
      <c r="BO67" s="115">
        <v>0</v>
      </c>
      <c r="BP67" s="115">
        <v>0.2</v>
      </c>
      <c r="BQ67" s="115">
        <v>0.54</v>
      </c>
      <c r="BR67" s="122" t="str">
        <f t="shared" ref="BR67:BR130" si="17">IF(BN67=$BK$1,IF(BM67=$BJ$1,IF(AND($BI$1&gt;BO67,$BI$1&lt;=BP67),BQ67,""),""),"")</f>
        <v/>
      </c>
      <c r="BW67" s="122" t="s">
        <v>287</v>
      </c>
      <c r="BX67" s="115">
        <v>1</v>
      </c>
      <c r="BY67" s="115">
        <v>0.2</v>
      </c>
      <c r="BZ67" s="115">
        <v>0.3</v>
      </c>
      <c r="CA67" s="115">
        <v>0.55000000000000004</v>
      </c>
      <c r="CB67" s="122" t="str">
        <f t="shared" ref="CB67:CB130" si="18">IF(BX67=$BK$1,IF(BW67=$BJ$1,IF(AND($BI$1&gt;BY67,$BI$1&lt;=BZ67),CA67,""),""),"")</f>
        <v/>
      </c>
      <c r="CJ67" s="231">
        <f t="shared" si="6"/>
        <v>7.6</v>
      </c>
      <c r="CK67" s="230" t="str">
        <f t="shared" si="15"/>
        <v>Condensação a água (compressor do tipo alternativo, parafuso e scroll): ≥ 2110 kW</v>
      </c>
      <c r="CL67" s="191" t="s">
        <v>460</v>
      </c>
      <c r="DA67" s="122" t="s">
        <v>247</v>
      </c>
      <c r="DB67" s="122" t="s">
        <v>2689</v>
      </c>
      <c r="DC67" s="122" t="s">
        <v>2689</v>
      </c>
      <c r="DD67" s="127">
        <v>8</v>
      </c>
      <c r="DE67" s="127">
        <v>8</v>
      </c>
      <c r="DG67" s="405" t="s">
        <v>247</v>
      </c>
      <c r="DH67" s="406" t="s">
        <v>2689</v>
      </c>
      <c r="DI67" s="406" t="str">
        <f t="shared" ref="DI67:DI130" si="19">CONCATENATE(DG67,", ",DH67)</f>
        <v>AL, Junqueiro</v>
      </c>
      <c r="DJ67" s="406">
        <v>-9.9250000000000007</v>
      </c>
      <c r="DK67" s="80">
        <v>-36.475999999999999</v>
      </c>
      <c r="DL67" s="80">
        <v>175</v>
      </c>
      <c r="DM67" s="64">
        <v>8</v>
      </c>
      <c r="DN67" s="406" t="s">
        <v>6088</v>
      </c>
      <c r="DO67" s="406">
        <v>-9.8000000000000007</v>
      </c>
      <c r="DP67" s="80">
        <v>241</v>
      </c>
    </row>
    <row r="68" spans="29:120" x14ac:dyDescent="0.25">
      <c r="AC68" s="122" t="s">
        <v>358</v>
      </c>
      <c r="AD68" s="122" t="s">
        <v>466</v>
      </c>
      <c r="AE68" s="127">
        <v>3</v>
      </c>
      <c r="AN68" t="s">
        <v>5878</v>
      </c>
      <c r="AO68">
        <v>10.35</v>
      </c>
      <c r="AP68">
        <v>20.66</v>
      </c>
      <c r="BC68" s="122" t="s">
        <v>287</v>
      </c>
      <c r="BD68" s="115">
        <v>1</v>
      </c>
      <c r="BE68" s="115">
        <v>0.3</v>
      </c>
      <c r="BF68" s="115">
        <v>0.4</v>
      </c>
      <c r="BG68" s="115">
        <v>0.35</v>
      </c>
      <c r="BH68" s="122" t="str">
        <f t="shared" si="16"/>
        <v/>
      </c>
      <c r="BM68" s="122" t="s">
        <v>287</v>
      </c>
      <c r="BN68" s="115">
        <v>3</v>
      </c>
      <c r="BO68" s="115">
        <v>0</v>
      </c>
      <c r="BP68" s="115">
        <v>0.2</v>
      </c>
      <c r="BQ68" s="115">
        <v>0.56999999999999995</v>
      </c>
      <c r="BR68" s="122" t="str">
        <f t="shared" si="17"/>
        <v/>
      </c>
      <c r="BW68" s="122" t="s">
        <v>287</v>
      </c>
      <c r="BX68" s="115">
        <v>1</v>
      </c>
      <c r="BY68" s="115">
        <v>0.3</v>
      </c>
      <c r="BZ68" s="115">
        <v>0.4</v>
      </c>
      <c r="CA68" s="115">
        <v>0.55000000000000004</v>
      </c>
      <c r="CB68" s="122" t="str">
        <f t="shared" si="18"/>
        <v/>
      </c>
      <c r="CJ68" s="231">
        <f t="shared" si="6"/>
        <v>7.6</v>
      </c>
      <c r="CK68" s="230" t="str">
        <f>CONCATENATE($CK$17,": ",CS4)</f>
        <v>Condensação a água (compressor centrífugo): &lt; 528 kW</v>
      </c>
      <c r="CL68" s="191" t="s">
        <v>460</v>
      </c>
      <c r="DA68" s="122" t="s">
        <v>247</v>
      </c>
      <c r="DB68" s="122" t="s">
        <v>6116</v>
      </c>
      <c r="DC68" s="122" t="s">
        <v>2611</v>
      </c>
      <c r="DD68" s="127">
        <v>8</v>
      </c>
      <c r="DE68" s="127">
        <v>8</v>
      </c>
      <c r="DG68" s="405" t="s">
        <v>247</v>
      </c>
      <c r="DH68" s="406" t="s">
        <v>2611</v>
      </c>
      <c r="DI68" s="406" t="str">
        <f t="shared" si="19"/>
        <v>AL, Lagoa da Canoa</v>
      </c>
      <c r="DJ68" s="406">
        <v>-9.83</v>
      </c>
      <c r="DK68" s="80">
        <v>-36.738</v>
      </c>
      <c r="DL68" s="80">
        <v>283</v>
      </c>
      <c r="DM68" s="64">
        <v>8</v>
      </c>
      <c r="DN68" s="406" t="s">
        <v>6088</v>
      </c>
      <c r="DO68" s="406">
        <v>-9.8000000000000007</v>
      </c>
      <c r="DP68" s="80">
        <v>241</v>
      </c>
    </row>
    <row r="69" spans="29:120" x14ac:dyDescent="0.25">
      <c r="AC69" s="122" t="s">
        <v>311</v>
      </c>
      <c r="AD69" s="122" t="s">
        <v>467</v>
      </c>
      <c r="AE69" s="127">
        <v>1</v>
      </c>
      <c r="AN69" t="s">
        <v>484</v>
      </c>
      <c r="AO69">
        <v>9.9</v>
      </c>
      <c r="AP69">
        <v>16.32</v>
      </c>
      <c r="BC69" s="122" t="s">
        <v>287</v>
      </c>
      <c r="BD69" s="115">
        <v>1</v>
      </c>
      <c r="BE69" s="115">
        <v>0.4</v>
      </c>
      <c r="BF69" s="115">
        <v>100</v>
      </c>
      <c r="BG69" s="115">
        <v>0.36</v>
      </c>
      <c r="BH69" s="122" t="str">
        <f t="shared" si="16"/>
        <v/>
      </c>
      <c r="BM69" s="122" t="s">
        <v>287</v>
      </c>
      <c r="BN69" s="115">
        <v>4</v>
      </c>
      <c r="BO69" s="115">
        <v>0</v>
      </c>
      <c r="BP69" s="115">
        <v>0.2</v>
      </c>
      <c r="BQ69" s="115">
        <v>0.61</v>
      </c>
      <c r="BR69" s="122" t="str">
        <f t="shared" si="17"/>
        <v/>
      </c>
      <c r="BW69" s="122" t="s">
        <v>287</v>
      </c>
      <c r="BX69" s="115">
        <v>1</v>
      </c>
      <c r="BY69" s="115">
        <v>0.4</v>
      </c>
      <c r="BZ69" s="115">
        <v>100</v>
      </c>
      <c r="CA69" s="115">
        <v>0.56000000000000005</v>
      </c>
      <c r="CB69" s="122" t="str">
        <f t="shared" si="18"/>
        <v/>
      </c>
      <c r="CJ69" s="231">
        <f t="shared" si="6"/>
        <v>7.6</v>
      </c>
      <c r="CK69" s="230" t="str">
        <f t="shared" ref="CK69:CK72" si="20">CONCATENATE($CK$17,": ",CS5)</f>
        <v>Condensação a água (compressor centrífugo): ≥ 528 kW e &lt; 1055 kW</v>
      </c>
      <c r="CL69" s="191" t="s">
        <v>460</v>
      </c>
      <c r="DA69" s="122" t="s">
        <v>247</v>
      </c>
      <c r="DB69" s="122" t="s">
        <v>6117</v>
      </c>
      <c r="DC69" s="122" t="s">
        <v>2425</v>
      </c>
      <c r="DD69" s="127">
        <v>8</v>
      </c>
      <c r="DE69" s="127">
        <v>8</v>
      </c>
      <c r="DG69" s="405" t="s">
        <v>247</v>
      </c>
      <c r="DH69" s="406" t="s">
        <v>2425</v>
      </c>
      <c r="DI69" s="406" t="str">
        <f t="shared" si="19"/>
        <v>AL, Limoeiro de Anadia</v>
      </c>
      <c r="DJ69" s="406">
        <v>-9.7409999999999997</v>
      </c>
      <c r="DK69" s="80">
        <v>-36.503</v>
      </c>
      <c r="DL69" s="80">
        <v>140</v>
      </c>
      <c r="DM69" s="64">
        <v>8</v>
      </c>
      <c r="DN69" s="406" t="s">
        <v>6088</v>
      </c>
      <c r="DO69" s="406">
        <v>-9.8000000000000007</v>
      </c>
      <c r="DP69" s="80">
        <v>241</v>
      </c>
    </row>
    <row r="70" spans="29:120" x14ac:dyDescent="0.25">
      <c r="AC70" s="122" t="s">
        <v>311</v>
      </c>
      <c r="AD70" s="122" t="s">
        <v>469</v>
      </c>
      <c r="AE70" s="127">
        <v>2</v>
      </c>
      <c r="AN70" t="s">
        <v>486</v>
      </c>
      <c r="AO70">
        <v>7.55</v>
      </c>
      <c r="AP70">
        <v>9.6</v>
      </c>
      <c r="BC70" s="122" t="s">
        <v>287</v>
      </c>
      <c r="BD70" s="115">
        <v>2</v>
      </c>
      <c r="BE70" s="115">
        <v>0</v>
      </c>
      <c r="BF70" s="115">
        <v>0.2</v>
      </c>
      <c r="BG70" s="115">
        <v>0.32</v>
      </c>
      <c r="BH70" s="122" t="str">
        <f t="shared" si="16"/>
        <v/>
      </c>
      <c r="BM70" s="122" t="s">
        <v>287</v>
      </c>
      <c r="BN70" s="115">
        <v>5</v>
      </c>
      <c r="BO70" s="115">
        <v>0</v>
      </c>
      <c r="BP70" s="115">
        <v>0.2</v>
      </c>
      <c r="BQ70" s="115">
        <v>0.52</v>
      </c>
      <c r="BR70" s="122" t="str">
        <f t="shared" si="17"/>
        <v/>
      </c>
      <c r="BW70" s="122" t="s">
        <v>287</v>
      </c>
      <c r="BX70" s="115">
        <v>2</v>
      </c>
      <c r="BY70" s="115">
        <v>0</v>
      </c>
      <c r="BZ70" s="115">
        <v>0.2</v>
      </c>
      <c r="CA70" s="115">
        <v>0.51</v>
      </c>
      <c r="CB70" s="122" t="str">
        <f t="shared" si="18"/>
        <v/>
      </c>
      <c r="CJ70" s="231">
        <f t="shared" si="6"/>
        <v>7.6</v>
      </c>
      <c r="CK70" s="230" t="str">
        <f t="shared" si="20"/>
        <v>Condensação a água (compressor centrífugo): ≥ 1055 kW e &lt; 1407 kW</v>
      </c>
      <c r="CL70" s="191" t="s">
        <v>460</v>
      </c>
      <c r="DA70" s="122" t="s">
        <v>247</v>
      </c>
      <c r="DB70" s="122" t="s">
        <v>5135</v>
      </c>
      <c r="DC70" s="122" t="s">
        <v>5135</v>
      </c>
      <c r="DD70" s="127">
        <v>8</v>
      </c>
      <c r="DE70" s="127">
        <v>8</v>
      </c>
      <c r="DG70" s="405" t="s">
        <v>247</v>
      </c>
      <c r="DH70" s="406" t="s">
        <v>5135</v>
      </c>
      <c r="DI70" s="406" t="str">
        <f t="shared" si="19"/>
        <v>AL, Maceió</v>
      </c>
      <c r="DJ70" s="406">
        <v>-9.6660000000000004</v>
      </c>
      <c r="DK70" s="80">
        <v>-35.734999999999999</v>
      </c>
      <c r="DL70" s="80">
        <v>16</v>
      </c>
      <c r="DM70" s="64">
        <v>8</v>
      </c>
      <c r="DN70" s="406" t="s">
        <v>6089</v>
      </c>
      <c r="DO70" s="406">
        <v>-9.67</v>
      </c>
      <c r="DP70" s="80">
        <v>64</v>
      </c>
    </row>
    <row r="71" spans="29:120" x14ac:dyDescent="0.25">
      <c r="AC71" s="122" t="s">
        <v>311</v>
      </c>
      <c r="AD71" s="122" t="s">
        <v>470</v>
      </c>
      <c r="AE71" s="127">
        <v>2</v>
      </c>
      <c r="AN71" t="s">
        <v>488</v>
      </c>
      <c r="AO71">
        <v>11.5</v>
      </c>
      <c r="AP71">
        <v>19.04</v>
      </c>
      <c r="BC71" s="122" t="s">
        <v>287</v>
      </c>
      <c r="BD71" s="115">
        <v>2</v>
      </c>
      <c r="BE71" s="115">
        <v>0.2</v>
      </c>
      <c r="BF71" s="115">
        <v>0.3</v>
      </c>
      <c r="BG71" s="115">
        <v>0.32</v>
      </c>
      <c r="BH71" s="122" t="str">
        <f t="shared" si="16"/>
        <v/>
      </c>
      <c r="BM71" s="122" t="s">
        <v>287</v>
      </c>
      <c r="BN71" s="115">
        <v>6</v>
      </c>
      <c r="BO71" s="115">
        <v>0</v>
      </c>
      <c r="BP71" s="115">
        <v>0.2</v>
      </c>
      <c r="BQ71" s="115">
        <v>0.52</v>
      </c>
      <c r="BR71" s="122" t="str">
        <f t="shared" si="17"/>
        <v/>
      </c>
      <c r="BW71" s="122" t="s">
        <v>287</v>
      </c>
      <c r="BX71" s="115">
        <v>2</v>
      </c>
      <c r="BY71" s="115">
        <v>0.2</v>
      </c>
      <c r="BZ71" s="115">
        <v>0.3</v>
      </c>
      <c r="CA71" s="115">
        <v>0.51</v>
      </c>
      <c r="CB71" s="122" t="str">
        <f t="shared" si="18"/>
        <v/>
      </c>
      <c r="CJ71" s="231">
        <f t="shared" si="6"/>
        <v>7.6</v>
      </c>
      <c r="CK71" s="230" t="str">
        <f t="shared" si="20"/>
        <v>Condensação a água (compressor centrífugo): ≥ 1407 kW e &lt; 2110 kW</v>
      </c>
      <c r="CL71" s="191" t="s">
        <v>460</v>
      </c>
      <c r="DA71" s="122" t="s">
        <v>247</v>
      </c>
      <c r="DB71" s="122" t="s">
        <v>6118</v>
      </c>
      <c r="DC71" s="122" t="s">
        <v>2561</v>
      </c>
      <c r="DD71" s="127">
        <v>8</v>
      </c>
      <c r="DE71" s="127">
        <v>8</v>
      </c>
      <c r="DG71" s="405" t="s">
        <v>247</v>
      </c>
      <c r="DH71" s="406" t="s">
        <v>2561</v>
      </c>
      <c r="DI71" s="406" t="str">
        <f t="shared" si="19"/>
        <v>AL, Major Isidoro</v>
      </c>
      <c r="DJ71" s="406">
        <v>-9.532</v>
      </c>
      <c r="DK71" s="80">
        <v>-36.984999999999999</v>
      </c>
      <c r="DL71" s="80">
        <v>182</v>
      </c>
      <c r="DM71" s="64">
        <v>8</v>
      </c>
      <c r="DN71" s="406" t="s">
        <v>6094</v>
      </c>
      <c r="DO71" s="406">
        <v>-9.41</v>
      </c>
      <c r="DP71" s="80">
        <v>275</v>
      </c>
    </row>
    <row r="72" spans="29:120" x14ac:dyDescent="0.25">
      <c r="AC72" s="122" t="s">
        <v>27</v>
      </c>
      <c r="AD72" s="122" t="s">
        <v>471</v>
      </c>
      <c r="AE72" s="127">
        <v>3</v>
      </c>
      <c r="AN72" t="s">
        <v>490</v>
      </c>
      <c r="AO72">
        <v>5.15</v>
      </c>
      <c r="AP72">
        <v>12.96</v>
      </c>
      <c r="BC72" s="122" t="s">
        <v>287</v>
      </c>
      <c r="BD72" s="115">
        <v>2</v>
      </c>
      <c r="BE72" s="115">
        <v>0.3</v>
      </c>
      <c r="BF72" s="115">
        <v>0.4</v>
      </c>
      <c r="BG72" s="115">
        <v>0.31</v>
      </c>
      <c r="BH72" s="122" t="str">
        <f t="shared" si="16"/>
        <v/>
      </c>
      <c r="BM72" s="122" t="s">
        <v>287</v>
      </c>
      <c r="BN72" s="115">
        <v>7</v>
      </c>
      <c r="BO72" s="115">
        <v>0</v>
      </c>
      <c r="BP72" s="115">
        <v>0.2</v>
      </c>
      <c r="BQ72" s="115">
        <v>0.38</v>
      </c>
      <c r="BR72" s="122" t="str">
        <f t="shared" si="17"/>
        <v/>
      </c>
      <c r="BW72" s="122" t="s">
        <v>287</v>
      </c>
      <c r="BX72" s="115">
        <v>2</v>
      </c>
      <c r="BY72" s="115">
        <v>0.3</v>
      </c>
      <c r="BZ72" s="115">
        <v>0.4</v>
      </c>
      <c r="CA72" s="115">
        <v>0.52</v>
      </c>
      <c r="CB72" s="122" t="str">
        <f t="shared" si="18"/>
        <v/>
      </c>
      <c r="CJ72" s="231">
        <f t="shared" si="6"/>
        <v>7.6</v>
      </c>
      <c r="CK72" s="230" t="str">
        <f t="shared" si="20"/>
        <v>Condensação a água (compressor centrífugo): ≥ 2110 kW</v>
      </c>
      <c r="CL72" s="191" t="s">
        <v>460</v>
      </c>
      <c r="DA72" s="122" t="s">
        <v>247</v>
      </c>
      <c r="DB72" s="122" t="s">
        <v>6119</v>
      </c>
      <c r="DC72" s="122" t="s">
        <v>2569</v>
      </c>
      <c r="DD72" s="127">
        <v>8</v>
      </c>
      <c r="DE72" s="127">
        <v>8</v>
      </c>
      <c r="DG72" s="405" t="s">
        <v>247</v>
      </c>
      <c r="DH72" s="406" t="s">
        <v>2569</v>
      </c>
      <c r="DI72" s="406" t="str">
        <f t="shared" si="19"/>
        <v>AL, Mar Vermelho</v>
      </c>
      <c r="DJ72" s="406">
        <v>-9.4480000000000004</v>
      </c>
      <c r="DK72" s="80">
        <v>-36.387999999999998</v>
      </c>
      <c r="DL72" s="80">
        <v>542</v>
      </c>
      <c r="DM72" s="64">
        <v>8</v>
      </c>
      <c r="DN72" s="406" t="s">
        <v>6094</v>
      </c>
      <c r="DO72" s="406">
        <v>-9.41</v>
      </c>
      <c r="DP72" s="80">
        <v>275</v>
      </c>
    </row>
    <row r="73" spans="29:120" x14ac:dyDescent="0.25">
      <c r="AC73" s="122" t="s">
        <v>311</v>
      </c>
      <c r="AD73" s="122" t="s">
        <v>472</v>
      </c>
      <c r="AE73" s="127">
        <v>2</v>
      </c>
      <c r="AN73" t="s">
        <v>5844</v>
      </c>
      <c r="AO73">
        <v>4.8499999999999996</v>
      </c>
      <c r="AP73">
        <v>12</v>
      </c>
      <c r="BC73" s="122" t="s">
        <v>287</v>
      </c>
      <c r="BD73" s="115">
        <v>2</v>
      </c>
      <c r="BE73" s="115">
        <v>0.4</v>
      </c>
      <c r="BF73" s="115">
        <v>100</v>
      </c>
      <c r="BG73" s="115">
        <v>0.31</v>
      </c>
      <c r="BH73" s="122" t="str">
        <f t="shared" si="16"/>
        <v/>
      </c>
      <c r="BM73" s="122" t="s">
        <v>287</v>
      </c>
      <c r="BN73" s="115">
        <v>8</v>
      </c>
      <c r="BO73" s="115">
        <v>0</v>
      </c>
      <c r="BP73" s="115">
        <v>0.2</v>
      </c>
      <c r="BQ73" s="115">
        <v>0.44</v>
      </c>
      <c r="BR73" s="122" t="str">
        <f t="shared" si="17"/>
        <v/>
      </c>
      <c r="BW73" s="122" t="s">
        <v>287</v>
      </c>
      <c r="BX73" s="115">
        <v>2</v>
      </c>
      <c r="BY73" s="115">
        <v>0.4</v>
      </c>
      <c r="BZ73" s="115">
        <v>100</v>
      </c>
      <c r="CA73" s="115">
        <v>0.53</v>
      </c>
      <c r="CB73" s="122" t="str">
        <f t="shared" si="18"/>
        <v/>
      </c>
      <c r="CJ73" s="231">
        <f t="shared" si="6"/>
        <v>7.6</v>
      </c>
      <c r="CK73" s="230" t="str">
        <f>CONCATENATE(CK18,": ",$CT$4)</f>
        <v>Absorção a ar de simples efeito: Todas</v>
      </c>
      <c r="CL73" s="191" t="s">
        <v>460</v>
      </c>
      <c r="DA73" s="122" t="s">
        <v>247</v>
      </c>
      <c r="DB73" s="122" t="s">
        <v>5414</v>
      </c>
      <c r="DC73" s="122" t="s">
        <v>5414</v>
      </c>
      <c r="DD73" s="127">
        <v>8</v>
      </c>
      <c r="DE73" s="127">
        <v>8</v>
      </c>
      <c r="DG73" s="405" t="s">
        <v>247</v>
      </c>
      <c r="DH73" s="406" t="s">
        <v>5414</v>
      </c>
      <c r="DI73" s="406" t="str">
        <f t="shared" si="19"/>
        <v>AL, Maragogi</v>
      </c>
      <c r="DJ73" s="406">
        <v>-9.0120000000000005</v>
      </c>
      <c r="DK73" s="80">
        <v>-35.222000000000001</v>
      </c>
      <c r="DL73" s="80">
        <v>5</v>
      </c>
      <c r="DM73" s="64">
        <v>8</v>
      </c>
      <c r="DN73" s="406" t="s">
        <v>6091</v>
      </c>
      <c r="DO73" s="406">
        <v>-9.2899999999999991</v>
      </c>
      <c r="DP73" s="80">
        <v>19</v>
      </c>
    </row>
    <row r="74" spans="29:120" x14ac:dyDescent="0.25">
      <c r="AC74" s="122" t="s">
        <v>333</v>
      </c>
      <c r="AD74" s="122" t="s">
        <v>473</v>
      </c>
      <c r="AE74" s="127">
        <v>2</v>
      </c>
      <c r="AN74" t="s">
        <v>5845</v>
      </c>
      <c r="AO74">
        <v>3.35</v>
      </c>
      <c r="AP74">
        <v>6.24</v>
      </c>
      <c r="BC74" s="122" t="s">
        <v>287</v>
      </c>
      <c r="BD74" s="115">
        <v>3</v>
      </c>
      <c r="BE74" s="115">
        <v>0</v>
      </c>
      <c r="BF74" s="115">
        <v>0.2</v>
      </c>
      <c r="BG74" s="115">
        <v>0.3</v>
      </c>
      <c r="BH74" s="122" t="str">
        <f t="shared" si="16"/>
        <v/>
      </c>
      <c r="BM74" s="122" t="s">
        <v>287</v>
      </c>
      <c r="BN74" s="115">
        <v>1</v>
      </c>
      <c r="BO74" s="115">
        <v>0.2</v>
      </c>
      <c r="BP74" s="115">
        <v>0.3</v>
      </c>
      <c r="BQ74" s="115">
        <v>0.62</v>
      </c>
      <c r="BR74" s="122" t="str">
        <f t="shared" si="17"/>
        <v/>
      </c>
      <c r="BW74" s="122" t="s">
        <v>287</v>
      </c>
      <c r="BX74" s="115">
        <v>3</v>
      </c>
      <c r="BY74" s="115">
        <v>0</v>
      </c>
      <c r="BZ74" s="115">
        <v>0.2</v>
      </c>
      <c r="CA74" s="115">
        <v>0.53</v>
      </c>
      <c r="CB74" s="122" t="str">
        <f t="shared" si="18"/>
        <v/>
      </c>
      <c r="CJ74" s="231">
        <f t="shared" si="6"/>
        <v>7.6</v>
      </c>
      <c r="CK74" s="230" t="str">
        <f t="shared" ref="CK74:CK76" si="21">CONCATENATE(CK19,": ",$CT$4)</f>
        <v>Absorção a água de simples efeito: Todas</v>
      </c>
      <c r="CL74" s="191" t="s">
        <v>460</v>
      </c>
      <c r="DA74" s="122" t="s">
        <v>247</v>
      </c>
      <c r="DB74" s="122" t="s">
        <v>1232</v>
      </c>
      <c r="DC74" s="122" t="s">
        <v>1232</v>
      </c>
      <c r="DD74" s="127">
        <v>8</v>
      </c>
      <c r="DE74" s="127">
        <v>8</v>
      </c>
      <c r="DG74" s="405" t="s">
        <v>247</v>
      </c>
      <c r="DH74" s="406" t="s">
        <v>1232</v>
      </c>
      <c r="DI74" s="406" t="str">
        <f t="shared" si="19"/>
        <v>AL, Maravilha</v>
      </c>
      <c r="DJ74" s="406">
        <v>-9.2360000000000007</v>
      </c>
      <c r="DK74" s="80">
        <v>-37.35</v>
      </c>
      <c r="DL74" s="80">
        <v>362</v>
      </c>
      <c r="DM74" s="64">
        <v>8</v>
      </c>
      <c r="DN74" s="406" t="s">
        <v>6093</v>
      </c>
      <c r="DO74" s="406">
        <v>-9.75</v>
      </c>
      <c r="DP74" s="80">
        <v>19</v>
      </c>
    </row>
    <row r="75" spans="29:120" x14ac:dyDescent="0.25">
      <c r="AC75" s="122" t="s">
        <v>27</v>
      </c>
      <c r="AD75" s="122" t="s">
        <v>475</v>
      </c>
      <c r="AE75" s="127">
        <v>3</v>
      </c>
      <c r="AN75" t="s">
        <v>5846</v>
      </c>
      <c r="AO75">
        <v>6.65</v>
      </c>
      <c r="AP75">
        <v>9.2799999999999994</v>
      </c>
      <c r="BC75" s="122" t="s">
        <v>287</v>
      </c>
      <c r="BD75" s="115">
        <v>3</v>
      </c>
      <c r="BE75" s="115">
        <v>0.2</v>
      </c>
      <c r="BF75" s="115">
        <v>0.3</v>
      </c>
      <c r="BG75" s="115">
        <v>0.3</v>
      </c>
      <c r="BH75" s="122" t="str">
        <f t="shared" si="16"/>
        <v/>
      </c>
      <c r="BM75" s="122" t="s">
        <v>287</v>
      </c>
      <c r="BN75" s="115">
        <v>2</v>
      </c>
      <c r="BO75" s="115">
        <v>0.2</v>
      </c>
      <c r="BP75" s="115">
        <v>0.3</v>
      </c>
      <c r="BQ75" s="115">
        <v>0.55000000000000004</v>
      </c>
      <c r="BR75" s="122" t="str">
        <f t="shared" si="17"/>
        <v/>
      </c>
      <c r="BW75" s="122" t="s">
        <v>287</v>
      </c>
      <c r="BX75" s="115">
        <v>3</v>
      </c>
      <c r="BY75" s="115">
        <v>0.2</v>
      </c>
      <c r="BZ75" s="115">
        <v>0.3</v>
      </c>
      <c r="CA75" s="115">
        <v>0.53</v>
      </c>
      <c r="CB75" s="122" t="str">
        <f t="shared" si="18"/>
        <v/>
      </c>
      <c r="CJ75" s="231">
        <f t="shared" si="6"/>
        <v>7.6</v>
      </c>
      <c r="CK75" s="230" t="str">
        <f t="shared" si="21"/>
        <v>Absorção a água de duplo efeito e queima indireta: Todas</v>
      </c>
      <c r="CL75" s="191" t="s">
        <v>460</v>
      </c>
      <c r="DA75" s="122" t="s">
        <v>247</v>
      </c>
      <c r="DB75" s="122" t="s">
        <v>6120</v>
      </c>
      <c r="DC75" s="122" t="s">
        <v>1955</v>
      </c>
      <c r="DD75" s="127">
        <v>8</v>
      </c>
      <c r="DE75" s="127">
        <v>8</v>
      </c>
      <c r="DG75" s="405" t="s">
        <v>247</v>
      </c>
      <c r="DH75" s="406" t="s">
        <v>1955</v>
      </c>
      <c r="DI75" s="406" t="str">
        <f t="shared" si="19"/>
        <v>AL, Marechal Deodoro</v>
      </c>
      <c r="DJ75" s="406">
        <v>-9.7100000000000009</v>
      </c>
      <c r="DK75" s="80">
        <v>-35.895000000000003</v>
      </c>
      <c r="DL75" s="80">
        <v>31</v>
      </c>
      <c r="DM75" s="64">
        <v>8</v>
      </c>
      <c r="DN75" s="406" t="s">
        <v>6089</v>
      </c>
      <c r="DO75" s="406">
        <v>-9.67</v>
      </c>
      <c r="DP75" s="80">
        <v>64</v>
      </c>
    </row>
    <row r="76" spans="29:120" x14ac:dyDescent="0.25">
      <c r="AC76" s="122" t="s">
        <v>311</v>
      </c>
      <c r="AD76" s="122" t="s">
        <v>477</v>
      </c>
      <c r="AE76" s="127">
        <v>1</v>
      </c>
      <c r="AN76" t="s">
        <v>5847</v>
      </c>
      <c r="AO76">
        <v>10</v>
      </c>
      <c r="AP76">
        <v>18.559999999999999</v>
      </c>
      <c r="BC76" s="122" t="s">
        <v>287</v>
      </c>
      <c r="BD76" s="115">
        <v>3</v>
      </c>
      <c r="BE76" s="115">
        <v>0.3</v>
      </c>
      <c r="BF76" s="115">
        <v>0.4</v>
      </c>
      <c r="BG76" s="115">
        <v>0.28999999999999998</v>
      </c>
      <c r="BH76" s="122" t="str">
        <f t="shared" si="16"/>
        <v/>
      </c>
      <c r="BM76" s="122" t="s">
        <v>287</v>
      </c>
      <c r="BN76" s="115">
        <v>3</v>
      </c>
      <c r="BO76" s="115">
        <v>0.2</v>
      </c>
      <c r="BP76" s="115">
        <v>0.3</v>
      </c>
      <c r="BQ76" s="115">
        <v>0.56999999999999995</v>
      </c>
      <c r="BR76" s="122" t="str">
        <f t="shared" si="17"/>
        <v/>
      </c>
      <c r="BW76" s="122" t="s">
        <v>287</v>
      </c>
      <c r="BX76" s="115">
        <v>3</v>
      </c>
      <c r="BY76" s="115">
        <v>0.3</v>
      </c>
      <c r="BZ76" s="115">
        <v>0.4</v>
      </c>
      <c r="CA76" s="115">
        <v>0.53</v>
      </c>
      <c r="CB76" s="122" t="str">
        <f t="shared" si="18"/>
        <v/>
      </c>
      <c r="CJ76" s="232">
        <f t="shared" si="6"/>
        <v>7.6</v>
      </c>
      <c r="CK76" s="233" t="str">
        <f t="shared" si="21"/>
        <v>Absorção a água de duplo efeito e queima direta: Todas</v>
      </c>
      <c r="CL76" s="191" t="s">
        <v>460</v>
      </c>
      <c r="DA76" s="122" t="s">
        <v>247</v>
      </c>
      <c r="DB76" s="122" t="s">
        <v>2408</v>
      </c>
      <c r="DC76" s="122" t="s">
        <v>2408</v>
      </c>
      <c r="DD76" s="127">
        <v>8</v>
      </c>
      <c r="DE76" s="127">
        <v>8</v>
      </c>
      <c r="DG76" s="405" t="s">
        <v>247</v>
      </c>
      <c r="DH76" s="406" t="s">
        <v>2408</v>
      </c>
      <c r="DI76" s="406" t="str">
        <f t="shared" si="19"/>
        <v>AL, Maribondo</v>
      </c>
      <c r="DJ76" s="406">
        <v>-9.577</v>
      </c>
      <c r="DK76" s="80">
        <v>-36.305</v>
      </c>
      <c r="DL76" s="80">
        <v>157</v>
      </c>
      <c r="DM76" s="64">
        <v>8</v>
      </c>
      <c r="DN76" s="406" t="s">
        <v>6094</v>
      </c>
      <c r="DO76" s="406">
        <v>-9.41</v>
      </c>
      <c r="DP76" s="80">
        <v>275</v>
      </c>
    </row>
    <row r="77" spans="29:120" x14ac:dyDescent="0.25">
      <c r="AC77" s="122" t="s">
        <v>311</v>
      </c>
      <c r="AD77" s="122" t="s">
        <v>479</v>
      </c>
      <c r="AE77" s="127">
        <v>1</v>
      </c>
      <c r="AN77" t="s">
        <v>5848</v>
      </c>
      <c r="AO77">
        <v>21.55</v>
      </c>
      <c r="AP77">
        <v>43.06</v>
      </c>
      <c r="BC77" s="122" t="s">
        <v>287</v>
      </c>
      <c r="BD77" s="115">
        <v>3</v>
      </c>
      <c r="BE77" s="115">
        <v>0.4</v>
      </c>
      <c r="BF77" s="115">
        <v>100</v>
      </c>
      <c r="BG77" s="115">
        <v>0.28000000000000003</v>
      </c>
      <c r="BH77" s="122" t="str">
        <f t="shared" si="16"/>
        <v/>
      </c>
      <c r="BM77" s="122" t="s">
        <v>287</v>
      </c>
      <c r="BN77" s="115">
        <v>4</v>
      </c>
      <c r="BO77" s="115">
        <v>0.2</v>
      </c>
      <c r="BP77" s="115">
        <v>0.3</v>
      </c>
      <c r="BQ77" s="115">
        <v>0.61</v>
      </c>
      <c r="BR77" s="122" t="str">
        <f t="shared" si="17"/>
        <v/>
      </c>
      <c r="BW77" s="122" t="s">
        <v>287</v>
      </c>
      <c r="BX77" s="115">
        <v>3</v>
      </c>
      <c r="BY77" s="115">
        <v>0.4</v>
      </c>
      <c r="BZ77" s="115">
        <v>100</v>
      </c>
      <c r="CA77" s="115">
        <v>0.54</v>
      </c>
      <c r="CB77" s="122" t="str">
        <f t="shared" si="18"/>
        <v/>
      </c>
      <c r="CJ77" s="234"/>
      <c r="CK77" s="230"/>
      <c r="DA77" s="122" t="s">
        <v>247</v>
      </c>
      <c r="DB77" s="122" t="s">
        <v>6121</v>
      </c>
      <c r="DC77" s="122" t="s">
        <v>2859</v>
      </c>
      <c r="DD77" s="127">
        <v>8</v>
      </c>
      <c r="DE77" s="127">
        <v>8</v>
      </c>
      <c r="DG77" s="405" t="s">
        <v>247</v>
      </c>
      <c r="DH77" s="406" t="s">
        <v>2859</v>
      </c>
      <c r="DI77" s="406" t="str">
        <f t="shared" si="19"/>
        <v>AL, Mata Grande</v>
      </c>
      <c r="DJ77" s="406">
        <v>-9.1180000000000003</v>
      </c>
      <c r="DK77" s="80">
        <v>-37.734000000000002</v>
      </c>
      <c r="DL77" s="80">
        <v>633</v>
      </c>
      <c r="DM77" s="64">
        <v>8</v>
      </c>
      <c r="DN77" s="406" t="s">
        <v>6087</v>
      </c>
      <c r="DO77" s="406">
        <v>-9.41</v>
      </c>
      <c r="DP77" s="80">
        <v>253</v>
      </c>
    </row>
    <row r="78" spans="29:120" x14ac:dyDescent="0.25">
      <c r="AC78" s="122" t="s">
        <v>27</v>
      </c>
      <c r="AD78" s="122" t="s">
        <v>480</v>
      </c>
      <c r="AE78" s="127">
        <v>3</v>
      </c>
      <c r="AN78" t="s">
        <v>5849</v>
      </c>
      <c r="AO78">
        <v>19.350000000000001</v>
      </c>
      <c r="AP78">
        <v>31.96</v>
      </c>
      <c r="BC78" s="122" t="s">
        <v>287</v>
      </c>
      <c r="BD78" s="115">
        <v>4</v>
      </c>
      <c r="BE78" s="115">
        <v>0</v>
      </c>
      <c r="BF78" s="115">
        <v>0.2</v>
      </c>
      <c r="BG78" s="115">
        <v>0.34</v>
      </c>
      <c r="BH78" s="122" t="str">
        <f t="shared" si="16"/>
        <v/>
      </c>
      <c r="BM78" s="122" t="s">
        <v>287</v>
      </c>
      <c r="BN78" s="115">
        <v>5</v>
      </c>
      <c r="BO78" s="115">
        <v>0.2</v>
      </c>
      <c r="BP78" s="115">
        <v>0.3</v>
      </c>
      <c r="BQ78" s="115">
        <v>0.52</v>
      </c>
      <c r="BR78" s="122" t="str">
        <f t="shared" si="17"/>
        <v/>
      </c>
      <c r="BW78" s="122" t="s">
        <v>287</v>
      </c>
      <c r="BX78" s="115">
        <v>4</v>
      </c>
      <c r="BY78" s="115">
        <v>0</v>
      </c>
      <c r="BZ78" s="115">
        <v>0.2</v>
      </c>
      <c r="CA78" s="115">
        <v>0.55000000000000004</v>
      </c>
      <c r="CB78" s="122" t="str">
        <f t="shared" si="18"/>
        <v/>
      </c>
      <c r="CJ78" s="234"/>
      <c r="CK78" s="230"/>
      <c r="DA78" s="122" t="s">
        <v>247</v>
      </c>
      <c r="DB78" s="122" t="s">
        <v>6122</v>
      </c>
      <c r="DC78" s="122" t="s">
        <v>5390</v>
      </c>
      <c r="DD78" s="127">
        <v>8</v>
      </c>
      <c r="DE78" s="127">
        <v>8</v>
      </c>
      <c r="DG78" s="405" t="s">
        <v>247</v>
      </c>
      <c r="DH78" s="406" t="s">
        <v>5390</v>
      </c>
      <c r="DI78" s="406" t="str">
        <f t="shared" si="19"/>
        <v>AL, Matriz de Camaragibe</v>
      </c>
      <c r="DJ78" s="406">
        <v>-9.1519999999999992</v>
      </c>
      <c r="DK78" s="80">
        <v>-35.533000000000001</v>
      </c>
      <c r="DL78" s="80">
        <v>16</v>
      </c>
      <c r="DM78" s="64">
        <v>8</v>
      </c>
      <c r="DN78" s="406" t="s">
        <v>6091</v>
      </c>
      <c r="DO78" s="406">
        <v>-9.2899999999999991</v>
      </c>
      <c r="DP78" s="80">
        <v>19</v>
      </c>
    </row>
    <row r="79" spans="29:120" x14ac:dyDescent="0.25">
      <c r="AC79" s="122" t="s">
        <v>376</v>
      </c>
      <c r="AD79" s="122" t="s">
        <v>481</v>
      </c>
      <c r="AE79" s="127">
        <v>3</v>
      </c>
      <c r="AN79" t="s">
        <v>5850</v>
      </c>
      <c r="AO79">
        <v>9.9</v>
      </c>
      <c r="AP79">
        <v>16.04</v>
      </c>
      <c r="BC79" s="122" t="s">
        <v>287</v>
      </c>
      <c r="BD79" s="115">
        <v>4</v>
      </c>
      <c r="BE79" s="115">
        <v>0.2</v>
      </c>
      <c r="BF79" s="115">
        <v>0.3</v>
      </c>
      <c r="BG79" s="115">
        <v>0.34</v>
      </c>
      <c r="BH79" s="122" t="str">
        <f t="shared" si="16"/>
        <v/>
      </c>
      <c r="BM79" s="122" t="s">
        <v>287</v>
      </c>
      <c r="BN79" s="115">
        <v>6</v>
      </c>
      <c r="BO79" s="115">
        <v>0.2</v>
      </c>
      <c r="BP79" s="115">
        <v>0.3</v>
      </c>
      <c r="BQ79" s="115">
        <v>0.53</v>
      </c>
      <c r="BR79" s="122" t="str">
        <f t="shared" si="17"/>
        <v/>
      </c>
      <c r="BW79" s="122" t="s">
        <v>287</v>
      </c>
      <c r="BX79" s="115">
        <v>4</v>
      </c>
      <c r="BY79" s="115">
        <v>0.2</v>
      </c>
      <c r="BZ79" s="115">
        <v>0.3</v>
      </c>
      <c r="CA79" s="115">
        <v>0.55000000000000004</v>
      </c>
      <c r="CB79" s="122" t="str">
        <f t="shared" si="18"/>
        <v/>
      </c>
      <c r="CJ79" s="234"/>
      <c r="CK79" s="230"/>
      <c r="DA79" s="122" t="s">
        <v>247</v>
      </c>
      <c r="DB79" s="122" t="s">
        <v>5379</v>
      </c>
      <c r="DC79" s="122" t="s">
        <v>5379</v>
      </c>
      <c r="DD79" s="127">
        <v>8</v>
      </c>
      <c r="DE79" s="127">
        <v>8</v>
      </c>
      <c r="DG79" s="405" t="s">
        <v>247</v>
      </c>
      <c r="DH79" s="406" t="s">
        <v>5379</v>
      </c>
      <c r="DI79" s="406" t="str">
        <f t="shared" si="19"/>
        <v>AL, Messias</v>
      </c>
      <c r="DJ79" s="406">
        <v>-9.3829999999999991</v>
      </c>
      <c r="DK79" s="80">
        <v>-35.841999999999999</v>
      </c>
      <c r="DL79" s="80">
        <v>148</v>
      </c>
      <c r="DM79" s="64">
        <v>8</v>
      </c>
      <c r="DN79" s="406" t="s">
        <v>6091</v>
      </c>
      <c r="DO79" s="406">
        <v>-9.2899999999999991</v>
      </c>
      <c r="DP79" s="80">
        <v>19</v>
      </c>
    </row>
    <row r="80" spans="29:120" x14ac:dyDescent="0.25">
      <c r="AC80" s="122" t="s">
        <v>333</v>
      </c>
      <c r="AD80" s="122" t="s">
        <v>482</v>
      </c>
      <c r="AE80" s="127">
        <v>2</v>
      </c>
      <c r="AN80" t="s">
        <v>5851</v>
      </c>
      <c r="AO80">
        <v>21.85</v>
      </c>
      <c r="AP80">
        <v>24.47</v>
      </c>
      <c r="BC80" s="122" t="s">
        <v>287</v>
      </c>
      <c r="BD80" s="115">
        <v>4</v>
      </c>
      <c r="BE80" s="115">
        <v>0.3</v>
      </c>
      <c r="BF80" s="115">
        <v>0.4</v>
      </c>
      <c r="BG80" s="115">
        <v>0.35</v>
      </c>
      <c r="BH80" s="122" t="str">
        <f t="shared" si="16"/>
        <v/>
      </c>
      <c r="BM80" s="122" t="s">
        <v>287</v>
      </c>
      <c r="BN80" s="115">
        <v>7</v>
      </c>
      <c r="BO80" s="115">
        <v>0.2</v>
      </c>
      <c r="BP80" s="115">
        <v>0.3</v>
      </c>
      <c r="BQ80" s="115">
        <v>0.38</v>
      </c>
      <c r="BR80" s="122" t="str">
        <f t="shared" si="17"/>
        <v/>
      </c>
      <c r="BW80" s="122" t="s">
        <v>287</v>
      </c>
      <c r="BX80" s="115">
        <v>4</v>
      </c>
      <c r="BY80" s="115">
        <v>0.3</v>
      </c>
      <c r="BZ80" s="115">
        <v>0.4</v>
      </c>
      <c r="CA80" s="115">
        <v>0.56000000000000005</v>
      </c>
      <c r="CB80" s="122" t="str">
        <f t="shared" si="18"/>
        <v/>
      </c>
      <c r="CJ80" s="234"/>
      <c r="CK80" s="230"/>
      <c r="DA80" s="122" t="s">
        <v>247</v>
      </c>
      <c r="DB80" s="122" t="s">
        <v>6123</v>
      </c>
      <c r="DC80" s="122" t="s">
        <v>2431</v>
      </c>
      <c r="DD80" s="127">
        <v>8</v>
      </c>
      <c r="DE80" s="127">
        <v>8</v>
      </c>
      <c r="DG80" s="405" t="s">
        <v>247</v>
      </c>
      <c r="DH80" s="406" t="s">
        <v>2431</v>
      </c>
      <c r="DI80" s="406" t="str">
        <f t="shared" si="19"/>
        <v>AL, Minador do Negrão</v>
      </c>
      <c r="DJ80" s="406">
        <v>-9.3049999999999997</v>
      </c>
      <c r="DK80" s="80">
        <v>-36.865000000000002</v>
      </c>
      <c r="DL80" s="80">
        <v>270</v>
      </c>
      <c r="DM80" s="64">
        <v>8</v>
      </c>
      <c r="DN80" s="406" t="s">
        <v>6094</v>
      </c>
      <c r="DO80" s="406">
        <v>-9.41</v>
      </c>
      <c r="DP80" s="80">
        <v>275</v>
      </c>
    </row>
    <row r="81" spans="29:120" x14ac:dyDescent="0.25">
      <c r="AC81" s="122" t="s">
        <v>333</v>
      </c>
      <c r="AD81" s="122" t="s">
        <v>483</v>
      </c>
      <c r="AE81" s="127">
        <v>3</v>
      </c>
      <c r="AN81" t="s">
        <v>5852</v>
      </c>
      <c r="AO81">
        <v>10.35</v>
      </c>
      <c r="AP81">
        <v>15.5</v>
      </c>
      <c r="BC81" s="122" t="s">
        <v>287</v>
      </c>
      <c r="BD81" s="115">
        <v>4</v>
      </c>
      <c r="BE81" s="115">
        <v>0.4</v>
      </c>
      <c r="BF81" s="115">
        <v>100</v>
      </c>
      <c r="BG81" s="115">
        <v>0.33</v>
      </c>
      <c r="BH81" s="122" t="str">
        <f t="shared" si="16"/>
        <v/>
      </c>
      <c r="BM81" s="122" t="s">
        <v>287</v>
      </c>
      <c r="BN81" s="115">
        <v>8</v>
      </c>
      <c r="BO81" s="115">
        <v>0.2</v>
      </c>
      <c r="BP81" s="115">
        <v>0.3</v>
      </c>
      <c r="BQ81" s="115">
        <v>0.45</v>
      </c>
      <c r="BR81" s="122" t="str">
        <f t="shared" si="17"/>
        <v/>
      </c>
      <c r="BW81" s="122" t="s">
        <v>287</v>
      </c>
      <c r="BX81" s="115">
        <v>4</v>
      </c>
      <c r="BY81" s="115">
        <v>0.4</v>
      </c>
      <c r="BZ81" s="115">
        <v>100</v>
      </c>
      <c r="CA81" s="115">
        <v>0.56999999999999995</v>
      </c>
      <c r="CB81" s="122" t="str">
        <f t="shared" si="18"/>
        <v/>
      </c>
      <c r="CJ81" s="234"/>
      <c r="CK81" s="230"/>
      <c r="DA81" s="122" t="s">
        <v>247</v>
      </c>
      <c r="DB81" s="122" t="s">
        <v>5409</v>
      </c>
      <c r="DC81" s="122" t="s">
        <v>5409</v>
      </c>
      <c r="DD81" s="127">
        <v>8</v>
      </c>
      <c r="DE81" s="127">
        <v>8</v>
      </c>
      <c r="DG81" s="405" t="s">
        <v>247</v>
      </c>
      <c r="DH81" s="406" t="s">
        <v>5409</v>
      </c>
      <c r="DI81" s="406" t="str">
        <f t="shared" si="19"/>
        <v>AL, Monteirópolis</v>
      </c>
      <c r="DJ81" s="406">
        <v>-9.6029999999999998</v>
      </c>
      <c r="DK81" s="80">
        <v>-37.247999999999998</v>
      </c>
      <c r="DL81" s="80">
        <v>228</v>
      </c>
      <c r="DM81" s="64">
        <v>8</v>
      </c>
      <c r="DN81" s="406" t="s">
        <v>6093</v>
      </c>
      <c r="DO81" s="406">
        <v>-9.75</v>
      </c>
      <c r="DP81" s="80">
        <v>19</v>
      </c>
    </row>
    <row r="82" spans="29:120" x14ac:dyDescent="0.25">
      <c r="AC82" s="122" t="s">
        <v>311</v>
      </c>
      <c r="AD82" s="122" t="s">
        <v>485</v>
      </c>
      <c r="AE82" s="127">
        <v>2</v>
      </c>
      <c r="BC82" s="122" t="s">
        <v>287</v>
      </c>
      <c r="BD82" s="115">
        <v>5</v>
      </c>
      <c r="BE82" s="115">
        <v>0</v>
      </c>
      <c r="BF82" s="115">
        <v>0.2</v>
      </c>
      <c r="BG82" s="115">
        <v>0.28999999999999998</v>
      </c>
      <c r="BH82" s="122" t="str">
        <f t="shared" si="16"/>
        <v/>
      </c>
      <c r="BM82" s="122" t="s">
        <v>287</v>
      </c>
      <c r="BN82" s="115">
        <v>1</v>
      </c>
      <c r="BO82" s="115">
        <v>0.3</v>
      </c>
      <c r="BP82" s="115">
        <v>0.4</v>
      </c>
      <c r="BQ82" s="115">
        <v>0.64</v>
      </c>
      <c r="BR82" s="122" t="str">
        <f t="shared" si="17"/>
        <v/>
      </c>
      <c r="BW82" s="122" t="s">
        <v>287</v>
      </c>
      <c r="BX82" s="115">
        <v>5</v>
      </c>
      <c r="BY82" s="115">
        <v>0</v>
      </c>
      <c r="BZ82" s="115">
        <v>0.2</v>
      </c>
      <c r="CA82" s="115">
        <v>0.5</v>
      </c>
      <c r="CB82" s="122" t="str">
        <f t="shared" si="18"/>
        <v/>
      </c>
      <c r="CJ82" s="234"/>
      <c r="CK82" s="230"/>
      <c r="DA82" s="122" t="s">
        <v>247</v>
      </c>
      <c r="DB82" s="122" t="s">
        <v>5405</v>
      </c>
      <c r="DC82" s="122" t="s">
        <v>5405</v>
      </c>
      <c r="DD82" s="127">
        <v>8</v>
      </c>
      <c r="DE82" s="127">
        <v>8</v>
      </c>
      <c r="DG82" s="405" t="s">
        <v>247</v>
      </c>
      <c r="DH82" s="406" t="s">
        <v>5405</v>
      </c>
      <c r="DI82" s="406" t="str">
        <f t="shared" si="19"/>
        <v>AL, Murici</v>
      </c>
      <c r="DJ82" s="406">
        <v>-9.3070000000000004</v>
      </c>
      <c r="DK82" s="80">
        <v>-35.942999999999998</v>
      </c>
      <c r="DL82" s="80">
        <v>82</v>
      </c>
      <c r="DM82" s="64">
        <v>8</v>
      </c>
      <c r="DN82" s="406" t="s">
        <v>6091</v>
      </c>
      <c r="DO82" s="406">
        <v>-9.2899999999999991</v>
      </c>
      <c r="DP82" s="80">
        <v>19</v>
      </c>
    </row>
    <row r="83" spans="29:120" x14ac:dyDescent="0.25">
      <c r="AC83" s="122" t="s">
        <v>27</v>
      </c>
      <c r="AD83" s="122" t="s">
        <v>487</v>
      </c>
      <c r="AE83" s="127">
        <v>2</v>
      </c>
      <c r="BC83" s="122" t="s">
        <v>287</v>
      </c>
      <c r="BD83" s="115">
        <v>5</v>
      </c>
      <c r="BE83" s="115">
        <v>0.2</v>
      </c>
      <c r="BF83" s="115">
        <v>0.3</v>
      </c>
      <c r="BG83" s="115">
        <v>0.28999999999999998</v>
      </c>
      <c r="BH83" s="122" t="str">
        <f t="shared" si="16"/>
        <v/>
      </c>
      <c r="BM83" s="122" t="s">
        <v>287</v>
      </c>
      <c r="BN83" s="115">
        <v>2</v>
      </c>
      <c r="BO83" s="115">
        <v>0.3</v>
      </c>
      <c r="BP83" s="115">
        <v>0.4</v>
      </c>
      <c r="BQ83" s="115">
        <v>0.56000000000000005</v>
      </c>
      <c r="BR83" s="122" t="str">
        <f t="shared" si="17"/>
        <v/>
      </c>
      <c r="BW83" s="122" t="s">
        <v>287</v>
      </c>
      <c r="BX83" s="115">
        <v>5</v>
      </c>
      <c r="BY83" s="115">
        <v>0.2</v>
      </c>
      <c r="BZ83" s="115">
        <v>0.3</v>
      </c>
      <c r="CA83" s="115">
        <v>0.5</v>
      </c>
      <c r="CB83" s="122" t="str">
        <f t="shared" si="18"/>
        <v/>
      </c>
      <c r="CJ83" s="234"/>
      <c r="CK83" s="230"/>
      <c r="DA83" s="122" t="s">
        <v>247</v>
      </c>
      <c r="DB83" s="122" t="s">
        <v>6124</v>
      </c>
      <c r="DC83" s="122" t="s">
        <v>5372</v>
      </c>
      <c r="DD83" s="127">
        <v>8</v>
      </c>
      <c r="DE83" s="127">
        <v>8</v>
      </c>
      <c r="DG83" s="405" t="s">
        <v>247</v>
      </c>
      <c r="DH83" s="406" t="s">
        <v>5372</v>
      </c>
      <c r="DI83" s="406" t="str">
        <f t="shared" si="19"/>
        <v>AL, Novo Lino</v>
      </c>
      <c r="DJ83" s="406">
        <v>-8.9149999999999991</v>
      </c>
      <c r="DK83" s="80">
        <v>-35.646999999999998</v>
      </c>
      <c r="DL83" s="80">
        <v>146</v>
      </c>
      <c r="DM83" s="64">
        <v>8</v>
      </c>
      <c r="DN83" s="406" t="s">
        <v>6097</v>
      </c>
      <c r="DO83" s="406">
        <v>-8.67</v>
      </c>
      <c r="DP83" s="80">
        <v>180</v>
      </c>
    </row>
    <row r="84" spans="29:120" x14ac:dyDescent="0.25">
      <c r="AC84" s="122" t="s">
        <v>333</v>
      </c>
      <c r="AD84" s="122" t="s">
        <v>489</v>
      </c>
      <c r="AE84" s="127">
        <v>3</v>
      </c>
      <c r="BC84" s="122" t="s">
        <v>287</v>
      </c>
      <c r="BD84" s="115">
        <v>5</v>
      </c>
      <c r="BE84" s="115">
        <v>0.3</v>
      </c>
      <c r="BF84" s="115">
        <v>0.4</v>
      </c>
      <c r="BG84" s="115">
        <v>0.28999999999999998</v>
      </c>
      <c r="BH84" s="122" t="str">
        <f t="shared" si="16"/>
        <v/>
      </c>
      <c r="BM84" s="122" t="s">
        <v>287</v>
      </c>
      <c r="BN84" s="115">
        <v>3</v>
      </c>
      <c r="BO84" s="115">
        <v>0.3</v>
      </c>
      <c r="BP84" s="115">
        <v>0.4</v>
      </c>
      <c r="BQ84" s="115">
        <v>0.59</v>
      </c>
      <c r="BR84" s="122" t="str">
        <f t="shared" si="17"/>
        <v/>
      </c>
      <c r="BW84" s="122" t="s">
        <v>287</v>
      </c>
      <c r="BX84" s="115">
        <v>5</v>
      </c>
      <c r="BY84" s="115">
        <v>0.3</v>
      </c>
      <c r="BZ84" s="115">
        <v>0.4</v>
      </c>
      <c r="CA84" s="115">
        <v>0.51</v>
      </c>
      <c r="CB84" s="122" t="str">
        <f t="shared" si="18"/>
        <v/>
      </c>
      <c r="CJ84" s="234"/>
      <c r="CK84" s="230"/>
      <c r="DA84" s="122" t="s">
        <v>247</v>
      </c>
      <c r="DB84" s="122" t="s">
        <v>6125</v>
      </c>
      <c r="DC84" s="122" t="s">
        <v>2565</v>
      </c>
      <c r="DD84" s="127">
        <v>8</v>
      </c>
      <c r="DE84" s="127">
        <v>8</v>
      </c>
      <c r="DG84" s="405" t="s">
        <v>247</v>
      </c>
      <c r="DH84" s="406" t="s">
        <v>2565</v>
      </c>
      <c r="DI84" s="406" t="str">
        <f t="shared" si="19"/>
        <v>AL, Olho d'Água das Flores</v>
      </c>
      <c r="DJ84" s="406">
        <v>-9.5359999999999996</v>
      </c>
      <c r="DK84" s="80">
        <v>-37.293999999999997</v>
      </c>
      <c r="DL84" s="80">
        <v>286</v>
      </c>
      <c r="DM84" s="64">
        <v>8</v>
      </c>
      <c r="DN84" s="406" t="s">
        <v>6093</v>
      </c>
      <c r="DO84" s="406">
        <v>-9.75</v>
      </c>
      <c r="DP84" s="80">
        <v>19</v>
      </c>
    </row>
    <row r="85" spans="29:120" x14ac:dyDescent="0.25">
      <c r="AC85" s="122" t="s">
        <v>27</v>
      </c>
      <c r="AD85" s="122" t="s">
        <v>491</v>
      </c>
      <c r="AE85" s="127">
        <v>2</v>
      </c>
      <c r="BC85" s="122" t="s">
        <v>287</v>
      </c>
      <c r="BD85" s="115">
        <v>5</v>
      </c>
      <c r="BE85" s="115">
        <v>0.4</v>
      </c>
      <c r="BF85" s="115">
        <v>100</v>
      </c>
      <c r="BG85" s="115">
        <v>0.27</v>
      </c>
      <c r="BH85" s="122" t="str">
        <f t="shared" si="16"/>
        <v/>
      </c>
      <c r="BM85" s="122" t="s">
        <v>287</v>
      </c>
      <c r="BN85" s="115">
        <v>4</v>
      </c>
      <c r="BO85" s="115">
        <v>0.3</v>
      </c>
      <c r="BP85" s="115">
        <v>0.4</v>
      </c>
      <c r="BQ85" s="115">
        <v>0.63</v>
      </c>
      <c r="BR85" s="122" t="str">
        <f t="shared" si="17"/>
        <v/>
      </c>
      <c r="BW85" s="122" t="s">
        <v>287</v>
      </c>
      <c r="BX85" s="115">
        <v>5</v>
      </c>
      <c r="BY85" s="115">
        <v>0.4</v>
      </c>
      <c r="BZ85" s="115">
        <v>100</v>
      </c>
      <c r="CA85" s="115">
        <v>0.52</v>
      </c>
      <c r="CB85" s="122" t="str">
        <f t="shared" si="18"/>
        <v/>
      </c>
      <c r="CJ85" s="234"/>
      <c r="CK85" s="230"/>
      <c r="DA85" s="122" t="s">
        <v>247</v>
      </c>
      <c r="DB85" s="122" t="s">
        <v>6126</v>
      </c>
      <c r="DC85" s="122" t="s">
        <v>5351</v>
      </c>
      <c r="DD85" s="127">
        <v>8</v>
      </c>
      <c r="DE85" s="127">
        <v>8</v>
      </c>
      <c r="DG85" s="405" t="s">
        <v>247</v>
      </c>
      <c r="DH85" s="406" t="s">
        <v>5351</v>
      </c>
      <c r="DI85" s="406" t="str">
        <f t="shared" si="19"/>
        <v>AL, Olho d'Água do Casado</v>
      </c>
      <c r="DJ85" s="406">
        <v>-9.5009999999999994</v>
      </c>
      <c r="DK85" s="80">
        <v>-37.832000000000001</v>
      </c>
      <c r="DL85" s="80">
        <v>230</v>
      </c>
      <c r="DM85" s="64">
        <v>8</v>
      </c>
      <c r="DN85" s="406" t="s">
        <v>6087</v>
      </c>
      <c r="DO85" s="406">
        <v>-9.41</v>
      </c>
      <c r="DP85" s="80">
        <v>253</v>
      </c>
    </row>
    <row r="86" spans="29:120" x14ac:dyDescent="0.25">
      <c r="AC86" s="122" t="s">
        <v>236</v>
      </c>
      <c r="AD86" s="122" t="s">
        <v>492</v>
      </c>
      <c r="AE86" s="127">
        <v>2</v>
      </c>
      <c r="BC86" s="122" t="s">
        <v>287</v>
      </c>
      <c r="BD86" s="115">
        <v>6</v>
      </c>
      <c r="BE86" s="115">
        <v>0</v>
      </c>
      <c r="BF86" s="115">
        <v>0.2</v>
      </c>
      <c r="BG86" s="115">
        <v>0.32</v>
      </c>
      <c r="BH86" s="122" t="str">
        <f t="shared" si="16"/>
        <v/>
      </c>
      <c r="BM86" s="122" t="s">
        <v>287</v>
      </c>
      <c r="BN86" s="115">
        <v>5</v>
      </c>
      <c r="BO86" s="115">
        <v>0.3</v>
      </c>
      <c r="BP86" s="115">
        <v>0.4</v>
      </c>
      <c r="BQ86" s="115">
        <v>0.54</v>
      </c>
      <c r="BR86" s="122" t="str">
        <f t="shared" si="17"/>
        <v/>
      </c>
      <c r="BW86" s="122" t="s">
        <v>287</v>
      </c>
      <c r="BX86" s="115">
        <v>6</v>
      </c>
      <c r="BY86" s="115">
        <v>0</v>
      </c>
      <c r="BZ86" s="115">
        <v>0.2</v>
      </c>
      <c r="CA86" s="115">
        <v>0.51</v>
      </c>
      <c r="CB86" s="122" t="str">
        <f t="shared" si="18"/>
        <v/>
      </c>
      <c r="CK86" s="230"/>
      <c r="DA86" s="122" t="s">
        <v>247</v>
      </c>
      <c r="DB86" s="122" t="s">
        <v>6127</v>
      </c>
      <c r="DC86" s="122" t="s">
        <v>5333</v>
      </c>
      <c r="DD86" s="127">
        <v>8</v>
      </c>
      <c r="DE86" s="127">
        <v>8</v>
      </c>
      <c r="DG86" s="405" t="s">
        <v>247</v>
      </c>
      <c r="DH86" s="406" t="s">
        <v>5333</v>
      </c>
      <c r="DI86" s="406" t="str">
        <f t="shared" si="19"/>
        <v>AL, Olho d'Água Grande</v>
      </c>
      <c r="DJ86" s="406">
        <v>-10.058</v>
      </c>
      <c r="DK86" s="80">
        <v>-36.817</v>
      </c>
      <c r="DL86" s="80">
        <v>118</v>
      </c>
      <c r="DM86" s="64">
        <v>8</v>
      </c>
      <c r="DN86" s="406" t="s">
        <v>6088</v>
      </c>
      <c r="DO86" s="406">
        <v>-9.8000000000000007</v>
      </c>
      <c r="DP86" s="80">
        <v>241</v>
      </c>
    </row>
    <row r="87" spans="29:120" x14ac:dyDescent="0.25">
      <c r="AC87" s="122" t="s">
        <v>27</v>
      </c>
      <c r="AD87" s="122" t="s">
        <v>493</v>
      </c>
      <c r="AE87" s="127">
        <v>3</v>
      </c>
      <c r="BC87" s="122" t="s">
        <v>287</v>
      </c>
      <c r="BD87" s="115">
        <v>6</v>
      </c>
      <c r="BE87" s="115">
        <v>0.2</v>
      </c>
      <c r="BF87" s="115">
        <v>0.3</v>
      </c>
      <c r="BG87" s="115">
        <v>0.31</v>
      </c>
      <c r="BH87" s="122" t="str">
        <f t="shared" si="16"/>
        <v/>
      </c>
      <c r="BM87" s="122" t="s">
        <v>287</v>
      </c>
      <c r="BN87" s="115">
        <v>6</v>
      </c>
      <c r="BO87" s="115">
        <v>0.3</v>
      </c>
      <c r="BP87" s="115">
        <v>0.4</v>
      </c>
      <c r="BQ87" s="115">
        <v>0.55000000000000004</v>
      </c>
      <c r="BR87" s="122" t="str">
        <f t="shared" si="17"/>
        <v/>
      </c>
      <c r="BW87" s="122" t="s">
        <v>287</v>
      </c>
      <c r="BX87" s="115">
        <v>6</v>
      </c>
      <c r="BY87" s="115">
        <v>0.2</v>
      </c>
      <c r="BZ87" s="115">
        <v>0.3</v>
      </c>
      <c r="CA87" s="115">
        <v>0.51</v>
      </c>
      <c r="CB87" s="122" t="str">
        <f t="shared" si="18"/>
        <v/>
      </c>
      <c r="CK87" s="230"/>
      <c r="DA87" s="122" t="s">
        <v>247</v>
      </c>
      <c r="DB87" s="122" t="s">
        <v>2613</v>
      </c>
      <c r="DC87" s="122" t="s">
        <v>2613</v>
      </c>
      <c r="DD87" s="127">
        <v>8</v>
      </c>
      <c r="DE87" s="127">
        <v>8</v>
      </c>
      <c r="DG87" s="405" t="s">
        <v>247</v>
      </c>
      <c r="DH87" s="406" t="s">
        <v>2613</v>
      </c>
      <c r="DI87" s="406" t="str">
        <f t="shared" si="19"/>
        <v>AL, Olivença</v>
      </c>
      <c r="DJ87" s="406">
        <v>-9.5190000000000001</v>
      </c>
      <c r="DK87" s="80">
        <v>-37.191000000000003</v>
      </c>
      <c r="DL87" s="80">
        <v>231</v>
      </c>
      <c r="DM87" s="64">
        <v>8</v>
      </c>
      <c r="DN87" s="406" t="s">
        <v>6093</v>
      </c>
      <c r="DO87" s="406">
        <v>-9.75</v>
      </c>
      <c r="DP87" s="80">
        <v>19</v>
      </c>
    </row>
    <row r="88" spans="29:120" x14ac:dyDescent="0.25">
      <c r="AC88" s="122" t="s">
        <v>333</v>
      </c>
      <c r="AD88" s="122" t="s">
        <v>494</v>
      </c>
      <c r="AE88" s="127">
        <v>3</v>
      </c>
      <c r="BC88" s="122" t="s">
        <v>287</v>
      </c>
      <c r="BD88" s="115">
        <v>6</v>
      </c>
      <c r="BE88" s="115">
        <v>0.3</v>
      </c>
      <c r="BF88" s="115">
        <v>0.4</v>
      </c>
      <c r="BG88" s="115">
        <v>0.32</v>
      </c>
      <c r="BH88" s="122" t="str">
        <f t="shared" si="16"/>
        <v/>
      </c>
      <c r="BM88" s="122" t="s">
        <v>287</v>
      </c>
      <c r="BN88" s="115">
        <v>7</v>
      </c>
      <c r="BO88" s="115">
        <v>0.3</v>
      </c>
      <c r="BP88" s="115">
        <v>0.4</v>
      </c>
      <c r="BQ88" s="115">
        <v>0.41</v>
      </c>
      <c r="BR88" s="122" t="str">
        <f t="shared" si="17"/>
        <v/>
      </c>
      <c r="BW88" s="122" t="s">
        <v>287</v>
      </c>
      <c r="BX88" s="115">
        <v>6</v>
      </c>
      <c r="BY88" s="115">
        <v>0.3</v>
      </c>
      <c r="BZ88" s="115">
        <v>0.4</v>
      </c>
      <c r="CA88" s="115">
        <v>0.52</v>
      </c>
      <c r="CB88" s="122" t="str">
        <f t="shared" si="18"/>
        <v/>
      </c>
      <c r="CK88" s="230"/>
      <c r="DA88" s="122" t="s">
        <v>247</v>
      </c>
      <c r="DB88" s="122" t="s">
        <v>6128</v>
      </c>
      <c r="DC88" s="122" t="s">
        <v>542</v>
      </c>
      <c r="DD88" s="127">
        <v>8</v>
      </c>
      <c r="DE88" s="127">
        <v>8</v>
      </c>
      <c r="DG88" s="405" t="s">
        <v>247</v>
      </c>
      <c r="DH88" s="406" t="s">
        <v>542</v>
      </c>
      <c r="DI88" s="406" t="str">
        <f t="shared" si="19"/>
        <v>AL, Ouro Branco</v>
      </c>
      <c r="DJ88" s="406">
        <v>-9.1669999999999998</v>
      </c>
      <c r="DK88" s="80">
        <v>-37.356999999999999</v>
      </c>
      <c r="DL88" s="80">
        <v>380</v>
      </c>
      <c r="DM88" s="64">
        <v>8</v>
      </c>
      <c r="DN88" s="406" t="s">
        <v>6093</v>
      </c>
      <c r="DO88" s="406">
        <v>-9.75</v>
      </c>
      <c r="DP88" s="80">
        <v>19</v>
      </c>
    </row>
    <row r="89" spans="29:120" x14ac:dyDescent="0.25">
      <c r="AC89" s="122" t="s">
        <v>333</v>
      </c>
      <c r="AD89" s="122" t="s">
        <v>495</v>
      </c>
      <c r="AE89" s="127">
        <v>3</v>
      </c>
      <c r="BC89" s="122" t="s">
        <v>287</v>
      </c>
      <c r="BD89" s="115">
        <v>6</v>
      </c>
      <c r="BE89" s="115">
        <v>0.4</v>
      </c>
      <c r="BF89" s="115">
        <v>100</v>
      </c>
      <c r="BG89" s="115">
        <v>0.3</v>
      </c>
      <c r="BH89" s="122" t="str">
        <f t="shared" si="16"/>
        <v/>
      </c>
      <c r="BM89" s="122" t="s">
        <v>287</v>
      </c>
      <c r="BN89" s="115">
        <v>8</v>
      </c>
      <c r="BO89" s="115">
        <v>0.3</v>
      </c>
      <c r="BP89" s="115">
        <v>0.4</v>
      </c>
      <c r="BQ89" s="115">
        <v>0.47</v>
      </c>
      <c r="BR89" s="122" t="str">
        <f t="shared" si="17"/>
        <v/>
      </c>
      <c r="BW89" s="122" t="s">
        <v>287</v>
      </c>
      <c r="BX89" s="115">
        <v>6</v>
      </c>
      <c r="BY89" s="115">
        <v>0.4</v>
      </c>
      <c r="BZ89" s="115">
        <v>100</v>
      </c>
      <c r="CA89" s="115">
        <v>0.53</v>
      </c>
      <c r="CB89" s="122" t="str">
        <f t="shared" si="18"/>
        <v/>
      </c>
      <c r="CK89" s="230"/>
      <c r="DA89" s="122" t="s">
        <v>247</v>
      </c>
      <c r="DB89" s="122" t="s">
        <v>3908</v>
      </c>
      <c r="DC89" s="122" t="s">
        <v>3908</v>
      </c>
      <c r="DD89" s="127">
        <v>8</v>
      </c>
      <c r="DE89" s="127">
        <v>8</v>
      </c>
      <c r="DG89" s="405" t="s">
        <v>247</v>
      </c>
      <c r="DH89" s="406" t="s">
        <v>3908</v>
      </c>
      <c r="DI89" s="406" t="str">
        <f t="shared" si="19"/>
        <v>AL, Palestina</v>
      </c>
      <c r="DJ89" s="406">
        <v>-9.6720000000000006</v>
      </c>
      <c r="DK89" s="80">
        <v>-37.329000000000001</v>
      </c>
      <c r="DL89" s="80">
        <v>160</v>
      </c>
      <c r="DM89" s="64">
        <v>8</v>
      </c>
      <c r="DN89" s="406" t="s">
        <v>6093</v>
      </c>
      <c r="DO89" s="406">
        <v>-9.75</v>
      </c>
      <c r="DP89" s="80">
        <v>19</v>
      </c>
    </row>
    <row r="90" spans="29:120" x14ac:dyDescent="0.25">
      <c r="AC90" s="122" t="s">
        <v>333</v>
      </c>
      <c r="AD90" s="122" t="s">
        <v>496</v>
      </c>
      <c r="AE90" s="127">
        <v>3</v>
      </c>
      <c r="BC90" s="122" t="s">
        <v>287</v>
      </c>
      <c r="BD90" s="115">
        <v>7</v>
      </c>
      <c r="BE90" s="115">
        <v>0</v>
      </c>
      <c r="BF90" s="115">
        <v>0.2</v>
      </c>
      <c r="BG90" s="115">
        <v>0.25</v>
      </c>
      <c r="BH90" s="122" t="str">
        <f t="shared" si="16"/>
        <v/>
      </c>
      <c r="BM90" s="122" t="s">
        <v>287</v>
      </c>
      <c r="BN90" s="115">
        <v>1</v>
      </c>
      <c r="BO90" s="115">
        <v>0.4</v>
      </c>
      <c r="BP90" s="115">
        <v>100</v>
      </c>
      <c r="BQ90" s="115">
        <v>0.66</v>
      </c>
      <c r="BR90" s="122" t="str">
        <f t="shared" si="17"/>
        <v/>
      </c>
      <c r="BW90" s="122" t="s">
        <v>287</v>
      </c>
      <c r="BX90" s="115">
        <v>7</v>
      </c>
      <c r="BY90" s="115">
        <v>0</v>
      </c>
      <c r="BZ90" s="115">
        <v>0.2</v>
      </c>
      <c r="CA90" s="115">
        <v>0.42</v>
      </c>
      <c r="CB90" s="122" t="str">
        <f t="shared" si="18"/>
        <v/>
      </c>
      <c r="CK90" s="230"/>
      <c r="DA90" s="122" t="s">
        <v>247</v>
      </c>
      <c r="DB90" s="122" t="s">
        <v>6129</v>
      </c>
      <c r="DC90" s="122" t="s">
        <v>5311</v>
      </c>
      <c r="DD90" s="127">
        <v>8</v>
      </c>
      <c r="DE90" s="127">
        <v>8</v>
      </c>
      <c r="DG90" s="405" t="s">
        <v>247</v>
      </c>
      <c r="DH90" s="406" t="s">
        <v>5311</v>
      </c>
      <c r="DI90" s="406" t="str">
        <f t="shared" si="19"/>
        <v>AL, Palmeira dos Índios</v>
      </c>
      <c r="DJ90" s="406">
        <v>-9.407</v>
      </c>
      <c r="DK90" s="80">
        <v>-36.628</v>
      </c>
      <c r="DL90" s="80">
        <v>342</v>
      </c>
      <c r="DM90" s="64">
        <v>8</v>
      </c>
      <c r="DN90" s="406" t="s">
        <v>6094</v>
      </c>
      <c r="DO90" s="406">
        <v>-9.41</v>
      </c>
      <c r="DP90" s="80">
        <v>275</v>
      </c>
    </row>
    <row r="91" spans="29:120" x14ac:dyDescent="0.25">
      <c r="AC91" s="122" t="s">
        <v>358</v>
      </c>
      <c r="AD91" s="122" t="s">
        <v>497</v>
      </c>
      <c r="AE91" s="127">
        <v>3</v>
      </c>
      <c r="BC91" s="122" t="s">
        <v>287</v>
      </c>
      <c r="BD91" s="115">
        <v>7</v>
      </c>
      <c r="BE91" s="115">
        <v>0.2</v>
      </c>
      <c r="BF91" s="115">
        <v>0.3</v>
      </c>
      <c r="BG91" s="115">
        <v>0.25</v>
      </c>
      <c r="BH91" s="122" t="str">
        <f t="shared" si="16"/>
        <v/>
      </c>
      <c r="BM91" s="122" t="s">
        <v>287</v>
      </c>
      <c r="BN91" s="115">
        <v>2</v>
      </c>
      <c r="BO91" s="115">
        <v>0.4</v>
      </c>
      <c r="BP91" s="115">
        <v>100</v>
      </c>
      <c r="BQ91" s="115">
        <v>0.56999999999999995</v>
      </c>
      <c r="BR91" s="122" t="str">
        <f t="shared" si="17"/>
        <v/>
      </c>
      <c r="BW91" s="122" t="s">
        <v>287</v>
      </c>
      <c r="BX91" s="115">
        <v>7</v>
      </c>
      <c r="BY91" s="115">
        <v>0.2</v>
      </c>
      <c r="BZ91" s="115">
        <v>0.3</v>
      </c>
      <c r="CA91" s="115">
        <v>0.43</v>
      </c>
      <c r="CB91" s="122" t="str">
        <f t="shared" si="18"/>
        <v/>
      </c>
      <c r="CK91" s="230"/>
      <c r="DA91" s="122" t="s">
        <v>247</v>
      </c>
      <c r="DB91" s="122" t="s">
        <v>6130</v>
      </c>
      <c r="DC91" s="122" t="s">
        <v>5529</v>
      </c>
      <c r="DD91" s="127">
        <v>8</v>
      </c>
      <c r="DE91" s="127">
        <v>8</v>
      </c>
      <c r="DG91" s="405" t="s">
        <v>247</v>
      </c>
      <c r="DH91" s="406" t="s">
        <v>5529</v>
      </c>
      <c r="DI91" s="406" t="str">
        <f t="shared" si="19"/>
        <v>AL, Pão de Açúcar</v>
      </c>
      <c r="DJ91" s="406">
        <v>-9.7479999999999993</v>
      </c>
      <c r="DK91" s="80">
        <v>-37.436999999999998</v>
      </c>
      <c r="DL91" s="80">
        <v>19</v>
      </c>
      <c r="DM91" s="64">
        <v>8</v>
      </c>
      <c r="DN91" s="406" t="s">
        <v>6093</v>
      </c>
      <c r="DO91" s="406">
        <v>-9.75</v>
      </c>
      <c r="DP91" s="80">
        <v>19</v>
      </c>
    </row>
    <row r="92" spans="29:120" x14ac:dyDescent="0.25">
      <c r="AC92" s="122" t="s">
        <v>236</v>
      </c>
      <c r="AD92" s="122" t="s">
        <v>498</v>
      </c>
      <c r="AE92" s="127">
        <v>1</v>
      </c>
      <c r="BC92" s="122" t="s">
        <v>287</v>
      </c>
      <c r="BD92" s="115">
        <v>7</v>
      </c>
      <c r="BE92" s="115">
        <v>0.3</v>
      </c>
      <c r="BF92" s="115">
        <v>0.4</v>
      </c>
      <c r="BG92" s="115">
        <v>0.26</v>
      </c>
      <c r="BH92" s="122" t="str">
        <f t="shared" si="16"/>
        <v/>
      </c>
      <c r="BM92" s="122" t="s">
        <v>287</v>
      </c>
      <c r="BN92" s="115">
        <v>3</v>
      </c>
      <c r="BO92" s="115">
        <v>0.4</v>
      </c>
      <c r="BP92" s="115">
        <v>100</v>
      </c>
      <c r="BQ92" s="115">
        <v>0.59</v>
      </c>
      <c r="BR92" s="122" t="str">
        <f t="shared" si="17"/>
        <v/>
      </c>
      <c r="BW92" s="122" t="s">
        <v>287</v>
      </c>
      <c r="BX92" s="115">
        <v>7</v>
      </c>
      <c r="BY92" s="115">
        <v>0.3</v>
      </c>
      <c r="BZ92" s="115">
        <v>0.4</v>
      </c>
      <c r="CA92" s="115">
        <v>0.44</v>
      </c>
      <c r="CB92" s="122" t="str">
        <f t="shared" si="18"/>
        <v/>
      </c>
      <c r="DA92" s="122" t="s">
        <v>247</v>
      </c>
      <c r="DB92" s="122" t="s">
        <v>1968</v>
      </c>
      <c r="DC92" s="122" t="s">
        <v>1968</v>
      </c>
      <c r="DD92" s="127">
        <v>5</v>
      </c>
      <c r="DE92" s="127">
        <v>5</v>
      </c>
      <c r="DG92" s="405" t="s">
        <v>247</v>
      </c>
      <c r="DH92" s="406" t="s">
        <v>1968</v>
      </c>
      <c r="DI92" s="406" t="str">
        <f t="shared" si="19"/>
        <v>AL, Pariconha</v>
      </c>
      <c r="DJ92" s="406">
        <v>-9.2539999999999996</v>
      </c>
      <c r="DK92" s="80">
        <v>-38.006</v>
      </c>
      <c r="DL92" s="80">
        <v>339</v>
      </c>
      <c r="DM92" s="64">
        <v>5</v>
      </c>
      <c r="DN92" s="406" t="s">
        <v>6087</v>
      </c>
      <c r="DO92" s="406">
        <v>-9.41</v>
      </c>
      <c r="DP92" s="80">
        <v>253</v>
      </c>
    </row>
    <row r="93" spans="29:120" x14ac:dyDescent="0.25">
      <c r="AC93" s="122" t="s">
        <v>311</v>
      </c>
      <c r="AD93" s="122" t="s">
        <v>499</v>
      </c>
      <c r="AE93" s="127">
        <v>1</v>
      </c>
      <c r="BC93" s="122" t="s">
        <v>287</v>
      </c>
      <c r="BD93" s="115">
        <v>7</v>
      </c>
      <c r="BE93" s="115">
        <v>0.4</v>
      </c>
      <c r="BF93" s="115">
        <v>100</v>
      </c>
      <c r="BG93" s="115">
        <v>0.24</v>
      </c>
      <c r="BH93" s="122" t="str">
        <f t="shared" si="16"/>
        <v/>
      </c>
      <c r="BM93" s="122" t="s">
        <v>287</v>
      </c>
      <c r="BN93" s="115">
        <v>4</v>
      </c>
      <c r="BO93" s="115">
        <v>0.4</v>
      </c>
      <c r="BP93" s="115">
        <v>100</v>
      </c>
      <c r="BQ93" s="115">
        <v>0.64</v>
      </c>
      <c r="BR93" s="122" t="str">
        <f t="shared" si="17"/>
        <v/>
      </c>
      <c r="BW93" s="122" t="s">
        <v>287</v>
      </c>
      <c r="BX93" s="115">
        <v>7</v>
      </c>
      <c r="BY93" s="115">
        <v>0.4</v>
      </c>
      <c r="BZ93" s="115">
        <v>100</v>
      </c>
      <c r="CA93" s="115">
        <v>0.44</v>
      </c>
      <c r="CB93" s="122" t="str">
        <f t="shared" si="18"/>
        <v/>
      </c>
      <c r="DA93" s="122" t="s">
        <v>247</v>
      </c>
      <c r="DB93" s="122" t="s">
        <v>5118</v>
      </c>
      <c r="DC93" s="122" t="s">
        <v>5118</v>
      </c>
      <c r="DD93" s="127">
        <v>8</v>
      </c>
      <c r="DE93" s="127">
        <v>8</v>
      </c>
      <c r="DG93" s="405" t="s">
        <v>247</v>
      </c>
      <c r="DH93" s="406" t="s">
        <v>5118</v>
      </c>
      <c r="DI93" s="406" t="str">
        <f t="shared" si="19"/>
        <v>AL, Paripueira</v>
      </c>
      <c r="DJ93" s="406">
        <v>-9.4649999999999999</v>
      </c>
      <c r="DK93" s="80">
        <v>-35.552</v>
      </c>
      <c r="DL93" s="80">
        <v>35</v>
      </c>
      <c r="DM93" s="64">
        <v>8</v>
      </c>
      <c r="DN93" s="406" t="s">
        <v>6091</v>
      </c>
      <c r="DO93" s="406">
        <v>-9.2899999999999991</v>
      </c>
      <c r="DP93" s="80">
        <v>19</v>
      </c>
    </row>
    <row r="94" spans="29:120" x14ac:dyDescent="0.25">
      <c r="AC94" s="122" t="s">
        <v>333</v>
      </c>
      <c r="AD94" s="122" t="s">
        <v>500</v>
      </c>
      <c r="AE94" s="127">
        <v>3</v>
      </c>
      <c r="BC94" s="122" t="s">
        <v>287</v>
      </c>
      <c r="BD94" s="115">
        <v>8</v>
      </c>
      <c r="BE94" s="115">
        <v>0</v>
      </c>
      <c r="BF94" s="115">
        <v>0.2</v>
      </c>
      <c r="BG94" s="115">
        <v>0.23</v>
      </c>
      <c r="BH94" s="122" t="str">
        <f t="shared" si="16"/>
        <v/>
      </c>
      <c r="BM94" s="122" t="s">
        <v>287</v>
      </c>
      <c r="BN94" s="115">
        <v>5</v>
      </c>
      <c r="BO94" s="115">
        <v>0.4</v>
      </c>
      <c r="BP94" s="115">
        <v>100</v>
      </c>
      <c r="BQ94" s="115">
        <v>0.55000000000000004</v>
      </c>
      <c r="BR94" s="122" t="str">
        <f t="shared" si="17"/>
        <v/>
      </c>
      <c r="BW94" s="122" t="s">
        <v>287</v>
      </c>
      <c r="BX94" s="115">
        <v>8</v>
      </c>
      <c r="BY94" s="115">
        <v>0</v>
      </c>
      <c r="BZ94" s="115">
        <v>0.2</v>
      </c>
      <c r="CA94" s="115">
        <v>0.46</v>
      </c>
      <c r="CB94" s="122" t="str">
        <f t="shared" si="18"/>
        <v/>
      </c>
      <c r="DA94" s="122" t="s">
        <v>247</v>
      </c>
      <c r="DB94" s="122" t="s">
        <v>6131</v>
      </c>
      <c r="DC94" s="122" t="s">
        <v>2573</v>
      </c>
      <c r="DD94" s="127">
        <v>8</v>
      </c>
      <c r="DE94" s="127">
        <v>8</v>
      </c>
      <c r="DG94" s="405" t="s">
        <v>247</v>
      </c>
      <c r="DH94" s="406" t="s">
        <v>2573</v>
      </c>
      <c r="DI94" s="406" t="str">
        <f t="shared" si="19"/>
        <v>AL, Passo de Camaragibe</v>
      </c>
      <c r="DJ94" s="406">
        <v>-9.2379999999999995</v>
      </c>
      <c r="DK94" s="80">
        <v>-35.493000000000002</v>
      </c>
      <c r="DL94" s="80">
        <v>4</v>
      </c>
      <c r="DM94" s="64">
        <v>8</v>
      </c>
      <c r="DN94" s="406" t="s">
        <v>6091</v>
      </c>
      <c r="DO94" s="406">
        <v>-9.2899999999999991</v>
      </c>
      <c r="DP94" s="80">
        <v>19</v>
      </c>
    </row>
    <row r="95" spans="29:120" x14ac:dyDescent="0.25">
      <c r="AC95" s="122" t="s">
        <v>311</v>
      </c>
      <c r="AD95" s="122" t="s">
        <v>501</v>
      </c>
      <c r="AE95" s="127">
        <v>2</v>
      </c>
      <c r="BC95" s="122" t="s">
        <v>287</v>
      </c>
      <c r="BD95" s="115">
        <v>8</v>
      </c>
      <c r="BE95" s="115">
        <v>0.2</v>
      </c>
      <c r="BF95" s="115">
        <v>0.3</v>
      </c>
      <c r="BG95" s="115">
        <v>0.22</v>
      </c>
      <c r="BH95" s="122" t="str">
        <f t="shared" si="16"/>
        <v/>
      </c>
      <c r="BM95" s="122" t="s">
        <v>287</v>
      </c>
      <c r="BN95" s="115">
        <v>6</v>
      </c>
      <c r="BO95" s="115">
        <v>0.4</v>
      </c>
      <c r="BP95" s="115">
        <v>100</v>
      </c>
      <c r="BQ95" s="115">
        <v>0.56000000000000005</v>
      </c>
      <c r="BR95" s="122" t="str">
        <f t="shared" si="17"/>
        <v/>
      </c>
      <c r="BW95" s="122" t="s">
        <v>287</v>
      </c>
      <c r="BX95" s="115">
        <v>8</v>
      </c>
      <c r="BY95" s="115">
        <v>0.2</v>
      </c>
      <c r="BZ95" s="115">
        <v>0.3</v>
      </c>
      <c r="CA95" s="115">
        <v>0.46</v>
      </c>
      <c r="CB95" s="122" t="str">
        <f t="shared" si="18"/>
        <v/>
      </c>
      <c r="DA95" s="122" t="s">
        <v>247</v>
      </c>
      <c r="DB95" s="122" t="s">
        <v>6132</v>
      </c>
      <c r="DC95" s="122" t="s">
        <v>2587</v>
      </c>
      <c r="DD95" s="127">
        <v>8</v>
      </c>
      <c r="DE95" s="127">
        <v>8</v>
      </c>
      <c r="DG95" s="405" t="s">
        <v>247</v>
      </c>
      <c r="DH95" s="406" t="s">
        <v>2587</v>
      </c>
      <c r="DI95" s="406" t="str">
        <f t="shared" si="19"/>
        <v>AL, Paulo Jacinto</v>
      </c>
      <c r="DJ95" s="406">
        <v>-9.3659999999999997</v>
      </c>
      <c r="DK95" s="80">
        <v>-36.369999999999997</v>
      </c>
      <c r="DL95" s="80">
        <v>292</v>
      </c>
      <c r="DM95" s="64">
        <v>8</v>
      </c>
      <c r="DN95" s="406" t="s">
        <v>6094</v>
      </c>
      <c r="DO95" s="406">
        <v>-9.41</v>
      </c>
      <c r="DP95" s="80">
        <v>275</v>
      </c>
    </row>
    <row r="96" spans="29:120" x14ac:dyDescent="0.25">
      <c r="AC96" s="122" t="s">
        <v>311</v>
      </c>
      <c r="AD96" s="122" t="s">
        <v>502</v>
      </c>
      <c r="AE96" s="127">
        <v>3</v>
      </c>
      <c r="BC96" s="122" t="s">
        <v>287</v>
      </c>
      <c r="BD96" s="115">
        <v>8</v>
      </c>
      <c r="BE96" s="115">
        <v>0.3</v>
      </c>
      <c r="BF96" s="115">
        <v>0.4</v>
      </c>
      <c r="BG96" s="115">
        <v>0.21</v>
      </c>
      <c r="BH96" s="122" t="str">
        <f t="shared" si="16"/>
        <v/>
      </c>
      <c r="BM96" s="122" t="s">
        <v>287</v>
      </c>
      <c r="BN96" s="115">
        <v>7</v>
      </c>
      <c r="BO96" s="115">
        <v>0.4</v>
      </c>
      <c r="BP96" s="115">
        <v>100</v>
      </c>
      <c r="BQ96" s="115">
        <v>0.42</v>
      </c>
      <c r="BR96" s="122" t="str">
        <f t="shared" si="17"/>
        <v/>
      </c>
      <c r="BW96" s="122" t="s">
        <v>287</v>
      </c>
      <c r="BX96" s="115">
        <v>8</v>
      </c>
      <c r="BY96" s="115">
        <v>0.3</v>
      </c>
      <c r="BZ96" s="115">
        <v>0.4</v>
      </c>
      <c r="CA96" s="115">
        <v>0.47</v>
      </c>
      <c r="CB96" s="122" t="str">
        <f t="shared" si="18"/>
        <v/>
      </c>
      <c r="DA96" s="122" t="s">
        <v>247</v>
      </c>
      <c r="DB96" s="122" t="s">
        <v>5339</v>
      </c>
      <c r="DC96" s="122" t="s">
        <v>5339</v>
      </c>
      <c r="DD96" s="127">
        <v>8</v>
      </c>
      <c r="DE96" s="127">
        <v>8</v>
      </c>
      <c r="DG96" s="405" t="s">
        <v>247</v>
      </c>
      <c r="DH96" s="406" t="s">
        <v>5339</v>
      </c>
      <c r="DI96" s="406" t="str">
        <f t="shared" si="19"/>
        <v>AL, Penedo</v>
      </c>
      <c r="DJ96" s="406">
        <v>-10.29</v>
      </c>
      <c r="DK96" s="80">
        <v>-36.585999999999999</v>
      </c>
      <c r="DL96" s="80">
        <v>27</v>
      </c>
      <c r="DM96" s="64">
        <v>8</v>
      </c>
      <c r="DN96" s="406" t="s">
        <v>6133</v>
      </c>
      <c r="DO96" s="406">
        <v>-10.47</v>
      </c>
      <c r="DP96" s="80">
        <v>10</v>
      </c>
    </row>
    <row r="97" spans="29:120" x14ac:dyDescent="0.25">
      <c r="AC97" s="122" t="s">
        <v>27</v>
      </c>
      <c r="AD97" s="122" t="s">
        <v>503</v>
      </c>
      <c r="AE97" s="127">
        <v>2</v>
      </c>
      <c r="BC97" s="122" t="s">
        <v>287</v>
      </c>
      <c r="BD97" s="115">
        <v>8</v>
      </c>
      <c r="BE97" s="115">
        <v>0.4</v>
      </c>
      <c r="BF97" s="115">
        <v>100</v>
      </c>
      <c r="BG97" s="115">
        <v>0.2</v>
      </c>
      <c r="BH97" s="122" t="str">
        <f t="shared" si="16"/>
        <v/>
      </c>
      <c r="BM97" s="122" t="s">
        <v>287</v>
      </c>
      <c r="BN97" s="115">
        <v>8</v>
      </c>
      <c r="BO97" s="115">
        <v>0.4</v>
      </c>
      <c r="BP97" s="115">
        <v>100</v>
      </c>
      <c r="BQ97" s="115">
        <v>0.48</v>
      </c>
      <c r="BR97" s="122" t="str">
        <f t="shared" si="17"/>
        <v/>
      </c>
      <c r="BW97" s="122" t="s">
        <v>287</v>
      </c>
      <c r="BX97" s="115">
        <v>8</v>
      </c>
      <c r="BY97" s="115">
        <v>0.4</v>
      </c>
      <c r="BZ97" s="115">
        <v>100</v>
      </c>
      <c r="CA97" s="115">
        <v>0.48</v>
      </c>
      <c r="CB97" s="122" t="str">
        <f t="shared" si="18"/>
        <v/>
      </c>
      <c r="DA97" s="122" t="s">
        <v>247</v>
      </c>
      <c r="DB97" s="122" t="s">
        <v>5025</v>
      </c>
      <c r="DC97" s="122" t="s">
        <v>5025</v>
      </c>
      <c r="DD97" s="127">
        <v>8</v>
      </c>
      <c r="DE97" s="127">
        <v>8</v>
      </c>
      <c r="DG97" s="405" t="s">
        <v>247</v>
      </c>
      <c r="DH97" s="406" t="s">
        <v>5025</v>
      </c>
      <c r="DI97" s="406" t="str">
        <f t="shared" si="19"/>
        <v>AL, Piaçabuçu</v>
      </c>
      <c r="DJ97" s="406">
        <v>-10.406000000000001</v>
      </c>
      <c r="DK97" s="80">
        <v>-36.433999999999997</v>
      </c>
      <c r="DL97" s="80">
        <v>3</v>
      </c>
      <c r="DM97" s="64">
        <v>8</v>
      </c>
      <c r="DN97" s="406" t="s">
        <v>6133</v>
      </c>
      <c r="DO97" s="406">
        <v>-10.47</v>
      </c>
      <c r="DP97" s="80">
        <v>10</v>
      </c>
    </row>
    <row r="98" spans="29:120" x14ac:dyDescent="0.25">
      <c r="AC98" s="122" t="s">
        <v>333</v>
      </c>
      <c r="AD98" s="122" t="s">
        <v>504</v>
      </c>
      <c r="AE98" s="127">
        <v>3</v>
      </c>
      <c r="BC98" s="122" t="s">
        <v>10667</v>
      </c>
      <c r="BD98" s="115">
        <v>1</v>
      </c>
      <c r="BE98" s="115">
        <v>0</v>
      </c>
      <c r="BF98" s="115">
        <v>0.2</v>
      </c>
      <c r="BG98" s="115">
        <v>0.23</v>
      </c>
      <c r="BH98" s="122" t="str">
        <f t="shared" si="16"/>
        <v/>
      </c>
      <c r="BM98" s="122" t="s">
        <v>297</v>
      </c>
      <c r="BN98" s="115">
        <v>1</v>
      </c>
      <c r="BO98" s="115">
        <v>0</v>
      </c>
      <c r="BP98" s="115">
        <v>0.2</v>
      </c>
      <c r="BQ98" s="115">
        <v>0.54</v>
      </c>
      <c r="BR98" s="122" t="str">
        <f t="shared" si="17"/>
        <v/>
      </c>
      <c r="BW98" s="122" t="s">
        <v>10667</v>
      </c>
      <c r="BX98" s="115">
        <v>1</v>
      </c>
      <c r="BY98" s="115">
        <v>0</v>
      </c>
      <c r="BZ98" s="115">
        <v>0.2</v>
      </c>
      <c r="CA98" s="115">
        <v>0.49</v>
      </c>
      <c r="CB98" s="122" t="str">
        <f t="shared" si="18"/>
        <v/>
      </c>
      <c r="DA98" s="122" t="s">
        <v>247</v>
      </c>
      <c r="DB98" s="122" t="s">
        <v>2226</v>
      </c>
      <c r="DC98" s="122" t="s">
        <v>2226</v>
      </c>
      <c r="DD98" s="127">
        <v>8</v>
      </c>
      <c r="DE98" s="127">
        <v>8</v>
      </c>
      <c r="DG98" s="405" t="s">
        <v>247</v>
      </c>
      <c r="DH98" s="406" t="s">
        <v>2226</v>
      </c>
      <c r="DI98" s="406" t="str">
        <f t="shared" si="19"/>
        <v>AL, Pilar</v>
      </c>
      <c r="DJ98" s="406">
        <v>-9.5969999999999995</v>
      </c>
      <c r="DK98" s="80">
        <v>-35.957000000000001</v>
      </c>
      <c r="DL98" s="80">
        <v>13</v>
      </c>
      <c r="DM98" s="64">
        <v>8</v>
      </c>
      <c r="DN98" s="406" t="s">
        <v>6089</v>
      </c>
      <c r="DO98" s="406">
        <v>-9.67</v>
      </c>
      <c r="DP98" s="80">
        <v>64</v>
      </c>
    </row>
    <row r="99" spans="29:120" x14ac:dyDescent="0.25">
      <c r="AC99" s="122" t="s">
        <v>333</v>
      </c>
      <c r="AD99" s="122" t="s">
        <v>505</v>
      </c>
      <c r="AE99" s="127">
        <v>3</v>
      </c>
      <c r="BC99" s="122" t="s">
        <v>10667</v>
      </c>
      <c r="BD99" s="115">
        <v>1</v>
      </c>
      <c r="BE99" s="115">
        <v>0.2</v>
      </c>
      <c r="BF99" s="115">
        <v>0.3</v>
      </c>
      <c r="BG99" s="115">
        <v>0.24</v>
      </c>
      <c r="BH99" s="122" t="str">
        <f t="shared" si="16"/>
        <v/>
      </c>
      <c r="BM99" s="122" t="s">
        <v>297</v>
      </c>
      <c r="BN99" s="115">
        <v>2</v>
      </c>
      <c r="BO99" s="115">
        <v>0</v>
      </c>
      <c r="BP99" s="115">
        <v>0.2</v>
      </c>
      <c r="BQ99" s="115">
        <v>0.45</v>
      </c>
      <c r="BR99" s="122" t="str">
        <f t="shared" si="17"/>
        <v/>
      </c>
      <c r="BW99" s="122" t="s">
        <v>10667</v>
      </c>
      <c r="BX99" s="115">
        <v>1</v>
      </c>
      <c r="BY99" s="115">
        <v>0.2</v>
      </c>
      <c r="BZ99" s="115">
        <v>0.3</v>
      </c>
      <c r="CA99" s="115">
        <v>0.49</v>
      </c>
      <c r="CB99" s="122" t="str">
        <f t="shared" si="18"/>
        <v/>
      </c>
      <c r="DA99" s="122" t="s">
        <v>247</v>
      </c>
      <c r="DB99" s="122" t="s">
        <v>2436</v>
      </c>
      <c r="DC99" s="122" t="s">
        <v>2436</v>
      </c>
      <c r="DD99" s="127">
        <v>8</v>
      </c>
      <c r="DE99" s="127">
        <v>8</v>
      </c>
      <c r="DG99" s="405" t="s">
        <v>247</v>
      </c>
      <c r="DH99" s="406" t="s">
        <v>2436</v>
      </c>
      <c r="DI99" s="406" t="str">
        <f t="shared" si="19"/>
        <v>AL, Pindoba</v>
      </c>
      <c r="DJ99" s="406">
        <v>-9.4749999999999996</v>
      </c>
      <c r="DK99" s="80">
        <v>-36.29</v>
      </c>
      <c r="DL99" s="80">
        <v>310</v>
      </c>
      <c r="DM99" s="64">
        <v>8</v>
      </c>
      <c r="DN99" s="406" t="s">
        <v>6094</v>
      </c>
      <c r="DO99" s="406">
        <v>-9.41</v>
      </c>
      <c r="DP99" s="80">
        <v>275</v>
      </c>
    </row>
    <row r="100" spans="29:120" x14ac:dyDescent="0.25">
      <c r="AC100" s="122" t="s">
        <v>311</v>
      </c>
      <c r="AD100" s="122" t="s">
        <v>506</v>
      </c>
      <c r="AE100" s="127">
        <v>2</v>
      </c>
      <c r="BC100" s="122" t="s">
        <v>10667</v>
      </c>
      <c r="BD100" s="115">
        <v>1</v>
      </c>
      <c r="BE100" s="115">
        <v>0.3</v>
      </c>
      <c r="BF100" s="115">
        <v>0.4</v>
      </c>
      <c r="BG100" s="115">
        <v>0.26</v>
      </c>
      <c r="BH100" s="122" t="str">
        <f t="shared" si="16"/>
        <v/>
      </c>
      <c r="BM100" s="122" t="s">
        <v>297</v>
      </c>
      <c r="BN100" s="115">
        <v>3</v>
      </c>
      <c r="BO100" s="115">
        <v>0</v>
      </c>
      <c r="BP100" s="115">
        <v>0.2</v>
      </c>
      <c r="BQ100" s="115">
        <v>0.48</v>
      </c>
      <c r="BR100" s="122" t="str">
        <f t="shared" si="17"/>
        <v/>
      </c>
      <c r="BW100" s="122" t="s">
        <v>10667</v>
      </c>
      <c r="BX100" s="115">
        <v>1</v>
      </c>
      <c r="BY100" s="115">
        <v>0.3</v>
      </c>
      <c r="BZ100" s="115">
        <v>0.4</v>
      </c>
      <c r="CA100" s="115">
        <v>0.5</v>
      </c>
      <c r="CB100" s="122" t="str">
        <f t="shared" si="18"/>
        <v/>
      </c>
      <c r="DA100" s="122" t="s">
        <v>247</v>
      </c>
      <c r="DB100" s="122" t="s">
        <v>3020</v>
      </c>
      <c r="DC100" s="122" t="s">
        <v>3020</v>
      </c>
      <c r="DD100" s="127">
        <v>8</v>
      </c>
      <c r="DE100" s="127">
        <v>8</v>
      </c>
      <c r="DG100" s="405" t="s">
        <v>247</v>
      </c>
      <c r="DH100" s="406" t="s">
        <v>3020</v>
      </c>
      <c r="DI100" s="406" t="str">
        <f t="shared" si="19"/>
        <v>AL, Piranhas</v>
      </c>
      <c r="DJ100" s="406">
        <v>-9.6240000000000006</v>
      </c>
      <c r="DK100" s="80">
        <v>-37.756999999999998</v>
      </c>
      <c r="DL100" s="80">
        <v>88</v>
      </c>
      <c r="DM100" s="64">
        <v>8</v>
      </c>
      <c r="DN100" s="406" t="s">
        <v>6093</v>
      </c>
      <c r="DO100" s="406">
        <v>-9.75</v>
      </c>
      <c r="DP100" s="80">
        <v>19</v>
      </c>
    </row>
    <row r="101" spans="29:120" x14ac:dyDescent="0.25">
      <c r="AC101" s="122" t="s">
        <v>311</v>
      </c>
      <c r="AD101" s="122" t="s">
        <v>507</v>
      </c>
      <c r="AE101" s="127">
        <v>1</v>
      </c>
      <c r="BC101" s="122" t="s">
        <v>10667</v>
      </c>
      <c r="BD101" s="115">
        <v>1</v>
      </c>
      <c r="BE101" s="115">
        <v>0.4</v>
      </c>
      <c r="BF101" s="115">
        <v>100</v>
      </c>
      <c r="BG101" s="115">
        <v>0.28999999999999998</v>
      </c>
      <c r="BH101" s="122" t="str">
        <f t="shared" si="16"/>
        <v/>
      </c>
      <c r="BM101" s="122" t="s">
        <v>297</v>
      </c>
      <c r="BN101" s="115">
        <v>4</v>
      </c>
      <c r="BO101" s="115">
        <v>0</v>
      </c>
      <c r="BP101" s="115">
        <v>0.2</v>
      </c>
      <c r="BQ101" s="115">
        <v>0.51</v>
      </c>
      <c r="BR101" s="122" t="str">
        <f t="shared" si="17"/>
        <v/>
      </c>
      <c r="BW101" s="122" t="s">
        <v>10667</v>
      </c>
      <c r="BX101" s="115">
        <v>1</v>
      </c>
      <c r="BY101" s="115">
        <v>0.4</v>
      </c>
      <c r="BZ101" s="115">
        <v>100</v>
      </c>
      <c r="CA101" s="115">
        <v>0.5</v>
      </c>
      <c r="CB101" s="122" t="str">
        <f t="shared" si="18"/>
        <v/>
      </c>
      <c r="DA101" s="122" t="s">
        <v>247</v>
      </c>
      <c r="DB101" s="122" t="s">
        <v>6134</v>
      </c>
      <c r="DC101" s="122" t="s">
        <v>2591</v>
      </c>
      <c r="DD101" s="127">
        <v>8</v>
      </c>
      <c r="DE101" s="127">
        <v>8</v>
      </c>
      <c r="DG101" s="405" t="s">
        <v>247</v>
      </c>
      <c r="DH101" s="406" t="s">
        <v>2591</v>
      </c>
      <c r="DI101" s="406" t="str">
        <f t="shared" si="19"/>
        <v>AL, Poço das Trincheiras</v>
      </c>
      <c r="DJ101" s="406">
        <v>-9.3130000000000006</v>
      </c>
      <c r="DK101" s="80">
        <v>-37.286000000000001</v>
      </c>
      <c r="DL101" s="80">
        <v>292</v>
      </c>
      <c r="DM101" s="64">
        <v>8</v>
      </c>
      <c r="DN101" s="406" t="s">
        <v>6093</v>
      </c>
      <c r="DO101" s="406">
        <v>-9.75</v>
      </c>
      <c r="DP101" s="80">
        <v>19</v>
      </c>
    </row>
    <row r="102" spans="29:120" x14ac:dyDescent="0.25">
      <c r="AC102" s="122" t="s">
        <v>27</v>
      </c>
      <c r="AD102" s="122" t="s">
        <v>508</v>
      </c>
      <c r="AE102" s="127">
        <v>2</v>
      </c>
      <c r="BC102" s="122" t="s">
        <v>10667</v>
      </c>
      <c r="BD102" s="115">
        <v>2</v>
      </c>
      <c r="BE102" s="115">
        <v>0</v>
      </c>
      <c r="BF102" s="115">
        <v>0.2</v>
      </c>
      <c r="BG102" s="115">
        <v>0.18</v>
      </c>
      <c r="BH102" s="122" t="str">
        <f t="shared" si="16"/>
        <v/>
      </c>
      <c r="BM102" s="122" t="s">
        <v>297</v>
      </c>
      <c r="BN102" s="115">
        <v>5</v>
      </c>
      <c r="BO102" s="115">
        <v>0</v>
      </c>
      <c r="BP102" s="115">
        <v>0.2</v>
      </c>
      <c r="BQ102" s="115">
        <v>0.42</v>
      </c>
      <c r="BR102" s="122" t="str">
        <f t="shared" si="17"/>
        <v/>
      </c>
      <c r="BW102" s="122" t="s">
        <v>10667</v>
      </c>
      <c r="BX102" s="115">
        <v>2</v>
      </c>
      <c r="BY102" s="115">
        <v>0</v>
      </c>
      <c r="BZ102" s="115">
        <v>0.2</v>
      </c>
      <c r="CA102" s="115">
        <v>0.46</v>
      </c>
      <c r="CB102" s="122" t="str">
        <f t="shared" si="18"/>
        <v/>
      </c>
      <c r="DA102" s="122" t="s">
        <v>247</v>
      </c>
      <c r="DB102" s="122" t="s">
        <v>6135</v>
      </c>
      <c r="DC102" s="122" t="s">
        <v>5081</v>
      </c>
      <c r="DD102" s="127">
        <v>8</v>
      </c>
      <c r="DE102" s="127">
        <v>8</v>
      </c>
      <c r="DG102" s="405" t="s">
        <v>247</v>
      </c>
      <c r="DH102" s="406" t="s">
        <v>5081</v>
      </c>
      <c r="DI102" s="406" t="str">
        <f t="shared" si="19"/>
        <v>AL, Porto Calvo</v>
      </c>
      <c r="DJ102" s="406">
        <v>-9.0449999999999999</v>
      </c>
      <c r="DK102" s="80">
        <v>-35.398000000000003</v>
      </c>
      <c r="DL102" s="80">
        <v>54</v>
      </c>
      <c r="DM102" s="64">
        <v>8</v>
      </c>
      <c r="DN102" s="406" t="s">
        <v>6091</v>
      </c>
      <c r="DO102" s="406">
        <v>-9.2899999999999991</v>
      </c>
      <c r="DP102" s="80">
        <v>19</v>
      </c>
    </row>
    <row r="103" spans="29:120" x14ac:dyDescent="0.25">
      <c r="AC103" s="122" t="s">
        <v>311</v>
      </c>
      <c r="AD103" s="122" t="s">
        <v>509</v>
      </c>
      <c r="AE103" s="127">
        <v>1</v>
      </c>
      <c r="BC103" s="122" t="s">
        <v>10667</v>
      </c>
      <c r="BD103" s="115">
        <v>2</v>
      </c>
      <c r="BE103" s="115">
        <v>0.2</v>
      </c>
      <c r="BF103" s="115">
        <v>0.3</v>
      </c>
      <c r="BG103" s="115">
        <v>0.18</v>
      </c>
      <c r="BH103" s="122" t="str">
        <f t="shared" si="16"/>
        <v/>
      </c>
      <c r="BM103" s="122" t="s">
        <v>297</v>
      </c>
      <c r="BN103" s="115">
        <v>6</v>
      </c>
      <c r="BO103" s="115">
        <v>0</v>
      </c>
      <c r="BP103" s="115">
        <v>0.2</v>
      </c>
      <c r="BQ103" s="115">
        <v>0.42</v>
      </c>
      <c r="BR103" s="122" t="str">
        <f t="shared" si="17"/>
        <v/>
      </c>
      <c r="BW103" s="122" t="s">
        <v>10667</v>
      </c>
      <c r="BX103" s="115">
        <v>2</v>
      </c>
      <c r="BY103" s="115">
        <v>0.2</v>
      </c>
      <c r="BZ103" s="115">
        <v>0.3</v>
      </c>
      <c r="CA103" s="115">
        <v>0.46</v>
      </c>
      <c r="CB103" s="122" t="str">
        <f t="shared" si="18"/>
        <v/>
      </c>
      <c r="DA103" s="122" t="s">
        <v>247</v>
      </c>
      <c r="DB103" s="122" t="s">
        <v>6136</v>
      </c>
      <c r="DC103" s="122" t="s">
        <v>5085</v>
      </c>
      <c r="DD103" s="127">
        <v>8</v>
      </c>
      <c r="DE103" s="127">
        <v>8</v>
      </c>
      <c r="DG103" s="405" t="s">
        <v>247</v>
      </c>
      <c r="DH103" s="406" t="s">
        <v>5085</v>
      </c>
      <c r="DI103" s="406" t="str">
        <f t="shared" si="19"/>
        <v>AL, Porto de Pedras</v>
      </c>
      <c r="DJ103" s="406">
        <v>-9.1579999999999995</v>
      </c>
      <c r="DK103" s="80">
        <v>-35.295000000000002</v>
      </c>
      <c r="DL103" s="80">
        <v>22</v>
      </c>
      <c r="DM103" s="64">
        <v>8</v>
      </c>
      <c r="DN103" s="406" t="s">
        <v>6091</v>
      </c>
      <c r="DO103" s="406">
        <v>-9.2899999999999991</v>
      </c>
      <c r="DP103" s="80">
        <v>19</v>
      </c>
    </row>
    <row r="104" spans="29:120" x14ac:dyDescent="0.25">
      <c r="AC104" s="122" t="s">
        <v>27</v>
      </c>
      <c r="AD104" s="122" t="s">
        <v>29</v>
      </c>
      <c r="AE104" s="127">
        <v>3</v>
      </c>
      <c r="BC104" s="122" t="s">
        <v>10667</v>
      </c>
      <c r="BD104" s="115">
        <v>2</v>
      </c>
      <c r="BE104" s="115">
        <v>0.3</v>
      </c>
      <c r="BF104" s="115">
        <v>0.4</v>
      </c>
      <c r="BG104" s="115">
        <v>0.2</v>
      </c>
      <c r="BH104" s="122" t="str">
        <f t="shared" si="16"/>
        <v/>
      </c>
      <c r="BM104" s="122" t="s">
        <v>297</v>
      </c>
      <c r="BN104" s="115">
        <v>7</v>
      </c>
      <c r="BO104" s="115">
        <v>0</v>
      </c>
      <c r="BP104" s="115">
        <v>0.2</v>
      </c>
      <c r="BQ104" s="115">
        <v>0.28999999999999998</v>
      </c>
      <c r="BR104" s="122" t="str">
        <f t="shared" si="17"/>
        <v/>
      </c>
      <c r="BW104" s="122" t="s">
        <v>10667</v>
      </c>
      <c r="BX104" s="115">
        <v>2</v>
      </c>
      <c r="BY104" s="115">
        <v>0.3</v>
      </c>
      <c r="BZ104" s="115">
        <v>0.4</v>
      </c>
      <c r="CA104" s="115">
        <v>0.46</v>
      </c>
      <c r="CB104" s="122" t="str">
        <f t="shared" si="18"/>
        <v/>
      </c>
      <c r="DA104" s="122" t="s">
        <v>247</v>
      </c>
      <c r="DB104" s="122" t="s">
        <v>6137</v>
      </c>
      <c r="DC104" s="122" t="s">
        <v>5053</v>
      </c>
      <c r="DD104" s="127">
        <v>8</v>
      </c>
      <c r="DE104" s="127">
        <v>8</v>
      </c>
      <c r="DG104" s="405" t="s">
        <v>247</v>
      </c>
      <c r="DH104" s="406" t="s">
        <v>5053</v>
      </c>
      <c r="DI104" s="406" t="str">
        <f t="shared" si="19"/>
        <v>AL, Porto Real do Colégio</v>
      </c>
      <c r="DJ104" s="406">
        <v>-10.186</v>
      </c>
      <c r="DK104" s="80">
        <v>-36.840000000000003</v>
      </c>
      <c r="DL104" s="80">
        <v>10</v>
      </c>
      <c r="DM104" s="64">
        <v>8</v>
      </c>
      <c r="DN104" s="406" t="s">
        <v>6088</v>
      </c>
      <c r="DO104" s="406">
        <v>-9.8000000000000007</v>
      </c>
      <c r="DP104" s="80">
        <v>241</v>
      </c>
    </row>
    <row r="105" spans="29:120" x14ac:dyDescent="0.25">
      <c r="AC105" s="122" t="s">
        <v>333</v>
      </c>
      <c r="AD105" s="122" t="s">
        <v>510</v>
      </c>
      <c r="AE105" s="127">
        <v>3</v>
      </c>
      <c r="BC105" s="122" t="s">
        <v>10667</v>
      </c>
      <c r="BD105" s="115">
        <v>2</v>
      </c>
      <c r="BE105" s="115">
        <v>0.4</v>
      </c>
      <c r="BF105" s="115">
        <v>100</v>
      </c>
      <c r="BG105" s="115">
        <v>0.22</v>
      </c>
      <c r="BH105" s="122" t="str">
        <f t="shared" si="16"/>
        <v/>
      </c>
      <c r="BM105" s="122" t="s">
        <v>297</v>
      </c>
      <c r="BN105" s="115">
        <v>8</v>
      </c>
      <c r="BO105" s="115">
        <v>0</v>
      </c>
      <c r="BP105" s="115">
        <v>0.2</v>
      </c>
      <c r="BQ105" s="115">
        <v>0.39</v>
      </c>
      <c r="BR105" s="122" t="str">
        <f t="shared" si="17"/>
        <v/>
      </c>
      <c r="BW105" s="122" t="s">
        <v>10667</v>
      </c>
      <c r="BX105" s="115">
        <v>2</v>
      </c>
      <c r="BY105" s="115">
        <v>0.4</v>
      </c>
      <c r="BZ105" s="115">
        <v>100</v>
      </c>
      <c r="CA105" s="115">
        <v>0.47</v>
      </c>
      <c r="CB105" s="122" t="str">
        <f t="shared" si="18"/>
        <v/>
      </c>
      <c r="DA105" s="122" t="s">
        <v>247</v>
      </c>
      <c r="DB105" s="122" t="s">
        <v>2530</v>
      </c>
      <c r="DC105" s="122" t="s">
        <v>2530</v>
      </c>
      <c r="DD105" s="127">
        <v>8</v>
      </c>
      <c r="DE105" s="127">
        <v>8</v>
      </c>
      <c r="DG105" s="405" t="s">
        <v>247</v>
      </c>
      <c r="DH105" s="406" t="s">
        <v>2530</v>
      </c>
      <c r="DI105" s="406" t="str">
        <f t="shared" si="19"/>
        <v>AL, Quebrangulo</v>
      </c>
      <c r="DJ105" s="406">
        <v>-9.3190000000000008</v>
      </c>
      <c r="DK105" s="80">
        <v>-36.470999999999997</v>
      </c>
      <c r="DL105" s="80">
        <v>366</v>
      </c>
      <c r="DM105" s="64">
        <v>8</v>
      </c>
      <c r="DN105" s="406" t="s">
        <v>6094</v>
      </c>
      <c r="DO105" s="406">
        <v>-9.41</v>
      </c>
      <c r="DP105" s="80">
        <v>275</v>
      </c>
    </row>
    <row r="106" spans="29:120" x14ac:dyDescent="0.25">
      <c r="AC106" s="122" t="s">
        <v>27</v>
      </c>
      <c r="AD106" s="122" t="s">
        <v>511</v>
      </c>
      <c r="AE106" s="127">
        <v>1</v>
      </c>
      <c r="BC106" s="122" t="s">
        <v>10667</v>
      </c>
      <c r="BD106" s="115">
        <v>3</v>
      </c>
      <c r="BE106" s="115">
        <v>0</v>
      </c>
      <c r="BF106" s="115">
        <v>0.2</v>
      </c>
      <c r="BG106" s="115">
        <v>0.16</v>
      </c>
      <c r="BH106" s="122" t="str">
        <f t="shared" si="16"/>
        <v/>
      </c>
      <c r="BM106" s="122" t="s">
        <v>297</v>
      </c>
      <c r="BN106" s="115">
        <v>1</v>
      </c>
      <c r="BO106" s="115">
        <v>0.2</v>
      </c>
      <c r="BP106" s="115">
        <v>0.3</v>
      </c>
      <c r="BQ106" s="115">
        <v>0.54</v>
      </c>
      <c r="BR106" s="122" t="str">
        <f t="shared" si="17"/>
        <v/>
      </c>
      <c r="BW106" s="122" t="s">
        <v>10667</v>
      </c>
      <c r="BX106" s="115">
        <v>3</v>
      </c>
      <c r="BY106" s="115">
        <v>0</v>
      </c>
      <c r="BZ106" s="115">
        <v>0.2</v>
      </c>
      <c r="CA106" s="115">
        <v>0.47</v>
      </c>
      <c r="CB106" s="122" t="str">
        <f t="shared" si="18"/>
        <v/>
      </c>
      <c r="DA106" s="122" t="s">
        <v>247</v>
      </c>
      <c r="DB106" s="122" t="s">
        <v>6138</v>
      </c>
      <c r="DC106" s="122" t="s">
        <v>5380</v>
      </c>
      <c r="DD106" s="127">
        <v>8</v>
      </c>
      <c r="DE106" s="127">
        <v>8</v>
      </c>
      <c r="DG106" s="405" t="s">
        <v>247</v>
      </c>
      <c r="DH106" s="406" t="s">
        <v>5380</v>
      </c>
      <c r="DI106" s="406" t="str">
        <f t="shared" si="19"/>
        <v>AL, Rio Largo</v>
      </c>
      <c r="DJ106" s="406">
        <v>-9.4779999999999998</v>
      </c>
      <c r="DK106" s="80">
        <v>-35.853000000000002</v>
      </c>
      <c r="DL106" s="80">
        <v>39</v>
      </c>
      <c r="DM106" s="64">
        <v>8</v>
      </c>
      <c r="DN106" s="406" t="s">
        <v>6089</v>
      </c>
      <c r="DO106" s="406">
        <v>-9.67</v>
      </c>
      <c r="DP106" s="80">
        <v>64</v>
      </c>
    </row>
    <row r="107" spans="29:120" x14ac:dyDescent="0.25">
      <c r="AC107" s="122" t="s">
        <v>311</v>
      </c>
      <c r="AD107" s="122" t="s">
        <v>512</v>
      </c>
      <c r="AE107" s="127">
        <v>3</v>
      </c>
      <c r="BC107" s="122" t="s">
        <v>10667</v>
      </c>
      <c r="BD107" s="115">
        <v>3</v>
      </c>
      <c r="BE107" s="115">
        <v>0.2</v>
      </c>
      <c r="BF107" s="115">
        <v>0.3</v>
      </c>
      <c r="BG107" s="115">
        <v>0.16</v>
      </c>
      <c r="BH107" s="122" t="str">
        <f t="shared" si="16"/>
        <v/>
      </c>
      <c r="BM107" s="122" t="s">
        <v>297</v>
      </c>
      <c r="BN107" s="115">
        <v>2</v>
      </c>
      <c r="BO107" s="115">
        <v>0.2</v>
      </c>
      <c r="BP107" s="115">
        <v>0.3</v>
      </c>
      <c r="BQ107" s="115">
        <v>0.45</v>
      </c>
      <c r="BR107" s="122" t="str">
        <f t="shared" si="17"/>
        <v/>
      </c>
      <c r="BW107" s="122" t="s">
        <v>10667</v>
      </c>
      <c r="BX107" s="115">
        <v>3</v>
      </c>
      <c r="BY107" s="115">
        <v>0.2</v>
      </c>
      <c r="BZ107" s="115">
        <v>0.3</v>
      </c>
      <c r="CA107" s="115">
        <v>0.47</v>
      </c>
      <c r="CB107" s="122" t="str">
        <f t="shared" si="18"/>
        <v/>
      </c>
      <c r="DA107" s="122" t="s">
        <v>247</v>
      </c>
      <c r="DB107" s="122" t="s">
        <v>5020</v>
      </c>
      <c r="DC107" s="122" t="s">
        <v>5020</v>
      </c>
      <c r="DD107" s="127">
        <v>8</v>
      </c>
      <c r="DE107" s="127">
        <v>8</v>
      </c>
      <c r="DG107" s="405" t="s">
        <v>247</v>
      </c>
      <c r="DH107" s="406" t="s">
        <v>5020</v>
      </c>
      <c r="DI107" s="406" t="str">
        <f t="shared" si="19"/>
        <v>AL, Roteiro</v>
      </c>
      <c r="DJ107" s="406">
        <v>-9.8330000000000002</v>
      </c>
      <c r="DK107" s="80">
        <v>-35.978000000000002</v>
      </c>
      <c r="DL107" s="80">
        <v>32</v>
      </c>
      <c r="DM107" s="64">
        <v>8</v>
      </c>
      <c r="DN107" s="406" t="s">
        <v>6089</v>
      </c>
      <c r="DO107" s="406">
        <v>-9.67</v>
      </c>
      <c r="DP107" s="80">
        <v>64</v>
      </c>
    </row>
    <row r="108" spans="29:120" x14ac:dyDescent="0.25">
      <c r="AC108" s="122" t="s">
        <v>311</v>
      </c>
      <c r="AD108" s="122" t="s">
        <v>513</v>
      </c>
      <c r="AE108" s="127">
        <v>2</v>
      </c>
      <c r="BC108" s="122" t="s">
        <v>10667</v>
      </c>
      <c r="BD108" s="115">
        <v>3</v>
      </c>
      <c r="BE108" s="115">
        <v>0.3</v>
      </c>
      <c r="BF108" s="115">
        <v>0.4</v>
      </c>
      <c r="BG108" s="115">
        <v>0.18</v>
      </c>
      <c r="BH108" s="122" t="str">
        <f t="shared" si="16"/>
        <v/>
      </c>
      <c r="BM108" s="122" t="s">
        <v>297</v>
      </c>
      <c r="BN108" s="115">
        <v>3</v>
      </c>
      <c r="BO108" s="115">
        <v>0.2</v>
      </c>
      <c r="BP108" s="115">
        <v>0.3</v>
      </c>
      <c r="BQ108" s="115">
        <v>0.48</v>
      </c>
      <c r="BR108" s="122" t="str">
        <f t="shared" si="17"/>
        <v/>
      </c>
      <c r="BW108" s="122" t="s">
        <v>10667</v>
      </c>
      <c r="BX108" s="115">
        <v>3</v>
      </c>
      <c r="BY108" s="115">
        <v>0.3</v>
      </c>
      <c r="BZ108" s="115">
        <v>0.4</v>
      </c>
      <c r="CA108" s="115">
        <v>0.48</v>
      </c>
      <c r="CB108" s="122" t="str">
        <f t="shared" si="18"/>
        <v/>
      </c>
      <c r="DA108" s="122" t="s">
        <v>247</v>
      </c>
      <c r="DB108" s="122" t="s">
        <v>6139</v>
      </c>
      <c r="DC108" s="122" t="s">
        <v>1893</v>
      </c>
      <c r="DD108" s="127">
        <v>8</v>
      </c>
      <c r="DE108" s="127">
        <v>8</v>
      </c>
      <c r="DG108" s="405" t="s">
        <v>247</v>
      </c>
      <c r="DH108" s="406" t="s">
        <v>1893</v>
      </c>
      <c r="DI108" s="406" t="str">
        <f t="shared" si="19"/>
        <v>AL, Santa Luzia do Norte</v>
      </c>
      <c r="DJ108" s="406">
        <v>-9.6029999999999998</v>
      </c>
      <c r="DK108" s="80">
        <v>-35.822000000000003</v>
      </c>
      <c r="DL108" s="80">
        <v>32</v>
      </c>
      <c r="DM108" s="64">
        <v>8</v>
      </c>
      <c r="DN108" s="406" t="s">
        <v>6089</v>
      </c>
      <c r="DO108" s="406">
        <v>-9.67</v>
      </c>
      <c r="DP108" s="80">
        <v>64</v>
      </c>
    </row>
    <row r="109" spans="29:120" x14ac:dyDescent="0.25">
      <c r="AC109" s="122" t="s">
        <v>311</v>
      </c>
      <c r="AD109" s="122" t="s">
        <v>514</v>
      </c>
      <c r="AE109" s="127">
        <v>2</v>
      </c>
      <c r="BC109" s="122" t="s">
        <v>10667</v>
      </c>
      <c r="BD109" s="115">
        <v>3</v>
      </c>
      <c r="BE109" s="115">
        <v>0.4</v>
      </c>
      <c r="BF109" s="115">
        <v>100</v>
      </c>
      <c r="BG109" s="115">
        <v>0.19</v>
      </c>
      <c r="BH109" s="122" t="str">
        <f t="shared" si="16"/>
        <v/>
      </c>
      <c r="BM109" s="122" t="s">
        <v>297</v>
      </c>
      <c r="BN109" s="115">
        <v>4</v>
      </c>
      <c r="BO109" s="115">
        <v>0.2</v>
      </c>
      <c r="BP109" s="115">
        <v>0.3</v>
      </c>
      <c r="BQ109" s="115">
        <v>0.52</v>
      </c>
      <c r="BR109" s="122" t="str">
        <f t="shared" si="17"/>
        <v/>
      </c>
      <c r="BW109" s="122" t="s">
        <v>10667</v>
      </c>
      <c r="BX109" s="115">
        <v>3</v>
      </c>
      <c r="BY109" s="115">
        <v>0.4</v>
      </c>
      <c r="BZ109" s="115">
        <v>100</v>
      </c>
      <c r="CA109" s="115">
        <v>0.48</v>
      </c>
      <c r="CB109" s="122" t="str">
        <f t="shared" si="18"/>
        <v/>
      </c>
      <c r="DA109" s="122" t="s">
        <v>247</v>
      </c>
      <c r="DB109" s="122" t="s">
        <v>6140</v>
      </c>
      <c r="DC109" s="122" t="s">
        <v>2615</v>
      </c>
      <c r="DD109" s="127">
        <v>8</v>
      </c>
      <c r="DE109" s="127">
        <v>8</v>
      </c>
      <c r="DG109" s="405" t="s">
        <v>247</v>
      </c>
      <c r="DH109" s="406" t="s">
        <v>2615</v>
      </c>
      <c r="DI109" s="406" t="str">
        <f t="shared" si="19"/>
        <v>AL, Santana do Ipanema</v>
      </c>
      <c r="DJ109" s="406">
        <v>-9.3780000000000001</v>
      </c>
      <c r="DK109" s="80">
        <v>-37.244999999999997</v>
      </c>
      <c r="DL109" s="80">
        <v>250</v>
      </c>
      <c r="DM109" s="64">
        <v>8</v>
      </c>
      <c r="DN109" s="406" t="s">
        <v>6093</v>
      </c>
      <c r="DO109" s="406">
        <v>-9.75</v>
      </c>
      <c r="DP109" s="80">
        <v>19</v>
      </c>
    </row>
    <row r="110" spans="29:120" x14ac:dyDescent="0.25">
      <c r="AC110" s="122" t="s">
        <v>27</v>
      </c>
      <c r="AD110" s="122" t="s">
        <v>515</v>
      </c>
      <c r="AE110" s="127">
        <v>2</v>
      </c>
      <c r="BC110" s="122" t="s">
        <v>10667</v>
      </c>
      <c r="BD110" s="115">
        <v>4</v>
      </c>
      <c r="BE110" s="115">
        <v>0</v>
      </c>
      <c r="BF110" s="115">
        <v>0.2</v>
      </c>
      <c r="BG110" s="115">
        <v>0.2</v>
      </c>
      <c r="BH110" s="122" t="str">
        <f t="shared" si="16"/>
        <v/>
      </c>
      <c r="BM110" s="122" t="s">
        <v>297</v>
      </c>
      <c r="BN110" s="115">
        <v>5</v>
      </c>
      <c r="BO110" s="115">
        <v>0.2</v>
      </c>
      <c r="BP110" s="115">
        <v>0.3</v>
      </c>
      <c r="BQ110" s="115">
        <v>0.42</v>
      </c>
      <c r="BR110" s="122" t="str">
        <f t="shared" si="17"/>
        <v/>
      </c>
      <c r="BW110" s="122" t="s">
        <v>10667</v>
      </c>
      <c r="BX110" s="115">
        <v>4</v>
      </c>
      <c r="BY110" s="115">
        <v>0</v>
      </c>
      <c r="BZ110" s="115">
        <v>0.2</v>
      </c>
      <c r="CA110" s="115">
        <v>0.49</v>
      </c>
      <c r="CB110" s="122" t="str">
        <f t="shared" si="18"/>
        <v/>
      </c>
      <c r="DA110" s="122" t="s">
        <v>247</v>
      </c>
      <c r="DB110" s="122" t="s">
        <v>6141</v>
      </c>
      <c r="DC110" s="122" t="s">
        <v>2592</v>
      </c>
      <c r="DD110" s="127">
        <v>8</v>
      </c>
      <c r="DE110" s="127">
        <v>8</v>
      </c>
      <c r="DG110" s="405" t="s">
        <v>247</v>
      </c>
      <c r="DH110" s="406" t="s">
        <v>2592</v>
      </c>
      <c r="DI110" s="406" t="str">
        <f t="shared" si="19"/>
        <v>AL, Santana do Mundaú</v>
      </c>
      <c r="DJ110" s="406">
        <v>-9.1679999999999993</v>
      </c>
      <c r="DK110" s="80">
        <v>-36.222000000000001</v>
      </c>
      <c r="DL110" s="80">
        <v>221</v>
      </c>
      <c r="DM110" s="64">
        <v>8</v>
      </c>
      <c r="DN110" s="406" t="s">
        <v>6142</v>
      </c>
      <c r="DO110" s="406">
        <v>-8.89</v>
      </c>
      <c r="DP110" s="80">
        <v>823</v>
      </c>
    </row>
    <row r="111" spans="29:120" x14ac:dyDescent="0.25">
      <c r="AC111" s="122" t="s">
        <v>358</v>
      </c>
      <c r="AD111" s="122" t="s">
        <v>516</v>
      </c>
      <c r="AE111" s="127">
        <v>3</v>
      </c>
      <c r="BC111" s="122" t="s">
        <v>10667</v>
      </c>
      <c r="BD111" s="115">
        <v>4</v>
      </c>
      <c r="BE111" s="115">
        <v>0.2</v>
      </c>
      <c r="BF111" s="115">
        <v>0.3</v>
      </c>
      <c r="BG111" s="115">
        <v>0.21</v>
      </c>
      <c r="BH111" s="122" t="str">
        <f t="shared" si="16"/>
        <v/>
      </c>
      <c r="BM111" s="122" t="s">
        <v>297</v>
      </c>
      <c r="BN111" s="115">
        <v>6</v>
      </c>
      <c r="BO111" s="115">
        <v>0.2</v>
      </c>
      <c r="BP111" s="115">
        <v>0.3</v>
      </c>
      <c r="BQ111" s="115">
        <v>0.43</v>
      </c>
      <c r="BR111" s="122" t="str">
        <f t="shared" si="17"/>
        <v/>
      </c>
      <c r="BW111" s="122" t="s">
        <v>10667</v>
      </c>
      <c r="BX111" s="115">
        <v>4</v>
      </c>
      <c r="BY111" s="115">
        <v>0.2</v>
      </c>
      <c r="BZ111" s="115">
        <v>0.3</v>
      </c>
      <c r="CA111" s="115">
        <v>0.5</v>
      </c>
      <c r="CB111" s="122" t="str">
        <f t="shared" si="18"/>
        <v/>
      </c>
      <c r="DA111" s="122" t="s">
        <v>247</v>
      </c>
      <c r="DB111" s="122" t="s">
        <v>6143</v>
      </c>
      <c r="DC111" s="122" t="s">
        <v>5149</v>
      </c>
      <c r="DD111" s="127">
        <v>8</v>
      </c>
      <c r="DE111" s="127">
        <v>8</v>
      </c>
      <c r="DG111" s="405" t="s">
        <v>247</v>
      </c>
      <c r="DH111" s="406" t="s">
        <v>5149</v>
      </c>
      <c r="DI111" s="406" t="str">
        <f t="shared" si="19"/>
        <v>AL, São Brás</v>
      </c>
      <c r="DJ111" s="406">
        <v>-10.128</v>
      </c>
      <c r="DK111" s="80">
        <v>-36.901000000000003</v>
      </c>
      <c r="DL111" s="80">
        <v>25</v>
      </c>
      <c r="DM111" s="64">
        <v>8</v>
      </c>
      <c r="DN111" s="406" t="s">
        <v>6088</v>
      </c>
      <c r="DO111" s="406">
        <v>-9.8000000000000007</v>
      </c>
      <c r="DP111" s="80">
        <v>241</v>
      </c>
    </row>
    <row r="112" spans="29:120" x14ac:dyDescent="0.25">
      <c r="AC112" s="122" t="s">
        <v>311</v>
      </c>
      <c r="AD112" s="122" t="s">
        <v>517</v>
      </c>
      <c r="AE112" s="127">
        <v>2</v>
      </c>
      <c r="BC112" s="122" t="s">
        <v>10667</v>
      </c>
      <c r="BD112" s="115">
        <v>4</v>
      </c>
      <c r="BE112" s="115">
        <v>0.3</v>
      </c>
      <c r="BF112" s="115">
        <v>0.4</v>
      </c>
      <c r="BG112" s="115">
        <v>0.24</v>
      </c>
      <c r="BH112" s="122" t="str">
        <f t="shared" si="16"/>
        <v/>
      </c>
      <c r="BM112" s="122" t="s">
        <v>297</v>
      </c>
      <c r="BN112" s="115">
        <v>7</v>
      </c>
      <c r="BO112" s="115">
        <v>0.2</v>
      </c>
      <c r="BP112" s="115">
        <v>0.3</v>
      </c>
      <c r="BQ112" s="115">
        <v>0.3</v>
      </c>
      <c r="BR112" s="122" t="str">
        <f t="shared" si="17"/>
        <v/>
      </c>
      <c r="BW112" s="122" t="s">
        <v>10667</v>
      </c>
      <c r="BX112" s="115">
        <v>4</v>
      </c>
      <c r="BY112" s="115">
        <v>0.3</v>
      </c>
      <c r="BZ112" s="115">
        <v>0.4</v>
      </c>
      <c r="CA112" s="115">
        <v>0.5</v>
      </c>
      <c r="CB112" s="122" t="str">
        <f t="shared" si="18"/>
        <v/>
      </c>
      <c r="DA112" s="122" t="s">
        <v>247</v>
      </c>
      <c r="DB112" s="122" t="s">
        <v>6144</v>
      </c>
      <c r="DC112" s="122" t="s">
        <v>2558</v>
      </c>
      <c r="DD112" s="127">
        <v>8</v>
      </c>
      <c r="DE112" s="127">
        <v>8</v>
      </c>
      <c r="DG112" s="405" t="s">
        <v>247</v>
      </c>
      <c r="DH112" s="406" t="s">
        <v>2558</v>
      </c>
      <c r="DI112" s="406" t="str">
        <f t="shared" si="19"/>
        <v>AL, São José da Laje</v>
      </c>
      <c r="DJ112" s="406">
        <v>-9.01</v>
      </c>
      <c r="DK112" s="80">
        <v>-36.058</v>
      </c>
      <c r="DL112" s="80">
        <v>256</v>
      </c>
      <c r="DM112" s="64">
        <v>8</v>
      </c>
      <c r="DN112" s="406" t="s">
        <v>6142</v>
      </c>
      <c r="DO112" s="406">
        <v>-8.89</v>
      </c>
      <c r="DP112" s="80">
        <v>823</v>
      </c>
    </row>
    <row r="113" spans="29:120" x14ac:dyDescent="0.25">
      <c r="AC113" s="122" t="s">
        <v>333</v>
      </c>
      <c r="AD113" s="122" t="s">
        <v>518</v>
      </c>
      <c r="AE113" s="127">
        <v>3</v>
      </c>
      <c r="BC113" s="122" t="s">
        <v>10667</v>
      </c>
      <c r="BD113" s="115">
        <v>4</v>
      </c>
      <c r="BE113" s="115">
        <v>0.4</v>
      </c>
      <c r="BF113" s="115">
        <v>100</v>
      </c>
      <c r="BG113" s="115">
        <v>0.26</v>
      </c>
      <c r="BH113" s="122" t="str">
        <f t="shared" si="16"/>
        <v/>
      </c>
      <c r="BM113" s="122" t="s">
        <v>297</v>
      </c>
      <c r="BN113" s="115">
        <v>8</v>
      </c>
      <c r="BO113" s="115">
        <v>0.2</v>
      </c>
      <c r="BP113" s="115">
        <v>0.3</v>
      </c>
      <c r="BQ113" s="115">
        <v>0.39</v>
      </c>
      <c r="BR113" s="122" t="str">
        <f t="shared" si="17"/>
        <v/>
      </c>
      <c r="BW113" s="122" t="s">
        <v>10667</v>
      </c>
      <c r="BX113" s="115">
        <v>4</v>
      </c>
      <c r="BY113" s="115">
        <v>0.4</v>
      </c>
      <c r="BZ113" s="115">
        <v>100</v>
      </c>
      <c r="CA113" s="115">
        <v>0.51</v>
      </c>
      <c r="CB113" s="122" t="str">
        <f t="shared" si="18"/>
        <v/>
      </c>
      <c r="DA113" s="122" t="s">
        <v>247</v>
      </c>
      <c r="DB113" s="122" t="s">
        <v>6145</v>
      </c>
      <c r="DC113" s="122" t="s">
        <v>5410</v>
      </c>
      <c r="DD113" s="127">
        <v>8</v>
      </c>
      <c r="DE113" s="127">
        <v>8</v>
      </c>
      <c r="DG113" s="405" t="s">
        <v>247</v>
      </c>
      <c r="DH113" s="406" t="s">
        <v>5410</v>
      </c>
      <c r="DI113" s="406" t="str">
        <f t="shared" si="19"/>
        <v>AL, São José da Tapera</v>
      </c>
      <c r="DJ113" s="406">
        <v>-9.5579999999999998</v>
      </c>
      <c r="DK113" s="80">
        <v>-37.381</v>
      </c>
      <c r="DL113" s="80">
        <v>255</v>
      </c>
      <c r="DM113" s="64">
        <v>8</v>
      </c>
      <c r="DN113" s="406" t="s">
        <v>6093</v>
      </c>
      <c r="DO113" s="406">
        <v>-9.75</v>
      </c>
      <c r="DP113" s="80">
        <v>19</v>
      </c>
    </row>
    <row r="114" spans="29:120" x14ac:dyDescent="0.25">
      <c r="AC114" s="122" t="s">
        <v>376</v>
      </c>
      <c r="AD114" s="122" t="s">
        <v>519</v>
      </c>
      <c r="AE114" s="127">
        <v>3</v>
      </c>
      <c r="BC114" s="122" t="s">
        <v>10667</v>
      </c>
      <c r="BD114" s="115">
        <v>5</v>
      </c>
      <c r="BE114" s="115">
        <v>0</v>
      </c>
      <c r="BF114" s="115">
        <v>0.2</v>
      </c>
      <c r="BG114" s="115">
        <v>0.15</v>
      </c>
      <c r="BH114" s="122" t="str">
        <f t="shared" si="16"/>
        <v/>
      </c>
      <c r="BM114" s="122" t="s">
        <v>297</v>
      </c>
      <c r="BN114" s="115">
        <v>1</v>
      </c>
      <c r="BO114" s="115">
        <v>0.3</v>
      </c>
      <c r="BP114" s="115">
        <v>0.4</v>
      </c>
      <c r="BQ114" s="115">
        <v>0.54</v>
      </c>
      <c r="BR114" s="122" t="str">
        <f t="shared" si="17"/>
        <v/>
      </c>
      <c r="BW114" s="122" t="s">
        <v>10667</v>
      </c>
      <c r="BX114" s="115">
        <v>5</v>
      </c>
      <c r="BY114" s="115">
        <v>0</v>
      </c>
      <c r="BZ114" s="115">
        <v>0.2</v>
      </c>
      <c r="CA114" s="115">
        <v>0.45</v>
      </c>
      <c r="CB114" s="122" t="str">
        <f t="shared" si="18"/>
        <v/>
      </c>
      <c r="DA114" s="122" t="s">
        <v>247</v>
      </c>
      <c r="DB114" s="122" t="s">
        <v>6146</v>
      </c>
      <c r="DC114" s="122" t="s">
        <v>5134</v>
      </c>
      <c r="DD114" s="127">
        <v>8</v>
      </c>
      <c r="DE114" s="127">
        <v>8</v>
      </c>
      <c r="DG114" s="405" t="s">
        <v>247</v>
      </c>
      <c r="DH114" s="406" t="s">
        <v>5134</v>
      </c>
      <c r="DI114" s="406" t="str">
        <f t="shared" si="19"/>
        <v>AL, São Luís do Quitunde</v>
      </c>
      <c r="DJ114" s="406">
        <v>-9.3179999999999996</v>
      </c>
      <c r="DK114" s="80">
        <v>-35.561</v>
      </c>
      <c r="DL114" s="80">
        <v>4</v>
      </c>
      <c r="DM114" s="64">
        <v>8</v>
      </c>
      <c r="DN114" s="406" t="s">
        <v>6091</v>
      </c>
      <c r="DO114" s="406">
        <v>-9.2899999999999991</v>
      </c>
      <c r="DP114" s="80">
        <v>19</v>
      </c>
    </row>
    <row r="115" spans="29:120" x14ac:dyDescent="0.25">
      <c r="AC115" s="122" t="s">
        <v>333</v>
      </c>
      <c r="AD115" s="122" t="s">
        <v>520</v>
      </c>
      <c r="AE115" s="127">
        <v>4</v>
      </c>
      <c r="BC115" s="122" t="s">
        <v>10667</v>
      </c>
      <c r="BD115" s="115">
        <v>5</v>
      </c>
      <c r="BE115" s="115">
        <v>0.2</v>
      </c>
      <c r="BF115" s="115">
        <v>0.3</v>
      </c>
      <c r="BG115" s="115">
        <v>0.15</v>
      </c>
      <c r="BH115" s="122" t="str">
        <f t="shared" si="16"/>
        <v/>
      </c>
      <c r="BM115" s="122" t="s">
        <v>297</v>
      </c>
      <c r="BN115" s="115">
        <v>2</v>
      </c>
      <c r="BO115" s="115">
        <v>0.3</v>
      </c>
      <c r="BP115" s="115">
        <v>0.4</v>
      </c>
      <c r="BQ115" s="115">
        <v>0.46</v>
      </c>
      <c r="BR115" s="122" t="str">
        <f t="shared" si="17"/>
        <v/>
      </c>
      <c r="BW115" s="122" t="s">
        <v>10667</v>
      </c>
      <c r="BX115" s="115">
        <v>5</v>
      </c>
      <c r="BY115" s="115">
        <v>0.2</v>
      </c>
      <c r="BZ115" s="115">
        <v>0.3</v>
      </c>
      <c r="CA115" s="115">
        <v>0.45</v>
      </c>
      <c r="CB115" s="122" t="str">
        <f t="shared" si="18"/>
        <v/>
      </c>
      <c r="DA115" s="122" t="s">
        <v>247</v>
      </c>
      <c r="DB115" s="122" t="s">
        <v>6147</v>
      </c>
      <c r="DC115" s="122" t="s">
        <v>5391</v>
      </c>
      <c r="DD115" s="127">
        <v>8</v>
      </c>
      <c r="DE115" s="127">
        <v>8</v>
      </c>
      <c r="DG115" s="405" t="s">
        <v>247</v>
      </c>
      <c r="DH115" s="406" t="s">
        <v>5391</v>
      </c>
      <c r="DI115" s="406" t="str">
        <f t="shared" si="19"/>
        <v>AL, São Miguel dos Campos</v>
      </c>
      <c r="DJ115" s="406">
        <v>-9.7810000000000006</v>
      </c>
      <c r="DK115" s="80">
        <v>-36.094000000000001</v>
      </c>
      <c r="DL115" s="80">
        <v>12</v>
      </c>
      <c r="DM115" s="64">
        <v>8</v>
      </c>
      <c r="DN115" s="406" t="s">
        <v>6105</v>
      </c>
      <c r="DO115" s="406">
        <v>-10.130000000000001</v>
      </c>
      <c r="DP115" s="80">
        <v>74</v>
      </c>
    </row>
    <row r="116" spans="29:120" x14ac:dyDescent="0.25">
      <c r="AC116" s="122" t="s">
        <v>333</v>
      </c>
      <c r="AD116" s="122" t="s">
        <v>521</v>
      </c>
      <c r="AE116" s="127">
        <v>3</v>
      </c>
      <c r="BC116" s="122" t="s">
        <v>10667</v>
      </c>
      <c r="BD116" s="115">
        <v>5</v>
      </c>
      <c r="BE116" s="115">
        <v>0.3</v>
      </c>
      <c r="BF116" s="115">
        <v>0.4</v>
      </c>
      <c r="BG116" s="115">
        <v>0.17</v>
      </c>
      <c r="BH116" s="122" t="str">
        <f t="shared" si="16"/>
        <v/>
      </c>
      <c r="BM116" s="122" t="s">
        <v>297</v>
      </c>
      <c r="BN116" s="115">
        <v>3</v>
      </c>
      <c r="BO116" s="115">
        <v>0.3</v>
      </c>
      <c r="BP116" s="115">
        <v>0.4</v>
      </c>
      <c r="BQ116" s="115">
        <v>0.48</v>
      </c>
      <c r="BR116" s="122" t="str">
        <f t="shared" si="17"/>
        <v/>
      </c>
      <c r="BW116" s="122" t="s">
        <v>10667</v>
      </c>
      <c r="BX116" s="115">
        <v>5</v>
      </c>
      <c r="BY116" s="115">
        <v>0.3</v>
      </c>
      <c r="BZ116" s="115">
        <v>0.4</v>
      </c>
      <c r="CA116" s="115">
        <v>0.45</v>
      </c>
      <c r="CB116" s="122" t="str">
        <f t="shared" si="18"/>
        <v/>
      </c>
      <c r="DA116" s="122" t="s">
        <v>247</v>
      </c>
      <c r="DB116" s="122" t="s">
        <v>6148</v>
      </c>
      <c r="DC116" s="122" t="s">
        <v>5413</v>
      </c>
      <c r="DD116" s="127">
        <v>8</v>
      </c>
      <c r="DE116" s="127">
        <v>8</v>
      </c>
      <c r="DG116" s="405" t="s">
        <v>247</v>
      </c>
      <c r="DH116" s="406" t="s">
        <v>5413</v>
      </c>
      <c r="DI116" s="406" t="str">
        <f t="shared" si="19"/>
        <v>AL, São Miguel dos Milagres</v>
      </c>
      <c r="DJ116" s="406">
        <v>-9.266</v>
      </c>
      <c r="DK116" s="80">
        <v>-35.372999999999998</v>
      </c>
      <c r="DL116" s="80">
        <v>1</v>
      </c>
      <c r="DM116" s="64">
        <v>8</v>
      </c>
      <c r="DN116" s="406" t="s">
        <v>6091</v>
      </c>
      <c r="DO116" s="406">
        <v>-9.2899999999999991</v>
      </c>
      <c r="DP116" s="80">
        <v>19</v>
      </c>
    </row>
    <row r="117" spans="29:120" x14ac:dyDescent="0.25">
      <c r="AC117" s="122" t="s">
        <v>333</v>
      </c>
      <c r="AD117" s="122" t="s">
        <v>522</v>
      </c>
      <c r="AE117" s="127">
        <v>3</v>
      </c>
      <c r="BC117" s="122" t="s">
        <v>10667</v>
      </c>
      <c r="BD117" s="115">
        <v>5</v>
      </c>
      <c r="BE117" s="115">
        <v>0.4</v>
      </c>
      <c r="BF117" s="115">
        <v>100</v>
      </c>
      <c r="BG117" s="115">
        <v>0.19</v>
      </c>
      <c r="BH117" s="122" t="str">
        <f t="shared" si="16"/>
        <v/>
      </c>
      <c r="BM117" s="122" t="s">
        <v>297</v>
      </c>
      <c r="BN117" s="115">
        <v>4</v>
      </c>
      <c r="BO117" s="115">
        <v>0.3</v>
      </c>
      <c r="BP117" s="115">
        <v>0.4</v>
      </c>
      <c r="BQ117" s="115">
        <v>0.53</v>
      </c>
      <c r="BR117" s="122" t="str">
        <f t="shared" si="17"/>
        <v/>
      </c>
      <c r="BW117" s="122" t="s">
        <v>10667</v>
      </c>
      <c r="BX117" s="115">
        <v>5</v>
      </c>
      <c r="BY117" s="115">
        <v>0.4</v>
      </c>
      <c r="BZ117" s="115">
        <v>100</v>
      </c>
      <c r="CA117" s="115">
        <v>0.46</v>
      </c>
      <c r="CB117" s="122" t="str">
        <f t="shared" si="18"/>
        <v/>
      </c>
      <c r="DA117" s="122" t="s">
        <v>247</v>
      </c>
      <c r="DB117" s="122" t="s">
        <v>6149</v>
      </c>
      <c r="DC117" s="122" t="s">
        <v>2777</v>
      </c>
      <c r="DD117" s="127">
        <v>8</v>
      </c>
      <c r="DE117" s="127">
        <v>8</v>
      </c>
      <c r="DG117" s="405" t="s">
        <v>247</v>
      </c>
      <c r="DH117" s="406" t="s">
        <v>2777</v>
      </c>
      <c r="DI117" s="406" t="str">
        <f t="shared" si="19"/>
        <v>AL, São Sebastião</v>
      </c>
      <c r="DJ117" s="406">
        <v>-9.9339999999999993</v>
      </c>
      <c r="DK117" s="80">
        <v>-36.554000000000002</v>
      </c>
      <c r="DL117" s="80">
        <v>201</v>
      </c>
      <c r="DM117" s="64">
        <v>8</v>
      </c>
      <c r="DN117" s="406" t="s">
        <v>6088</v>
      </c>
      <c r="DO117" s="406">
        <v>-9.8000000000000007</v>
      </c>
      <c r="DP117" s="80">
        <v>241</v>
      </c>
    </row>
    <row r="118" spans="29:120" x14ac:dyDescent="0.25">
      <c r="AC118" s="122" t="s">
        <v>27</v>
      </c>
      <c r="AD118" s="122" t="s">
        <v>523</v>
      </c>
      <c r="AE118" s="127">
        <v>2</v>
      </c>
      <c r="BC118" s="122" t="s">
        <v>10667</v>
      </c>
      <c r="BD118" s="115">
        <v>6</v>
      </c>
      <c r="BE118" s="115">
        <v>0</v>
      </c>
      <c r="BF118" s="115">
        <v>0.2</v>
      </c>
      <c r="BG118" s="115">
        <v>0.17</v>
      </c>
      <c r="BH118" s="122" t="str">
        <f t="shared" si="16"/>
        <v/>
      </c>
      <c r="BM118" s="122" t="s">
        <v>297</v>
      </c>
      <c r="BN118" s="115">
        <v>5</v>
      </c>
      <c r="BO118" s="115">
        <v>0.3</v>
      </c>
      <c r="BP118" s="115">
        <v>0.4</v>
      </c>
      <c r="BQ118" s="115">
        <v>0.43</v>
      </c>
      <c r="BR118" s="122" t="str">
        <f t="shared" si="17"/>
        <v/>
      </c>
      <c r="BW118" s="122" t="s">
        <v>10667</v>
      </c>
      <c r="BX118" s="115">
        <v>6</v>
      </c>
      <c r="BY118" s="115">
        <v>0</v>
      </c>
      <c r="BZ118" s="115">
        <v>0.2</v>
      </c>
      <c r="CA118" s="115">
        <v>0.45</v>
      </c>
      <c r="CB118" s="122" t="str">
        <f t="shared" si="18"/>
        <v/>
      </c>
      <c r="DA118" s="122" t="s">
        <v>247</v>
      </c>
      <c r="DB118" s="122" t="s">
        <v>5009</v>
      </c>
      <c r="DC118" s="122" t="s">
        <v>5009</v>
      </c>
      <c r="DD118" s="127">
        <v>8</v>
      </c>
      <c r="DE118" s="127">
        <v>8</v>
      </c>
      <c r="DG118" s="405" t="s">
        <v>247</v>
      </c>
      <c r="DH118" s="406" t="s">
        <v>5009</v>
      </c>
      <c r="DI118" s="406" t="str">
        <f t="shared" si="19"/>
        <v>AL, Satuba</v>
      </c>
      <c r="DJ118" s="406">
        <v>-9.5630000000000006</v>
      </c>
      <c r="DK118" s="80">
        <v>-35.823999999999998</v>
      </c>
      <c r="DL118" s="80">
        <v>6</v>
      </c>
      <c r="DM118" s="64">
        <v>8</v>
      </c>
      <c r="DN118" s="406" t="s">
        <v>6089</v>
      </c>
      <c r="DO118" s="406">
        <v>-9.67</v>
      </c>
      <c r="DP118" s="80">
        <v>64</v>
      </c>
    </row>
    <row r="119" spans="29:120" x14ac:dyDescent="0.25">
      <c r="AC119" s="122" t="s">
        <v>333</v>
      </c>
      <c r="AD119" s="122" t="s">
        <v>524</v>
      </c>
      <c r="AE119" s="127">
        <v>3</v>
      </c>
      <c r="BC119" s="122" t="s">
        <v>10667</v>
      </c>
      <c r="BD119" s="115">
        <v>6</v>
      </c>
      <c r="BE119" s="115">
        <v>0.2</v>
      </c>
      <c r="BF119" s="115">
        <v>0.3</v>
      </c>
      <c r="BG119" s="115">
        <v>0.17</v>
      </c>
      <c r="BH119" s="122" t="str">
        <f t="shared" si="16"/>
        <v/>
      </c>
      <c r="BM119" s="122" t="s">
        <v>297</v>
      </c>
      <c r="BN119" s="115">
        <v>6</v>
      </c>
      <c r="BO119" s="115">
        <v>0.3</v>
      </c>
      <c r="BP119" s="115">
        <v>0.4</v>
      </c>
      <c r="BQ119" s="115">
        <v>0.44</v>
      </c>
      <c r="BR119" s="122" t="str">
        <f t="shared" si="17"/>
        <v/>
      </c>
      <c r="BW119" s="122" t="s">
        <v>10667</v>
      </c>
      <c r="BX119" s="115">
        <v>6</v>
      </c>
      <c r="BY119" s="115">
        <v>0.2</v>
      </c>
      <c r="BZ119" s="115">
        <v>0.3</v>
      </c>
      <c r="CA119" s="115">
        <v>0.45</v>
      </c>
      <c r="CB119" s="122" t="str">
        <f t="shared" si="18"/>
        <v/>
      </c>
      <c r="DA119" s="122" t="s">
        <v>247</v>
      </c>
      <c r="DB119" s="122" t="s">
        <v>6150</v>
      </c>
      <c r="DC119" s="122" t="s">
        <v>2600</v>
      </c>
      <c r="DD119" s="127">
        <v>8</v>
      </c>
      <c r="DE119" s="127">
        <v>8</v>
      </c>
      <c r="DG119" s="405" t="s">
        <v>247</v>
      </c>
      <c r="DH119" s="406" t="s">
        <v>2600</v>
      </c>
      <c r="DI119" s="406" t="str">
        <f t="shared" si="19"/>
        <v>AL, Senador Rui Palmeira</v>
      </c>
      <c r="DJ119" s="406">
        <v>-9.3539999999999992</v>
      </c>
      <c r="DK119" s="80">
        <v>-37.506999999999998</v>
      </c>
      <c r="DL119" s="80">
        <v>352</v>
      </c>
      <c r="DM119" s="64">
        <v>8</v>
      </c>
      <c r="DN119" s="406" t="s">
        <v>6093</v>
      </c>
      <c r="DO119" s="406">
        <v>-9.75</v>
      </c>
      <c r="DP119" s="80">
        <v>19</v>
      </c>
    </row>
    <row r="120" spans="29:120" x14ac:dyDescent="0.25">
      <c r="AC120" s="122" t="s">
        <v>333</v>
      </c>
      <c r="AD120" s="122" t="s">
        <v>525</v>
      </c>
      <c r="AE120" s="127">
        <v>3</v>
      </c>
      <c r="BC120" s="122" t="s">
        <v>10667</v>
      </c>
      <c r="BD120" s="115">
        <v>6</v>
      </c>
      <c r="BE120" s="115">
        <v>0.3</v>
      </c>
      <c r="BF120" s="115">
        <v>0.4</v>
      </c>
      <c r="BG120" s="115">
        <v>0.2</v>
      </c>
      <c r="BH120" s="122" t="str">
        <f t="shared" si="16"/>
        <v/>
      </c>
      <c r="BM120" s="122" t="s">
        <v>297</v>
      </c>
      <c r="BN120" s="115">
        <v>7</v>
      </c>
      <c r="BO120" s="115">
        <v>0.3</v>
      </c>
      <c r="BP120" s="115">
        <v>0.4</v>
      </c>
      <c r="BQ120" s="115">
        <v>0.31</v>
      </c>
      <c r="BR120" s="122" t="str">
        <f t="shared" si="17"/>
        <v/>
      </c>
      <c r="BW120" s="122" t="s">
        <v>10667</v>
      </c>
      <c r="BX120" s="115">
        <v>6</v>
      </c>
      <c r="BY120" s="115">
        <v>0.3</v>
      </c>
      <c r="BZ120" s="115">
        <v>0.4</v>
      </c>
      <c r="CA120" s="115">
        <v>0.46</v>
      </c>
      <c r="CB120" s="122" t="str">
        <f t="shared" si="18"/>
        <v/>
      </c>
      <c r="DA120" s="122" t="s">
        <v>247</v>
      </c>
      <c r="DB120" s="122" t="s">
        <v>6151</v>
      </c>
      <c r="DC120" s="122" t="s">
        <v>2421</v>
      </c>
      <c r="DD120" s="127">
        <v>8</v>
      </c>
      <c r="DE120" s="127">
        <v>8</v>
      </c>
      <c r="DG120" s="405" t="s">
        <v>247</v>
      </c>
      <c r="DH120" s="406" t="s">
        <v>2421</v>
      </c>
      <c r="DI120" s="406" t="str">
        <f t="shared" si="19"/>
        <v>AL, Tanque d'Arca</v>
      </c>
      <c r="DJ120" s="406">
        <v>-9.532</v>
      </c>
      <c r="DK120" s="80">
        <v>-36.433</v>
      </c>
      <c r="DL120" s="80">
        <v>212</v>
      </c>
      <c r="DM120" s="64">
        <v>8</v>
      </c>
      <c r="DN120" s="406" t="s">
        <v>6094</v>
      </c>
      <c r="DO120" s="406">
        <v>-9.41</v>
      </c>
      <c r="DP120" s="80">
        <v>275</v>
      </c>
    </row>
    <row r="121" spans="29:120" x14ac:dyDescent="0.25">
      <c r="AC121" s="122" t="s">
        <v>333</v>
      </c>
      <c r="AD121" s="122" t="s">
        <v>526</v>
      </c>
      <c r="AE121" s="127">
        <v>3</v>
      </c>
      <c r="BC121" s="122" t="s">
        <v>10667</v>
      </c>
      <c r="BD121" s="115">
        <v>6</v>
      </c>
      <c r="BE121" s="115">
        <v>0.4</v>
      </c>
      <c r="BF121" s="115">
        <v>100</v>
      </c>
      <c r="BG121" s="115">
        <v>0.22</v>
      </c>
      <c r="BH121" s="122" t="str">
        <f t="shared" si="16"/>
        <v/>
      </c>
      <c r="BM121" s="122" t="s">
        <v>297</v>
      </c>
      <c r="BN121" s="115">
        <v>8</v>
      </c>
      <c r="BO121" s="115">
        <v>0.3</v>
      </c>
      <c r="BP121" s="115">
        <v>0.4</v>
      </c>
      <c r="BQ121" s="115">
        <v>0.4</v>
      </c>
      <c r="BR121" s="122" t="str">
        <f t="shared" si="17"/>
        <v/>
      </c>
      <c r="BW121" s="122" t="s">
        <v>10667</v>
      </c>
      <c r="BX121" s="115">
        <v>6</v>
      </c>
      <c r="BY121" s="115">
        <v>0.4</v>
      </c>
      <c r="BZ121" s="115">
        <v>100</v>
      </c>
      <c r="CA121" s="115">
        <v>0.47</v>
      </c>
      <c r="CB121" s="122" t="str">
        <f t="shared" si="18"/>
        <v/>
      </c>
      <c r="DA121" s="122" t="s">
        <v>247</v>
      </c>
      <c r="DB121" s="122" t="s">
        <v>2415</v>
      </c>
      <c r="DC121" s="122" t="s">
        <v>2415</v>
      </c>
      <c r="DD121" s="127">
        <v>8</v>
      </c>
      <c r="DE121" s="127">
        <v>8</v>
      </c>
      <c r="DG121" s="405" t="s">
        <v>247</v>
      </c>
      <c r="DH121" s="406" t="s">
        <v>2415</v>
      </c>
      <c r="DI121" s="406" t="str">
        <f t="shared" si="19"/>
        <v>AL, Taquarana</v>
      </c>
      <c r="DJ121" s="406">
        <v>-9.6449999999999996</v>
      </c>
      <c r="DK121" s="80">
        <v>-36.497</v>
      </c>
      <c r="DL121" s="80">
        <v>159</v>
      </c>
      <c r="DM121" s="64">
        <v>8</v>
      </c>
      <c r="DN121" s="406" t="s">
        <v>6088</v>
      </c>
      <c r="DO121" s="406">
        <v>-9.8000000000000007</v>
      </c>
      <c r="DP121" s="80">
        <v>241</v>
      </c>
    </row>
    <row r="122" spans="29:120" x14ac:dyDescent="0.25">
      <c r="AC122" s="122" t="s">
        <v>311</v>
      </c>
      <c r="AD122" s="122" t="s">
        <v>527</v>
      </c>
      <c r="AE122" s="127">
        <v>2</v>
      </c>
      <c r="BC122" s="122" t="s">
        <v>10667</v>
      </c>
      <c r="BD122" s="115">
        <v>7</v>
      </c>
      <c r="BE122" s="115">
        <v>0</v>
      </c>
      <c r="BF122" s="115">
        <v>0.2</v>
      </c>
      <c r="BG122" s="115">
        <v>0.14000000000000001</v>
      </c>
      <c r="BH122" s="122" t="str">
        <f t="shared" si="16"/>
        <v/>
      </c>
      <c r="BM122" s="122" t="s">
        <v>297</v>
      </c>
      <c r="BN122" s="115">
        <v>1</v>
      </c>
      <c r="BO122" s="115">
        <v>0.4</v>
      </c>
      <c r="BP122" s="115">
        <v>100</v>
      </c>
      <c r="BQ122" s="115">
        <v>0.56000000000000005</v>
      </c>
      <c r="BR122" s="122" t="str">
        <f t="shared" si="17"/>
        <v/>
      </c>
      <c r="BW122" s="122" t="s">
        <v>10667</v>
      </c>
      <c r="BX122" s="115">
        <v>7</v>
      </c>
      <c r="BY122" s="115">
        <v>0</v>
      </c>
      <c r="BZ122" s="115">
        <v>0.2</v>
      </c>
      <c r="CA122" s="115">
        <v>0.37</v>
      </c>
      <c r="CB122" s="122" t="str">
        <f t="shared" si="18"/>
        <v/>
      </c>
      <c r="DA122" s="122" t="s">
        <v>247</v>
      </c>
      <c r="DB122" s="122" t="s">
        <v>6152</v>
      </c>
      <c r="DC122" s="122" t="s">
        <v>2556</v>
      </c>
      <c r="DD122" s="127">
        <v>8</v>
      </c>
      <c r="DE122" s="127">
        <v>8</v>
      </c>
      <c r="DG122" s="405" t="s">
        <v>247</v>
      </c>
      <c r="DH122" s="406" t="s">
        <v>2556</v>
      </c>
      <c r="DI122" s="406" t="str">
        <f t="shared" si="19"/>
        <v>AL, Teotônio Vilela</v>
      </c>
      <c r="DJ122" s="406">
        <v>-9.9049999999999994</v>
      </c>
      <c r="DK122" s="80">
        <v>-36.353000000000002</v>
      </c>
      <c r="DL122" s="80">
        <v>156</v>
      </c>
      <c r="DM122" s="64">
        <v>8</v>
      </c>
      <c r="DN122" s="406" t="s">
        <v>6105</v>
      </c>
      <c r="DO122" s="406">
        <v>-10.130000000000001</v>
      </c>
      <c r="DP122" s="80">
        <v>74</v>
      </c>
    </row>
    <row r="123" spans="29:120" x14ac:dyDescent="0.25">
      <c r="AC123" s="122" t="s">
        <v>27</v>
      </c>
      <c r="AD123" s="122" t="s">
        <v>528</v>
      </c>
      <c r="AE123" s="127">
        <v>2</v>
      </c>
      <c r="BC123" s="122" t="s">
        <v>10667</v>
      </c>
      <c r="BD123" s="115">
        <v>7</v>
      </c>
      <c r="BE123" s="115">
        <v>0.2</v>
      </c>
      <c r="BF123" s="115">
        <v>0.3</v>
      </c>
      <c r="BG123" s="115">
        <v>0.14000000000000001</v>
      </c>
      <c r="BH123" s="122" t="str">
        <f t="shared" si="16"/>
        <v/>
      </c>
      <c r="BM123" s="122" t="s">
        <v>297</v>
      </c>
      <c r="BN123" s="115">
        <v>2</v>
      </c>
      <c r="BO123" s="115">
        <v>0.4</v>
      </c>
      <c r="BP123" s="115">
        <v>100</v>
      </c>
      <c r="BQ123" s="115">
        <v>0.47</v>
      </c>
      <c r="BR123" s="122" t="str">
        <f t="shared" si="17"/>
        <v/>
      </c>
      <c r="BW123" s="122" t="s">
        <v>10667</v>
      </c>
      <c r="BX123" s="115">
        <v>7</v>
      </c>
      <c r="BY123" s="115">
        <v>0.2</v>
      </c>
      <c r="BZ123" s="115">
        <v>0.3</v>
      </c>
      <c r="CA123" s="115">
        <v>0.37</v>
      </c>
      <c r="CB123" s="122" t="str">
        <f t="shared" si="18"/>
        <v/>
      </c>
      <c r="DA123" s="122" t="s">
        <v>247</v>
      </c>
      <c r="DB123" s="122" t="s">
        <v>5418</v>
      </c>
      <c r="DC123" s="122" t="s">
        <v>5418</v>
      </c>
      <c r="DD123" s="127">
        <v>8</v>
      </c>
      <c r="DE123" s="127">
        <v>8</v>
      </c>
      <c r="DG123" s="405" t="s">
        <v>247</v>
      </c>
      <c r="DH123" s="406" t="s">
        <v>5418</v>
      </c>
      <c r="DI123" s="406" t="str">
        <f t="shared" si="19"/>
        <v>AL, Traipu</v>
      </c>
      <c r="DJ123" s="406">
        <v>-9.9710000000000001</v>
      </c>
      <c r="DK123" s="80">
        <v>-37.003</v>
      </c>
      <c r="DL123" s="80">
        <v>10</v>
      </c>
      <c r="DM123" s="64">
        <v>8</v>
      </c>
      <c r="DN123" s="406" t="s">
        <v>6088</v>
      </c>
      <c r="DO123" s="406">
        <v>-9.8000000000000007</v>
      </c>
      <c r="DP123" s="80">
        <v>241</v>
      </c>
    </row>
    <row r="124" spans="29:120" x14ac:dyDescent="0.25">
      <c r="AC124" s="122" t="s">
        <v>333</v>
      </c>
      <c r="AD124" s="122" t="s">
        <v>529</v>
      </c>
      <c r="AE124" s="127">
        <v>3</v>
      </c>
      <c r="BC124" s="122" t="s">
        <v>10667</v>
      </c>
      <c r="BD124" s="115">
        <v>7</v>
      </c>
      <c r="BE124" s="115">
        <v>0.3</v>
      </c>
      <c r="BF124" s="115">
        <v>0.4</v>
      </c>
      <c r="BG124" s="115">
        <v>0.16</v>
      </c>
      <c r="BH124" s="122" t="str">
        <f t="shared" si="16"/>
        <v/>
      </c>
      <c r="BM124" s="122" t="s">
        <v>297</v>
      </c>
      <c r="BN124" s="115">
        <v>3</v>
      </c>
      <c r="BO124" s="115">
        <v>0.4</v>
      </c>
      <c r="BP124" s="115">
        <v>100</v>
      </c>
      <c r="BQ124" s="115">
        <v>0.49</v>
      </c>
      <c r="BR124" s="122" t="str">
        <f t="shared" si="17"/>
        <v/>
      </c>
      <c r="BW124" s="122" t="s">
        <v>10667</v>
      </c>
      <c r="BX124" s="115">
        <v>7</v>
      </c>
      <c r="BY124" s="115">
        <v>0.3</v>
      </c>
      <c r="BZ124" s="115">
        <v>0.4</v>
      </c>
      <c r="CA124" s="115">
        <v>0.38</v>
      </c>
      <c r="CB124" s="122" t="str">
        <f t="shared" si="18"/>
        <v/>
      </c>
      <c r="DA124" s="122" t="s">
        <v>247</v>
      </c>
      <c r="DB124" s="122" t="s">
        <v>6153</v>
      </c>
      <c r="DC124" s="122" t="s">
        <v>5422</v>
      </c>
      <c r="DD124" s="127">
        <v>8</v>
      </c>
      <c r="DE124" s="127">
        <v>8</v>
      </c>
      <c r="DG124" s="405" t="s">
        <v>247</v>
      </c>
      <c r="DH124" s="406" t="s">
        <v>5422</v>
      </c>
      <c r="DI124" s="406" t="str">
        <f t="shared" si="19"/>
        <v>AL, União dos Palmares</v>
      </c>
      <c r="DJ124" s="406">
        <v>-9.1630000000000003</v>
      </c>
      <c r="DK124" s="80">
        <v>-36.031999999999996</v>
      </c>
      <c r="DL124" s="80">
        <v>155</v>
      </c>
      <c r="DM124" s="64">
        <v>8</v>
      </c>
      <c r="DN124" s="406" t="s">
        <v>6091</v>
      </c>
      <c r="DO124" s="406">
        <v>-9.2899999999999991</v>
      </c>
      <c r="DP124" s="80">
        <v>19</v>
      </c>
    </row>
    <row r="125" spans="29:120" x14ac:dyDescent="0.25">
      <c r="AC125" s="122" t="s">
        <v>358</v>
      </c>
      <c r="AD125" s="122" t="s">
        <v>530</v>
      </c>
      <c r="AE125" s="127">
        <v>3</v>
      </c>
      <c r="BC125" s="122" t="s">
        <v>10667</v>
      </c>
      <c r="BD125" s="115">
        <v>7</v>
      </c>
      <c r="BE125" s="115">
        <v>0.4</v>
      </c>
      <c r="BF125" s="115">
        <v>100</v>
      </c>
      <c r="BG125" s="115">
        <v>0.18</v>
      </c>
      <c r="BH125" s="122" t="str">
        <f t="shared" si="16"/>
        <v/>
      </c>
      <c r="BM125" s="122" t="s">
        <v>297</v>
      </c>
      <c r="BN125" s="115">
        <v>4</v>
      </c>
      <c r="BO125" s="115">
        <v>0.4</v>
      </c>
      <c r="BP125" s="115">
        <v>100</v>
      </c>
      <c r="BQ125" s="115">
        <v>0.54</v>
      </c>
      <c r="BR125" s="122" t="str">
        <f t="shared" si="17"/>
        <v/>
      </c>
      <c r="BW125" s="122" t="s">
        <v>10667</v>
      </c>
      <c r="BX125" s="115">
        <v>7</v>
      </c>
      <c r="BY125" s="115">
        <v>0.4</v>
      </c>
      <c r="BZ125" s="115">
        <v>100</v>
      </c>
      <c r="CA125" s="115">
        <v>0.38</v>
      </c>
      <c r="CB125" s="122" t="str">
        <f t="shared" si="18"/>
        <v/>
      </c>
      <c r="DA125" s="122" t="s">
        <v>247</v>
      </c>
      <c r="DB125" s="122" t="s">
        <v>709</v>
      </c>
      <c r="DC125" s="122" t="s">
        <v>709</v>
      </c>
      <c r="DD125" s="127">
        <v>8</v>
      </c>
      <c r="DE125" s="127">
        <v>8</v>
      </c>
      <c r="DG125" s="405" t="s">
        <v>247</v>
      </c>
      <c r="DH125" s="406" t="s">
        <v>709</v>
      </c>
      <c r="DI125" s="406" t="str">
        <f t="shared" si="19"/>
        <v>AL, Viçosa</v>
      </c>
      <c r="DJ125" s="406">
        <v>-9.3710000000000004</v>
      </c>
      <c r="DK125" s="80">
        <v>-36.241</v>
      </c>
      <c r="DL125" s="80">
        <v>210</v>
      </c>
      <c r="DM125" s="64">
        <v>8</v>
      </c>
      <c r="DN125" s="406" t="s">
        <v>6094</v>
      </c>
      <c r="DO125" s="406">
        <v>-9.41</v>
      </c>
      <c r="DP125" s="80">
        <v>275</v>
      </c>
    </row>
    <row r="126" spans="29:120" x14ac:dyDescent="0.25">
      <c r="AC126" s="122" t="s">
        <v>311</v>
      </c>
      <c r="AD126" s="122" t="s">
        <v>531</v>
      </c>
      <c r="AE126" s="127">
        <v>1</v>
      </c>
      <c r="BC126" s="122" t="s">
        <v>10667</v>
      </c>
      <c r="BD126" s="115">
        <v>8</v>
      </c>
      <c r="BE126" s="115">
        <v>0</v>
      </c>
      <c r="BF126" s="115">
        <v>0.2</v>
      </c>
      <c r="BG126" s="115">
        <v>0.11</v>
      </c>
      <c r="BH126" s="122" t="str">
        <f t="shared" si="16"/>
        <v/>
      </c>
      <c r="BM126" s="122" t="s">
        <v>297</v>
      </c>
      <c r="BN126" s="115">
        <v>5</v>
      </c>
      <c r="BO126" s="115">
        <v>0.4</v>
      </c>
      <c r="BP126" s="115">
        <v>100</v>
      </c>
      <c r="BQ126" s="115">
        <v>0.44</v>
      </c>
      <c r="BR126" s="122" t="str">
        <f t="shared" si="17"/>
        <v/>
      </c>
      <c r="BW126" s="122" t="s">
        <v>10667</v>
      </c>
      <c r="BX126" s="115">
        <v>8</v>
      </c>
      <c r="BY126" s="115">
        <v>0</v>
      </c>
      <c r="BZ126" s="115">
        <v>0.2</v>
      </c>
      <c r="CA126" s="115">
        <v>0.42</v>
      </c>
      <c r="CB126" s="122" t="str">
        <f t="shared" si="18"/>
        <v/>
      </c>
      <c r="DA126" s="122" t="s">
        <v>268</v>
      </c>
      <c r="DB126" s="122" t="s">
        <v>4152</v>
      </c>
      <c r="DC126" s="122" t="s">
        <v>4152</v>
      </c>
      <c r="DD126" s="127">
        <v>8</v>
      </c>
      <c r="DE126" s="127">
        <v>8</v>
      </c>
      <c r="DG126" s="405" t="s">
        <v>268</v>
      </c>
      <c r="DH126" s="406" t="s">
        <v>4152</v>
      </c>
      <c r="DI126" s="406" t="str">
        <f t="shared" si="19"/>
        <v>AM, Alvarães</v>
      </c>
      <c r="DJ126" s="406">
        <v>-3.2210000000000001</v>
      </c>
      <c r="DK126" s="80">
        <v>-64.804000000000002</v>
      </c>
      <c r="DL126" s="80">
        <v>75</v>
      </c>
      <c r="DM126" s="64">
        <v>8</v>
      </c>
      <c r="DN126" s="406" t="s">
        <v>6154</v>
      </c>
      <c r="DO126" s="406">
        <v>-4.0999999999999996</v>
      </c>
      <c r="DP126" s="80">
        <v>43</v>
      </c>
    </row>
    <row r="127" spans="29:120" x14ac:dyDescent="0.25">
      <c r="AC127" s="122" t="s">
        <v>27</v>
      </c>
      <c r="AD127" s="122" t="s">
        <v>532</v>
      </c>
      <c r="AE127" s="127">
        <v>3</v>
      </c>
      <c r="BC127" s="122" t="s">
        <v>10667</v>
      </c>
      <c r="BD127" s="115">
        <v>8</v>
      </c>
      <c r="BE127" s="115">
        <v>0.2</v>
      </c>
      <c r="BF127" s="115">
        <v>0.3</v>
      </c>
      <c r="BG127" s="115">
        <v>0.12</v>
      </c>
      <c r="BH127" s="122" t="str">
        <f t="shared" si="16"/>
        <v/>
      </c>
      <c r="BM127" s="122" t="s">
        <v>297</v>
      </c>
      <c r="BN127" s="115">
        <v>6</v>
      </c>
      <c r="BO127" s="115">
        <v>0.4</v>
      </c>
      <c r="BP127" s="115">
        <v>100</v>
      </c>
      <c r="BQ127" s="115">
        <v>0.45</v>
      </c>
      <c r="BR127" s="122" t="str">
        <f t="shared" si="17"/>
        <v/>
      </c>
      <c r="BW127" s="122" t="s">
        <v>10667</v>
      </c>
      <c r="BX127" s="115">
        <v>8</v>
      </c>
      <c r="BY127" s="115">
        <v>0.2</v>
      </c>
      <c r="BZ127" s="115">
        <v>0.3</v>
      </c>
      <c r="CA127" s="115">
        <v>0.42</v>
      </c>
      <c r="CB127" s="122" t="str">
        <f t="shared" si="18"/>
        <v/>
      </c>
      <c r="DA127" s="122" t="s">
        <v>268</v>
      </c>
      <c r="DB127" s="122" t="s">
        <v>4486</v>
      </c>
      <c r="DC127" s="122" t="s">
        <v>4486</v>
      </c>
      <c r="DD127" s="127">
        <v>8</v>
      </c>
      <c r="DE127" s="127">
        <v>8</v>
      </c>
      <c r="DG127" s="405" t="s">
        <v>268</v>
      </c>
      <c r="DH127" s="406" t="s">
        <v>4486</v>
      </c>
      <c r="DI127" s="406" t="str">
        <f t="shared" si="19"/>
        <v>AM, Amaturá</v>
      </c>
      <c r="DJ127" s="406">
        <v>-3.3639999999999999</v>
      </c>
      <c r="DK127" s="80">
        <v>-68.197999999999993</v>
      </c>
      <c r="DL127" s="80">
        <v>58</v>
      </c>
      <c r="DM127" s="64">
        <v>8</v>
      </c>
      <c r="DN127" s="406" t="s">
        <v>6154</v>
      </c>
      <c r="DO127" s="406">
        <v>-4.0999999999999996</v>
      </c>
      <c r="DP127" s="80">
        <v>43</v>
      </c>
    </row>
    <row r="128" spans="29:120" x14ac:dyDescent="0.25">
      <c r="AC128" s="122" t="s">
        <v>333</v>
      </c>
      <c r="AD128" s="122" t="s">
        <v>533</v>
      </c>
      <c r="AE128" s="127">
        <v>2</v>
      </c>
      <c r="BC128" s="122" t="s">
        <v>10667</v>
      </c>
      <c r="BD128" s="115">
        <v>8</v>
      </c>
      <c r="BE128" s="115">
        <v>0.3</v>
      </c>
      <c r="BF128" s="115">
        <v>0.4</v>
      </c>
      <c r="BG128" s="115">
        <v>0.14000000000000001</v>
      </c>
      <c r="BH128" s="122" t="str">
        <f t="shared" si="16"/>
        <v/>
      </c>
      <c r="BM128" s="122" t="s">
        <v>297</v>
      </c>
      <c r="BN128" s="115">
        <v>7</v>
      </c>
      <c r="BO128" s="115">
        <v>0.4</v>
      </c>
      <c r="BP128" s="115">
        <v>100</v>
      </c>
      <c r="BQ128" s="115">
        <v>0.33</v>
      </c>
      <c r="BR128" s="122" t="str">
        <f t="shared" si="17"/>
        <v/>
      </c>
      <c r="BW128" s="122" t="s">
        <v>10667</v>
      </c>
      <c r="BX128" s="115">
        <v>8</v>
      </c>
      <c r="BY128" s="115">
        <v>0.3</v>
      </c>
      <c r="BZ128" s="115">
        <v>0.4</v>
      </c>
      <c r="CA128" s="115">
        <v>0.43</v>
      </c>
      <c r="CB128" s="122" t="str">
        <f t="shared" si="18"/>
        <v/>
      </c>
      <c r="DA128" s="122" t="s">
        <v>268</v>
      </c>
      <c r="DB128" s="122" t="s">
        <v>4250</v>
      </c>
      <c r="DC128" s="122" t="s">
        <v>4250</v>
      </c>
      <c r="DD128" s="127">
        <v>8</v>
      </c>
      <c r="DE128" s="127">
        <v>8</v>
      </c>
      <c r="DG128" s="405" t="s">
        <v>268</v>
      </c>
      <c r="DH128" s="406" t="s">
        <v>4250</v>
      </c>
      <c r="DI128" s="406" t="str">
        <f t="shared" si="19"/>
        <v>AM, Anamã</v>
      </c>
      <c r="DJ128" s="406">
        <v>-3.58</v>
      </c>
      <c r="DK128" s="80">
        <v>-61.404000000000003</v>
      </c>
      <c r="DL128" s="80">
        <v>28</v>
      </c>
      <c r="DM128" s="64">
        <v>8</v>
      </c>
      <c r="DN128" s="406" t="s">
        <v>6155</v>
      </c>
      <c r="DO128" s="406">
        <v>-3.29</v>
      </c>
      <c r="DP128" s="80">
        <v>19</v>
      </c>
    </row>
    <row r="129" spans="29:120" x14ac:dyDescent="0.25">
      <c r="AC129" s="122" t="s">
        <v>333</v>
      </c>
      <c r="AD129" s="122" t="s">
        <v>534</v>
      </c>
      <c r="AE129" s="127">
        <v>2</v>
      </c>
      <c r="BC129" s="122" t="s">
        <v>10667</v>
      </c>
      <c r="BD129" s="115">
        <v>8</v>
      </c>
      <c r="BE129" s="115">
        <v>0.4</v>
      </c>
      <c r="BF129" s="115">
        <v>100</v>
      </c>
      <c r="BG129" s="115">
        <v>0.15</v>
      </c>
      <c r="BH129" s="122" t="str">
        <f t="shared" si="16"/>
        <v/>
      </c>
      <c r="BM129" s="122" t="s">
        <v>297</v>
      </c>
      <c r="BN129" s="115">
        <v>8</v>
      </c>
      <c r="BO129" s="115">
        <v>0.4</v>
      </c>
      <c r="BP129" s="115">
        <v>100</v>
      </c>
      <c r="BQ129" s="115">
        <v>0.42</v>
      </c>
      <c r="BR129" s="122" t="str">
        <f t="shared" si="17"/>
        <v/>
      </c>
      <c r="BW129" s="122" t="s">
        <v>10667</v>
      </c>
      <c r="BX129" s="115">
        <v>8</v>
      </c>
      <c r="BY129" s="115">
        <v>0.4</v>
      </c>
      <c r="BZ129" s="115">
        <v>100</v>
      </c>
      <c r="CA129" s="115">
        <v>0.44</v>
      </c>
      <c r="CB129" s="122" t="str">
        <f t="shared" si="18"/>
        <v/>
      </c>
      <c r="DA129" s="122" t="s">
        <v>268</v>
      </c>
      <c r="DB129" s="122" t="s">
        <v>4264</v>
      </c>
      <c r="DC129" s="122" t="s">
        <v>4264</v>
      </c>
      <c r="DD129" s="127">
        <v>8</v>
      </c>
      <c r="DE129" s="127">
        <v>8</v>
      </c>
      <c r="DG129" s="405" t="s">
        <v>268</v>
      </c>
      <c r="DH129" s="406" t="s">
        <v>4264</v>
      </c>
      <c r="DI129" s="406" t="str">
        <f t="shared" si="19"/>
        <v>AM, Anori</v>
      </c>
      <c r="DJ129" s="406">
        <v>-3.7730000000000001</v>
      </c>
      <c r="DK129" s="80">
        <v>-61.643999999999998</v>
      </c>
      <c r="DL129" s="80">
        <v>120</v>
      </c>
      <c r="DM129" s="64">
        <v>8</v>
      </c>
      <c r="DN129" s="406" t="s">
        <v>6155</v>
      </c>
      <c r="DO129" s="406">
        <v>-3.29</v>
      </c>
      <c r="DP129" s="80">
        <v>19</v>
      </c>
    </row>
    <row r="130" spans="29:120" x14ac:dyDescent="0.25">
      <c r="AC130" s="122" t="s">
        <v>333</v>
      </c>
      <c r="AD130" s="122" t="s">
        <v>535</v>
      </c>
      <c r="AE130" s="127">
        <v>3</v>
      </c>
      <c r="BC130" s="122" t="s">
        <v>10668</v>
      </c>
      <c r="BD130" s="115">
        <v>1</v>
      </c>
      <c r="BE130" s="115">
        <v>0</v>
      </c>
      <c r="BF130" s="115">
        <v>0.2</v>
      </c>
      <c r="BG130" s="115">
        <v>0.13</v>
      </c>
      <c r="BH130" s="122" t="str">
        <f t="shared" si="16"/>
        <v/>
      </c>
      <c r="BM130" s="122" t="s">
        <v>10667</v>
      </c>
      <c r="BN130" s="115">
        <v>1</v>
      </c>
      <c r="BO130" s="115">
        <v>0</v>
      </c>
      <c r="BP130" s="115">
        <v>0.2</v>
      </c>
      <c r="BQ130" s="115">
        <v>0.59</v>
      </c>
      <c r="BR130" s="122" t="str">
        <f t="shared" si="17"/>
        <v/>
      </c>
      <c r="BW130" s="122" t="s">
        <v>10668</v>
      </c>
      <c r="BX130" s="115">
        <v>1</v>
      </c>
      <c r="BY130" s="115">
        <v>0</v>
      </c>
      <c r="BZ130" s="115">
        <v>0.2</v>
      </c>
      <c r="CA130" s="115">
        <v>0.42</v>
      </c>
      <c r="CB130" s="122" t="str">
        <f t="shared" si="18"/>
        <v/>
      </c>
      <c r="DA130" s="122" t="s">
        <v>268</v>
      </c>
      <c r="DB130" s="122" t="s">
        <v>4911</v>
      </c>
      <c r="DC130" s="122" t="s">
        <v>4911</v>
      </c>
      <c r="DD130" s="127">
        <v>8</v>
      </c>
      <c r="DE130" s="127">
        <v>8</v>
      </c>
      <c r="DG130" s="405" t="s">
        <v>268</v>
      </c>
      <c r="DH130" s="406" t="s">
        <v>4911</v>
      </c>
      <c r="DI130" s="406" t="str">
        <f t="shared" si="19"/>
        <v>AM, Apuí</v>
      </c>
      <c r="DJ130" s="406">
        <v>-7.1970000000000001</v>
      </c>
      <c r="DK130" s="80">
        <v>-59.890999999999998</v>
      </c>
      <c r="DL130" s="80">
        <v>135</v>
      </c>
      <c r="DM130" s="64">
        <v>8</v>
      </c>
      <c r="DN130" s="406" t="s">
        <v>6156</v>
      </c>
      <c r="DO130" s="406">
        <v>-9.86</v>
      </c>
      <c r="DP130" s="80">
        <v>261</v>
      </c>
    </row>
    <row r="131" spans="29:120" x14ac:dyDescent="0.25">
      <c r="AC131" s="122" t="s">
        <v>358</v>
      </c>
      <c r="AD131" s="122" t="s">
        <v>536</v>
      </c>
      <c r="AE131" s="127">
        <v>2</v>
      </c>
      <c r="BC131" s="122" t="s">
        <v>10668</v>
      </c>
      <c r="BD131" s="115">
        <v>1</v>
      </c>
      <c r="BE131" s="115">
        <v>0.2</v>
      </c>
      <c r="BF131" s="115">
        <v>0.3</v>
      </c>
      <c r="BG131" s="115">
        <v>0.13</v>
      </c>
      <c r="BH131" s="122" t="str">
        <f t="shared" ref="BH131:BH194" si="22">IF(BD131=$BK$1,IF(BC131=$BJ$1,IF(AND($BI$1&gt;BE131,$BI$1&lt;=BF131),BG131,""),""),"")</f>
        <v/>
      </c>
      <c r="BM131" s="122" t="s">
        <v>10667</v>
      </c>
      <c r="BN131" s="115">
        <v>2</v>
      </c>
      <c r="BO131" s="115">
        <v>0</v>
      </c>
      <c r="BP131" s="115">
        <v>0.2</v>
      </c>
      <c r="BQ131" s="115">
        <v>0.49</v>
      </c>
      <c r="BR131" s="122" t="str">
        <f t="shared" ref="BR131:BR194" si="23">IF(BN131=$BK$1,IF(BM131=$BJ$1,IF(AND($BI$1&gt;BO131,$BI$1&lt;=BP131),BQ131,""),""),"")</f>
        <v/>
      </c>
      <c r="BW131" s="122" t="s">
        <v>10668</v>
      </c>
      <c r="BX131" s="115">
        <v>1</v>
      </c>
      <c r="BY131" s="115">
        <v>0.2</v>
      </c>
      <c r="BZ131" s="115">
        <v>0.3</v>
      </c>
      <c r="CA131" s="115">
        <v>0.42</v>
      </c>
      <c r="CB131" s="122" t="str">
        <f t="shared" ref="CB131:CB194" si="24">IF(BX131=$BK$1,IF(BW131=$BJ$1,IF(AND($BI$1&gt;BY131,$BI$1&lt;=BZ131),CA131,""),""),"")</f>
        <v/>
      </c>
      <c r="DA131" s="122" t="s">
        <v>268</v>
      </c>
      <c r="DB131" s="122" t="s">
        <v>6157</v>
      </c>
      <c r="DC131" s="122" t="s">
        <v>4989</v>
      </c>
      <c r="DD131" s="127">
        <v>8</v>
      </c>
      <c r="DE131" s="127">
        <v>8</v>
      </c>
      <c r="DG131" s="405" t="s">
        <v>268</v>
      </c>
      <c r="DH131" s="406" t="s">
        <v>4989</v>
      </c>
      <c r="DI131" s="406" t="str">
        <f t="shared" ref="DI131:DI194" si="25">CONCATENATE(DG131,", ",DH131)</f>
        <v>AM, Atalaia do Norte</v>
      </c>
      <c r="DJ131" s="406">
        <v>-4.3719999999999999</v>
      </c>
      <c r="DK131" s="80">
        <v>-70.191999999999993</v>
      </c>
      <c r="DL131" s="80">
        <v>65</v>
      </c>
      <c r="DM131" s="64">
        <v>8</v>
      </c>
      <c r="DN131" s="406" t="s">
        <v>6074</v>
      </c>
      <c r="DO131" s="406">
        <v>-8.14</v>
      </c>
      <c r="DP131" s="80">
        <v>163</v>
      </c>
    </row>
    <row r="132" spans="29:120" x14ac:dyDescent="0.25">
      <c r="AC132" s="122" t="s">
        <v>333</v>
      </c>
      <c r="AD132" s="122" t="s">
        <v>537</v>
      </c>
      <c r="AE132" s="127">
        <v>2</v>
      </c>
      <c r="BC132" s="122" t="s">
        <v>10668</v>
      </c>
      <c r="BD132" s="115">
        <v>1</v>
      </c>
      <c r="BE132" s="115">
        <v>0.3</v>
      </c>
      <c r="BF132" s="115">
        <v>0.4</v>
      </c>
      <c r="BG132" s="115">
        <v>0.16</v>
      </c>
      <c r="BH132" s="122" t="str">
        <f t="shared" si="22"/>
        <v/>
      </c>
      <c r="BM132" s="122" t="s">
        <v>10667</v>
      </c>
      <c r="BN132" s="115">
        <v>3</v>
      </c>
      <c r="BO132" s="115">
        <v>0</v>
      </c>
      <c r="BP132" s="115">
        <v>0.2</v>
      </c>
      <c r="BQ132" s="115">
        <v>0.52</v>
      </c>
      <c r="BR132" s="122" t="str">
        <f t="shared" si="23"/>
        <v/>
      </c>
      <c r="BW132" s="122" t="s">
        <v>10668</v>
      </c>
      <c r="BX132" s="115">
        <v>1</v>
      </c>
      <c r="BY132" s="115">
        <v>0.3</v>
      </c>
      <c r="BZ132" s="115">
        <v>0.4</v>
      </c>
      <c r="CA132" s="115">
        <v>0.42</v>
      </c>
      <c r="CB132" s="122" t="str">
        <f t="shared" si="24"/>
        <v/>
      </c>
      <c r="DA132" s="122" t="s">
        <v>268</v>
      </c>
      <c r="DB132" s="122" t="s">
        <v>4381</v>
      </c>
      <c r="DC132" s="122" t="s">
        <v>4381</v>
      </c>
      <c r="DD132" s="127">
        <v>8</v>
      </c>
      <c r="DE132" s="127">
        <v>8</v>
      </c>
      <c r="DG132" s="405" t="s">
        <v>268</v>
      </c>
      <c r="DH132" s="406" t="s">
        <v>4381</v>
      </c>
      <c r="DI132" s="406" t="str">
        <f t="shared" si="25"/>
        <v>AM, Autazes</v>
      </c>
      <c r="DJ132" s="406">
        <v>-3.58</v>
      </c>
      <c r="DK132" s="80">
        <v>-59.131</v>
      </c>
      <c r="DL132" s="80">
        <v>36</v>
      </c>
      <c r="DM132" s="64">
        <v>8</v>
      </c>
      <c r="DN132" s="406" t="s">
        <v>6158</v>
      </c>
      <c r="DO132" s="406">
        <v>-3.58</v>
      </c>
      <c r="DP132" s="80">
        <v>28</v>
      </c>
    </row>
    <row r="133" spans="29:120" x14ac:dyDescent="0.25">
      <c r="AC133" s="122" t="s">
        <v>376</v>
      </c>
      <c r="AD133" s="122" t="s">
        <v>538</v>
      </c>
      <c r="AE133" s="127">
        <v>3</v>
      </c>
      <c r="BC133" s="122" t="s">
        <v>10668</v>
      </c>
      <c r="BD133" s="115">
        <v>1</v>
      </c>
      <c r="BE133" s="115">
        <v>0.4</v>
      </c>
      <c r="BF133" s="115">
        <v>100</v>
      </c>
      <c r="BG133" s="115">
        <v>0.18</v>
      </c>
      <c r="BH133" s="122" t="str">
        <f t="shared" si="22"/>
        <v/>
      </c>
      <c r="BM133" s="122" t="s">
        <v>10667</v>
      </c>
      <c r="BN133" s="115">
        <v>4</v>
      </c>
      <c r="BO133" s="115">
        <v>0</v>
      </c>
      <c r="BP133" s="115">
        <v>0.2</v>
      </c>
      <c r="BQ133" s="115">
        <v>0.56000000000000005</v>
      </c>
      <c r="BR133" s="122" t="str">
        <f t="shared" si="23"/>
        <v/>
      </c>
      <c r="BW133" s="122" t="s">
        <v>10668</v>
      </c>
      <c r="BX133" s="115">
        <v>1</v>
      </c>
      <c r="BY133" s="115">
        <v>0.4</v>
      </c>
      <c r="BZ133" s="115">
        <v>100</v>
      </c>
      <c r="CA133" s="115">
        <v>0.42</v>
      </c>
      <c r="CB133" s="122" t="str">
        <f t="shared" si="24"/>
        <v/>
      </c>
      <c r="DA133" s="122" t="s">
        <v>268</v>
      </c>
      <c r="DB133" s="122" t="s">
        <v>4377</v>
      </c>
      <c r="DC133" s="122" t="s">
        <v>4377</v>
      </c>
      <c r="DD133" s="127">
        <v>8</v>
      </c>
      <c r="DE133" s="127">
        <v>8</v>
      </c>
      <c r="DG133" s="405" t="s">
        <v>268</v>
      </c>
      <c r="DH133" s="406" t="s">
        <v>4377</v>
      </c>
      <c r="DI133" s="406" t="str">
        <f t="shared" si="25"/>
        <v>AM, Barcelos</v>
      </c>
      <c r="DJ133" s="406">
        <v>-0.97499999999999998</v>
      </c>
      <c r="DK133" s="80">
        <v>-62.923999999999999</v>
      </c>
      <c r="DL133" s="80">
        <v>47</v>
      </c>
      <c r="DM133" s="64">
        <v>8</v>
      </c>
      <c r="DN133" s="406" t="s">
        <v>6159</v>
      </c>
      <c r="DO133" s="406">
        <v>-0.99</v>
      </c>
      <c r="DP133" s="80">
        <v>17</v>
      </c>
    </row>
    <row r="134" spans="29:120" x14ac:dyDescent="0.25">
      <c r="AC134" s="122" t="s">
        <v>27</v>
      </c>
      <c r="AD134" s="122" t="s">
        <v>539</v>
      </c>
      <c r="AE134" s="127">
        <v>3</v>
      </c>
      <c r="BC134" s="122" t="s">
        <v>10668</v>
      </c>
      <c r="BD134" s="115">
        <v>2</v>
      </c>
      <c r="BE134" s="115">
        <v>0</v>
      </c>
      <c r="BF134" s="115">
        <v>0.2</v>
      </c>
      <c r="BG134" s="115">
        <v>0.12</v>
      </c>
      <c r="BH134" s="122" t="str">
        <f t="shared" si="22"/>
        <v/>
      </c>
      <c r="BM134" s="122" t="s">
        <v>10667</v>
      </c>
      <c r="BN134" s="115">
        <v>5</v>
      </c>
      <c r="BO134" s="115">
        <v>0</v>
      </c>
      <c r="BP134" s="115">
        <v>0.2</v>
      </c>
      <c r="BQ134" s="115">
        <v>0.46</v>
      </c>
      <c r="BR134" s="122" t="str">
        <f t="shared" si="23"/>
        <v/>
      </c>
      <c r="BW134" s="122" t="s">
        <v>10668</v>
      </c>
      <c r="BX134" s="115">
        <v>2</v>
      </c>
      <c r="BY134" s="115">
        <v>0</v>
      </c>
      <c r="BZ134" s="115">
        <v>0.2</v>
      </c>
      <c r="CA134" s="115">
        <v>0.38</v>
      </c>
      <c r="CB134" s="122" t="str">
        <f t="shared" si="24"/>
        <v/>
      </c>
      <c r="DA134" s="122" t="s">
        <v>268</v>
      </c>
      <c r="DB134" s="122" t="s">
        <v>5213</v>
      </c>
      <c r="DC134" s="122" t="s">
        <v>5213</v>
      </c>
      <c r="DD134" s="127">
        <v>8</v>
      </c>
      <c r="DE134" s="127">
        <v>8</v>
      </c>
      <c r="DG134" s="405" t="s">
        <v>268</v>
      </c>
      <c r="DH134" s="406" t="s">
        <v>5213</v>
      </c>
      <c r="DI134" s="406" t="str">
        <f t="shared" si="25"/>
        <v>AM, Barreirinha</v>
      </c>
      <c r="DJ134" s="406">
        <v>-2.7930000000000001</v>
      </c>
      <c r="DK134" s="80">
        <v>-57.07</v>
      </c>
      <c r="DL134" s="80">
        <v>19</v>
      </c>
      <c r="DM134" s="64">
        <v>8</v>
      </c>
      <c r="DN134" s="406" t="s">
        <v>6160</v>
      </c>
      <c r="DO134" s="406">
        <v>-2.64</v>
      </c>
      <c r="DP134" s="80">
        <v>35</v>
      </c>
    </row>
    <row r="135" spans="29:120" x14ac:dyDescent="0.25">
      <c r="AC135" s="122" t="s">
        <v>311</v>
      </c>
      <c r="AD135" s="122" t="s">
        <v>540</v>
      </c>
      <c r="AE135" s="127">
        <v>1</v>
      </c>
      <c r="BC135" s="122" t="s">
        <v>10668</v>
      </c>
      <c r="BD135" s="115">
        <v>2</v>
      </c>
      <c r="BE135" s="115">
        <v>0.2</v>
      </c>
      <c r="BF135" s="115">
        <v>0.3</v>
      </c>
      <c r="BG135" s="115">
        <v>0.12</v>
      </c>
      <c r="BH135" s="122" t="str">
        <f t="shared" si="22"/>
        <v/>
      </c>
      <c r="BM135" s="122" t="s">
        <v>10667</v>
      </c>
      <c r="BN135" s="115">
        <v>6</v>
      </c>
      <c r="BO135" s="115">
        <v>0</v>
      </c>
      <c r="BP135" s="115">
        <v>0.2</v>
      </c>
      <c r="BQ135" s="115">
        <v>0.46</v>
      </c>
      <c r="BR135" s="122" t="str">
        <f t="shared" si="23"/>
        <v/>
      </c>
      <c r="BW135" s="122" t="s">
        <v>10668</v>
      </c>
      <c r="BX135" s="115">
        <v>2</v>
      </c>
      <c r="BY135" s="115">
        <v>0.2</v>
      </c>
      <c r="BZ135" s="115">
        <v>0.3</v>
      </c>
      <c r="CA135" s="115">
        <v>0.38</v>
      </c>
      <c r="CB135" s="122" t="str">
        <f t="shared" si="24"/>
        <v/>
      </c>
      <c r="DA135" s="122" t="s">
        <v>268</v>
      </c>
      <c r="DB135" s="122" t="s">
        <v>6161</v>
      </c>
      <c r="DC135" s="122" t="s">
        <v>4475</v>
      </c>
      <c r="DD135" s="127">
        <v>8</v>
      </c>
      <c r="DE135" s="127">
        <v>8</v>
      </c>
      <c r="DG135" s="405" t="s">
        <v>268</v>
      </c>
      <c r="DH135" s="406" t="s">
        <v>4475</v>
      </c>
      <c r="DI135" s="406" t="str">
        <f t="shared" si="25"/>
        <v>AM, Benjamin Constant</v>
      </c>
      <c r="DJ135" s="406">
        <v>-4.383</v>
      </c>
      <c r="DK135" s="80">
        <v>-70.031000000000006</v>
      </c>
      <c r="DL135" s="80">
        <v>65</v>
      </c>
      <c r="DM135" s="64">
        <v>8</v>
      </c>
      <c r="DN135" s="406" t="s">
        <v>6074</v>
      </c>
      <c r="DO135" s="406">
        <v>-8.14</v>
      </c>
      <c r="DP135" s="80">
        <v>163</v>
      </c>
    </row>
    <row r="136" spans="29:120" x14ac:dyDescent="0.25">
      <c r="AC136" s="122" t="s">
        <v>333</v>
      </c>
      <c r="AD136" s="122" t="s">
        <v>541</v>
      </c>
      <c r="AE136" s="127">
        <v>3</v>
      </c>
      <c r="BC136" s="122" t="s">
        <v>10668</v>
      </c>
      <c r="BD136" s="115">
        <v>2</v>
      </c>
      <c r="BE136" s="115">
        <v>0.3</v>
      </c>
      <c r="BF136" s="115">
        <v>0.4</v>
      </c>
      <c r="BG136" s="115">
        <v>0.14000000000000001</v>
      </c>
      <c r="BH136" s="122" t="str">
        <f t="shared" si="22"/>
        <v/>
      </c>
      <c r="BM136" s="122" t="s">
        <v>10667</v>
      </c>
      <c r="BN136" s="115">
        <v>7</v>
      </c>
      <c r="BO136" s="115">
        <v>0</v>
      </c>
      <c r="BP136" s="115">
        <v>0.2</v>
      </c>
      <c r="BQ136" s="115">
        <v>0.32</v>
      </c>
      <c r="BR136" s="122" t="str">
        <f t="shared" si="23"/>
        <v/>
      </c>
      <c r="BW136" s="122" t="s">
        <v>10668</v>
      </c>
      <c r="BX136" s="115">
        <v>2</v>
      </c>
      <c r="BY136" s="115">
        <v>0.3</v>
      </c>
      <c r="BZ136" s="115">
        <v>0.4</v>
      </c>
      <c r="CA136" s="115">
        <v>0.39</v>
      </c>
      <c r="CB136" s="122" t="str">
        <f t="shared" si="24"/>
        <v/>
      </c>
      <c r="DA136" s="122" t="s">
        <v>268</v>
      </c>
      <c r="DB136" s="122" t="s">
        <v>4257</v>
      </c>
      <c r="DC136" s="122" t="s">
        <v>4257</v>
      </c>
      <c r="DD136" s="127">
        <v>8</v>
      </c>
      <c r="DE136" s="127">
        <v>8</v>
      </c>
      <c r="DG136" s="405" t="s">
        <v>268</v>
      </c>
      <c r="DH136" s="406" t="s">
        <v>4257</v>
      </c>
      <c r="DI136" s="406" t="str">
        <f t="shared" si="25"/>
        <v>AM, Beruri</v>
      </c>
      <c r="DJ136" s="406">
        <v>-3.8980000000000001</v>
      </c>
      <c r="DK136" s="80">
        <v>-61.372999999999998</v>
      </c>
      <c r="DL136" s="80">
        <v>35</v>
      </c>
      <c r="DM136" s="64">
        <v>8</v>
      </c>
      <c r="DN136" s="406" t="s">
        <v>6155</v>
      </c>
      <c r="DO136" s="406">
        <v>-3.29</v>
      </c>
      <c r="DP136" s="80">
        <v>19</v>
      </c>
    </row>
    <row r="137" spans="29:120" x14ac:dyDescent="0.25">
      <c r="AC137" s="122" t="s">
        <v>333</v>
      </c>
      <c r="AD137" s="122" t="s">
        <v>542</v>
      </c>
      <c r="AE137" s="127">
        <v>3</v>
      </c>
      <c r="BC137" s="122" t="s">
        <v>10668</v>
      </c>
      <c r="BD137" s="115">
        <v>2</v>
      </c>
      <c r="BE137" s="115">
        <v>0.4</v>
      </c>
      <c r="BF137" s="115">
        <v>100</v>
      </c>
      <c r="BG137" s="115">
        <v>0.17</v>
      </c>
      <c r="BH137" s="122" t="str">
        <f t="shared" si="22"/>
        <v/>
      </c>
      <c r="BM137" s="122" t="s">
        <v>10667</v>
      </c>
      <c r="BN137" s="115">
        <v>8</v>
      </c>
      <c r="BO137" s="115">
        <v>0</v>
      </c>
      <c r="BP137" s="115">
        <v>0.2</v>
      </c>
      <c r="BQ137" s="115">
        <v>0.41</v>
      </c>
      <c r="BR137" s="122" t="str">
        <f t="shared" si="23"/>
        <v/>
      </c>
      <c r="BW137" s="122" t="s">
        <v>10668</v>
      </c>
      <c r="BX137" s="115">
        <v>2</v>
      </c>
      <c r="BY137" s="115">
        <v>0.4</v>
      </c>
      <c r="BZ137" s="115">
        <v>100</v>
      </c>
      <c r="CA137" s="115">
        <v>0.4</v>
      </c>
      <c r="CB137" s="122" t="str">
        <f t="shared" si="24"/>
        <v/>
      </c>
      <c r="DA137" s="122" t="s">
        <v>268</v>
      </c>
      <c r="DB137" s="122" t="s">
        <v>6162</v>
      </c>
      <c r="DC137" s="122" t="s">
        <v>5275</v>
      </c>
      <c r="DD137" s="127">
        <v>8</v>
      </c>
      <c r="DE137" s="127">
        <v>8</v>
      </c>
      <c r="DG137" s="405" t="s">
        <v>268</v>
      </c>
      <c r="DH137" s="406" t="s">
        <v>5275</v>
      </c>
      <c r="DI137" s="406" t="str">
        <f t="shared" si="25"/>
        <v>AM, Boa Vista do Ramos</v>
      </c>
      <c r="DJ137" s="406">
        <v>-2.97</v>
      </c>
      <c r="DK137" s="80">
        <v>-57.59</v>
      </c>
      <c r="DL137" s="80">
        <v>32</v>
      </c>
      <c r="DM137" s="64">
        <v>8</v>
      </c>
      <c r="DN137" s="406" t="s">
        <v>6163</v>
      </c>
      <c r="DO137" s="406">
        <v>-3.4</v>
      </c>
      <c r="DP137" s="80">
        <v>35</v>
      </c>
    </row>
    <row r="138" spans="29:120" x14ac:dyDescent="0.25">
      <c r="AC138" s="122" t="s">
        <v>358</v>
      </c>
      <c r="AD138" s="122" t="s">
        <v>543</v>
      </c>
      <c r="AE138" s="127">
        <v>3</v>
      </c>
      <c r="BC138" s="122" t="s">
        <v>10668</v>
      </c>
      <c r="BD138" s="115">
        <v>3</v>
      </c>
      <c r="BE138" s="115">
        <v>0</v>
      </c>
      <c r="BF138" s="115">
        <v>0.2</v>
      </c>
      <c r="BG138" s="115">
        <v>0.09</v>
      </c>
      <c r="BH138" s="122" t="str">
        <f t="shared" si="22"/>
        <v/>
      </c>
      <c r="BM138" s="122" t="s">
        <v>10667</v>
      </c>
      <c r="BN138" s="115">
        <v>1</v>
      </c>
      <c r="BO138" s="115">
        <v>0.2</v>
      </c>
      <c r="BP138" s="115">
        <v>0.3</v>
      </c>
      <c r="BQ138" s="115">
        <v>0.59</v>
      </c>
      <c r="BR138" s="122" t="str">
        <f t="shared" si="23"/>
        <v/>
      </c>
      <c r="BW138" s="122" t="s">
        <v>10668</v>
      </c>
      <c r="BX138" s="115">
        <v>3</v>
      </c>
      <c r="BY138" s="115">
        <v>0</v>
      </c>
      <c r="BZ138" s="115">
        <v>0.2</v>
      </c>
      <c r="CA138" s="115">
        <v>0.4</v>
      </c>
      <c r="CB138" s="122" t="str">
        <f t="shared" si="24"/>
        <v/>
      </c>
      <c r="DA138" s="122" t="s">
        <v>268</v>
      </c>
      <c r="DB138" s="122" t="s">
        <v>6164</v>
      </c>
      <c r="DC138" s="122" t="s">
        <v>4898</v>
      </c>
      <c r="DD138" s="127">
        <v>8</v>
      </c>
      <c r="DE138" s="127">
        <v>8</v>
      </c>
      <c r="DG138" s="405" t="s">
        <v>268</v>
      </c>
      <c r="DH138" s="406" t="s">
        <v>4898</v>
      </c>
      <c r="DI138" s="406" t="str">
        <f t="shared" si="25"/>
        <v>AM, Boca do Acre</v>
      </c>
      <c r="DJ138" s="406">
        <v>-8.7520000000000007</v>
      </c>
      <c r="DK138" s="80">
        <v>-67.397999999999996</v>
      </c>
      <c r="DL138" s="80">
        <v>116</v>
      </c>
      <c r="DM138" s="64">
        <v>8</v>
      </c>
      <c r="DN138" s="406" t="s">
        <v>6069</v>
      </c>
      <c r="DO138" s="406">
        <v>-9.9600000000000009</v>
      </c>
      <c r="DP138" s="80">
        <v>220</v>
      </c>
    </row>
    <row r="139" spans="29:120" x14ac:dyDescent="0.25">
      <c r="AC139" s="122" t="s">
        <v>333</v>
      </c>
      <c r="AD139" s="122" t="s">
        <v>544</v>
      </c>
      <c r="AE139" s="127">
        <v>3</v>
      </c>
      <c r="BC139" s="122" t="s">
        <v>10668</v>
      </c>
      <c r="BD139" s="115">
        <v>3</v>
      </c>
      <c r="BE139" s="115">
        <v>0.2</v>
      </c>
      <c r="BF139" s="115">
        <v>0.3</v>
      </c>
      <c r="BG139" s="115">
        <v>0.09</v>
      </c>
      <c r="BH139" s="122" t="str">
        <f t="shared" si="22"/>
        <v/>
      </c>
      <c r="BM139" s="122" t="s">
        <v>10667</v>
      </c>
      <c r="BN139" s="115">
        <v>2</v>
      </c>
      <c r="BO139" s="115">
        <v>0.2</v>
      </c>
      <c r="BP139" s="115">
        <v>0.3</v>
      </c>
      <c r="BQ139" s="115">
        <v>0.49</v>
      </c>
      <c r="BR139" s="122" t="str">
        <f t="shared" si="23"/>
        <v/>
      </c>
      <c r="BW139" s="122" t="s">
        <v>10668</v>
      </c>
      <c r="BX139" s="115">
        <v>3</v>
      </c>
      <c r="BY139" s="115">
        <v>0.2</v>
      </c>
      <c r="BZ139" s="115">
        <v>0.3</v>
      </c>
      <c r="CA139" s="115">
        <v>0.4</v>
      </c>
      <c r="CB139" s="122" t="str">
        <f t="shared" si="24"/>
        <v/>
      </c>
      <c r="DA139" s="122" t="s">
        <v>268</v>
      </c>
      <c r="DB139" s="122" t="s">
        <v>5163</v>
      </c>
      <c r="DC139" s="122" t="s">
        <v>5163</v>
      </c>
      <c r="DD139" s="127">
        <v>8</v>
      </c>
      <c r="DE139" s="127">
        <v>8</v>
      </c>
      <c r="DG139" s="405" t="s">
        <v>268</v>
      </c>
      <c r="DH139" s="406" t="s">
        <v>5163</v>
      </c>
      <c r="DI139" s="406" t="str">
        <f t="shared" si="25"/>
        <v>AM, Borba</v>
      </c>
      <c r="DJ139" s="406">
        <v>-4.3879999999999999</v>
      </c>
      <c r="DK139" s="80">
        <v>-59.594000000000001</v>
      </c>
      <c r="DL139" s="80">
        <v>45</v>
      </c>
      <c r="DM139" s="64">
        <v>8</v>
      </c>
      <c r="DN139" s="406" t="s">
        <v>6158</v>
      </c>
      <c r="DO139" s="406">
        <v>-3.58</v>
      </c>
      <c r="DP139" s="80">
        <v>28</v>
      </c>
    </row>
    <row r="140" spans="29:120" x14ac:dyDescent="0.25">
      <c r="AC140" s="122" t="s">
        <v>333</v>
      </c>
      <c r="AD140" s="122" t="s">
        <v>545</v>
      </c>
      <c r="AE140" s="127">
        <v>2</v>
      </c>
      <c r="BC140" s="122" t="s">
        <v>10668</v>
      </c>
      <c r="BD140" s="115">
        <v>3</v>
      </c>
      <c r="BE140" s="115">
        <v>0.3</v>
      </c>
      <c r="BF140" s="115">
        <v>0.4</v>
      </c>
      <c r="BG140" s="115">
        <v>0.11</v>
      </c>
      <c r="BH140" s="122" t="str">
        <f t="shared" si="22"/>
        <v/>
      </c>
      <c r="BM140" s="122" t="s">
        <v>10667</v>
      </c>
      <c r="BN140" s="115">
        <v>3</v>
      </c>
      <c r="BO140" s="115">
        <v>0.2</v>
      </c>
      <c r="BP140" s="115">
        <v>0.3</v>
      </c>
      <c r="BQ140" s="115">
        <v>0.52</v>
      </c>
      <c r="BR140" s="122" t="str">
        <f t="shared" si="23"/>
        <v/>
      </c>
      <c r="BW140" s="122" t="s">
        <v>10668</v>
      </c>
      <c r="BX140" s="115">
        <v>3</v>
      </c>
      <c r="BY140" s="115">
        <v>0.3</v>
      </c>
      <c r="BZ140" s="115">
        <v>0.4</v>
      </c>
      <c r="CA140" s="115">
        <v>0.41</v>
      </c>
      <c r="CB140" s="122" t="str">
        <f t="shared" si="24"/>
        <v/>
      </c>
      <c r="DA140" s="122" t="s">
        <v>268</v>
      </c>
      <c r="DB140" s="122" t="s">
        <v>4252</v>
      </c>
      <c r="DC140" s="122" t="s">
        <v>4252</v>
      </c>
      <c r="DD140" s="127">
        <v>8</v>
      </c>
      <c r="DE140" s="127">
        <v>8</v>
      </c>
      <c r="DG140" s="405" t="s">
        <v>268</v>
      </c>
      <c r="DH140" s="406" t="s">
        <v>4252</v>
      </c>
      <c r="DI140" s="406" t="str">
        <f t="shared" si="25"/>
        <v>AM, Caapiranga</v>
      </c>
      <c r="DJ140" s="406">
        <v>-3.3279999999999998</v>
      </c>
      <c r="DK140" s="80">
        <v>-61.209000000000003</v>
      </c>
      <c r="DL140" s="80">
        <v>32</v>
      </c>
      <c r="DM140" s="64">
        <v>8</v>
      </c>
      <c r="DN140" s="406" t="s">
        <v>6155</v>
      </c>
      <c r="DO140" s="406">
        <v>-3.29</v>
      </c>
      <c r="DP140" s="80">
        <v>19</v>
      </c>
    </row>
    <row r="141" spans="29:120" x14ac:dyDescent="0.25">
      <c r="AC141" s="122" t="s">
        <v>333</v>
      </c>
      <c r="AD141" s="122" t="s">
        <v>546</v>
      </c>
      <c r="AE141" s="127">
        <v>3</v>
      </c>
      <c r="BC141" s="122" t="s">
        <v>10668</v>
      </c>
      <c r="BD141" s="115">
        <v>3</v>
      </c>
      <c r="BE141" s="115">
        <v>0.4</v>
      </c>
      <c r="BF141" s="115">
        <v>100</v>
      </c>
      <c r="BG141" s="115">
        <v>0.13</v>
      </c>
      <c r="BH141" s="122" t="str">
        <f t="shared" si="22"/>
        <v/>
      </c>
      <c r="BM141" s="122" t="s">
        <v>10667</v>
      </c>
      <c r="BN141" s="115">
        <v>4</v>
      </c>
      <c r="BO141" s="115">
        <v>0.2</v>
      </c>
      <c r="BP141" s="115">
        <v>0.3</v>
      </c>
      <c r="BQ141" s="115">
        <v>0.56999999999999995</v>
      </c>
      <c r="BR141" s="122" t="str">
        <f t="shared" si="23"/>
        <v/>
      </c>
      <c r="BW141" s="122" t="s">
        <v>10668</v>
      </c>
      <c r="BX141" s="115">
        <v>3</v>
      </c>
      <c r="BY141" s="115">
        <v>0.4</v>
      </c>
      <c r="BZ141" s="115">
        <v>100</v>
      </c>
      <c r="CA141" s="115">
        <v>0.41</v>
      </c>
      <c r="CB141" s="122" t="str">
        <f t="shared" si="24"/>
        <v/>
      </c>
      <c r="DA141" s="122" t="s">
        <v>268</v>
      </c>
      <c r="DB141" s="122" t="s">
        <v>4396</v>
      </c>
      <c r="DC141" s="122" t="s">
        <v>4396</v>
      </c>
      <c r="DD141" s="127">
        <v>8</v>
      </c>
      <c r="DE141" s="127">
        <v>8</v>
      </c>
      <c r="DG141" s="405" t="s">
        <v>268</v>
      </c>
      <c r="DH141" s="406" t="s">
        <v>4396</v>
      </c>
      <c r="DI141" s="406" t="str">
        <f t="shared" si="25"/>
        <v>AM, Canutama</v>
      </c>
      <c r="DJ141" s="406">
        <v>-6.5339999999999998</v>
      </c>
      <c r="DK141" s="80">
        <v>-64.382999999999996</v>
      </c>
      <c r="DL141" s="80">
        <v>55</v>
      </c>
      <c r="DM141" s="64">
        <v>8</v>
      </c>
      <c r="DN141" s="406" t="s">
        <v>6165</v>
      </c>
      <c r="DO141" s="406">
        <v>-7.55</v>
      </c>
      <c r="DP141" s="80">
        <v>72</v>
      </c>
    </row>
    <row r="142" spans="29:120" x14ac:dyDescent="0.25">
      <c r="AC142" s="122" t="s">
        <v>333</v>
      </c>
      <c r="AD142" s="122" t="s">
        <v>547</v>
      </c>
      <c r="AE142" s="127">
        <v>3</v>
      </c>
      <c r="BC142" s="122" t="s">
        <v>10668</v>
      </c>
      <c r="BD142" s="115">
        <v>4</v>
      </c>
      <c r="BE142" s="115">
        <v>0</v>
      </c>
      <c r="BF142" s="115">
        <v>0.2</v>
      </c>
      <c r="BG142" s="115">
        <v>0.14000000000000001</v>
      </c>
      <c r="BH142" s="122" t="str">
        <f t="shared" si="22"/>
        <v/>
      </c>
      <c r="BM142" s="122" t="s">
        <v>10667</v>
      </c>
      <c r="BN142" s="115">
        <v>5</v>
      </c>
      <c r="BO142" s="115">
        <v>0.2</v>
      </c>
      <c r="BP142" s="115">
        <v>0.3</v>
      </c>
      <c r="BQ142" s="115">
        <v>0.46</v>
      </c>
      <c r="BR142" s="122" t="str">
        <f t="shared" si="23"/>
        <v/>
      </c>
      <c r="BW142" s="122" t="s">
        <v>10668</v>
      </c>
      <c r="BX142" s="115">
        <v>4</v>
      </c>
      <c r="BY142" s="115">
        <v>0</v>
      </c>
      <c r="BZ142" s="115">
        <v>0.2</v>
      </c>
      <c r="CA142" s="115">
        <v>0.43</v>
      </c>
      <c r="CB142" s="122" t="str">
        <f t="shared" si="24"/>
        <v/>
      </c>
      <c r="DA142" s="122" t="s">
        <v>268</v>
      </c>
      <c r="DB142" s="122" t="s">
        <v>4476</v>
      </c>
      <c r="DC142" s="122" t="s">
        <v>4476</v>
      </c>
      <c r="DD142" s="127">
        <v>8</v>
      </c>
      <c r="DE142" s="127">
        <v>8</v>
      </c>
      <c r="DG142" s="405" t="s">
        <v>268</v>
      </c>
      <c r="DH142" s="406" t="s">
        <v>4476</v>
      </c>
      <c r="DI142" s="406" t="str">
        <f t="shared" si="25"/>
        <v>AM, Carauari</v>
      </c>
      <c r="DJ142" s="406">
        <v>-4.883</v>
      </c>
      <c r="DK142" s="80">
        <v>-66.896000000000001</v>
      </c>
      <c r="DL142" s="80">
        <v>87</v>
      </c>
      <c r="DM142" s="64">
        <v>8</v>
      </c>
      <c r="DN142" s="406" t="s">
        <v>6154</v>
      </c>
      <c r="DO142" s="406">
        <v>-4.0999999999999996</v>
      </c>
      <c r="DP142" s="80">
        <v>43</v>
      </c>
    </row>
    <row r="143" spans="29:120" x14ac:dyDescent="0.25">
      <c r="AC143" s="122" t="s">
        <v>333</v>
      </c>
      <c r="AD143" s="122" t="s">
        <v>548</v>
      </c>
      <c r="AE143" s="127">
        <v>3</v>
      </c>
      <c r="BC143" s="122" t="s">
        <v>10668</v>
      </c>
      <c r="BD143" s="115">
        <v>4</v>
      </c>
      <c r="BE143" s="115">
        <v>0.2</v>
      </c>
      <c r="BF143" s="115">
        <v>0.3</v>
      </c>
      <c r="BG143" s="115">
        <v>0.14000000000000001</v>
      </c>
      <c r="BH143" s="122" t="str">
        <f t="shared" si="22"/>
        <v/>
      </c>
      <c r="BM143" s="122" t="s">
        <v>10667</v>
      </c>
      <c r="BN143" s="115">
        <v>6</v>
      </c>
      <c r="BO143" s="115">
        <v>0.2</v>
      </c>
      <c r="BP143" s="115">
        <v>0.3</v>
      </c>
      <c r="BQ143" s="115">
        <v>0.47</v>
      </c>
      <c r="BR143" s="122" t="str">
        <f t="shared" si="23"/>
        <v/>
      </c>
      <c r="BW143" s="122" t="s">
        <v>10668</v>
      </c>
      <c r="BX143" s="115">
        <v>4</v>
      </c>
      <c r="BY143" s="115">
        <v>0.2</v>
      </c>
      <c r="BZ143" s="115">
        <v>0.3</v>
      </c>
      <c r="CA143" s="115">
        <v>0.43</v>
      </c>
      <c r="CB143" s="122" t="str">
        <f t="shared" si="24"/>
        <v/>
      </c>
      <c r="DA143" s="122" t="s">
        <v>268</v>
      </c>
      <c r="DB143" s="122" t="s">
        <v>4282</v>
      </c>
      <c r="DC143" s="122" t="s">
        <v>4282</v>
      </c>
      <c r="DD143" s="127">
        <v>8</v>
      </c>
      <c r="DE143" s="127">
        <v>8</v>
      </c>
      <c r="DG143" s="405" t="s">
        <v>268</v>
      </c>
      <c r="DH143" s="406" t="s">
        <v>4282</v>
      </c>
      <c r="DI143" s="406" t="str">
        <f t="shared" si="25"/>
        <v>AM, Careiro</v>
      </c>
      <c r="DJ143" s="406">
        <v>-3.7679999999999998</v>
      </c>
      <c r="DK143" s="80">
        <v>-60.369</v>
      </c>
      <c r="DL143" s="80">
        <v>27</v>
      </c>
      <c r="DM143" s="64">
        <v>8</v>
      </c>
      <c r="DN143" s="406" t="s">
        <v>6155</v>
      </c>
      <c r="DO143" s="406">
        <v>-3.29</v>
      </c>
      <c r="DP143" s="80">
        <v>19</v>
      </c>
    </row>
    <row r="144" spans="29:120" x14ac:dyDescent="0.25">
      <c r="AC144" s="122" t="s">
        <v>333</v>
      </c>
      <c r="AD144" s="122" t="s">
        <v>549</v>
      </c>
      <c r="AE144" s="127">
        <v>3</v>
      </c>
      <c r="BC144" s="122" t="s">
        <v>10668</v>
      </c>
      <c r="BD144" s="115">
        <v>4</v>
      </c>
      <c r="BE144" s="115">
        <v>0.3</v>
      </c>
      <c r="BF144" s="115">
        <v>0.4</v>
      </c>
      <c r="BG144" s="115">
        <v>0.17</v>
      </c>
      <c r="BH144" s="122" t="str">
        <f t="shared" si="22"/>
        <v/>
      </c>
      <c r="BM144" s="122" t="s">
        <v>10667</v>
      </c>
      <c r="BN144" s="115">
        <v>7</v>
      </c>
      <c r="BO144" s="115">
        <v>0.2</v>
      </c>
      <c r="BP144" s="115">
        <v>0.3</v>
      </c>
      <c r="BQ144" s="115">
        <v>0.33</v>
      </c>
      <c r="BR144" s="122" t="str">
        <f t="shared" si="23"/>
        <v/>
      </c>
      <c r="BW144" s="122" t="s">
        <v>10668</v>
      </c>
      <c r="BX144" s="115">
        <v>4</v>
      </c>
      <c r="BY144" s="115">
        <v>0.3</v>
      </c>
      <c r="BZ144" s="115">
        <v>0.4</v>
      </c>
      <c r="CA144" s="115">
        <v>0.43</v>
      </c>
      <c r="CB144" s="122" t="str">
        <f t="shared" si="24"/>
        <v/>
      </c>
      <c r="DA144" s="122" t="s">
        <v>268</v>
      </c>
      <c r="DB144" s="122" t="s">
        <v>6166</v>
      </c>
      <c r="DC144" s="122" t="s">
        <v>4265</v>
      </c>
      <c r="DD144" s="127">
        <v>8</v>
      </c>
      <c r="DE144" s="127">
        <v>8</v>
      </c>
      <c r="DG144" s="405" t="s">
        <v>268</v>
      </c>
      <c r="DH144" s="406" t="s">
        <v>4265</v>
      </c>
      <c r="DI144" s="406" t="str">
        <f t="shared" si="25"/>
        <v>AM, Careiro da Várzea</v>
      </c>
      <c r="DJ144" s="406">
        <v>-3.2210000000000001</v>
      </c>
      <c r="DK144" s="80">
        <v>-59.826000000000001</v>
      </c>
      <c r="DL144" s="80">
        <v>25</v>
      </c>
      <c r="DM144" s="64">
        <v>8</v>
      </c>
      <c r="DN144" s="406" t="s">
        <v>6167</v>
      </c>
      <c r="DO144" s="406">
        <v>-3.1</v>
      </c>
      <c r="DP144" s="80">
        <v>67</v>
      </c>
    </row>
    <row r="145" spans="29:120" x14ac:dyDescent="0.25">
      <c r="AC145" s="122" t="s">
        <v>376</v>
      </c>
      <c r="AD145" s="122" t="s">
        <v>550</v>
      </c>
      <c r="AE145" s="127">
        <v>3</v>
      </c>
      <c r="BC145" s="122" t="s">
        <v>10668</v>
      </c>
      <c r="BD145" s="115">
        <v>4</v>
      </c>
      <c r="BE145" s="115">
        <v>0.4</v>
      </c>
      <c r="BF145" s="115">
        <v>100</v>
      </c>
      <c r="BG145" s="115">
        <v>0.2</v>
      </c>
      <c r="BH145" s="122" t="str">
        <f t="shared" si="22"/>
        <v/>
      </c>
      <c r="BM145" s="122" t="s">
        <v>10667</v>
      </c>
      <c r="BN145" s="115">
        <v>8</v>
      </c>
      <c r="BO145" s="115">
        <v>0.2</v>
      </c>
      <c r="BP145" s="115">
        <v>0.3</v>
      </c>
      <c r="BQ145" s="115">
        <v>0.42</v>
      </c>
      <c r="BR145" s="122" t="str">
        <f t="shared" si="23"/>
        <v/>
      </c>
      <c r="BW145" s="122" t="s">
        <v>10668</v>
      </c>
      <c r="BX145" s="115">
        <v>4</v>
      </c>
      <c r="BY145" s="115">
        <v>0.4</v>
      </c>
      <c r="BZ145" s="115">
        <v>100</v>
      </c>
      <c r="CA145" s="115">
        <v>0.45</v>
      </c>
      <c r="CB145" s="122" t="str">
        <f t="shared" si="24"/>
        <v/>
      </c>
      <c r="DA145" s="122" t="s">
        <v>268</v>
      </c>
      <c r="DB145" s="122" t="s">
        <v>4305</v>
      </c>
      <c r="DC145" s="122" t="s">
        <v>4305</v>
      </c>
      <c r="DD145" s="127">
        <v>8</v>
      </c>
      <c r="DE145" s="127">
        <v>8</v>
      </c>
      <c r="DG145" s="405" t="s">
        <v>268</v>
      </c>
      <c r="DH145" s="406" t="s">
        <v>4305</v>
      </c>
      <c r="DI145" s="406" t="str">
        <f t="shared" si="25"/>
        <v>AM, Coari</v>
      </c>
      <c r="DJ145" s="406">
        <v>-4.085</v>
      </c>
      <c r="DK145" s="80">
        <v>-63.140999999999998</v>
      </c>
      <c r="DL145" s="80">
        <v>10</v>
      </c>
      <c r="DM145" s="64">
        <v>8</v>
      </c>
      <c r="DN145" s="406" t="s">
        <v>6154</v>
      </c>
      <c r="DO145" s="406">
        <v>-4.0999999999999996</v>
      </c>
      <c r="DP145" s="80">
        <v>43</v>
      </c>
    </row>
    <row r="146" spans="29:120" x14ac:dyDescent="0.25">
      <c r="AC146" s="122" t="s">
        <v>311</v>
      </c>
      <c r="AD146" s="122" t="s">
        <v>551</v>
      </c>
      <c r="AE146" s="127">
        <v>2</v>
      </c>
      <c r="BC146" s="122" t="s">
        <v>10668</v>
      </c>
      <c r="BD146" s="115">
        <v>5</v>
      </c>
      <c r="BE146" s="115">
        <v>0</v>
      </c>
      <c r="BF146" s="115">
        <v>0.2</v>
      </c>
      <c r="BG146" s="115">
        <v>0.09</v>
      </c>
      <c r="BH146" s="122" t="str">
        <f t="shared" si="22"/>
        <v/>
      </c>
      <c r="BM146" s="122" t="s">
        <v>10667</v>
      </c>
      <c r="BN146" s="115">
        <v>1</v>
      </c>
      <c r="BO146" s="115">
        <v>0.3</v>
      </c>
      <c r="BP146" s="115">
        <v>0.4</v>
      </c>
      <c r="BQ146" s="115">
        <v>0.6</v>
      </c>
      <c r="BR146" s="122" t="str">
        <f t="shared" si="23"/>
        <v/>
      </c>
      <c r="BW146" s="122" t="s">
        <v>10668</v>
      </c>
      <c r="BX146" s="115">
        <v>5</v>
      </c>
      <c r="BY146" s="115">
        <v>0</v>
      </c>
      <c r="BZ146" s="115">
        <v>0.2</v>
      </c>
      <c r="CA146" s="115">
        <v>0.38</v>
      </c>
      <c r="CB146" s="122" t="str">
        <f t="shared" si="24"/>
        <v/>
      </c>
      <c r="DA146" s="122" t="s">
        <v>268</v>
      </c>
      <c r="DB146" s="122" t="s">
        <v>4260</v>
      </c>
      <c r="DC146" s="122" t="s">
        <v>4260</v>
      </c>
      <c r="DD146" s="127">
        <v>8</v>
      </c>
      <c r="DE146" s="127">
        <v>8</v>
      </c>
      <c r="DG146" s="405" t="s">
        <v>268</v>
      </c>
      <c r="DH146" s="406" t="s">
        <v>4260</v>
      </c>
      <c r="DI146" s="406" t="str">
        <f t="shared" si="25"/>
        <v>AM, Codajás</v>
      </c>
      <c r="DJ146" s="406">
        <v>-3.8370000000000002</v>
      </c>
      <c r="DK146" s="80">
        <v>-62.057000000000002</v>
      </c>
      <c r="DL146" s="80">
        <v>47</v>
      </c>
      <c r="DM146" s="64">
        <v>8</v>
      </c>
      <c r="DN146" s="406" t="s">
        <v>6154</v>
      </c>
      <c r="DO146" s="406">
        <v>-4.0999999999999996</v>
      </c>
      <c r="DP146" s="80">
        <v>43</v>
      </c>
    </row>
    <row r="147" spans="29:120" x14ac:dyDescent="0.25">
      <c r="AC147" s="122" t="s">
        <v>311</v>
      </c>
      <c r="AD147" s="122" t="s">
        <v>552</v>
      </c>
      <c r="AE147" s="127">
        <v>2</v>
      </c>
      <c r="BC147" s="122" t="s">
        <v>10668</v>
      </c>
      <c r="BD147" s="115">
        <v>5</v>
      </c>
      <c r="BE147" s="115">
        <v>0.2</v>
      </c>
      <c r="BF147" s="115">
        <v>0.3</v>
      </c>
      <c r="BG147" s="115">
        <v>0.1</v>
      </c>
      <c r="BH147" s="122" t="str">
        <f t="shared" si="22"/>
        <v/>
      </c>
      <c r="BM147" s="122" t="s">
        <v>10667</v>
      </c>
      <c r="BN147" s="115">
        <v>2</v>
      </c>
      <c r="BO147" s="115">
        <v>0.3</v>
      </c>
      <c r="BP147" s="115">
        <v>0.4</v>
      </c>
      <c r="BQ147" s="115">
        <v>0.51</v>
      </c>
      <c r="BR147" s="122" t="str">
        <f t="shared" si="23"/>
        <v/>
      </c>
      <c r="BW147" s="122" t="s">
        <v>10668</v>
      </c>
      <c r="BX147" s="115">
        <v>5</v>
      </c>
      <c r="BY147" s="115">
        <v>0.2</v>
      </c>
      <c r="BZ147" s="115">
        <v>0.3</v>
      </c>
      <c r="CA147" s="115">
        <v>0.38</v>
      </c>
      <c r="CB147" s="122" t="str">
        <f t="shared" si="24"/>
        <v/>
      </c>
      <c r="DA147" s="122" t="s">
        <v>268</v>
      </c>
      <c r="DB147" s="122" t="s">
        <v>4503</v>
      </c>
      <c r="DC147" s="122" t="s">
        <v>4503</v>
      </c>
      <c r="DD147" s="127">
        <v>8</v>
      </c>
      <c r="DE147" s="127">
        <v>8</v>
      </c>
      <c r="DG147" s="405" t="s">
        <v>268</v>
      </c>
      <c r="DH147" s="406" t="s">
        <v>4503</v>
      </c>
      <c r="DI147" s="406" t="str">
        <f t="shared" si="25"/>
        <v>AM, Eirunepé</v>
      </c>
      <c r="DJ147" s="406">
        <v>-6.66</v>
      </c>
      <c r="DK147" s="80">
        <v>-69.873999999999995</v>
      </c>
      <c r="DL147" s="80">
        <v>124</v>
      </c>
      <c r="DM147" s="64">
        <v>8</v>
      </c>
      <c r="DN147" s="406" t="s">
        <v>6074</v>
      </c>
      <c r="DO147" s="406">
        <v>-8.14</v>
      </c>
      <c r="DP147" s="80">
        <v>163</v>
      </c>
    </row>
    <row r="148" spans="29:120" x14ac:dyDescent="0.25">
      <c r="AC148" s="122" t="s">
        <v>333</v>
      </c>
      <c r="AD148" s="122" t="s">
        <v>553</v>
      </c>
      <c r="AE148" s="127">
        <v>3</v>
      </c>
      <c r="BC148" s="122" t="s">
        <v>10668</v>
      </c>
      <c r="BD148" s="115">
        <v>5</v>
      </c>
      <c r="BE148" s="115">
        <v>0.3</v>
      </c>
      <c r="BF148" s="115">
        <v>0.4</v>
      </c>
      <c r="BG148" s="115">
        <v>0.12</v>
      </c>
      <c r="BH148" s="122" t="str">
        <f t="shared" si="22"/>
        <v/>
      </c>
      <c r="BM148" s="122" t="s">
        <v>10667</v>
      </c>
      <c r="BN148" s="115">
        <v>3</v>
      </c>
      <c r="BO148" s="115">
        <v>0.3</v>
      </c>
      <c r="BP148" s="115">
        <v>0.4</v>
      </c>
      <c r="BQ148" s="115">
        <v>0.53</v>
      </c>
      <c r="BR148" s="122" t="str">
        <f t="shared" si="23"/>
        <v/>
      </c>
      <c r="BW148" s="122" t="s">
        <v>10668</v>
      </c>
      <c r="BX148" s="115">
        <v>5</v>
      </c>
      <c r="BY148" s="115">
        <v>0.3</v>
      </c>
      <c r="BZ148" s="115">
        <v>0.4</v>
      </c>
      <c r="CA148" s="115">
        <v>0.39</v>
      </c>
      <c r="CB148" s="122" t="str">
        <f t="shared" si="24"/>
        <v/>
      </c>
      <c r="DA148" s="122" t="s">
        <v>268</v>
      </c>
      <c r="DB148" s="122" t="s">
        <v>4519</v>
      </c>
      <c r="DC148" s="122" t="s">
        <v>4519</v>
      </c>
      <c r="DD148" s="127">
        <v>8</v>
      </c>
      <c r="DE148" s="127">
        <v>8</v>
      </c>
      <c r="DG148" s="405" t="s">
        <v>268</v>
      </c>
      <c r="DH148" s="406" t="s">
        <v>4519</v>
      </c>
      <c r="DI148" s="406" t="str">
        <f t="shared" si="25"/>
        <v>AM, Envira</v>
      </c>
      <c r="DJ148" s="406">
        <v>-7.4329999999999998</v>
      </c>
      <c r="DK148" s="80">
        <v>-70.022999999999996</v>
      </c>
      <c r="DL148" s="80">
        <v>135</v>
      </c>
      <c r="DM148" s="64">
        <v>8</v>
      </c>
      <c r="DN148" s="406" t="s">
        <v>6074</v>
      </c>
      <c r="DO148" s="406">
        <v>-8.14</v>
      </c>
      <c r="DP148" s="80">
        <v>163</v>
      </c>
    </row>
    <row r="149" spans="29:120" x14ac:dyDescent="0.25">
      <c r="AC149" s="122" t="s">
        <v>311</v>
      </c>
      <c r="AD149" s="122" t="s">
        <v>554</v>
      </c>
      <c r="AE149" s="127">
        <v>2</v>
      </c>
      <c r="BC149" s="122" t="s">
        <v>10668</v>
      </c>
      <c r="BD149" s="115">
        <v>5</v>
      </c>
      <c r="BE149" s="115">
        <v>0.4</v>
      </c>
      <c r="BF149" s="115">
        <v>100</v>
      </c>
      <c r="BG149" s="115">
        <v>0.14000000000000001</v>
      </c>
      <c r="BH149" s="122" t="str">
        <f t="shared" si="22"/>
        <v/>
      </c>
      <c r="BM149" s="122" t="s">
        <v>10667</v>
      </c>
      <c r="BN149" s="115">
        <v>4</v>
      </c>
      <c r="BO149" s="115">
        <v>0.3</v>
      </c>
      <c r="BP149" s="115">
        <v>0.4</v>
      </c>
      <c r="BQ149" s="115">
        <v>0.57999999999999996</v>
      </c>
      <c r="BR149" s="122" t="str">
        <f t="shared" si="23"/>
        <v/>
      </c>
      <c r="BW149" s="122" t="s">
        <v>10668</v>
      </c>
      <c r="BX149" s="115">
        <v>5</v>
      </c>
      <c r="BY149" s="115">
        <v>0.4</v>
      </c>
      <c r="BZ149" s="115">
        <v>100</v>
      </c>
      <c r="CA149" s="115">
        <v>0.4</v>
      </c>
      <c r="CB149" s="122" t="str">
        <f t="shared" si="24"/>
        <v/>
      </c>
      <c r="DA149" s="122" t="s">
        <v>268</v>
      </c>
      <c r="DB149" s="122" t="s">
        <v>6168</v>
      </c>
      <c r="DC149" s="122" t="s">
        <v>4145</v>
      </c>
      <c r="DD149" s="127">
        <v>8</v>
      </c>
      <c r="DE149" s="127">
        <v>8</v>
      </c>
      <c r="DG149" s="405" t="s">
        <v>268</v>
      </c>
      <c r="DH149" s="406" t="s">
        <v>4145</v>
      </c>
      <c r="DI149" s="406" t="str">
        <f t="shared" si="25"/>
        <v>AM, Fonte Boa</v>
      </c>
      <c r="DJ149" s="406">
        <v>-2.5139999999999998</v>
      </c>
      <c r="DK149" s="80">
        <v>-66.091999999999999</v>
      </c>
      <c r="DL149" s="80">
        <v>62</v>
      </c>
      <c r="DM149" s="64">
        <v>8</v>
      </c>
      <c r="DN149" s="406" t="s">
        <v>6154</v>
      </c>
      <c r="DO149" s="406">
        <v>-4.0999999999999996</v>
      </c>
      <c r="DP149" s="80">
        <v>43</v>
      </c>
    </row>
    <row r="150" spans="29:120" x14ac:dyDescent="0.25">
      <c r="AC150" s="122" t="s">
        <v>311</v>
      </c>
      <c r="AD150" s="122" t="s">
        <v>555</v>
      </c>
      <c r="AE150" s="127">
        <v>2</v>
      </c>
      <c r="BC150" s="122" t="s">
        <v>10668</v>
      </c>
      <c r="BD150" s="115">
        <v>6</v>
      </c>
      <c r="BE150" s="115">
        <v>0</v>
      </c>
      <c r="BF150" s="115">
        <v>0.2</v>
      </c>
      <c r="BG150" s="115">
        <v>0.13</v>
      </c>
      <c r="BH150" s="122" t="str">
        <f t="shared" si="22"/>
        <v/>
      </c>
      <c r="BM150" s="122" t="s">
        <v>10667</v>
      </c>
      <c r="BN150" s="115">
        <v>5</v>
      </c>
      <c r="BO150" s="115">
        <v>0.3</v>
      </c>
      <c r="BP150" s="115">
        <v>0.4</v>
      </c>
      <c r="BQ150" s="115">
        <v>0.48</v>
      </c>
      <c r="BR150" s="122" t="str">
        <f t="shared" si="23"/>
        <v/>
      </c>
      <c r="BW150" s="122" t="s">
        <v>10668</v>
      </c>
      <c r="BX150" s="115">
        <v>6</v>
      </c>
      <c r="BY150" s="115">
        <v>0</v>
      </c>
      <c r="BZ150" s="115">
        <v>0.2</v>
      </c>
      <c r="CA150" s="115">
        <v>0.38</v>
      </c>
      <c r="CB150" s="122" t="str">
        <f t="shared" si="24"/>
        <v/>
      </c>
      <c r="DA150" s="122" t="s">
        <v>268</v>
      </c>
      <c r="DB150" s="122" t="s">
        <v>4584</v>
      </c>
      <c r="DC150" s="122" t="s">
        <v>4584</v>
      </c>
      <c r="DD150" s="127">
        <v>8</v>
      </c>
      <c r="DE150" s="127">
        <v>8</v>
      </c>
      <c r="DG150" s="405" t="s">
        <v>268</v>
      </c>
      <c r="DH150" s="406" t="s">
        <v>4584</v>
      </c>
      <c r="DI150" s="406" t="str">
        <f t="shared" si="25"/>
        <v>AM, Guajará</v>
      </c>
      <c r="DJ150" s="406">
        <v>-7.5460000000000003</v>
      </c>
      <c r="DK150" s="80">
        <v>-72.584000000000003</v>
      </c>
      <c r="DL150" s="80">
        <v>204</v>
      </c>
      <c r="DM150" s="64">
        <v>8</v>
      </c>
      <c r="DN150" s="406" t="s">
        <v>6073</v>
      </c>
      <c r="DO150" s="406">
        <v>-8.27</v>
      </c>
      <c r="DP150" s="80">
        <v>240</v>
      </c>
    </row>
    <row r="151" spans="29:120" x14ac:dyDescent="0.25">
      <c r="AC151" s="122" t="s">
        <v>333</v>
      </c>
      <c r="AD151" s="122" t="s">
        <v>556</v>
      </c>
      <c r="AE151" s="127">
        <v>3</v>
      </c>
      <c r="BC151" s="122" t="s">
        <v>10668</v>
      </c>
      <c r="BD151" s="115">
        <v>6</v>
      </c>
      <c r="BE151" s="115">
        <v>0.2</v>
      </c>
      <c r="BF151" s="115">
        <v>0.3</v>
      </c>
      <c r="BG151" s="115">
        <v>0.14000000000000001</v>
      </c>
      <c r="BH151" s="122" t="str">
        <f t="shared" si="22"/>
        <v/>
      </c>
      <c r="BM151" s="122" t="s">
        <v>10667</v>
      </c>
      <c r="BN151" s="115">
        <v>6</v>
      </c>
      <c r="BO151" s="115">
        <v>0.3</v>
      </c>
      <c r="BP151" s="115">
        <v>0.4</v>
      </c>
      <c r="BQ151" s="115">
        <v>0.48</v>
      </c>
      <c r="BR151" s="122" t="str">
        <f t="shared" si="23"/>
        <v/>
      </c>
      <c r="BW151" s="122" t="s">
        <v>10668</v>
      </c>
      <c r="BX151" s="115">
        <v>6</v>
      </c>
      <c r="BY151" s="115">
        <v>0.2</v>
      </c>
      <c r="BZ151" s="115">
        <v>0.3</v>
      </c>
      <c r="CA151" s="115">
        <v>0.38</v>
      </c>
      <c r="CB151" s="122" t="str">
        <f t="shared" si="24"/>
        <v/>
      </c>
      <c r="DA151" s="122" t="s">
        <v>268</v>
      </c>
      <c r="DB151" s="122" t="s">
        <v>3170</v>
      </c>
      <c r="DC151" s="122" t="s">
        <v>3170</v>
      </c>
      <c r="DD151" s="127">
        <v>8</v>
      </c>
      <c r="DE151" s="127">
        <v>8</v>
      </c>
      <c r="DG151" s="405" t="s">
        <v>268</v>
      </c>
      <c r="DH151" s="406" t="s">
        <v>3170</v>
      </c>
      <c r="DI151" s="406" t="str">
        <f t="shared" si="25"/>
        <v>AM, Humaitá</v>
      </c>
      <c r="DJ151" s="406">
        <v>-7.5060000000000002</v>
      </c>
      <c r="DK151" s="80">
        <v>-63.021000000000001</v>
      </c>
      <c r="DL151" s="80">
        <v>58</v>
      </c>
      <c r="DM151" s="64">
        <v>8</v>
      </c>
      <c r="DN151" s="406" t="s">
        <v>6165</v>
      </c>
      <c r="DO151" s="406">
        <v>-7.55</v>
      </c>
      <c r="DP151" s="80">
        <v>72</v>
      </c>
    </row>
    <row r="152" spans="29:120" x14ac:dyDescent="0.25">
      <c r="AC152" s="122" t="s">
        <v>333</v>
      </c>
      <c r="AD152" s="122" t="s">
        <v>557</v>
      </c>
      <c r="AE152" s="127">
        <v>3</v>
      </c>
      <c r="BC152" s="122" t="s">
        <v>10668</v>
      </c>
      <c r="BD152" s="115">
        <v>6</v>
      </c>
      <c r="BE152" s="115">
        <v>0.3</v>
      </c>
      <c r="BF152" s="115">
        <v>0.4</v>
      </c>
      <c r="BG152" s="115">
        <v>0.16</v>
      </c>
      <c r="BH152" s="122" t="str">
        <f t="shared" si="22"/>
        <v/>
      </c>
      <c r="BM152" s="122" t="s">
        <v>10667</v>
      </c>
      <c r="BN152" s="115">
        <v>7</v>
      </c>
      <c r="BO152" s="115">
        <v>0.3</v>
      </c>
      <c r="BP152" s="115">
        <v>0.4</v>
      </c>
      <c r="BQ152" s="115">
        <v>0.34</v>
      </c>
      <c r="BR152" s="122" t="str">
        <f t="shared" si="23"/>
        <v/>
      </c>
      <c r="BW152" s="122" t="s">
        <v>10668</v>
      </c>
      <c r="BX152" s="115">
        <v>6</v>
      </c>
      <c r="BY152" s="115">
        <v>0.3</v>
      </c>
      <c r="BZ152" s="115">
        <v>0.4</v>
      </c>
      <c r="CA152" s="115">
        <v>0.4</v>
      </c>
      <c r="CB152" s="122" t="str">
        <f t="shared" si="24"/>
        <v/>
      </c>
      <c r="DA152" s="122" t="s">
        <v>268</v>
      </c>
      <c r="DB152" s="122" t="s">
        <v>5242</v>
      </c>
      <c r="DC152" s="122" t="s">
        <v>5242</v>
      </c>
      <c r="DD152" s="127">
        <v>8</v>
      </c>
      <c r="DE152" s="127">
        <v>8</v>
      </c>
      <c r="DG152" s="405" t="s">
        <v>268</v>
      </c>
      <c r="DH152" s="406" t="s">
        <v>5242</v>
      </c>
      <c r="DI152" s="406" t="str">
        <f t="shared" si="25"/>
        <v>AM, Ipixuna</v>
      </c>
      <c r="DJ152" s="406">
        <v>-7.0510000000000002</v>
      </c>
      <c r="DK152" s="80">
        <v>-71.694999999999993</v>
      </c>
      <c r="DL152" s="80">
        <v>190</v>
      </c>
      <c r="DM152" s="64">
        <v>8</v>
      </c>
      <c r="DN152" s="406" t="s">
        <v>6073</v>
      </c>
      <c r="DO152" s="406">
        <v>-8.27</v>
      </c>
      <c r="DP152" s="80">
        <v>240</v>
      </c>
    </row>
    <row r="153" spans="29:120" x14ac:dyDescent="0.25">
      <c r="AC153" s="122" t="s">
        <v>311</v>
      </c>
      <c r="AD153" s="122" t="s">
        <v>558</v>
      </c>
      <c r="AE153" s="127">
        <v>2</v>
      </c>
      <c r="BC153" s="122" t="s">
        <v>10668</v>
      </c>
      <c r="BD153" s="115">
        <v>6</v>
      </c>
      <c r="BE153" s="115">
        <v>0.4</v>
      </c>
      <c r="BF153" s="115">
        <v>100</v>
      </c>
      <c r="BG153" s="115">
        <v>0.19</v>
      </c>
      <c r="BH153" s="122" t="str">
        <f t="shared" si="22"/>
        <v/>
      </c>
      <c r="BM153" s="122" t="s">
        <v>10667</v>
      </c>
      <c r="BN153" s="115">
        <v>8</v>
      </c>
      <c r="BO153" s="115">
        <v>0.3</v>
      </c>
      <c r="BP153" s="115">
        <v>0.4</v>
      </c>
      <c r="BQ153" s="115">
        <v>0.43</v>
      </c>
      <c r="BR153" s="122" t="str">
        <f t="shared" si="23"/>
        <v/>
      </c>
      <c r="BW153" s="122" t="s">
        <v>10668</v>
      </c>
      <c r="BX153" s="115">
        <v>6</v>
      </c>
      <c r="BY153" s="115">
        <v>0.4</v>
      </c>
      <c r="BZ153" s="115">
        <v>100</v>
      </c>
      <c r="CA153" s="115">
        <v>0.41</v>
      </c>
      <c r="CB153" s="122" t="str">
        <f t="shared" si="24"/>
        <v/>
      </c>
      <c r="DA153" s="122" t="s">
        <v>268</v>
      </c>
      <c r="DB153" s="122" t="s">
        <v>5378</v>
      </c>
      <c r="DC153" s="122" t="s">
        <v>5378</v>
      </c>
      <c r="DD153" s="127">
        <v>8</v>
      </c>
      <c r="DE153" s="127">
        <v>8</v>
      </c>
      <c r="DG153" s="405" t="s">
        <v>268</v>
      </c>
      <c r="DH153" s="406" t="s">
        <v>5378</v>
      </c>
      <c r="DI153" s="406" t="str">
        <f t="shared" si="25"/>
        <v>AM, Iranduba</v>
      </c>
      <c r="DJ153" s="406">
        <v>-3.2850000000000001</v>
      </c>
      <c r="DK153" s="80">
        <v>-60.186</v>
      </c>
      <c r="DL153" s="80">
        <v>60</v>
      </c>
      <c r="DM153" s="64">
        <v>8</v>
      </c>
      <c r="DN153" s="406" t="s">
        <v>6167</v>
      </c>
      <c r="DO153" s="406">
        <v>-3.1</v>
      </c>
      <c r="DP153" s="80">
        <v>67</v>
      </c>
    </row>
    <row r="154" spans="29:120" x14ac:dyDescent="0.25">
      <c r="AC154" s="122" t="s">
        <v>333</v>
      </c>
      <c r="AD154" s="122" t="s">
        <v>559</v>
      </c>
      <c r="AE154" s="127">
        <v>3</v>
      </c>
      <c r="BC154" s="122" t="s">
        <v>10668</v>
      </c>
      <c r="BD154" s="115">
        <v>7</v>
      </c>
      <c r="BE154" s="115">
        <v>0</v>
      </c>
      <c r="BF154" s="115">
        <v>0.2</v>
      </c>
      <c r="BG154" s="115">
        <v>0.12</v>
      </c>
      <c r="BH154" s="122" t="str">
        <f t="shared" si="22"/>
        <v/>
      </c>
      <c r="BM154" s="122" t="s">
        <v>10667</v>
      </c>
      <c r="BN154" s="115">
        <v>1</v>
      </c>
      <c r="BO154" s="115">
        <v>0.4</v>
      </c>
      <c r="BP154" s="115">
        <v>100</v>
      </c>
      <c r="BQ154" s="115">
        <v>0.62</v>
      </c>
      <c r="BR154" s="122" t="str">
        <f t="shared" si="23"/>
        <v/>
      </c>
      <c r="BW154" s="122" t="s">
        <v>10668</v>
      </c>
      <c r="BX154" s="115">
        <v>7</v>
      </c>
      <c r="BY154" s="115">
        <v>0</v>
      </c>
      <c r="BZ154" s="115">
        <v>0.2</v>
      </c>
      <c r="CA154" s="115">
        <v>0.3</v>
      </c>
      <c r="CB154" s="122" t="str">
        <f t="shared" si="24"/>
        <v/>
      </c>
      <c r="DA154" s="122" t="s">
        <v>268</v>
      </c>
      <c r="DB154" s="122" t="s">
        <v>4292</v>
      </c>
      <c r="DC154" s="122" t="s">
        <v>4292</v>
      </c>
      <c r="DD154" s="127">
        <v>8</v>
      </c>
      <c r="DE154" s="127">
        <v>8</v>
      </c>
      <c r="DG154" s="405" t="s">
        <v>268</v>
      </c>
      <c r="DH154" s="406" t="s">
        <v>4292</v>
      </c>
      <c r="DI154" s="406" t="str">
        <f t="shared" si="25"/>
        <v>AM, Itacoatiara</v>
      </c>
      <c r="DJ154" s="406">
        <v>-3.1429999999999998</v>
      </c>
      <c r="DK154" s="80">
        <v>-58.444000000000003</v>
      </c>
      <c r="DL154" s="80">
        <v>26</v>
      </c>
      <c r="DM154" s="64">
        <v>8</v>
      </c>
      <c r="DN154" s="406" t="s">
        <v>6169</v>
      </c>
      <c r="DO154" s="406">
        <v>-3.13</v>
      </c>
      <c r="DP154" s="80">
        <v>45</v>
      </c>
    </row>
    <row r="155" spans="29:120" x14ac:dyDescent="0.25">
      <c r="AC155" s="122" t="s">
        <v>333</v>
      </c>
      <c r="AD155" s="122" t="s">
        <v>560</v>
      </c>
      <c r="AE155" s="127">
        <v>2</v>
      </c>
      <c r="BC155" s="122" t="s">
        <v>10668</v>
      </c>
      <c r="BD155" s="115">
        <v>7</v>
      </c>
      <c r="BE155" s="115">
        <v>0.2</v>
      </c>
      <c r="BF155" s="115">
        <v>0.3</v>
      </c>
      <c r="BG155" s="115">
        <v>0.12</v>
      </c>
      <c r="BH155" s="122" t="str">
        <f t="shared" si="22"/>
        <v/>
      </c>
      <c r="BM155" s="122" t="s">
        <v>10667</v>
      </c>
      <c r="BN155" s="115">
        <v>2</v>
      </c>
      <c r="BO155" s="115">
        <v>0.4</v>
      </c>
      <c r="BP155" s="115">
        <v>100</v>
      </c>
      <c r="BQ155" s="115">
        <v>0.52</v>
      </c>
      <c r="BR155" s="122" t="str">
        <f t="shared" si="23"/>
        <v/>
      </c>
      <c r="BW155" s="122" t="s">
        <v>10668</v>
      </c>
      <c r="BX155" s="115">
        <v>7</v>
      </c>
      <c r="BY155" s="115">
        <v>0.2</v>
      </c>
      <c r="BZ155" s="115">
        <v>0.3</v>
      </c>
      <c r="CA155" s="115">
        <v>0.31</v>
      </c>
      <c r="CB155" s="122" t="str">
        <f t="shared" si="24"/>
        <v/>
      </c>
      <c r="DA155" s="122" t="s">
        <v>268</v>
      </c>
      <c r="DB155" s="122" t="s">
        <v>4636</v>
      </c>
      <c r="DC155" s="122" t="s">
        <v>4636</v>
      </c>
      <c r="DD155" s="127">
        <v>8</v>
      </c>
      <c r="DE155" s="127">
        <v>8</v>
      </c>
      <c r="DG155" s="405" t="s">
        <v>268</v>
      </c>
      <c r="DH155" s="406" t="s">
        <v>4636</v>
      </c>
      <c r="DI155" s="406" t="str">
        <f t="shared" si="25"/>
        <v>AM, Itamarati</v>
      </c>
      <c r="DJ155" s="406">
        <v>-6.4249999999999998</v>
      </c>
      <c r="DK155" s="80">
        <v>-68.253</v>
      </c>
      <c r="DL155" s="80">
        <v>60</v>
      </c>
      <c r="DM155" s="64">
        <v>8</v>
      </c>
      <c r="DN155" s="406" t="s">
        <v>6074</v>
      </c>
      <c r="DO155" s="406">
        <v>-8.14</v>
      </c>
      <c r="DP155" s="80">
        <v>163</v>
      </c>
    </row>
    <row r="156" spans="29:120" x14ac:dyDescent="0.25">
      <c r="AC156" s="122" t="s">
        <v>333</v>
      </c>
      <c r="AD156" s="122" t="s">
        <v>561</v>
      </c>
      <c r="AE156" s="127">
        <v>3</v>
      </c>
      <c r="BC156" s="122" t="s">
        <v>10668</v>
      </c>
      <c r="BD156" s="115">
        <v>7</v>
      </c>
      <c r="BE156" s="115">
        <v>0.3</v>
      </c>
      <c r="BF156" s="115">
        <v>0.4</v>
      </c>
      <c r="BG156" s="115">
        <v>0.14000000000000001</v>
      </c>
      <c r="BH156" s="122" t="str">
        <f t="shared" si="22"/>
        <v/>
      </c>
      <c r="BM156" s="122" t="s">
        <v>10667</v>
      </c>
      <c r="BN156" s="115">
        <v>3</v>
      </c>
      <c r="BO156" s="115">
        <v>0.4</v>
      </c>
      <c r="BP156" s="115">
        <v>100</v>
      </c>
      <c r="BQ156" s="115">
        <v>0.54</v>
      </c>
      <c r="BR156" s="122" t="str">
        <f t="shared" si="23"/>
        <v/>
      </c>
      <c r="BW156" s="122" t="s">
        <v>10668</v>
      </c>
      <c r="BX156" s="115">
        <v>7</v>
      </c>
      <c r="BY156" s="115">
        <v>0.3</v>
      </c>
      <c r="BZ156" s="115">
        <v>0.4</v>
      </c>
      <c r="CA156" s="115">
        <v>0.32</v>
      </c>
      <c r="CB156" s="122" t="str">
        <f t="shared" si="24"/>
        <v/>
      </c>
      <c r="DA156" s="122" t="s">
        <v>268</v>
      </c>
      <c r="DB156" s="122" t="s">
        <v>3602</v>
      </c>
      <c r="DC156" s="122" t="s">
        <v>3602</v>
      </c>
      <c r="DD156" s="127">
        <v>8</v>
      </c>
      <c r="DE156" s="127">
        <v>8</v>
      </c>
      <c r="DG156" s="405" t="s">
        <v>268</v>
      </c>
      <c r="DH156" s="406" t="s">
        <v>3602</v>
      </c>
      <c r="DI156" s="406" t="str">
        <f t="shared" si="25"/>
        <v>AM, Itapiranga</v>
      </c>
      <c r="DJ156" s="406">
        <v>-2.7490000000000001</v>
      </c>
      <c r="DK156" s="80">
        <v>-58.021999999999998</v>
      </c>
      <c r="DL156" s="80">
        <v>43</v>
      </c>
      <c r="DM156" s="64">
        <v>8</v>
      </c>
      <c r="DN156" s="406" t="s">
        <v>6170</v>
      </c>
      <c r="DO156" s="406">
        <v>-2.5299999999999998</v>
      </c>
      <c r="DP156" s="80">
        <v>17</v>
      </c>
    </row>
    <row r="157" spans="29:120" x14ac:dyDescent="0.25">
      <c r="AC157" s="122" t="s">
        <v>333</v>
      </c>
      <c r="AD157" s="122" t="s">
        <v>562</v>
      </c>
      <c r="AE157" s="127">
        <v>3</v>
      </c>
      <c r="BC157" s="122" t="s">
        <v>10668</v>
      </c>
      <c r="BD157" s="115">
        <v>7</v>
      </c>
      <c r="BE157" s="115">
        <v>0.4</v>
      </c>
      <c r="BF157" s="115">
        <v>100</v>
      </c>
      <c r="BG157" s="115">
        <v>0.17</v>
      </c>
      <c r="BH157" s="122" t="str">
        <f t="shared" si="22"/>
        <v/>
      </c>
      <c r="BM157" s="122" t="s">
        <v>10667</v>
      </c>
      <c r="BN157" s="115">
        <v>4</v>
      </c>
      <c r="BO157" s="115">
        <v>0.4</v>
      </c>
      <c r="BP157" s="115">
        <v>100</v>
      </c>
      <c r="BQ157" s="115">
        <v>0.6</v>
      </c>
      <c r="BR157" s="122" t="str">
        <f t="shared" si="23"/>
        <v/>
      </c>
      <c r="BW157" s="122" t="s">
        <v>10668</v>
      </c>
      <c r="BX157" s="115">
        <v>7</v>
      </c>
      <c r="BY157" s="115">
        <v>0.4</v>
      </c>
      <c r="BZ157" s="115">
        <v>100</v>
      </c>
      <c r="CA157" s="115">
        <v>0.33</v>
      </c>
      <c r="CB157" s="122" t="str">
        <f t="shared" si="24"/>
        <v/>
      </c>
      <c r="DA157" s="122" t="s">
        <v>268</v>
      </c>
      <c r="DB157" s="122" t="s">
        <v>3611</v>
      </c>
      <c r="DC157" s="122" t="s">
        <v>3611</v>
      </c>
      <c r="DD157" s="127">
        <v>8</v>
      </c>
      <c r="DE157" s="127">
        <v>8</v>
      </c>
      <c r="DG157" s="405" t="s">
        <v>268</v>
      </c>
      <c r="DH157" s="406" t="s">
        <v>3611</v>
      </c>
      <c r="DI157" s="406" t="str">
        <f t="shared" si="25"/>
        <v>AM, Japurá</v>
      </c>
      <c r="DJ157" s="406">
        <v>-1.8260000000000001</v>
      </c>
      <c r="DK157" s="80">
        <v>-66.599000000000004</v>
      </c>
      <c r="DL157" s="80">
        <v>50</v>
      </c>
      <c r="DM157" s="64">
        <v>8</v>
      </c>
      <c r="DN157" s="406" t="s">
        <v>6159</v>
      </c>
      <c r="DO157" s="406">
        <v>-0.99</v>
      </c>
      <c r="DP157" s="80">
        <v>17</v>
      </c>
    </row>
    <row r="158" spans="29:120" x14ac:dyDescent="0.25">
      <c r="AC158" s="122" t="s">
        <v>333</v>
      </c>
      <c r="AD158" s="122" t="s">
        <v>563</v>
      </c>
      <c r="AE158" s="127">
        <v>3</v>
      </c>
      <c r="BC158" s="122" t="s">
        <v>10668</v>
      </c>
      <c r="BD158" s="115">
        <v>8</v>
      </c>
      <c r="BE158" s="115">
        <v>0</v>
      </c>
      <c r="BF158" s="115">
        <v>0.2</v>
      </c>
      <c r="BG158" s="115">
        <v>0.09</v>
      </c>
      <c r="BH158" s="122" t="str">
        <f t="shared" si="22"/>
        <v/>
      </c>
      <c r="BM158" s="122" t="s">
        <v>10667</v>
      </c>
      <c r="BN158" s="115">
        <v>5</v>
      </c>
      <c r="BO158" s="115">
        <v>0.4</v>
      </c>
      <c r="BP158" s="115">
        <v>100</v>
      </c>
      <c r="BQ158" s="115">
        <v>0.49</v>
      </c>
      <c r="BR158" s="122" t="str">
        <f t="shared" si="23"/>
        <v/>
      </c>
      <c r="BW158" s="122" t="s">
        <v>10668</v>
      </c>
      <c r="BX158" s="115">
        <v>8</v>
      </c>
      <c r="BY158" s="115">
        <v>0</v>
      </c>
      <c r="BZ158" s="115">
        <v>0.2</v>
      </c>
      <c r="CA158" s="115">
        <v>0.37</v>
      </c>
      <c r="CB158" s="122" t="str">
        <f t="shared" si="24"/>
        <v/>
      </c>
      <c r="DA158" s="122" t="s">
        <v>268</v>
      </c>
      <c r="DB158" s="122" t="s">
        <v>4226</v>
      </c>
      <c r="DC158" s="122" t="s">
        <v>4226</v>
      </c>
      <c r="DD158" s="127">
        <v>8</v>
      </c>
      <c r="DE158" s="127">
        <v>8</v>
      </c>
      <c r="DG158" s="405" t="s">
        <v>268</v>
      </c>
      <c r="DH158" s="406" t="s">
        <v>4226</v>
      </c>
      <c r="DI158" s="406" t="str">
        <f t="shared" si="25"/>
        <v>AM, Juruá</v>
      </c>
      <c r="DJ158" s="406">
        <v>-3.4809999999999999</v>
      </c>
      <c r="DK158" s="80">
        <v>-66.069000000000003</v>
      </c>
      <c r="DL158" s="80">
        <v>55</v>
      </c>
      <c r="DM158" s="64">
        <v>8</v>
      </c>
      <c r="DN158" s="406" t="s">
        <v>6154</v>
      </c>
      <c r="DO158" s="406">
        <v>-4.0999999999999996</v>
      </c>
      <c r="DP158" s="80">
        <v>43</v>
      </c>
    </row>
    <row r="159" spans="29:120" x14ac:dyDescent="0.25">
      <c r="AC159" s="122" t="s">
        <v>333</v>
      </c>
      <c r="AD159" s="122" t="s">
        <v>564</v>
      </c>
      <c r="AE159" s="127">
        <v>3</v>
      </c>
      <c r="BC159" s="122" t="s">
        <v>10668</v>
      </c>
      <c r="BD159" s="115">
        <v>8</v>
      </c>
      <c r="BE159" s="115">
        <v>0.2</v>
      </c>
      <c r="BF159" s="115">
        <v>0.3</v>
      </c>
      <c r="BG159" s="115">
        <v>0.09</v>
      </c>
      <c r="BH159" s="122" t="str">
        <f t="shared" si="22"/>
        <v/>
      </c>
      <c r="BM159" s="122" t="s">
        <v>10667</v>
      </c>
      <c r="BN159" s="115">
        <v>6</v>
      </c>
      <c r="BO159" s="115">
        <v>0.4</v>
      </c>
      <c r="BP159" s="115">
        <v>100</v>
      </c>
      <c r="BQ159" s="115">
        <v>0.5</v>
      </c>
      <c r="BR159" s="122" t="str">
        <f t="shared" si="23"/>
        <v/>
      </c>
      <c r="BW159" s="122" t="s">
        <v>10668</v>
      </c>
      <c r="BX159" s="115">
        <v>8</v>
      </c>
      <c r="BY159" s="115">
        <v>0.2</v>
      </c>
      <c r="BZ159" s="115">
        <v>0.3</v>
      </c>
      <c r="CA159" s="115">
        <v>0.37</v>
      </c>
      <c r="CB159" s="122" t="str">
        <f t="shared" si="24"/>
        <v/>
      </c>
      <c r="DA159" s="122" t="s">
        <v>268</v>
      </c>
      <c r="DB159" s="122" t="s">
        <v>4248</v>
      </c>
      <c r="DC159" s="122" t="s">
        <v>4248</v>
      </c>
      <c r="DD159" s="127">
        <v>8</v>
      </c>
      <c r="DE159" s="127">
        <v>8</v>
      </c>
      <c r="DG159" s="405" t="s">
        <v>268</v>
      </c>
      <c r="DH159" s="406" t="s">
        <v>4248</v>
      </c>
      <c r="DI159" s="406" t="str">
        <f t="shared" si="25"/>
        <v>AM, Jutaí</v>
      </c>
      <c r="DJ159" s="406">
        <v>-2.7469999999999999</v>
      </c>
      <c r="DK159" s="80">
        <v>-66.766999999999996</v>
      </c>
      <c r="DL159" s="80">
        <v>48</v>
      </c>
      <c r="DM159" s="64">
        <v>8</v>
      </c>
      <c r="DN159" s="406" t="s">
        <v>6154</v>
      </c>
      <c r="DO159" s="406">
        <v>-4.0999999999999996</v>
      </c>
      <c r="DP159" s="80">
        <v>43</v>
      </c>
    </row>
    <row r="160" spans="29:120" x14ac:dyDescent="0.25">
      <c r="AC160" s="122" t="s">
        <v>333</v>
      </c>
      <c r="AD160" s="122" t="s">
        <v>565</v>
      </c>
      <c r="AE160" s="127">
        <v>2</v>
      </c>
      <c r="BC160" s="122" t="s">
        <v>10668</v>
      </c>
      <c r="BD160" s="115">
        <v>8</v>
      </c>
      <c r="BE160" s="115">
        <v>0.3</v>
      </c>
      <c r="BF160" s="115">
        <v>0.4</v>
      </c>
      <c r="BG160" s="115">
        <v>0.12</v>
      </c>
      <c r="BH160" s="122" t="str">
        <f t="shared" si="22"/>
        <v/>
      </c>
      <c r="BM160" s="122" t="s">
        <v>10667</v>
      </c>
      <c r="BN160" s="115">
        <v>7</v>
      </c>
      <c r="BO160" s="115">
        <v>0.4</v>
      </c>
      <c r="BP160" s="115">
        <v>100</v>
      </c>
      <c r="BQ160" s="115">
        <v>0.36</v>
      </c>
      <c r="BR160" s="122" t="str">
        <f t="shared" si="23"/>
        <v/>
      </c>
      <c r="BW160" s="122" t="s">
        <v>10668</v>
      </c>
      <c r="BX160" s="115">
        <v>8</v>
      </c>
      <c r="BY160" s="115">
        <v>0.3</v>
      </c>
      <c r="BZ160" s="115">
        <v>0.4</v>
      </c>
      <c r="CA160" s="115">
        <v>0.38</v>
      </c>
      <c r="CB160" s="122" t="str">
        <f t="shared" si="24"/>
        <v/>
      </c>
      <c r="DA160" s="122" t="s">
        <v>268</v>
      </c>
      <c r="DB160" s="122" t="s">
        <v>4705</v>
      </c>
      <c r="DC160" s="122" t="s">
        <v>4705</v>
      </c>
      <c r="DD160" s="127">
        <v>8</v>
      </c>
      <c r="DE160" s="127">
        <v>8</v>
      </c>
      <c r="DG160" s="405" t="s">
        <v>268</v>
      </c>
      <c r="DH160" s="406" t="s">
        <v>4705</v>
      </c>
      <c r="DI160" s="406" t="str">
        <f t="shared" si="25"/>
        <v>AM, Lábrea</v>
      </c>
      <c r="DJ160" s="406">
        <v>-7.2590000000000003</v>
      </c>
      <c r="DK160" s="80">
        <v>-64.798000000000002</v>
      </c>
      <c r="DL160" s="80">
        <v>75</v>
      </c>
      <c r="DM160" s="64">
        <v>8</v>
      </c>
      <c r="DN160" s="406" t="s">
        <v>6171</v>
      </c>
      <c r="DO160" s="406">
        <v>-8.76</v>
      </c>
      <c r="DP160" s="80">
        <v>95</v>
      </c>
    </row>
    <row r="161" spans="29:120" x14ac:dyDescent="0.25">
      <c r="AC161" s="122" t="s">
        <v>311</v>
      </c>
      <c r="AD161" s="122" t="s">
        <v>566</v>
      </c>
      <c r="AE161" s="127">
        <v>2</v>
      </c>
      <c r="BC161" s="122" t="s">
        <v>10668</v>
      </c>
      <c r="BD161" s="115">
        <v>8</v>
      </c>
      <c r="BE161" s="115">
        <v>0.4</v>
      </c>
      <c r="BF161" s="115">
        <v>100</v>
      </c>
      <c r="BG161" s="115">
        <v>0.14000000000000001</v>
      </c>
      <c r="BH161" s="122" t="str">
        <f t="shared" si="22"/>
        <v/>
      </c>
      <c r="BM161" s="122" t="s">
        <v>10667</v>
      </c>
      <c r="BN161" s="115">
        <v>8</v>
      </c>
      <c r="BO161" s="115">
        <v>0.4</v>
      </c>
      <c r="BP161" s="115">
        <v>100</v>
      </c>
      <c r="BQ161" s="115">
        <v>0.44</v>
      </c>
      <c r="BR161" s="122" t="str">
        <f t="shared" si="23"/>
        <v/>
      </c>
      <c r="BW161" s="122" t="s">
        <v>10668</v>
      </c>
      <c r="BX161" s="115">
        <v>8</v>
      </c>
      <c r="BY161" s="115">
        <v>0.4</v>
      </c>
      <c r="BZ161" s="115">
        <v>100</v>
      </c>
      <c r="CA161" s="115">
        <v>0.39</v>
      </c>
      <c r="CB161" s="122" t="str">
        <f t="shared" si="24"/>
        <v/>
      </c>
      <c r="DA161" s="122" t="s">
        <v>268</v>
      </c>
      <c r="DB161" s="122" t="s">
        <v>4274</v>
      </c>
      <c r="DC161" s="122" t="s">
        <v>4274</v>
      </c>
      <c r="DD161" s="127">
        <v>8</v>
      </c>
      <c r="DE161" s="127">
        <v>8</v>
      </c>
      <c r="DG161" s="405" t="s">
        <v>268</v>
      </c>
      <c r="DH161" s="406" t="s">
        <v>4274</v>
      </c>
      <c r="DI161" s="406" t="str">
        <f t="shared" si="25"/>
        <v>AM, Manacapuru</v>
      </c>
      <c r="DJ161" s="406">
        <v>-3.3</v>
      </c>
      <c r="DK161" s="80">
        <v>-60.621000000000002</v>
      </c>
      <c r="DL161" s="80">
        <v>60</v>
      </c>
      <c r="DM161" s="64">
        <v>8</v>
      </c>
      <c r="DN161" s="406" t="s">
        <v>6155</v>
      </c>
      <c r="DO161" s="406">
        <v>-3.29</v>
      </c>
      <c r="DP161" s="80">
        <v>19</v>
      </c>
    </row>
    <row r="162" spans="29:120" x14ac:dyDescent="0.25">
      <c r="AC162" s="122" t="s">
        <v>333</v>
      </c>
      <c r="AD162" s="122" t="s">
        <v>567</v>
      </c>
      <c r="AE162" s="127">
        <v>2</v>
      </c>
      <c r="BC162" s="122" t="s">
        <v>10669</v>
      </c>
      <c r="BD162" s="115">
        <v>1</v>
      </c>
      <c r="BE162" s="115">
        <v>0</v>
      </c>
      <c r="BF162" s="115">
        <v>0.2</v>
      </c>
      <c r="BG162" s="115">
        <v>0.22</v>
      </c>
      <c r="BH162" s="122" t="str">
        <f t="shared" si="22"/>
        <v/>
      </c>
      <c r="BM162" s="122" t="s">
        <v>10668</v>
      </c>
      <c r="BN162" s="115">
        <v>1</v>
      </c>
      <c r="BO162" s="115">
        <v>0</v>
      </c>
      <c r="BP162" s="115">
        <v>0.2</v>
      </c>
      <c r="BQ162" s="115">
        <v>0.54</v>
      </c>
      <c r="BR162" s="122" t="str">
        <f t="shared" si="23"/>
        <v/>
      </c>
      <c r="BW162" s="122" t="s">
        <v>10669</v>
      </c>
      <c r="BX162" s="115">
        <v>1</v>
      </c>
      <c r="BY162" s="115">
        <v>0</v>
      </c>
      <c r="BZ162" s="115">
        <v>0.2</v>
      </c>
      <c r="CA162" s="115">
        <v>0.5</v>
      </c>
      <c r="CB162" s="122" t="str">
        <f t="shared" si="24"/>
        <v/>
      </c>
      <c r="DA162" s="122" t="s">
        <v>268</v>
      </c>
      <c r="DB162" s="122" t="s">
        <v>4253</v>
      </c>
      <c r="DC162" s="122" t="s">
        <v>4253</v>
      </c>
      <c r="DD162" s="127">
        <v>8</v>
      </c>
      <c r="DE162" s="127">
        <v>8</v>
      </c>
      <c r="DG162" s="405" t="s">
        <v>268</v>
      </c>
      <c r="DH162" s="406" t="s">
        <v>4253</v>
      </c>
      <c r="DI162" s="406" t="str">
        <f t="shared" si="25"/>
        <v>AM, Manaquiri</v>
      </c>
      <c r="DJ162" s="406">
        <v>-3.4279999999999999</v>
      </c>
      <c r="DK162" s="80">
        <v>-60.459000000000003</v>
      </c>
      <c r="DL162" s="80">
        <v>48</v>
      </c>
      <c r="DM162" s="64">
        <v>8</v>
      </c>
      <c r="DN162" s="406" t="s">
        <v>6155</v>
      </c>
      <c r="DO162" s="406">
        <v>-3.29</v>
      </c>
      <c r="DP162" s="80">
        <v>19</v>
      </c>
    </row>
    <row r="163" spans="29:120" x14ac:dyDescent="0.25">
      <c r="AC163" s="122" t="s">
        <v>289</v>
      </c>
      <c r="AD163" s="122" t="s">
        <v>568</v>
      </c>
      <c r="AE163" s="127">
        <v>5</v>
      </c>
      <c r="BC163" s="122" t="s">
        <v>10669</v>
      </c>
      <c r="BD163" s="115">
        <v>1</v>
      </c>
      <c r="BE163" s="115">
        <v>0.2</v>
      </c>
      <c r="BF163" s="115">
        <v>0.3</v>
      </c>
      <c r="BG163" s="115">
        <v>0.23</v>
      </c>
      <c r="BH163" s="122" t="str">
        <f t="shared" si="22"/>
        <v/>
      </c>
      <c r="BM163" s="122" t="s">
        <v>10668</v>
      </c>
      <c r="BN163" s="115">
        <v>2</v>
      </c>
      <c r="BO163" s="115">
        <v>0</v>
      </c>
      <c r="BP163" s="115">
        <v>0.2</v>
      </c>
      <c r="BQ163" s="115">
        <v>0.46</v>
      </c>
      <c r="BR163" s="122" t="str">
        <f t="shared" si="23"/>
        <v/>
      </c>
      <c r="BW163" s="122" t="s">
        <v>10669</v>
      </c>
      <c r="BX163" s="115">
        <v>1</v>
      </c>
      <c r="BY163" s="115">
        <v>0.2</v>
      </c>
      <c r="BZ163" s="115">
        <v>0.3</v>
      </c>
      <c r="CA163" s="115">
        <v>0.5</v>
      </c>
      <c r="CB163" s="122" t="str">
        <f t="shared" si="24"/>
        <v/>
      </c>
      <c r="DA163" s="122" t="s">
        <v>268</v>
      </c>
      <c r="DB163" s="122" t="s">
        <v>4306</v>
      </c>
      <c r="DC163" s="122" t="s">
        <v>4306</v>
      </c>
      <c r="DD163" s="127">
        <v>8</v>
      </c>
      <c r="DE163" s="127">
        <v>8</v>
      </c>
      <c r="DG163" s="405" t="s">
        <v>268</v>
      </c>
      <c r="DH163" s="406" t="s">
        <v>4306</v>
      </c>
      <c r="DI163" s="406" t="str">
        <f t="shared" si="25"/>
        <v>AM, Manaus</v>
      </c>
      <c r="DJ163" s="406">
        <v>-3.1019999999999999</v>
      </c>
      <c r="DK163" s="80">
        <v>-60.024999999999999</v>
      </c>
      <c r="DL163" s="80">
        <v>92</v>
      </c>
      <c r="DM163" s="64">
        <v>8</v>
      </c>
      <c r="DN163" s="406" t="s">
        <v>6167</v>
      </c>
      <c r="DO163" s="406">
        <v>-3.1</v>
      </c>
      <c r="DP163" s="80">
        <v>67</v>
      </c>
    </row>
    <row r="164" spans="29:120" x14ac:dyDescent="0.25">
      <c r="AC164" s="122" t="s">
        <v>289</v>
      </c>
      <c r="AD164" s="122" t="s">
        <v>569</v>
      </c>
      <c r="AE164" s="127">
        <v>5</v>
      </c>
      <c r="BC164" s="122" t="s">
        <v>10669</v>
      </c>
      <c r="BD164" s="115">
        <v>1</v>
      </c>
      <c r="BE164" s="115">
        <v>0.3</v>
      </c>
      <c r="BF164" s="115">
        <v>0.4</v>
      </c>
      <c r="BG164" s="115">
        <v>0.26</v>
      </c>
      <c r="BH164" s="122" t="str">
        <f t="shared" si="22"/>
        <v/>
      </c>
      <c r="BM164" s="122" t="s">
        <v>10668</v>
      </c>
      <c r="BN164" s="115">
        <v>3</v>
      </c>
      <c r="BO164" s="115">
        <v>0</v>
      </c>
      <c r="BP164" s="115">
        <v>0.2</v>
      </c>
      <c r="BQ164" s="115">
        <v>0.48</v>
      </c>
      <c r="BR164" s="122" t="str">
        <f t="shared" si="23"/>
        <v/>
      </c>
      <c r="BW164" s="122" t="s">
        <v>10669</v>
      </c>
      <c r="BX164" s="115">
        <v>1</v>
      </c>
      <c r="BY164" s="115">
        <v>0.3</v>
      </c>
      <c r="BZ164" s="115">
        <v>0.4</v>
      </c>
      <c r="CA164" s="115">
        <v>0.51</v>
      </c>
      <c r="CB164" s="122" t="str">
        <f t="shared" si="24"/>
        <v/>
      </c>
      <c r="DA164" s="122" t="s">
        <v>268</v>
      </c>
      <c r="DB164" s="122" t="s">
        <v>4550</v>
      </c>
      <c r="DC164" s="122" t="s">
        <v>4550</v>
      </c>
      <c r="DD164" s="127">
        <v>8</v>
      </c>
      <c r="DE164" s="127">
        <v>8</v>
      </c>
      <c r="DG164" s="405" t="s">
        <v>268</v>
      </c>
      <c r="DH164" s="406" t="s">
        <v>4550</v>
      </c>
      <c r="DI164" s="406" t="str">
        <f t="shared" si="25"/>
        <v>AM, Manicoré</v>
      </c>
      <c r="DJ164" s="406">
        <v>-5.8090000000000002</v>
      </c>
      <c r="DK164" s="80">
        <v>-61.3</v>
      </c>
      <c r="DL164" s="80">
        <v>45</v>
      </c>
      <c r="DM164" s="64">
        <v>8</v>
      </c>
      <c r="DN164" s="406" t="s">
        <v>6165</v>
      </c>
      <c r="DO164" s="406">
        <v>-7.55</v>
      </c>
      <c r="DP164" s="80">
        <v>72</v>
      </c>
    </row>
    <row r="165" spans="29:120" x14ac:dyDescent="0.25">
      <c r="AC165" s="122" t="s">
        <v>317</v>
      </c>
      <c r="AD165" s="122" t="s">
        <v>570</v>
      </c>
      <c r="AE165" s="127">
        <v>5</v>
      </c>
      <c r="BC165" s="122" t="s">
        <v>10669</v>
      </c>
      <c r="BD165" s="115">
        <v>1</v>
      </c>
      <c r="BE165" s="115">
        <v>0.4</v>
      </c>
      <c r="BF165" s="115">
        <v>100</v>
      </c>
      <c r="BG165" s="115">
        <v>0.3</v>
      </c>
      <c r="BH165" s="122" t="str">
        <f t="shared" si="22"/>
        <v/>
      </c>
      <c r="BM165" s="122" t="s">
        <v>10668</v>
      </c>
      <c r="BN165" s="115">
        <v>4</v>
      </c>
      <c r="BO165" s="115">
        <v>0</v>
      </c>
      <c r="BP165" s="115">
        <v>0.2</v>
      </c>
      <c r="BQ165" s="115">
        <v>0.53</v>
      </c>
      <c r="BR165" s="122" t="str">
        <f t="shared" si="23"/>
        <v/>
      </c>
      <c r="BW165" s="122" t="s">
        <v>10669</v>
      </c>
      <c r="BX165" s="115">
        <v>1</v>
      </c>
      <c r="BY165" s="115">
        <v>0.4</v>
      </c>
      <c r="BZ165" s="115">
        <v>100</v>
      </c>
      <c r="CA165" s="115">
        <v>0.52</v>
      </c>
      <c r="CB165" s="122" t="str">
        <f t="shared" si="24"/>
        <v/>
      </c>
      <c r="DA165" s="122" t="s">
        <v>268</v>
      </c>
      <c r="DB165" s="122" t="s">
        <v>4230</v>
      </c>
      <c r="DC165" s="122" t="s">
        <v>4230</v>
      </c>
      <c r="DD165" s="127">
        <v>8</v>
      </c>
      <c r="DE165" s="127">
        <v>8</v>
      </c>
      <c r="DG165" s="405" t="s">
        <v>268</v>
      </c>
      <c r="DH165" s="406" t="s">
        <v>4230</v>
      </c>
      <c r="DI165" s="406" t="str">
        <f t="shared" si="25"/>
        <v>AM, Maraã</v>
      </c>
      <c r="DJ165" s="406">
        <v>-1.8560000000000001</v>
      </c>
      <c r="DK165" s="80">
        <v>-65.581000000000003</v>
      </c>
      <c r="DL165" s="80">
        <v>50</v>
      </c>
      <c r="DM165" s="64">
        <v>8</v>
      </c>
      <c r="DN165" s="406" t="s">
        <v>6159</v>
      </c>
      <c r="DO165" s="406">
        <v>-0.99</v>
      </c>
      <c r="DP165" s="80">
        <v>17</v>
      </c>
    </row>
    <row r="166" spans="29:120" x14ac:dyDescent="0.25">
      <c r="AC166" s="122" t="s">
        <v>333</v>
      </c>
      <c r="AD166" s="122" t="s">
        <v>571</v>
      </c>
      <c r="AE166" s="127">
        <v>3</v>
      </c>
      <c r="BC166" s="122" t="s">
        <v>10669</v>
      </c>
      <c r="BD166" s="115">
        <v>2</v>
      </c>
      <c r="BE166" s="115">
        <v>0</v>
      </c>
      <c r="BF166" s="115">
        <v>0.2</v>
      </c>
      <c r="BG166" s="115">
        <v>0.21</v>
      </c>
      <c r="BH166" s="122" t="str">
        <f t="shared" si="22"/>
        <v/>
      </c>
      <c r="BM166" s="122" t="s">
        <v>10668</v>
      </c>
      <c r="BN166" s="115">
        <v>5</v>
      </c>
      <c r="BO166" s="115">
        <v>0</v>
      </c>
      <c r="BP166" s="115">
        <v>0.2</v>
      </c>
      <c r="BQ166" s="115">
        <v>0.43</v>
      </c>
      <c r="BR166" s="122" t="str">
        <f t="shared" si="23"/>
        <v/>
      </c>
      <c r="BW166" s="122" t="s">
        <v>10669</v>
      </c>
      <c r="BX166" s="115">
        <v>2</v>
      </c>
      <c r="BY166" s="115">
        <v>0</v>
      </c>
      <c r="BZ166" s="115">
        <v>0.2</v>
      </c>
      <c r="CA166" s="115">
        <v>0.46</v>
      </c>
      <c r="CB166" s="122" t="str">
        <f t="shared" si="24"/>
        <v/>
      </c>
      <c r="DA166" s="122" t="s">
        <v>268</v>
      </c>
      <c r="DB166" s="122" t="s">
        <v>4453</v>
      </c>
      <c r="DC166" s="122" t="s">
        <v>4453</v>
      </c>
      <c r="DD166" s="127">
        <v>8</v>
      </c>
      <c r="DE166" s="127">
        <v>8</v>
      </c>
      <c r="DG166" s="405" t="s">
        <v>268</v>
      </c>
      <c r="DH166" s="406" t="s">
        <v>4453</v>
      </c>
      <c r="DI166" s="406" t="str">
        <f t="shared" si="25"/>
        <v>AM, Maués</v>
      </c>
      <c r="DJ166" s="406">
        <v>-3.3839999999999999</v>
      </c>
      <c r="DK166" s="80">
        <v>-57.719000000000001</v>
      </c>
      <c r="DL166" s="80">
        <v>25</v>
      </c>
      <c r="DM166" s="64">
        <v>8</v>
      </c>
      <c r="DN166" s="406" t="s">
        <v>6163</v>
      </c>
      <c r="DO166" s="406">
        <v>-3.4</v>
      </c>
      <c r="DP166" s="80">
        <v>35</v>
      </c>
    </row>
    <row r="167" spans="29:120" x14ac:dyDescent="0.25">
      <c r="AC167" s="122" t="s">
        <v>333</v>
      </c>
      <c r="AD167" s="122" t="s">
        <v>572</v>
      </c>
      <c r="AE167" s="127">
        <v>2</v>
      </c>
      <c r="BC167" s="122" t="s">
        <v>10669</v>
      </c>
      <c r="BD167" s="115">
        <v>2</v>
      </c>
      <c r="BE167" s="115">
        <v>0.2</v>
      </c>
      <c r="BF167" s="115">
        <v>0.3</v>
      </c>
      <c r="BG167" s="115">
        <v>0.21</v>
      </c>
      <c r="BH167" s="122" t="str">
        <f t="shared" si="22"/>
        <v/>
      </c>
      <c r="BM167" s="122" t="s">
        <v>10668</v>
      </c>
      <c r="BN167" s="115">
        <v>6</v>
      </c>
      <c r="BO167" s="115">
        <v>0</v>
      </c>
      <c r="BP167" s="115">
        <v>0.2</v>
      </c>
      <c r="BQ167" s="115">
        <v>0.44</v>
      </c>
      <c r="BR167" s="122" t="str">
        <f t="shared" si="23"/>
        <v/>
      </c>
      <c r="BW167" s="122" t="s">
        <v>10669</v>
      </c>
      <c r="BX167" s="115">
        <v>2</v>
      </c>
      <c r="BY167" s="115">
        <v>0.2</v>
      </c>
      <c r="BZ167" s="115">
        <v>0.3</v>
      </c>
      <c r="CA167" s="115">
        <v>0.46</v>
      </c>
      <c r="CB167" s="122" t="str">
        <f t="shared" si="24"/>
        <v/>
      </c>
      <c r="DA167" s="122" t="s">
        <v>268</v>
      </c>
      <c r="DB167" s="122" t="s">
        <v>5147</v>
      </c>
      <c r="DC167" s="122" t="s">
        <v>5147</v>
      </c>
      <c r="DD167" s="127">
        <v>8</v>
      </c>
      <c r="DE167" s="127">
        <v>8</v>
      </c>
      <c r="DG167" s="405" t="s">
        <v>268</v>
      </c>
      <c r="DH167" s="406" t="s">
        <v>5147</v>
      </c>
      <c r="DI167" s="406" t="str">
        <f t="shared" si="25"/>
        <v>AM, Nhamundá</v>
      </c>
      <c r="DJ167" s="406">
        <v>-2.1859999999999999</v>
      </c>
      <c r="DK167" s="80">
        <v>-56.713000000000001</v>
      </c>
      <c r="DL167" s="80">
        <v>25</v>
      </c>
      <c r="DM167" s="64">
        <v>8</v>
      </c>
      <c r="DN167" s="406" t="s">
        <v>6160</v>
      </c>
      <c r="DO167" s="406">
        <v>-2.64</v>
      </c>
      <c r="DP167" s="80">
        <v>35</v>
      </c>
    </row>
    <row r="168" spans="29:120" x14ac:dyDescent="0.25">
      <c r="AC168" s="122" t="s">
        <v>333</v>
      </c>
      <c r="AD168" s="122" t="s">
        <v>573</v>
      </c>
      <c r="AE168" s="127">
        <v>2</v>
      </c>
      <c r="BC168" s="122" t="s">
        <v>10669</v>
      </c>
      <c r="BD168" s="115">
        <v>2</v>
      </c>
      <c r="BE168" s="115">
        <v>0.3</v>
      </c>
      <c r="BF168" s="115">
        <v>0.4</v>
      </c>
      <c r="BG168" s="115">
        <v>0.25</v>
      </c>
      <c r="BH168" s="122" t="str">
        <f t="shared" si="22"/>
        <v/>
      </c>
      <c r="BM168" s="122" t="s">
        <v>10668</v>
      </c>
      <c r="BN168" s="115">
        <v>7</v>
      </c>
      <c r="BO168" s="115">
        <v>0</v>
      </c>
      <c r="BP168" s="115">
        <v>0.2</v>
      </c>
      <c r="BQ168" s="115">
        <v>0.31</v>
      </c>
      <c r="BR168" s="122" t="str">
        <f t="shared" si="23"/>
        <v/>
      </c>
      <c r="BW168" s="122" t="s">
        <v>10669</v>
      </c>
      <c r="BX168" s="115">
        <v>2</v>
      </c>
      <c r="BY168" s="115">
        <v>0.3</v>
      </c>
      <c r="BZ168" s="115">
        <v>0.4</v>
      </c>
      <c r="CA168" s="115">
        <v>0.48</v>
      </c>
      <c r="CB168" s="122" t="str">
        <f t="shared" si="24"/>
        <v/>
      </c>
      <c r="DA168" s="122" t="s">
        <v>268</v>
      </c>
      <c r="DB168" s="122" t="s">
        <v>6172</v>
      </c>
      <c r="DC168" s="122" t="s">
        <v>4379</v>
      </c>
      <c r="DD168" s="127">
        <v>8</v>
      </c>
      <c r="DE168" s="127">
        <v>8</v>
      </c>
      <c r="DG168" s="405" t="s">
        <v>268</v>
      </c>
      <c r="DH168" s="406" t="s">
        <v>4379</v>
      </c>
      <c r="DI168" s="406" t="str">
        <f t="shared" si="25"/>
        <v>AM, Nova Olinda do Norte</v>
      </c>
      <c r="DJ168" s="406">
        <v>-3.8879999999999999</v>
      </c>
      <c r="DK168" s="80">
        <v>-59.094000000000001</v>
      </c>
      <c r="DL168" s="80">
        <v>32</v>
      </c>
      <c r="DM168" s="64">
        <v>8</v>
      </c>
      <c r="DN168" s="406" t="s">
        <v>6158</v>
      </c>
      <c r="DO168" s="406">
        <v>-3.58</v>
      </c>
      <c r="DP168" s="80">
        <v>28</v>
      </c>
    </row>
    <row r="169" spans="29:120" x14ac:dyDescent="0.25">
      <c r="AC169" s="122" t="s">
        <v>333</v>
      </c>
      <c r="AD169" s="122" t="s">
        <v>574</v>
      </c>
      <c r="AE169" s="127">
        <v>4</v>
      </c>
      <c r="BC169" s="122" t="s">
        <v>10669</v>
      </c>
      <c r="BD169" s="115">
        <v>2</v>
      </c>
      <c r="BE169" s="115">
        <v>0.4</v>
      </c>
      <c r="BF169" s="115">
        <v>100</v>
      </c>
      <c r="BG169" s="115">
        <v>0.28000000000000003</v>
      </c>
      <c r="BH169" s="122" t="str">
        <f t="shared" si="22"/>
        <v/>
      </c>
      <c r="BM169" s="122" t="s">
        <v>10668</v>
      </c>
      <c r="BN169" s="115">
        <v>8</v>
      </c>
      <c r="BO169" s="115">
        <v>0</v>
      </c>
      <c r="BP169" s="115">
        <v>0.2</v>
      </c>
      <c r="BQ169" s="115">
        <v>0.4</v>
      </c>
      <c r="BR169" s="122" t="str">
        <f t="shared" si="23"/>
        <v/>
      </c>
      <c r="BW169" s="122" t="s">
        <v>10669</v>
      </c>
      <c r="BX169" s="115">
        <v>2</v>
      </c>
      <c r="BY169" s="115">
        <v>0.4</v>
      </c>
      <c r="BZ169" s="115">
        <v>100</v>
      </c>
      <c r="CA169" s="115">
        <v>0.49</v>
      </c>
      <c r="CB169" s="122" t="str">
        <f t="shared" si="24"/>
        <v/>
      </c>
      <c r="DA169" s="122" t="s">
        <v>268</v>
      </c>
      <c r="DB169" s="122" t="s">
        <v>6173</v>
      </c>
      <c r="DC169" s="122" t="s">
        <v>4278</v>
      </c>
      <c r="DD169" s="127">
        <v>8</v>
      </c>
      <c r="DE169" s="127">
        <v>8</v>
      </c>
      <c r="DG169" s="405" t="s">
        <v>268</v>
      </c>
      <c r="DH169" s="406" t="s">
        <v>4278</v>
      </c>
      <c r="DI169" s="406" t="str">
        <f t="shared" si="25"/>
        <v>AM, Novo Airão</v>
      </c>
      <c r="DJ169" s="406">
        <v>-2.621</v>
      </c>
      <c r="DK169" s="80">
        <v>-60.944000000000003</v>
      </c>
      <c r="DL169" s="80">
        <v>45</v>
      </c>
      <c r="DM169" s="64">
        <v>8</v>
      </c>
      <c r="DN169" s="406" t="s">
        <v>6155</v>
      </c>
      <c r="DO169" s="406">
        <v>-3.29</v>
      </c>
      <c r="DP169" s="80">
        <v>19</v>
      </c>
    </row>
    <row r="170" spans="29:120" x14ac:dyDescent="0.25">
      <c r="AC170" s="122" t="s">
        <v>333</v>
      </c>
      <c r="AD170" s="122" t="s">
        <v>575</v>
      </c>
      <c r="AE170" s="127">
        <v>3</v>
      </c>
      <c r="BC170" s="122" t="s">
        <v>10669</v>
      </c>
      <c r="BD170" s="115">
        <v>3</v>
      </c>
      <c r="BE170" s="115">
        <v>0</v>
      </c>
      <c r="BF170" s="115">
        <v>0.2</v>
      </c>
      <c r="BG170" s="115">
        <v>0.17</v>
      </c>
      <c r="BH170" s="122" t="str">
        <f t="shared" si="22"/>
        <v/>
      </c>
      <c r="BM170" s="122" t="s">
        <v>10668</v>
      </c>
      <c r="BN170" s="115">
        <v>1</v>
      </c>
      <c r="BO170" s="115">
        <v>0.2</v>
      </c>
      <c r="BP170" s="115">
        <v>0.3</v>
      </c>
      <c r="BQ170" s="115">
        <v>0.54</v>
      </c>
      <c r="BR170" s="122" t="str">
        <f t="shared" si="23"/>
        <v/>
      </c>
      <c r="BW170" s="122" t="s">
        <v>10669</v>
      </c>
      <c r="BX170" s="115">
        <v>3</v>
      </c>
      <c r="BY170" s="115">
        <v>0</v>
      </c>
      <c r="BZ170" s="115">
        <v>0.2</v>
      </c>
      <c r="CA170" s="115">
        <v>0.48</v>
      </c>
      <c r="CB170" s="122" t="str">
        <f t="shared" si="24"/>
        <v/>
      </c>
      <c r="DA170" s="122" t="s">
        <v>268</v>
      </c>
      <c r="DB170" s="122" t="s">
        <v>6174</v>
      </c>
      <c r="DC170" s="122" t="s">
        <v>5152</v>
      </c>
      <c r="DD170" s="127">
        <v>8</v>
      </c>
      <c r="DE170" s="127">
        <v>8</v>
      </c>
      <c r="DG170" s="405" t="s">
        <v>268</v>
      </c>
      <c r="DH170" s="406" t="s">
        <v>5152</v>
      </c>
      <c r="DI170" s="406" t="str">
        <f t="shared" si="25"/>
        <v>AM, Novo Aripuanã</v>
      </c>
      <c r="DJ170" s="406">
        <v>-5.1210000000000004</v>
      </c>
      <c r="DK170" s="80">
        <v>-60.38</v>
      </c>
      <c r="DL170" s="80">
        <v>20</v>
      </c>
      <c r="DM170" s="64">
        <v>8</v>
      </c>
      <c r="DN170" s="406" t="s">
        <v>6155</v>
      </c>
      <c r="DO170" s="406">
        <v>-3.29</v>
      </c>
      <c r="DP170" s="80">
        <v>19</v>
      </c>
    </row>
    <row r="171" spans="29:120" x14ac:dyDescent="0.25">
      <c r="AC171" s="122" t="s">
        <v>333</v>
      </c>
      <c r="AD171" s="122" t="s">
        <v>576</v>
      </c>
      <c r="AE171" s="127">
        <v>4</v>
      </c>
      <c r="BC171" s="122" t="s">
        <v>10669</v>
      </c>
      <c r="BD171" s="115">
        <v>3</v>
      </c>
      <c r="BE171" s="115">
        <v>0.2</v>
      </c>
      <c r="BF171" s="115">
        <v>0.3</v>
      </c>
      <c r="BG171" s="115">
        <v>0.18</v>
      </c>
      <c r="BH171" s="122" t="str">
        <f t="shared" si="22"/>
        <v/>
      </c>
      <c r="BM171" s="122" t="s">
        <v>10668</v>
      </c>
      <c r="BN171" s="115">
        <v>2</v>
      </c>
      <c r="BO171" s="115">
        <v>0.2</v>
      </c>
      <c r="BP171" s="115">
        <v>0.3</v>
      </c>
      <c r="BQ171" s="115">
        <v>0.46</v>
      </c>
      <c r="BR171" s="122" t="str">
        <f t="shared" si="23"/>
        <v/>
      </c>
      <c r="BW171" s="122" t="s">
        <v>10669</v>
      </c>
      <c r="BX171" s="115">
        <v>3</v>
      </c>
      <c r="BY171" s="115">
        <v>0.2</v>
      </c>
      <c r="BZ171" s="115">
        <v>0.3</v>
      </c>
      <c r="CA171" s="115">
        <v>0.48</v>
      </c>
      <c r="CB171" s="122" t="str">
        <f t="shared" si="24"/>
        <v/>
      </c>
      <c r="DA171" s="122" t="s">
        <v>268</v>
      </c>
      <c r="DB171" s="122" t="s">
        <v>5171</v>
      </c>
      <c r="DC171" s="122" t="s">
        <v>5171</v>
      </c>
      <c r="DD171" s="127">
        <v>8</v>
      </c>
      <c r="DE171" s="127">
        <v>8</v>
      </c>
      <c r="DG171" s="405" t="s">
        <v>268</v>
      </c>
      <c r="DH171" s="406" t="s">
        <v>5171</v>
      </c>
      <c r="DI171" s="406" t="str">
        <f t="shared" si="25"/>
        <v>AM, Parintins</v>
      </c>
      <c r="DJ171" s="406">
        <v>-2.6280000000000001</v>
      </c>
      <c r="DK171" s="80">
        <v>-56.735999999999997</v>
      </c>
      <c r="DL171" s="80">
        <v>27</v>
      </c>
      <c r="DM171" s="64">
        <v>8</v>
      </c>
      <c r="DN171" s="406" t="s">
        <v>6160</v>
      </c>
      <c r="DO171" s="406">
        <v>-2.64</v>
      </c>
      <c r="DP171" s="80">
        <v>35</v>
      </c>
    </row>
    <row r="172" spans="29:120" x14ac:dyDescent="0.25">
      <c r="AC172" s="122" t="s">
        <v>333</v>
      </c>
      <c r="AD172" s="122" t="s">
        <v>577</v>
      </c>
      <c r="AE172" s="127">
        <v>4</v>
      </c>
      <c r="BC172" s="122" t="s">
        <v>10669</v>
      </c>
      <c r="BD172" s="115">
        <v>3</v>
      </c>
      <c r="BE172" s="115">
        <v>0.3</v>
      </c>
      <c r="BF172" s="115">
        <v>0.4</v>
      </c>
      <c r="BG172" s="115">
        <v>0.2</v>
      </c>
      <c r="BH172" s="122" t="str">
        <f t="shared" si="22"/>
        <v/>
      </c>
      <c r="BM172" s="122" t="s">
        <v>10668</v>
      </c>
      <c r="BN172" s="115">
        <v>3</v>
      </c>
      <c r="BO172" s="115">
        <v>0.2</v>
      </c>
      <c r="BP172" s="115">
        <v>0.3</v>
      </c>
      <c r="BQ172" s="115">
        <v>0.48</v>
      </c>
      <c r="BR172" s="122" t="str">
        <f t="shared" si="23"/>
        <v/>
      </c>
      <c r="BW172" s="122" t="s">
        <v>10669</v>
      </c>
      <c r="BX172" s="115">
        <v>3</v>
      </c>
      <c r="BY172" s="115">
        <v>0.3</v>
      </c>
      <c r="BZ172" s="115">
        <v>0.4</v>
      </c>
      <c r="CA172" s="115">
        <v>0.49</v>
      </c>
      <c r="CB172" s="122" t="str">
        <f t="shared" si="24"/>
        <v/>
      </c>
      <c r="DA172" s="122" t="s">
        <v>268</v>
      </c>
      <c r="DB172" s="122" t="s">
        <v>4670</v>
      </c>
      <c r="DC172" s="122" t="s">
        <v>4670</v>
      </c>
      <c r="DD172" s="127">
        <v>8</v>
      </c>
      <c r="DE172" s="127">
        <v>8</v>
      </c>
      <c r="DG172" s="405" t="s">
        <v>268</v>
      </c>
      <c r="DH172" s="406" t="s">
        <v>4670</v>
      </c>
      <c r="DI172" s="406" t="str">
        <f t="shared" si="25"/>
        <v>AM, Pauini</v>
      </c>
      <c r="DJ172" s="406">
        <v>-7.7140000000000004</v>
      </c>
      <c r="DK172" s="80">
        <v>-66.975999999999999</v>
      </c>
      <c r="DL172" s="80">
        <v>101</v>
      </c>
      <c r="DM172" s="64">
        <v>8</v>
      </c>
      <c r="DN172" s="406" t="s">
        <v>6069</v>
      </c>
      <c r="DO172" s="406">
        <v>-9.9600000000000009</v>
      </c>
      <c r="DP172" s="80">
        <v>220</v>
      </c>
    </row>
    <row r="173" spans="29:120" x14ac:dyDescent="0.25">
      <c r="AC173" s="122" t="s">
        <v>333</v>
      </c>
      <c r="AD173" s="122" t="s">
        <v>578</v>
      </c>
      <c r="AE173" s="127">
        <v>3</v>
      </c>
      <c r="BC173" s="122" t="s">
        <v>10669</v>
      </c>
      <c r="BD173" s="115">
        <v>3</v>
      </c>
      <c r="BE173" s="115">
        <v>0.4</v>
      </c>
      <c r="BF173" s="115">
        <v>100</v>
      </c>
      <c r="BG173" s="115">
        <v>0.23</v>
      </c>
      <c r="BH173" s="122" t="str">
        <f t="shared" si="22"/>
        <v/>
      </c>
      <c r="BM173" s="122" t="s">
        <v>10668</v>
      </c>
      <c r="BN173" s="115">
        <v>4</v>
      </c>
      <c r="BO173" s="115">
        <v>0.2</v>
      </c>
      <c r="BP173" s="115">
        <v>0.3</v>
      </c>
      <c r="BQ173" s="115">
        <v>0.53</v>
      </c>
      <c r="BR173" s="122" t="str">
        <f t="shared" si="23"/>
        <v/>
      </c>
      <c r="BW173" s="122" t="s">
        <v>10669</v>
      </c>
      <c r="BX173" s="115">
        <v>3</v>
      </c>
      <c r="BY173" s="115">
        <v>0.4</v>
      </c>
      <c r="BZ173" s="115">
        <v>100</v>
      </c>
      <c r="CA173" s="115">
        <v>0.5</v>
      </c>
      <c r="CB173" s="122" t="str">
        <f t="shared" si="24"/>
        <v/>
      </c>
      <c r="DA173" s="122" t="s">
        <v>268</v>
      </c>
      <c r="DB173" s="122" t="s">
        <v>6175</v>
      </c>
      <c r="DC173" s="122" t="s">
        <v>4460</v>
      </c>
      <c r="DD173" s="127">
        <v>8</v>
      </c>
      <c r="DE173" s="127">
        <v>8</v>
      </c>
      <c r="DG173" s="405" t="s">
        <v>268</v>
      </c>
      <c r="DH173" s="406" t="s">
        <v>4460</v>
      </c>
      <c r="DI173" s="406" t="str">
        <f t="shared" si="25"/>
        <v>AM, Presidente Figueiredo</v>
      </c>
      <c r="DJ173" s="406">
        <v>-2.0339999999999998</v>
      </c>
      <c r="DK173" s="80">
        <v>-60.024999999999999</v>
      </c>
      <c r="DL173" s="80">
        <v>122</v>
      </c>
      <c r="DM173" s="64">
        <v>8</v>
      </c>
      <c r="DN173" s="406" t="s">
        <v>6176</v>
      </c>
      <c r="DO173" s="406">
        <v>-2.06</v>
      </c>
      <c r="DP173" s="80">
        <v>92</v>
      </c>
    </row>
    <row r="174" spans="29:120" x14ac:dyDescent="0.25">
      <c r="AC174" s="122" t="s">
        <v>333</v>
      </c>
      <c r="AD174" s="122" t="s">
        <v>579</v>
      </c>
      <c r="AE174" s="127">
        <v>3</v>
      </c>
      <c r="BC174" s="122" t="s">
        <v>10669</v>
      </c>
      <c r="BD174" s="115">
        <v>4</v>
      </c>
      <c r="BE174" s="115">
        <v>0</v>
      </c>
      <c r="BF174" s="115">
        <v>0.2</v>
      </c>
      <c r="BG174" s="115">
        <v>0.23</v>
      </c>
      <c r="BH174" s="122" t="str">
        <f t="shared" si="22"/>
        <v/>
      </c>
      <c r="BM174" s="122" t="s">
        <v>10668</v>
      </c>
      <c r="BN174" s="115">
        <v>5</v>
      </c>
      <c r="BO174" s="115">
        <v>0.2</v>
      </c>
      <c r="BP174" s="115">
        <v>0.3</v>
      </c>
      <c r="BQ174" s="115">
        <v>0.43</v>
      </c>
      <c r="BR174" s="122" t="str">
        <f t="shared" si="23"/>
        <v/>
      </c>
      <c r="BW174" s="122" t="s">
        <v>10669</v>
      </c>
      <c r="BX174" s="115">
        <v>4</v>
      </c>
      <c r="BY174" s="115">
        <v>0</v>
      </c>
      <c r="BZ174" s="115">
        <v>0.2</v>
      </c>
      <c r="CA174" s="115">
        <v>0.51</v>
      </c>
      <c r="CB174" s="122" t="str">
        <f t="shared" si="24"/>
        <v/>
      </c>
      <c r="DA174" s="122" t="s">
        <v>268</v>
      </c>
      <c r="DB174" s="122" t="s">
        <v>6177</v>
      </c>
      <c r="DC174" s="122" t="s">
        <v>5362</v>
      </c>
      <c r="DD174" s="127">
        <v>8</v>
      </c>
      <c r="DE174" s="127">
        <v>8</v>
      </c>
      <c r="DG174" s="405" t="s">
        <v>268</v>
      </c>
      <c r="DH174" s="406" t="s">
        <v>5362</v>
      </c>
      <c r="DI174" s="406" t="str">
        <f t="shared" si="25"/>
        <v>AM, Rio Preto da Eva</v>
      </c>
      <c r="DJ174" s="406">
        <v>-2.6989999999999998</v>
      </c>
      <c r="DK174" s="80">
        <v>-59.7</v>
      </c>
      <c r="DL174" s="80">
        <v>47</v>
      </c>
      <c r="DM174" s="64">
        <v>8</v>
      </c>
      <c r="DN174" s="406" t="s">
        <v>6167</v>
      </c>
      <c r="DO174" s="406">
        <v>-3.1</v>
      </c>
      <c r="DP174" s="80">
        <v>67</v>
      </c>
    </row>
    <row r="175" spans="29:120" x14ac:dyDescent="0.25">
      <c r="AC175" s="122" t="s">
        <v>333</v>
      </c>
      <c r="AD175" s="122" t="s">
        <v>580</v>
      </c>
      <c r="AE175" s="127">
        <v>3</v>
      </c>
      <c r="BC175" s="122" t="s">
        <v>10669</v>
      </c>
      <c r="BD175" s="115">
        <v>4</v>
      </c>
      <c r="BE175" s="115">
        <v>0.2</v>
      </c>
      <c r="BF175" s="115">
        <v>0.3</v>
      </c>
      <c r="BG175" s="115">
        <v>0.23</v>
      </c>
      <c r="BH175" s="122" t="str">
        <f t="shared" si="22"/>
        <v/>
      </c>
      <c r="BM175" s="122" t="s">
        <v>10668</v>
      </c>
      <c r="BN175" s="115">
        <v>6</v>
      </c>
      <c r="BO175" s="115">
        <v>0.2</v>
      </c>
      <c r="BP175" s="115">
        <v>0.3</v>
      </c>
      <c r="BQ175" s="115">
        <v>0.44</v>
      </c>
      <c r="BR175" s="122" t="str">
        <f t="shared" si="23"/>
        <v/>
      </c>
      <c r="BW175" s="122" t="s">
        <v>10669</v>
      </c>
      <c r="BX175" s="115">
        <v>4</v>
      </c>
      <c r="BY175" s="115">
        <v>0.2</v>
      </c>
      <c r="BZ175" s="115">
        <v>0.3</v>
      </c>
      <c r="CA175" s="115">
        <v>0.51</v>
      </c>
      <c r="CB175" s="122" t="str">
        <f t="shared" si="24"/>
        <v/>
      </c>
      <c r="DA175" s="122" t="s">
        <v>268</v>
      </c>
      <c r="DB175" s="122" t="s">
        <v>6178</v>
      </c>
      <c r="DC175" s="122" t="s">
        <v>4202</v>
      </c>
      <c r="DD175" s="127">
        <v>8</v>
      </c>
      <c r="DE175" s="127">
        <v>8</v>
      </c>
      <c r="DG175" s="405" t="s">
        <v>268</v>
      </c>
      <c r="DH175" s="406" t="s">
        <v>4202</v>
      </c>
      <c r="DI175" s="406" t="str">
        <f t="shared" si="25"/>
        <v>AM, Santa Isabel do Rio Negro</v>
      </c>
      <c r="DJ175" s="406">
        <v>-0.41399999999999998</v>
      </c>
      <c r="DK175" s="80">
        <v>-65.019000000000005</v>
      </c>
      <c r="DL175" s="80">
        <v>60</v>
      </c>
      <c r="DM175" s="64">
        <v>8</v>
      </c>
      <c r="DN175" s="406" t="s">
        <v>6159</v>
      </c>
      <c r="DO175" s="406">
        <v>-0.99</v>
      </c>
      <c r="DP175" s="80">
        <v>17</v>
      </c>
    </row>
    <row r="176" spans="29:120" x14ac:dyDescent="0.25">
      <c r="AC176" s="122" t="s">
        <v>333</v>
      </c>
      <c r="AD176" s="122" t="s">
        <v>581</v>
      </c>
      <c r="AE176" s="127">
        <v>3</v>
      </c>
      <c r="BC176" s="122" t="s">
        <v>10669</v>
      </c>
      <c r="BD176" s="115">
        <v>4</v>
      </c>
      <c r="BE176" s="115">
        <v>0.3</v>
      </c>
      <c r="BF176" s="115">
        <v>0.4</v>
      </c>
      <c r="BG176" s="115">
        <v>0.27</v>
      </c>
      <c r="BH176" s="122" t="str">
        <f t="shared" si="22"/>
        <v/>
      </c>
      <c r="BM176" s="122" t="s">
        <v>10668</v>
      </c>
      <c r="BN176" s="115">
        <v>7</v>
      </c>
      <c r="BO176" s="115">
        <v>0.2</v>
      </c>
      <c r="BP176" s="115">
        <v>0.3</v>
      </c>
      <c r="BQ176" s="115">
        <v>0.31</v>
      </c>
      <c r="BR176" s="122" t="str">
        <f t="shared" si="23"/>
        <v/>
      </c>
      <c r="BW176" s="122" t="s">
        <v>10669</v>
      </c>
      <c r="BX176" s="115">
        <v>4</v>
      </c>
      <c r="BY176" s="115">
        <v>0.3</v>
      </c>
      <c r="BZ176" s="115">
        <v>0.4</v>
      </c>
      <c r="CA176" s="115">
        <v>0.52</v>
      </c>
      <c r="CB176" s="122" t="str">
        <f t="shared" si="24"/>
        <v/>
      </c>
      <c r="DA176" s="122" t="s">
        <v>268</v>
      </c>
      <c r="DB176" s="122" t="s">
        <v>6179</v>
      </c>
      <c r="DC176" s="122" t="s">
        <v>4266</v>
      </c>
      <c r="DD176" s="127">
        <v>8</v>
      </c>
      <c r="DE176" s="127">
        <v>8</v>
      </c>
      <c r="DG176" s="405" t="s">
        <v>268</v>
      </c>
      <c r="DH176" s="406" t="s">
        <v>4266</v>
      </c>
      <c r="DI176" s="406" t="str">
        <f t="shared" si="25"/>
        <v>AM, Santo Antônio do Içá</v>
      </c>
      <c r="DJ176" s="406">
        <v>-3.1019999999999999</v>
      </c>
      <c r="DK176" s="80">
        <v>-67.94</v>
      </c>
      <c r="DL176" s="80">
        <v>91</v>
      </c>
      <c r="DM176" s="64">
        <v>8</v>
      </c>
      <c r="DN176" s="406" t="s">
        <v>6154</v>
      </c>
      <c r="DO176" s="406">
        <v>-4.0999999999999996</v>
      </c>
      <c r="DP176" s="80">
        <v>43</v>
      </c>
    </row>
    <row r="177" spans="29:120" x14ac:dyDescent="0.25">
      <c r="AC177" s="122" t="s">
        <v>333</v>
      </c>
      <c r="AD177" s="122" t="s">
        <v>582</v>
      </c>
      <c r="AE177" s="127">
        <v>3</v>
      </c>
      <c r="BC177" s="122" t="s">
        <v>10669</v>
      </c>
      <c r="BD177" s="115">
        <v>4</v>
      </c>
      <c r="BE177" s="115">
        <v>0.4</v>
      </c>
      <c r="BF177" s="115">
        <v>100</v>
      </c>
      <c r="BG177" s="115">
        <v>0.31</v>
      </c>
      <c r="BH177" s="122" t="str">
        <f t="shared" si="22"/>
        <v/>
      </c>
      <c r="BM177" s="122" t="s">
        <v>10668</v>
      </c>
      <c r="BN177" s="115">
        <v>8</v>
      </c>
      <c r="BO177" s="115">
        <v>0.2</v>
      </c>
      <c r="BP177" s="115">
        <v>0.3</v>
      </c>
      <c r="BQ177" s="115">
        <v>0.4</v>
      </c>
      <c r="BR177" s="122" t="str">
        <f t="shared" si="23"/>
        <v/>
      </c>
      <c r="BW177" s="122" t="s">
        <v>10669</v>
      </c>
      <c r="BX177" s="115">
        <v>4</v>
      </c>
      <c r="BY177" s="115">
        <v>0.4</v>
      </c>
      <c r="BZ177" s="115">
        <v>100</v>
      </c>
      <c r="CA177" s="115">
        <v>0.54</v>
      </c>
      <c r="CB177" s="122" t="str">
        <f t="shared" si="24"/>
        <v/>
      </c>
      <c r="DA177" s="122" t="s">
        <v>268</v>
      </c>
      <c r="DB177" s="122" t="s">
        <v>6180</v>
      </c>
      <c r="DC177" s="122" t="s">
        <v>4134</v>
      </c>
      <c r="DD177" s="127">
        <v>8</v>
      </c>
      <c r="DE177" s="127">
        <v>8</v>
      </c>
      <c r="DG177" s="405" t="s">
        <v>268</v>
      </c>
      <c r="DH177" s="406" t="s">
        <v>4134</v>
      </c>
      <c r="DI177" s="406" t="str">
        <f t="shared" si="25"/>
        <v>AM, São Gabriel da Cachoeira</v>
      </c>
      <c r="DJ177" s="406">
        <v>-0.13</v>
      </c>
      <c r="DK177" s="80">
        <v>-67.088999999999999</v>
      </c>
      <c r="DL177" s="80">
        <v>132</v>
      </c>
      <c r="DM177" s="64">
        <v>8</v>
      </c>
      <c r="DN177" s="406" t="s">
        <v>6159</v>
      </c>
      <c r="DO177" s="406">
        <v>-0.99</v>
      </c>
      <c r="DP177" s="80">
        <v>17</v>
      </c>
    </row>
    <row r="178" spans="29:120" x14ac:dyDescent="0.25">
      <c r="AC178" s="122" t="s">
        <v>333</v>
      </c>
      <c r="AD178" s="122" t="s">
        <v>583</v>
      </c>
      <c r="AE178" s="127">
        <v>4</v>
      </c>
      <c r="BC178" s="122" t="s">
        <v>10669</v>
      </c>
      <c r="BD178" s="115">
        <v>5</v>
      </c>
      <c r="BE178" s="115">
        <v>0</v>
      </c>
      <c r="BF178" s="115">
        <v>0.2</v>
      </c>
      <c r="BG178" s="115">
        <v>0.17</v>
      </c>
      <c r="BH178" s="122" t="str">
        <f t="shared" si="22"/>
        <v/>
      </c>
      <c r="BM178" s="122" t="s">
        <v>10668</v>
      </c>
      <c r="BN178" s="115">
        <v>1</v>
      </c>
      <c r="BO178" s="115">
        <v>0.3</v>
      </c>
      <c r="BP178" s="115">
        <v>0.4</v>
      </c>
      <c r="BQ178" s="115">
        <v>0.55000000000000004</v>
      </c>
      <c r="BR178" s="122" t="str">
        <f t="shared" si="23"/>
        <v/>
      </c>
      <c r="BW178" s="122" t="s">
        <v>10669</v>
      </c>
      <c r="BX178" s="115">
        <v>5</v>
      </c>
      <c r="BY178" s="115">
        <v>0</v>
      </c>
      <c r="BZ178" s="115">
        <v>0.2</v>
      </c>
      <c r="CA178" s="115">
        <v>0.45</v>
      </c>
      <c r="CB178" s="122" t="str">
        <f t="shared" si="24"/>
        <v/>
      </c>
      <c r="DA178" s="122" t="s">
        <v>268</v>
      </c>
      <c r="DB178" s="122" t="s">
        <v>6181</v>
      </c>
      <c r="DC178" s="122" t="s">
        <v>4254</v>
      </c>
      <c r="DD178" s="127">
        <v>8</v>
      </c>
      <c r="DE178" s="127">
        <v>8</v>
      </c>
      <c r="DG178" s="405" t="s">
        <v>268</v>
      </c>
      <c r="DH178" s="406" t="s">
        <v>4254</v>
      </c>
      <c r="DI178" s="406" t="str">
        <f t="shared" si="25"/>
        <v>AM, São Paulo de Olivença</v>
      </c>
      <c r="DJ178" s="406">
        <v>-3.3780000000000001</v>
      </c>
      <c r="DK178" s="80">
        <v>-68.873000000000005</v>
      </c>
      <c r="DL178" s="80">
        <v>102</v>
      </c>
      <c r="DM178" s="64">
        <v>8</v>
      </c>
      <c r="DN178" s="406" t="s">
        <v>6074</v>
      </c>
      <c r="DO178" s="406">
        <v>-8.14</v>
      </c>
      <c r="DP178" s="80">
        <v>163</v>
      </c>
    </row>
    <row r="179" spans="29:120" x14ac:dyDescent="0.25">
      <c r="AC179" s="122" t="s">
        <v>333</v>
      </c>
      <c r="AD179" s="122" t="s">
        <v>584</v>
      </c>
      <c r="AE179" s="127">
        <v>3</v>
      </c>
      <c r="BC179" s="122" t="s">
        <v>10669</v>
      </c>
      <c r="BD179" s="115">
        <v>5</v>
      </c>
      <c r="BE179" s="115">
        <v>0.2</v>
      </c>
      <c r="BF179" s="115">
        <v>0.3</v>
      </c>
      <c r="BG179" s="115">
        <v>0.17</v>
      </c>
      <c r="BH179" s="122" t="str">
        <f t="shared" si="22"/>
        <v/>
      </c>
      <c r="BM179" s="122" t="s">
        <v>10668</v>
      </c>
      <c r="BN179" s="115">
        <v>2</v>
      </c>
      <c r="BO179" s="115">
        <v>0.3</v>
      </c>
      <c r="BP179" s="115">
        <v>0.4</v>
      </c>
      <c r="BQ179" s="115">
        <v>0.47</v>
      </c>
      <c r="BR179" s="122" t="str">
        <f t="shared" si="23"/>
        <v/>
      </c>
      <c r="BW179" s="122" t="s">
        <v>10669</v>
      </c>
      <c r="BX179" s="115">
        <v>5</v>
      </c>
      <c r="BY179" s="115">
        <v>0.2</v>
      </c>
      <c r="BZ179" s="115">
        <v>0.3</v>
      </c>
      <c r="CA179" s="115">
        <v>0.45</v>
      </c>
      <c r="CB179" s="122" t="str">
        <f t="shared" si="24"/>
        <v/>
      </c>
      <c r="DA179" s="122" t="s">
        <v>268</v>
      </c>
      <c r="DB179" s="122" t="s">
        <v>6182</v>
      </c>
      <c r="DC179" s="122" t="s">
        <v>5248</v>
      </c>
      <c r="DD179" s="127">
        <v>8</v>
      </c>
      <c r="DE179" s="127">
        <v>8</v>
      </c>
      <c r="DG179" s="405" t="s">
        <v>268</v>
      </c>
      <c r="DH179" s="406" t="s">
        <v>5248</v>
      </c>
      <c r="DI179" s="406" t="str">
        <f t="shared" si="25"/>
        <v>AM, São Sebastião do Uatumã</v>
      </c>
      <c r="DJ179" s="406">
        <v>-2.5720000000000001</v>
      </c>
      <c r="DK179" s="80">
        <v>-57.871000000000002</v>
      </c>
      <c r="DL179" s="80">
        <v>24</v>
      </c>
      <c r="DM179" s="64">
        <v>8</v>
      </c>
      <c r="DN179" s="406" t="s">
        <v>6170</v>
      </c>
      <c r="DO179" s="406">
        <v>-2.5299999999999998</v>
      </c>
      <c r="DP179" s="80">
        <v>17</v>
      </c>
    </row>
    <row r="180" spans="29:120" x14ac:dyDescent="0.25">
      <c r="AC180" s="122" t="s">
        <v>333</v>
      </c>
      <c r="AD180" s="122" t="s">
        <v>585</v>
      </c>
      <c r="AE180" s="127">
        <v>3</v>
      </c>
      <c r="BC180" s="122" t="s">
        <v>10669</v>
      </c>
      <c r="BD180" s="115">
        <v>5</v>
      </c>
      <c r="BE180" s="115">
        <v>0.3</v>
      </c>
      <c r="BF180" s="115">
        <v>0.4</v>
      </c>
      <c r="BG180" s="115">
        <v>0.2</v>
      </c>
      <c r="BH180" s="122" t="str">
        <f t="shared" si="22"/>
        <v/>
      </c>
      <c r="BM180" s="122" t="s">
        <v>10668</v>
      </c>
      <c r="BN180" s="115">
        <v>3</v>
      </c>
      <c r="BO180" s="115">
        <v>0.3</v>
      </c>
      <c r="BP180" s="115">
        <v>0.4</v>
      </c>
      <c r="BQ180" s="115">
        <v>0.49</v>
      </c>
      <c r="BR180" s="122" t="str">
        <f t="shared" si="23"/>
        <v/>
      </c>
      <c r="BW180" s="122" t="s">
        <v>10669</v>
      </c>
      <c r="BX180" s="115">
        <v>5</v>
      </c>
      <c r="BY180" s="115">
        <v>0.3</v>
      </c>
      <c r="BZ180" s="115">
        <v>0.4</v>
      </c>
      <c r="CA180" s="115">
        <v>0.46</v>
      </c>
      <c r="CB180" s="122" t="str">
        <f t="shared" si="24"/>
        <v/>
      </c>
      <c r="DA180" s="122" t="s">
        <v>268</v>
      </c>
      <c r="DB180" s="122" t="s">
        <v>4360</v>
      </c>
      <c r="DC180" s="122" t="s">
        <v>4360</v>
      </c>
      <c r="DD180" s="127">
        <v>8</v>
      </c>
      <c r="DE180" s="127">
        <v>8</v>
      </c>
      <c r="DG180" s="405" t="s">
        <v>268</v>
      </c>
      <c r="DH180" s="406" t="s">
        <v>4360</v>
      </c>
      <c r="DI180" s="406" t="str">
        <f t="shared" si="25"/>
        <v>AM, Silves</v>
      </c>
      <c r="DJ180" s="406">
        <v>-2.839</v>
      </c>
      <c r="DK180" s="80">
        <v>-58.209000000000003</v>
      </c>
      <c r="DL180" s="80">
        <v>46</v>
      </c>
      <c r="DM180" s="64">
        <v>8</v>
      </c>
      <c r="DN180" s="406" t="s">
        <v>6169</v>
      </c>
      <c r="DO180" s="406">
        <v>-3.13</v>
      </c>
      <c r="DP180" s="80">
        <v>45</v>
      </c>
    </row>
    <row r="181" spans="29:120" x14ac:dyDescent="0.25">
      <c r="AC181" s="122" t="s">
        <v>333</v>
      </c>
      <c r="AD181" s="122" t="s">
        <v>586</v>
      </c>
      <c r="AE181" s="127">
        <v>3</v>
      </c>
      <c r="BC181" s="122" t="s">
        <v>10669</v>
      </c>
      <c r="BD181" s="115">
        <v>5</v>
      </c>
      <c r="BE181" s="115">
        <v>0.4</v>
      </c>
      <c r="BF181" s="115">
        <v>100</v>
      </c>
      <c r="BG181" s="115">
        <v>0.23</v>
      </c>
      <c r="BH181" s="122" t="str">
        <f t="shared" si="22"/>
        <v/>
      </c>
      <c r="BM181" s="122" t="s">
        <v>10668</v>
      </c>
      <c r="BN181" s="115">
        <v>4</v>
      </c>
      <c r="BO181" s="115">
        <v>0.3</v>
      </c>
      <c r="BP181" s="115">
        <v>0.4</v>
      </c>
      <c r="BQ181" s="115">
        <v>0.55000000000000004</v>
      </c>
      <c r="BR181" s="122" t="str">
        <f t="shared" si="23"/>
        <v/>
      </c>
      <c r="BW181" s="122" t="s">
        <v>10669</v>
      </c>
      <c r="BX181" s="115">
        <v>5</v>
      </c>
      <c r="BY181" s="115">
        <v>0.4</v>
      </c>
      <c r="BZ181" s="115">
        <v>100</v>
      </c>
      <c r="CA181" s="115">
        <v>0.48</v>
      </c>
      <c r="CB181" s="122" t="str">
        <f t="shared" si="24"/>
        <v/>
      </c>
      <c r="DA181" s="122" t="s">
        <v>268</v>
      </c>
      <c r="DB181" s="122" t="s">
        <v>3833</v>
      </c>
      <c r="DC181" s="122" t="s">
        <v>3833</v>
      </c>
      <c r="DD181" s="127">
        <v>8</v>
      </c>
      <c r="DE181" s="127">
        <v>8</v>
      </c>
      <c r="DG181" s="405" t="s">
        <v>268</v>
      </c>
      <c r="DH181" s="406" t="s">
        <v>3833</v>
      </c>
      <c r="DI181" s="406" t="str">
        <f t="shared" si="25"/>
        <v>AM, Tabatinga</v>
      </c>
      <c r="DJ181" s="406">
        <v>-4.2530000000000001</v>
      </c>
      <c r="DK181" s="80">
        <v>-69.938000000000002</v>
      </c>
      <c r="DL181" s="80">
        <v>60</v>
      </c>
      <c r="DM181" s="64">
        <v>8</v>
      </c>
      <c r="DN181" s="406" t="s">
        <v>6074</v>
      </c>
      <c r="DO181" s="406">
        <v>-8.14</v>
      </c>
      <c r="DP181" s="80">
        <v>163</v>
      </c>
    </row>
    <row r="182" spans="29:120" x14ac:dyDescent="0.25">
      <c r="AC182" s="122" t="s">
        <v>333</v>
      </c>
      <c r="AD182" s="122" t="s">
        <v>587</v>
      </c>
      <c r="AE182" s="127">
        <v>3</v>
      </c>
      <c r="BC182" s="122" t="s">
        <v>10669</v>
      </c>
      <c r="BD182" s="115">
        <v>6</v>
      </c>
      <c r="BE182" s="115">
        <v>0</v>
      </c>
      <c r="BF182" s="115">
        <v>0.2</v>
      </c>
      <c r="BG182" s="115">
        <v>0.21</v>
      </c>
      <c r="BH182" s="122" t="str">
        <f t="shared" si="22"/>
        <v/>
      </c>
      <c r="BM182" s="122" t="s">
        <v>10668</v>
      </c>
      <c r="BN182" s="115">
        <v>5</v>
      </c>
      <c r="BO182" s="115">
        <v>0.3</v>
      </c>
      <c r="BP182" s="115">
        <v>0.4</v>
      </c>
      <c r="BQ182" s="115">
        <v>0.44</v>
      </c>
      <c r="BR182" s="122" t="str">
        <f t="shared" si="23"/>
        <v/>
      </c>
      <c r="BW182" s="122" t="s">
        <v>10669</v>
      </c>
      <c r="BX182" s="115">
        <v>6</v>
      </c>
      <c r="BY182" s="115">
        <v>0</v>
      </c>
      <c r="BZ182" s="115">
        <v>0.2</v>
      </c>
      <c r="CA182" s="115">
        <v>0.46</v>
      </c>
      <c r="CB182" s="122" t="str">
        <f t="shared" si="24"/>
        <v/>
      </c>
      <c r="DA182" s="122" t="s">
        <v>268</v>
      </c>
      <c r="DB182" s="122" t="s">
        <v>5142</v>
      </c>
      <c r="DC182" s="122" t="s">
        <v>5142</v>
      </c>
      <c r="DD182" s="127">
        <v>8</v>
      </c>
      <c r="DE182" s="127">
        <v>8</v>
      </c>
      <c r="DG182" s="405" t="s">
        <v>268</v>
      </c>
      <c r="DH182" s="406" t="s">
        <v>5142</v>
      </c>
      <c r="DI182" s="406" t="str">
        <f t="shared" si="25"/>
        <v>AM, Tapauá</v>
      </c>
      <c r="DJ182" s="406">
        <v>-5.6280000000000001</v>
      </c>
      <c r="DK182" s="80">
        <v>-63.183</v>
      </c>
      <c r="DL182" s="80">
        <v>54</v>
      </c>
      <c r="DM182" s="64">
        <v>8</v>
      </c>
      <c r="DN182" s="406" t="s">
        <v>6154</v>
      </c>
      <c r="DO182" s="406">
        <v>-4.0999999999999996</v>
      </c>
      <c r="DP182" s="80">
        <v>43</v>
      </c>
    </row>
    <row r="183" spans="29:120" x14ac:dyDescent="0.25">
      <c r="AC183" s="122" t="s">
        <v>333</v>
      </c>
      <c r="AD183" s="122" t="s">
        <v>588</v>
      </c>
      <c r="AE183" s="127">
        <v>2</v>
      </c>
      <c r="BC183" s="122" t="s">
        <v>10669</v>
      </c>
      <c r="BD183" s="115">
        <v>6</v>
      </c>
      <c r="BE183" s="115">
        <v>0.2</v>
      </c>
      <c r="BF183" s="115">
        <v>0.3</v>
      </c>
      <c r="BG183" s="115">
        <v>0.21</v>
      </c>
      <c r="BH183" s="122" t="str">
        <f t="shared" si="22"/>
        <v/>
      </c>
      <c r="BM183" s="122" t="s">
        <v>10668</v>
      </c>
      <c r="BN183" s="115">
        <v>6</v>
      </c>
      <c r="BO183" s="115">
        <v>0.3</v>
      </c>
      <c r="BP183" s="115">
        <v>0.4</v>
      </c>
      <c r="BQ183" s="115">
        <v>0.46</v>
      </c>
      <c r="BR183" s="122" t="str">
        <f t="shared" si="23"/>
        <v/>
      </c>
      <c r="BW183" s="122" t="s">
        <v>10669</v>
      </c>
      <c r="BX183" s="115">
        <v>6</v>
      </c>
      <c r="BY183" s="115">
        <v>0.2</v>
      </c>
      <c r="BZ183" s="115">
        <v>0.3</v>
      </c>
      <c r="CA183" s="115">
        <v>0.46</v>
      </c>
      <c r="CB183" s="122" t="str">
        <f t="shared" si="24"/>
        <v/>
      </c>
      <c r="DA183" s="122" t="s">
        <v>268</v>
      </c>
      <c r="DB183" s="122" t="s">
        <v>4161</v>
      </c>
      <c r="DC183" s="122" t="s">
        <v>4161</v>
      </c>
      <c r="DD183" s="127">
        <v>8</v>
      </c>
      <c r="DE183" s="127">
        <v>8</v>
      </c>
      <c r="DG183" s="405" t="s">
        <v>268</v>
      </c>
      <c r="DH183" s="406" t="s">
        <v>4161</v>
      </c>
      <c r="DI183" s="406" t="str">
        <f t="shared" si="25"/>
        <v>AM, Tefé</v>
      </c>
      <c r="DJ183" s="406">
        <v>-3.3540000000000001</v>
      </c>
      <c r="DK183" s="80">
        <v>-64.710999999999999</v>
      </c>
      <c r="DL183" s="80">
        <v>75</v>
      </c>
      <c r="DM183" s="64">
        <v>8</v>
      </c>
      <c r="DN183" s="406" t="s">
        <v>6154</v>
      </c>
      <c r="DO183" s="406">
        <v>-4.0999999999999996</v>
      </c>
      <c r="DP183" s="80">
        <v>43</v>
      </c>
    </row>
    <row r="184" spans="29:120" x14ac:dyDescent="0.25">
      <c r="AC184" s="122" t="s">
        <v>333</v>
      </c>
      <c r="AD184" s="122" t="s">
        <v>589</v>
      </c>
      <c r="AE184" s="127">
        <v>3</v>
      </c>
      <c r="BC184" s="122" t="s">
        <v>10669</v>
      </c>
      <c r="BD184" s="115">
        <v>6</v>
      </c>
      <c r="BE184" s="115">
        <v>0.3</v>
      </c>
      <c r="BF184" s="115">
        <v>0.4</v>
      </c>
      <c r="BG184" s="115">
        <v>0.24</v>
      </c>
      <c r="BH184" s="122" t="str">
        <f t="shared" si="22"/>
        <v/>
      </c>
      <c r="BM184" s="122" t="s">
        <v>10668</v>
      </c>
      <c r="BN184" s="115">
        <v>7</v>
      </c>
      <c r="BO184" s="115">
        <v>0.3</v>
      </c>
      <c r="BP184" s="115">
        <v>0.4</v>
      </c>
      <c r="BQ184" s="115">
        <v>0.33</v>
      </c>
      <c r="BR184" s="122" t="str">
        <f t="shared" si="23"/>
        <v/>
      </c>
      <c r="BW184" s="122" t="s">
        <v>10669</v>
      </c>
      <c r="BX184" s="115">
        <v>6</v>
      </c>
      <c r="BY184" s="115">
        <v>0.3</v>
      </c>
      <c r="BZ184" s="115">
        <v>0.4</v>
      </c>
      <c r="CA184" s="115">
        <v>0.47</v>
      </c>
      <c r="CB184" s="122" t="str">
        <f t="shared" si="24"/>
        <v/>
      </c>
      <c r="DA184" s="122" t="s">
        <v>268</v>
      </c>
      <c r="DB184" s="122" t="s">
        <v>4268</v>
      </c>
      <c r="DC184" s="122" t="s">
        <v>4268</v>
      </c>
      <c r="DD184" s="127">
        <v>8</v>
      </c>
      <c r="DE184" s="127">
        <v>8</v>
      </c>
      <c r="DG184" s="405" t="s">
        <v>268</v>
      </c>
      <c r="DH184" s="406" t="s">
        <v>4268</v>
      </c>
      <c r="DI184" s="406" t="str">
        <f t="shared" si="25"/>
        <v>AM, Tonantins</v>
      </c>
      <c r="DJ184" s="406">
        <v>-2.8730000000000002</v>
      </c>
      <c r="DK184" s="80">
        <v>-67.802000000000007</v>
      </c>
      <c r="DL184" s="80">
        <v>55</v>
      </c>
      <c r="DM184" s="64">
        <v>8</v>
      </c>
      <c r="DN184" s="406" t="s">
        <v>6154</v>
      </c>
      <c r="DO184" s="406">
        <v>-4.0999999999999996</v>
      </c>
      <c r="DP184" s="80">
        <v>43</v>
      </c>
    </row>
    <row r="185" spans="29:120" x14ac:dyDescent="0.25">
      <c r="AC185" s="122" t="s">
        <v>333</v>
      </c>
      <c r="AD185" s="122" t="s">
        <v>590</v>
      </c>
      <c r="AE185" s="127">
        <v>3</v>
      </c>
      <c r="BC185" s="122" t="s">
        <v>10669</v>
      </c>
      <c r="BD185" s="115">
        <v>6</v>
      </c>
      <c r="BE185" s="115">
        <v>0.4</v>
      </c>
      <c r="BF185" s="115">
        <v>100</v>
      </c>
      <c r="BG185" s="115">
        <v>0.27</v>
      </c>
      <c r="BH185" s="122" t="str">
        <f t="shared" si="22"/>
        <v/>
      </c>
      <c r="BM185" s="122" t="s">
        <v>10668</v>
      </c>
      <c r="BN185" s="115">
        <v>8</v>
      </c>
      <c r="BO185" s="115">
        <v>0.3</v>
      </c>
      <c r="BP185" s="115">
        <v>0.4</v>
      </c>
      <c r="BQ185" s="115">
        <v>0.41</v>
      </c>
      <c r="BR185" s="122" t="str">
        <f t="shared" si="23"/>
        <v/>
      </c>
      <c r="BW185" s="122" t="s">
        <v>10669</v>
      </c>
      <c r="BX185" s="115">
        <v>6</v>
      </c>
      <c r="BY185" s="115">
        <v>0.4</v>
      </c>
      <c r="BZ185" s="115">
        <v>100</v>
      </c>
      <c r="CA185" s="115">
        <v>0.49</v>
      </c>
      <c r="CB185" s="122" t="str">
        <f t="shared" si="24"/>
        <v/>
      </c>
      <c r="DA185" s="122" t="s">
        <v>268</v>
      </c>
      <c r="DB185" s="122" t="s">
        <v>4171</v>
      </c>
      <c r="DC185" s="122" t="s">
        <v>4171</v>
      </c>
      <c r="DD185" s="127">
        <v>8</v>
      </c>
      <c r="DE185" s="127">
        <v>8</v>
      </c>
      <c r="DG185" s="405" t="s">
        <v>268</v>
      </c>
      <c r="DH185" s="406" t="s">
        <v>4171</v>
      </c>
      <c r="DI185" s="406" t="str">
        <f t="shared" si="25"/>
        <v>AM, Uarini</v>
      </c>
      <c r="DJ185" s="406">
        <v>-2.99</v>
      </c>
      <c r="DK185" s="80">
        <v>-65.108000000000004</v>
      </c>
      <c r="DL185" s="80">
        <v>60</v>
      </c>
      <c r="DM185" s="64">
        <v>8</v>
      </c>
      <c r="DN185" s="406" t="s">
        <v>6154</v>
      </c>
      <c r="DO185" s="406">
        <v>-4.0999999999999996</v>
      </c>
      <c r="DP185" s="80">
        <v>43</v>
      </c>
    </row>
    <row r="186" spans="29:120" x14ac:dyDescent="0.25">
      <c r="AC186" s="122" t="s">
        <v>333</v>
      </c>
      <c r="AD186" s="122" t="s">
        <v>591</v>
      </c>
      <c r="AE186" s="127">
        <v>4</v>
      </c>
      <c r="BC186" s="122" t="s">
        <v>10669</v>
      </c>
      <c r="BD186" s="115">
        <v>7</v>
      </c>
      <c r="BE186" s="115">
        <v>0</v>
      </c>
      <c r="BF186" s="115">
        <v>0.2</v>
      </c>
      <c r="BG186" s="115">
        <v>0.17</v>
      </c>
      <c r="BH186" s="122" t="str">
        <f t="shared" si="22"/>
        <v/>
      </c>
      <c r="BM186" s="122" t="s">
        <v>10668</v>
      </c>
      <c r="BN186" s="115">
        <v>1</v>
      </c>
      <c r="BO186" s="115">
        <v>0.4</v>
      </c>
      <c r="BP186" s="115">
        <v>100</v>
      </c>
      <c r="BQ186" s="115">
        <v>0.56000000000000005</v>
      </c>
      <c r="BR186" s="122" t="str">
        <f t="shared" si="23"/>
        <v/>
      </c>
      <c r="BW186" s="122" t="s">
        <v>10669</v>
      </c>
      <c r="BX186" s="115">
        <v>7</v>
      </c>
      <c r="BY186" s="115">
        <v>0</v>
      </c>
      <c r="BZ186" s="115">
        <v>0.2</v>
      </c>
      <c r="CA186" s="115">
        <v>0.36</v>
      </c>
      <c r="CB186" s="122" t="str">
        <f t="shared" si="24"/>
        <v/>
      </c>
      <c r="DA186" s="122" t="s">
        <v>268</v>
      </c>
      <c r="DB186" s="122" t="s">
        <v>5261</v>
      </c>
      <c r="DC186" s="122" t="s">
        <v>5261</v>
      </c>
      <c r="DD186" s="127">
        <v>8</v>
      </c>
      <c r="DE186" s="127">
        <v>8</v>
      </c>
      <c r="DG186" s="405" t="s">
        <v>268</v>
      </c>
      <c r="DH186" s="406" t="s">
        <v>5261</v>
      </c>
      <c r="DI186" s="406" t="str">
        <f t="shared" si="25"/>
        <v>AM, Urucará</v>
      </c>
      <c r="DJ186" s="406">
        <v>-2.536</v>
      </c>
      <c r="DK186" s="80">
        <v>-57.76</v>
      </c>
      <c r="DL186" s="80">
        <v>26</v>
      </c>
      <c r="DM186" s="64">
        <v>8</v>
      </c>
      <c r="DN186" s="406" t="s">
        <v>6170</v>
      </c>
      <c r="DO186" s="406">
        <v>-2.5299999999999998</v>
      </c>
      <c r="DP186" s="80">
        <v>17</v>
      </c>
    </row>
    <row r="187" spans="29:120" x14ac:dyDescent="0.25">
      <c r="AC187" s="122" t="s">
        <v>333</v>
      </c>
      <c r="AD187" s="122" t="s">
        <v>592</v>
      </c>
      <c r="AE187" s="127">
        <v>2</v>
      </c>
      <c r="BC187" s="122" t="s">
        <v>10669</v>
      </c>
      <c r="BD187" s="115">
        <v>7</v>
      </c>
      <c r="BE187" s="115">
        <v>0.2</v>
      </c>
      <c r="BF187" s="115">
        <v>0.3</v>
      </c>
      <c r="BG187" s="115">
        <v>0.17</v>
      </c>
      <c r="BH187" s="122" t="str">
        <f t="shared" si="22"/>
        <v/>
      </c>
      <c r="BM187" s="122" t="s">
        <v>10668</v>
      </c>
      <c r="BN187" s="115">
        <v>2</v>
      </c>
      <c r="BO187" s="115">
        <v>0.4</v>
      </c>
      <c r="BP187" s="115">
        <v>100</v>
      </c>
      <c r="BQ187" s="115">
        <v>0.48</v>
      </c>
      <c r="BR187" s="122" t="str">
        <f t="shared" si="23"/>
        <v/>
      </c>
      <c r="BW187" s="122" t="s">
        <v>10669</v>
      </c>
      <c r="BX187" s="115">
        <v>7</v>
      </c>
      <c r="BY187" s="115">
        <v>0.2</v>
      </c>
      <c r="BZ187" s="115">
        <v>0.3</v>
      </c>
      <c r="CA187" s="115">
        <v>0.36</v>
      </c>
      <c r="CB187" s="122" t="str">
        <f t="shared" si="24"/>
        <v/>
      </c>
      <c r="DA187" s="122" t="s">
        <v>268</v>
      </c>
      <c r="DB187" s="122" t="s">
        <v>4378</v>
      </c>
      <c r="DC187" s="122" t="s">
        <v>4378</v>
      </c>
      <c r="DD187" s="127">
        <v>8</v>
      </c>
      <c r="DE187" s="127">
        <v>8</v>
      </c>
      <c r="DG187" s="405" t="s">
        <v>268</v>
      </c>
      <c r="DH187" s="406" t="s">
        <v>4378</v>
      </c>
      <c r="DI187" s="406" t="str">
        <f t="shared" si="25"/>
        <v>AM, Urucurituba</v>
      </c>
      <c r="DJ187" s="406">
        <v>-3.1309999999999998</v>
      </c>
      <c r="DK187" s="80">
        <v>-58.155000000000001</v>
      </c>
      <c r="DL187" s="80">
        <v>40</v>
      </c>
      <c r="DM187" s="64">
        <v>8</v>
      </c>
      <c r="DN187" s="406" t="s">
        <v>6169</v>
      </c>
      <c r="DO187" s="406">
        <v>-3.13</v>
      </c>
      <c r="DP187" s="80">
        <v>45</v>
      </c>
    </row>
    <row r="188" spans="29:120" x14ac:dyDescent="0.25">
      <c r="AC188" s="122" t="s">
        <v>333</v>
      </c>
      <c r="AD188" s="122" t="s">
        <v>593</v>
      </c>
      <c r="AE188" s="127">
        <v>3</v>
      </c>
      <c r="BC188" s="122" t="s">
        <v>10669</v>
      </c>
      <c r="BD188" s="115">
        <v>7</v>
      </c>
      <c r="BE188" s="115">
        <v>0.3</v>
      </c>
      <c r="BF188" s="115">
        <v>0.4</v>
      </c>
      <c r="BG188" s="115">
        <v>0.19</v>
      </c>
      <c r="BH188" s="122" t="str">
        <f t="shared" si="22"/>
        <v/>
      </c>
      <c r="BM188" s="122" t="s">
        <v>10668</v>
      </c>
      <c r="BN188" s="115">
        <v>3</v>
      </c>
      <c r="BO188" s="115">
        <v>0.4</v>
      </c>
      <c r="BP188" s="115">
        <v>100</v>
      </c>
      <c r="BQ188" s="115">
        <v>0.5</v>
      </c>
      <c r="BR188" s="122" t="str">
        <f t="shared" si="23"/>
        <v/>
      </c>
      <c r="BW188" s="122" t="s">
        <v>10669</v>
      </c>
      <c r="BX188" s="115">
        <v>7</v>
      </c>
      <c r="BY188" s="115">
        <v>0.3</v>
      </c>
      <c r="BZ188" s="115">
        <v>0.4</v>
      </c>
      <c r="CA188" s="115">
        <v>0.37</v>
      </c>
      <c r="CB188" s="122" t="str">
        <f t="shared" si="24"/>
        <v/>
      </c>
      <c r="DA188" s="122" t="s">
        <v>279</v>
      </c>
      <c r="DB188" s="122" t="s">
        <v>4386</v>
      </c>
      <c r="DC188" s="122" t="s">
        <v>4386</v>
      </c>
      <c r="DD188" s="127">
        <v>8</v>
      </c>
      <c r="DE188" s="127">
        <v>8</v>
      </c>
      <c r="DG188" s="405" t="s">
        <v>279</v>
      </c>
      <c r="DH188" s="406" t="s">
        <v>4386</v>
      </c>
      <c r="DI188" s="406" t="str">
        <f t="shared" si="25"/>
        <v>AP, Amapá</v>
      </c>
      <c r="DJ188" s="406">
        <v>2.0529999999999999</v>
      </c>
      <c r="DK188" s="80">
        <v>-50.792999999999999</v>
      </c>
      <c r="DL188" s="80">
        <v>8</v>
      </c>
      <c r="DM188" s="64">
        <v>8</v>
      </c>
      <c r="DN188" s="406" t="s">
        <v>6183</v>
      </c>
      <c r="DO188" s="406">
        <v>1.5</v>
      </c>
      <c r="DP188" s="80">
        <v>21</v>
      </c>
    </row>
    <row r="189" spans="29:120" x14ac:dyDescent="0.25">
      <c r="AC189" s="122" t="s">
        <v>333</v>
      </c>
      <c r="AD189" s="122" t="s">
        <v>594</v>
      </c>
      <c r="AE189" s="127">
        <v>3</v>
      </c>
      <c r="BC189" s="122" t="s">
        <v>10669</v>
      </c>
      <c r="BD189" s="115">
        <v>7</v>
      </c>
      <c r="BE189" s="115">
        <v>0.4</v>
      </c>
      <c r="BF189" s="115">
        <v>100</v>
      </c>
      <c r="BG189" s="115">
        <v>0.22</v>
      </c>
      <c r="BH189" s="122" t="str">
        <f t="shared" si="22"/>
        <v/>
      </c>
      <c r="BM189" s="122" t="s">
        <v>10668</v>
      </c>
      <c r="BN189" s="115">
        <v>4</v>
      </c>
      <c r="BO189" s="115">
        <v>0.4</v>
      </c>
      <c r="BP189" s="115">
        <v>100</v>
      </c>
      <c r="BQ189" s="115">
        <v>0.56000000000000005</v>
      </c>
      <c r="BR189" s="122" t="str">
        <f t="shared" si="23"/>
        <v/>
      </c>
      <c r="BW189" s="122" t="s">
        <v>10669</v>
      </c>
      <c r="BX189" s="115">
        <v>7</v>
      </c>
      <c r="BY189" s="115">
        <v>0.4</v>
      </c>
      <c r="BZ189" s="115">
        <v>100</v>
      </c>
      <c r="CA189" s="115">
        <v>0.39</v>
      </c>
      <c r="CB189" s="122" t="str">
        <f t="shared" si="24"/>
        <v/>
      </c>
      <c r="DA189" s="122" t="s">
        <v>279</v>
      </c>
      <c r="DB189" s="122" t="s">
        <v>4235</v>
      </c>
      <c r="DC189" s="122" t="s">
        <v>4235</v>
      </c>
      <c r="DD189" s="127">
        <v>8</v>
      </c>
      <c r="DE189" s="127">
        <v>8</v>
      </c>
      <c r="DG189" s="405" t="s">
        <v>279</v>
      </c>
      <c r="DH189" s="406" t="s">
        <v>4235</v>
      </c>
      <c r="DI189" s="406" t="str">
        <f t="shared" si="25"/>
        <v>AP, Calçoene</v>
      </c>
      <c r="DJ189" s="406">
        <v>2.4980000000000002</v>
      </c>
      <c r="DK189" s="80">
        <v>-50.948999999999998</v>
      </c>
      <c r="DL189" s="80">
        <v>12</v>
      </c>
      <c r="DM189" s="64">
        <v>8</v>
      </c>
      <c r="DN189" s="406" t="s">
        <v>6183</v>
      </c>
      <c r="DO189" s="406">
        <v>1.5</v>
      </c>
      <c r="DP189" s="80">
        <v>21</v>
      </c>
    </row>
    <row r="190" spans="29:120" x14ac:dyDescent="0.25">
      <c r="AC190" s="122" t="s">
        <v>333</v>
      </c>
      <c r="AD190" s="122" t="s">
        <v>595</v>
      </c>
      <c r="AE190" s="127">
        <v>2</v>
      </c>
      <c r="BC190" s="122" t="s">
        <v>10669</v>
      </c>
      <c r="BD190" s="115">
        <v>8</v>
      </c>
      <c r="BE190" s="115">
        <v>0</v>
      </c>
      <c r="BF190" s="115">
        <v>0.2</v>
      </c>
      <c r="BG190" s="115">
        <v>0.14000000000000001</v>
      </c>
      <c r="BH190" s="122" t="str">
        <f t="shared" si="22"/>
        <v/>
      </c>
      <c r="BM190" s="122" t="s">
        <v>10668</v>
      </c>
      <c r="BN190" s="115">
        <v>5</v>
      </c>
      <c r="BO190" s="115">
        <v>0.4</v>
      </c>
      <c r="BP190" s="115">
        <v>100</v>
      </c>
      <c r="BQ190" s="115">
        <v>0.46</v>
      </c>
      <c r="BR190" s="122" t="str">
        <f t="shared" si="23"/>
        <v/>
      </c>
      <c r="BW190" s="122" t="s">
        <v>10669</v>
      </c>
      <c r="BX190" s="115">
        <v>8</v>
      </c>
      <c r="BY190" s="115">
        <v>0</v>
      </c>
      <c r="BZ190" s="115">
        <v>0.2</v>
      </c>
      <c r="CA190" s="115">
        <v>0.42</v>
      </c>
      <c r="CB190" s="122" t="str">
        <f t="shared" si="24"/>
        <v/>
      </c>
      <c r="DA190" s="122" t="s">
        <v>279</v>
      </c>
      <c r="DB190" s="122" t="s">
        <v>4434</v>
      </c>
      <c r="DC190" s="122" t="s">
        <v>4434</v>
      </c>
      <c r="DD190" s="127">
        <v>8</v>
      </c>
      <c r="DE190" s="127">
        <v>8</v>
      </c>
      <c r="DG190" s="405" t="s">
        <v>279</v>
      </c>
      <c r="DH190" s="406" t="s">
        <v>4434</v>
      </c>
      <c r="DI190" s="406" t="str">
        <f t="shared" si="25"/>
        <v>AP, Cutias</v>
      </c>
      <c r="DJ190" s="406">
        <v>0.98599999999999999</v>
      </c>
      <c r="DK190" s="80">
        <v>-50.802</v>
      </c>
      <c r="DL190" s="80">
        <v>4</v>
      </c>
      <c r="DM190" s="64">
        <v>8</v>
      </c>
      <c r="DN190" s="406" t="s">
        <v>6183</v>
      </c>
      <c r="DO190" s="406">
        <v>1.5</v>
      </c>
      <c r="DP190" s="80">
        <v>21</v>
      </c>
    </row>
    <row r="191" spans="29:120" x14ac:dyDescent="0.25">
      <c r="AC191" s="122" t="s">
        <v>333</v>
      </c>
      <c r="AD191" s="122" t="s">
        <v>596</v>
      </c>
      <c r="AE191" s="127">
        <v>3</v>
      </c>
      <c r="BC191" s="122" t="s">
        <v>10669</v>
      </c>
      <c r="BD191" s="115">
        <v>8</v>
      </c>
      <c r="BE191" s="115">
        <v>0.2</v>
      </c>
      <c r="BF191" s="115">
        <v>0.3</v>
      </c>
      <c r="BG191" s="115">
        <v>0.15</v>
      </c>
      <c r="BH191" s="122" t="str">
        <f t="shared" si="22"/>
        <v/>
      </c>
      <c r="BM191" s="122" t="s">
        <v>10668</v>
      </c>
      <c r="BN191" s="115">
        <v>6</v>
      </c>
      <c r="BO191" s="115">
        <v>0.4</v>
      </c>
      <c r="BP191" s="115">
        <v>100</v>
      </c>
      <c r="BQ191" s="115">
        <v>0.48</v>
      </c>
      <c r="BR191" s="122" t="str">
        <f t="shared" si="23"/>
        <v/>
      </c>
      <c r="BW191" s="122" t="s">
        <v>10669</v>
      </c>
      <c r="BX191" s="115">
        <v>8</v>
      </c>
      <c r="BY191" s="115">
        <v>0.2</v>
      </c>
      <c r="BZ191" s="115">
        <v>0.3</v>
      </c>
      <c r="CA191" s="115">
        <v>0.43</v>
      </c>
      <c r="CB191" s="122" t="str">
        <f t="shared" si="24"/>
        <v/>
      </c>
      <c r="DA191" s="122" t="s">
        <v>279</v>
      </c>
      <c r="DB191" s="122" t="s">
        <v>6184</v>
      </c>
      <c r="DC191" s="122" t="s">
        <v>4455</v>
      </c>
      <c r="DD191" s="127">
        <v>8</v>
      </c>
      <c r="DE191" s="127">
        <v>8</v>
      </c>
      <c r="DG191" s="405" t="s">
        <v>279</v>
      </c>
      <c r="DH191" s="406" t="s">
        <v>4455</v>
      </c>
      <c r="DI191" s="406" t="str">
        <f t="shared" si="25"/>
        <v>AP, Ferreira Gomes</v>
      </c>
      <c r="DJ191" s="406">
        <v>0.85799999999999998</v>
      </c>
      <c r="DK191" s="80">
        <v>-51.18</v>
      </c>
      <c r="DL191" s="80">
        <v>50</v>
      </c>
      <c r="DM191" s="64">
        <v>8</v>
      </c>
      <c r="DN191" s="406" t="s">
        <v>6185</v>
      </c>
      <c r="DO191" s="406">
        <v>0.7</v>
      </c>
      <c r="DP191" s="80">
        <v>77</v>
      </c>
    </row>
    <row r="192" spans="29:120" x14ac:dyDescent="0.25">
      <c r="AC192" s="122" t="s">
        <v>333</v>
      </c>
      <c r="AD192" s="122" t="s">
        <v>597</v>
      </c>
      <c r="AE192" s="127">
        <v>2</v>
      </c>
      <c r="BC192" s="122" t="s">
        <v>10669</v>
      </c>
      <c r="BD192" s="115">
        <v>8</v>
      </c>
      <c r="BE192" s="115">
        <v>0.3</v>
      </c>
      <c r="BF192" s="115">
        <v>0.4</v>
      </c>
      <c r="BG192" s="115">
        <v>0.17</v>
      </c>
      <c r="BH192" s="122" t="str">
        <f t="shared" si="22"/>
        <v/>
      </c>
      <c r="BM192" s="122" t="s">
        <v>10668</v>
      </c>
      <c r="BN192" s="115">
        <v>7</v>
      </c>
      <c r="BO192" s="115">
        <v>0.4</v>
      </c>
      <c r="BP192" s="115">
        <v>100</v>
      </c>
      <c r="BQ192" s="115">
        <v>0.35</v>
      </c>
      <c r="BR192" s="122" t="str">
        <f t="shared" si="23"/>
        <v/>
      </c>
      <c r="BW192" s="122" t="s">
        <v>10669</v>
      </c>
      <c r="BX192" s="115">
        <v>8</v>
      </c>
      <c r="BY192" s="115">
        <v>0.3</v>
      </c>
      <c r="BZ192" s="115">
        <v>0.4</v>
      </c>
      <c r="CA192" s="115">
        <v>0.44</v>
      </c>
      <c r="CB192" s="122" t="str">
        <f t="shared" si="24"/>
        <v/>
      </c>
      <c r="DA192" s="122" t="s">
        <v>279</v>
      </c>
      <c r="DB192" s="122" t="s">
        <v>4271</v>
      </c>
      <c r="DC192" s="122" t="s">
        <v>4271</v>
      </c>
      <c r="DD192" s="127">
        <v>8</v>
      </c>
      <c r="DE192" s="127">
        <v>8</v>
      </c>
      <c r="DG192" s="405" t="s">
        <v>279</v>
      </c>
      <c r="DH192" s="406" t="s">
        <v>4271</v>
      </c>
      <c r="DI192" s="406" t="str">
        <f t="shared" si="25"/>
        <v>AP, Itaubal</v>
      </c>
      <c r="DJ192" s="406">
        <v>-0.59599999999999997</v>
      </c>
      <c r="DK192" s="80">
        <v>-50.670999999999999</v>
      </c>
      <c r="DL192" s="80">
        <v>27</v>
      </c>
      <c r="DM192" s="64">
        <v>8</v>
      </c>
      <c r="DN192" s="406" t="s">
        <v>6186</v>
      </c>
      <c r="DO192" s="406">
        <v>0.04</v>
      </c>
      <c r="DP192" s="80">
        <v>15</v>
      </c>
    </row>
    <row r="193" spans="29:120" x14ac:dyDescent="0.25">
      <c r="AC193" s="122" t="s">
        <v>333</v>
      </c>
      <c r="AD193" s="122" t="s">
        <v>598</v>
      </c>
      <c r="AE193" s="127">
        <v>2</v>
      </c>
      <c r="BC193" s="122" t="s">
        <v>10669</v>
      </c>
      <c r="BD193" s="115">
        <v>8</v>
      </c>
      <c r="BE193" s="115">
        <v>0.4</v>
      </c>
      <c r="BF193" s="115">
        <v>100</v>
      </c>
      <c r="BG193" s="115">
        <v>0.2</v>
      </c>
      <c r="BH193" s="122" t="str">
        <f t="shared" si="22"/>
        <v/>
      </c>
      <c r="BM193" s="122" t="s">
        <v>10668</v>
      </c>
      <c r="BN193" s="115">
        <v>8</v>
      </c>
      <c r="BO193" s="115">
        <v>0.4</v>
      </c>
      <c r="BP193" s="115">
        <v>100</v>
      </c>
      <c r="BQ193" s="115">
        <v>0.43</v>
      </c>
      <c r="BR193" s="122" t="str">
        <f t="shared" si="23"/>
        <v/>
      </c>
      <c r="BW193" s="122" t="s">
        <v>10669</v>
      </c>
      <c r="BX193" s="115">
        <v>8</v>
      </c>
      <c r="BY193" s="115">
        <v>0.4</v>
      </c>
      <c r="BZ193" s="115">
        <v>100</v>
      </c>
      <c r="CA193" s="115">
        <v>0.45</v>
      </c>
      <c r="CB193" s="122" t="str">
        <f t="shared" si="24"/>
        <v/>
      </c>
      <c r="DA193" s="122" t="s">
        <v>279</v>
      </c>
      <c r="DB193" s="122" t="s">
        <v>6187</v>
      </c>
      <c r="DC193" s="122" t="s">
        <v>4186</v>
      </c>
      <c r="DD193" s="127">
        <v>8</v>
      </c>
      <c r="DE193" s="127">
        <v>8</v>
      </c>
      <c r="DG193" s="405" t="s">
        <v>279</v>
      </c>
      <c r="DH193" s="406" t="s">
        <v>4186</v>
      </c>
      <c r="DI193" s="406" t="str">
        <f t="shared" si="25"/>
        <v>AP, Laranjal do Jari</v>
      </c>
      <c r="DJ193" s="406">
        <v>-0.84199999999999997</v>
      </c>
      <c r="DK193" s="80">
        <v>-52.515999999999998</v>
      </c>
      <c r="DL193" s="80">
        <v>22</v>
      </c>
      <c r="DM193" s="64">
        <v>8</v>
      </c>
      <c r="DN193" s="406" t="s">
        <v>6186</v>
      </c>
      <c r="DO193" s="406">
        <v>0.04</v>
      </c>
      <c r="DP193" s="80">
        <v>15</v>
      </c>
    </row>
    <row r="194" spans="29:120" x14ac:dyDescent="0.25">
      <c r="AC194" s="122" t="s">
        <v>333</v>
      </c>
      <c r="AD194" s="122" t="s">
        <v>599</v>
      </c>
      <c r="AE194" s="127">
        <v>3</v>
      </c>
      <c r="BC194" s="122" t="s">
        <v>297</v>
      </c>
      <c r="BD194" s="115">
        <v>1</v>
      </c>
      <c r="BE194" s="115">
        <v>0</v>
      </c>
      <c r="BF194" s="115">
        <v>0.2</v>
      </c>
      <c r="BG194" s="115">
        <v>0.13</v>
      </c>
      <c r="BH194" s="122" t="str">
        <f t="shared" si="22"/>
        <v/>
      </c>
      <c r="BM194" s="122" t="s">
        <v>10669</v>
      </c>
      <c r="BN194" s="115">
        <v>1</v>
      </c>
      <c r="BO194" s="115">
        <v>0</v>
      </c>
      <c r="BP194" s="115">
        <v>0.2</v>
      </c>
      <c r="BQ194" s="115">
        <v>0.59</v>
      </c>
      <c r="BR194" s="122" t="str">
        <f t="shared" si="23"/>
        <v/>
      </c>
      <c r="BW194" s="122" t="s">
        <v>297</v>
      </c>
      <c r="BX194" s="115">
        <v>1</v>
      </c>
      <c r="BY194" s="115">
        <v>0</v>
      </c>
      <c r="BZ194" s="115">
        <v>0.2</v>
      </c>
      <c r="CA194" s="115">
        <v>0.47</v>
      </c>
      <c r="CB194" s="122" t="str">
        <f t="shared" si="24"/>
        <v/>
      </c>
      <c r="DA194" s="122" t="s">
        <v>279</v>
      </c>
      <c r="DB194" s="122" t="s">
        <v>4457</v>
      </c>
      <c r="DC194" s="122" t="s">
        <v>4457</v>
      </c>
      <c r="DD194" s="127">
        <v>8</v>
      </c>
      <c r="DE194" s="127">
        <v>8</v>
      </c>
      <c r="DG194" s="405" t="s">
        <v>279</v>
      </c>
      <c r="DH194" s="406" t="s">
        <v>4457</v>
      </c>
      <c r="DI194" s="406" t="str">
        <f t="shared" si="25"/>
        <v>AP, Macapá</v>
      </c>
      <c r="DJ194" s="406">
        <v>3.9E-2</v>
      </c>
      <c r="DK194" s="80">
        <v>-51.066000000000003</v>
      </c>
      <c r="DL194" s="80">
        <v>16</v>
      </c>
      <c r="DM194" s="64">
        <v>8</v>
      </c>
      <c r="DN194" s="406" t="s">
        <v>6186</v>
      </c>
      <c r="DO194" s="406">
        <v>0.04</v>
      </c>
      <c r="DP194" s="80">
        <v>15</v>
      </c>
    </row>
    <row r="195" spans="29:120" x14ac:dyDescent="0.25">
      <c r="AC195" s="122" t="s">
        <v>333</v>
      </c>
      <c r="AD195" s="122" t="s">
        <v>600</v>
      </c>
      <c r="AE195" s="127">
        <v>3</v>
      </c>
      <c r="BC195" s="122" t="s">
        <v>297</v>
      </c>
      <c r="BD195" s="115">
        <v>1</v>
      </c>
      <c r="BE195" s="115">
        <v>0.2</v>
      </c>
      <c r="BF195" s="115">
        <v>0.3</v>
      </c>
      <c r="BG195" s="115">
        <v>0.13</v>
      </c>
      <c r="BH195" s="122" t="str">
        <f t="shared" ref="BH195:BH258" si="26">IF(BD195=$BK$1,IF(BC195=$BJ$1,IF(AND($BI$1&gt;BE195,$BI$1&lt;=BF195),BG195,""),""),"")</f>
        <v/>
      </c>
      <c r="BM195" s="122" t="s">
        <v>10669</v>
      </c>
      <c r="BN195" s="115">
        <v>2</v>
      </c>
      <c r="BO195" s="115">
        <v>0</v>
      </c>
      <c r="BP195" s="115">
        <v>0.2</v>
      </c>
      <c r="BQ195" s="115">
        <v>0.51</v>
      </c>
      <c r="BR195" s="122" t="str">
        <f t="shared" ref="BR195:BR258" si="27">IF(BN195=$BK$1,IF(BM195=$BJ$1,IF(AND($BI$1&gt;BO195,$BI$1&lt;=BP195),BQ195,""),""),"")</f>
        <v/>
      </c>
      <c r="BW195" s="122" t="s">
        <v>297</v>
      </c>
      <c r="BX195" s="115">
        <v>1</v>
      </c>
      <c r="BY195" s="115">
        <v>0.2</v>
      </c>
      <c r="BZ195" s="115">
        <v>0.3</v>
      </c>
      <c r="CA195" s="115">
        <v>0.47</v>
      </c>
      <c r="CB195" s="122" t="str">
        <f t="shared" ref="CB195:CB258" si="28">IF(BX195=$BK$1,IF(BW195=$BJ$1,IF(AND($BI$1&gt;BY195,$BI$1&lt;=BZ195),CA195,""),""),"")</f>
        <v/>
      </c>
      <c r="DA195" s="122" t="s">
        <v>279</v>
      </c>
      <c r="DB195" s="122" t="s">
        <v>4438</v>
      </c>
      <c r="DC195" s="122" t="s">
        <v>4438</v>
      </c>
      <c r="DD195" s="127">
        <v>8</v>
      </c>
      <c r="DE195" s="127">
        <v>8</v>
      </c>
      <c r="DG195" s="405" t="s">
        <v>279</v>
      </c>
      <c r="DH195" s="406" t="s">
        <v>4438</v>
      </c>
      <c r="DI195" s="406" t="str">
        <f t="shared" ref="DI195:DI258" si="29">CONCATENATE(DG195,", ",DH195)</f>
        <v>AP, Mazagão</v>
      </c>
      <c r="DJ195" s="406">
        <v>-0.115</v>
      </c>
      <c r="DK195" s="80">
        <v>-51.289000000000001</v>
      </c>
      <c r="DL195" s="80">
        <v>60</v>
      </c>
      <c r="DM195" s="64">
        <v>8</v>
      </c>
      <c r="DN195" s="406" t="s">
        <v>6186</v>
      </c>
      <c r="DO195" s="406">
        <v>0.04</v>
      </c>
      <c r="DP195" s="80">
        <v>15</v>
      </c>
    </row>
    <row r="196" spans="29:120" x14ac:dyDescent="0.25">
      <c r="AC196" s="122" t="s">
        <v>333</v>
      </c>
      <c r="AD196" s="122" t="s">
        <v>601</v>
      </c>
      <c r="AE196" s="127">
        <v>3</v>
      </c>
      <c r="BC196" s="122" t="s">
        <v>297</v>
      </c>
      <c r="BD196" s="115">
        <v>1</v>
      </c>
      <c r="BE196" s="115">
        <v>0.3</v>
      </c>
      <c r="BF196" s="115">
        <v>0.4</v>
      </c>
      <c r="BG196" s="115">
        <v>0.15</v>
      </c>
      <c r="BH196" s="122" t="str">
        <f t="shared" si="26"/>
        <v/>
      </c>
      <c r="BM196" s="122" t="s">
        <v>10669</v>
      </c>
      <c r="BN196" s="115">
        <v>3</v>
      </c>
      <c r="BO196" s="115">
        <v>0</v>
      </c>
      <c r="BP196" s="115">
        <v>0.2</v>
      </c>
      <c r="BQ196" s="115">
        <v>0.53</v>
      </c>
      <c r="BR196" s="122" t="str">
        <f t="shared" si="27"/>
        <v/>
      </c>
      <c r="BW196" s="122" t="s">
        <v>297</v>
      </c>
      <c r="BX196" s="115">
        <v>1</v>
      </c>
      <c r="BY196" s="115">
        <v>0.3</v>
      </c>
      <c r="BZ196" s="115">
        <v>0.4</v>
      </c>
      <c r="CA196" s="115">
        <v>0.48</v>
      </c>
      <c r="CB196" s="122" t="str">
        <f t="shared" si="28"/>
        <v/>
      </c>
      <c r="DA196" s="122" t="s">
        <v>279</v>
      </c>
      <c r="DB196" s="122" t="s">
        <v>4462</v>
      </c>
      <c r="DC196" s="122" t="s">
        <v>4462</v>
      </c>
      <c r="DD196" s="127">
        <v>8</v>
      </c>
      <c r="DE196" s="127">
        <v>8</v>
      </c>
      <c r="DG196" s="405" t="s">
        <v>279</v>
      </c>
      <c r="DH196" s="406" t="s">
        <v>4462</v>
      </c>
      <c r="DI196" s="406" t="str">
        <f t="shared" si="29"/>
        <v>AP, Oiapoque</v>
      </c>
      <c r="DJ196" s="406">
        <v>3.843</v>
      </c>
      <c r="DK196" s="80">
        <v>-51.835000000000001</v>
      </c>
      <c r="DL196" s="80">
        <v>10</v>
      </c>
      <c r="DM196" s="64">
        <v>8</v>
      </c>
      <c r="DN196" s="406" t="s">
        <v>6188</v>
      </c>
      <c r="DO196" s="406">
        <v>3.81</v>
      </c>
      <c r="DP196" s="80">
        <v>21</v>
      </c>
    </row>
    <row r="197" spans="29:120" x14ac:dyDescent="0.25">
      <c r="AC197" s="122" t="s">
        <v>333</v>
      </c>
      <c r="AD197" s="122" t="s">
        <v>602</v>
      </c>
      <c r="AE197" s="127">
        <v>3</v>
      </c>
      <c r="BC197" s="122" t="s">
        <v>297</v>
      </c>
      <c r="BD197" s="115">
        <v>1</v>
      </c>
      <c r="BE197" s="115">
        <v>0.4</v>
      </c>
      <c r="BF197" s="115">
        <v>100</v>
      </c>
      <c r="BG197" s="115">
        <v>0.18</v>
      </c>
      <c r="BH197" s="122" t="str">
        <f t="shared" si="26"/>
        <v/>
      </c>
      <c r="BM197" s="122" t="s">
        <v>10669</v>
      </c>
      <c r="BN197" s="115">
        <v>4</v>
      </c>
      <c r="BO197" s="115">
        <v>0</v>
      </c>
      <c r="BP197" s="115">
        <v>0.2</v>
      </c>
      <c r="BQ197" s="115">
        <v>0.57999999999999996</v>
      </c>
      <c r="BR197" s="122" t="str">
        <f t="shared" si="27"/>
        <v/>
      </c>
      <c r="BW197" s="122" t="s">
        <v>297</v>
      </c>
      <c r="BX197" s="115">
        <v>1</v>
      </c>
      <c r="BY197" s="115">
        <v>0.4</v>
      </c>
      <c r="BZ197" s="115">
        <v>100</v>
      </c>
      <c r="CA197" s="115">
        <v>0.48</v>
      </c>
      <c r="CB197" s="122" t="str">
        <f t="shared" si="28"/>
        <v/>
      </c>
      <c r="DA197" s="122" t="s">
        <v>279</v>
      </c>
      <c r="DB197" s="122" t="s">
        <v>6189</v>
      </c>
      <c r="DC197" s="122" t="s">
        <v>4671</v>
      </c>
      <c r="DD197" s="127">
        <v>8</v>
      </c>
      <c r="DE197" s="127">
        <v>8</v>
      </c>
      <c r="DG197" s="405" t="s">
        <v>279</v>
      </c>
      <c r="DH197" s="406" t="s">
        <v>4671</v>
      </c>
      <c r="DI197" s="406" t="str">
        <f t="shared" si="29"/>
        <v>AP, Pedra Branca do Amapari</v>
      </c>
      <c r="DJ197" s="406">
        <v>0.77800000000000002</v>
      </c>
      <c r="DK197" s="80">
        <v>-51.944000000000003</v>
      </c>
      <c r="DL197" s="80">
        <v>75</v>
      </c>
      <c r="DM197" s="64">
        <v>8</v>
      </c>
      <c r="DN197" s="406" t="s">
        <v>6185</v>
      </c>
      <c r="DO197" s="406">
        <v>0.7</v>
      </c>
      <c r="DP197" s="80">
        <v>77</v>
      </c>
    </row>
    <row r="198" spans="29:120" x14ac:dyDescent="0.25">
      <c r="AC198" s="122" t="s">
        <v>333</v>
      </c>
      <c r="AD198" s="122" t="s">
        <v>603</v>
      </c>
      <c r="AE198" s="127">
        <v>3</v>
      </c>
      <c r="BC198" s="122" t="s">
        <v>297</v>
      </c>
      <c r="BD198" s="115">
        <v>2</v>
      </c>
      <c r="BE198" s="115">
        <v>0</v>
      </c>
      <c r="BF198" s="115">
        <v>0.2</v>
      </c>
      <c r="BG198" s="115">
        <v>0.1</v>
      </c>
      <c r="BH198" s="122" t="str">
        <f t="shared" si="26"/>
        <v/>
      </c>
      <c r="BM198" s="122" t="s">
        <v>10669</v>
      </c>
      <c r="BN198" s="115">
        <v>5</v>
      </c>
      <c r="BO198" s="115">
        <v>0</v>
      </c>
      <c r="BP198" s="115">
        <v>0.2</v>
      </c>
      <c r="BQ198" s="115">
        <v>0.48</v>
      </c>
      <c r="BR198" s="122" t="str">
        <f t="shared" si="27"/>
        <v/>
      </c>
      <c r="BW198" s="122" t="s">
        <v>297</v>
      </c>
      <c r="BX198" s="115">
        <v>2</v>
      </c>
      <c r="BY198" s="115">
        <v>0</v>
      </c>
      <c r="BZ198" s="115">
        <v>0.2</v>
      </c>
      <c r="CA198" s="115">
        <v>0.43</v>
      </c>
      <c r="CB198" s="122" t="str">
        <f t="shared" si="28"/>
        <v/>
      </c>
      <c r="DA198" s="122" t="s">
        <v>279</v>
      </c>
      <c r="DB198" s="122" t="s">
        <v>6190</v>
      </c>
      <c r="DC198" s="122" t="s">
        <v>4458</v>
      </c>
      <c r="DD198" s="127">
        <v>8</v>
      </c>
      <c r="DE198" s="127">
        <v>8</v>
      </c>
      <c r="DG198" s="405" t="s">
        <v>279</v>
      </c>
      <c r="DH198" s="406" t="s">
        <v>4458</v>
      </c>
      <c r="DI198" s="406" t="str">
        <f t="shared" si="29"/>
        <v>AP, Porto Grande</v>
      </c>
      <c r="DJ198" s="406">
        <v>0.71299999999999997</v>
      </c>
      <c r="DK198" s="80">
        <v>-51.412999999999997</v>
      </c>
      <c r="DL198" s="80">
        <v>60</v>
      </c>
      <c r="DM198" s="64">
        <v>8</v>
      </c>
      <c r="DN198" s="406" t="s">
        <v>6185</v>
      </c>
      <c r="DO198" s="406">
        <v>0.7</v>
      </c>
      <c r="DP198" s="80">
        <v>77</v>
      </c>
    </row>
    <row r="199" spans="29:120" x14ac:dyDescent="0.25">
      <c r="AC199" s="122" t="s">
        <v>333</v>
      </c>
      <c r="AD199" s="122" t="s">
        <v>604</v>
      </c>
      <c r="AE199" s="127">
        <v>2</v>
      </c>
      <c r="BC199" s="122" t="s">
        <v>297</v>
      </c>
      <c r="BD199" s="115">
        <v>2</v>
      </c>
      <c r="BE199" s="115">
        <v>0.2</v>
      </c>
      <c r="BF199" s="115">
        <v>0.3</v>
      </c>
      <c r="BG199" s="115">
        <v>0.11</v>
      </c>
      <c r="BH199" s="122" t="str">
        <f t="shared" si="26"/>
        <v/>
      </c>
      <c r="BM199" s="122" t="s">
        <v>10669</v>
      </c>
      <c r="BN199" s="115">
        <v>6</v>
      </c>
      <c r="BO199" s="115">
        <v>0</v>
      </c>
      <c r="BP199" s="115">
        <v>0.2</v>
      </c>
      <c r="BQ199" s="115">
        <v>0.49</v>
      </c>
      <c r="BR199" s="122" t="str">
        <f t="shared" si="27"/>
        <v/>
      </c>
      <c r="BW199" s="122" t="s">
        <v>297</v>
      </c>
      <c r="BX199" s="115">
        <v>2</v>
      </c>
      <c r="BY199" s="115">
        <v>0.2</v>
      </c>
      <c r="BZ199" s="115">
        <v>0.3</v>
      </c>
      <c r="CA199" s="115">
        <v>0.43</v>
      </c>
      <c r="CB199" s="122" t="str">
        <f t="shared" si="28"/>
        <v/>
      </c>
      <c r="DA199" s="122" t="s">
        <v>279</v>
      </c>
      <c r="DB199" s="122" t="s">
        <v>4436</v>
      </c>
      <c r="DC199" s="122" t="s">
        <v>4436</v>
      </c>
      <c r="DD199" s="127">
        <v>8</v>
      </c>
      <c r="DE199" s="127">
        <v>8</v>
      </c>
      <c r="DG199" s="405" t="s">
        <v>279</v>
      </c>
      <c r="DH199" s="406" t="s">
        <v>4436</v>
      </c>
      <c r="DI199" s="406" t="str">
        <f t="shared" si="29"/>
        <v>AP, Pracuúba</v>
      </c>
      <c r="DJ199" s="406">
        <v>1.7430000000000001</v>
      </c>
      <c r="DK199" s="80">
        <v>-50.790999999999997</v>
      </c>
      <c r="DL199" s="80">
        <v>9</v>
      </c>
      <c r="DM199" s="64">
        <v>8</v>
      </c>
      <c r="DN199" s="406" t="s">
        <v>6183</v>
      </c>
      <c r="DO199" s="406">
        <v>1.5</v>
      </c>
      <c r="DP199" s="80">
        <v>21</v>
      </c>
    </row>
    <row r="200" spans="29:120" x14ac:dyDescent="0.25">
      <c r="AC200" s="122" t="s">
        <v>333</v>
      </c>
      <c r="AD200" s="122" t="s">
        <v>605</v>
      </c>
      <c r="AE200" s="127">
        <v>2</v>
      </c>
      <c r="BC200" s="122" t="s">
        <v>297</v>
      </c>
      <c r="BD200" s="115">
        <v>2</v>
      </c>
      <c r="BE200" s="115">
        <v>0.3</v>
      </c>
      <c r="BF200" s="115">
        <v>0.4</v>
      </c>
      <c r="BG200" s="115">
        <v>0.12</v>
      </c>
      <c r="BH200" s="122" t="str">
        <f t="shared" si="26"/>
        <v/>
      </c>
      <c r="BM200" s="122" t="s">
        <v>10669</v>
      </c>
      <c r="BN200" s="115">
        <v>7</v>
      </c>
      <c r="BO200" s="115">
        <v>0</v>
      </c>
      <c r="BP200" s="115">
        <v>0.2</v>
      </c>
      <c r="BQ200" s="115">
        <v>0.34</v>
      </c>
      <c r="BR200" s="122" t="str">
        <f t="shared" si="27"/>
        <v/>
      </c>
      <c r="BW200" s="122" t="s">
        <v>297</v>
      </c>
      <c r="BX200" s="115">
        <v>2</v>
      </c>
      <c r="BY200" s="115">
        <v>0.3</v>
      </c>
      <c r="BZ200" s="115">
        <v>0.4</v>
      </c>
      <c r="CA200" s="115">
        <v>0.44</v>
      </c>
      <c r="CB200" s="122" t="str">
        <f t="shared" si="28"/>
        <v/>
      </c>
      <c r="DA200" s="122" t="s">
        <v>279</v>
      </c>
      <c r="DB200" s="122" t="s">
        <v>4448</v>
      </c>
      <c r="DC200" s="122" t="s">
        <v>4448</v>
      </c>
      <c r="DD200" s="127">
        <v>8</v>
      </c>
      <c r="DE200" s="127">
        <v>8</v>
      </c>
      <c r="DG200" s="405" t="s">
        <v>279</v>
      </c>
      <c r="DH200" s="406" t="s">
        <v>4448</v>
      </c>
      <c r="DI200" s="406" t="str">
        <f t="shared" si="29"/>
        <v>AP, Santana</v>
      </c>
      <c r="DJ200" s="406">
        <v>-5.8000000000000003E-2</v>
      </c>
      <c r="DK200" s="80">
        <v>-51.182000000000002</v>
      </c>
      <c r="DL200" s="80">
        <v>15</v>
      </c>
      <c r="DM200" s="64">
        <v>8</v>
      </c>
      <c r="DN200" s="406" t="s">
        <v>6186</v>
      </c>
      <c r="DO200" s="406">
        <v>0.04</v>
      </c>
      <c r="DP200" s="80">
        <v>15</v>
      </c>
    </row>
    <row r="201" spans="29:120" x14ac:dyDescent="0.25">
      <c r="AC201" s="122" t="s">
        <v>333</v>
      </c>
      <c r="AD201" s="122" t="s">
        <v>606</v>
      </c>
      <c r="AE201" s="127">
        <v>4</v>
      </c>
      <c r="BC201" s="122" t="s">
        <v>297</v>
      </c>
      <c r="BD201" s="115">
        <v>2</v>
      </c>
      <c r="BE201" s="115">
        <v>0.4</v>
      </c>
      <c r="BF201" s="115">
        <v>100</v>
      </c>
      <c r="BG201" s="115">
        <v>0.14000000000000001</v>
      </c>
      <c r="BH201" s="122" t="str">
        <f t="shared" si="26"/>
        <v/>
      </c>
      <c r="BM201" s="122" t="s">
        <v>10669</v>
      </c>
      <c r="BN201" s="115">
        <v>8</v>
      </c>
      <c r="BO201" s="115">
        <v>0</v>
      </c>
      <c r="BP201" s="115">
        <v>0.2</v>
      </c>
      <c r="BQ201" s="115">
        <v>0.43</v>
      </c>
      <c r="BR201" s="122" t="str">
        <f t="shared" si="27"/>
        <v/>
      </c>
      <c r="BW201" s="122" t="s">
        <v>297</v>
      </c>
      <c r="BX201" s="115">
        <v>2</v>
      </c>
      <c r="BY201" s="115">
        <v>0.4</v>
      </c>
      <c r="BZ201" s="115">
        <v>100</v>
      </c>
      <c r="CA201" s="115">
        <v>0.44</v>
      </c>
      <c r="CB201" s="122" t="str">
        <f t="shared" si="28"/>
        <v/>
      </c>
      <c r="DA201" s="122" t="s">
        <v>279</v>
      </c>
      <c r="DB201" s="122" t="s">
        <v>6191</v>
      </c>
      <c r="DC201" s="122" t="s">
        <v>5212</v>
      </c>
      <c r="DD201" s="127">
        <v>8</v>
      </c>
      <c r="DE201" s="127">
        <v>8</v>
      </c>
      <c r="DG201" s="405" t="s">
        <v>279</v>
      </c>
      <c r="DH201" s="406" t="s">
        <v>5212</v>
      </c>
      <c r="DI201" s="406" t="str">
        <f t="shared" si="29"/>
        <v>AP, Serra do Navio</v>
      </c>
      <c r="DJ201" s="406">
        <v>0.89600000000000002</v>
      </c>
      <c r="DK201" s="80">
        <v>-52.002000000000002</v>
      </c>
      <c r="DL201" s="80">
        <v>143</v>
      </c>
      <c r="DM201" s="64">
        <v>8</v>
      </c>
      <c r="DN201" s="406" t="s">
        <v>6185</v>
      </c>
      <c r="DO201" s="406">
        <v>0.7</v>
      </c>
      <c r="DP201" s="80">
        <v>77</v>
      </c>
    </row>
    <row r="202" spans="29:120" x14ac:dyDescent="0.25">
      <c r="AC202" s="122" t="s">
        <v>333</v>
      </c>
      <c r="AD202" s="122" t="s">
        <v>607</v>
      </c>
      <c r="AE202" s="127">
        <v>2</v>
      </c>
      <c r="BC202" s="122" t="s">
        <v>297</v>
      </c>
      <c r="BD202" s="115">
        <v>3</v>
      </c>
      <c r="BE202" s="115">
        <v>0</v>
      </c>
      <c r="BF202" s="115">
        <v>0.2</v>
      </c>
      <c r="BG202" s="115">
        <v>0.08</v>
      </c>
      <c r="BH202" s="122" t="str">
        <f t="shared" si="26"/>
        <v/>
      </c>
      <c r="BM202" s="122" t="s">
        <v>10669</v>
      </c>
      <c r="BN202" s="115">
        <v>1</v>
      </c>
      <c r="BO202" s="115">
        <v>0.2</v>
      </c>
      <c r="BP202" s="115">
        <v>0.3</v>
      </c>
      <c r="BQ202" s="115">
        <v>0.59</v>
      </c>
      <c r="BR202" s="122" t="str">
        <f t="shared" si="27"/>
        <v/>
      </c>
      <c r="BW202" s="122" t="s">
        <v>297</v>
      </c>
      <c r="BX202" s="115">
        <v>3</v>
      </c>
      <c r="BY202" s="115">
        <v>0</v>
      </c>
      <c r="BZ202" s="115">
        <v>0.2</v>
      </c>
      <c r="CA202" s="115">
        <v>0.45</v>
      </c>
      <c r="CB202" s="122" t="str">
        <f t="shared" si="28"/>
        <v/>
      </c>
      <c r="DA202" s="122" t="s">
        <v>279</v>
      </c>
      <c r="DB202" s="122" t="s">
        <v>4461</v>
      </c>
      <c r="DC202" s="122" t="s">
        <v>4461</v>
      </c>
      <c r="DD202" s="127">
        <v>8</v>
      </c>
      <c r="DE202" s="127">
        <v>8</v>
      </c>
      <c r="DG202" s="405" t="s">
        <v>279</v>
      </c>
      <c r="DH202" s="406" t="s">
        <v>4461</v>
      </c>
      <c r="DI202" s="406" t="str">
        <f t="shared" si="29"/>
        <v>AP, Tartarugalzinho</v>
      </c>
      <c r="DJ202" s="406">
        <v>1.506</v>
      </c>
      <c r="DK202" s="80">
        <v>-50.911999999999999</v>
      </c>
      <c r="DL202" s="80">
        <v>13</v>
      </c>
      <c r="DM202" s="64">
        <v>8</v>
      </c>
      <c r="DN202" s="406" t="s">
        <v>6183</v>
      </c>
      <c r="DO202" s="406">
        <v>1.5</v>
      </c>
      <c r="DP202" s="80">
        <v>21</v>
      </c>
    </row>
    <row r="203" spans="29:120" x14ac:dyDescent="0.25">
      <c r="AC203" s="122" t="s">
        <v>333</v>
      </c>
      <c r="AD203" s="122" t="s">
        <v>608</v>
      </c>
      <c r="AE203" s="127">
        <v>3</v>
      </c>
      <c r="BC203" s="122" t="s">
        <v>297</v>
      </c>
      <c r="BD203" s="115">
        <v>3</v>
      </c>
      <c r="BE203" s="115">
        <v>0.2</v>
      </c>
      <c r="BF203" s="115">
        <v>0.3</v>
      </c>
      <c r="BG203" s="115">
        <v>0.08</v>
      </c>
      <c r="BH203" s="122" t="str">
        <f t="shared" si="26"/>
        <v/>
      </c>
      <c r="BM203" s="122" t="s">
        <v>10669</v>
      </c>
      <c r="BN203" s="115">
        <v>2</v>
      </c>
      <c r="BO203" s="115">
        <v>0.2</v>
      </c>
      <c r="BP203" s="115">
        <v>0.3</v>
      </c>
      <c r="BQ203" s="115">
        <v>0.51</v>
      </c>
      <c r="BR203" s="122" t="str">
        <f t="shared" si="27"/>
        <v/>
      </c>
      <c r="BW203" s="122" t="s">
        <v>297</v>
      </c>
      <c r="BX203" s="115">
        <v>3</v>
      </c>
      <c r="BY203" s="115">
        <v>0.2</v>
      </c>
      <c r="BZ203" s="115">
        <v>0.3</v>
      </c>
      <c r="CA203" s="115">
        <v>0.45</v>
      </c>
      <c r="CB203" s="122" t="str">
        <f t="shared" si="28"/>
        <v/>
      </c>
      <c r="DA203" s="122" t="s">
        <v>279</v>
      </c>
      <c r="DB203" s="122" t="s">
        <v>6192</v>
      </c>
      <c r="DC203" s="122" t="s">
        <v>4191</v>
      </c>
      <c r="DD203" s="127">
        <v>8</v>
      </c>
      <c r="DE203" s="127">
        <v>8</v>
      </c>
      <c r="DG203" s="405" t="s">
        <v>279</v>
      </c>
      <c r="DH203" s="406" t="s">
        <v>4191</v>
      </c>
      <c r="DI203" s="406" t="str">
        <f t="shared" si="29"/>
        <v>AP, Vitória do Jari</v>
      </c>
      <c r="DJ203" s="406">
        <v>-0.93799999999999994</v>
      </c>
      <c r="DK203" s="80">
        <v>-52.423999999999999</v>
      </c>
      <c r="DL203" s="80">
        <v>6</v>
      </c>
      <c r="DM203" s="64">
        <v>8</v>
      </c>
      <c r="DN203" s="406" t="s">
        <v>6186</v>
      </c>
      <c r="DO203" s="406">
        <v>0.04</v>
      </c>
      <c r="DP203" s="80">
        <v>15</v>
      </c>
    </row>
    <row r="204" spans="29:120" x14ac:dyDescent="0.25">
      <c r="AC204" s="122" t="s">
        <v>333</v>
      </c>
      <c r="AD204" s="122" t="s">
        <v>609</v>
      </c>
      <c r="AE204" s="127">
        <v>2</v>
      </c>
      <c r="BC204" s="122" t="s">
        <v>297</v>
      </c>
      <c r="BD204" s="115">
        <v>3</v>
      </c>
      <c r="BE204" s="115">
        <v>0.3</v>
      </c>
      <c r="BF204" s="115">
        <v>0.4</v>
      </c>
      <c r="BG204" s="115">
        <v>0.1</v>
      </c>
      <c r="BH204" s="122" t="str">
        <f t="shared" si="26"/>
        <v/>
      </c>
      <c r="BM204" s="122" t="s">
        <v>10669</v>
      </c>
      <c r="BN204" s="115">
        <v>3</v>
      </c>
      <c r="BO204" s="115">
        <v>0.2</v>
      </c>
      <c r="BP204" s="115">
        <v>0.3</v>
      </c>
      <c r="BQ204" s="115">
        <v>0.53</v>
      </c>
      <c r="BR204" s="122" t="str">
        <f t="shared" si="27"/>
        <v/>
      </c>
      <c r="BW204" s="122" t="s">
        <v>297</v>
      </c>
      <c r="BX204" s="115">
        <v>3</v>
      </c>
      <c r="BY204" s="115">
        <v>0.3</v>
      </c>
      <c r="BZ204" s="115">
        <v>0.4</v>
      </c>
      <c r="CA204" s="115">
        <v>0.45</v>
      </c>
      <c r="CB204" s="122" t="str">
        <f t="shared" si="28"/>
        <v/>
      </c>
      <c r="DA204" s="122" t="s">
        <v>289</v>
      </c>
      <c r="DB204" s="122" t="s">
        <v>568</v>
      </c>
      <c r="DC204" s="122" t="s">
        <v>568</v>
      </c>
      <c r="DD204" s="127">
        <v>5</v>
      </c>
      <c r="DE204" s="127">
        <v>5</v>
      </c>
      <c r="DG204" s="405" t="s">
        <v>289</v>
      </c>
      <c r="DH204" s="406" t="s">
        <v>568</v>
      </c>
      <c r="DI204" s="406" t="str">
        <f t="shared" si="29"/>
        <v>BA, Abaíra</v>
      </c>
      <c r="DJ204" s="406">
        <v>-13.25</v>
      </c>
      <c r="DK204" s="80">
        <v>-41.664000000000001</v>
      </c>
      <c r="DL204" s="80">
        <v>641</v>
      </c>
      <c r="DM204" s="64">
        <v>5</v>
      </c>
      <c r="DN204" s="406" t="s">
        <v>6193</v>
      </c>
      <c r="DO204" s="406">
        <v>-13.16</v>
      </c>
      <c r="DP204" s="80">
        <v>1290</v>
      </c>
    </row>
    <row r="205" spans="29:120" x14ac:dyDescent="0.25">
      <c r="AC205" s="122" t="s">
        <v>333</v>
      </c>
      <c r="AD205" s="122" t="s">
        <v>610</v>
      </c>
      <c r="AE205" s="127">
        <v>3</v>
      </c>
      <c r="BC205" s="122" t="s">
        <v>297</v>
      </c>
      <c r="BD205" s="115">
        <v>3</v>
      </c>
      <c r="BE205" s="115">
        <v>0.4</v>
      </c>
      <c r="BF205" s="115">
        <v>100</v>
      </c>
      <c r="BG205" s="115">
        <v>0.11</v>
      </c>
      <c r="BH205" s="122" t="str">
        <f t="shared" si="26"/>
        <v/>
      </c>
      <c r="BM205" s="122" t="s">
        <v>10669</v>
      </c>
      <c r="BN205" s="115">
        <v>4</v>
      </c>
      <c r="BO205" s="115">
        <v>0.2</v>
      </c>
      <c r="BP205" s="115">
        <v>0.3</v>
      </c>
      <c r="BQ205" s="115">
        <v>0.57999999999999996</v>
      </c>
      <c r="BR205" s="122" t="str">
        <f t="shared" si="27"/>
        <v/>
      </c>
      <c r="BW205" s="122" t="s">
        <v>297</v>
      </c>
      <c r="BX205" s="115">
        <v>3</v>
      </c>
      <c r="BY205" s="115">
        <v>0.4</v>
      </c>
      <c r="BZ205" s="115">
        <v>100</v>
      </c>
      <c r="CA205" s="115">
        <v>0.46</v>
      </c>
      <c r="CB205" s="122" t="str">
        <f t="shared" si="28"/>
        <v/>
      </c>
      <c r="DA205" s="122" t="s">
        <v>289</v>
      </c>
      <c r="DB205" s="122" t="s">
        <v>5374</v>
      </c>
      <c r="DC205" s="122" t="s">
        <v>5374</v>
      </c>
      <c r="DD205" s="127">
        <v>7</v>
      </c>
      <c r="DE205" s="127">
        <v>7</v>
      </c>
      <c r="DG205" s="405" t="s">
        <v>289</v>
      </c>
      <c r="DH205" s="406" t="s">
        <v>5374</v>
      </c>
      <c r="DI205" s="406" t="str">
        <f t="shared" si="29"/>
        <v>BA, Abaré</v>
      </c>
      <c r="DJ205" s="406">
        <v>-8.7210000000000001</v>
      </c>
      <c r="DK205" s="80">
        <v>-39.115000000000002</v>
      </c>
      <c r="DL205" s="80">
        <v>318</v>
      </c>
      <c r="DM205" s="64">
        <v>7</v>
      </c>
      <c r="DN205" s="406" t="s">
        <v>6194</v>
      </c>
      <c r="DO205" s="406">
        <v>-8.5</v>
      </c>
      <c r="DP205" s="80">
        <v>342</v>
      </c>
    </row>
    <row r="206" spans="29:120" x14ac:dyDescent="0.25">
      <c r="AC206" s="122" t="s">
        <v>333</v>
      </c>
      <c r="AD206" s="122" t="s">
        <v>611</v>
      </c>
      <c r="AE206" s="127">
        <v>3</v>
      </c>
      <c r="BC206" s="122" t="s">
        <v>297</v>
      </c>
      <c r="BD206" s="115">
        <v>4</v>
      </c>
      <c r="BE206" s="115">
        <v>0</v>
      </c>
      <c r="BF206" s="115">
        <v>0.2</v>
      </c>
      <c r="BG206" s="115">
        <v>0.11</v>
      </c>
      <c r="BH206" s="122" t="str">
        <f t="shared" si="26"/>
        <v/>
      </c>
      <c r="BM206" s="122" t="s">
        <v>10669</v>
      </c>
      <c r="BN206" s="115">
        <v>5</v>
      </c>
      <c r="BO206" s="115">
        <v>0.2</v>
      </c>
      <c r="BP206" s="115">
        <v>0.3</v>
      </c>
      <c r="BQ206" s="115">
        <v>0.48</v>
      </c>
      <c r="BR206" s="122" t="str">
        <f t="shared" si="27"/>
        <v/>
      </c>
      <c r="BW206" s="122" t="s">
        <v>297</v>
      </c>
      <c r="BX206" s="115">
        <v>4</v>
      </c>
      <c r="BY206" s="115">
        <v>0</v>
      </c>
      <c r="BZ206" s="115">
        <v>0.2</v>
      </c>
      <c r="CA206" s="115">
        <v>0.47</v>
      </c>
      <c r="CB206" s="122" t="str">
        <f t="shared" si="28"/>
        <v/>
      </c>
      <c r="DA206" s="122" t="s">
        <v>289</v>
      </c>
      <c r="DB206" s="122" t="s">
        <v>2005</v>
      </c>
      <c r="DC206" s="122" t="s">
        <v>2005</v>
      </c>
      <c r="DD206" s="127">
        <v>8</v>
      </c>
      <c r="DE206" s="127">
        <v>8</v>
      </c>
      <c r="DG206" s="405" t="s">
        <v>289</v>
      </c>
      <c r="DH206" s="406" t="s">
        <v>2005</v>
      </c>
      <c r="DI206" s="406" t="str">
        <f t="shared" si="29"/>
        <v>BA, Acajutiba</v>
      </c>
      <c r="DJ206" s="406">
        <v>-11.662000000000001</v>
      </c>
      <c r="DK206" s="80">
        <v>-38.017000000000003</v>
      </c>
      <c r="DL206" s="80">
        <v>162</v>
      </c>
      <c r="DM206" s="64">
        <v>8</v>
      </c>
      <c r="DN206" s="406" t="s">
        <v>6195</v>
      </c>
      <c r="DO206" s="406">
        <v>-11.81</v>
      </c>
      <c r="DP206" s="80">
        <v>14</v>
      </c>
    </row>
    <row r="207" spans="29:120" x14ac:dyDescent="0.25">
      <c r="AC207" s="122" t="s">
        <v>333</v>
      </c>
      <c r="AD207" s="122" t="s">
        <v>612</v>
      </c>
      <c r="AE207" s="127">
        <v>3</v>
      </c>
      <c r="BC207" s="122" t="s">
        <v>297</v>
      </c>
      <c r="BD207" s="115">
        <v>4</v>
      </c>
      <c r="BE207" s="115">
        <v>0.2</v>
      </c>
      <c r="BF207" s="115">
        <v>0.3</v>
      </c>
      <c r="BG207" s="115">
        <v>0.11</v>
      </c>
      <c r="BH207" s="122" t="str">
        <f t="shared" si="26"/>
        <v/>
      </c>
      <c r="BM207" s="122" t="s">
        <v>10669</v>
      </c>
      <c r="BN207" s="115">
        <v>6</v>
      </c>
      <c r="BO207" s="115">
        <v>0.2</v>
      </c>
      <c r="BP207" s="115">
        <v>0.3</v>
      </c>
      <c r="BQ207" s="115">
        <v>0.49</v>
      </c>
      <c r="BR207" s="122" t="str">
        <f t="shared" si="27"/>
        <v/>
      </c>
      <c r="BW207" s="122" t="s">
        <v>297</v>
      </c>
      <c r="BX207" s="115">
        <v>4</v>
      </c>
      <c r="BY207" s="115">
        <v>0.2</v>
      </c>
      <c r="BZ207" s="115">
        <v>0.3</v>
      </c>
      <c r="CA207" s="115">
        <v>0.47</v>
      </c>
      <c r="CB207" s="122" t="str">
        <f t="shared" si="28"/>
        <v/>
      </c>
      <c r="DA207" s="122" t="s">
        <v>289</v>
      </c>
      <c r="DB207" s="122" t="s">
        <v>3474</v>
      </c>
      <c r="DC207" s="122" t="s">
        <v>3474</v>
      </c>
      <c r="DD207" s="127">
        <v>8</v>
      </c>
      <c r="DE207" s="127">
        <v>8</v>
      </c>
      <c r="DG207" s="405" t="s">
        <v>289</v>
      </c>
      <c r="DH207" s="406" t="s">
        <v>3474</v>
      </c>
      <c r="DI207" s="406" t="str">
        <f t="shared" si="29"/>
        <v>BA, Adustina</v>
      </c>
      <c r="DJ207" s="406">
        <v>-10.532999999999999</v>
      </c>
      <c r="DK207" s="80">
        <v>-38.1</v>
      </c>
      <c r="DL207" s="80">
        <v>300</v>
      </c>
      <c r="DM207" s="64">
        <v>8</v>
      </c>
      <c r="DN207" s="406" t="s">
        <v>6196</v>
      </c>
      <c r="DO207" s="406">
        <v>-10.74</v>
      </c>
      <c r="DP207" s="80">
        <v>362</v>
      </c>
    </row>
    <row r="208" spans="29:120" x14ac:dyDescent="0.25">
      <c r="AC208" s="122" t="s">
        <v>333</v>
      </c>
      <c r="AD208" s="122" t="s">
        <v>613</v>
      </c>
      <c r="AE208" s="127">
        <v>2</v>
      </c>
      <c r="BC208" s="122" t="s">
        <v>297</v>
      </c>
      <c r="BD208" s="115">
        <v>4</v>
      </c>
      <c r="BE208" s="115">
        <v>0.3</v>
      </c>
      <c r="BF208" s="115">
        <v>0.4</v>
      </c>
      <c r="BG208" s="115">
        <v>0.14000000000000001</v>
      </c>
      <c r="BH208" s="122" t="str">
        <f t="shared" si="26"/>
        <v/>
      </c>
      <c r="BM208" s="122" t="s">
        <v>10669</v>
      </c>
      <c r="BN208" s="115">
        <v>7</v>
      </c>
      <c r="BO208" s="115">
        <v>0.2</v>
      </c>
      <c r="BP208" s="115">
        <v>0.3</v>
      </c>
      <c r="BQ208" s="115">
        <v>0.35</v>
      </c>
      <c r="BR208" s="122" t="str">
        <f t="shared" si="27"/>
        <v/>
      </c>
      <c r="BW208" s="122" t="s">
        <v>297</v>
      </c>
      <c r="BX208" s="115">
        <v>4</v>
      </c>
      <c r="BY208" s="115">
        <v>0.3</v>
      </c>
      <c r="BZ208" s="115">
        <v>0.4</v>
      </c>
      <c r="CA208" s="115">
        <v>0.47</v>
      </c>
      <c r="CB208" s="122" t="str">
        <f t="shared" si="28"/>
        <v/>
      </c>
      <c r="DA208" s="122" t="s">
        <v>289</v>
      </c>
      <c r="DB208" s="122" t="s">
        <v>6197</v>
      </c>
      <c r="DC208" s="122" t="s">
        <v>2041</v>
      </c>
      <c r="DD208" s="127">
        <v>8</v>
      </c>
      <c r="DE208" s="127">
        <v>8</v>
      </c>
      <c r="DG208" s="405" t="s">
        <v>289</v>
      </c>
      <c r="DH208" s="406" t="s">
        <v>2041</v>
      </c>
      <c r="DI208" s="406" t="str">
        <f t="shared" si="29"/>
        <v>BA, Água Fria</v>
      </c>
      <c r="DJ208" s="406">
        <v>-11.867000000000001</v>
      </c>
      <c r="DK208" s="80">
        <v>-38.767000000000003</v>
      </c>
      <c r="DL208" s="80">
        <v>312</v>
      </c>
      <c r="DM208" s="64">
        <v>8</v>
      </c>
      <c r="DN208" s="406" t="s">
        <v>6198</v>
      </c>
      <c r="DO208" s="406">
        <v>-11.66</v>
      </c>
      <c r="DP208" s="80">
        <v>339</v>
      </c>
    </row>
    <row r="209" spans="29:120" x14ac:dyDescent="0.25">
      <c r="AC209" s="122" t="s">
        <v>333</v>
      </c>
      <c r="AD209" s="122" t="s">
        <v>614</v>
      </c>
      <c r="AE209" s="127">
        <v>2</v>
      </c>
      <c r="BC209" s="122" t="s">
        <v>297</v>
      </c>
      <c r="BD209" s="115">
        <v>4</v>
      </c>
      <c r="BE209" s="115">
        <v>0.4</v>
      </c>
      <c r="BF209" s="115">
        <v>100</v>
      </c>
      <c r="BG209" s="115">
        <v>0.16</v>
      </c>
      <c r="BH209" s="122" t="str">
        <f t="shared" si="26"/>
        <v/>
      </c>
      <c r="BM209" s="122" t="s">
        <v>10669</v>
      </c>
      <c r="BN209" s="115">
        <v>8</v>
      </c>
      <c r="BO209" s="115">
        <v>0.2</v>
      </c>
      <c r="BP209" s="115">
        <v>0.3</v>
      </c>
      <c r="BQ209" s="115">
        <v>0.44</v>
      </c>
      <c r="BR209" s="122" t="str">
        <f t="shared" si="27"/>
        <v/>
      </c>
      <c r="BW209" s="122" t="s">
        <v>297</v>
      </c>
      <c r="BX209" s="115">
        <v>4</v>
      </c>
      <c r="BY209" s="115">
        <v>0.4</v>
      </c>
      <c r="BZ209" s="115">
        <v>100</v>
      </c>
      <c r="CA209" s="115">
        <v>0.48</v>
      </c>
      <c r="CB209" s="122" t="str">
        <f t="shared" si="28"/>
        <v/>
      </c>
      <c r="DA209" s="122" t="s">
        <v>289</v>
      </c>
      <c r="DB209" s="122" t="s">
        <v>2318</v>
      </c>
      <c r="DC209" s="122" t="s">
        <v>2318</v>
      </c>
      <c r="DD209" s="127">
        <v>8</v>
      </c>
      <c r="DE209" s="127">
        <v>8</v>
      </c>
      <c r="DG209" s="405" t="s">
        <v>289</v>
      </c>
      <c r="DH209" s="406" t="s">
        <v>2318</v>
      </c>
      <c r="DI209" s="406" t="str">
        <f t="shared" si="29"/>
        <v>BA, Aiquara</v>
      </c>
      <c r="DJ209" s="406">
        <v>-14.129</v>
      </c>
      <c r="DK209" s="80">
        <v>-39.887999999999998</v>
      </c>
      <c r="DL209" s="80">
        <v>198</v>
      </c>
      <c r="DM209" s="64">
        <v>8</v>
      </c>
      <c r="DN209" s="406" t="s">
        <v>6199</v>
      </c>
      <c r="DO209" s="406">
        <v>-14.14</v>
      </c>
      <c r="DP209" s="80">
        <v>135</v>
      </c>
    </row>
    <row r="210" spans="29:120" x14ac:dyDescent="0.25">
      <c r="AC210" s="122" t="s">
        <v>333</v>
      </c>
      <c r="AD210" s="122" t="s">
        <v>615</v>
      </c>
      <c r="AE210" s="127">
        <v>3</v>
      </c>
      <c r="BC210" s="122" t="s">
        <v>297</v>
      </c>
      <c r="BD210" s="115">
        <v>5</v>
      </c>
      <c r="BE210" s="115">
        <v>0</v>
      </c>
      <c r="BF210" s="115">
        <v>0.2</v>
      </c>
      <c r="BG210" s="115">
        <v>0.08</v>
      </c>
      <c r="BH210" s="122" t="str">
        <f t="shared" si="26"/>
        <v/>
      </c>
      <c r="BM210" s="122" t="s">
        <v>10669</v>
      </c>
      <c r="BN210" s="115">
        <v>1</v>
      </c>
      <c r="BO210" s="115">
        <v>0.3</v>
      </c>
      <c r="BP210" s="115">
        <v>0.4</v>
      </c>
      <c r="BQ210" s="115">
        <v>0.6</v>
      </c>
      <c r="BR210" s="122" t="str">
        <f t="shared" si="27"/>
        <v/>
      </c>
      <c r="BW210" s="122" t="s">
        <v>297</v>
      </c>
      <c r="BX210" s="115">
        <v>5</v>
      </c>
      <c r="BY210" s="115">
        <v>0</v>
      </c>
      <c r="BZ210" s="115">
        <v>0.2</v>
      </c>
      <c r="CA210" s="115">
        <v>0.42</v>
      </c>
      <c r="CB210" s="122" t="str">
        <f t="shared" si="28"/>
        <v/>
      </c>
      <c r="DA210" s="122" t="s">
        <v>289</v>
      </c>
      <c r="DB210" s="122" t="s">
        <v>4375</v>
      </c>
      <c r="DC210" s="122" t="s">
        <v>4375</v>
      </c>
      <c r="DD210" s="127">
        <v>8</v>
      </c>
      <c r="DE210" s="127">
        <v>8</v>
      </c>
      <c r="DG210" s="405" t="s">
        <v>289</v>
      </c>
      <c r="DH210" s="406" t="s">
        <v>4375</v>
      </c>
      <c r="DI210" s="406" t="str">
        <f t="shared" si="29"/>
        <v>BA, Alagoinhas</v>
      </c>
      <c r="DJ210" s="406">
        <v>-12.135999999999999</v>
      </c>
      <c r="DK210" s="80">
        <v>-38.418999999999997</v>
      </c>
      <c r="DL210" s="80">
        <v>132</v>
      </c>
      <c r="DM210" s="64">
        <v>8</v>
      </c>
      <c r="DN210" s="406" t="s">
        <v>6200</v>
      </c>
      <c r="DO210" s="406">
        <v>-12.27</v>
      </c>
      <c r="DP210" s="80">
        <v>231</v>
      </c>
    </row>
    <row r="211" spans="29:120" x14ac:dyDescent="0.25">
      <c r="AC211" s="122" t="s">
        <v>333</v>
      </c>
      <c r="AD211" s="122" t="s">
        <v>616</v>
      </c>
      <c r="AE211" s="127">
        <v>2</v>
      </c>
      <c r="BC211" s="122" t="s">
        <v>297</v>
      </c>
      <c r="BD211" s="115">
        <v>5</v>
      </c>
      <c r="BE211" s="115">
        <v>0.2</v>
      </c>
      <c r="BF211" s="115">
        <v>0.3</v>
      </c>
      <c r="BG211" s="115">
        <v>0.08</v>
      </c>
      <c r="BH211" s="122" t="str">
        <f t="shared" si="26"/>
        <v/>
      </c>
      <c r="BM211" s="122" t="s">
        <v>10669</v>
      </c>
      <c r="BN211" s="115">
        <v>2</v>
      </c>
      <c r="BO211" s="115">
        <v>0.3</v>
      </c>
      <c r="BP211" s="115">
        <v>0.4</v>
      </c>
      <c r="BQ211" s="115">
        <v>0.53</v>
      </c>
      <c r="BR211" s="122" t="str">
        <f t="shared" si="27"/>
        <v/>
      </c>
      <c r="BW211" s="122" t="s">
        <v>297</v>
      </c>
      <c r="BX211" s="115">
        <v>5</v>
      </c>
      <c r="BY211" s="115">
        <v>0.2</v>
      </c>
      <c r="BZ211" s="115">
        <v>0.3</v>
      </c>
      <c r="CA211" s="115">
        <v>0.42</v>
      </c>
      <c r="CB211" s="122" t="str">
        <f t="shared" si="28"/>
        <v/>
      </c>
      <c r="DA211" s="122" t="s">
        <v>289</v>
      </c>
      <c r="DB211" s="122" t="s">
        <v>1817</v>
      </c>
      <c r="DC211" s="122" t="s">
        <v>1817</v>
      </c>
      <c r="DD211" s="127">
        <v>8</v>
      </c>
      <c r="DE211" s="127">
        <v>8</v>
      </c>
      <c r="DG211" s="405" t="s">
        <v>289</v>
      </c>
      <c r="DH211" s="406" t="s">
        <v>1817</v>
      </c>
      <c r="DI211" s="406" t="str">
        <f t="shared" si="29"/>
        <v>BA, Alcobaça</v>
      </c>
      <c r="DJ211" s="406">
        <v>-17.518999999999998</v>
      </c>
      <c r="DK211" s="80">
        <v>-39.195999999999998</v>
      </c>
      <c r="DL211" s="80">
        <v>9</v>
      </c>
      <c r="DM211" s="64">
        <v>8</v>
      </c>
      <c r="DN211" s="406" t="s">
        <v>6201</v>
      </c>
      <c r="DO211" s="406">
        <v>-17.73</v>
      </c>
      <c r="DP211" s="80">
        <v>3</v>
      </c>
    </row>
    <row r="212" spans="29:120" x14ac:dyDescent="0.25">
      <c r="AC212" s="122" t="s">
        <v>333</v>
      </c>
      <c r="AD212" s="122" t="s">
        <v>617</v>
      </c>
      <c r="AE212" s="127">
        <v>2</v>
      </c>
      <c r="BC212" s="122" t="s">
        <v>297</v>
      </c>
      <c r="BD212" s="115">
        <v>5</v>
      </c>
      <c r="BE212" s="115">
        <v>0.3</v>
      </c>
      <c r="BF212" s="115">
        <v>0.4</v>
      </c>
      <c r="BG212" s="115">
        <v>0.1</v>
      </c>
      <c r="BH212" s="122" t="str">
        <f t="shared" si="26"/>
        <v/>
      </c>
      <c r="BM212" s="122" t="s">
        <v>10669</v>
      </c>
      <c r="BN212" s="115">
        <v>3</v>
      </c>
      <c r="BO212" s="115">
        <v>0.3</v>
      </c>
      <c r="BP212" s="115">
        <v>0.4</v>
      </c>
      <c r="BQ212" s="115">
        <v>0.55000000000000004</v>
      </c>
      <c r="BR212" s="122" t="str">
        <f t="shared" si="27"/>
        <v/>
      </c>
      <c r="BW212" s="122" t="s">
        <v>297</v>
      </c>
      <c r="BX212" s="115">
        <v>5</v>
      </c>
      <c r="BY212" s="115">
        <v>0.3</v>
      </c>
      <c r="BZ212" s="115">
        <v>0.4</v>
      </c>
      <c r="CA212" s="115">
        <v>0.43</v>
      </c>
      <c r="CB212" s="122" t="str">
        <f t="shared" si="28"/>
        <v/>
      </c>
      <c r="DA212" s="122" t="s">
        <v>289</v>
      </c>
      <c r="DB212" s="122" t="s">
        <v>2173</v>
      </c>
      <c r="DC212" s="122" t="s">
        <v>2173</v>
      </c>
      <c r="DD212" s="127">
        <v>8</v>
      </c>
      <c r="DE212" s="127">
        <v>8</v>
      </c>
      <c r="DG212" s="405" t="s">
        <v>289</v>
      </c>
      <c r="DH212" s="406" t="s">
        <v>2173</v>
      </c>
      <c r="DI212" s="406" t="str">
        <f t="shared" si="29"/>
        <v>BA, Almadina</v>
      </c>
      <c r="DJ212" s="406">
        <v>-14.705</v>
      </c>
      <c r="DK212" s="80">
        <v>-39.637</v>
      </c>
      <c r="DL212" s="80">
        <v>279</v>
      </c>
      <c r="DM212" s="64">
        <v>8</v>
      </c>
      <c r="DN212" s="406" t="s">
        <v>6199</v>
      </c>
      <c r="DO212" s="406">
        <v>-14.14</v>
      </c>
      <c r="DP212" s="80">
        <v>135</v>
      </c>
    </row>
    <row r="213" spans="29:120" x14ac:dyDescent="0.25">
      <c r="AC213" s="122" t="s">
        <v>333</v>
      </c>
      <c r="AD213" s="122" t="s">
        <v>618</v>
      </c>
      <c r="AE213" s="127">
        <v>2</v>
      </c>
      <c r="BC213" s="122" t="s">
        <v>297</v>
      </c>
      <c r="BD213" s="115">
        <v>5</v>
      </c>
      <c r="BE213" s="115">
        <v>0.4</v>
      </c>
      <c r="BF213" s="115">
        <v>100</v>
      </c>
      <c r="BG213" s="115">
        <v>0.12</v>
      </c>
      <c r="BH213" s="122" t="str">
        <f t="shared" si="26"/>
        <v/>
      </c>
      <c r="BM213" s="122" t="s">
        <v>10669</v>
      </c>
      <c r="BN213" s="115">
        <v>4</v>
      </c>
      <c r="BO213" s="115">
        <v>0.3</v>
      </c>
      <c r="BP213" s="115">
        <v>0.4</v>
      </c>
      <c r="BQ213" s="115">
        <v>0.6</v>
      </c>
      <c r="BR213" s="122" t="str">
        <f t="shared" si="27"/>
        <v/>
      </c>
      <c r="BW213" s="122" t="s">
        <v>297</v>
      </c>
      <c r="BX213" s="115">
        <v>5</v>
      </c>
      <c r="BY213" s="115">
        <v>0.4</v>
      </c>
      <c r="BZ213" s="115">
        <v>100</v>
      </c>
      <c r="CA213" s="115">
        <v>0.43</v>
      </c>
      <c r="CB213" s="122" t="str">
        <f t="shared" si="28"/>
        <v/>
      </c>
      <c r="DA213" s="122" t="s">
        <v>289</v>
      </c>
      <c r="DB213" s="122" t="s">
        <v>1946</v>
      </c>
      <c r="DC213" s="122" t="s">
        <v>1946</v>
      </c>
      <c r="DD213" s="127">
        <v>8</v>
      </c>
      <c r="DE213" s="127">
        <v>8</v>
      </c>
      <c r="DG213" s="405" t="s">
        <v>289</v>
      </c>
      <c r="DH213" s="406" t="s">
        <v>1946</v>
      </c>
      <c r="DI213" s="406" t="str">
        <f t="shared" si="29"/>
        <v>BA, Amargosa</v>
      </c>
      <c r="DJ213" s="406">
        <v>-13.03</v>
      </c>
      <c r="DK213" s="80">
        <v>-39.604999999999997</v>
      </c>
      <c r="DL213" s="80">
        <v>400</v>
      </c>
      <c r="DM213" s="64">
        <v>8</v>
      </c>
      <c r="DN213" s="406" t="s">
        <v>6202</v>
      </c>
      <c r="DO213" s="406">
        <v>-13.01</v>
      </c>
      <c r="DP213" s="80">
        <v>407</v>
      </c>
    </row>
    <row r="214" spans="29:120" x14ac:dyDescent="0.25">
      <c r="AC214" s="122" t="s">
        <v>333</v>
      </c>
      <c r="AD214" s="122" t="s">
        <v>619</v>
      </c>
      <c r="AE214" s="127">
        <v>3</v>
      </c>
      <c r="BC214" s="122" t="s">
        <v>297</v>
      </c>
      <c r="BD214" s="115">
        <v>6</v>
      </c>
      <c r="BE214" s="115">
        <v>0</v>
      </c>
      <c r="BF214" s="115">
        <v>0.2</v>
      </c>
      <c r="BG214" s="115">
        <v>0.11</v>
      </c>
      <c r="BH214" s="122" t="str">
        <f t="shared" si="26"/>
        <v/>
      </c>
      <c r="BM214" s="122" t="s">
        <v>10669</v>
      </c>
      <c r="BN214" s="115">
        <v>5</v>
      </c>
      <c r="BO214" s="115">
        <v>0.3</v>
      </c>
      <c r="BP214" s="115">
        <v>0.4</v>
      </c>
      <c r="BQ214" s="115">
        <v>0.49</v>
      </c>
      <c r="BR214" s="122" t="str">
        <f t="shared" si="27"/>
        <v/>
      </c>
      <c r="BW214" s="122" t="s">
        <v>297</v>
      </c>
      <c r="BX214" s="115">
        <v>6</v>
      </c>
      <c r="BY214" s="115">
        <v>0</v>
      </c>
      <c r="BZ214" s="115">
        <v>0.2</v>
      </c>
      <c r="CA214" s="115">
        <v>0.42</v>
      </c>
      <c r="CB214" s="122" t="str">
        <f t="shared" si="28"/>
        <v/>
      </c>
      <c r="DA214" s="122" t="s">
        <v>289</v>
      </c>
      <c r="DB214" s="122" t="s">
        <v>6203</v>
      </c>
      <c r="DC214" s="122" t="s">
        <v>2227</v>
      </c>
      <c r="DD214" s="127">
        <v>8</v>
      </c>
      <c r="DE214" s="127">
        <v>8</v>
      </c>
      <c r="DG214" s="405" t="s">
        <v>289</v>
      </c>
      <c r="DH214" s="406" t="s">
        <v>2227</v>
      </c>
      <c r="DI214" s="406" t="str">
        <f t="shared" si="29"/>
        <v>BA, Amélia Rodrigues</v>
      </c>
      <c r="DJ214" s="406">
        <v>-12.409000000000001</v>
      </c>
      <c r="DK214" s="80">
        <v>-38.759</v>
      </c>
      <c r="DL214" s="80">
        <v>217</v>
      </c>
      <c r="DM214" s="64">
        <v>8</v>
      </c>
      <c r="DN214" s="406" t="s">
        <v>6200</v>
      </c>
      <c r="DO214" s="406">
        <v>-12.27</v>
      </c>
      <c r="DP214" s="80">
        <v>231</v>
      </c>
    </row>
    <row r="215" spans="29:120" x14ac:dyDescent="0.25">
      <c r="AC215" s="122" t="s">
        <v>333</v>
      </c>
      <c r="AD215" s="122" t="s">
        <v>620</v>
      </c>
      <c r="AE215" s="127">
        <v>3</v>
      </c>
      <c r="BC215" s="122" t="s">
        <v>297</v>
      </c>
      <c r="BD215" s="115">
        <v>6</v>
      </c>
      <c r="BE215" s="115">
        <v>0.2</v>
      </c>
      <c r="BF215" s="115">
        <v>0.3</v>
      </c>
      <c r="BG215" s="115">
        <v>0.11</v>
      </c>
      <c r="BH215" s="122" t="str">
        <f t="shared" si="26"/>
        <v/>
      </c>
      <c r="BM215" s="122" t="s">
        <v>10669</v>
      </c>
      <c r="BN215" s="115">
        <v>6</v>
      </c>
      <c r="BO215" s="115">
        <v>0.3</v>
      </c>
      <c r="BP215" s="115">
        <v>0.4</v>
      </c>
      <c r="BQ215" s="115">
        <v>0.51</v>
      </c>
      <c r="BR215" s="122" t="str">
        <f t="shared" si="27"/>
        <v/>
      </c>
      <c r="BW215" s="122" t="s">
        <v>297</v>
      </c>
      <c r="BX215" s="115">
        <v>6</v>
      </c>
      <c r="BY215" s="115">
        <v>0.2</v>
      </c>
      <c r="BZ215" s="115">
        <v>0.3</v>
      </c>
      <c r="CA215" s="115">
        <v>0.42</v>
      </c>
      <c r="CB215" s="122" t="str">
        <f t="shared" si="28"/>
        <v/>
      </c>
      <c r="DA215" s="122" t="s">
        <v>289</v>
      </c>
      <c r="DB215" s="122" t="s">
        <v>6204</v>
      </c>
      <c r="DC215" s="122" t="s">
        <v>2051</v>
      </c>
      <c r="DD215" s="127">
        <v>5</v>
      </c>
      <c r="DE215" s="127">
        <v>5</v>
      </c>
      <c r="DG215" s="405" t="s">
        <v>289</v>
      </c>
      <c r="DH215" s="406" t="s">
        <v>2051</v>
      </c>
      <c r="DI215" s="406" t="str">
        <f t="shared" si="29"/>
        <v>BA, América Dourada</v>
      </c>
      <c r="DJ215" s="406">
        <v>-11.455</v>
      </c>
      <c r="DK215" s="80">
        <v>-41.436</v>
      </c>
      <c r="DL215" s="80">
        <v>666</v>
      </c>
      <c r="DM215" s="64">
        <v>5</v>
      </c>
      <c r="DN215" s="406" t="s">
        <v>6205</v>
      </c>
      <c r="DO215" s="406">
        <v>-11.33</v>
      </c>
      <c r="DP215" s="80">
        <v>755</v>
      </c>
    </row>
    <row r="216" spans="29:120" x14ac:dyDescent="0.25">
      <c r="AC216" s="122" t="s">
        <v>333</v>
      </c>
      <c r="AD216" s="122" t="s">
        <v>621</v>
      </c>
      <c r="AE216" s="127">
        <v>2</v>
      </c>
      <c r="BC216" s="122" t="s">
        <v>297</v>
      </c>
      <c r="BD216" s="115">
        <v>6</v>
      </c>
      <c r="BE216" s="115">
        <v>0.3</v>
      </c>
      <c r="BF216" s="115">
        <v>0.4</v>
      </c>
      <c r="BG216" s="115">
        <v>0.14000000000000001</v>
      </c>
      <c r="BH216" s="122" t="str">
        <f t="shared" si="26"/>
        <v/>
      </c>
      <c r="BM216" s="122" t="s">
        <v>10669</v>
      </c>
      <c r="BN216" s="115">
        <v>7</v>
      </c>
      <c r="BO216" s="115">
        <v>0.3</v>
      </c>
      <c r="BP216" s="115">
        <v>0.4</v>
      </c>
      <c r="BQ216" s="115">
        <v>0.37</v>
      </c>
      <c r="BR216" s="122" t="str">
        <f t="shared" si="27"/>
        <v/>
      </c>
      <c r="BW216" s="122" t="s">
        <v>297</v>
      </c>
      <c r="BX216" s="115">
        <v>6</v>
      </c>
      <c r="BY216" s="115">
        <v>0.3</v>
      </c>
      <c r="BZ216" s="115">
        <v>0.4</v>
      </c>
      <c r="CA216" s="115">
        <v>0.43</v>
      </c>
      <c r="CB216" s="122" t="str">
        <f t="shared" si="28"/>
        <v/>
      </c>
      <c r="DA216" s="122" t="s">
        <v>289</v>
      </c>
      <c r="DB216" s="122" t="s">
        <v>2470</v>
      </c>
      <c r="DC216" s="122" t="s">
        <v>2470</v>
      </c>
      <c r="DD216" s="127">
        <v>5</v>
      </c>
      <c r="DE216" s="127">
        <v>5</v>
      </c>
      <c r="DG216" s="405" t="s">
        <v>289</v>
      </c>
      <c r="DH216" s="406" t="s">
        <v>2470</v>
      </c>
      <c r="DI216" s="406" t="str">
        <f t="shared" si="29"/>
        <v>BA, Anagé</v>
      </c>
      <c r="DJ216" s="406">
        <v>-14.612</v>
      </c>
      <c r="DK216" s="80">
        <v>-41.136000000000003</v>
      </c>
      <c r="DL216" s="80">
        <v>384</v>
      </c>
      <c r="DM216" s="64">
        <v>5</v>
      </c>
      <c r="DN216" s="406" t="s">
        <v>6206</v>
      </c>
      <c r="DO216" s="406">
        <v>-14.87</v>
      </c>
      <c r="DP216" s="80">
        <v>870</v>
      </c>
    </row>
    <row r="217" spans="29:120" x14ac:dyDescent="0.25">
      <c r="AC217" s="122" t="s">
        <v>333</v>
      </c>
      <c r="AD217" s="122" t="s">
        <v>622</v>
      </c>
      <c r="AE217" s="127">
        <v>2</v>
      </c>
      <c r="BC217" s="122" t="s">
        <v>297</v>
      </c>
      <c r="BD217" s="115">
        <v>6</v>
      </c>
      <c r="BE217" s="115">
        <v>0.4</v>
      </c>
      <c r="BF217" s="115">
        <v>100</v>
      </c>
      <c r="BG217" s="115">
        <v>0.16</v>
      </c>
      <c r="BH217" s="122" t="str">
        <f t="shared" si="26"/>
        <v/>
      </c>
      <c r="BM217" s="122" t="s">
        <v>10669</v>
      </c>
      <c r="BN217" s="115">
        <v>8</v>
      </c>
      <c r="BO217" s="115">
        <v>0.3</v>
      </c>
      <c r="BP217" s="115">
        <v>0.4</v>
      </c>
      <c r="BQ217" s="115">
        <v>0.45</v>
      </c>
      <c r="BR217" s="122" t="str">
        <f t="shared" si="27"/>
        <v/>
      </c>
      <c r="BW217" s="122" t="s">
        <v>297</v>
      </c>
      <c r="BX217" s="115">
        <v>6</v>
      </c>
      <c r="BY217" s="115">
        <v>0.4</v>
      </c>
      <c r="BZ217" s="115">
        <v>100</v>
      </c>
      <c r="CA217" s="115">
        <v>0.44</v>
      </c>
      <c r="CB217" s="122" t="str">
        <f t="shared" si="28"/>
        <v/>
      </c>
      <c r="DA217" s="122" t="s">
        <v>289</v>
      </c>
      <c r="DB217" s="122" t="s">
        <v>2467</v>
      </c>
      <c r="DC217" s="122" t="s">
        <v>2467</v>
      </c>
      <c r="DD217" s="127">
        <v>8</v>
      </c>
      <c r="DE217" s="127">
        <v>8</v>
      </c>
      <c r="DG217" s="405" t="s">
        <v>289</v>
      </c>
      <c r="DH217" s="406" t="s">
        <v>2467</v>
      </c>
      <c r="DI217" s="406" t="str">
        <f t="shared" si="29"/>
        <v>BA, Andaraí</v>
      </c>
      <c r="DJ217" s="406">
        <v>-12.807</v>
      </c>
      <c r="DK217" s="80">
        <v>-41.331000000000003</v>
      </c>
      <c r="DL217" s="80">
        <v>405</v>
      </c>
      <c r="DM217" s="64">
        <v>8</v>
      </c>
      <c r="DN217" s="406" t="s">
        <v>6207</v>
      </c>
      <c r="DO217" s="406">
        <v>-12.56</v>
      </c>
      <c r="DP217" s="80">
        <v>439</v>
      </c>
    </row>
    <row r="218" spans="29:120" x14ac:dyDescent="0.25">
      <c r="AC218" s="122" t="s">
        <v>333</v>
      </c>
      <c r="AD218" s="122" t="s">
        <v>623</v>
      </c>
      <c r="AE218" s="127">
        <v>3</v>
      </c>
      <c r="BC218" s="122" t="s">
        <v>297</v>
      </c>
      <c r="BD218" s="115">
        <v>7</v>
      </c>
      <c r="BE218" s="115">
        <v>0</v>
      </c>
      <c r="BF218" s="115">
        <v>0.2</v>
      </c>
      <c r="BG218" s="115">
        <v>0.1</v>
      </c>
      <c r="BH218" s="122" t="str">
        <f t="shared" si="26"/>
        <v/>
      </c>
      <c r="BM218" s="122" t="s">
        <v>10669</v>
      </c>
      <c r="BN218" s="115">
        <v>1</v>
      </c>
      <c r="BO218" s="115">
        <v>0.4</v>
      </c>
      <c r="BP218" s="115">
        <v>100</v>
      </c>
      <c r="BQ218" s="115">
        <v>0.62</v>
      </c>
      <c r="BR218" s="122" t="str">
        <f t="shared" si="27"/>
        <v/>
      </c>
      <c r="BW218" s="122" t="s">
        <v>297</v>
      </c>
      <c r="BX218" s="115">
        <v>7</v>
      </c>
      <c r="BY218" s="115">
        <v>0</v>
      </c>
      <c r="BZ218" s="115">
        <v>0.2</v>
      </c>
      <c r="CA218" s="115">
        <v>0.34</v>
      </c>
      <c r="CB218" s="122" t="str">
        <f t="shared" si="28"/>
        <v/>
      </c>
      <c r="DA218" s="122" t="s">
        <v>289</v>
      </c>
      <c r="DB218" s="122" t="s">
        <v>5232</v>
      </c>
      <c r="DC218" s="122" t="s">
        <v>5232</v>
      </c>
      <c r="DD218" s="127">
        <v>6</v>
      </c>
      <c r="DE218" s="127">
        <v>6</v>
      </c>
      <c r="DG218" s="405" t="s">
        <v>289</v>
      </c>
      <c r="DH218" s="406" t="s">
        <v>5232</v>
      </c>
      <c r="DI218" s="406" t="str">
        <f t="shared" si="29"/>
        <v>BA, Andorinha</v>
      </c>
      <c r="DJ218" s="406">
        <v>-10.345000000000001</v>
      </c>
      <c r="DK218" s="80">
        <v>-39.832999999999998</v>
      </c>
      <c r="DL218" s="80">
        <v>428</v>
      </c>
      <c r="DM218" s="64">
        <v>6</v>
      </c>
      <c r="DN218" s="406" t="s">
        <v>6208</v>
      </c>
      <c r="DO218" s="406">
        <v>-10.44</v>
      </c>
      <c r="DP218" s="80">
        <v>548</v>
      </c>
    </row>
    <row r="219" spans="29:120" x14ac:dyDescent="0.25">
      <c r="AC219" s="122" t="s">
        <v>333</v>
      </c>
      <c r="AD219" s="122" t="s">
        <v>624</v>
      </c>
      <c r="AE219" s="127">
        <v>3</v>
      </c>
      <c r="BC219" s="122" t="s">
        <v>297</v>
      </c>
      <c r="BD219" s="115">
        <v>7</v>
      </c>
      <c r="BE219" s="115">
        <v>0.2</v>
      </c>
      <c r="BF219" s="115">
        <v>0.3</v>
      </c>
      <c r="BG219" s="115">
        <v>0.1</v>
      </c>
      <c r="BH219" s="122" t="str">
        <f t="shared" si="26"/>
        <v/>
      </c>
      <c r="BM219" s="122" t="s">
        <v>10669</v>
      </c>
      <c r="BN219" s="115">
        <v>2</v>
      </c>
      <c r="BO219" s="115">
        <v>0.4</v>
      </c>
      <c r="BP219" s="115">
        <v>100</v>
      </c>
      <c r="BQ219" s="115">
        <v>0.55000000000000004</v>
      </c>
      <c r="BR219" s="122" t="str">
        <f t="shared" si="27"/>
        <v/>
      </c>
      <c r="BW219" s="122" t="s">
        <v>297</v>
      </c>
      <c r="BX219" s="115">
        <v>7</v>
      </c>
      <c r="BY219" s="115">
        <v>0.2</v>
      </c>
      <c r="BZ219" s="115">
        <v>0.3</v>
      </c>
      <c r="CA219" s="115">
        <v>0.34</v>
      </c>
      <c r="CB219" s="122" t="str">
        <f t="shared" si="28"/>
        <v/>
      </c>
      <c r="DA219" s="122" t="s">
        <v>289</v>
      </c>
      <c r="DB219" s="122" t="s">
        <v>5584</v>
      </c>
      <c r="DC219" s="122" t="s">
        <v>5584</v>
      </c>
      <c r="DD219" s="127">
        <v>6</v>
      </c>
      <c r="DE219" s="127">
        <v>6</v>
      </c>
      <c r="DG219" s="405" t="s">
        <v>289</v>
      </c>
      <c r="DH219" s="406" t="s">
        <v>5584</v>
      </c>
      <c r="DI219" s="406" t="str">
        <f t="shared" si="29"/>
        <v>BA, Angical</v>
      </c>
      <c r="DJ219" s="406">
        <v>-12.007</v>
      </c>
      <c r="DK219" s="80">
        <v>-44.694000000000003</v>
      </c>
      <c r="DL219" s="80">
        <v>470</v>
      </c>
      <c r="DM219" s="64">
        <v>6</v>
      </c>
      <c r="DN219" s="406" t="s">
        <v>6209</v>
      </c>
      <c r="DO219" s="406">
        <v>-12.15</v>
      </c>
      <c r="DP219" s="80">
        <v>470</v>
      </c>
    </row>
    <row r="220" spans="29:120" x14ac:dyDescent="0.25">
      <c r="AC220" s="122" t="s">
        <v>333</v>
      </c>
      <c r="AD220" s="122" t="s">
        <v>625</v>
      </c>
      <c r="AE220" s="127">
        <v>2</v>
      </c>
      <c r="BC220" s="122" t="s">
        <v>297</v>
      </c>
      <c r="BD220" s="115">
        <v>7</v>
      </c>
      <c r="BE220" s="115">
        <v>0.3</v>
      </c>
      <c r="BF220" s="115">
        <v>0.4</v>
      </c>
      <c r="BG220" s="115">
        <v>0.12</v>
      </c>
      <c r="BH220" s="122" t="str">
        <f t="shared" si="26"/>
        <v/>
      </c>
      <c r="BM220" s="122" t="s">
        <v>10669</v>
      </c>
      <c r="BN220" s="115">
        <v>3</v>
      </c>
      <c r="BO220" s="115">
        <v>0.4</v>
      </c>
      <c r="BP220" s="115">
        <v>100</v>
      </c>
      <c r="BQ220" s="115">
        <v>0.56000000000000005</v>
      </c>
      <c r="BR220" s="122" t="str">
        <f t="shared" si="27"/>
        <v/>
      </c>
      <c r="BW220" s="122" t="s">
        <v>297</v>
      </c>
      <c r="BX220" s="115">
        <v>7</v>
      </c>
      <c r="BY220" s="115">
        <v>0.3</v>
      </c>
      <c r="BZ220" s="115">
        <v>0.4</v>
      </c>
      <c r="CA220" s="115">
        <v>0.35</v>
      </c>
      <c r="CB220" s="122" t="str">
        <f t="shared" si="28"/>
        <v/>
      </c>
      <c r="DA220" s="122" t="s">
        <v>289</v>
      </c>
      <c r="DB220" s="122" t="s">
        <v>3501</v>
      </c>
      <c r="DC220" s="122" t="s">
        <v>3501</v>
      </c>
      <c r="DD220" s="127">
        <v>8</v>
      </c>
      <c r="DE220" s="127">
        <v>8</v>
      </c>
      <c r="DG220" s="405" t="s">
        <v>289</v>
      </c>
      <c r="DH220" s="406" t="s">
        <v>3501</v>
      </c>
      <c r="DI220" s="406" t="str">
        <f t="shared" si="29"/>
        <v>BA, Anguera</v>
      </c>
      <c r="DJ220" s="406">
        <v>-12.151</v>
      </c>
      <c r="DK220" s="80">
        <v>-39.246000000000002</v>
      </c>
      <c r="DL220" s="80">
        <v>235</v>
      </c>
      <c r="DM220" s="64">
        <v>8</v>
      </c>
      <c r="DN220" s="406" t="s">
        <v>6200</v>
      </c>
      <c r="DO220" s="406">
        <v>-12.27</v>
      </c>
      <c r="DP220" s="80">
        <v>231</v>
      </c>
    </row>
    <row r="221" spans="29:120" x14ac:dyDescent="0.25">
      <c r="AC221" s="122" t="s">
        <v>333</v>
      </c>
      <c r="AD221" s="122" t="s">
        <v>626</v>
      </c>
      <c r="AE221" s="127">
        <v>2</v>
      </c>
      <c r="BC221" s="122" t="s">
        <v>297</v>
      </c>
      <c r="BD221" s="115">
        <v>7</v>
      </c>
      <c r="BE221" s="115">
        <v>0.4</v>
      </c>
      <c r="BF221" s="115">
        <v>100</v>
      </c>
      <c r="BG221" s="115">
        <v>0.14000000000000001</v>
      </c>
      <c r="BH221" s="122" t="str">
        <f t="shared" si="26"/>
        <v/>
      </c>
      <c r="BM221" s="122" t="s">
        <v>10669</v>
      </c>
      <c r="BN221" s="115">
        <v>4</v>
      </c>
      <c r="BO221" s="115">
        <v>0.4</v>
      </c>
      <c r="BP221" s="115">
        <v>100</v>
      </c>
      <c r="BQ221" s="115">
        <v>0.62</v>
      </c>
      <c r="BR221" s="122" t="str">
        <f t="shared" si="27"/>
        <v/>
      </c>
      <c r="BW221" s="122" t="s">
        <v>297</v>
      </c>
      <c r="BX221" s="115">
        <v>7</v>
      </c>
      <c r="BY221" s="115">
        <v>0.4</v>
      </c>
      <c r="BZ221" s="115">
        <v>100</v>
      </c>
      <c r="CA221" s="115">
        <v>0.36</v>
      </c>
      <c r="CB221" s="122" t="str">
        <f t="shared" si="28"/>
        <v/>
      </c>
      <c r="DA221" s="122" t="s">
        <v>289</v>
      </c>
      <c r="DB221" s="122" t="s">
        <v>3496</v>
      </c>
      <c r="DC221" s="122" t="s">
        <v>3496</v>
      </c>
      <c r="DD221" s="127">
        <v>8</v>
      </c>
      <c r="DE221" s="127">
        <v>8</v>
      </c>
      <c r="DG221" s="405" t="s">
        <v>289</v>
      </c>
      <c r="DH221" s="406" t="s">
        <v>3496</v>
      </c>
      <c r="DI221" s="406" t="str">
        <f t="shared" si="29"/>
        <v>BA, Antas</v>
      </c>
      <c r="DJ221" s="406">
        <v>-10.4</v>
      </c>
      <c r="DK221" s="80">
        <v>-38.332999999999998</v>
      </c>
      <c r="DL221" s="80">
        <v>510</v>
      </c>
      <c r="DM221" s="64">
        <v>8</v>
      </c>
      <c r="DN221" s="406" t="s">
        <v>6196</v>
      </c>
      <c r="DO221" s="406">
        <v>-10.74</v>
      </c>
      <c r="DP221" s="80">
        <v>362</v>
      </c>
    </row>
    <row r="222" spans="29:120" x14ac:dyDescent="0.25">
      <c r="AC222" s="122" t="s">
        <v>333</v>
      </c>
      <c r="AD222" s="122" t="s">
        <v>627</v>
      </c>
      <c r="AE222" s="127">
        <v>2</v>
      </c>
      <c r="BC222" s="122" t="s">
        <v>297</v>
      </c>
      <c r="BD222" s="115">
        <v>8</v>
      </c>
      <c r="BE222" s="115">
        <v>0</v>
      </c>
      <c r="BF222" s="115">
        <v>0.2</v>
      </c>
      <c r="BG222" s="115">
        <v>0.08</v>
      </c>
      <c r="BH222" s="122" t="str">
        <f t="shared" si="26"/>
        <v/>
      </c>
      <c r="BM222" s="122" t="s">
        <v>10669</v>
      </c>
      <c r="BN222" s="115">
        <v>5</v>
      </c>
      <c r="BO222" s="115">
        <v>0.4</v>
      </c>
      <c r="BP222" s="115">
        <v>100</v>
      </c>
      <c r="BQ222" s="115">
        <v>0.51</v>
      </c>
      <c r="BR222" s="122" t="str">
        <f t="shared" si="27"/>
        <v/>
      </c>
      <c r="BW222" s="122" t="s">
        <v>297</v>
      </c>
      <c r="BX222" s="115">
        <v>8</v>
      </c>
      <c r="BY222" s="115">
        <v>0</v>
      </c>
      <c r="BZ222" s="115">
        <v>0.2</v>
      </c>
      <c r="CA222" s="115">
        <v>0.4</v>
      </c>
      <c r="CB222" s="122" t="str">
        <f t="shared" si="28"/>
        <v/>
      </c>
      <c r="DA222" s="122" t="s">
        <v>289</v>
      </c>
      <c r="DB222" s="122" t="s">
        <v>6210</v>
      </c>
      <c r="DC222" s="122" t="s">
        <v>2297</v>
      </c>
      <c r="DD222" s="127">
        <v>8</v>
      </c>
      <c r="DE222" s="127">
        <v>8</v>
      </c>
      <c r="DG222" s="405" t="s">
        <v>289</v>
      </c>
      <c r="DH222" s="406" t="s">
        <v>2297</v>
      </c>
      <c r="DI222" s="406" t="str">
        <f t="shared" si="29"/>
        <v>BA, Antônio Cardoso</v>
      </c>
      <c r="DJ222" s="406">
        <v>-12.435</v>
      </c>
      <c r="DK222" s="80">
        <v>-39.119999999999997</v>
      </c>
      <c r="DL222" s="80">
        <v>191</v>
      </c>
      <c r="DM222" s="64">
        <v>8</v>
      </c>
      <c r="DN222" s="406" t="s">
        <v>6200</v>
      </c>
      <c r="DO222" s="406">
        <v>-12.27</v>
      </c>
      <c r="DP222" s="80">
        <v>231</v>
      </c>
    </row>
    <row r="223" spans="29:120" x14ac:dyDescent="0.25">
      <c r="AC223" s="122" t="s">
        <v>333</v>
      </c>
      <c r="AD223" s="122" t="s">
        <v>628</v>
      </c>
      <c r="AE223" s="127">
        <v>3</v>
      </c>
      <c r="BC223" s="122" t="s">
        <v>297</v>
      </c>
      <c r="BD223" s="115">
        <v>8</v>
      </c>
      <c r="BE223" s="115">
        <v>0.2</v>
      </c>
      <c r="BF223" s="115">
        <v>0.3</v>
      </c>
      <c r="BG223" s="115">
        <v>0.08</v>
      </c>
      <c r="BH223" s="122" t="str">
        <f t="shared" si="26"/>
        <v/>
      </c>
      <c r="BM223" s="122" t="s">
        <v>10669</v>
      </c>
      <c r="BN223" s="115">
        <v>6</v>
      </c>
      <c r="BO223" s="115">
        <v>0.4</v>
      </c>
      <c r="BP223" s="115">
        <v>100</v>
      </c>
      <c r="BQ223" s="115">
        <v>0.53</v>
      </c>
      <c r="BR223" s="122" t="str">
        <f t="shared" si="27"/>
        <v/>
      </c>
      <c r="BW223" s="122" t="s">
        <v>297</v>
      </c>
      <c r="BX223" s="115">
        <v>8</v>
      </c>
      <c r="BY223" s="115">
        <v>0.2</v>
      </c>
      <c r="BZ223" s="115">
        <v>0.3</v>
      </c>
      <c r="CA223" s="115">
        <v>0.4</v>
      </c>
      <c r="CB223" s="122" t="str">
        <f t="shared" si="28"/>
        <v/>
      </c>
      <c r="DA223" s="122" t="s">
        <v>289</v>
      </c>
      <c r="DB223" s="122" t="s">
        <v>6211</v>
      </c>
      <c r="DC223" s="122" t="s">
        <v>2359</v>
      </c>
      <c r="DD223" s="127">
        <v>7</v>
      </c>
      <c r="DE223" s="127">
        <v>7</v>
      </c>
      <c r="DG223" s="405" t="s">
        <v>289</v>
      </c>
      <c r="DH223" s="406" t="s">
        <v>2359</v>
      </c>
      <c r="DI223" s="406" t="str">
        <f t="shared" si="29"/>
        <v>BA, Antônio Gonçalves</v>
      </c>
      <c r="DJ223" s="406">
        <v>-10.573</v>
      </c>
      <c r="DK223" s="80">
        <v>-40.274000000000001</v>
      </c>
      <c r="DL223" s="80">
        <v>472</v>
      </c>
      <c r="DM223" s="64">
        <v>7</v>
      </c>
      <c r="DN223" s="406" t="s">
        <v>6208</v>
      </c>
      <c r="DO223" s="406">
        <v>-10.44</v>
      </c>
      <c r="DP223" s="80">
        <v>548</v>
      </c>
    </row>
    <row r="224" spans="29:120" x14ac:dyDescent="0.25">
      <c r="AC224" s="122" t="s">
        <v>333</v>
      </c>
      <c r="AD224" s="122" t="s">
        <v>629</v>
      </c>
      <c r="AE224" s="127">
        <v>2</v>
      </c>
      <c r="BC224" s="122" t="s">
        <v>297</v>
      </c>
      <c r="BD224" s="115">
        <v>8</v>
      </c>
      <c r="BE224" s="115">
        <v>0.3</v>
      </c>
      <c r="BF224" s="115">
        <v>0.4</v>
      </c>
      <c r="BG224" s="115">
        <v>0.1</v>
      </c>
      <c r="BH224" s="122" t="str">
        <f t="shared" si="26"/>
        <v/>
      </c>
      <c r="BM224" s="122" t="s">
        <v>10669</v>
      </c>
      <c r="BN224" s="115">
        <v>7</v>
      </c>
      <c r="BO224" s="115">
        <v>0.4</v>
      </c>
      <c r="BP224" s="115">
        <v>100</v>
      </c>
      <c r="BQ224" s="115">
        <v>0.39</v>
      </c>
      <c r="BR224" s="122" t="str">
        <f t="shared" si="27"/>
        <v/>
      </c>
      <c r="BW224" s="122" t="s">
        <v>297</v>
      </c>
      <c r="BX224" s="115">
        <v>8</v>
      </c>
      <c r="BY224" s="115">
        <v>0.3</v>
      </c>
      <c r="BZ224" s="115">
        <v>0.4</v>
      </c>
      <c r="CA224" s="115">
        <v>0.41</v>
      </c>
      <c r="CB224" s="122" t="str">
        <f t="shared" si="28"/>
        <v/>
      </c>
      <c r="DA224" s="122" t="s">
        <v>289</v>
      </c>
      <c r="DB224" s="122" t="s">
        <v>2027</v>
      </c>
      <c r="DC224" s="122" t="s">
        <v>2027</v>
      </c>
      <c r="DD224" s="127">
        <v>8</v>
      </c>
      <c r="DE224" s="127">
        <v>8</v>
      </c>
      <c r="DG224" s="405" t="s">
        <v>289</v>
      </c>
      <c r="DH224" s="406" t="s">
        <v>2027</v>
      </c>
      <c r="DI224" s="406" t="str">
        <f t="shared" si="29"/>
        <v>BA, Aporá</v>
      </c>
      <c r="DJ224" s="406">
        <v>-11.66</v>
      </c>
      <c r="DK224" s="80">
        <v>-38.081000000000003</v>
      </c>
      <c r="DL224" s="80">
        <v>186</v>
      </c>
      <c r="DM224" s="64">
        <v>8</v>
      </c>
      <c r="DN224" s="406" t="s">
        <v>6212</v>
      </c>
      <c r="DO224" s="406">
        <v>-11.27</v>
      </c>
      <c r="DP224" s="80">
        <v>208</v>
      </c>
    </row>
    <row r="225" spans="29:120" x14ac:dyDescent="0.25">
      <c r="AC225" s="122" t="s">
        <v>333</v>
      </c>
      <c r="AD225" s="122" t="s">
        <v>630</v>
      </c>
      <c r="AE225" s="127">
        <v>3</v>
      </c>
      <c r="BC225" s="122" t="s">
        <v>297</v>
      </c>
      <c r="BD225" s="115">
        <v>8</v>
      </c>
      <c r="BE225" s="115">
        <v>0.4</v>
      </c>
      <c r="BF225" s="115">
        <v>100</v>
      </c>
      <c r="BG225" s="115">
        <v>0.12</v>
      </c>
      <c r="BH225" s="122" t="str">
        <f t="shared" si="26"/>
        <v/>
      </c>
      <c r="BM225" s="122" t="s">
        <v>10669</v>
      </c>
      <c r="BN225" s="115">
        <v>8</v>
      </c>
      <c r="BO225" s="115">
        <v>0.4</v>
      </c>
      <c r="BP225" s="115">
        <v>100</v>
      </c>
      <c r="BQ225" s="115">
        <v>0.47</v>
      </c>
      <c r="BR225" s="122" t="str">
        <f t="shared" si="27"/>
        <v/>
      </c>
      <c r="BW225" s="122" t="s">
        <v>297</v>
      </c>
      <c r="BX225" s="115">
        <v>8</v>
      </c>
      <c r="BY225" s="115">
        <v>0.4</v>
      </c>
      <c r="BZ225" s="115">
        <v>100</v>
      </c>
      <c r="CA225" s="115">
        <v>0.42</v>
      </c>
      <c r="CB225" s="122" t="str">
        <f t="shared" si="28"/>
        <v/>
      </c>
      <c r="DA225" s="122" t="s">
        <v>289</v>
      </c>
      <c r="DB225" s="122" t="s">
        <v>2187</v>
      </c>
      <c r="DC225" s="122" t="s">
        <v>2187</v>
      </c>
      <c r="DD225" s="127">
        <v>8</v>
      </c>
      <c r="DE225" s="127">
        <v>8</v>
      </c>
      <c r="DG225" s="405" t="s">
        <v>289</v>
      </c>
      <c r="DH225" s="406" t="s">
        <v>2187</v>
      </c>
      <c r="DI225" s="406" t="str">
        <f t="shared" si="29"/>
        <v>BA, Apuarema</v>
      </c>
      <c r="DJ225" s="406">
        <v>-13.856</v>
      </c>
      <c r="DK225" s="80">
        <v>-39.744</v>
      </c>
      <c r="DL225" s="80">
        <v>278</v>
      </c>
      <c r="DM225" s="64">
        <v>8</v>
      </c>
      <c r="DN225" s="406" t="s">
        <v>6199</v>
      </c>
      <c r="DO225" s="406">
        <v>-14.14</v>
      </c>
      <c r="DP225" s="80">
        <v>135</v>
      </c>
    </row>
    <row r="226" spans="29:120" x14ac:dyDescent="0.25">
      <c r="AC226" s="122" t="s">
        <v>333</v>
      </c>
      <c r="AD226" s="122" t="s">
        <v>631</v>
      </c>
      <c r="AE226" s="127">
        <v>1</v>
      </c>
      <c r="BC226" s="122" t="s">
        <v>10678</v>
      </c>
      <c r="BD226" s="115">
        <v>1</v>
      </c>
      <c r="BE226" s="115">
        <v>0</v>
      </c>
      <c r="BF226" s="115">
        <v>0.2</v>
      </c>
      <c r="BG226" s="115">
        <v>0.23</v>
      </c>
      <c r="BH226" s="122" t="str">
        <f t="shared" si="26"/>
        <v/>
      </c>
      <c r="BM226" s="122" t="s">
        <v>10678</v>
      </c>
      <c r="BN226" s="115">
        <v>1</v>
      </c>
      <c r="BO226" s="115">
        <v>0</v>
      </c>
      <c r="BP226" s="115">
        <v>0.2</v>
      </c>
      <c r="BQ226" s="115">
        <v>0.59</v>
      </c>
      <c r="BR226" s="122" t="str">
        <f t="shared" si="27"/>
        <v/>
      </c>
      <c r="BW226" s="122" t="s">
        <v>10678</v>
      </c>
      <c r="BX226" s="115">
        <v>1</v>
      </c>
      <c r="BY226" s="115">
        <v>0</v>
      </c>
      <c r="BZ226" s="115">
        <v>0.2</v>
      </c>
      <c r="CA226" s="115">
        <v>0.43</v>
      </c>
      <c r="CB226" s="122" t="str">
        <f t="shared" si="28"/>
        <v/>
      </c>
      <c r="DA226" s="122" t="s">
        <v>289</v>
      </c>
      <c r="DB226" s="122" t="s">
        <v>1889</v>
      </c>
      <c r="DC226" s="122" t="s">
        <v>1889</v>
      </c>
      <c r="DD226" s="127">
        <v>8</v>
      </c>
      <c r="DE226" s="127">
        <v>8</v>
      </c>
      <c r="DG226" s="405" t="s">
        <v>289</v>
      </c>
      <c r="DH226" s="406" t="s">
        <v>5723</v>
      </c>
      <c r="DI226" s="406" t="str">
        <f t="shared" si="29"/>
        <v>BA, Araças</v>
      </c>
      <c r="DJ226" s="406">
        <v>-12.22</v>
      </c>
      <c r="DK226" s="80">
        <v>-38.203000000000003</v>
      </c>
      <c r="DL226" s="80">
        <v>145</v>
      </c>
      <c r="DM226" s="64">
        <v>8</v>
      </c>
      <c r="DN226" s="406" t="s">
        <v>6195</v>
      </c>
      <c r="DO226" s="406">
        <v>-11.81</v>
      </c>
      <c r="DP226" s="80">
        <v>14</v>
      </c>
    </row>
    <row r="227" spans="29:120" x14ac:dyDescent="0.25">
      <c r="AC227" s="122" t="s">
        <v>333</v>
      </c>
      <c r="AD227" s="122" t="s">
        <v>632</v>
      </c>
      <c r="AE227" s="127">
        <v>3</v>
      </c>
      <c r="BC227" s="122" t="s">
        <v>10678</v>
      </c>
      <c r="BD227" s="115">
        <v>1</v>
      </c>
      <c r="BE227" s="115">
        <v>0.2</v>
      </c>
      <c r="BF227" s="115">
        <v>0.3</v>
      </c>
      <c r="BG227" s="115">
        <v>0.23</v>
      </c>
      <c r="BH227" s="122" t="str">
        <f t="shared" si="26"/>
        <v/>
      </c>
      <c r="BM227" s="122" t="s">
        <v>10678</v>
      </c>
      <c r="BN227" s="115">
        <v>2</v>
      </c>
      <c r="BO227" s="115">
        <v>0</v>
      </c>
      <c r="BP227" s="115">
        <v>0.2</v>
      </c>
      <c r="BQ227" s="115">
        <v>0.54</v>
      </c>
      <c r="BR227" s="122" t="str">
        <f t="shared" si="27"/>
        <v/>
      </c>
      <c r="BW227" s="122" t="s">
        <v>10678</v>
      </c>
      <c r="BX227" s="115">
        <v>1</v>
      </c>
      <c r="BY227" s="115">
        <v>0.2</v>
      </c>
      <c r="BZ227" s="115">
        <v>0.3</v>
      </c>
      <c r="CA227" s="115">
        <v>0.43</v>
      </c>
      <c r="CB227" s="122" t="str">
        <f t="shared" si="28"/>
        <v/>
      </c>
      <c r="DA227" s="122" t="s">
        <v>289</v>
      </c>
      <c r="DB227" s="122" t="s">
        <v>2534</v>
      </c>
      <c r="DC227" s="122" t="s">
        <v>2534</v>
      </c>
      <c r="DD227" s="127">
        <v>5</v>
      </c>
      <c r="DE227" s="127">
        <v>5</v>
      </c>
      <c r="DG227" s="405" t="s">
        <v>289</v>
      </c>
      <c r="DH227" s="406" t="s">
        <v>2534</v>
      </c>
      <c r="DI227" s="406" t="str">
        <f t="shared" si="29"/>
        <v>BA, Aracatu</v>
      </c>
      <c r="DJ227" s="406">
        <v>-14.428000000000001</v>
      </c>
      <c r="DK227" s="80">
        <v>-41.462000000000003</v>
      </c>
      <c r="DL227" s="80">
        <v>740</v>
      </c>
      <c r="DM227" s="64">
        <v>5</v>
      </c>
      <c r="DN227" s="406" t="s">
        <v>6213</v>
      </c>
      <c r="DO227" s="406">
        <v>-14.18</v>
      </c>
      <c r="DP227" s="80">
        <v>470</v>
      </c>
    </row>
    <row r="228" spans="29:120" x14ac:dyDescent="0.25">
      <c r="AC228" s="122" t="s">
        <v>333</v>
      </c>
      <c r="AD228" s="122" t="s">
        <v>633</v>
      </c>
      <c r="AE228" s="127">
        <v>3</v>
      </c>
      <c r="BC228" s="122" t="s">
        <v>10678</v>
      </c>
      <c r="BD228" s="115">
        <v>1</v>
      </c>
      <c r="BE228" s="115">
        <v>0.3</v>
      </c>
      <c r="BF228" s="115">
        <v>0.4</v>
      </c>
      <c r="BG228" s="115">
        <v>0.27</v>
      </c>
      <c r="BH228" s="122" t="str">
        <f t="shared" si="26"/>
        <v/>
      </c>
      <c r="BM228" s="122" t="s">
        <v>10678</v>
      </c>
      <c r="BN228" s="115">
        <v>3</v>
      </c>
      <c r="BO228" s="115">
        <v>0</v>
      </c>
      <c r="BP228" s="115">
        <v>0.2</v>
      </c>
      <c r="BQ228" s="115">
        <v>0.55000000000000004</v>
      </c>
      <c r="BR228" s="122" t="str">
        <f t="shared" si="27"/>
        <v/>
      </c>
      <c r="BW228" s="122" t="s">
        <v>10678</v>
      </c>
      <c r="BX228" s="115">
        <v>1</v>
      </c>
      <c r="BY228" s="115">
        <v>0.3</v>
      </c>
      <c r="BZ228" s="115">
        <v>0.4</v>
      </c>
      <c r="CA228" s="115">
        <v>0.44</v>
      </c>
      <c r="CB228" s="122" t="str">
        <f t="shared" si="28"/>
        <v/>
      </c>
      <c r="DA228" s="122" t="s">
        <v>289</v>
      </c>
      <c r="DB228" s="122" t="s">
        <v>2231</v>
      </c>
      <c r="DC228" s="122" t="s">
        <v>2231</v>
      </c>
      <c r="DD228" s="127">
        <v>8</v>
      </c>
      <c r="DE228" s="127">
        <v>8</v>
      </c>
      <c r="DG228" s="405" t="s">
        <v>289</v>
      </c>
      <c r="DH228" s="406" t="s">
        <v>2231</v>
      </c>
      <c r="DI228" s="406" t="str">
        <f t="shared" si="29"/>
        <v>BA, Araci</v>
      </c>
      <c r="DJ228" s="406">
        <v>-11.333</v>
      </c>
      <c r="DK228" s="80">
        <v>-38.966999999999999</v>
      </c>
      <c r="DL228" s="80">
        <v>272</v>
      </c>
      <c r="DM228" s="64">
        <v>8</v>
      </c>
      <c r="DN228" s="406" t="s">
        <v>6198</v>
      </c>
      <c r="DO228" s="406">
        <v>-11.66</v>
      </c>
      <c r="DP228" s="80">
        <v>339</v>
      </c>
    </row>
    <row r="229" spans="29:120" x14ac:dyDescent="0.25">
      <c r="AC229" s="122" t="s">
        <v>333</v>
      </c>
      <c r="AD229" s="122" t="s">
        <v>634</v>
      </c>
      <c r="AE229" s="127">
        <v>3</v>
      </c>
      <c r="BC229" s="122" t="s">
        <v>10678</v>
      </c>
      <c r="BD229" s="115">
        <v>1</v>
      </c>
      <c r="BE229" s="115">
        <v>0.4</v>
      </c>
      <c r="BF229" s="115">
        <v>100</v>
      </c>
      <c r="BG229" s="115">
        <v>0.31</v>
      </c>
      <c r="BH229" s="122" t="str">
        <f t="shared" si="26"/>
        <v/>
      </c>
      <c r="BM229" s="122" t="s">
        <v>10678</v>
      </c>
      <c r="BN229" s="115">
        <v>4</v>
      </c>
      <c r="BO229" s="115">
        <v>0</v>
      </c>
      <c r="BP229" s="115">
        <v>0.2</v>
      </c>
      <c r="BQ229" s="115">
        <v>0.62</v>
      </c>
      <c r="BR229" s="122" t="str">
        <f t="shared" si="27"/>
        <v/>
      </c>
      <c r="BW229" s="122" t="s">
        <v>10678</v>
      </c>
      <c r="BX229" s="115">
        <v>1</v>
      </c>
      <c r="BY229" s="115">
        <v>0.4</v>
      </c>
      <c r="BZ229" s="115">
        <v>100</v>
      </c>
      <c r="CA229" s="115">
        <v>0.45</v>
      </c>
      <c r="CB229" s="122" t="str">
        <f t="shared" si="28"/>
        <v/>
      </c>
      <c r="DA229" s="122" t="s">
        <v>289</v>
      </c>
      <c r="DB229" s="122" t="s">
        <v>4277</v>
      </c>
      <c r="DC229" s="122" t="s">
        <v>4277</v>
      </c>
      <c r="DD229" s="127">
        <v>8</v>
      </c>
      <c r="DE229" s="127">
        <v>8</v>
      </c>
      <c r="DG229" s="405" t="s">
        <v>289</v>
      </c>
      <c r="DH229" s="406" t="s">
        <v>4277</v>
      </c>
      <c r="DI229" s="406" t="str">
        <f t="shared" si="29"/>
        <v>BA, Aramari</v>
      </c>
      <c r="DJ229" s="406">
        <v>-12.082000000000001</v>
      </c>
      <c r="DK229" s="80">
        <v>-38.499000000000002</v>
      </c>
      <c r="DL229" s="80">
        <v>394</v>
      </c>
      <c r="DM229" s="64">
        <v>8</v>
      </c>
      <c r="DN229" s="406" t="s">
        <v>6200</v>
      </c>
      <c r="DO229" s="406">
        <v>-12.27</v>
      </c>
      <c r="DP229" s="80">
        <v>231</v>
      </c>
    </row>
    <row r="230" spans="29:120" x14ac:dyDescent="0.25">
      <c r="AC230" s="122" t="s">
        <v>333</v>
      </c>
      <c r="AD230" s="122" t="s">
        <v>635</v>
      </c>
      <c r="AE230" s="127">
        <v>2</v>
      </c>
      <c r="BC230" s="122" t="s">
        <v>10678</v>
      </c>
      <c r="BD230" s="115">
        <v>2</v>
      </c>
      <c r="BE230" s="115">
        <v>0</v>
      </c>
      <c r="BF230" s="115">
        <v>0.2</v>
      </c>
      <c r="BG230" s="115">
        <v>0.25</v>
      </c>
      <c r="BH230" s="122" t="str">
        <f t="shared" si="26"/>
        <v/>
      </c>
      <c r="BM230" s="122" t="s">
        <v>10678</v>
      </c>
      <c r="BN230" s="115">
        <v>5</v>
      </c>
      <c r="BO230" s="115">
        <v>0</v>
      </c>
      <c r="BP230" s="115">
        <v>0.2</v>
      </c>
      <c r="BQ230" s="115">
        <v>0.51</v>
      </c>
      <c r="BR230" s="122" t="str">
        <f t="shared" si="27"/>
        <v/>
      </c>
      <c r="BW230" s="122" t="s">
        <v>10678</v>
      </c>
      <c r="BX230" s="115">
        <v>2</v>
      </c>
      <c r="BY230" s="115">
        <v>0</v>
      </c>
      <c r="BZ230" s="115">
        <v>0.2</v>
      </c>
      <c r="CA230" s="115">
        <v>0.42</v>
      </c>
      <c r="CB230" s="122" t="str">
        <f t="shared" si="28"/>
        <v/>
      </c>
      <c r="DA230" s="122" t="s">
        <v>289</v>
      </c>
      <c r="DB230" s="122" t="s">
        <v>1906</v>
      </c>
      <c r="DC230" s="122" t="s">
        <v>1906</v>
      </c>
      <c r="DD230" s="127">
        <v>8</v>
      </c>
      <c r="DE230" s="127">
        <v>8</v>
      </c>
      <c r="DG230" s="405" t="s">
        <v>289</v>
      </c>
      <c r="DH230" s="406" t="s">
        <v>1906</v>
      </c>
      <c r="DI230" s="406" t="str">
        <f t="shared" si="29"/>
        <v>BA, Arataca</v>
      </c>
      <c r="DJ230" s="406">
        <v>-15.263</v>
      </c>
      <c r="DK230" s="80">
        <v>-39.414000000000001</v>
      </c>
      <c r="DL230" s="80">
        <v>152</v>
      </c>
      <c r="DM230" s="64">
        <v>8</v>
      </c>
      <c r="DN230" s="406" t="s">
        <v>6214</v>
      </c>
      <c r="DO230" s="406">
        <v>-15.28</v>
      </c>
      <c r="DP230" s="80">
        <v>82</v>
      </c>
    </row>
    <row r="231" spans="29:120" x14ac:dyDescent="0.25">
      <c r="AC231" s="122" t="s">
        <v>333</v>
      </c>
      <c r="AD231" s="122" t="s">
        <v>636</v>
      </c>
      <c r="AE231" s="127">
        <v>2</v>
      </c>
      <c r="BC231" s="122" t="s">
        <v>10678</v>
      </c>
      <c r="BD231" s="115">
        <v>2</v>
      </c>
      <c r="BE231" s="115">
        <v>0.2</v>
      </c>
      <c r="BF231" s="115">
        <v>0.3</v>
      </c>
      <c r="BG231" s="115">
        <v>0.26</v>
      </c>
      <c r="BH231" s="122" t="str">
        <f t="shared" si="26"/>
        <v/>
      </c>
      <c r="BM231" s="122" t="s">
        <v>10678</v>
      </c>
      <c r="BN231" s="115">
        <v>6</v>
      </c>
      <c r="BO231" s="115">
        <v>0</v>
      </c>
      <c r="BP231" s="115">
        <v>0.2</v>
      </c>
      <c r="BQ231" s="115">
        <v>0.53</v>
      </c>
      <c r="BR231" s="122" t="str">
        <f t="shared" si="27"/>
        <v/>
      </c>
      <c r="BW231" s="122" t="s">
        <v>10678</v>
      </c>
      <c r="BX231" s="115">
        <v>2</v>
      </c>
      <c r="BY231" s="115">
        <v>0.2</v>
      </c>
      <c r="BZ231" s="115">
        <v>0.3</v>
      </c>
      <c r="CA231" s="115">
        <v>0.42</v>
      </c>
      <c r="CB231" s="122" t="str">
        <f t="shared" si="28"/>
        <v/>
      </c>
      <c r="DA231" s="122" t="s">
        <v>289</v>
      </c>
      <c r="DB231" s="122" t="s">
        <v>2049</v>
      </c>
      <c r="DC231" s="122" t="s">
        <v>2049</v>
      </c>
      <c r="DD231" s="127">
        <v>8</v>
      </c>
      <c r="DE231" s="127">
        <v>8</v>
      </c>
      <c r="DG231" s="405" t="s">
        <v>289</v>
      </c>
      <c r="DH231" s="406" t="s">
        <v>2049</v>
      </c>
      <c r="DI231" s="406" t="str">
        <f t="shared" si="29"/>
        <v>BA, Aratuípe</v>
      </c>
      <c r="DJ231" s="406">
        <v>-13.079000000000001</v>
      </c>
      <c r="DK231" s="80">
        <v>-39.002000000000002</v>
      </c>
      <c r="DL231" s="80">
        <v>36</v>
      </c>
      <c r="DM231" s="64">
        <v>8</v>
      </c>
      <c r="DN231" s="406" t="s">
        <v>6215</v>
      </c>
      <c r="DO231" s="406">
        <v>-13.37</v>
      </c>
      <c r="DP231" s="80">
        <v>39</v>
      </c>
    </row>
    <row r="232" spans="29:120" x14ac:dyDescent="0.25">
      <c r="AC232" s="122" t="s">
        <v>333</v>
      </c>
      <c r="AD232" s="122" t="s">
        <v>637</v>
      </c>
      <c r="AE232" s="127">
        <v>2</v>
      </c>
      <c r="BC232" s="122" t="s">
        <v>10678</v>
      </c>
      <c r="BD232" s="115">
        <v>2</v>
      </c>
      <c r="BE232" s="115">
        <v>0.3</v>
      </c>
      <c r="BF232" s="115">
        <v>0.4</v>
      </c>
      <c r="BG232" s="115">
        <v>0.3</v>
      </c>
      <c r="BH232" s="122" t="str">
        <f t="shared" si="26"/>
        <v/>
      </c>
      <c r="BM232" s="122" t="s">
        <v>10678</v>
      </c>
      <c r="BN232" s="115">
        <v>7</v>
      </c>
      <c r="BO232" s="115">
        <v>0</v>
      </c>
      <c r="BP232" s="115">
        <v>0.2</v>
      </c>
      <c r="BQ232" s="115">
        <v>0.39</v>
      </c>
      <c r="BR232" s="122" t="str">
        <f t="shared" si="27"/>
        <v/>
      </c>
      <c r="BW232" s="122" t="s">
        <v>10678</v>
      </c>
      <c r="BX232" s="115">
        <v>2</v>
      </c>
      <c r="BY232" s="115">
        <v>0.3</v>
      </c>
      <c r="BZ232" s="115">
        <v>0.4</v>
      </c>
      <c r="CA232" s="115">
        <v>0.43</v>
      </c>
      <c r="CB232" s="122" t="str">
        <f t="shared" si="28"/>
        <v/>
      </c>
      <c r="DA232" s="122" t="s">
        <v>289</v>
      </c>
      <c r="DB232" s="122" t="s">
        <v>6216</v>
      </c>
      <c r="DC232" s="122" t="s">
        <v>2132</v>
      </c>
      <c r="DD232" s="127">
        <v>8</v>
      </c>
      <c r="DE232" s="127">
        <v>8</v>
      </c>
      <c r="DG232" s="405" t="s">
        <v>289</v>
      </c>
      <c r="DH232" s="406" t="s">
        <v>2132</v>
      </c>
      <c r="DI232" s="406" t="str">
        <f t="shared" si="29"/>
        <v>BA, Aurelino Leal</v>
      </c>
      <c r="DJ232" s="406">
        <v>-14.317</v>
      </c>
      <c r="DK232" s="80">
        <v>-39.326999999999998</v>
      </c>
      <c r="DL232" s="80">
        <v>52</v>
      </c>
      <c r="DM232" s="64">
        <v>8</v>
      </c>
      <c r="DN232" s="406" t="s">
        <v>6199</v>
      </c>
      <c r="DO232" s="406">
        <v>-14.14</v>
      </c>
      <c r="DP232" s="80">
        <v>135</v>
      </c>
    </row>
    <row r="233" spans="29:120" x14ac:dyDescent="0.25">
      <c r="AC233" s="122" t="s">
        <v>333</v>
      </c>
      <c r="AD233" s="122" t="s">
        <v>638</v>
      </c>
      <c r="AE233" s="127">
        <v>3</v>
      </c>
      <c r="BC233" s="122" t="s">
        <v>10678</v>
      </c>
      <c r="BD233" s="115">
        <v>2</v>
      </c>
      <c r="BE233" s="115">
        <v>0.4</v>
      </c>
      <c r="BF233" s="115">
        <v>100</v>
      </c>
      <c r="BG233" s="115">
        <v>0.34</v>
      </c>
      <c r="BH233" s="122" t="str">
        <f t="shared" si="26"/>
        <v/>
      </c>
      <c r="BM233" s="122" t="s">
        <v>10678</v>
      </c>
      <c r="BN233" s="115">
        <v>8</v>
      </c>
      <c r="BO233" s="115">
        <v>0</v>
      </c>
      <c r="BP233" s="115">
        <v>0.2</v>
      </c>
      <c r="BQ233" s="115">
        <v>0.46</v>
      </c>
      <c r="BR233" s="122" t="str">
        <f t="shared" si="27"/>
        <v/>
      </c>
      <c r="BW233" s="122" t="s">
        <v>10678</v>
      </c>
      <c r="BX233" s="115">
        <v>2</v>
      </c>
      <c r="BY233" s="115">
        <v>0.4</v>
      </c>
      <c r="BZ233" s="115">
        <v>100</v>
      </c>
      <c r="CA233" s="115">
        <v>0.45</v>
      </c>
      <c r="CB233" s="122" t="str">
        <f t="shared" si="28"/>
        <v/>
      </c>
      <c r="DA233" s="122" t="s">
        <v>289</v>
      </c>
      <c r="DB233" s="122" t="s">
        <v>4732</v>
      </c>
      <c r="DC233" s="122" t="s">
        <v>4732</v>
      </c>
      <c r="DD233" s="127">
        <v>6</v>
      </c>
      <c r="DE233" s="127">
        <v>6</v>
      </c>
      <c r="DG233" s="405" t="s">
        <v>289</v>
      </c>
      <c r="DH233" s="406" t="s">
        <v>4732</v>
      </c>
      <c r="DI233" s="406" t="str">
        <f t="shared" si="29"/>
        <v>BA, Baianópolis</v>
      </c>
      <c r="DJ233" s="406">
        <v>-12.305999999999999</v>
      </c>
      <c r="DK233" s="80">
        <v>-44.534999999999997</v>
      </c>
      <c r="DL233" s="80">
        <v>667</v>
      </c>
      <c r="DM233" s="64">
        <v>6</v>
      </c>
      <c r="DN233" s="406" t="s">
        <v>6209</v>
      </c>
      <c r="DO233" s="406">
        <v>-12.15</v>
      </c>
      <c r="DP233" s="80">
        <v>470</v>
      </c>
    </row>
    <row r="234" spans="29:120" x14ac:dyDescent="0.25">
      <c r="AC234" s="122" t="s">
        <v>333</v>
      </c>
      <c r="AD234" s="122" t="s">
        <v>639</v>
      </c>
      <c r="AE234" s="127">
        <v>3</v>
      </c>
      <c r="BC234" s="122" t="s">
        <v>10678</v>
      </c>
      <c r="BD234" s="115">
        <v>3</v>
      </c>
      <c r="BE234" s="115">
        <v>0</v>
      </c>
      <c r="BF234" s="115">
        <v>0.2</v>
      </c>
      <c r="BG234" s="115">
        <v>0.22</v>
      </c>
      <c r="BH234" s="122" t="str">
        <f t="shared" si="26"/>
        <v/>
      </c>
      <c r="BM234" s="122" t="s">
        <v>10678</v>
      </c>
      <c r="BN234" s="115">
        <v>1</v>
      </c>
      <c r="BO234" s="115">
        <v>0.2</v>
      </c>
      <c r="BP234" s="115">
        <v>0.3</v>
      </c>
      <c r="BQ234" s="115">
        <v>0.59</v>
      </c>
      <c r="BR234" s="122" t="str">
        <f t="shared" si="27"/>
        <v/>
      </c>
      <c r="BW234" s="122" t="s">
        <v>10678</v>
      </c>
      <c r="BX234" s="115">
        <v>3</v>
      </c>
      <c r="BY234" s="115">
        <v>0</v>
      </c>
      <c r="BZ234" s="115">
        <v>0.2</v>
      </c>
      <c r="CA234" s="115">
        <v>0.43</v>
      </c>
      <c r="CB234" s="122" t="str">
        <f t="shared" si="28"/>
        <v/>
      </c>
      <c r="DA234" s="122" t="s">
        <v>289</v>
      </c>
      <c r="DB234" s="122" t="s">
        <v>6217</v>
      </c>
      <c r="DC234" s="122" t="s">
        <v>2195</v>
      </c>
      <c r="DD234" s="127">
        <v>8</v>
      </c>
      <c r="DE234" s="127">
        <v>8</v>
      </c>
      <c r="DG234" s="405" t="s">
        <v>289</v>
      </c>
      <c r="DH234" s="406" t="s">
        <v>2195</v>
      </c>
      <c r="DI234" s="406" t="str">
        <f t="shared" si="29"/>
        <v>BA, Baixa Grande</v>
      </c>
      <c r="DJ234" s="406">
        <v>-11.96</v>
      </c>
      <c r="DK234" s="80">
        <v>-40.167999999999999</v>
      </c>
      <c r="DL234" s="80">
        <v>369</v>
      </c>
      <c r="DM234" s="64">
        <v>8</v>
      </c>
      <c r="DN234" s="406" t="s">
        <v>6218</v>
      </c>
      <c r="DO234" s="406">
        <v>-12.14</v>
      </c>
      <c r="DP234" s="80">
        <v>380</v>
      </c>
    </row>
    <row r="235" spans="29:120" x14ac:dyDescent="0.25">
      <c r="AC235" s="122" t="s">
        <v>333</v>
      </c>
      <c r="AD235" s="122" t="s">
        <v>640</v>
      </c>
      <c r="AE235" s="127">
        <v>2</v>
      </c>
      <c r="BC235" s="122" t="s">
        <v>10678</v>
      </c>
      <c r="BD235" s="115">
        <v>3</v>
      </c>
      <c r="BE235" s="115">
        <v>0.2</v>
      </c>
      <c r="BF235" s="115">
        <v>0.3</v>
      </c>
      <c r="BG235" s="115">
        <v>0.22</v>
      </c>
      <c r="BH235" s="122" t="str">
        <f t="shared" si="26"/>
        <v/>
      </c>
      <c r="BM235" s="122" t="s">
        <v>10678</v>
      </c>
      <c r="BN235" s="115">
        <v>2</v>
      </c>
      <c r="BO235" s="115">
        <v>0.2</v>
      </c>
      <c r="BP235" s="115">
        <v>0.3</v>
      </c>
      <c r="BQ235" s="115">
        <v>0.54</v>
      </c>
      <c r="BR235" s="122" t="str">
        <f t="shared" si="27"/>
        <v/>
      </c>
      <c r="BW235" s="122" t="s">
        <v>10678</v>
      </c>
      <c r="BX235" s="115">
        <v>3</v>
      </c>
      <c r="BY235" s="115">
        <v>0.2</v>
      </c>
      <c r="BZ235" s="115">
        <v>0.3</v>
      </c>
      <c r="CA235" s="115">
        <v>0.43</v>
      </c>
      <c r="CB235" s="122" t="str">
        <f t="shared" si="28"/>
        <v/>
      </c>
      <c r="DA235" s="122" t="s">
        <v>289</v>
      </c>
      <c r="DB235" s="122" t="s">
        <v>3531</v>
      </c>
      <c r="DC235" s="122" t="s">
        <v>3531</v>
      </c>
      <c r="DD235" s="127">
        <v>8</v>
      </c>
      <c r="DE235" s="127">
        <v>8</v>
      </c>
      <c r="DG235" s="405" t="s">
        <v>289</v>
      </c>
      <c r="DH235" s="406" t="s">
        <v>3531</v>
      </c>
      <c r="DI235" s="406" t="str">
        <f t="shared" si="29"/>
        <v>BA, Banzaê</v>
      </c>
      <c r="DJ235" s="406">
        <v>-10.577</v>
      </c>
      <c r="DK235" s="80">
        <v>-38.615000000000002</v>
      </c>
      <c r="DL235" s="80">
        <v>340</v>
      </c>
      <c r="DM235" s="64">
        <v>8</v>
      </c>
      <c r="DN235" s="406" t="s">
        <v>6219</v>
      </c>
      <c r="DO235" s="406">
        <v>-10.54</v>
      </c>
      <c r="DP235" s="80">
        <v>432</v>
      </c>
    </row>
    <row r="236" spans="29:120" x14ac:dyDescent="0.25">
      <c r="AC236" s="122" t="s">
        <v>333</v>
      </c>
      <c r="AD236" s="122" t="s">
        <v>641</v>
      </c>
      <c r="AE236" s="127">
        <v>2</v>
      </c>
      <c r="BC236" s="122" t="s">
        <v>10678</v>
      </c>
      <c r="BD236" s="115">
        <v>3</v>
      </c>
      <c r="BE236" s="115">
        <v>0.3</v>
      </c>
      <c r="BF236" s="115">
        <v>0.4</v>
      </c>
      <c r="BG236" s="115">
        <v>0.25</v>
      </c>
      <c r="BH236" s="122" t="str">
        <f t="shared" si="26"/>
        <v/>
      </c>
      <c r="BM236" s="122" t="s">
        <v>10678</v>
      </c>
      <c r="BN236" s="115">
        <v>3</v>
      </c>
      <c r="BO236" s="115">
        <v>0.2</v>
      </c>
      <c r="BP236" s="115">
        <v>0.3</v>
      </c>
      <c r="BQ236" s="115">
        <v>0.56000000000000005</v>
      </c>
      <c r="BR236" s="122" t="str">
        <f t="shared" si="27"/>
        <v/>
      </c>
      <c r="BW236" s="122" t="s">
        <v>10678</v>
      </c>
      <c r="BX236" s="115">
        <v>3</v>
      </c>
      <c r="BY236" s="115">
        <v>0.3</v>
      </c>
      <c r="BZ236" s="115">
        <v>0.4</v>
      </c>
      <c r="CA236" s="115">
        <v>0.44</v>
      </c>
      <c r="CB236" s="122" t="str">
        <f t="shared" si="28"/>
        <v/>
      </c>
      <c r="DA236" s="122" t="s">
        <v>289</v>
      </c>
      <c r="DB236" s="122" t="s">
        <v>5592</v>
      </c>
      <c r="DC236" s="122" t="s">
        <v>5592</v>
      </c>
      <c r="DD236" s="127">
        <v>6</v>
      </c>
      <c r="DE236" s="127">
        <v>6</v>
      </c>
      <c r="DG236" s="405" t="s">
        <v>289</v>
      </c>
      <c r="DH236" s="406" t="s">
        <v>5592</v>
      </c>
      <c r="DI236" s="406" t="str">
        <f t="shared" si="29"/>
        <v>BA, Barra</v>
      </c>
      <c r="DJ236" s="406">
        <v>-11.089</v>
      </c>
      <c r="DK236" s="80">
        <v>-43.142000000000003</v>
      </c>
      <c r="DL236" s="80">
        <v>406</v>
      </c>
      <c r="DM236" s="64">
        <v>6</v>
      </c>
      <c r="DN236" s="406" t="s">
        <v>6220</v>
      </c>
      <c r="DO236" s="406">
        <v>-11.08</v>
      </c>
      <c r="DP236" s="80">
        <v>403</v>
      </c>
    </row>
    <row r="237" spans="29:120" x14ac:dyDescent="0.25">
      <c r="AC237" s="122" t="s">
        <v>333</v>
      </c>
      <c r="AD237" s="122" t="s">
        <v>642</v>
      </c>
      <c r="AE237" s="127">
        <v>3</v>
      </c>
      <c r="BC237" s="122" t="s">
        <v>10678</v>
      </c>
      <c r="BD237" s="115">
        <v>3</v>
      </c>
      <c r="BE237" s="115">
        <v>0.4</v>
      </c>
      <c r="BF237" s="115">
        <v>100</v>
      </c>
      <c r="BG237" s="115">
        <v>0.28999999999999998</v>
      </c>
      <c r="BH237" s="122" t="str">
        <f t="shared" si="26"/>
        <v/>
      </c>
      <c r="BM237" s="122" t="s">
        <v>10678</v>
      </c>
      <c r="BN237" s="115">
        <v>4</v>
      </c>
      <c r="BO237" s="115">
        <v>0.2</v>
      </c>
      <c r="BP237" s="115">
        <v>0.3</v>
      </c>
      <c r="BQ237" s="115">
        <v>0.62</v>
      </c>
      <c r="BR237" s="122" t="str">
        <f t="shared" si="27"/>
        <v/>
      </c>
      <c r="BW237" s="122" t="s">
        <v>10678</v>
      </c>
      <c r="BX237" s="115">
        <v>3</v>
      </c>
      <c r="BY237" s="115">
        <v>0.4</v>
      </c>
      <c r="BZ237" s="115">
        <v>100</v>
      </c>
      <c r="CA237" s="115">
        <v>0.46</v>
      </c>
      <c r="CB237" s="122" t="str">
        <f t="shared" si="28"/>
        <v/>
      </c>
      <c r="DA237" s="122" t="s">
        <v>289</v>
      </c>
      <c r="DB237" s="122" t="s">
        <v>6221</v>
      </c>
      <c r="DC237" s="122" t="s">
        <v>822</v>
      </c>
      <c r="DD237" s="127">
        <v>6</v>
      </c>
      <c r="DE237" s="127">
        <v>6</v>
      </c>
      <c r="DG237" s="405" t="s">
        <v>289</v>
      </c>
      <c r="DH237" s="406" t="s">
        <v>822</v>
      </c>
      <c r="DI237" s="406" t="str">
        <f t="shared" si="29"/>
        <v>BA, Barra da Estiva</v>
      </c>
      <c r="DJ237" s="406">
        <v>-13.625999999999999</v>
      </c>
      <c r="DK237" s="80">
        <v>-41.326999999999998</v>
      </c>
      <c r="DL237" s="80">
        <v>1026</v>
      </c>
      <c r="DM237" s="64">
        <v>6</v>
      </c>
      <c r="DN237" s="406" t="s">
        <v>6193</v>
      </c>
      <c r="DO237" s="406">
        <v>-13.16</v>
      </c>
      <c r="DP237" s="80">
        <v>1290</v>
      </c>
    </row>
    <row r="238" spans="29:120" x14ac:dyDescent="0.25">
      <c r="AC238" s="122" t="s">
        <v>333</v>
      </c>
      <c r="AD238" s="122" t="s">
        <v>643</v>
      </c>
      <c r="AE238" s="127">
        <v>3</v>
      </c>
      <c r="BC238" s="122" t="s">
        <v>10678</v>
      </c>
      <c r="BD238" s="115">
        <v>4</v>
      </c>
      <c r="BE238" s="115">
        <v>0</v>
      </c>
      <c r="BF238" s="115">
        <v>0.2</v>
      </c>
      <c r="BG238" s="115">
        <v>0.3</v>
      </c>
      <c r="BH238" s="122" t="str">
        <f t="shared" si="26"/>
        <v/>
      </c>
      <c r="BM238" s="122" t="s">
        <v>10678</v>
      </c>
      <c r="BN238" s="115">
        <v>5</v>
      </c>
      <c r="BO238" s="115">
        <v>0.2</v>
      </c>
      <c r="BP238" s="115">
        <v>0.3</v>
      </c>
      <c r="BQ238" s="115">
        <v>0.51</v>
      </c>
      <c r="BR238" s="122" t="str">
        <f t="shared" si="27"/>
        <v/>
      </c>
      <c r="BW238" s="122" t="s">
        <v>10678</v>
      </c>
      <c r="BX238" s="115">
        <v>4</v>
      </c>
      <c r="BY238" s="115">
        <v>0</v>
      </c>
      <c r="BZ238" s="115">
        <v>0.2</v>
      </c>
      <c r="CA238" s="115">
        <v>0.47</v>
      </c>
      <c r="CB238" s="122" t="str">
        <f t="shared" si="28"/>
        <v/>
      </c>
      <c r="DA238" s="122" t="s">
        <v>289</v>
      </c>
      <c r="DB238" s="122" t="s">
        <v>6222</v>
      </c>
      <c r="DC238" s="122" t="s">
        <v>2307</v>
      </c>
      <c r="DD238" s="127">
        <v>5</v>
      </c>
      <c r="DE238" s="127">
        <v>5</v>
      </c>
      <c r="DG238" s="405" t="s">
        <v>289</v>
      </c>
      <c r="DH238" s="406" t="s">
        <v>2307</v>
      </c>
      <c r="DI238" s="406" t="str">
        <f t="shared" si="29"/>
        <v>BA, Barra do Choça</v>
      </c>
      <c r="DJ238" s="406">
        <v>-14.881</v>
      </c>
      <c r="DK238" s="80">
        <v>-40.579000000000001</v>
      </c>
      <c r="DL238" s="80">
        <v>847</v>
      </c>
      <c r="DM238" s="64">
        <v>5</v>
      </c>
      <c r="DN238" s="406" t="s">
        <v>6206</v>
      </c>
      <c r="DO238" s="406">
        <v>-14.87</v>
      </c>
      <c r="DP238" s="80">
        <v>870</v>
      </c>
    </row>
    <row r="239" spans="29:120" x14ac:dyDescent="0.25">
      <c r="AC239" s="122" t="s">
        <v>333</v>
      </c>
      <c r="AD239" s="122" t="s">
        <v>644</v>
      </c>
      <c r="AE239" s="127">
        <v>3</v>
      </c>
      <c r="BC239" s="122" t="s">
        <v>10678</v>
      </c>
      <c r="BD239" s="115">
        <v>4</v>
      </c>
      <c r="BE239" s="115">
        <v>0.2</v>
      </c>
      <c r="BF239" s="115">
        <v>0.3</v>
      </c>
      <c r="BG239" s="115">
        <v>0.3</v>
      </c>
      <c r="BH239" s="122" t="str">
        <f t="shared" si="26"/>
        <v/>
      </c>
      <c r="BM239" s="122" t="s">
        <v>10678</v>
      </c>
      <c r="BN239" s="115">
        <v>6</v>
      </c>
      <c r="BO239" s="115">
        <v>0.2</v>
      </c>
      <c r="BP239" s="115">
        <v>0.3</v>
      </c>
      <c r="BQ239" s="115">
        <v>0.53</v>
      </c>
      <c r="BR239" s="122" t="str">
        <f t="shared" si="27"/>
        <v/>
      </c>
      <c r="BW239" s="122" t="s">
        <v>10678</v>
      </c>
      <c r="BX239" s="115">
        <v>4</v>
      </c>
      <c r="BY239" s="115">
        <v>0.2</v>
      </c>
      <c r="BZ239" s="115">
        <v>0.3</v>
      </c>
      <c r="CA239" s="115">
        <v>0.47</v>
      </c>
      <c r="CB239" s="122" t="str">
        <f t="shared" si="28"/>
        <v/>
      </c>
      <c r="DA239" s="122" t="s">
        <v>289</v>
      </c>
      <c r="DB239" s="122" t="s">
        <v>6223</v>
      </c>
      <c r="DC239" s="122" t="s">
        <v>2528</v>
      </c>
      <c r="DD239" s="127">
        <v>6</v>
      </c>
      <c r="DE239" s="127">
        <v>6</v>
      </c>
      <c r="DG239" s="405" t="s">
        <v>289</v>
      </c>
      <c r="DH239" s="406" t="s">
        <v>2528</v>
      </c>
      <c r="DI239" s="406" t="str">
        <f t="shared" si="29"/>
        <v>BA, Barra do Mendes</v>
      </c>
      <c r="DJ239" s="406">
        <v>-11.81</v>
      </c>
      <c r="DK239" s="80">
        <v>-42.058999999999997</v>
      </c>
      <c r="DL239" s="80">
        <v>715</v>
      </c>
      <c r="DM239" s="64">
        <v>6</v>
      </c>
      <c r="DN239" s="406" t="s">
        <v>6205</v>
      </c>
      <c r="DO239" s="406">
        <v>-11.33</v>
      </c>
      <c r="DP239" s="80">
        <v>755</v>
      </c>
    </row>
    <row r="240" spans="29:120" x14ac:dyDescent="0.25">
      <c r="AC240" s="122" t="s">
        <v>333</v>
      </c>
      <c r="AD240" s="122" t="s">
        <v>645</v>
      </c>
      <c r="AE240" s="127">
        <v>3</v>
      </c>
      <c r="BC240" s="122" t="s">
        <v>10678</v>
      </c>
      <c r="BD240" s="115">
        <v>4</v>
      </c>
      <c r="BE240" s="115">
        <v>0.3</v>
      </c>
      <c r="BF240" s="115">
        <v>0.4</v>
      </c>
      <c r="BG240" s="115">
        <v>0.35</v>
      </c>
      <c r="BH240" s="122" t="str">
        <f t="shared" si="26"/>
        <v/>
      </c>
      <c r="BM240" s="122" t="s">
        <v>10678</v>
      </c>
      <c r="BN240" s="115">
        <v>7</v>
      </c>
      <c r="BO240" s="115">
        <v>0.2</v>
      </c>
      <c r="BP240" s="115">
        <v>0.3</v>
      </c>
      <c r="BQ240" s="115">
        <v>0.39</v>
      </c>
      <c r="BR240" s="122" t="str">
        <f t="shared" si="27"/>
        <v/>
      </c>
      <c r="BW240" s="122" t="s">
        <v>10678</v>
      </c>
      <c r="BX240" s="115">
        <v>4</v>
      </c>
      <c r="BY240" s="115">
        <v>0.3</v>
      </c>
      <c r="BZ240" s="115">
        <v>0.4</v>
      </c>
      <c r="CA240" s="115">
        <v>0.49</v>
      </c>
      <c r="CB240" s="122" t="str">
        <f t="shared" si="28"/>
        <v/>
      </c>
      <c r="DA240" s="122" t="s">
        <v>289</v>
      </c>
      <c r="DB240" s="122" t="s">
        <v>6224</v>
      </c>
      <c r="DC240" s="122" t="s">
        <v>5285</v>
      </c>
      <c r="DD240" s="127">
        <v>8</v>
      </c>
      <c r="DE240" s="127">
        <v>8</v>
      </c>
      <c r="DG240" s="405" t="s">
        <v>289</v>
      </c>
      <c r="DH240" s="406" t="s">
        <v>5285</v>
      </c>
      <c r="DI240" s="406" t="str">
        <f t="shared" si="29"/>
        <v>BA, Barra do Rocha</v>
      </c>
      <c r="DJ240" s="406">
        <v>-14.211</v>
      </c>
      <c r="DK240" s="80">
        <v>-39.601999999999997</v>
      </c>
      <c r="DL240" s="80">
        <v>142</v>
      </c>
      <c r="DM240" s="64">
        <v>8</v>
      </c>
      <c r="DN240" s="406" t="s">
        <v>6199</v>
      </c>
      <c r="DO240" s="406">
        <v>-14.14</v>
      </c>
      <c r="DP240" s="80">
        <v>135</v>
      </c>
    </row>
    <row r="241" spans="29:120" x14ac:dyDescent="0.25">
      <c r="AC241" s="122" t="s">
        <v>333</v>
      </c>
      <c r="AD241" s="122" t="s">
        <v>646</v>
      </c>
      <c r="AE241" s="127">
        <v>2</v>
      </c>
      <c r="BC241" s="122" t="s">
        <v>10678</v>
      </c>
      <c r="BD241" s="115">
        <v>4</v>
      </c>
      <c r="BE241" s="115">
        <v>0.4</v>
      </c>
      <c r="BF241" s="115">
        <v>100</v>
      </c>
      <c r="BG241" s="115">
        <v>0.39</v>
      </c>
      <c r="BH241" s="122" t="str">
        <f t="shared" si="26"/>
        <v/>
      </c>
      <c r="BM241" s="122" t="s">
        <v>10678</v>
      </c>
      <c r="BN241" s="115">
        <v>8</v>
      </c>
      <c r="BO241" s="115">
        <v>0.2</v>
      </c>
      <c r="BP241" s="115">
        <v>0.3</v>
      </c>
      <c r="BQ241" s="115">
        <v>0.47</v>
      </c>
      <c r="BR241" s="122" t="str">
        <f t="shared" si="27"/>
        <v/>
      </c>
      <c r="BW241" s="122" t="s">
        <v>10678</v>
      </c>
      <c r="BX241" s="115">
        <v>4</v>
      </c>
      <c r="BY241" s="115">
        <v>0.4</v>
      </c>
      <c r="BZ241" s="115">
        <v>100</v>
      </c>
      <c r="CA241" s="115">
        <v>0.51</v>
      </c>
      <c r="CB241" s="122" t="str">
        <f t="shared" si="28"/>
        <v/>
      </c>
      <c r="DA241" s="122" t="s">
        <v>289</v>
      </c>
      <c r="DB241" s="122" t="s">
        <v>5682</v>
      </c>
      <c r="DC241" s="122" t="s">
        <v>5682</v>
      </c>
      <c r="DD241" s="127">
        <v>7</v>
      </c>
      <c r="DE241" s="127">
        <v>7</v>
      </c>
      <c r="DG241" s="405" t="s">
        <v>289</v>
      </c>
      <c r="DH241" s="406" t="s">
        <v>5682</v>
      </c>
      <c r="DI241" s="406" t="str">
        <f t="shared" si="29"/>
        <v>BA, Barreiras</v>
      </c>
      <c r="DJ241" s="406">
        <v>-12.153</v>
      </c>
      <c r="DK241" s="80">
        <v>-44.99</v>
      </c>
      <c r="DL241" s="80">
        <v>452</v>
      </c>
      <c r="DM241" s="64">
        <v>7</v>
      </c>
      <c r="DN241" s="406" t="s">
        <v>6209</v>
      </c>
      <c r="DO241" s="406">
        <v>-12.15</v>
      </c>
      <c r="DP241" s="80">
        <v>470</v>
      </c>
    </row>
    <row r="242" spans="29:120" x14ac:dyDescent="0.25">
      <c r="AC242" s="122" t="s">
        <v>333</v>
      </c>
      <c r="AD242" s="122" t="s">
        <v>647</v>
      </c>
      <c r="AE242" s="127">
        <v>3</v>
      </c>
      <c r="BC242" s="122" t="s">
        <v>10678</v>
      </c>
      <c r="BD242" s="115">
        <v>5</v>
      </c>
      <c r="BE242" s="115">
        <v>0</v>
      </c>
      <c r="BF242" s="115">
        <v>0.2</v>
      </c>
      <c r="BG242" s="115">
        <v>0.22</v>
      </c>
      <c r="BH242" s="122" t="str">
        <f t="shared" si="26"/>
        <v/>
      </c>
      <c r="BM242" s="122" t="s">
        <v>10678</v>
      </c>
      <c r="BN242" s="115">
        <v>1</v>
      </c>
      <c r="BO242" s="115">
        <v>0.3</v>
      </c>
      <c r="BP242" s="115">
        <v>0.4</v>
      </c>
      <c r="BQ242" s="115">
        <v>0.61</v>
      </c>
      <c r="BR242" s="122" t="str">
        <f t="shared" si="27"/>
        <v/>
      </c>
      <c r="BW242" s="122" t="s">
        <v>10678</v>
      </c>
      <c r="BX242" s="115">
        <v>5</v>
      </c>
      <c r="BY242" s="115">
        <v>0</v>
      </c>
      <c r="BZ242" s="115">
        <v>0.2</v>
      </c>
      <c r="CA242" s="115">
        <v>0.41</v>
      </c>
      <c r="CB242" s="122" t="str">
        <f t="shared" si="28"/>
        <v/>
      </c>
      <c r="DA242" s="122" t="s">
        <v>289</v>
      </c>
      <c r="DB242" s="122" t="s">
        <v>6225</v>
      </c>
      <c r="DC242" s="122" t="s">
        <v>2502</v>
      </c>
      <c r="DD242" s="127">
        <v>6</v>
      </c>
      <c r="DE242" s="127">
        <v>6</v>
      </c>
      <c r="DG242" s="405" t="s">
        <v>289</v>
      </c>
      <c r="DH242" s="406" t="s">
        <v>2502</v>
      </c>
      <c r="DI242" s="406" t="str">
        <f t="shared" si="29"/>
        <v>BA, Barro Alto</v>
      </c>
      <c r="DJ242" s="406">
        <v>-11.760999999999999</v>
      </c>
      <c r="DK242" s="80">
        <v>-41.911999999999999</v>
      </c>
      <c r="DL242" s="80">
        <v>705</v>
      </c>
      <c r="DM242" s="64">
        <v>6</v>
      </c>
      <c r="DN242" s="406" t="s">
        <v>6205</v>
      </c>
      <c r="DO242" s="406">
        <v>-11.33</v>
      </c>
      <c r="DP242" s="80">
        <v>755</v>
      </c>
    </row>
    <row r="243" spans="29:120" x14ac:dyDescent="0.25">
      <c r="AC243" s="122" t="s">
        <v>333</v>
      </c>
      <c r="AD243" s="122" t="s">
        <v>648</v>
      </c>
      <c r="AE243" s="127">
        <v>3</v>
      </c>
      <c r="BC243" s="122" t="s">
        <v>10678</v>
      </c>
      <c r="BD243" s="115">
        <v>5</v>
      </c>
      <c r="BE243" s="115">
        <v>0.2</v>
      </c>
      <c r="BF243" s="115">
        <v>0.3</v>
      </c>
      <c r="BG243" s="115">
        <v>0.22</v>
      </c>
      <c r="BH243" s="122" t="str">
        <f t="shared" si="26"/>
        <v/>
      </c>
      <c r="BM243" s="122" t="s">
        <v>10678</v>
      </c>
      <c r="BN243" s="115">
        <v>2</v>
      </c>
      <c r="BO243" s="115">
        <v>0.3</v>
      </c>
      <c r="BP243" s="115">
        <v>0.4</v>
      </c>
      <c r="BQ243" s="115">
        <v>0.56000000000000005</v>
      </c>
      <c r="BR243" s="122" t="str">
        <f t="shared" si="27"/>
        <v/>
      </c>
      <c r="BW243" s="122" t="s">
        <v>10678</v>
      </c>
      <c r="BX243" s="115">
        <v>5</v>
      </c>
      <c r="BY243" s="115">
        <v>0.2</v>
      </c>
      <c r="BZ243" s="115">
        <v>0.3</v>
      </c>
      <c r="CA243" s="115">
        <v>0.41</v>
      </c>
      <c r="CB243" s="122" t="str">
        <f t="shared" si="28"/>
        <v/>
      </c>
      <c r="DA243" s="122" t="s">
        <v>289</v>
      </c>
      <c r="DB243" s="122" t="s">
        <v>6226</v>
      </c>
      <c r="DC243" s="122" t="s">
        <v>2036</v>
      </c>
      <c r="DD243" s="127">
        <v>8</v>
      </c>
      <c r="DE243" s="127">
        <v>8</v>
      </c>
      <c r="DG243" s="405" t="s">
        <v>289</v>
      </c>
      <c r="DH243" s="406" t="s">
        <v>2036</v>
      </c>
      <c r="DI243" s="406" t="str">
        <f t="shared" si="29"/>
        <v>BA, Barro Preto</v>
      </c>
      <c r="DJ243" s="406">
        <v>-14.81</v>
      </c>
      <c r="DK243" s="80">
        <v>-39.470999999999997</v>
      </c>
      <c r="DL243" s="80">
        <v>100</v>
      </c>
      <c r="DM243" s="64">
        <v>8</v>
      </c>
      <c r="DN243" s="406" t="s">
        <v>6227</v>
      </c>
      <c r="DO243" s="406">
        <v>-14.79</v>
      </c>
      <c r="DP243" s="80">
        <v>78</v>
      </c>
    </row>
    <row r="244" spans="29:120" x14ac:dyDescent="0.25">
      <c r="AC244" s="122" t="s">
        <v>333</v>
      </c>
      <c r="AD244" s="122" t="s">
        <v>649</v>
      </c>
      <c r="AE244" s="127">
        <v>3</v>
      </c>
      <c r="BC244" s="122" t="s">
        <v>10678</v>
      </c>
      <c r="BD244" s="115">
        <v>5</v>
      </c>
      <c r="BE244" s="115">
        <v>0.3</v>
      </c>
      <c r="BF244" s="115">
        <v>0.4</v>
      </c>
      <c r="BG244" s="115">
        <v>0.26</v>
      </c>
      <c r="BH244" s="122" t="str">
        <f t="shared" si="26"/>
        <v/>
      </c>
      <c r="BM244" s="122" t="s">
        <v>10678</v>
      </c>
      <c r="BN244" s="115">
        <v>3</v>
      </c>
      <c r="BO244" s="115">
        <v>0.3</v>
      </c>
      <c r="BP244" s="115">
        <v>0.4</v>
      </c>
      <c r="BQ244" s="115">
        <v>0.56999999999999995</v>
      </c>
      <c r="BR244" s="122" t="str">
        <f t="shared" si="27"/>
        <v/>
      </c>
      <c r="BW244" s="122" t="s">
        <v>10678</v>
      </c>
      <c r="BX244" s="115">
        <v>5</v>
      </c>
      <c r="BY244" s="115">
        <v>0.3</v>
      </c>
      <c r="BZ244" s="115">
        <v>0.4</v>
      </c>
      <c r="CA244" s="115">
        <v>0.43</v>
      </c>
      <c r="CB244" s="122" t="str">
        <f t="shared" si="28"/>
        <v/>
      </c>
      <c r="DA244" s="122" t="s">
        <v>289</v>
      </c>
      <c r="DB244" s="122" t="s">
        <v>3482</v>
      </c>
      <c r="DC244" s="122" t="s">
        <v>3482</v>
      </c>
      <c r="DD244" s="127">
        <v>8</v>
      </c>
      <c r="DE244" s="127">
        <v>8</v>
      </c>
      <c r="DG244" s="405" t="s">
        <v>289</v>
      </c>
      <c r="DH244" s="406" t="s">
        <v>3482</v>
      </c>
      <c r="DI244" s="406" t="str">
        <f t="shared" si="29"/>
        <v>BA, Barrocas</v>
      </c>
      <c r="DJ244" s="406">
        <v>-11.529</v>
      </c>
      <c r="DK244" s="80">
        <v>-39.078000000000003</v>
      </c>
      <c r="DL244" s="80">
        <v>335</v>
      </c>
      <c r="DM244" s="64">
        <v>8</v>
      </c>
      <c r="DN244" s="406" t="s">
        <v>6198</v>
      </c>
      <c r="DO244" s="406">
        <v>-11.66</v>
      </c>
      <c r="DP244" s="80">
        <v>339</v>
      </c>
    </row>
    <row r="245" spans="29:120" x14ac:dyDescent="0.25">
      <c r="AC245" s="122" t="s">
        <v>333</v>
      </c>
      <c r="AD245" s="122" t="s">
        <v>650</v>
      </c>
      <c r="AE245" s="127">
        <v>3</v>
      </c>
      <c r="BC245" s="122" t="s">
        <v>10678</v>
      </c>
      <c r="BD245" s="115">
        <v>5</v>
      </c>
      <c r="BE245" s="115">
        <v>0.4</v>
      </c>
      <c r="BF245" s="115">
        <v>100</v>
      </c>
      <c r="BG245" s="115">
        <v>0.3</v>
      </c>
      <c r="BH245" s="122" t="str">
        <f t="shared" si="26"/>
        <v/>
      </c>
      <c r="BM245" s="122" t="s">
        <v>10678</v>
      </c>
      <c r="BN245" s="115">
        <v>4</v>
      </c>
      <c r="BO245" s="115">
        <v>0.3</v>
      </c>
      <c r="BP245" s="115">
        <v>0.4</v>
      </c>
      <c r="BQ245" s="115">
        <v>0.64</v>
      </c>
      <c r="BR245" s="122" t="str">
        <f t="shared" si="27"/>
        <v/>
      </c>
      <c r="BW245" s="122" t="s">
        <v>10678</v>
      </c>
      <c r="BX245" s="115">
        <v>5</v>
      </c>
      <c r="BY245" s="115">
        <v>0.4</v>
      </c>
      <c r="BZ245" s="115">
        <v>100</v>
      </c>
      <c r="CA245" s="115">
        <v>0.45</v>
      </c>
      <c r="CB245" s="122" t="str">
        <f t="shared" si="28"/>
        <v/>
      </c>
      <c r="DA245" s="122" t="s">
        <v>289</v>
      </c>
      <c r="DB245" s="122" t="s">
        <v>1390</v>
      </c>
      <c r="DC245" s="122" t="s">
        <v>1390</v>
      </c>
      <c r="DD245" s="127">
        <v>8</v>
      </c>
      <c r="DE245" s="127">
        <v>8</v>
      </c>
      <c r="DG245" s="405" t="s">
        <v>289</v>
      </c>
      <c r="DH245" s="406" t="s">
        <v>1390</v>
      </c>
      <c r="DI245" s="406" t="str">
        <f t="shared" si="29"/>
        <v>BA, Belmonte</v>
      </c>
      <c r="DJ245" s="406">
        <v>-15.863</v>
      </c>
      <c r="DK245" s="80">
        <v>-38.883000000000003</v>
      </c>
      <c r="DL245" s="80">
        <v>8</v>
      </c>
      <c r="DM245" s="64">
        <v>8</v>
      </c>
      <c r="DN245" s="406" t="s">
        <v>6228</v>
      </c>
      <c r="DO245" s="406">
        <v>-16.09</v>
      </c>
      <c r="DP245" s="80">
        <v>88</v>
      </c>
    </row>
    <row r="246" spans="29:120" x14ac:dyDescent="0.25">
      <c r="AC246" s="122" t="s">
        <v>333</v>
      </c>
      <c r="AD246" s="122" t="s">
        <v>651</v>
      </c>
      <c r="AE246" s="127">
        <v>2</v>
      </c>
      <c r="BC246" s="122" t="s">
        <v>10678</v>
      </c>
      <c r="BD246" s="115">
        <v>6</v>
      </c>
      <c r="BE246" s="115">
        <v>0</v>
      </c>
      <c r="BF246" s="115">
        <v>0.2</v>
      </c>
      <c r="BG246" s="115">
        <v>0.28000000000000003</v>
      </c>
      <c r="BH246" s="122" t="str">
        <f t="shared" si="26"/>
        <v/>
      </c>
      <c r="BM246" s="122" t="s">
        <v>10678</v>
      </c>
      <c r="BN246" s="115">
        <v>5</v>
      </c>
      <c r="BO246" s="115">
        <v>0.3</v>
      </c>
      <c r="BP246" s="115">
        <v>0.4</v>
      </c>
      <c r="BQ246" s="115">
        <v>0.53</v>
      </c>
      <c r="BR246" s="122" t="str">
        <f t="shared" si="27"/>
        <v/>
      </c>
      <c r="BW246" s="122" t="s">
        <v>10678</v>
      </c>
      <c r="BX246" s="115">
        <v>6</v>
      </c>
      <c r="BY246" s="115">
        <v>0</v>
      </c>
      <c r="BZ246" s="115">
        <v>0.2</v>
      </c>
      <c r="CA246" s="115">
        <v>0.43</v>
      </c>
      <c r="CB246" s="122" t="str">
        <f t="shared" si="28"/>
        <v/>
      </c>
      <c r="DA246" s="122" t="s">
        <v>289</v>
      </c>
      <c r="DB246" s="122" t="s">
        <v>6229</v>
      </c>
      <c r="DC246" s="122" t="s">
        <v>2564</v>
      </c>
      <c r="DD246" s="127">
        <v>5</v>
      </c>
      <c r="DE246" s="127">
        <v>5</v>
      </c>
      <c r="DG246" s="405" t="s">
        <v>289</v>
      </c>
      <c r="DH246" s="406" t="s">
        <v>2564</v>
      </c>
      <c r="DI246" s="406" t="str">
        <f t="shared" si="29"/>
        <v>BA, Belo Campo</v>
      </c>
      <c r="DJ246" s="406">
        <v>-15.038</v>
      </c>
      <c r="DK246" s="80">
        <v>-41.26</v>
      </c>
      <c r="DL246" s="80">
        <v>819</v>
      </c>
      <c r="DM246" s="64">
        <v>5</v>
      </c>
      <c r="DN246" s="406" t="s">
        <v>6206</v>
      </c>
      <c r="DO246" s="406">
        <v>-14.87</v>
      </c>
      <c r="DP246" s="80">
        <v>870</v>
      </c>
    </row>
    <row r="247" spans="29:120" x14ac:dyDescent="0.25">
      <c r="AC247" s="122" t="s">
        <v>333</v>
      </c>
      <c r="AD247" s="122" t="s">
        <v>652</v>
      </c>
      <c r="AE247" s="127">
        <v>3</v>
      </c>
      <c r="BC247" s="122" t="s">
        <v>10678</v>
      </c>
      <c r="BD247" s="115">
        <v>6</v>
      </c>
      <c r="BE247" s="115">
        <v>0.2</v>
      </c>
      <c r="BF247" s="115">
        <v>0.3</v>
      </c>
      <c r="BG247" s="115">
        <v>0.28000000000000003</v>
      </c>
      <c r="BH247" s="122" t="str">
        <f t="shared" si="26"/>
        <v/>
      </c>
      <c r="BM247" s="122" t="s">
        <v>10678</v>
      </c>
      <c r="BN247" s="115">
        <v>6</v>
      </c>
      <c r="BO247" s="115">
        <v>0.3</v>
      </c>
      <c r="BP247" s="115">
        <v>0.4</v>
      </c>
      <c r="BQ247" s="115">
        <v>0.56000000000000005</v>
      </c>
      <c r="BR247" s="122" t="str">
        <f t="shared" si="27"/>
        <v/>
      </c>
      <c r="BW247" s="122" t="s">
        <v>10678</v>
      </c>
      <c r="BX247" s="115">
        <v>6</v>
      </c>
      <c r="BY247" s="115">
        <v>0.2</v>
      </c>
      <c r="BZ247" s="115">
        <v>0.3</v>
      </c>
      <c r="CA247" s="115">
        <v>0.43</v>
      </c>
      <c r="CB247" s="122" t="str">
        <f t="shared" si="28"/>
        <v/>
      </c>
      <c r="DA247" s="122" t="s">
        <v>289</v>
      </c>
      <c r="DB247" s="122" t="s">
        <v>2170</v>
      </c>
      <c r="DC247" s="122" t="s">
        <v>2170</v>
      </c>
      <c r="DD247" s="127">
        <v>8</v>
      </c>
      <c r="DE247" s="127">
        <v>8</v>
      </c>
      <c r="DG247" s="405" t="s">
        <v>289</v>
      </c>
      <c r="DH247" s="406" t="s">
        <v>2170</v>
      </c>
      <c r="DI247" s="406" t="str">
        <f t="shared" si="29"/>
        <v>BA, Biritinga</v>
      </c>
      <c r="DJ247" s="406">
        <v>-11.617000000000001</v>
      </c>
      <c r="DK247" s="80">
        <v>-38.799999999999997</v>
      </c>
      <c r="DL247" s="80">
        <v>249</v>
      </c>
      <c r="DM247" s="64">
        <v>8</v>
      </c>
      <c r="DN247" s="406" t="s">
        <v>6198</v>
      </c>
      <c r="DO247" s="406">
        <v>-11.66</v>
      </c>
      <c r="DP247" s="80">
        <v>339</v>
      </c>
    </row>
    <row r="248" spans="29:120" x14ac:dyDescent="0.25">
      <c r="AC248" s="122" t="s">
        <v>333</v>
      </c>
      <c r="AD248" s="122" t="s">
        <v>653</v>
      </c>
      <c r="AE248" s="127">
        <v>3</v>
      </c>
      <c r="BC248" s="122" t="s">
        <v>10678</v>
      </c>
      <c r="BD248" s="115">
        <v>6</v>
      </c>
      <c r="BE248" s="115">
        <v>0.3</v>
      </c>
      <c r="BF248" s="115">
        <v>0.4</v>
      </c>
      <c r="BG248" s="115">
        <v>0.32</v>
      </c>
      <c r="BH248" s="122" t="str">
        <f t="shared" si="26"/>
        <v/>
      </c>
      <c r="BM248" s="122" t="s">
        <v>10678</v>
      </c>
      <c r="BN248" s="115">
        <v>7</v>
      </c>
      <c r="BO248" s="115">
        <v>0.3</v>
      </c>
      <c r="BP248" s="115">
        <v>0.4</v>
      </c>
      <c r="BQ248" s="115">
        <v>0.42</v>
      </c>
      <c r="BR248" s="122" t="str">
        <f t="shared" si="27"/>
        <v/>
      </c>
      <c r="BW248" s="122" t="s">
        <v>10678</v>
      </c>
      <c r="BX248" s="115">
        <v>6</v>
      </c>
      <c r="BY248" s="115">
        <v>0.3</v>
      </c>
      <c r="BZ248" s="115">
        <v>0.4</v>
      </c>
      <c r="CA248" s="115">
        <v>0.45</v>
      </c>
      <c r="CB248" s="122" t="str">
        <f t="shared" si="28"/>
        <v/>
      </c>
      <c r="DA248" s="122" t="s">
        <v>289</v>
      </c>
      <c r="DB248" s="122" t="s">
        <v>6230</v>
      </c>
      <c r="DC248" s="122" t="s">
        <v>2608</v>
      </c>
      <c r="DD248" s="127">
        <v>8</v>
      </c>
      <c r="DE248" s="127">
        <v>8</v>
      </c>
      <c r="DG248" s="405" t="s">
        <v>289</v>
      </c>
      <c r="DH248" s="406" t="s">
        <v>2608</v>
      </c>
      <c r="DI248" s="406" t="str">
        <f t="shared" si="29"/>
        <v>BA, Boa Nova</v>
      </c>
      <c r="DJ248" s="406">
        <v>-14.363</v>
      </c>
      <c r="DK248" s="80">
        <v>-40.207999999999998</v>
      </c>
      <c r="DL248" s="80">
        <v>726</v>
      </c>
      <c r="DM248" s="64">
        <v>8</v>
      </c>
      <c r="DN248" s="406" t="s">
        <v>6199</v>
      </c>
      <c r="DO248" s="406">
        <v>-14.14</v>
      </c>
      <c r="DP248" s="80">
        <v>135</v>
      </c>
    </row>
    <row r="249" spans="29:120" x14ac:dyDescent="0.25">
      <c r="AC249" s="122" t="s">
        <v>333</v>
      </c>
      <c r="AD249" s="122" t="s">
        <v>654</v>
      </c>
      <c r="AE249" s="127">
        <v>4</v>
      </c>
      <c r="BC249" s="122" t="s">
        <v>10678</v>
      </c>
      <c r="BD249" s="115">
        <v>6</v>
      </c>
      <c r="BE249" s="115">
        <v>0.4</v>
      </c>
      <c r="BF249" s="115">
        <v>100</v>
      </c>
      <c r="BG249" s="115">
        <v>0.36</v>
      </c>
      <c r="BH249" s="122" t="str">
        <f t="shared" si="26"/>
        <v/>
      </c>
      <c r="BM249" s="122" t="s">
        <v>10678</v>
      </c>
      <c r="BN249" s="115">
        <v>8</v>
      </c>
      <c r="BO249" s="115">
        <v>0.3</v>
      </c>
      <c r="BP249" s="115">
        <v>0.4</v>
      </c>
      <c r="BQ249" s="115">
        <v>0.49</v>
      </c>
      <c r="BR249" s="122" t="str">
        <f t="shared" si="27"/>
        <v/>
      </c>
      <c r="BW249" s="122" t="s">
        <v>10678</v>
      </c>
      <c r="BX249" s="115">
        <v>6</v>
      </c>
      <c r="BY249" s="115">
        <v>0.4</v>
      </c>
      <c r="BZ249" s="115">
        <v>100</v>
      </c>
      <c r="CA249" s="115">
        <v>0.47</v>
      </c>
      <c r="CB249" s="122" t="str">
        <f t="shared" si="28"/>
        <v/>
      </c>
      <c r="DA249" s="122" t="s">
        <v>289</v>
      </c>
      <c r="DB249" s="122" t="s">
        <v>6231</v>
      </c>
      <c r="DC249" s="122" t="s">
        <v>5367</v>
      </c>
      <c r="DD249" s="127">
        <v>8</v>
      </c>
      <c r="DE249" s="127">
        <v>8</v>
      </c>
      <c r="DG249" s="405" t="s">
        <v>289</v>
      </c>
      <c r="DH249" s="406" t="s">
        <v>5367</v>
      </c>
      <c r="DI249" s="406" t="str">
        <f t="shared" si="29"/>
        <v>BA, Boa Vista do Tupim</v>
      </c>
      <c r="DJ249" s="406">
        <v>-12.66</v>
      </c>
      <c r="DK249" s="80">
        <v>-40.609000000000002</v>
      </c>
      <c r="DL249" s="80">
        <v>317</v>
      </c>
      <c r="DM249" s="64">
        <v>8</v>
      </c>
      <c r="DN249" s="406" t="s">
        <v>6232</v>
      </c>
      <c r="DO249" s="406">
        <v>-12.53</v>
      </c>
      <c r="DP249" s="80">
        <v>250</v>
      </c>
    </row>
    <row r="250" spans="29:120" x14ac:dyDescent="0.25">
      <c r="AC250" s="122" t="s">
        <v>333</v>
      </c>
      <c r="AD250" s="122" t="s">
        <v>655</v>
      </c>
      <c r="AE250" s="127">
        <v>3</v>
      </c>
      <c r="BC250" s="122" t="s">
        <v>10678</v>
      </c>
      <c r="BD250" s="115">
        <v>7</v>
      </c>
      <c r="BE250" s="115">
        <v>0</v>
      </c>
      <c r="BF250" s="115">
        <v>0.2</v>
      </c>
      <c r="BG250" s="115">
        <v>0.22</v>
      </c>
      <c r="BH250" s="122" t="str">
        <f t="shared" si="26"/>
        <v/>
      </c>
      <c r="BM250" s="122" t="s">
        <v>10678</v>
      </c>
      <c r="BN250" s="115">
        <v>1</v>
      </c>
      <c r="BO250" s="115">
        <v>0.4</v>
      </c>
      <c r="BP250" s="115">
        <v>100</v>
      </c>
      <c r="BQ250" s="115">
        <v>0.63</v>
      </c>
      <c r="BR250" s="122" t="str">
        <f t="shared" si="27"/>
        <v/>
      </c>
      <c r="BW250" s="122" t="s">
        <v>10678</v>
      </c>
      <c r="BX250" s="115">
        <v>7</v>
      </c>
      <c r="BY250" s="115">
        <v>0</v>
      </c>
      <c r="BZ250" s="115">
        <v>0.2</v>
      </c>
      <c r="CA250" s="115">
        <v>0.34</v>
      </c>
      <c r="CB250" s="122" t="str">
        <f t="shared" si="28"/>
        <v/>
      </c>
      <c r="DA250" s="122" t="s">
        <v>289</v>
      </c>
      <c r="DB250" s="122" t="s">
        <v>6233</v>
      </c>
      <c r="DC250" s="122" t="s">
        <v>5552</v>
      </c>
      <c r="DD250" s="127">
        <v>6</v>
      </c>
      <c r="DE250" s="127">
        <v>6</v>
      </c>
      <c r="DG250" s="405" t="s">
        <v>289</v>
      </c>
      <c r="DH250" s="406" t="s">
        <v>5552</v>
      </c>
      <c r="DI250" s="406" t="str">
        <f t="shared" si="29"/>
        <v>BA, Bom Jesus da Lapa</v>
      </c>
      <c r="DJ250" s="406">
        <v>-13.255000000000001</v>
      </c>
      <c r="DK250" s="80">
        <v>-43.417999999999999</v>
      </c>
      <c r="DL250" s="80">
        <v>436</v>
      </c>
      <c r="DM250" s="64">
        <v>6</v>
      </c>
      <c r="DN250" s="406" t="s">
        <v>6234</v>
      </c>
      <c r="DO250" s="406">
        <v>-13.26</v>
      </c>
      <c r="DP250" s="80">
        <v>440</v>
      </c>
    </row>
    <row r="251" spans="29:120" x14ac:dyDescent="0.25">
      <c r="AC251" s="122" t="s">
        <v>333</v>
      </c>
      <c r="AD251" s="122" t="s">
        <v>656</v>
      </c>
      <c r="AE251" s="127">
        <v>3</v>
      </c>
      <c r="BC251" s="122" t="s">
        <v>10678</v>
      </c>
      <c r="BD251" s="115">
        <v>7</v>
      </c>
      <c r="BE251" s="115">
        <v>0.2</v>
      </c>
      <c r="BF251" s="115">
        <v>0.3</v>
      </c>
      <c r="BG251" s="115">
        <v>0.23</v>
      </c>
      <c r="BH251" s="122" t="str">
        <f t="shared" si="26"/>
        <v/>
      </c>
      <c r="BM251" s="122" t="s">
        <v>10678</v>
      </c>
      <c r="BN251" s="115">
        <v>2</v>
      </c>
      <c r="BO251" s="115">
        <v>0.4</v>
      </c>
      <c r="BP251" s="115">
        <v>100</v>
      </c>
      <c r="BQ251" s="115">
        <v>0.59</v>
      </c>
      <c r="BR251" s="122" t="str">
        <f t="shared" si="27"/>
        <v/>
      </c>
      <c r="BW251" s="122" t="s">
        <v>10678</v>
      </c>
      <c r="BX251" s="115">
        <v>7</v>
      </c>
      <c r="BY251" s="115">
        <v>0.2</v>
      </c>
      <c r="BZ251" s="115">
        <v>0.3</v>
      </c>
      <c r="CA251" s="115">
        <v>0.34</v>
      </c>
      <c r="CB251" s="122" t="str">
        <f t="shared" si="28"/>
        <v/>
      </c>
      <c r="DA251" s="122" t="s">
        <v>289</v>
      </c>
      <c r="DB251" s="122" t="s">
        <v>6235</v>
      </c>
      <c r="DC251" s="122" t="s">
        <v>2494</v>
      </c>
      <c r="DD251" s="127">
        <v>8</v>
      </c>
      <c r="DE251" s="127">
        <v>8</v>
      </c>
      <c r="DG251" s="405" t="s">
        <v>289</v>
      </c>
      <c r="DH251" s="406" t="s">
        <v>2494</v>
      </c>
      <c r="DI251" s="406" t="str">
        <f t="shared" si="29"/>
        <v>BA, Bom Jesus da Serra</v>
      </c>
      <c r="DJ251" s="406">
        <v>-14.372</v>
      </c>
      <c r="DK251" s="80">
        <v>-40.503999999999998</v>
      </c>
      <c r="DL251" s="80">
        <v>600</v>
      </c>
      <c r="DM251" s="64">
        <v>8</v>
      </c>
      <c r="DN251" s="406" t="s">
        <v>6206</v>
      </c>
      <c r="DO251" s="406">
        <v>-14.87</v>
      </c>
      <c r="DP251" s="80">
        <v>870</v>
      </c>
    </row>
    <row r="252" spans="29:120" x14ac:dyDescent="0.25">
      <c r="AC252" s="122" t="s">
        <v>333</v>
      </c>
      <c r="AD252" s="122" t="s">
        <v>657</v>
      </c>
      <c r="AE252" s="127">
        <v>2</v>
      </c>
      <c r="BC252" s="122" t="s">
        <v>10678</v>
      </c>
      <c r="BD252" s="115">
        <v>7</v>
      </c>
      <c r="BE252" s="115">
        <v>0.3</v>
      </c>
      <c r="BF252" s="115">
        <v>0.4</v>
      </c>
      <c r="BG252" s="115">
        <v>0.26</v>
      </c>
      <c r="BH252" s="122" t="str">
        <f t="shared" si="26"/>
        <v/>
      </c>
      <c r="BM252" s="122" t="s">
        <v>10678</v>
      </c>
      <c r="BN252" s="115">
        <v>3</v>
      </c>
      <c r="BO252" s="115">
        <v>0.4</v>
      </c>
      <c r="BP252" s="115">
        <v>100</v>
      </c>
      <c r="BQ252" s="115">
        <v>0.6</v>
      </c>
      <c r="BR252" s="122" t="str">
        <f t="shared" si="27"/>
        <v/>
      </c>
      <c r="BW252" s="122" t="s">
        <v>10678</v>
      </c>
      <c r="BX252" s="115">
        <v>7</v>
      </c>
      <c r="BY252" s="115">
        <v>0.3</v>
      </c>
      <c r="BZ252" s="115">
        <v>0.4</v>
      </c>
      <c r="CA252" s="115">
        <v>0.36</v>
      </c>
      <c r="CB252" s="122" t="str">
        <f t="shared" si="28"/>
        <v/>
      </c>
      <c r="DA252" s="122" t="s">
        <v>289</v>
      </c>
      <c r="DB252" s="122" t="s">
        <v>2553</v>
      </c>
      <c r="DC252" s="122" t="s">
        <v>2553</v>
      </c>
      <c r="DD252" s="127">
        <v>8</v>
      </c>
      <c r="DE252" s="127">
        <v>8</v>
      </c>
      <c r="DG252" s="405" t="s">
        <v>289</v>
      </c>
      <c r="DH252" s="406" t="s">
        <v>2553</v>
      </c>
      <c r="DI252" s="406" t="str">
        <f t="shared" si="29"/>
        <v>BA, Boninal</v>
      </c>
      <c r="DJ252" s="406">
        <v>-12.702</v>
      </c>
      <c r="DK252" s="80">
        <v>-41.828000000000003</v>
      </c>
      <c r="DL252" s="80">
        <v>955</v>
      </c>
      <c r="DM252" s="64">
        <v>8</v>
      </c>
      <c r="DN252" s="406" t="s">
        <v>6207</v>
      </c>
      <c r="DO252" s="406">
        <v>-12.56</v>
      </c>
      <c r="DP252" s="80">
        <v>439</v>
      </c>
    </row>
    <row r="253" spans="29:120" x14ac:dyDescent="0.25">
      <c r="AC253" s="122" t="s">
        <v>333</v>
      </c>
      <c r="AD253" s="122" t="s">
        <v>658</v>
      </c>
      <c r="AE253" s="127">
        <v>2</v>
      </c>
      <c r="BC253" s="122" t="s">
        <v>10678</v>
      </c>
      <c r="BD253" s="115">
        <v>7</v>
      </c>
      <c r="BE253" s="115">
        <v>0.4</v>
      </c>
      <c r="BF253" s="115">
        <v>100</v>
      </c>
      <c r="BG253" s="115">
        <v>0.3</v>
      </c>
      <c r="BH253" s="122" t="str">
        <f t="shared" si="26"/>
        <v/>
      </c>
      <c r="BM253" s="122" t="s">
        <v>10678</v>
      </c>
      <c r="BN253" s="115">
        <v>4</v>
      </c>
      <c r="BO253" s="115">
        <v>0.4</v>
      </c>
      <c r="BP253" s="115">
        <v>100</v>
      </c>
      <c r="BQ253" s="115">
        <v>0.67</v>
      </c>
      <c r="BR253" s="122" t="str">
        <f t="shared" si="27"/>
        <v/>
      </c>
      <c r="BW253" s="122" t="s">
        <v>10678</v>
      </c>
      <c r="BX253" s="115">
        <v>7</v>
      </c>
      <c r="BY253" s="115">
        <v>0.4</v>
      </c>
      <c r="BZ253" s="115">
        <v>100</v>
      </c>
      <c r="CA253" s="115">
        <v>0.39</v>
      </c>
      <c r="CB253" s="122" t="str">
        <f t="shared" si="28"/>
        <v/>
      </c>
      <c r="DA253" s="122" t="s">
        <v>289</v>
      </c>
      <c r="DB253" s="122" t="s">
        <v>2018</v>
      </c>
      <c r="DC253" s="122" t="s">
        <v>2018</v>
      </c>
      <c r="DD253" s="127">
        <v>5</v>
      </c>
      <c r="DE253" s="127">
        <v>5</v>
      </c>
      <c r="DG253" s="405" t="s">
        <v>289</v>
      </c>
      <c r="DH253" s="406" t="s">
        <v>2018</v>
      </c>
      <c r="DI253" s="406" t="str">
        <f t="shared" si="29"/>
        <v>BA, Bonito</v>
      </c>
      <c r="DJ253" s="406">
        <v>-11.965999999999999</v>
      </c>
      <c r="DK253" s="80">
        <v>-41.267000000000003</v>
      </c>
      <c r="DL253" s="80">
        <v>990</v>
      </c>
      <c r="DM253" s="64">
        <v>5</v>
      </c>
      <c r="DN253" s="406" t="s">
        <v>6207</v>
      </c>
      <c r="DO253" s="406">
        <v>-12.56</v>
      </c>
      <c r="DP253" s="80">
        <v>439</v>
      </c>
    </row>
    <row r="254" spans="29:120" x14ac:dyDescent="0.25">
      <c r="AC254" s="122" t="s">
        <v>333</v>
      </c>
      <c r="AD254" s="122" t="s">
        <v>659</v>
      </c>
      <c r="AE254" s="127">
        <v>3</v>
      </c>
      <c r="BC254" s="122" t="s">
        <v>10678</v>
      </c>
      <c r="BD254" s="115">
        <v>8</v>
      </c>
      <c r="BE254" s="115">
        <v>0</v>
      </c>
      <c r="BF254" s="115">
        <v>0.2</v>
      </c>
      <c r="BG254" s="115">
        <v>0.19</v>
      </c>
      <c r="BH254" s="122" t="str">
        <f t="shared" si="26"/>
        <v/>
      </c>
      <c r="BM254" s="122" t="s">
        <v>10678</v>
      </c>
      <c r="BN254" s="115">
        <v>5</v>
      </c>
      <c r="BO254" s="115">
        <v>0.4</v>
      </c>
      <c r="BP254" s="115">
        <v>100</v>
      </c>
      <c r="BQ254" s="115">
        <v>0.56000000000000005</v>
      </c>
      <c r="BR254" s="122" t="str">
        <f t="shared" si="27"/>
        <v/>
      </c>
      <c r="BW254" s="122" t="s">
        <v>10678</v>
      </c>
      <c r="BX254" s="115">
        <v>8</v>
      </c>
      <c r="BY254" s="115">
        <v>0</v>
      </c>
      <c r="BZ254" s="115">
        <v>0.2</v>
      </c>
      <c r="CA254" s="115">
        <v>0.39</v>
      </c>
      <c r="CB254" s="122" t="str">
        <f t="shared" si="28"/>
        <v/>
      </c>
      <c r="DA254" s="122" t="s">
        <v>289</v>
      </c>
      <c r="DB254" s="122" t="s">
        <v>2732</v>
      </c>
      <c r="DC254" s="122" t="s">
        <v>2732</v>
      </c>
      <c r="DD254" s="127">
        <v>6</v>
      </c>
      <c r="DE254" s="127">
        <v>6</v>
      </c>
      <c r="DG254" s="405" t="s">
        <v>289</v>
      </c>
      <c r="DH254" s="406" t="s">
        <v>2732</v>
      </c>
      <c r="DI254" s="406" t="str">
        <f t="shared" si="29"/>
        <v>BA, Boquira</v>
      </c>
      <c r="DJ254" s="406">
        <v>-12.823</v>
      </c>
      <c r="DK254" s="80">
        <v>-42.731000000000002</v>
      </c>
      <c r="DL254" s="80">
        <v>641</v>
      </c>
      <c r="DM254" s="64">
        <v>6</v>
      </c>
      <c r="DN254" s="406" t="s">
        <v>6236</v>
      </c>
      <c r="DO254" s="406">
        <v>-12.19</v>
      </c>
      <c r="DP254" s="80">
        <v>430</v>
      </c>
    </row>
    <row r="255" spans="29:120" x14ac:dyDescent="0.25">
      <c r="AC255" s="122" t="s">
        <v>333</v>
      </c>
      <c r="AD255" s="122" t="s">
        <v>660</v>
      </c>
      <c r="AE255" s="127">
        <v>3</v>
      </c>
      <c r="BC255" s="122" t="s">
        <v>10678</v>
      </c>
      <c r="BD255" s="115">
        <v>8</v>
      </c>
      <c r="BE255" s="115">
        <v>0.2</v>
      </c>
      <c r="BF255" s="115">
        <v>0.3</v>
      </c>
      <c r="BG255" s="115">
        <v>0.19</v>
      </c>
      <c r="BH255" s="122" t="str">
        <f t="shared" si="26"/>
        <v/>
      </c>
      <c r="BM255" s="122" t="s">
        <v>10678</v>
      </c>
      <c r="BN255" s="115">
        <v>6</v>
      </c>
      <c r="BO255" s="115">
        <v>0.4</v>
      </c>
      <c r="BP255" s="115">
        <v>100</v>
      </c>
      <c r="BQ255" s="115">
        <v>0.57999999999999996</v>
      </c>
      <c r="BR255" s="122" t="str">
        <f t="shared" si="27"/>
        <v/>
      </c>
      <c r="BW255" s="122" t="s">
        <v>10678</v>
      </c>
      <c r="BX255" s="115">
        <v>8</v>
      </c>
      <c r="BY255" s="115">
        <v>0.2</v>
      </c>
      <c r="BZ255" s="115">
        <v>0.3</v>
      </c>
      <c r="CA255" s="115">
        <v>0.4</v>
      </c>
      <c r="CB255" s="122" t="str">
        <f t="shared" si="28"/>
        <v/>
      </c>
      <c r="DA255" s="122" t="s">
        <v>289</v>
      </c>
      <c r="DB255" s="122" t="s">
        <v>2673</v>
      </c>
      <c r="DC255" s="122" t="s">
        <v>2673</v>
      </c>
      <c r="DD255" s="127">
        <v>6</v>
      </c>
      <c r="DE255" s="127">
        <v>6</v>
      </c>
      <c r="DG255" s="405" t="s">
        <v>289</v>
      </c>
      <c r="DH255" s="406" t="s">
        <v>2673</v>
      </c>
      <c r="DI255" s="406" t="str">
        <f t="shared" si="29"/>
        <v>BA, Botuporã</v>
      </c>
      <c r="DJ255" s="406">
        <v>-13.382</v>
      </c>
      <c r="DK255" s="80">
        <v>-42.523000000000003</v>
      </c>
      <c r="DL255" s="80">
        <v>685</v>
      </c>
      <c r="DM255" s="64">
        <v>6</v>
      </c>
      <c r="DN255" s="406" t="s">
        <v>6193</v>
      </c>
      <c r="DO255" s="406">
        <v>-13.16</v>
      </c>
      <c r="DP255" s="80">
        <v>1290</v>
      </c>
    </row>
    <row r="256" spans="29:120" x14ac:dyDescent="0.25">
      <c r="AC256" s="122" t="s">
        <v>333</v>
      </c>
      <c r="AD256" s="122" t="s">
        <v>661</v>
      </c>
      <c r="AE256" s="127">
        <v>2</v>
      </c>
      <c r="BC256" s="122" t="s">
        <v>10678</v>
      </c>
      <c r="BD256" s="115">
        <v>8</v>
      </c>
      <c r="BE256" s="115">
        <v>0.3</v>
      </c>
      <c r="BF256" s="115">
        <v>0.4</v>
      </c>
      <c r="BG256" s="115">
        <v>0.22</v>
      </c>
      <c r="BH256" s="122" t="str">
        <f t="shared" si="26"/>
        <v/>
      </c>
      <c r="BM256" s="122" t="s">
        <v>10678</v>
      </c>
      <c r="BN256" s="115">
        <v>7</v>
      </c>
      <c r="BO256" s="115">
        <v>0.4</v>
      </c>
      <c r="BP256" s="115">
        <v>100</v>
      </c>
      <c r="BQ256" s="115">
        <v>0.45</v>
      </c>
      <c r="BR256" s="122" t="str">
        <f t="shared" si="27"/>
        <v/>
      </c>
      <c r="BW256" s="122" t="s">
        <v>10678</v>
      </c>
      <c r="BX256" s="115">
        <v>8</v>
      </c>
      <c r="BY256" s="115">
        <v>0.3</v>
      </c>
      <c r="BZ256" s="115">
        <v>0.4</v>
      </c>
      <c r="CA256" s="115">
        <v>0.41</v>
      </c>
      <c r="CB256" s="122" t="str">
        <f t="shared" si="28"/>
        <v/>
      </c>
      <c r="DA256" s="122" t="s">
        <v>289</v>
      </c>
      <c r="DB256" s="122" t="s">
        <v>1823</v>
      </c>
      <c r="DC256" s="122" t="s">
        <v>1823</v>
      </c>
      <c r="DD256" s="127">
        <v>8</v>
      </c>
      <c r="DE256" s="127">
        <v>8</v>
      </c>
      <c r="DG256" s="405" t="s">
        <v>289</v>
      </c>
      <c r="DH256" s="406" t="s">
        <v>1823</v>
      </c>
      <c r="DI256" s="406" t="str">
        <f t="shared" si="29"/>
        <v>BA, Brejões</v>
      </c>
      <c r="DJ256" s="406">
        <v>-13.103999999999999</v>
      </c>
      <c r="DK256" s="80">
        <v>-39.795999999999999</v>
      </c>
      <c r="DL256" s="80">
        <v>611</v>
      </c>
      <c r="DM256" s="64">
        <v>8</v>
      </c>
      <c r="DN256" s="406" t="s">
        <v>6202</v>
      </c>
      <c r="DO256" s="406">
        <v>-13.01</v>
      </c>
      <c r="DP256" s="80">
        <v>407</v>
      </c>
    </row>
    <row r="257" spans="29:120" x14ac:dyDescent="0.25">
      <c r="AC257" s="122" t="s">
        <v>333</v>
      </c>
      <c r="AD257" s="122" t="s">
        <v>662</v>
      </c>
      <c r="AE257" s="127">
        <v>2</v>
      </c>
      <c r="BC257" s="122" t="s">
        <v>10678</v>
      </c>
      <c r="BD257" s="115">
        <v>8</v>
      </c>
      <c r="BE257" s="115">
        <v>0.4</v>
      </c>
      <c r="BF257" s="115">
        <v>100</v>
      </c>
      <c r="BG257" s="115">
        <v>0.26</v>
      </c>
      <c r="BH257" s="122" t="str">
        <f t="shared" si="26"/>
        <v/>
      </c>
      <c r="BM257" s="122" t="s">
        <v>10678</v>
      </c>
      <c r="BN257" s="115">
        <v>8</v>
      </c>
      <c r="BO257" s="115">
        <v>0.4</v>
      </c>
      <c r="BP257" s="115">
        <v>100</v>
      </c>
      <c r="BQ257" s="115">
        <v>0.51</v>
      </c>
      <c r="BR257" s="122" t="str">
        <f t="shared" si="27"/>
        <v/>
      </c>
      <c r="BW257" s="122" t="s">
        <v>10678</v>
      </c>
      <c r="BX257" s="115">
        <v>8</v>
      </c>
      <c r="BY257" s="115">
        <v>0.4</v>
      </c>
      <c r="BZ257" s="115">
        <v>100</v>
      </c>
      <c r="CA257" s="115">
        <v>0.43</v>
      </c>
      <c r="CB257" s="122" t="str">
        <f t="shared" si="28"/>
        <v/>
      </c>
      <c r="DA257" s="122" t="s">
        <v>289</v>
      </c>
      <c r="DB257" s="122" t="s">
        <v>5432</v>
      </c>
      <c r="DC257" s="122" t="s">
        <v>5432</v>
      </c>
      <c r="DD257" s="127">
        <v>6</v>
      </c>
      <c r="DE257" s="127">
        <v>6</v>
      </c>
      <c r="DG257" s="405" t="s">
        <v>289</v>
      </c>
      <c r="DH257" s="406" t="s">
        <v>5432</v>
      </c>
      <c r="DI257" s="406" t="str">
        <f t="shared" si="29"/>
        <v>BA, Brejolândia</v>
      </c>
      <c r="DJ257" s="406">
        <v>-12.483000000000001</v>
      </c>
      <c r="DK257" s="80">
        <v>-43.966000000000001</v>
      </c>
      <c r="DL257" s="80">
        <v>542</v>
      </c>
      <c r="DM257" s="64">
        <v>6</v>
      </c>
      <c r="DN257" s="406" t="s">
        <v>6236</v>
      </c>
      <c r="DO257" s="406">
        <v>-12.19</v>
      </c>
      <c r="DP257" s="80">
        <v>430</v>
      </c>
    </row>
    <row r="258" spans="29:120" x14ac:dyDescent="0.25">
      <c r="AC258" s="122" t="s">
        <v>333</v>
      </c>
      <c r="AD258" s="122" t="s">
        <v>663</v>
      </c>
      <c r="AE258" s="127">
        <v>3</v>
      </c>
      <c r="BC258" s="122"/>
      <c r="BD258" s="115"/>
      <c r="BE258" s="115"/>
      <c r="BF258" s="115"/>
      <c r="BG258" s="115"/>
      <c r="BH258" s="122" t="str">
        <f t="shared" si="26"/>
        <v/>
      </c>
      <c r="BM258" s="122"/>
      <c r="BN258" s="115"/>
      <c r="BO258" s="115"/>
      <c r="BP258" s="115"/>
      <c r="BQ258" s="115"/>
      <c r="BR258" s="122" t="str">
        <f t="shared" si="27"/>
        <v/>
      </c>
      <c r="BW258" s="122"/>
      <c r="BX258" s="115"/>
      <c r="BY258" s="115"/>
      <c r="BZ258" s="115"/>
      <c r="CA258" s="115"/>
      <c r="CB258" s="122" t="str">
        <f t="shared" si="28"/>
        <v/>
      </c>
      <c r="DA258" s="122" t="s">
        <v>289</v>
      </c>
      <c r="DB258" s="122" t="s">
        <v>6237</v>
      </c>
      <c r="DC258" s="122" t="s">
        <v>2750</v>
      </c>
      <c r="DD258" s="127">
        <v>6</v>
      </c>
      <c r="DE258" s="127">
        <v>6</v>
      </c>
      <c r="DG258" s="405" t="s">
        <v>289</v>
      </c>
      <c r="DH258" s="406" t="s">
        <v>2750</v>
      </c>
      <c r="DI258" s="406" t="str">
        <f t="shared" si="29"/>
        <v>BA, Brotas de Macaúbas</v>
      </c>
      <c r="DJ258" s="406">
        <v>-11.999000000000001</v>
      </c>
      <c r="DK258" s="80">
        <v>-42.625999999999998</v>
      </c>
      <c r="DL258" s="80">
        <v>813</v>
      </c>
      <c r="DM258" s="64">
        <v>6</v>
      </c>
      <c r="DN258" s="406" t="s">
        <v>6236</v>
      </c>
      <c r="DO258" s="406">
        <v>-12.19</v>
      </c>
      <c r="DP258" s="80">
        <v>430</v>
      </c>
    </row>
    <row r="259" spans="29:120" x14ac:dyDescent="0.25">
      <c r="AC259" s="122" t="s">
        <v>333</v>
      </c>
      <c r="AD259" s="122" t="s">
        <v>664</v>
      </c>
      <c r="AE259" s="127">
        <v>3</v>
      </c>
      <c r="BC259" s="122"/>
      <c r="BD259" s="115"/>
      <c r="BE259" s="115"/>
      <c r="BF259" s="115"/>
      <c r="BG259" s="115"/>
      <c r="BH259" s="122" t="str">
        <f t="shared" ref="BH259:BH322" si="30">IF(BD259=$BK$1,IF(BC259=$BJ$1,IF(AND($BI$1&gt;BE259,$BI$1&lt;=BF259),BG259,""),""),"")</f>
        <v/>
      </c>
      <c r="BM259" s="122"/>
      <c r="BN259" s="115"/>
      <c r="BO259" s="115"/>
      <c r="BP259" s="115"/>
      <c r="BQ259" s="115"/>
      <c r="BR259" s="122" t="str">
        <f t="shared" ref="BR259:BR322" si="31">IF(BN259=$BK$1,IF(BM259=$BJ$1,IF(AND($BI$1&gt;BO259,$BI$1&lt;=BP259),BQ259,""),""),"")</f>
        <v/>
      </c>
      <c r="BW259" s="122"/>
      <c r="BX259" s="115"/>
      <c r="BY259" s="115"/>
      <c r="BZ259" s="115"/>
      <c r="CA259" s="115"/>
      <c r="CB259" s="122" t="str">
        <f t="shared" ref="CB259:CB322" si="32">IF(BX259=$BK$1,IF(BW259=$BJ$1,IF(AND($BI$1&gt;BY259,$BI$1&lt;=BZ259),CA259,""),""),"")</f>
        <v/>
      </c>
      <c r="DA259" s="122" t="s">
        <v>289</v>
      </c>
      <c r="DB259" s="122" t="s">
        <v>2392</v>
      </c>
      <c r="DC259" s="122" t="s">
        <v>2392</v>
      </c>
      <c r="DD259" s="127">
        <v>5</v>
      </c>
      <c r="DE259" s="127">
        <v>5</v>
      </c>
      <c r="DG259" s="405" t="s">
        <v>289</v>
      </c>
      <c r="DH259" s="406" t="s">
        <v>2392</v>
      </c>
      <c r="DI259" s="406" t="str">
        <f t="shared" ref="DI259:DI322" si="33">CONCATENATE(DG259,", ",DH259)</f>
        <v>BA, Brumado</v>
      </c>
      <c r="DJ259" s="406">
        <v>-14.204000000000001</v>
      </c>
      <c r="DK259" s="80">
        <v>-41.664999999999999</v>
      </c>
      <c r="DL259" s="80">
        <v>422</v>
      </c>
      <c r="DM259" s="64">
        <v>5</v>
      </c>
      <c r="DN259" s="406" t="s">
        <v>6213</v>
      </c>
      <c r="DO259" s="406">
        <v>-14.18</v>
      </c>
      <c r="DP259" s="80">
        <v>470</v>
      </c>
    </row>
    <row r="260" spans="29:120" x14ac:dyDescent="0.25">
      <c r="AC260" s="122" t="s">
        <v>333</v>
      </c>
      <c r="AD260" s="122" t="s">
        <v>665</v>
      </c>
      <c r="AE260" s="127">
        <v>2</v>
      </c>
      <c r="BC260" s="122"/>
      <c r="BD260" s="115"/>
      <c r="BE260" s="115"/>
      <c r="BF260" s="115"/>
      <c r="BG260" s="115"/>
      <c r="BH260" s="122" t="str">
        <f t="shared" si="30"/>
        <v/>
      </c>
      <c r="BM260" s="122"/>
      <c r="BN260" s="115"/>
      <c r="BO260" s="115"/>
      <c r="BP260" s="115"/>
      <c r="BQ260" s="115"/>
      <c r="BR260" s="122" t="str">
        <f t="shared" si="31"/>
        <v/>
      </c>
      <c r="BW260" s="122"/>
      <c r="BX260" s="115"/>
      <c r="BY260" s="115"/>
      <c r="BZ260" s="115"/>
      <c r="CA260" s="115"/>
      <c r="CB260" s="122" t="str">
        <f t="shared" si="32"/>
        <v/>
      </c>
      <c r="DA260" s="122" t="s">
        <v>289</v>
      </c>
      <c r="DB260" s="122" t="s">
        <v>1929</v>
      </c>
      <c r="DC260" s="122" t="s">
        <v>1929</v>
      </c>
      <c r="DD260" s="127">
        <v>8</v>
      </c>
      <c r="DE260" s="127">
        <v>8</v>
      </c>
      <c r="DG260" s="405" t="s">
        <v>289</v>
      </c>
      <c r="DH260" s="406" t="s">
        <v>1929</v>
      </c>
      <c r="DI260" s="406" t="str">
        <f t="shared" si="33"/>
        <v>BA, Buerarema</v>
      </c>
      <c r="DJ260" s="406">
        <v>-14.959</v>
      </c>
      <c r="DK260" s="80">
        <v>-39.299999999999997</v>
      </c>
      <c r="DL260" s="80">
        <v>107</v>
      </c>
      <c r="DM260" s="64">
        <v>8</v>
      </c>
      <c r="DN260" s="406" t="s">
        <v>6227</v>
      </c>
      <c r="DO260" s="406">
        <v>-14.79</v>
      </c>
      <c r="DP260" s="80">
        <v>78</v>
      </c>
    </row>
    <row r="261" spans="29:120" x14ac:dyDescent="0.25">
      <c r="AC261" s="122" t="s">
        <v>333</v>
      </c>
      <c r="AD261" s="122" t="s">
        <v>666</v>
      </c>
      <c r="AE261" s="127">
        <v>3</v>
      </c>
      <c r="BC261" s="122"/>
      <c r="BD261" s="115"/>
      <c r="BE261" s="115"/>
      <c r="BF261" s="115"/>
      <c r="BG261" s="115"/>
      <c r="BH261" s="122" t="str">
        <f t="shared" si="30"/>
        <v/>
      </c>
      <c r="BM261" s="122"/>
      <c r="BN261" s="115"/>
      <c r="BO261" s="115"/>
      <c r="BP261" s="115"/>
      <c r="BQ261" s="115"/>
      <c r="BR261" s="122" t="str">
        <f t="shared" si="31"/>
        <v/>
      </c>
      <c r="BW261" s="122"/>
      <c r="BX261" s="115"/>
      <c r="BY261" s="115"/>
      <c r="BZ261" s="115"/>
      <c r="CA261" s="115"/>
      <c r="CB261" s="122" t="str">
        <f t="shared" si="32"/>
        <v/>
      </c>
      <c r="DA261" s="122" t="s">
        <v>289</v>
      </c>
      <c r="DB261" s="122" t="s">
        <v>5595</v>
      </c>
      <c r="DC261" s="122" t="s">
        <v>5595</v>
      </c>
      <c r="DD261" s="127">
        <v>6</v>
      </c>
      <c r="DE261" s="127">
        <v>6</v>
      </c>
      <c r="DG261" s="405" t="s">
        <v>289</v>
      </c>
      <c r="DH261" s="406" t="s">
        <v>5595</v>
      </c>
      <c r="DI261" s="406" t="str">
        <f t="shared" si="33"/>
        <v>BA, Buritirama</v>
      </c>
      <c r="DJ261" s="406">
        <v>-10.708</v>
      </c>
      <c r="DK261" s="80">
        <v>-43.631</v>
      </c>
      <c r="DL261" s="80">
        <v>492</v>
      </c>
      <c r="DM261" s="64">
        <v>6</v>
      </c>
      <c r="DN261" s="406" t="s">
        <v>6238</v>
      </c>
      <c r="DO261" s="406">
        <v>-10.72</v>
      </c>
      <c r="DP261" s="80">
        <v>502</v>
      </c>
    </row>
    <row r="262" spans="29:120" x14ac:dyDescent="0.25">
      <c r="AC262" s="122" t="s">
        <v>333</v>
      </c>
      <c r="AD262" s="122" t="s">
        <v>667</v>
      </c>
      <c r="AE262" s="127">
        <v>3</v>
      </c>
      <c r="BC262" s="122"/>
      <c r="BD262" s="115"/>
      <c r="BE262" s="115"/>
      <c r="BF262" s="115"/>
      <c r="BG262" s="115"/>
      <c r="BH262" s="122" t="str">
        <f t="shared" si="30"/>
        <v/>
      </c>
      <c r="BM262" s="122"/>
      <c r="BN262" s="115"/>
      <c r="BO262" s="115"/>
      <c r="BP262" s="115"/>
      <c r="BQ262" s="115"/>
      <c r="BR262" s="122" t="str">
        <f t="shared" si="31"/>
        <v/>
      </c>
      <c r="BW262" s="122"/>
      <c r="BX262" s="115"/>
      <c r="BY262" s="115"/>
      <c r="BZ262" s="115"/>
      <c r="CA262" s="115"/>
      <c r="CB262" s="122" t="str">
        <f t="shared" si="32"/>
        <v/>
      </c>
      <c r="DA262" s="122" t="s">
        <v>289</v>
      </c>
      <c r="DB262" s="122" t="s">
        <v>2277</v>
      </c>
      <c r="DC262" s="122" t="s">
        <v>2277</v>
      </c>
      <c r="DD262" s="127">
        <v>5</v>
      </c>
      <c r="DE262" s="127">
        <v>5</v>
      </c>
      <c r="DG262" s="405" t="s">
        <v>289</v>
      </c>
      <c r="DH262" s="406" t="s">
        <v>2277</v>
      </c>
      <c r="DI262" s="406" t="str">
        <f t="shared" si="33"/>
        <v>BA, Caatiba</v>
      </c>
      <c r="DJ262" s="406">
        <v>-14.977</v>
      </c>
      <c r="DK262" s="80">
        <v>-40.408000000000001</v>
      </c>
      <c r="DL262" s="80">
        <v>307</v>
      </c>
      <c r="DM262" s="64">
        <v>5</v>
      </c>
      <c r="DN262" s="406" t="s">
        <v>6239</v>
      </c>
      <c r="DO262" s="406">
        <v>-15.24</v>
      </c>
      <c r="DP262" s="80">
        <v>279</v>
      </c>
    </row>
    <row r="263" spans="29:120" x14ac:dyDescent="0.25">
      <c r="AC263" s="122" t="s">
        <v>333</v>
      </c>
      <c r="AD263" s="122" t="s">
        <v>668</v>
      </c>
      <c r="AE263" s="127">
        <v>3</v>
      </c>
      <c r="BC263" s="122"/>
      <c r="BD263" s="115"/>
      <c r="BE263" s="115"/>
      <c r="BF263" s="115"/>
      <c r="BG263" s="115"/>
      <c r="BH263" s="122" t="str">
        <f t="shared" si="30"/>
        <v/>
      </c>
      <c r="BM263" s="122"/>
      <c r="BN263" s="115"/>
      <c r="BO263" s="115"/>
      <c r="BP263" s="115"/>
      <c r="BQ263" s="115"/>
      <c r="BR263" s="122" t="str">
        <f t="shared" si="31"/>
        <v/>
      </c>
      <c r="BW263" s="122"/>
      <c r="BX263" s="115"/>
      <c r="BY263" s="115"/>
      <c r="BZ263" s="115"/>
      <c r="CA263" s="115"/>
      <c r="CB263" s="122" t="str">
        <f t="shared" si="32"/>
        <v/>
      </c>
      <c r="DA263" s="122" t="s">
        <v>289</v>
      </c>
      <c r="DB263" s="122" t="s">
        <v>6240</v>
      </c>
      <c r="DC263" s="122" t="s">
        <v>2169</v>
      </c>
      <c r="DD263" s="127">
        <v>8</v>
      </c>
      <c r="DE263" s="127">
        <v>8</v>
      </c>
      <c r="DG263" s="405" t="s">
        <v>289</v>
      </c>
      <c r="DH263" s="406" t="s">
        <v>2169</v>
      </c>
      <c r="DI263" s="406" t="str">
        <f t="shared" si="33"/>
        <v>BA, Cabaceiras do Paraguaçu</v>
      </c>
      <c r="DJ263" s="406">
        <v>-12.536</v>
      </c>
      <c r="DK263" s="80">
        <v>-39.191000000000003</v>
      </c>
      <c r="DL263" s="80">
        <v>210</v>
      </c>
      <c r="DM263" s="64">
        <v>8</v>
      </c>
      <c r="DN263" s="406" t="s">
        <v>6241</v>
      </c>
      <c r="DO263" s="406">
        <v>-12.67</v>
      </c>
      <c r="DP263" s="80">
        <v>226</v>
      </c>
    </row>
    <row r="264" spans="29:120" x14ac:dyDescent="0.25">
      <c r="AC264" s="122" t="s">
        <v>333</v>
      </c>
      <c r="AD264" s="122" t="s">
        <v>669</v>
      </c>
      <c r="AE264" s="127">
        <v>6</v>
      </c>
      <c r="BC264" s="122"/>
      <c r="BD264" s="115"/>
      <c r="BE264" s="115"/>
      <c r="BF264" s="115"/>
      <c r="BG264" s="115"/>
      <c r="BH264" s="122" t="str">
        <f t="shared" si="30"/>
        <v/>
      </c>
      <c r="BM264" s="122"/>
      <c r="BN264" s="115"/>
      <c r="BO264" s="115"/>
      <c r="BP264" s="115"/>
      <c r="BQ264" s="115"/>
      <c r="BR264" s="122" t="str">
        <f t="shared" si="31"/>
        <v/>
      </c>
      <c r="BW264" s="122"/>
      <c r="BX264" s="115"/>
      <c r="BY264" s="115"/>
      <c r="BZ264" s="115"/>
      <c r="CA264" s="115"/>
      <c r="CB264" s="122" t="str">
        <f t="shared" si="32"/>
        <v/>
      </c>
      <c r="DA264" s="122" t="s">
        <v>289</v>
      </c>
      <c r="DB264" s="122" t="s">
        <v>5136</v>
      </c>
      <c r="DC264" s="122" t="s">
        <v>5136</v>
      </c>
      <c r="DD264" s="127">
        <v>8</v>
      </c>
      <c r="DE264" s="127">
        <v>8</v>
      </c>
      <c r="DG264" s="405" t="s">
        <v>289</v>
      </c>
      <c r="DH264" s="406" t="s">
        <v>5136</v>
      </c>
      <c r="DI264" s="406" t="str">
        <f t="shared" si="33"/>
        <v>BA, Cachoeira</v>
      </c>
      <c r="DJ264" s="406">
        <v>-12.618</v>
      </c>
      <c r="DK264" s="80">
        <v>-38.956000000000003</v>
      </c>
      <c r="DL264" s="80">
        <v>5</v>
      </c>
      <c r="DM264" s="64">
        <v>8</v>
      </c>
      <c r="DN264" s="406" t="s">
        <v>6241</v>
      </c>
      <c r="DO264" s="406">
        <v>-12.67</v>
      </c>
      <c r="DP264" s="80">
        <v>226</v>
      </c>
    </row>
    <row r="265" spans="29:120" x14ac:dyDescent="0.25">
      <c r="AC265" s="122" t="s">
        <v>333</v>
      </c>
      <c r="AD265" s="122" t="s">
        <v>670</v>
      </c>
      <c r="AE265" s="127">
        <v>2</v>
      </c>
      <c r="BC265" s="122"/>
      <c r="BD265" s="115"/>
      <c r="BE265" s="115"/>
      <c r="BF265" s="115"/>
      <c r="BG265" s="115"/>
      <c r="BH265" s="122" t="str">
        <f t="shared" si="30"/>
        <v/>
      </c>
      <c r="BM265" s="122"/>
      <c r="BN265" s="115"/>
      <c r="BO265" s="115"/>
      <c r="BP265" s="115"/>
      <c r="BQ265" s="115"/>
      <c r="BR265" s="122" t="str">
        <f t="shared" si="31"/>
        <v/>
      </c>
      <c r="BW265" s="122"/>
      <c r="BX265" s="115"/>
      <c r="BY265" s="115"/>
      <c r="BZ265" s="115"/>
      <c r="CA265" s="115"/>
      <c r="CB265" s="122" t="str">
        <f t="shared" si="32"/>
        <v/>
      </c>
      <c r="DA265" s="122" t="s">
        <v>289</v>
      </c>
      <c r="DB265" s="122" t="s">
        <v>1970</v>
      </c>
      <c r="DC265" s="122" t="s">
        <v>1970</v>
      </c>
      <c r="DD265" s="127">
        <v>6</v>
      </c>
      <c r="DE265" s="127">
        <v>6</v>
      </c>
      <c r="DG265" s="405" t="s">
        <v>289</v>
      </c>
      <c r="DH265" s="406" t="s">
        <v>1970</v>
      </c>
      <c r="DI265" s="406" t="str">
        <f t="shared" si="33"/>
        <v>BA, Caculé</v>
      </c>
      <c r="DJ265" s="406">
        <v>-14.503</v>
      </c>
      <c r="DK265" s="80">
        <v>-42.222000000000001</v>
      </c>
      <c r="DL265" s="80">
        <v>587</v>
      </c>
      <c r="DM265" s="64">
        <v>6</v>
      </c>
      <c r="DN265" s="406" t="s">
        <v>6242</v>
      </c>
      <c r="DO265" s="406">
        <v>-14.21</v>
      </c>
      <c r="DP265" s="80">
        <v>551</v>
      </c>
    </row>
    <row r="266" spans="29:120" ht="15.75" x14ac:dyDescent="0.25">
      <c r="AC266" s="122" t="s">
        <v>333</v>
      </c>
      <c r="AD266" s="122" t="s">
        <v>671</v>
      </c>
      <c r="AE266" s="127">
        <v>2</v>
      </c>
      <c r="BC266" s="122"/>
      <c r="BD266" s="115"/>
      <c r="BE266" s="115"/>
      <c r="BF266" s="115"/>
      <c r="BG266" s="115"/>
      <c r="BH266" s="122" t="str">
        <f t="shared" si="30"/>
        <v/>
      </c>
      <c r="BM266" s="122"/>
      <c r="BN266" s="115"/>
      <c r="BO266" s="115"/>
      <c r="BP266" s="115"/>
      <c r="BQ266" s="115"/>
      <c r="BR266" s="122" t="str">
        <f t="shared" si="31"/>
        <v/>
      </c>
      <c r="BW266" s="122"/>
      <c r="BX266" s="115"/>
      <c r="BY266" s="115"/>
      <c r="BZ266" s="115"/>
      <c r="CA266" s="115"/>
      <c r="CB266" s="122" t="str">
        <f t="shared" si="32"/>
        <v/>
      </c>
      <c r="CF266" s="114"/>
      <c r="DA266" s="122" t="s">
        <v>289</v>
      </c>
      <c r="DB266" s="122" t="s">
        <v>2323</v>
      </c>
      <c r="DC266" s="122" t="s">
        <v>2323</v>
      </c>
      <c r="DD266" s="127">
        <v>8</v>
      </c>
      <c r="DE266" s="127">
        <v>8</v>
      </c>
      <c r="DG266" s="405" t="s">
        <v>289</v>
      </c>
      <c r="DH266" s="406" t="s">
        <v>2323</v>
      </c>
      <c r="DI266" s="406" t="str">
        <f t="shared" si="33"/>
        <v>BA, Caém</v>
      </c>
      <c r="DJ266" s="406">
        <v>-11.090999999999999</v>
      </c>
      <c r="DK266" s="80">
        <v>-40.435000000000002</v>
      </c>
      <c r="DL266" s="80">
        <v>472</v>
      </c>
      <c r="DM266" s="64">
        <v>8</v>
      </c>
      <c r="DN266" s="406" t="s">
        <v>6243</v>
      </c>
      <c r="DO266" s="406">
        <v>-11.21</v>
      </c>
      <c r="DP266" s="80">
        <v>453</v>
      </c>
    </row>
    <row r="267" spans="29:120" ht="15.75" x14ac:dyDescent="0.25">
      <c r="AC267" s="122" t="s">
        <v>333</v>
      </c>
      <c r="AD267" s="122" t="s">
        <v>672</v>
      </c>
      <c r="AE267" s="127">
        <v>3</v>
      </c>
      <c r="BC267" s="122"/>
      <c r="BD267" s="115"/>
      <c r="BE267" s="115"/>
      <c r="BF267" s="115"/>
      <c r="BG267" s="115"/>
      <c r="BH267" s="122" t="str">
        <f t="shared" si="30"/>
        <v/>
      </c>
      <c r="BM267" s="122"/>
      <c r="BN267" s="115"/>
      <c r="BO267" s="115"/>
      <c r="BP267" s="115"/>
      <c r="BQ267" s="115"/>
      <c r="BR267" s="122" t="str">
        <f t="shared" si="31"/>
        <v/>
      </c>
      <c r="BW267" s="122"/>
      <c r="BX267" s="115"/>
      <c r="BY267" s="115"/>
      <c r="BZ267" s="115"/>
      <c r="CA267" s="115"/>
      <c r="CB267" s="122" t="str">
        <f t="shared" si="32"/>
        <v/>
      </c>
      <c r="CF267" s="114"/>
      <c r="DA267" s="122" t="s">
        <v>289</v>
      </c>
      <c r="DB267" s="122" t="s">
        <v>2430</v>
      </c>
      <c r="DC267" s="122" t="s">
        <v>2430</v>
      </c>
      <c r="DD267" s="127">
        <v>5</v>
      </c>
      <c r="DE267" s="127">
        <v>5</v>
      </c>
      <c r="DG267" s="405" t="s">
        <v>289</v>
      </c>
      <c r="DH267" s="406" t="s">
        <v>2430</v>
      </c>
      <c r="DI267" s="406" t="str">
        <f t="shared" si="33"/>
        <v>BA, Caetanos</v>
      </c>
      <c r="DJ267" s="406">
        <v>-14.337999999999999</v>
      </c>
      <c r="DK267" s="80">
        <v>-40.909999999999997</v>
      </c>
      <c r="DL267" s="80">
        <v>455</v>
      </c>
      <c r="DM267" s="64">
        <v>5</v>
      </c>
      <c r="DN267" s="406" t="s">
        <v>6206</v>
      </c>
      <c r="DO267" s="406">
        <v>-14.87</v>
      </c>
      <c r="DP267" s="80">
        <v>870</v>
      </c>
    </row>
    <row r="268" spans="29:120" ht="15.75" x14ac:dyDescent="0.25">
      <c r="AC268" s="122" t="s">
        <v>333</v>
      </c>
      <c r="AD268" s="122" t="s">
        <v>673</v>
      </c>
      <c r="AE268" s="127">
        <v>3</v>
      </c>
      <c r="BC268" s="122"/>
      <c r="BD268" s="115"/>
      <c r="BE268" s="115"/>
      <c r="BF268" s="115"/>
      <c r="BG268" s="115"/>
      <c r="BH268" s="122" t="str">
        <f t="shared" si="30"/>
        <v/>
      </c>
      <c r="BM268" s="122"/>
      <c r="BN268" s="115"/>
      <c r="BO268" s="115"/>
      <c r="BP268" s="115"/>
      <c r="BQ268" s="115"/>
      <c r="BR268" s="122" t="str">
        <f t="shared" si="31"/>
        <v/>
      </c>
      <c r="BW268" s="122"/>
      <c r="BX268" s="115"/>
      <c r="BY268" s="115"/>
      <c r="BZ268" s="115"/>
      <c r="CA268" s="115"/>
      <c r="CB268" s="122" t="str">
        <f t="shared" si="32"/>
        <v/>
      </c>
      <c r="CF268" s="114"/>
      <c r="DA268" s="122" t="s">
        <v>289</v>
      </c>
      <c r="DB268" s="122" t="s">
        <v>2020</v>
      </c>
      <c r="DC268" s="122" t="s">
        <v>2020</v>
      </c>
      <c r="DD268" s="127">
        <v>6</v>
      </c>
      <c r="DE268" s="127">
        <v>6</v>
      </c>
      <c r="DG268" s="405" t="s">
        <v>289</v>
      </c>
      <c r="DH268" s="406" t="s">
        <v>2020</v>
      </c>
      <c r="DI268" s="406" t="str">
        <f t="shared" si="33"/>
        <v>BA, Caetité</v>
      </c>
      <c r="DJ268" s="406">
        <v>-14.069000000000001</v>
      </c>
      <c r="DK268" s="80">
        <v>-42.475000000000001</v>
      </c>
      <c r="DL268" s="80">
        <v>824</v>
      </c>
      <c r="DM268" s="64">
        <v>6</v>
      </c>
      <c r="DN268" s="406" t="s">
        <v>6242</v>
      </c>
      <c r="DO268" s="406">
        <v>-14.21</v>
      </c>
      <c r="DP268" s="80">
        <v>551</v>
      </c>
    </row>
    <row r="269" spans="29:120" ht="15.75" x14ac:dyDescent="0.25">
      <c r="AC269" s="122" t="s">
        <v>333</v>
      </c>
      <c r="AD269" s="122" t="s">
        <v>674</v>
      </c>
      <c r="AE269" s="127">
        <v>2</v>
      </c>
      <c r="BC269" s="122"/>
      <c r="BD269" s="115"/>
      <c r="BE269" s="115"/>
      <c r="BF269" s="115"/>
      <c r="BG269" s="115"/>
      <c r="BH269" s="122" t="str">
        <f t="shared" si="30"/>
        <v/>
      </c>
      <c r="BM269" s="122"/>
      <c r="BN269" s="115"/>
      <c r="BO269" s="115"/>
      <c r="BP269" s="115"/>
      <c r="BQ269" s="115"/>
      <c r="BR269" s="122" t="str">
        <f t="shared" si="31"/>
        <v/>
      </c>
      <c r="BW269" s="122"/>
      <c r="BX269" s="115"/>
      <c r="BY269" s="115"/>
      <c r="BZ269" s="115"/>
      <c r="CA269" s="115"/>
      <c r="CB269" s="122" t="str">
        <f t="shared" si="32"/>
        <v/>
      </c>
      <c r="CF269" s="114"/>
      <c r="DA269" s="122" t="s">
        <v>289</v>
      </c>
      <c r="DB269" s="122" t="s">
        <v>2019</v>
      </c>
      <c r="DC269" s="122" t="s">
        <v>2019</v>
      </c>
      <c r="DD269" s="127">
        <v>5</v>
      </c>
      <c r="DE269" s="127">
        <v>5</v>
      </c>
      <c r="DG269" s="405" t="s">
        <v>289</v>
      </c>
      <c r="DH269" s="406" t="s">
        <v>2019</v>
      </c>
      <c r="DI269" s="406" t="str">
        <f t="shared" si="33"/>
        <v>BA, Cafarnaum</v>
      </c>
      <c r="DJ269" s="406">
        <v>-11.694000000000001</v>
      </c>
      <c r="DK269" s="80">
        <v>-41.468000000000004</v>
      </c>
      <c r="DL269" s="80">
        <v>770</v>
      </c>
      <c r="DM269" s="64">
        <v>5</v>
      </c>
      <c r="DN269" s="406" t="s">
        <v>6205</v>
      </c>
      <c r="DO269" s="406">
        <v>-11.33</v>
      </c>
      <c r="DP269" s="80">
        <v>755</v>
      </c>
    </row>
    <row r="270" spans="29:120" ht="15.75" x14ac:dyDescent="0.25">
      <c r="AC270" s="122" t="s">
        <v>333</v>
      </c>
      <c r="AD270" s="122" t="s">
        <v>675</v>
      </c>
      <c r="AE270" s="127">
        <v>2</v>
      </c>
      <c r="BC270" s="122"/>
      <c r="BD270" s="115"/>
      <c r="BE270" s="115"/>
      <c r="BF270" s="115"/>
      <c r="BG270" s="115"/>
      <c r="BH270" s="122" t="str">
        <f t="shared" si="30"/>
        <v/>
      </c>
      <c r="BM270" s="122"/>
      <c r="BN270" s="115"/>
      <c r="BO270" s="115"/>
      <c r="BP270" s="115"/>
      <c r="BQ270" s="115"/>
      <c r="BR270" s="122" t="str">
        <f t="shared" si="31"/>
        <v/>
      </c>
      <c r="BW270" s="122"/>
      <c r="BX270" s="115"/>
      <c r="BY270" s="115"/>
      <c r="BZ270" s="115"/>
      <c r="CA270" s="115"/>
      <c r="CB270" s="122" t="str">
        <f t="shared" si="32"/>
        <v/>
      </c>
      <c r="CF270" s="114"/>
      <c r="DA270" s="122" t="s">
        <v>289</v>
      </c>
      <c r="DB270" s="122" t="s">
        <v>2098</v>
      </c>
      <c r="DC270" s="122" t="s">
        <v>2098</v>
      </c>
      <c r="DD270" s="127">
        <v>8</v>
      </c>
      <c r="DE270" s="127">
        <v>8</v>
      </c>
      <c r="DG270" s="405" t="s">
        <v>289</v>
      </c>
      <c r="DH270" s="406" t="s">
        <v>2098</v>
      </c>
      <c r="DI270" s="406" t="str">
        <f t="shared" si="33"/>
        <v>BA, Cairu</v>
      </c>
      <c r="DJ270" s="406">
        <v>-13.487</v>
      </c>
      <c r="DK270" s="80">
        <v>-39.043999999999997</v>
      </c>
      <c r="DL270" s="80">
        <v>19</v>
      </c>
      <c r="DM270" s="64">
        <v>8</v>
      </c>
      <c r="DN270" s="406" t="s">
        <v>6215</v>
      </c>
      <c r="DO270" s="406">
        <v>-13.37</v>
      </c>
      <c r="DP270" s="80">
        <v>39</v>
      </c>
    </row>
    <row r="271" spans="29:120" ht="15.75" x14ac:dyDescent="0.25">
      <c r="AC271" s="122" t="s">
        <v>333</v>
      </c>
      <c r="AD271" s="122" t="s">
        <v>676</v>
      </c>
      <c r="AE271" s="127">
        <v>3</v>
      </c>
      <c r="BC271" s="122"/>
      <c r="BD271" s="115"/>
      <c r="BE271" s="115"/>
      <c r="BF271" s="115"/>
      <c r="BG271" s="115"/>
      <c r="BH271" s="122" t="str">
        <f t="shared" si="30"/>
        <v/>
      </c>
      <c r="BM271" s="122"/>
      <c r="BN271" s="115"/>
      <c r="BO271" s="115"/>
      <c r="BP271" s="115"/>
      <c r="BQ271" s="115"/>
      <c r="BR271" s="122" t="str">
        <f t="shared" si="31"/>
        <v/>
      </c>
      <c r="BW271" s="122"/>
      <c r="BX271" s="115"/>
      <c r="BY271" s="115"/>
      <c r="BZ271" s="115"/>
      <c r="CA271" s="115"/>
      <c r="CB271" s="122" t="str">
        <f t="shared" si="32"/>
        <v/>
      </c>
      <c r="CF271" s="114"/>
      <c r="DA271" s="122" t="s">
        <v>289</v>
      </c>
      <c r="DB271" s="122" t="s">
        <v>6244</v>
      </c>
      <c r="DC271" s="122" t="s">
        <v>2295</v>
      </c>
      <c r="DD271" s="127">
        <v>8</v>
      </c>
      <c r="DE271" s="127">
        <v>8</v>
      </c>
      <c r="DG271" s="405" t="s">
        <v>289</v>
      </c>
      <c r="DH271" s="406" t="s">
        <v>2295</v>
      </c>
      <c r="DI271" s="406" t="str">
        <f t="shared" si="33"/>
        <v>BA, Caldeirão Grande</v>
      </c>
      <c r="DJ271" s="406">
        <v>-11.02</v>
      </c>
      <c r="DK271" s="80">
        <v>-40.302999999999997</v>
      </c>
      <c r="DL271" s="80">
        <v>492</v>
      </c>
      <c r="DM271" s="64">
        <v>8</v>
      </c>
      <c r="DN271" s="406" t="s">
        <v>6243</v>
      </c>
      <c r="DO271" s="406">
        <v>-11.21</v>
      </c>
      <c r="DP271" s="80">
        <v>453</v>
      </c>
    </row>
    <row r="272" spans="29:120" ht="15.75" x14ac:dyDescent="0.25">
      <c r="AC272" s="122" t="s">
        <v>333</v>
      </c>
      <c r="AD272" s="122" t="s">
        <v>677</v>
      </c>
      <c r="AE272" s="127">
        <v>3</v>
      </c>
      <c r="BC272" s="122"/>
      <c r="BD272" s="115"/>
      <c r="BE272" s="115"/>
      <c r="BF272" s="115"/>
      <c r="BG272" s="115"/>
      <c r="BH272" s="122" t="str">
        <f t="shared" si="30"/>
        <v/>
      </c>
      <c r="BM272" s="122"/>
      <c r="BN272" s="115"/>
      <c r="BO272" s="115"/>
      <c r="BP272" s="115"/>
      <c r="BQ272" s="115"/>
      <c r="BR272" s="122" t="str">
        <f t="shared" si="31"/>
        <v/>
      </c>
      <c r="BW272" s="122"/>
      <c r="BX272" s="115"/>
      <c r="BY272" s="115"/>
      <c r="BZ272" s="115"/>
      <c r="CA272" s="115"/>
      <c r="CB272" s="122" t="str">
        <f t="shared" si="32"/>
        <v/>
      </c>
      <c r="CF272" s="114"/>
      <c r="DA272" s="122" t="s">
        <v>289</v>
      </c>
      <c r="DB272" s="122" t="s">
        <v>1888</v>
      </c>
      <c r="DC272" s="122" t="s">
        <v>1888</v>
      </c>
      <c r="DD272" s="127">
        <v>8</v>
      </c>
      <c r="DE272" s="127">
        <v>8</v>
      </c>
      <c r="DG272" s="405" t="s">
        <v>289</v>
      </c>
      <c r="DH272" s="406" t="s">
        <v>1888</v>
      </c>
      <c r="DI272" s="406" t="str">
        <f t="shared" si="33"/>
        <v>BA, Camacan</v>
      </c>
      <c r="DJ272" s="406">
        <v>-15.419</v>
      </c>
      <c r="DK272" s="80">
        <v>-39.496000000000002</v>
      </c>
      <c r="DL272" s="80">
        <v>180</v>
      </c>
      <c r="DM272" s="64">
        <v>8</v>
      </c>
      <c r="DN272" s="406" t="s">
        <v>6214</v>
      </c>
      <c r="DO272" s="406">
        <v>-15.28</v>
      </c>
      <c r="DP272" s="80">
        <v>82</v>
      </c>
    </row>
    <row r="273" spans="29:120" ht="15.75" x14ac:dyDescent="0.25">
      <c r="AC273" s="122" t="s">
        <v>333</v>
      </c>
      <c r="AD273" s="122" t="s">
        <v>678</v>
      </c>
      <c r="AE273" s="127">
        <v>3</v>
      </c>
      <c r="BC273" s="122"/>
      <c r="BD273" s="115"/>
      <c r="BE273" s="115"/>
      <c r="BF273" s="115"/>
      <c r="BG273" s="115"/>
      <c r="BH273" s="122" t="str">
        <f t="shared" si="30"/>
        <v/>
      </c>
      <c r="BM273" s="122"/>
      <c r="BN273" s="115"/>
      <c r="BO273" s="115"/>
      <c r="BP273" s="115"/>
      <c r="BQ273" s="115"/>
      <c r="BR273" s="122" t="str">
        <f t="shared" si="31"/>
        <v/>
      </c>
      <c r="BW273" s="122"/>
      <c r="BX273" s="115"/>
      <c r="BY273" s="115"/>
      <c r="BZ273" s="115"/>
      <c r="CA273" s="115"/>
      <c r="CB273" s="122" t="str">
        <f t="shared" si="32"/>
        <v/>
      </c>
      <c r="CF273" s="114"/>
      <c r="DA273" s="122" t="s">
        <v>289</v>
      </c>
      <c r="DB273" s="122" t="s">
        <v>4308</v>
      </c>
      <c r="DC273" s="122" t="s">
        <v>4308</v>
      </c>
      <c r="DD273" s="127">
        <v>8</v>
      </c>
      <c r="DE273" s="127">
        <v>8</v>
      </c>
      <c r="DG273" s="405" t="s">
        <v>289</v>
      </c>
      <c r="DH273" s="406" t="s">
        <v>4308</v>
      </c>
      <c r="DI273" s="406" t="str">
        <f t="shared" si="33"/>
        <v>BA, Camaçari</v>
      </c>
      <c r="DJ273" s="406">
        <v>-12.698</v>
      </c>
      <c r="DK273" s="80">
        <v>-38.323999999999998</v>
      </c>
      <c r="DL273" s="80">
        <v>36</v>
      </c>
      <c r="DM273" s="64">
        <v>8</v>
      </c>
      <c r="DN273" s="406" t="s">
        <v>6245</v>
      </c>
      <c r="DO273" s="406">
        <v>-12.97</v>
      </c>
      <c r="DP273" s="80">
        <v>51</v>
      </c>
    </row>
    <row r="274" spans="29:120" x14ac:dyDescent="0.25">
      <c r="AC274" s="122" t="s">
        <v>333</v>
      </c>
      <c r="AD274" s="122" t="s">
        <v>679</v>
      </c>
      <c r="AE274" s="127">
        <v>2</v>
      </c>
      <c r="BC274" s="122"/>
      <c r="BD274" s="115"/>
      <c r="BE274" s="115"/>
      <c r="BF274" s="115"/>
      <c r="BG274" s="115"/>
      <c r="BH274" s="122" t="str">
        <f t="shared" si="30"/>
        <v/>
      </c>
      <c r="BM274" s="122"/>
      <c r="BN274" s="115"/>
      <c r="BO274" s="115"/>
      <c r="BP274" s="115"/>
      <c r="BQ274" s="115"/>
      <c r="BR274" s="122" t="str">
        <f t="shared" si="31"/>
        <v/>
      </c>
      <c r="BW274" s="122"/>
      <c r="BX274" s="115"/>
      <c r="BY274" s="115"/>
      <c r="BZ274" s="115"/>
      <c r="CA274" s="115"/>
      <c r="CB274" s="122" t="str">
        <f t="shared" si="32"/>
        <v/>
      </c>
      <c r="DA274" s="122" t="s">
        <v>289</v>
      </c>
      <c r="DB274" s="122" t="s">
        <v>5060</v>
      </c>
      <c r="DC274" s="122" t="s">
        <v>5060</v>
      </c>
      <c r="DD274" s="127">
        <v>8</v>
      </c>
      <c r="DE274" s="127">
        <v>8</v>
      </c>
      <c r="DG274" s="405" t="s">
        <v>289</v>
      </c>
      <c r="DH274" s="406" t="s">
        <v>5060</v>
      </c>
      <c r="DI274" s="406" t="str">
        <f t="shared" si="33"/>
        <v>BA, Camamu</v>
      </c>
      <c r="DJ274" s="406">
        <v>-13.945</v>
      </c>
      <c r="DK274" s="80">
        <v>-39.103999999999999</v>
      </c>
      <c r="DL274" s="80">
        <v>40</v>
      </c>
      <c r="DM274" s="64">
        <v>8</v>
      </c>
      <c r="DN274" s="406" t="s">
        <v>6246</v>
      </c>
      <c r="DO274" s="406">
        <v>-13.91</v>
      </c>
      <c r="DP274" s="80">
        <v>10</v>
      </c>
    </row>
    <row r="275" spans="29:120" x14ac:dyDescent="0.25">
      <c r="AC275" s="122" t="s">
        <v>333</v>
      </c>
      <c r="AD275" s="122" t="s">
        <v>680</v>
      </c>
      <c r="AE275" s="127">
        <v>3</v>
      </c>
      <c r="BC275" s="122"/>
      <c r="BD275" s="115"/>
      <c r="BE275" s="115"/>
      <c r="BF275" s="115"/>
      <c r="BG275" s="115"/>
      <c r="BH275" s="122" t="str">
        <f t="shared" si="30"/>
        <v/>
      </c>
      <c r="BM275" s="122"/>
      <c r="BN275" s="115"/>
      <c r="BO275" s="115"/>
      <c r="BP275" s="115"/>
      <c r="BQ275" s="115"/>
      <c r="BR275" s="122" t="str">
        <f t="shared" si="31"/>
        <v/>
      </c>
      <c r="BW275" s="122"/>
      <c r="BX275" s="115"/>
      <c r="BY275" s="115"/>
      <c r="BZ275" s="115"/>
      <c r="CA275" s="115"/>
      <c r="CB275" s="122" t="str">
        <f t="shared" si="32"/>
        <v/>
      </c>
      <c r="DA275" s="122" t="s">
        <v>289</v>
      </c>
      <c r="DB275" s="122" t="s">
        <v>6247</v>
      </c>
      <c r="DC275" s="122" t="s">
        <v>5571</v>
      </c>
      <c r="DD275" s="127">
        <v>7</v>
      </c>
      <c r="DE275" s="127">
        <v>7</v>
      </c>
      <c r="DG275" s="405" t="s">
        <v>289</v>
      </c>
      <c r="DH275" s="406" t="s">
        <v>5571</v>
      </c>
      <c r="DI275" s="406" t="str">
        <f t="shared" si="33"/>
        <v>BA, Campo Alegre de Lourdes</v>
      </c>
      <c r="DJ275" s="406">
        <v>-9.516</v>
      </c>
      <c r="DK275" s="80">
        <v>-43.011000000000003</v>
      </c>
      <c r="DL275" s="80">
        <v>477</v>
      </c>
      <c r="DM275" s="64">
        <v>7</v>
      </c>
      <c r="DN275" s="406" t="s">
        <v>6248</v>
      </c>
      <c r="DO275" s="406">
        <v>-9.2899999999999991</v>
      </c>
      <c r="DP275" s="80">
        <v>100</v>
      </c>
    </row>
    <row r="276" spans="29:120" x14ac:dyDescent="0.25">
      <c r="AC276" s="122" t="s">
        <v>333</v>
      </c>
      <c r="AD276" s="122" t="s">
        <v>681</v>
      </c>
      <c r="AE276" s="127">
        <v>3</v>
      </c>
      <c r="BC276" s="122"/>
      <c r="BD276" s="115"/>
      <c r="BE276" s="115"/>
      <c r="BF276" s="115"/>
      <c r="BG276" s="115"/>
      <c r="BH276" s="122" t="str">
        <f t="shared" si="30"/>
        <v/>
      </c>
      <c r="BM276" s="122"/>
      <c r="BN276" s="115"/>
      <c r="BO276" s="115"/>
      <c r="BP276" s="115"/>
      <c r="BQ276" s="115"/>
      <c r="BR276" s="122" t="str">
        <f t="shared" si="31"/>
        <v/>
      </c>
      <c r="BW276" s="122"/>
      <c r="BX276" s="115"/>
      <c r="BY276" s="115"/>
      <c r="BZ276" s="115"/>
      <c r="CA276" s="115"/>
      <c r="CB276" s="122" t="str">
        <f t="shared" si="32"/>
        <v/>
      </c>
      <c r="DA276" s="122" t="s">
        <v>289</v>
      </c>
      <c r="DB276" s="122" t="s">
        <v>6249</v>
      </c>
      <c r="DC276" s="122" t="s">
        <v>2354</v>
      </c>
      <c r="DD276" s="127">
        <v>7</v>
      </c>
      <c r="DE276" s="127">
        <v>7</v>
      </c>
      <c r="DG276" s="405" t="s">
        <v>289</v>
      </c>
      <c r="DH276" s="406" t="s">
        <v>2354</v>
      </c>
      <c r="DI276" s="406" t="str">
        <f t="shared" si="33"/>
        <v>BA, Campo Formoso</v>
      </c>
      <c r="DJ276" s="406">
        <v>-10.509</v>
      </c>
      <c r="DK276" s="80">
        <v>-40.320999999999998</v>
      </c>
      <c r="DL276" s="80">
        <v>556</v>
      </c>
      <c r="DM276" s="64">
        <v>7</v>
      </c>
      <c r="DN276" s="406" t="s">
        <v>6208</v>
      </c>
      <c r="DO276" s="406">
        <v>-10.44</v>
      </c>
      <c r="DP276" s="80">
        <v>548</v>
      </c>
    </row>
    <row r="277" spans="29:120" x14ac:dyDescent="0.25">
      <c r="AC277" s="122" t="s">
        <v>333</v>
      </c>
      <c r="AD277" s="122" t="s">
        <v>682</v>
      </c>
      <c r="AE277" s="127">
        <v>3</v>
      </c>
      <c r="BC277" s="122"/>
      <c r="BD277" s="115"/>
      <c r="BE277" s="115"/>
      <c r="BF277" s="115"/>
      <c r="BG277" s="115"/>
      <c r="BH277" s="122" t="str">
        <f t="shared" si="30"/>
        <v/>
      </c>
      <c r="BM277" s="122"/>
      <c r="BN277" s="115"/>
      <c r="BO277" s="115"/>
      <c r="BP277" s="115"/>
      <c r="BQ277" s="115"/>
      <c r="BR277" s="122" t="str">
        <f t="shared" si="31"/>
        <v/>
      </c>
      <c r="BW277" s="122"/>
      <c r="BX277" s="115"/>
      <c r="BY277" s="115"/>
      <c r="BZ277" s="115"/>
      <c r="CA277" s="115"/>
      <c r="CB277" s="122" t="str">
        <f t="shared" si="32"/>
        <v/>
      </c>
      <c r="DA277" s="122" t="s">
        <v>289</v>
      </c>
      <c r="DB277" s="122" t="s">
        <v>2994</v>
      </c>
      <c r="DC277" s="122" t="s">
        <v>2994</v>
      </c>
      <c r="DD277" s="127">
        <v>6</v>
      </c>
      <c r="DE277" s="127">
        <v>6</v>
      </c>
      <c r="DG277" s="405" t="s">
        <v>289</v>
      </c>
      <c r="DH277" s="406" t="s">
        <v>2994</v>
      </c>
      <c r="DI277" s="406" t="str">
        <f t="shared" si="33"/>
        <v>BA, Canápolis</v>
      </c>
      <c r="DJ277" s="406">
        <v>-13.07</v>
      </c>
      <c r="DK277" s="80">
        <v>-44.201999999999998</v>
      </c>
      <c r="DL277" s="80">
        <v>680</v>
      </c>
      <c r="DM277" s="64">
        <v>6</v>
      </c>
      <c r="DN277" s="406" t="s">
        <v>6250</v>
      </c>
      <c r="DO277" s="406">
        <v>-13.33</v>
      </c>
      <c r="DP277" s="80">
        <v>549</v>
      </c>
    </row>
    <row r="278" spans="29:120" x14ac:dyDescent="0.25">
      <c r="AC278" s="122" t="s">
        <v>333</v>
      </c>
      <c r="AD278" s="122" t="s">
        <v>683</v>
      </c>
      <c r="AE278" s="127">
        <v>2</v>
      </c>
      <c r="BC278" s="122"/>
      <c r="BD278" s="115"/>
      <c r="BE278" s="115"/>
      <c r="BF278" s="115"/>
      <c r="BG278" s="115"/>
      <c r="BH278" s="122" t="str">
        <f t="shared" si="30"/>
        <v/>
      </c>
      <c r="BM278" s="122"/>
      <c r="BN278" s="115"/>
      <c r="BO278" s="115"/>
      <c r="BP278" s="115"/>
      <c r="BQ278" s="115"/>
      <c r="BR278" s="122" t="str">
        <f t="shared" si="31"/>
        <v/>
      </c>
      <c r="BW278" s="122"/>
      <c r="BX278" s="115"/>
      <c r="BY278" s="115"/>
      <c r="BZ278" s="115"/>
      <c r="CA278" s="115"/>
      <c r="CB278" s="122" t="str">
        <f t="shared" si="32"/>
        <v/>
      </c>
      <c r="DA278" s="122" t="s">
        <v>289</v>
      </c>
      <c r="DB278" s="122" t="s">
        <v>2551</v>
      </c>
      <c r="DC278" s="122" t="s">
        <v>2551</v>
      </c>
      <c r="DD278" s="127">
        <v>5</v>
      </c>
      <c r="DE278" s="127">
        <v>5</v>
      </c>
      <c r="DG278" s="405" t="s">
        <v>289</v>
      </c>
      <c r="DH278" s="406" t="s">
        <v>2551</v>
      </c>
      <c r="DI278" s="406" t="str">
        <f t="shared" si="33"/>
        <v>BA, Canarana</v>
      </c>
      <c r="DJ278" s="406">
        <v>-11.685</v>
      </c>
      <c r="DK278" s="80">
        <v>-41.768999999999998</v>
      </c>
      <c r="DL278" s="80">
        <v>691</v>
      </c>
      <c r="DM278" s="64">
        <v>5</v>
      </c>
      <c r="DN278" s="406" t="s">
        <v>6205</v>
      </c>
      <c r="DO278" s="406">
        <v>-11.33</v>
      </c>
      <c r="DP278" s="80">
        <v>755</v>
      </c>
    </row>
    <row r="279" spans="29:120" x14ac:dyDescent="0.25">
      <c r="AC279" s="122" t="s">
        <v>333</v>
      </c>
      <c r="AD279" s="122" t="s">
        <v>684</v>
      </c>
      <c r="AE279" s="127">
        <v>3</v>
      </c>
      <c r="BC279" s="122"/>
      <c r="BD279" s="115"/>
      <c r="BE279" s="115"/>
      <c r="BF279" s="115"/>
      <c r="BG279" s="115"/>
      <c r="BH279" s="122" t="str">
        <f t="shared" si="30"/>
        <v/>
      </c>
      <c r="BM279" s="122"/>
      <c r="BN279" s="115"/>
      <c r="BO279" s="115"/>
      <c r="BP279" s="115"/>
      <c r="BQ279" s="115"/>
      <c r="BR279" s="122" t="str">
        <f t="shared" si="31"/>
        <v/>
      </c>
      <c r="BW279" s="122"/>
      <c r="BX279" s="115"/>
      <c r="BY279" s="115"/>
      <c r="BZ279" s="115"/>
      <c r="CA279" s="115"/>
      <c r="CB279" s="122" t="str">
        <f t="shared" si="32"/>
        <v/>
      </c>
      <c r="DA279" s="122" t="s">
        <v>289</v>
      </c>
      <c r="DB279" s="122" t="s">
        <v>1849</v>
      </c>
      <c r="DC279" s="122" t="s">
        <v>1849</v>
      </c>
      <c r="DD279" s="127">
        <v>8</v>
      </c>
      <c r="DE279" s="127">
        <v>8</v>
      </c>
      <c r="DG279" s="405" t="s">
        <v>289</v>
      </c>
      <c r="DH279" s="406" t="s">
        <v>1849</v>
      </c>
      <c r="DI279" s="406" t="str">
        <f t="shared" si="33"/>
        <v>BA, Canavieiras</v>
      </c>
      <c r="DJ279" s="406">
        <v>-15.675000000000001</v>
      </c>
      <c r="DK279" s="80">
        <v>-38.947000000000003</v>
      </c>
      <c r="DL279" s="80">
        <v>4</v>
      </c>
      <c r="DM279" s="64">
        <v>8</v>
      </c>
      <c r="DN279" s="406" t="s">
        <v>6214</v>
      </c>
      <c r="DO279" s="406">
        <v>-15.28</v>
      </c>
      <c r="DP279" s="80">
        <v>82</v>
      </c>
    </row>
    <row r="280" spans="29:120" x14ac:dyDescent="0.25">
      <c r="AC280" s="122" t="s">
        <v>333</v>
      </c>
      <c r="AD280" s="122" t="s">
        <v>685</v>
      </c>
      <c r="AE280" s="127">
        <v>3</v>
      </c>
      <c r="BC280" s="122"/>
      <c r="BD280" s="115"/>
      <c r="BE280" s="115"/>
      <c r="BF280" s="115"/>
      <c r="BG280" s="115"/>
      <c r="BH280" s="122" t="str">
        <f t="shared" si="30"/>
        <v/>
      </c>
      <c r="BM280" s="122"/>
      <c r="BN280" s="115"/>
      <c r="BO280" s="115"/>
      <c r="BP280" s="115"/>
      <c r="BQ280" s="115"/>
      <c r="BR280" s="122" t="str">
        <f t="shared" si="31"/>
        <v/>
      </c>
      <c r="BW280" s="122"/>
      <c r="BX280" s="115"/>
      <c r="BY280" s="115"/>
      <c r="BZ280" s="115"/>
      <c r="CA280" s="115"/>
      <c r="CB280" s="122" t="str">
        <f t="shared" si="32"/>
        <v/>
      </c>
      <c r="DA280" s="122" t="s">
        <v>289</v>
      </c>
      <c r="DB280" s="122" t="s">
        <v>3464</v>
      </c>
      <c r="DC280" s="122" t="s">
        <v>3464</v>
      </c>
      <c r="DD280" s="127">
        <v>8</v>
      </c>
      <c r="DE280" s="127">
        <v>8</v>
      </c>
      <c r="DG280" s="405" t="s">
        <v>289</v>
      </c>
      <c r="DH280" s="406" t="s">
        <v>3464</v>
      </c>
      <c r="DI280" s="406" t="str">
        <f t="shared" si="33"/>
        <v>BA, Candeal</v>
      </c>
      <c r="DJ280" s="406">
        <v>-11.808</v>
      </c>
      <c r="DK280" s="80">
        <v>-39.119</v>
      </c>
      <c r="DL280" s="80">
        <v>240</v>
      </c>
      <c r="DM280" s="64">
        <v>8</v>
      </c>
      <c r="DN280" s="406" t="s">
        <v>6198</v>
      </c>
      <c r="DO280" s="406">
        <v>-11.66</v>
      </c>
      <c r="DP280" s="80">
        <v>339</v>
      </c>
    </row>
    <row r="281" spans="29:120" x14ac:dyDescent="0.25">
      <c r="AC281" s="122" t="s">
        <v>333</v>
      </c>
      <c r="AD281" s="122" t="s">
        <v>686</v>
      </c>
      <c r="AE281" s="127">
        <v>3</v>
      </c>
      <c r="BC281" s="122"/>
      <c r="BD281" s="115"/>
      <c r="BE281" s="115"/>
      <c r="BF281" s="115"/>
      <c r="BG281" s="115"/>
      <c r="BH281" s="122" t="str">
        <f t="shared" si="30"/>
        <v/>
      </c>
      <c r="BM281" s="122"/>
      <c r="BN281" s="115"/>
      <c r="BO281" s="115"/>
      <c r="BP281" s="115"/>
      <c r="BQ281" s="115"/>
      <c r="BR281" s="122" t="str">
        <f t="shared" si="31"/>
        <v/>
      </c>
      <c r="BW281" s="122"/>
      <c r="BX281" s="115"/>
      <c r="BY281" s="115"/>
      <c r="BZ281" s="115"/>
      <c r="CA281" s="115"/>
      <c r="CB281" s="122" t="str">
        <f t="shared" si="32"/>
        <v/>
      </c>
      <c r="DA281" s="122" t="s">
        <v>289</v>
      </c>
      <c r="DB281" s="122" t="s">
        <v>2353</v>
      </c>
      <c r="DC281" s="122" t="s">
        <v>2353</v>
      </c>
      <c r="DD281" s="127">
        <v>8</v>
      </c>
      <c r="DE281" s="127">
        <v>8</v>
      </c>
      <c r="DG281" s="405" t="s">
        <v>289</v>
      </c>
      <c r="DH281" s="406" t="s">
        <v>2353</v>
      </c>
      <c r="DI281" s="406" t="str">
        <f t="shared" si="33"/>
        <v>BA, Candeias</v>
      </c>
      <c r="DJ281" s="406">
        <v>-12.667999999999999</v>
      </c>
      <c r="DK281" s="80">
        <v>-38.551000000000002</v>
      </c>
      <c r="DL281" s="80">
        <v>97</v>
      </c>
      <c r="DM281" s="64">
        <v>8</v>
      </c>
      <c r="DN281" s="406" t="s">
        <v>6245</v>
      </c>
      <c r="DO281" s="406">
        <v>-12.97</v>
      </c>
      <c r="DP281" s="80">
        <v>51</v>
      </c>
    </row>
    <row r="282" spans="29:120" x14ac:dyDescent="0.25">
      <c r="AC282" s="122" t="s">
        <v>333</v>
      </c>
      <c r="AD282" s="122" t="s">
        <v>687</v>
      </c>
      <c r="AE282" s="127">
        <v>3</v>
      </c>
      <c r="BC282" s="122"/>
      <c r="BD282" s="115"/>
      <c r="BE282" s="115"/>
      <c r="BF282" s="115"/>
      <c r="BG282" s="115"/>
      <c r="BH282" s="122" t="str">
        <f t="shared" si="30"/>
        <v/>
      </c>
      <c r="BM282" s="122"/>
      <c r="BN282" s="115"/>
      <c r="BO282" s="115"/>
      <c r="BP282" s="115"/>
      <c r="BQ282" s="115"/>
      <c r="BR282" s="122" t="str">
        <f t="shared" si="31"/>
        <v/>
      </c>
      <c r="BW282" s="122"/>
      <c r="BX282" s="115"/>
      <c r="BY282" s="115"/>
      <c r="BZ282" s="115"/>
      <c r="CA282" s="115"/>
      <c r="CB282" s="122" t="str">
        <f t="shared" si="32"/>
        <v/>
      </c>
      <c r="DA282" s="122" t="s">
        <v>289</v>
      </c>
      <c r="DB282" s="122" t="s">
        <v>5139</v>
      </c>
      <c r="DC282" s="122" t="s">
        <v>5139</v>
      </c>
      <c r="DD282" s="127">
        <v>6</v>
      </c>
      <c r="DE282" s="127">
        <v>6</v>
      </c>
      <c r="DG282" s="405" t="s">
        <v>289</v>
      </c>
      <c r="DH282" s="406" t="s">
        <v>5139</v>
      </c>
      <c r="DI282" s="406" t="str">
        <f t="shared" si="33"/>
        <v>BA, Candiba</v>
      </c>
      <c r="DJ282" s="406">
        <v>-14.411</v>
      </c>
      <c r="DK282" s="80">
        <v>-42.866999999999997</v>
      </c>
      <c r="DL282" s="80">
        <v>578</v>
      </c>
      <c r="DM282" s="64">
        <v>6</v>
      </c>
      <c r="DN282" s="406" t="s">
        <v>6242</v>
      </c>
      <c r="DO282" s="406">
        <v>-14.21</v>
      </c>
      <c r="DP282" s="80">
        <v>551</v>
      </c>
    </row>
    <row r="283" spans="29:120" x14ac:dyDescent="0.25">
      <c r="AC283" s="122" t="s">
        <v>333</v>
      </c>
      <c r="AD283" s="122" t="s">
        <v>688</v>
      </c>
      <c r="AE283" s="127">
        <v>3</v>
      </c>
      <c r="BC283" s="122"/>
      <c r="BD283" s="115"/>
      <c r="BE283" s="115"/>
      <c r="BF283" s="115"/>
      <c r="BG283" s="115"/>
      <c r="BH283" s="122" t="str">
        <f t="shared" si="30"/>
        <v/>
      </c>
      <c r="BM283" s="122"/>
      <c r="BN283" s="115"/>
      <c r="BO283" s="115"/>
      <c r="BP283" s="115"/>
      <c r="BQ283" s="115"/>
      <c r="BR283" s="122" t="str">
        <f t="shared" si="31"/>
        <v/>
      </c>
      <c r="BW283" s="122"/>
      <c r="BX283" s="115"/>
      <c r="BY283" s="115"/>
      <c r="BZ283" s="115"/>
      <c r="CA283" s="115"/>
      <c r="CB283" s="122" t="str">
        <f t="shared" si="32"/>
        <v/>
      </c>
      <c r="DA283" s="122" t="s">
        <v>289</v>
      </c>
      <c r="DB283" s="122" t="s">
        <v>6251</v>
      </c>
      <c r="DC283" s="122" t="s">
        <v>2706</v>
      </c>
      <c r="DD283" s="127">
        <v>5</v>
      </c>
      <c r="DE283" s="127">
        <v>5</v>
      </c>
      <c r="DG283" s="405" t="s">
        <v>289</v>
      </c>
      <c r="DH283" s="406" t="s">
        <v>2706</v>
      </c>
      <c r="DI283" s="406" t="str">
        <f t="shared" si="33"/>
        <v>BA, Cândido Sales</v>
      </c>
      <c r="DJ283" s="406">
        <v>-15.505000000000001</v>
      </c>
      <c r="DK283" s="80">
        <v>-41.238999999999997</v>
      </c>
      <c r="DL283" s="80">
        <v>627</v>
      </c>
      <c r="DM283" s="64">
        <v>5</v>
      </c>
      <c r="DN283" s="406" t="s">
        <v>6252</v>
      </c>
      <c r="DO283" s="406">
        <v>-15.75</v>
      </c>
      <c r="DP283" s="80">
        <v>740</v>
      </c>
    </row>
    <row r="284" spans="29:120" x14ac:dyDescent="0.25">
      <c r="AC284" s="122" t="s">
        <v>333</v>
      </c>
      <c r="AD284" s="122" t="s">
        <v>689</v>
      </c>
      <c r="AE284" s="127">
        <v>2</v>
      </c>
      <c r="BC284" s="122"/>
      <c r="BD284" s="115"/>
      <c r="BE284" s="115"/>
      <c r="BF284" s="115"/>
      <c r="BG284" s="115"/>
      <c r="BH284" s="122" t="str">
        <f t="shared" si="30"/>
        <v/>
      </c>
      <c r="BM284" s="122"/>
      <c r="BN284" s="115"/>
      <c r="BO284" s="115"/>
      <c r="BP284" s="115"/>
      <c r="BQ284" s="115"/>
      <c r="BR284" s="122" t="str">
        <f t="shared" si="31"/>
        <v/>
      </c>
      <c r="BW284" s="122"/>
      <c r="BX284" s="115"/>
      <c r="BY284" s="115"/>
      <c r="BZ284" s="115"/>
      <c r="CA284" s="115"/>
      <c r="CB284" s="122" t="str">
        <f t="shared" si="32"/>
        <v/>
      </c>
      <c r="DA284" s="122" t="s">
        <v>289</v>
      </c>
      <c r="DB284" s="122" t="s">
        <v>5215</v>
      </c>
      <c r="DC284" s="122" t="s">
        <v>5215</v>
      </c>
      <c r="DD284" s="127">
        <v>6</v>
      </c>
      <c r="DE284" s="127">
        <v>6</v>
      </c>
      <c r="DG284" s="405" t="s">
        <v>289</v>
      </c>
      <c r="DH284" s="406" t="s">
        <v>5215</v>
      </c>
      <c r="DI284" s="406" t="str">
        <f t="shared" si="33"/>
        <v>BA, Cansanção</v>
      </c>
      <c r="DJ284" s="406">
        <v>-10.670999999999999</v>
      </c>
      <c r="DK284" s="80">
        <v>-39.497999999999998</v>
      </c>
      <c r="DL284" s="80">
        <v>395</v>
      </c>
      <c r="DM284" s="64">
        <v>6</v>
      </c>
      <c r="DN284" s="406" t="s">
        <v>6253</v>
      </c>
      <c r="DO284" s="406">
        <v>-10.98</v>
      </c>
      <c r="DP284" s="80">
        <v>315</v>
      </c>
    </row>
    <row r="285" spans="29:120" x14ac:dyDescent="0.25">
      <c r="AC285" s="122" t="s">
        <v>333</v>
      </c>
      <c r="AD285" s="122" t="s">
        <v>690</v>
      </c>
      <c r="AE285" s="127">
        <v>4</v>
      </c>
      <c r="BC285" s="122"/>
      <c r="BD285" s="115"/>
      <c r="BE285" s="115"/>
      <c r="BF285" s="115"/>
      <c r="BG285" s="115"/>
      <c r="BH285" s="122" t="str">
        <f t="shared" si="30"/>
        <v/>
      </c>
      <c r="BM285" s="122"/>
      <c r="BN285" s="115"/>
      <c r="BO285" s="115"/>
      <c r="BP285" s="115"/>
      <c r="BQ285" s="115"/>
      <c r="BR285" s="122" t="str">
        <f t="shared" si="31"/>
        <v/>
      </c>
      <c r="BW285" s="122"/>
      <c r="BX285" s="115"/>
      <c r="BY285" s="115"/>
      <c r="BZ285" s="115"/>
      <c r="CA285" s="115"/>
      <c r="CB285" s="122" t="str">
        <f t="shared" si="32"/>
        <v/>
      </c>
      <c r="DA285" s="122" t="s">
        <v>289</v>
      </c>
      <c r="DB285" s="122" t="s">
        <v>2182</v>
      </c>
      <c r="DC285" s="122" t="s">
        <v>2182</v>
      </c>
      <c r="DD285" s="127">
        <v>7</v>
      </c>
      <c r="DE285" s="127">
        <v>7</v>
      </c>
      <c r="DG285" s="405" t="s">
        <v>289</v>
      </c>
      <c r="DH285" s="406" t="s">
        <v>2182</v>
      </c>
      <c r="DI285" s="406" t="str">
        <f t="shared" si="33"/>
        <v>BA, Canudos</v>
      </c>
      <c r="DJ285" s="406">
        <v>-9.9640000000000004</v>
      </c>
      <c r="DK285" s="80">
        <v>-39.164000000000001</v>
      </c>
      <c r="DL285" s="80">
        <v>402</v>
      </c>
      <c r="DM285" s="64">
        <v>7</v>
      </c>
      <c r="DN285" s="406" t="s">
        <v>6254</v>
      </c>
      <c r="DO285" s="406">
        <v>-9.83</v>
      </c>
      <c r="DP285" s="80">
        <v>453</v>
      </c>
    </row>
    <row r="286" spans="29:120" x14ac:dyDescent="0.25">
      <c r="AC286" s="122" t="s">
        <v>333</v>
      </c>
      <c r="AD286" s="122" t="s">
        <v>691</v>
      </c>
      <c r="AE286" s="127">
        <v>3</v>
      </c>
      <c r="BC286" s="122"/>
      <c r="BD286" s="115"/>
      <c r="BE286" s="115"/>
      <c r="BF286" s="115"/>
      <c r="BG286" s="115"/>
      <c r="BH286" s="122" t="str">
        <f t="shared" si="30"/>
        <v/>
      </c>
      <c r="BM286" s="122"/>
      <c r="BN286" s="115"/>
      <c r="BO286" s="115"/>
      <c r="BP286" s="115"/>
      <c r="BQ286" s="115"/>
      <c r="BR286" s="122" t="str">
        <f t="shared" si="31"/>
        <v/>
      </c>
      <c r="BW286" s="122"/>
      <c r="BX286" s="115"/>
      <c r="BY286" s="115"/>
      <c r="BZ286" s="115"/>
      <c r="CA286" s="115"/>
      <c r="CB286" s="122" t="str">
        <f t="shared" si="32"/>
        <v/>
      </c>
      <c r="DA286" s="122" t="s">
        <v>289</v>
      </c>
      <c r="DB286" s="122" t="s">
        <v>6255</v>
      </c>
      <c r="DC286" s="122" t="s">
        <v>2246</v>
      </c>
      <c r="DD286" s="127">
        <v>8</v>
      </c>
      <c r="DE286" s="127">
        <v>8</v>
      </c>
      <c r="DG286" s="405" t="s">
        <v>289</v>
      </c>
      <c r="DH286" s="406" t="s">
        <v>2246</v>
      </c>
      <c r="DI286" s="406" t="str">
        <f t="shared" si="33"/>
        <v>BA, Capela do Alto Alegre</v>
      </c>
      <c r="DJ286" s="406">
        <v>-11.667999999999999</v>
      </c>
      <c r="DK286" s="80">
        <v>-39.838000000000001</v>
      </c>
      <c r="DL286" s="80">
        <v>412</v>
      </c>
      <c r="DM286" s="64">
        <v>8</v>
      </c>
      <c r="DN286" s="406" t="s">
        <v>6218</v>
      </c>
      <c r="DO286" s="406">
        <v>-12.14</v>
      </c>
      <c r="DP286" s="80">
        <v>380</v>
      </c>
    </row>
    <row r="287" spans="29:120" x14ac:dyDescent="0.25">
      <c r="AC287" s="122" t="s">
        <v>333</v>
      </c>
      <c r="AD287" s="122" t="s">
        <v>692</v>
      </c>
      <c r="AE287" s="127">
        <v>2</v>
      </c>
      <c r="BC287" s="122"/>
      <c r="BD287" s="115"/>
      <c r="BE287" s="115"/>
      <c r="BF287" s="115"/>
      <c r="BG287" s="115"/>
      <c r="BH287" s="122" t="str">
        <f t="shared" si="30"/>
        <v/>
      </c>
      <c r="BM287" s="122"/>
      <c r="BN287" s="115"/>
      <c r="BO287" s="115"/>
      <c r="BP287" s="115"/>
      <c r="BQ287" s="115"/>
      <c r="BR287" s="122" t="str">
        <f t="shared" si="31"/>
        <v/>
      </c>
      <c r="BW287" s="122"/>
      <c r="BX287" s="115"/>
      <c r="BY287" s="115"/>
      <c r="BZ287" s="115"/>
      <c r="CA287" s="115"/>
      <c r="CB287" s="122" t="str">
        <f t="shared" si="32"/>
        <v/>
      </c>
      <c r="DA287" s="122" t="s">
        <v>289</v>
      </c>
      <c r="DB287" s="122" t="s">
        <v>6256</v>
      </c>
      <c r="DC287" s="122" t="s">
        <v>5196</v>
      </c>
      <c r="DD287" s="127">
        <v>8</v>
      </c>
      <c r="DE287" s="127">
        <v>8</v>
      </c>
      <c r="DG287" s="405" t="s">
        <v>289</v>
      </c>
      <c r="DH287" s="406" t="s">
        <v>5196</v>
      </c>
      <c r="DI287" s="406" t="str">
        <f t="shared" si="33"/>
        <v>BA, Capim Grosso</v>
      </c>
      <c r="DJ287" s="406">
        <v>-11.381</v>
      </c>
      <c r="DK287" s="80">
        <v>-40.012999999999998</v>
      </c>
      <c r="DL287" s="80">
        <v>416</v>
      </c>
      <c r="DM287" s="64">
        <v>8</v>
      </c>
      <c r="DN287" s="406" t="s">
        <v>6243</v>
      </c>
      <c r="DO287" s="406">
        <v>-11.21</v>
      </c>
      <c r="DP287" s="80">
        <v>453</v>
      </c>
    </row>
    <row r="288" spans="29:120" x14ac:dyDescent="0.25">
      <c r="AC288" s="122" t="s">
        <v>333</v>
      </c>
      <c r="AD288" s="122" t="s">
        <v>693</v>
      </c>
      <c r="AE288" s="127">
        <v>4</v>
      </c>
      <c r="BC288" s="122"/>
      <c r="BD288" s="115"/>
      <c r="BE288" s="115"/>
      <c r="BF288" s="115"/>
      <c r="BG288" s="115"/>
      <c r="BH288" s="122" t="str">
        <f t="shared" si="30"/>
        <v/>
      </c>
      <c r="BM288" s="122"/>
      <c r="BN288" s="115"/>
      <c r="BO288" s="115"/>
      <c r="BP288" s="115"/>
      <c r="BQ288" s="115"/>
      <c r="BR288" s="122" t="str">
        <f t="shared" si="31"/>
        <v/>
      </c>
      <c r="BW288" s="122"/>
      <c r="BX288" s="115"/>
      <c r="BY288" s="115"/>
      <c r="BZ288" s="115"/>
      <c r="CA288" s="115"/>
      <c r="CB288" s="122" t="str">
        <f t="shared" si="32"/>
        <v/>
      </c>
      <c r="DA288" s="122" t="s">
        <v>289</v>
      </c>
      <c r="DB288" s="122" t="s">
        <v>2468</v>
      </c>
      <c r="DC288" s="122" t="s">
        <v>2468</v>
      </c>
      <c r="DD288" s="127">
        <v>5</v>
      </c>
      <c r="DE288" s="127">
        <v>5</v>
      </c>
      <c r="DG288" s="405" t="s">
        <v>289</v>
      </c>
      <c r="DH288" s="406" t="s">
        <v>2468</v>
      </c>
      <c r="DI288" s="406" t="str">
        <f t="shared" si="33"/>
        <v>BA, Caraíbas</v>
      </c>
      <c r="DJ288" s="406">
        <v>-14.6</v>
      </c>
      <c r="DK288" s="80">
        <v>-41.335000000000001</v>
      </c>
      <c r="DL288" s="80">
        <v>401</v>
      </c>
      <c r="DM288" s="64">
        <v>5</v>
      </c>
      <c r="DN288" s="406" t="s">
        <v>6213</v>
      </c>
      <c r="DO288" s="406">
        <v>-14.18</v>
      </c>
      <c r="DP288" s="80">
        <v>470</v>
      </c>
    </row>
    <row r="289" spans="29:120" x14ac:dyDescent="0.25">
      <c r="AC289" s="122" t="s">
        <v>333</v>
      </c>
      <c r="AD289" s="122" t="s">
        <v>694</v>
      </c>
      <c r="AE289" s="127">
        <v>3</v>
      </c>
      <c r="BC289" s="122"/>
      <c r="BD289" s="115"/>
      <c r="BE289" s="115"/>
      <c r="BF289" s="115"/>
      <c r="BG289" s="115"/>
      <c r="BH289" s="122" t="str">
        <f t="shared" si="30"/>
        <v/>
      </c>
      <c r="BM289" s="122"/>
      <c r="BN289" s="115"/>
      <c r="BO289" s="115"/>
      <c r="BP289" s="115"/>
      <c r="BQ289" s="115"/>
      <c r="BR289" s="122" t="str">
        <f t="shared" si="31"/>
        <v/>
      </c>
      <c r="BW289" s="122"/>
      <c r="BX289" s="115"/>
      <c r="BY289" s="115"/>
      <c r="BZ289" s="115"/>
      <c r="CA289" s="115"/>
      <c r="CB289" s="122" t="str">
        <f t="shared" si="32"/>
        <v/>
      </c>
      <c r="DA289" s="122" t="s">
        <v>289</v>
      </c>
      <c r="DB289" s="122" t="s">
        <v>5032</v>
      </c>
      <c r="DC289" s="122" t="s">
        <v>5032</v>
      </c>
      <c r="DD289" s="127">
        <v>8</v>
      </c>
      <c r="DE289" s="127">
        <v>8</v>
      </c>
      <c r="DG289" s="405" t="s">
        <v>289</v>
      </c>
      <c r="DH289" s="406" t="s">
        <v>5032</v>
      </c>
      <c r="DI289" s="406" t="str">
        <f t="shared" si="33"/>
        <v>BA, Caravelas</v>
      </c>
      <c r="DJ289" s="406">
        <v>-17.731999999999999</v>
      </c>
      <c r="DK289" s="80">
        <v>-39.265999999999998</v>
      </c>
      <c r="DL289" s="80">
        <v>10</v>
      </c>
      <c r="DM289" s="64">
        <v>8</v>
      </c>
      <c r="DN289" s="406" t="s">
        <v>6201</v>
      </c>
      <c r="DO289" s="406">
        <v>-17.73</v>
      </c>
      <c r="DP289" s="80">
        <v>3</v>
      </c>
    </row>
    <row r="290" spans="29:120" x14ac:dyDescent="0.25">
      <c r="AC290" s="122" t="s">
        <v>333</v>
      </c>
      <c r="AD290" s="122" t="s">
        <v>695</v>
      </c>
      <c r="AE290" s="127">
        <v>2</v>
      </c>
      <c r="BC290" s="122"/>
      <c r="BD290" s="115"/>
      <c r="BE290" s="115"/>
      <c r="BF290" s="115"/>
      <c r="BG290" s="115"/>
      <c r="BH290" s="122" t="str">
        <f t="shared" si="30"/>
        <v/>
      </c>
      <c r="BM290" s="122"/>
      <c r="BN290" s="115"/>
      <c r="BO290" s="115"/>
      <c r="BP290" s="115"/>
      <c r="BQ290" s="115"/>
      <c r="BR290" s="122" t="str">
        <f t="shared" si="31"/>
        <v/>
      </c>
      <c r="BW290" s="122"/>
      <c r="BX290" s="115"/>
      <c r="BY290" s="115"/>
      <c r="BZ290" s="115"/>
      <c r="CA290" s="115"/>
      <c r="CB290" s="122" t="str">
        <f t="shared" si="32"/>
        <v/>
      </c>
      <c r="DA290" s="122" t="s">
        <v>289</v>
      </c>
      <c r="DB290" s="122" t="s">
        <v>6257</v>
      </c>
      <c r="DC290" s="122" t="s">
        <v>1885</v>
      </c>
      <c r="DD290" s="127">
        <v>8</v>
      </c>
      <c r="DE290" s="127">
        <v>8</v>
      </c>
      <c r="DG290" s="405" t="s">
        <v>289</v>
      </c>
      <c r="DH290" s="406" t="s">
        <v>1885</v>
      </c>
      <c r="DI290" s="406" t="str">
        <f t="shared" si="33"/>
        <v>BA, Cardeal da Silva</v>
      </c>
      <c r="DJ290" s="406">
        <v>-11.942</v>
      </c>
      <c r="DK290" s="80">
        <v>-37.948999999999998</v>
      </c>
      <c r="DL290" s="80">
        <v>60</v>
      </c>
      <c r="DM290" s="64">
        <v>8</v>
      </c>
      <c r="DN290" s="406" t="s">
        <v>6195</v>
      </c>
      <c r="DO290" s="406">
        <v>-11.81</v>
      </c>
      <c r="DP290" s="80">
        <v>14</v>
      </c>
    </row>
    <row r="291" spans="29:120" x14ac:dyDescent="0.25">
      <c r="AC291" s="122" t="s">
        <v>333</v>
      </c>
      <c r="AD291" s="122" t="s">
        <v>696</v>
      </c>
      <c r="AE291" s="127">
        <v>3</v>
      </c>
      <c r="BC291" s="122"/>
      <c r="BD291" s="115"/>
      <c r="BE291" s="115"/>
      <c r="BF291" s="115"/>
      <c r="BG291" s="115"/>
      <c r="BH291" s="122" t="str">
        <f t="shared" si="30"/>
        <v/>
      </c>
      <c r="BM291" s="122"/>
      <c r="BN291" s="115"/>
      <c r="BO291" s="115"/>
      <c r="BP291" s="115"/>
      <c r="BQ291" s="115"/>
      <c r="BR291" s="122" t="str">
        <f t="shared" si="31"/>
        <v/>
      </c>
      <c r="BW291" s="122"/>
      <c r="BX291" s="115"/>
      <c r="BY291" s="115"/>
      <c r="BZ291" s="115"/>
      <c r="CA291" s="115"/>
      <c r="CB291" s="122" t="str">
        <f t="shared" si="32"/>
        <v/>
      </c>
      <c r="DA291" s="122" t="s">
        <v>289</v>
      </c>
      <c r="DB291" s="122" t="s">
        <v>5554</v>
      </c>
      <c r="DC291" s="122" t="s">
        <v>5554</v>
      </c>
      <c r="DD291" s="127">
        <v>6</v>
      </c>
      <c r="DE291" s="127">
        <v>6</v>
      </c>
      <c r="DG291" s="405" t="s">
        <v>289</v>
      </c>
      <c r="DH291" s="406" t="s">
        <v>5554</v>
      </c>
      <c r="DI291" s="406" t="str">
        <f t="shared" si="33"/>
        <v>BA, Carinhanha</v>
      </c>
      <c r="DJ291" s="406">
        <v>-14.305</v>
      </c>
      <c r="DK291" s="80">
        <v>-43.765000000000001</v>
      </c>
      <c r="DL291" s="80">
        <v>440</v>
      </c>
      <c r="DM291" s="64">
        <v>6</v>
      </c>
      <c r="DN291" s="406" t="s">
        <v>6258</v>
      </c>
      <c r="DO291" s="406">
        <v>-14.42</v>
      </c>
      <c r="DP291" s="80">
        <v>512</v>
      </c>
    </row>
    <row r="292" spans="29:120" x14ac:dyDescent="0.25">
      <c r="AC292" s="122" t="s">
        <v>333</v>
      </c>
      <c r="AD292" s="122" t="s">
        <v>697</v>
      </c>
      <c r="AE292" s="127">
        <v>3</v>
      </c>
      <c r="BC292" s="122"/>
      <c r="BD292" s="115"/>
      <c r="BE292" s="115"/>
      <c r="BF292" s="115"/>
      <c r="BG292" s="115"/>
      <c r="BH292" s="122" t="str">
        <f t="shared" si="30"/>
        <v/>
      </c>
      <c r="BM292" s="122"/>
      <c r="BN292" s="115"/>
      <c r="BO292" s="115"/>
      <c r="BP292" s="115"/>
      <c r="BQ292" s="115"/>
      <c r="BR292" s="122" t="str">
        <f t="shared" si="31"/>
        <v/>
      </c>
      <c r="BW292" s="122"/>
      <c r="BX292" s="115"/>
      <c r="BY292" s="115"/>
      <c r="BZ292" s="115"/>
      <c r="CA292" s="115"/>
      <c r="CB292" s="122" t="str">
        <f t="shared" si="32"/>
        <v/>
      </c>
      <c r="DA292" s="122" t="s">
        <v>289</v>
      </c>
      <c r="DB292" s="122" t="s">
        <v>6259</v>
      </c>
      <c r="DC292" s="122" t="s">
        <v>5322</v>
      </c>
      <c r="DD292" s="127">
        <v>7</v>
      </c>
      <c r="DE292" s="127">
        <v>7</v>
      </c>
      <c r="DG292" s="405" t="s">
        <v>289</v>
      </c>
      <c r="DH292" s="406" t="s">
        <v>5322</v>
      </c>
      <c r="DI292" s="406" t="str">
        <f t="shared" si="33"/>
        <v>BA, Casa Nova</v>
      </c>
      <c r="DJ292" s="406">
        <v>-9.1620000000000008</v>
      </c>
      <c r="DK292" s="80">
        <v>-40.970999999999997</v>
      </c>
      <c r="DL292" s="80">
        <v>397</v>
      </c>
      <c r="DM292" s="64">
        <v>7</v>
      </c>
      <c r="DN292" s="406" t="s">
        <v>6260</v>
      </c>
      <c r="DO292" s="406">
        <v>-9.39</v>
      </c>
      <c r="DP292" s="80">
        <v>370</v>
      </c>
    </row>
    <row r="293" spans="29:120" x14ac:dyDescent="0.25">
      <c r="AC293" s="122" t="s">
        <v>333</v>
      </c>
      <c r="AD293" s="122" t="s">
        <v>698</v>
      </c>
      <c r="AE293" s="127">
        <v>3</v>
      </c>
      <c r="BC293" s="122"/>
      <c r="BD293" s="115"/>
      <c r="BE293" s="115"/>
      <c r="BF293" s="115"/>
      <c r="BG293" s="115"/>
      <c r="BH293" s="122" t="str">
        <f t="shared" si="30"/>
        <v/>
      </c>
      <c r="BM293" s="122"/>
      <c r="BN293" s="115"/>
      <c r="BO293" s="115"/>
      <c r="BP293" s="115"/>
      <c r="BQ293" s="115"/>
      <c r="BR293" s="122" t="str">
        <f t="shared" si="31"/>
        <v/>
      </c>
      <c r="BW293" s="122"/>
      <c r="BX293" s="115"/>
      <c r="BY293" s="115"/>
      <c r="BZ293" s="115"/>
      <c r="CA293" s="115"/>
      <c r="CB293" s="122" t="str">
        <f t="shared" si="32"/>
        <v/>
      </c>
      <c r="DA293" s="122" t="s">
        <v>289</v>
      </c>
      <c r="DB293" s="122" t="s">
        <v>6261</v>
      </c>
      <c r="DC293" s="122" t="s">
        <v>2039</v>
      </c>
      <c r="DD293" s="127">
        <v>8</v>
      </c>
      <c r="DE293" s="127">
        <v>8</v>
      </c>
      <c r="DG293" s="405" t="s">
        <v>289</v>
      </c>
      <c r="DH293" s="406" t="s">
        <v>2039</v>
      </c>
      <c r="DI293" s="406" t="str">
        <f t="shared" si="33"/>
        <v>BA, Castro Alves</v>
      </c>
      <c r="DJ293" s="406">
        <v>-12.766</v>
      </c>
      <c r="DK293" s="80">
        <v>-39.427999999999997</v>
      </c>
      <c r="DL293" s="80">
        <v>278</v>
      </c>
      <c r="DM293" s="64">
        <v>8</v>
      </c>
      <c r="DN293" s="406" t="s">
        <v>6202</v>
      </c>
      <c r="DO293" s="406">
        <v>-13.01</v>
      </c>
      <c r="DP293" s="80">
        <v>407</v>
      </c>
    </row>
    <row r="294" spans="29:120" x14ac:dyDescent="0.25">
      <c r="AC294" s="122" t="s">
        <v>333</v>
      </c>
      <c r="AD294" s="122" t="s">
        <v>699</v>
      </c>
      <c r="AE294" s="127">
        <v>3</v>
      </c>
      <c r="BC294" s="122"/>
      <c r="BD294" s="115"/>
      <c r="BE294" s="115"/>
      <c r="BF294" s="115"/>
      <c r="BG294" s="115"/>
      <c r="BH294" s="122" t="str">
        <f t="shared" si="30"/>
        <v/>
      </c>
      <c r="BM294" s="122"/>
      <c r="BN294" s="115"/>
      <c r="BO294" s="115"/>
      <c r="BP294" s="115"/>
      <c r="BQ294" s="115"/>
      <c r="BR294" s="122" t="str">
        <f t="shared" si="31"/>
        <v/>
      </c>
      <c r="BW294" s="122"/>
      <c r="BX294" s="115"/>
      <c r="BY294" s="115"/>
      <c r="BZ294" s="115"/>
      <c r="CA294" s="115"/>
      <c r="CB294" s="122" t="str">
        <f t="shared" si="32"/>
        <v/>
      </c>
      <c r="DA294" s="122" t="s">
        <v>289</v>
      </c>
      <c r="DB294" s="122" t="s">
        <v>3017</v>
      </c>
      <c r="DC294" s="122" t="s">
        <v>3017</v>
      </c>
      <c r="DD294" s="127">
        <v>6</v>
      </c>
      <c r="DE294" s="127">
        <v>6</v>
      </c>
      <c r="DG294" s="405" t="s">
        <v>289</v>
      </c>
      <c r="DH294" s="406" t="s">
        <v>3017</v>
      </c>
      <c r="DI294" s="406" t="str">
        <f t="shared" si="33"/>
        <v>BA, Catolândia</v>
      </c>
      <c r="DJ294" s="406">
        <v>-12.318</v>
      </c>
      <c r="DK294" s="80">
        <v>-44.860999999999997</v>
      </c>
      <c r="DL294" s="80">
        <v>650</v>
      </c>
      <c r="DM294" s="64">
        <v>6</v>
      </c>
      <c r="DN294" s="406" t="s">
        <v>6209</v>
      </c>
      <c r="DO294" s="406">
        <v>-12.15</v>
      </c>
      <c r="DP294" s="80">
        <v>470</v>
      </c>
    </row>
    <row r="295" spans="29:120" x14ac:dyDescent="0.25">
      <c r="AC295" s="122" t="s">
        <v>333</v>
      </c>
      <c r="AD295" s="122" t="s">
        <v>700</v>
      </c>
      <c r="AE295" s="127">
        <v>3</v>
      </c>
      <c r="BC295" s="122"/>
      <c r="BD295" s="115"/>
      <c r="BE295" s="115"/>
      <c r="BF295" s="115"/>
      <c r="BG295" s="115"/>
      <c r="BH295" s="122" t="str">
        <f t="shared" si="30"/>
        <v/>
      </c>
      <c r="BM295" s="122"/>
      <c r="BN295" s="115"/>
      <c r="BO295" s="115"/>
      <c r="BP295" s="115"/>
      <c r="BQ295" s="115"/>
      <c r="BR295" s="122" t="str">
        <f t="shared" si="31"/>
        <v/>
      </c>
      <c r="BW295" s="122"/>
      <c r="BX295" s="115"/>
      <c r="BY295" s="115"/>
      <c r="BZ295" s="115"/>
      <c r="CA295" s="115"/>
      <c r="CB295" s="122" t="str">
        <f t="shared" si="32"/>
        <v/>
      </c>
      <c r="DA295" s="122" t="s">
        <v>289</v>
      </c>
      <c r="DB295" s="122" t="s">
        <v>1914</v>
      </c>
      <c r="DC295" s="122" t="s">
        <v>1914</v>
      </c>
      <c r="DD295" s="127">
        <v>8</v>
      </c>
      <c r="DE295" s="127">
        <v>8</v>
      </c>
      <c r="DG295" s="405" t="s">
        <v>289</v>
      </c>
      <c r="DH295" s="406" t="s">
        <v>1914</v>
      </c>
      <c r="DI295" s="406" t="str">
        <f t="shared" si="33"/>
        <v>BA, Catu</v>
      </c>
      <c r="DJ295" s="406">
        <v>-12.353</v>
      </c>
      <c r="DK295" s="80">
        <v>-38.378999999999998</v>
      </c>
      <c r="DL295" s="80">
        <v>100</v>
      </c>
      <c r="DM295" s="64">
        <v>8</v>
      </c>
      <c r="DN295" s="406" t="s">
        <v>6200</v>
      </c>
      <c r="DO295" s="406">
        <v>-12.27</v>
      </c>
      <c r="DP295" s="80">
        <v>231</v>
      </c>
    </row>
    <row r="296" spans="29:120" x14ac:dyDescent="0.25">
      <c r="AC296" s="122" t="s">
        <v>333</v>
      </c>
      <c r="AD296" s="122" t="s">
        <v>701</v>
      </c>
      <c r="AE296" s="127">
        <v>3</v>
      </c>
      <c r="BC296" s="122"/>
      <c r="BD296" s="115"/>
      <c r="BE296" s="115"/>
      <c r="BF296" s="115"/>
      <c r="BG296" s="115"/>
      <c r="BH296" s="122" t="str">
        <f t="shared" si="30"/>
        <v/>
      </c>
      <c r="BM296" s="122"/>
      <c r="BN296" s="115"/>
      <c r="BO296" s="115"/>
      <c r="BP296" s="115"/>
      <c r="BQ296" s="115"/>
      <c r="BR296" s="122" t="str">
        <f t="shared" si="31"/>
        <v/>
      </c>
      <c r="BW296" s="122"/>
      <c r="BX296" s="115"/>
      <c r="BY296" s="115"/>
      <c r="BZ296" s="115"/>
      <c r="CA296" s="115"/>
      <c r="CB296" s="122" t="str">
        <f t="shared" si="32"/>
        <v/>
      </c>
      <c r="DA296" s="122" t="s">
        <v>289</v>
      </c>
      <c r="DB296" s="122" t="s">
        <v>2644</v>
      </c>
      <c r="DC296" s="122" t="s">
        <v>2644</v>
      </c>
      <c r="DD296" s="127">
        <v>6</v>
      </c>
      <c r="DE296" s="127">
        <v>6</v>
      </c>
      <c r="DG296" s="405" t="s">
        <v>289</v>
      </c>
      <c r="DH296" s="406" t="s">
        <v>2644</v>
      </c>
      <c r="DI296" s="406" t="str">
        <f t="shared" si="33"/>
        <v>BA, Caturama</v>
      </c>
      <c r="DJ296" s="406">
        <v>-13.329000000000001</v>
      </c>
      <c r="DK296" s="80">
        <v>-42.290999999999997</v>
      </c>
      <c r="DL296" s="80">
        <v>591</v>
      </c>
      <c r="DM296" s="64">
        <v>6</v>
      </c>
      <c r="DN296" s="406" t="s">
        <v>6193</v>
      </c>
      <c r="DO296" s="406">
        <v>-13.16</v>
      </c>
      <c r="DP296" s="80">
        <v>1290</v>
      </c>
    </row>
    <row r="297" spans="29:120" x14ac:dyDescent="0.25">
      <c r="AC297" s="122" t="s">
        <v>333</v>
      </c>
      <c r="AD297" s="122" t="s">
        <v>702</v>
      </c>
      <c r="AE297" s="127">
        <v>3</v>
      </c>
      <c r="BC297" s="122"/>
      <c r="BD297" s="115"/>
      <c r="BE297" s="115"/>
      <c r="BF297" s="115"/>
      <c r="BG297" s="115"/>
      <c r="BH297" s="122" t="str">
        <f t="shared" si="30"/>
        <v/>
      </c>
      <c r="BM297" s="122"/>
      <c r="BN297" s="115"/>
      <c r="BO297" s="115"/>
      <c r="BP297" s="115"/>
      <c r="BQ297" s="115"/>
      <c r="BR297" s="122" t="str">
        <f t="shared" si="31"/>
        <v/>
      </c>
      <c r="BW297" s="122"/>
      <c r="BX297" s="115"/>
      <c r="BY297" s="115"/>
      <c r="BZ297" s="115"/>
      <c r="CA297" s="115"/>
      <c r="CB297" s="122" t="str">
        <f t="shared" si="32"/>
        <v/>
      </c>
      <c r="DA297" s="122" t="s">
        <v>289</v>
      </c>
      <c r="DB297" s="122" t="s">
        <v>2607</v>
      </c>
      <c r="DC297" s="122" t="s">
        <v>2607</v>
      </c>
      <c r="DD297" s="127">
        <v>6</v>
      </c>
      <c r="DE297" s="127">
        <v>6</v>
      </c>
      <c r="DG297" s="405" t="s">
        <v>289</v>
      </c>
      <c r="DH297" s="406" t="s">
        <v>2607</v>
      </c>
      <c r="DI297" s="406" t="str">
        <f t="shared" si="33"/>
        <v>BA, Central</v>
      </c>
      <c r="DJ297" s="406">
        <v>-11.135999999999999</v>
      </c>
      <c r="DK297" s="80">
        <v>-42.113</v>
      </c>
      <c r="DL297" s="80">
        <v>698</v>
      </c>
      <c r="DM297" s="64">
        <v>6</v>
      </c>
      <c r="DN297" s="406" t="s">
        <v>6205</v>
      </c>
      <c r="DO297" s="406">
        <v>-11.33</v>
      </c>
      <c r="DP297" s="80">
        <v>755</v>
      </c>
    </row>
    <row r="298" spans="29:120" x14ac:dyDescent="0.25">
      <c r="AC298" s="122" t="s">
        <v>333</v>
      </c>
      <c r="AD298" s="122" t="s">
        <v>703</v>
      </c>
      <c r="AE298" s="127">
        <v>2</v>
      </c>
      <c r="BC298" s="122"/>
      <c r="BD298" s="115"/>
      <c r="BE298" s="115"/>
      <c r="BF298" s="115"/>
      <c r="BG298" s="115"/>
      <c r="BH298" s="122" t="str">
        <f t="shared" si="30"/>
        <v/>
      </c>
      <c r="BM298" s="122"/>
      <c r="BN298" s="115"/>
      <c r="BO298" s="115"/>
      <c r="BP298" s="115"/>
      <c r="BQ298" s="115"/>
      <c r="BR298" s="122" t="str">
        <f t="shared" si="31"/>
        <v/>
      </c>
      <c r="BW298" s="122"/>
      <c r="BX298" s="115"/>
      <c r="BY298" s="115"/>
      <c r="BZ298" s="115"/>
      <c r="CA298" s="115"/>
      <c r="CB298" s="122" t="str">
        <f t="shared" si="32"/>
        <v/>
      </c>
      <c r="DA298" s="122" t="s">
        <v>289</v>
      </c>
      <c r="DB298" s="122" t="s">
        <v>5330</v>
      </c>
      <c r="DC298" s="122" t="s">
        <v>5330</v>
      </c>
      <c r="DD298" s="127">
        <v>8</v>
      </c>
      <c r="DE298" s="127">
        <v>8</v>
      </c>
      <c r="DG298" s="405" t="s">
        <v>289</v>
      </c>
      <c r="DH298" s="406" t="s">
        <v>5330</v>
      </c>
      <c r="DI298" s="406" t="str">
        <f t="shared" si="33"/>
        <v>BA, Chorrochó</v>
      </c>
      <c r="DJ298" s="406">
        <v>-8.98</v>
      </c>
      <c r="DK298" s="80">
        <v>-39.094000000000001</v>
      </c>
      <c r="DL298" s="80">
        <v>350</v>
      </c>
      <c r="DM298" s="64">
        <v>8</v>
      </c>
      <c r="DN298" s="406" t="s">
        <v>6194</v>
      </c>
      <c r="DO298" s="406">
        <v>-8.5</v>
      </c>
      <c r="DP298" s="80">
        <v>342</v>
      </c>
    </row>
    <row r="299" spans="29:120" x14ac:dyDescent="0.25">
      <c r="AC299" s="122" t="s">
        <v>333</v>
      </c>
      <c r="AD299" s="122" t="s">
        <v>704</v>
      </c>
      <c r="AE299" s="127">
        <v>3</v>
      </c>
      <c r="BC299" s="122"/>
      <c r="BD299" s="115"/>
      <c r="BE299" s="115"/>
      <c r="BF299" s="115"/>
      <c r="BG299" s="115"/>
      <c r="BH299" s="122" t="str">
        <f t="shared" si="30"/>
        <v/>
      </c>
      <c r="BM299" s="122"/>
      <c r="BN299" s="115"/>
      <c r="BO299" s="115"/>
      <c r="BP299" s="115"/>
      <c r="BQ299" s="115"/>
      <c r="BR299" s="122" t="str">
        <f t="shared" si="31"/>
        <v/>
      </c>
      <c r="BW299" s="122"/>
      <c r="BX299" s="115"/>
      <c r="BY299" s="115"/>
      <c r="BZ299" s="115"/>
      <c r="CA299" s="115"/>
      <c r="CB299" s="122" t="str">
        <f t="shared" si="32"/>
        <v/>
      </c>
      <c r="DA299" s="122" t="s">
        <v>289</v>
      </c>
      <c r="DB299" s="122" t="s">
        <v>6262</v>
      </c>
      <c r="DC299" s="122" t="s">
        <v>3517</v>
      </c>
      <c r="DD299" s="127">
        <v>8</v>
      </c>
      <c r="DE299" s="127">
        <v>8</v>
      </c>
      <c r="DG299" s="405" t="s">
        <v>289</v>
      </c>
      <c r="DH299" s="406" t="s">
        <v>3517</v>
      </c>
      <c r="DI299" s="406" t="str">
        <f t="shared" si="33"/>
        <v>BA, Cícero Dantas</v>
      </c>
      <c r="DJ299" s="406">
        <v>-10.6</v>
      </c>
      <c r="DK299" s="80">
        <v>-38.383000000000003</v>
      </c>
      <c r="DL299" s="80">
        <v>436</v>
      </c>
      <c r="DM299" s="64">
        <v>8</v>
      </c>
      <c r="DN299" s="406" t="s">
        <v>6196</v>
      </c>
      <c r="DO299" s="406">
        <v>-10.74</v>
      </c>
      <c r="DP299" s="80">
        <v>362</v>
      </c>
    </row>
    <row r="300" spans="29:120" x14ac:dyDescent="0.25">
      <c r="AC300" s="122" t="s">
        <v>333</v>
      </c>
      <c r="AD300" s="122" t="s">
        <v>705</v>
      </c>
      <c r="AE300" s="127">
        <v>3</v>
      </c>
      <c r="BC300" s="122"/>
      <c r="BD300" s="115"/>
      <c r="BE300" s="115"/>
      <c r="BF300" s="115"/>
      <c r="BG300" s="115"/>
      <c r="BH300" s="122" t="str">
        <f t="shared" si="30"/>
        <v/>
      </c>
      <c r="BM300" s="122"/>
      <c r="BN300" s="115"/>
      <c r="BO300" s="115"/>
      <c r="BP300" s="115"/>
      <c r="BQ300" s="115"/>
      <c r="BR300" s="122" t="str">
        <f t="shared" si="31"/>
        <v/>
      </c>
      <c r="BW300" s="122"/>
      <c r="BX300" s="115"/>
      <c r="BY300" s="115"/>
      <c r="BZ300" s="115"/>
      <c r="CA300" s="115"/>
      <c r="CB300" s="122" t="str">
        <f t="shared" si="32"/>
        <v/>
      </c>
      <c r="DA300" s="122" t="s">
        <v>289</v>
      </c>
      <c r="DB300" s="122" t="s">
        <v>5468</v>
      </c>
      <c r="DC300" s="122" t="s">
        <v>5468</v>
      </c>
      <c r="DD300" s="127">
        <v>8</v>
      </c>
      <c r="DE300" s="127">
        <v>8</v>
      </c>
      <c r="DG300" s="405" t="s">
        <v>289</v>
      </c>
      <c r="DH300" s="406" t="s">
        <v>5468</v>
      </c>
      <c r="DI300" s="406" t="str">
        <f t="shared" si="33"/>
        <v>BA, Cipó</v>
      </c>
      <c r="DJ300" s="406">
        <v>-11.1</v>
      </c>
      <c r="DK300" s="80">
        <v>-38.517000000000003</v>
      </c>
      <c r="DL300" s="80">
        <v>132</v>
      </c>
      <c r="DM300" s="64">
        <v>8</v>
      </c>
      <c r="DN300" s="406" t="s">
        <v>6196</v>
      </c>
      <c r="DO300" s="406">
        <v>-10.74</v>
      </c>
      <c r="DP300" s="80">
        <v>362</v>
      </c>
    </row>
    <row r="301" spans="29:120" x14ac:dyDescent="0.25">
      <c r="AC301" s="122" t="s">
        <v>333</v>
      </c>
      <c r="AD301" s="122" t="s">
        <v>706</v>
      </c>
      <c r="AE301" s="127">
        <v>3</v>
      </c>
      <c r="BC301" s="122"/>
      <c r="BD301" s="115"/>
      <c r="BE301" s="115"/>
      <c r="BF301" s="115"/>
      <c r="BG301" s="115"/>
      <c r="BH301" s="122" t="str">
        <f t="shared" si="30"/>
        <v/>
      </c>
      <c r="BM301" s="122"/>
      <c r="BN301" s="115"/>
      <c r="BO301" s="115"/>
      <c r="BP301" s="115"/>
      <c r="BQ301" s="115"/>
      <c r="BR301" s="122" t="str">
        <f t="shared" si="31"/>
        <v/>
      </c>
      <c r="BW301" s="122"/>
      <c r="BX301" s="115"/>
      <c r="BY301" s="115"/>
      <c r="BZ301" s="115"/>
      <c r="CA301" s="115"/>
      <c r="CB301" s="122" t="str">
        <f t="shared" si="32"/>
        <v/>
      </c>
      <c r="DA301" s="122" t="s">
        <v>289</v>
      </c>
      <c r="DB301" s="122" t="s">
        <v>2172</v>
      </c>
      <c r="DC301" s="122" t="s">
        <v>2172</v>
      </c>
      <c r="DD301" s="127">
        <v>8</v>
      </c>
      <c r="DE301" s="127">
        <v>8</v>
      </c>
      <c r="DG301" s="405" t="s">
        <v>289</v>
      </c>
      <c r="DH301" s="406" t="s">
        <v>2172</v>
      </c>
      <c r="DI301" s="406" t="str">
        <f t="shared" si="33"/>
        <v>BA, Coaraci</v>
      </c>
      <c r="DJ301" s="406">
        <v>-14.641</v>
      </c>
      <c r="DK301" s="80">
        <v>-39.551000000000002</v>
      </c>
      <c r="DL301" s="80">
        <v>195</v>
      </c>
      <c r="DM301" s="64">
        <v>8</v>
      </c>
      <c r="DN301" s="406" t="s">
        <v>6227</v>
      </c>
      <c r="DO301" s="406">
        <v>-14.79</v>
      </c>
      <c r="DP301" s="80">
        <v>78</v>
      </c>
    </row>
    <row r="302" spans="29:120" x14ac:dyDescent="0.25">
      <c r="AC302" s="122" t="s">
        <v>333</v>
      </c>
      <c r="AD302" s="122" t="s">
        <v>707</v>
      </c>
      <c r="AE302" s="127">
        <v>2</v>
      </c>
      <c r="BC302" s="122"/>
      <c r="BD302" s="115"/>
      <c r="BE302" s="115"/>
      <c r="BF302" s="115"/>
      <c r="BG302" s="115"/>
      <c r="BH302" s="122" t="str">
        <f t="shared" si="30"/>
        <v/>
      </c>
      <c r="BM302" s="122"/>
      <c r="BN302" s="115"/>
      <c r="BO302" s="115"/>
      <c r="BP302" s="115"/>
      <c r="BQ302" s="115"/>
      <c r="BR302" s="122" t="str">
        <f t="shared" si="31"/>
        <v/>
      </c>
      <c r="BW302" s="122"/>
      <c r="BX302" s="115"/>
      <c r="BY302" s="115"/>
      <c r="BZ302" s="115"/>
      <c r="CA302" s="115"/>
      <c r="CB302" s="122" t="str">
        <f t="shared" si="32"/>
        <v/>
      </c>
      <c r="DA302" s="122" t="s">
        <v>289</v>
      </c>
      <c r="DB302" s="122" t="s">
        <v>2895</v>
      </c>
      <c r="DC302" s="122" t="s">
        <v>2895</v>
      </c>
      <c r="DD302" s="127">
        <v>6</v>
      </c>
      <c r="DE302" s="127">
        <v>6</v>
      </c>
      <c r="DG302" s="405" t="s">
        <v>289</v>
      </c>
      <c r="DH302" s="406" t="s">
        <v>2895</v>
      </c>
      <c r="DI302" s="406" t="str">
        <f t="shared" si="33"/>
        <v>BA, Cocos</v>
      </c>
      <c r="DJ302" s="406">
        <v>-14.183999999999999</v>
      </c>
      <c r="DK302" s="80">
        <v>-44.533999999999999</v>
      </c>
      <c r="DL302" s="80">
        <v>559</v>
      </c>
      <c r="DM302" s="64">
        <v>6</v>
      </c>
      <c r="DN302" s="406" t="s">
        <v>6258</v>
      </c>
      <c r="DO302" s="406">
        <v>-14.42</v>
      </c>
      <c r="DP302" s="80">
        <v>512</v>
      </c>
    </row>
    <row r="303" spans="29:120" x14ac:dyDescent="0.25">
      <c r="AC303" s="122" t="s">
        <v>333</v>
      </c>
      <c r="AD303" s="122" t="s">
        <v>708</v>
      </c>
      <c r="AE303" s="127">
        <v>2</v>
      </c>
      <c r="BC303" s="122"/>
      <c r="BD303" s="115"/>
      <c r="BE303" s="115"/>
      <c r="BF303" s="115"/>
      <c r="BG303" s="115"/>
      <c r="BH303" s="122" t="str">
        <f t="shared" si="30"/>
        <v/>
      </c>
      <c r="BM303" s="122"/>
      <c r="BN303" s="115"/>
      <c r="BO303" s="115"/>
      <c r="BP303" s="115"/>
      <c r="BQ303" s="115"/>
      <c r="BR303" s="122" t="str">
        <f t="shared" si="31"/>
        <v/>
      </c>
      <c r="BW303" s="122"/>
      <c r="BX303" s="115"/>
      <c r="BY303" s="115"/>
      <c r="BZ303" s="115"/>
      <c r="CA303" s="115"/>
      <c r="CB303" s="122" t="str">
        <f t="shared" si="32"/>
        <v/>
      </c>
      <c r="DA303" s="122" t="s">
        <v>289</v>
      </c>
      <c r="DB303" s="122" t="s">
        <v>6263</v>
      </c>
      <c r="DC303" s="122" t="s">
        <v>2124</v>
      </c>
      <c r="DD303" s="127">
        <v>8</v>
      </c>
      <c r="DE303" s="127">
        <v>8</v>
      </c>
      <c r="DG303" s="405" t="s">
        <v>289</v>
      </c>
      <c r="DH303" s="406" t="s">
        <v>2124</v>
      </c>
      <c r="DI303" s="406" t="str">
        <f t="shared" si="33"/>
        <v>BA, Conceição da Feira</v>
      </c>
      <c r="DJ303" s="406">
        <v>-12.506</v>
      </c>
      <c r="DK303" s="80">
        <v>-38.999000000000002</v>
      </c>
      <c r="DL303" s="80">
        <v>227</v>
      </c>
      <c r="DM303" s="64">
        <v>8</v>
      </c>
      <c r="DN303" s="406" t="s">
        <v>6241</v>
      </c>
      <c r="DO303" s="406">
        <v>-12.67</v>
      </c>
      <c r="DP303" s="80">
        <v>226</v>
      </c>
    </row>
    <row r="304" spans="29:120" x14ac:dyDescent="0.25">
      <c r="AC304" s="122" t="s">
        <v>333</v>
      </c>
      <c r="AD304" s="122" t="s">
        <v>709</v>
      </c>
      <c r="AE304" s="127">
        <v>3</v>
      </c>
      <c r="BC304" s="122"/>
      <c r="BD304" s="115"/>
      <c r="BE304" s="115"/>
      <c r="BF304" s="115"/>
      <c r="BG304" s="115"/>
      <c r="BH304" s="122" t="str">
        <f t="shared" si="30"/>
        <v/>
      </c>
      <c r="BM304" s="122"/>
      <c r="BN304" s="115"/>
      <c r="BO304" s="115"/>
      <c r="BP304" s="115"/>
      <c r="BQ304" s="115"/>
      <c r="BR304" s="122" t="str">
        <f t="shared" si="31"/>
        <v/>
      </c>
      <c r="BW304" s="122"/>
      <c r="BX304" s="115"/>
      <c r="BY304" s="115"/>
      <c r="BZ304" s="115"/>
      <c r="CA304" s="115"/>
      <c r="CB304" s="122" t="str">
        <f t="shared" si="32"/>
        <v/>
      </c>
      <c r="DA304" s="122" t="s">
        <v>289</v>
      </c>
      <c r="DB304" s="122" t="s">
        <v>6264</v>
      </c>
      <c r="DC304" s="122" t="s">
        <v>2084</v>
      </c>
      <c r="DD304" s="127">
        <v>8</v>
      </c>
      <c r="DE304" s="127">
        <v>8</v>
      </c>
      <c r="DG304" s="405" t="s">
        <v>289</v>
      </c>
      <c r="DH304" s="406" t="s">
        <v>2084</v>
      </c>
      <c r="DI304" s="406" t="str">
        <f t="shared" si="33"/>
        <v>BA, Conceição do Almeida</v>
      </c>
      <c r="DJ304" s="406">
        <v>-12.808999999999999</v>
      </c>
      <c r="DK304" s="80">
        <v>-39.164000000000001</v>
      </c>
      <c r="DL304" s="80">
        <v>216</v>
      </c>
      <c r="DM304" s="64">
        <v>8</v>
      </c>
      <c r="DN304" s="406" t="s">
        <v>6241</v>
      </c>
      <c r="DO304" s="406">
        <v>-12.67</v>
      </c>
      <c r="DP304" s="80">
        <v>226</v>
      </c>
    </row>
    <row r="305" spans="29:120" x14ac:dyDescent="0.25">
      <c r="AC305" s="122" t="s">
        <v>311</v>
      </c>
      <c r="AD305" s="122" t="s">
        <v>710</v>
      </c>
      <c r="AE305" s="127">
        <v>1</v>
      </c>
      <c r="BC305" s="122"/>
      <c r="BD305" s="115"/>
      <c r="BE305" s="115"/>
      <c r="BF305" s="115"/>
      <c r="BG305" s="115"/>
      <c r="BH305" s="122" t="str">
        <f t="shared" si="30"/>
        <v/>
      </c>
      <c r="BM305" s="122"/>
      <c r="BN305" s="115"/>
      <c r="BO305" s="115"/>
      <c r="BP305" s="115"/>
      <c r="BQ305" s="115"/>
      <c r="BR305" s="122" t="str">
        <f t="shared" si="31"/>
        <v/>
      </c>
      <c r="BW305" s="122"/>
      <c r="BX305" s="115"/>
      <c r="BY305" s="115"/>
      <c r="BZ305" s="115"/>
      <c r="CA305" s="115"/>
      <c r="CB305" s="122" t="str">
        <f t="shared" si="32"/>
        <v/>
      </c>
      <c r="DA305" s="122" t="s">
        <v>289</v>
      </c>
      <c r="DB305" s="122" t="s">
        <v>6265</v>
      </c>
      <c r="DC305" s="122" t="s">
        <v>2292</v>
      </c>
      <c r="DD305" s="127">
        <v>8</v>
      </c>
      <c r="DE305" s="127">
        <v>8</v>
      </c>
      <c r="DG305" s="405" t="s">
        <v>289</v>
      </c>
      <c r="DH305" s="406" t="s">
        <v>2292</v>
      </c>
      <c r="DI305" s="406" t="str">
        <f t="shared" si="33"/>
        <v>BA, Conceição do Coité</v>
      </c>
      <c r="DJ305" s="406">
        <v>-11.564</v>
      </c>
      <c r="DK305" s="80">
        <v>-39.283000000000001</v>
      </c>
      <c r="DL305" s="80">
        <v>440</v>
      </c>
      <c r="DM305" s="64">
        <v>8</v>
      </c>
      <c r="DN305" s="406" t="s">
        <v>6198</v>
      </c>
      <c r="DO305" s="406">
        <v>-11.66</v>
      </c>
      <c r="DP305" s="80">
        <v>339</v>
      </c>
    </row>
    <row r="306" spans="29:120" ht="15.75" x14ac:dyDescent="0.25">
      <c r="AC306" s="122" t="s">
        <v>311</v>
      </c>
      <c r="AD306" s="122" t="s">
        <v>711</v>
      </c>
      <c r="AE306" s="127">
        <v>1</v>
      </c>
      <c r="BC306" s="122"/>
      <c r="BD306" s="115"/>
      <c r="BE306" s="115"/>
      <c r="BF306" s="115"/>
      <c r="BG306" s="115"/>
      <c r="BH306" s="122" t="str">
        <f t="shared" si="30"/>
        <v/>
      </c>
      <c r="BM306" s="122"/>
      <c r="BN306" s="115"/>
      <c r="BO306" s="115"/>
      <c r="BP306" s="115"/>
      <c r="BQ306" s="115"/>
      <c r="BR306" s="122" t="str">
        <f t="shared" si="31"/>
        <v/>
      </c>
      <c r="BW306" s="122"/>
      <c r="BX306" s="115"/>
      <c r="BY306" s="115"/>
      <c r="BZ306" s="115"/>
      <c r="CA306" s="115"/>
      <c r="CB306" s="122" t="str">
        <f t="shared" si="32"/>
        <v/>
      </c>
      <c r="CF306" s="114"/>
      <c r="DA306" s="122" t="s">
        <v>289</v>
      </c>
      <c r="DB306" s="122" t="s">
        <v>6266</v>
      </c>
      <c r="DC306" s="122" t="s">
        <v>2279</v>
      </c>
      <c r="DD306" s="127">
        <v>8</v>
      </c>
      <c r="DE306" s="127">
        <v>8</v>
      </c>
      <c r="DG306" s="405" t="s">
        <v>289</v>
      </c>
      <c r="DH306" s="406" t="s">
        <v>2279</v>
      </c>
      <c r="DI306" s="406" t="str">
        <f t="shared" si="33"/>
        <v>BA, Conceição do Jacuípe</v>
      </c>
      <c r="DJ306" s="406">
        <v>-12.327</v>
      </c>
      <c r="DK306" s="80">
        <v>-38.765000000000001</v>
      </c>
      <c r="DL306" s="80">
        <v>219</v>
      </c>
      <c r="DM306" s="64">
        <v>8</v>
      </c>
      <c r="DN306" s="406" t="s">
        <v>6200</v>
      </c>
      <c r="DO306" s="406">
        <v>-12.27</v>
      </c>
      <c r="DP306" s="80">
        <v>231</v>
      </c>
    </row>
    <row r="307" spans="29:120" ht="15.75" x14ac:dyDescent="0.25">
      <c r="AC307" s="122" t="s">
        <v>311</v>
      </c>
      <c r="AD307" s="122" t="s">
        <v>712</v>
      </c>
      <c r="AE307" s="127">
        <v>2</v>
      </c>
      <c r="BC307" s="122"/>
      <c r="BD307" s="115"/>
      <c r="BE307" s="115"/>
      <c r="BF307" s="115"/>
      <c r="BG307" s="115"/>
      <c r="BH307" s="122" t="str">
        <f t="shared" si="30"/>
        <v/>
      </c>
      <c r="BM307" s="122"/>
      <c r="BN307" s="115"/>
      <c r="BO307" s="115"/>
      <c r="BP307" s="115"/>
      <c r="BQ307" s="115"/>
      <c r="BR307" s="122" t="str">
        <f t="shared" si="31"/>
        <v/>
      </c>
      <c r="BW307" s="122"/>
      <c r="BX307" s="115"/>
      <c r="BY307" s="115"/>
      <c r="BZ307" s="115"/>
      <c r="CA307" s="115"/>
      <c r="CB307" s="122" t="str">
        <f t="shared" si="32"/>
        <v/>
      </c>
      <c r="CF307" s="114"/>
      <c r="DA307" s="122" t="s">
        <v>289</v>
      </c>
      <c r="DB307" s="122" t="s">
        <v>5013</v>
      </c>
      <c r="DC307" s="122" t="s">
        <v>5013</v>
      </c>
      <c r="DD307" s="127">
        <v>8</v>
      </c>
      <c r="DE307" s="127">
        <v>8</v>
      </c>
      <c r="DG307" s="405" t="s">
        <v>289</v>
      </c>
      <c r="DH307" s="406" t="s">
        <v>5013</v>
      </c>
      <c r="DI307" s="406" t="str">
        <f t="shared" si="33"/>
        <v>BA, Conde</v>
      </c>
      <c r="DJ307" s="406">
        <v>-11.814</v>
      </c>
      <c r="DK307" s="80">
        <v>-37.610999999999997</v>
      </c>
      <c r="DL307" s="80">
        <v>12</v>
      </c>
      <c r="DM307" s="64">
        <v>8</v>
      </c>
      <c r="DN307" s="406" t="s">
        <v>6195</v>
      </c>
      <c r="DO307" s="406">
        <v>-11.81</v>
      </c>
      <c r="DP307" s="80">
        <v>14</v>
      </c>
    </row>
    <row r="308" spans="29:120" ht="15.75" x14ac:dyDescent="0.25">
      <c r="AC308" s="122" t="s">
        <v>311</v>
      </c>
      <c r="AD308" s="122" t="s">
        <v>713</v>
      </c>
      <c r="AE308" s="127">
        <v>2</v>
      </c>
      <c r="BC308" s="122"/>
      <c r="BD308" s="115"/>
      <c r="BE308" s="115"/>
      <c r="BF308" s="115"/>
      <c r="BG308" s="115"/>
      <c r="BH308" s="122" t="str">
        <f t="shared" si="30"/>
        <v/>
      </c>
      <c r="BM308" s="122"/>
      <c r="BN308" s="115"/>
      <c r="BO308" s="115"/>
      <c r="BP308" s="115"/>
      <c r="BQ308" s="115"/>
      <c r="BR308" s="122" t="str">
        <f t="shared" si="31"/>
        <v/>
      </c>
      <c r="BW308" s="122"/>
      <c r="BX308" s="115"/>
      <c r="BY308" s="115"/>
      <c r="BZ308" s="115"/>
      <c r="CA308" s="115"/>
      <c r="CB308" s="122" t="str">
        <f t="shared" si="32"/>
        <v/>
      </c>
      <c r="CF308" s="114"/>
      <c r="DA308" s="122" t="s">
        <v>289</v>
      </c>
      <c r="DB308" s="122" t="s">
        <v>1848</v>
      </c>
      <c r="DC308" s="122" t="s">
        <v>1848</v>
      </c>
      <c r="DD308" s="127">
        <v>6</v>
      </c>
      <c r="DE308" s="127">
        <v>6</v>
      </c>
      <c r="DG308" s="405" t="s">
        <v>289</v>
      </c>
      <c r="DH308" s="406" t="s">
        <v>1848</v>
      </c>
      <c r="DI308" s="406" t="str">
        <f t="shared" si="33"/>
        <v>BA, Condeúba</v>
      </c>
      <c r="DJ308" s="406">
        <v>-14.895</v>
      </c>
      <c r="DK308" s="80">
        <v>-41.969000000000001</v>
      </c>
      <c r="DL308" s="80">
        <v>680</v>
      </c>
      <c r="DM308" s="64">
        <v>6</v>
      </c>
      <c r="DN308" s="406" t="s">
        <v>6213</v>
      </c>
      <c r="DO308" s="406">
        <v>-14.18</v>
      </c>
      <c r="DP308" s="80">
        <v>470</v>
      </c>
    </row>
    <row r="309" spans="29:120" ht="15.75" x14ac:dyDescent="0.25">
      <c r="AC309" s="122" t="s">
        <v>311</v>
      </c>
      <c r="AD309" s="122" t="s">
        <v>714</v>
      </c>
      <c r="AE309" s="127">
        <v>2</v>
      </c>
      <c r="BC309" s="122"/>
      <c r="BD309" s="115"/>
      <c r="BE309" s="115"/>
      <c r="BF309" s="115"/>
      <c r="BG309" s="115"/>
      <c r="BH309" s="122" t="str">
        <f t="shared" si="30"/>
        <v/>
      </c>
      <c r="BM309" s="122"/>
      <c r="BN309" s="115"/>
      <c r="BO309" s="115"/>
      <c r="BP309" s="115"/>
      <c r="BQ309" s="115"/>
      <c r="BR309" s="122" t="str">
        <f t="shared" si="31"/>
        <v/>
      </c>
      <c r="BW309" s="122"/>
      <c r="BX309" s="115"/>
      <c r="BY309" s="115"/>
      <c r="BZ309" s="115"/>
      <c r="CA309" s="115"/>
      <c r="CB309" s="122" t="str">
        <f t="shared" si="32"/>
        <v/>
      </c>
      <c r="CF309" s="114"/>
      <c r="DA309" s="122" t="s">
        <v>289</v>
      </c>
      <c r="DB309" s="122" t="s">
        <v>6267</v>
      </c>
      <c r="DC309" s="122" t="s">
        <v>2453</v>
      </c>
      <c r="DD309" s="127">
        <v>6</v>
      </c>
      <c r="DE309" s="127">
        <v>6</v>
      </c>
      <c r="DG309" s="405" t="s">
        <v>289</v>
      </c>
      <c r="DH309" s="406" t="s">
        <v>2453</v>
      </c>
      <c r="DI309" s="406" t="str">
        <f t="shared" si="33"/>
        <v>BA, Contendas do Sincorá</v>
      </c>
      <c r="DJ309" s="406">
        <v>-13.763</v>
      </c>
      <c r="DK309" s="80">
        <v>-41.040999999999997</v>
      </c>
      <c r="DL309" s="80">
        <v>291</v>
      </c>
      <c r="DM309" s="64">
        <v>6</v>
      </c>
      <c r="DN309" s="406" t="s">
        <v>6213</v>
      </c>
      <c r="DO309" s="406">
        <v>-14.18</v>
      </c>
      <c r="DP309" s="80">
        <v>470</v>
      </c>
    </row>
    <row r="310" spans="29:120" ht="15.75" x14ac:dyDescent="0.25">
      <c r="AC310" s="122" t="s">
        <v>311</v>
      </c>
      <c r="AD310" s="122" t="s">
        <v>715</v>
      </c>
      <c r="AE310" s="127">
        <v>2</v>
      </c>
      <c r="BC310" s="122"/>
      <c r="BD310" s="115"/>
      <c r="BE310" s="115"/>
      <c r="BF310" s="115"/>
      <c r="BG310" s="115"/>
      <c r="BH310" s="122" t="str">
        <f t="shared" si="30"/>
        <v/>
      </c>
      <c r="BM310" s="122"/>
      <c r="BN310" s="115"/>
      <c r="BO310" s="115"/>
      <c r="BP310" s="115"/>
      <c r="BQ310" s="115"/>
      <c r="BR310" s="122" t="str">
        <f t="shared" si="31"/>
        <v/>
      </c>
      <c r="BW310" s="122"/>
      <c r="BX310" s="115"/>
      <c r="BY310" s="115"/>
      <c r="BZ310" s="115"/>
      <c r="CA310" s="115"/>
      <c r="CB310" s="122" t="str">
        <f t="shared" si="32"/>
        <v/>
      </c>
      <c r="CF310" s="114"/>
      <c r="DA310" s="122" t="s">
        <v>289</v>
      </c>
      <c r="DB310" s="122" t="s">
        <v>6268</v>
      </c>
      <c r="DC310" s="122" t="s">
        <v>2201</v>
      </c>
      <c r="DD310" s="127">
        <v>8</v>
      </c>
      <c r="DE310" s="127">
        <v>8</v>
      </c>
      <c r="DG310" s="405" t="s">
        <v>289</v>
      </c>
      <c r="DH310" s="406" t="s">
        <v>2201</v>
      </c>
      <c r="DI310" s="406" t="str">
        <f t="shared" si="33"/>
        <v>BA, Coração de Maria</v>
      </c>
      <c r="DJ310" s="406">
        <v>-12.233000000000001</v>
      </c>
      <c r="DK310" s="80">
        <v>-38.75</v>
      </c>
      <c r="DL310" s="80">
        <v>240</v>
      </c>
      <c r="DM310" s="64">
        <v>8</v>
      </c>
      <c r="DN310" s="406" t="s">
        <v>6200</v>
      </c>
      <c r="DO310" s="406">
        <v>-12.27</v>
      </c>
      <c r="DP310" s="80">
        <v>231</v>
      </c>
    </row>
    <row r="311" spans="29:120" ht="15.75" x14ac:dyDescent="0.25">
      <c r="AC311" s="122" t="s">
        <v>358</v>
      </c>
      <c r="AD311" s="122" t="s">
        <v>716</v>
      </c>
      <c r="AE311" s="127">
        <v>2</v>
      </c>
      <c r="BC311" s="122"/>
      <c r="BD311" s="115"/>
      <c r="BE311" s="115"/>
      <c r="BF311" s="115"/>
      <c r="BG311" s="115"/>
      <c r="BH311" s="122" t="str">
        <f t="shared" si="30"/>
        <v/>
      </c>
      <c r="BM311" s="122"/>
      <c r="BN311" s="115"/>
      <c r="BO311" s="115"/>
      <c r="BP311" s="115"/>
      <c r="BQ311" s="115"/>
      <c r="BR311" s="122" t="str">
        <f t="shared" si="31"/>
        <v/>
      </c>
      <c r="BW311" s="122"/>
      <c r="BX311" s="115"/>
      <c r="BY311" s="115"/>
      <c r="BZ311" s="115"/>
      <c r="CA311" s="115"/>
      <c r="CB311" s="122" t="str">
        <f t="shared" si="32"/>
        <v/>
      </c>
      <c r="CF311" s="114"/>
      <c r="DA311" s="122" t="s">
        <v>289</v>
      </c>
      <c r="DB311" s="122" t="s">
        <v>1851</v>
      </c>
      <c r="DC311" s="122" t="s">
        <v>1851</v>
      </c>
      <c r="DD311" s="127">
        <v>6</v>
      </c>
      <c r="DE311" s="127">
        <v>6</v>
      </c>
      <c r="DG311" s="405" t="s">
        <v>289</v>
      </c>
      <c r="DH311" s="406" t="s">
        <v>1851</v>
      </c>
      <c r="DI311" s="406" t="str">
        <f t="shared" si="33"/>
        <v>BA, Cordeiros</v>
      </c>
      <c r="DJ311" s="406">
        <v>-15.039</v>
      </c>
      <c r="DK311" s="80">
        <v>-41.935000000000002</v>
      </c>
      <c r="DL311" s="80">
        <v>710</v>
      </c>
      <c r="DM311" s="64">
        <v>6</v>
      </c>
      <c r="DN311" s="406" t="s">
        <v>6252</v>
      </c>
      <c r="DO311" s="406">
        <v>-15.75</v>
      </c>
      <c r="DP311" s="80">
        <v>740</v>
      </c>
    </row>
    <row r="312" spans="29:120" ht="15.75" x14ac:dyDescent="0.25">
      <c r="AC312" s="122" t="s">
        <v>358</v>
      </c>
      <c r="AD312" s="122" t="s">
        <v>717</v>
      </c>
      <c r="AE312" s="127">
        <v>3</v>
      </c>
      <c r="BC312" s="122"/>
      <c r="BD312" s="115"/>
      <c r="BE312" s="115"/>
      <c r="BF312" s="115"/>
      <c r="BG312" s="115"/>
      <c r="BH312" s="122" t="str">
        <f t="shared" si="30"/>
        <v/>
      </c>
      <c r="BM312" s="122"/>
      <c r="BN312" s="115"/>
      <c r="BO312" s="115"/>
      <c r="BP312" s="115"/>
      <c r="BQ312" s="115"/>
      <c r="BR312" s="122" t="str">
        <f t="shared" si="31"/>
        <v/>
      </c>
      <c r="BW312" s="122"/>
      <c r="BX312" s="115"/>
      <c r="BY312" s="115"/>
      <c r="BZ312" s="115"/>
      <c r="CA312" s="115"/>
      <c r="CB312" s="122" t="str">
        <f t="shared" si="32"/>
        <v/>
      </c>
      <c r="CF312" s="114"/>
      <c r="DA312" s="122" t="s">
        <v>289</v>
      </c>
      <c r="DB312" s="122" t="s">
        <v>2906</v>
      </c>
      <c r="DC312" s="122" t="s">
        <v>2906</v>
      </c>
      <c r="DD312" s="127">
        <v>6</v>
      </c>
      <c r="DE312" s="127">
        <v>6</v>
      </c>
      <c r="DG312" s="405" t="s">
        <v>289</v>
      </c>
      <c r="DH312" s="406" t="s">
        <v>2906</v>
      </c>
      <c r="DI312" s="406" t="str">
        <f t="shared" si="33"/>
        <v>BA, Coribe</v>
      </c>
      <c r="DJ312" s="406">
        <v>-13.829000000000001</v>
      </c>
      <c r="DK312" s="80">
        <v>-44.454000000000001</v>
      </c>
      <c r="DL312" s="80">
        <v>657</v>
      </c>
      <c r="DM312" s="64">
        <v>6</v>
      </c>
      <c r="DN312" s="406" t="s">
        <v>6250</v>
      </c>
      <c r="DO312" s="406">
        <v>-13.33</v>
      </c>
      <c r="DP312" s="80">
        <v>549</v>
      </c>
    </row>
    <row r="313" spans="29:120" ht="15.75" x14ac:dyDescent="0.25">
      <c r="AC313" s="122" t="s">
        <v>358</v>
      </c>
      <c r="AD313" s="122" t="s">
        <v>718</v>
      </c>
      <c r="AE313" s="127">
        <v>3</v>
      </c>
      <c r="BC313" s="122"/>
      <c r="BD313" s="115"/>
      <c r="BE313" s="115"/>
      <c r="BF313" s="115"/>
      <c r="BG313" s="115"/>
      <c r="BH313" s="122" t="str">
        <f t="shared" si="30"/>
        <v/>
      </c>
      <c r="BM313" s="122"/>
      <c r="BN313" s="115"/>
      <c r="BO313" s="115"/>
      <c r="BP313" s="115"/>
      <c r="BQ313" s="115"/>
      <c r="BR313" s="122" t="str">
        <f t="shared" si="31"/>
        <v/>
      </c>
      <c r="BW313" s="122"/>
      <c r="BX313" s="115"/>
      <c r="BY313" s="115"/>
      <c r="BZ313" s="115"/>
      <c r="CA313" s="115"/>
      <c r="CB313" s="122" t="str">
        <f t="shared" si="32"/>
        <v/>
      </c>
      <c r="CF313" s="114"/>
      <c r="DA313" s="122" t="s">
        <v>289</v>
      </c>
      <c r="DB313" s="122" t="s">
        <v>6269</v>
      </c>
      <c r="DC313" s="122" t="s">
        <v>3410</v>
      </c>
      <c r="DD313" s="127">
        <v>8</v>
      </c>
      <c r="DE313" s="127">
        <v>8</v>
      </c>
      <c r="DG313" s="405" t="s">
        <v>289</v>
      </c>
      <c r="DH313" s="406" t="s">
        <v>3410</v>
      </c>
      <c r="DI313" s="406" t="str">
        <f t="shared" si="33"/>
        <v>BA, Coronel João Sá</v>
      </c>
      <c r="DJ313" s="406">
        <v>-10.284000000000001</v>
      </c>
      <c r="DK313" s="80">
        <v>-37.926000000000002</v>
      </c>
      <c r="DL313" s="80">
        <v>200</v>
      </c>
      <c r="DM313" s="64">
        <v>8</v>
      </c>
      <c r="DN313" s="406" t="s">
        <v>6270</v>
      </c>
      <c r="DO313" s="406">
        <v>-10.4</v>
      </c>
      <c r="DP313" s="80">
        <v>308</v>
      </c>
    </row>
    <row r="314" spans="29:120" x14ac:dyDescent="0.25">
      <c r="AC314" s="122" t="s">
        <v>358</v>
      </c>
      <c r="AD314" s="122" t="s">
        <v>719</v>
      </c>
      <c r="AE314" s="127">
        <v>2</v>
      </c>
      <c r="BC314" s="122"/>
      <c r="BD314" s="115"/>
      <c r="BE314" s="115"/>
      <c r="BF314" s="115"/>
      <c r="BG314" s="115"/>
      <c r="BH314" s="122" t="str">
        <f t="shared" si="30"/>
        <v/>
      </c>
      <c r="BM314" s="122"/>
      <c r="BN314" s="115"/>
      <c r="BO314" s="115"/>
      <c r="BP314" s="115"/>
      <c r="BQ314" s="115"/>
      <c r="BR314" s="122" t="str">
        <f t="shared" si="31"/>
        <v/>
      </c>
      <c r="BW314" s="122"/>
      <c r="BX314" s="115"/>
      <c r="BY314" s="115"/>
      <c r="BZ314" s="115"/>
      <c r="CA314" s="115"/>
      <c r="CB314" s="122" t="str">
        <f t="shared" si="32"/>
        <v/>
      </c>
      <c r="DA314" s="122" t="s">
        <v>289</v>
      </c>
      <c r="DB314" s="122" t="s">
        <v>3054</v>
      </c>
      <c r="DC314" s="122" t="s">
        <v>3054</v>
      </c>
      <c r="DD314" s="127">
        <v>6</v>
      </c>
      <c r="DE314" s="127">
        <v>6</v>
      </c>
      <c r="DG314" s="405" t="s">
        <v>289</v>
      </c>
      <c r="DH314" s="406" t="s">
        <v>3054</v>
      </c>
      <c r="DI314" s="406" t="str">
        <f t="shared" si="33"/>
        <v>BA, Correntina</v>
      </c>
      <c r="DJ314" s="406">
        <v>-13.343</v>
      </c>
      <c r="DK314" s="80">
        <v>-44.637</v>
      </c>
      <c r="DL314" s="80">
        <v>561</v>
      </c>
      <c r="DM314" s="64">
        <v>6</v>
      </c>
      <c r="DN314" s="406" t="s">
        <v>6250</v>
      </c>
      <c r="DO314" s="406">
        <v>-13.33</v>
      </c>
      <c r="DP314" s="80">
        <v>549</v>
      </c>
    </row>
    <row r="315" spans="29:120" x14ac:dyDescent="0.25">
      <c r="AC315" s="122" t="s">
        <v>358</v>
      </c>
      <c r="AD315" s="122" t="s">
        <v>720</v>
      </c>
      <c r="AE315" s="127">
        <v>3</v>
      </c>
      <c r="BC315" s="122"/>
      <c r="BD315" s="115"/>
      <c r="BE315" s="115"/>
      <c r="BF315" s="115"/>
      <c r="BG315" s="115"/>
      <c r="BH315" s="122" t="str">
        <f t="shared" si="30"/>
        <v/>
      </c>
      <c r="BM315" s="122"/>
      <c r="BN315" s="115"/>
      <c r="BO315" s="115"/>
      <c r="BP315" s="115"/>
      <c r="BQ315" s="115"/>
      <c r="BR315" s="122" t="str">
        <f t="shared" si="31"/>
        <v/>
      </c>
      <c r="BW315" s="122"/>
      <c r="BX315" s="115"/>
      <c r="BY315" s="115"/>
      <c r="BZ315" s="115"/>
      <c r="CA315" s="115"/>
      <c r="CB315" s="122" t="str">
        <f t="shared" si="32"/>
        <v/>
      </c>
      <c r="DA315" s="122" t="s">
        <v>289</v>
      </c>
      <c r="DB315" s="122" t="s">
        <v>4480</v>
      </c>
      <c r="DC315" s="122" t="s">
        <v>4480</v>
      </c>
      <c r="DD315" s="127">
        <v>6</v>
      </c>
      <c r="DE315" s="127">
        <v>6</v>
      </c>
      <c r="DG315" s="405" t="s">
        <v>289</v>
      </c>
      <c r="DH315" s="406" t="s">
        <v>4480</v>
      </c>
      <c r="DI315" s="406" t="str">
        <f t="shared" si="33"/>
        <v>BA, Cotegipe</v>
      </c>
      <c r="DJ315" s="406">
        <v>-12.028</v>
      </c>
      <c r="DK315" s="80">
        <v>-44.258000000000003</v>
      </c>
      <c r="DL315" s="80">
        <v>472</v>
      </c>
      <c r="DM315" s="64">
        <v>6</v>
      </c>
      <c r="DN315" s="406" t="s">
        <v>6209</v>
      </c>
      <c r="DO315" s="406">
        <v>-12.15</v>
      </c>
      <c r="DP315" s="80">
        <v>470</v>
      </c>
    </row>
    <row r="316" spans="29:120" x14ac:dyDescent="0.25">
      <c r="AC316" s="122" t="s">
        <v>358</v>
      </c>
      <c r="AD316" s="122" t="s">
        <v>721</v>
      </c>
      <c r="AE316" s="127">
        <v>2</v>
      </c>
      <c r="BC316" s="122"/>
      <c r="BD316" s="115"/>
      <c r="BE316" s="115"/>
      <c r="BF316" s="115"/>
      <c r="BG316" s="115"/>
      <c r="BH316" s="122" t="str">
        <f t="shared" si="30"/>
        <v/>
      </c>
      <c r="BM316" s="122"/>
      <c r="BN316" s="115"/>
      <c r="BO316" s="115"/>
      <c r="BP316" s="115"/>
      <c r="BQ316" s="115"/>
      <c r="BR316" s="122" t="str">
        <f t="shared" si="31"/>
        <v/>
      </c>
      <c r="BW316" s="122"/>
      <c r="BX316" s="115"/>
      <c r="BY316" s="115"/>
      <c r="BZ316" s="115"/>
      <c r="CA316" s="115"/>
      <c r="CB316" s="122" t="str">
        <f t="shared" si="32"/>
        <v/>
      </c>
      <c r="DA316" s="122" t="s">
        <v>289</v>
      </c>
      <c r="DB316" s="122" t="s">
        <v>1852</v>
      </c>
      <c r="DC316" s="122" t="s">
        <v>1852</v>
      </c>
      <c r="DD316" s="127">
        <v>5</v>
      </c>
      <c r="DE316" s="127">
        <v>5</v>
      </c>
      <c r="DG316" s="405" t="s">
        <v>289</v>
      </c>
      <c r="DH316" s="406" t="s">
        <v>1852</v>
      </c>
      <c r="DI316" s="406" t="str">
        <f t="shared" si="33"/>
        <v>BA, Cravolândia</v>
      </c>
      <c r="DJ316" s="406">
        <v>-13.359</v>
      </c>
      <c r="DK316" s="80">
        <v>-39.814999999999998</v>
      </c>
      <c r="DL316" s="80">
        <v>477</v>
      </c>
      <c r="DM316" s="64">
        <v>5</v>
      </c>
      <c r="DN316" s="406" t="s">
        <v>6271</v>
      </c>
      <c r="DO316" s="406">
        <v>-13.53</v>
      </c>
      <c r="DP316" s="80">
        <v>756</v>
      </c>
    </row>
    <row r="317" spans="29:120" x14ac:dyDescent="0.25">
      <c r="AC317" s="122" t="s">
        <v>358</v>
      </c>
      <c r="AD317" s="122" t="s">
        <v>722</v>
      </c>
      <c r="AE317" s="127">
        <v>3</v>
      </c>
      <c r="BC317" s="122"/>
      <c r="BD317" s="115"/>
      <c r="BE317" s="115"/>
      <c r="BF317" s="115"/>
      <c r="BG317" s="115"/>
      <c r="BH317" s="122" t="str">
        <f t="shared" si="30"/>
        <v/>
      </c>
      <c r="BM317" s="122"/>
      <c r="BN317" s="115"/>
      <c r="BO317" s="115"/>
      <c r="BP317" s="115"/>
      <c r="BQ317" s="115"/>
      <c r="BR317" s="122" t="str">
        <f t="shared" si="31"/>
        <v/>
      </c>
      <c r="BW317" s="122"/>
      <c r="BX317" s="115"/>
      <c r="BY317" s="115"/>
      <c r="BZ317" s="115"/>
      <c r="CA317" s="115"/>
      <c r="CB317" s="122" t="str">
        <f t="shared" si="32"/>
        <v/>
      </c>
      <c r="DA317" s="122" t="s">
        <v>289</v>
      </c>
      <c r="DB317" s="122" t="s">
        <v>2082</v>
      </c>
      <c r="DC317" s="122" t="s">
        <v>2082</v>
      </c>
      <c r="DD317" s="127">
        <v>8</v>
      </c>
      <c r="DE317" s="127">
        <v>8</v>
      </c>
      <c r="DG317" s="405" t="s">
        <v>289</v>
      </c>
      <c r="DH317" s="406" t="s">
        <v>2082</v>
      </c>
      <c r="DI317" s="406" t="str">
        <f t="shared" si="33"/>
        <v>BA, Crisópolis</v>
      </c>
      <c r="DJ317" s="406">
        <v>-11.510999999999999</v>
      </c>
      <c r="DK317" s="80">
        <v>-38.15</v>
      </c>
      <c r="DL317" s="80">
        <v>149</v>
      </c>
      <c r="DM317" s="64">
        <v>8</v>
      </c>
      <c r="DN317" s="406" t="s">
        <v>6212</v>
      </c>
      <c r="DO317" s="406">
        <v>-11.27</v>
      </c>
      <c r="DP317" s="80">
        <v>208</v>
      </c>
    </row>
    <row r="318" spans="29:120" x14ac:dyDescent="0.25">
      <c r="AC318" s="122" t="s">
        <v>27</v>
      </c>
      <c r="AD318" s="122" t="s">
        <v>723</v>
      </c>
      <c r="AE318" s="127">
        <v>3</v>
      </c>
      <c r="BC318" s="122"/>
      <c r="BD318" s="115"/>
      <c r="BE318" s="115"/>
      <c r="BF318" s="115"/>
      <c r="BG318" s="115"/>
      <c r="BH318" s="122" t="str">
        <f t="shared" si="30"/>
        <v/>
      </c>
      <c r="BM318" s="122"/>
      <c r="BN318" s="115"/>
      <c r="BO318" s="115"/>
      <c r="BP318" s="115"/>
      <c r="BQ318" s="115"/>
      <c r="BR318" s="122" t="str">
        <f t="shared" si="31"/>
        <v/>
      </c>
      <c r="BW318" s="122"/>
      <c r="BX318" s="115"/>
      <c r="BY318" s="115"/>
      <c r="BZ318" s="115"/>
      <c r="CA318" s="115"/>
      <c r="CB318" s="122" t="str">
        <f t="shared" si="32"/>
        <v/>
      </c>
      <c r="DA318" s="122" t="s">
        <v>289</v>
      </c>
      <c r="DB318" s="122" t="s">
        <v>4624</v>
      </c>
      <c r="DC318" s="122" t="s">
        <v>4624</v>
      </c>
      <c r="DD318" s="127">
        <v>6</v>
      </c>
      <c r="DE318" s="127">
        <v>6</v>
      </c>
      <c r="DG318" s="405" t="s">
        <v>289</v>
      </c>
      <c r="DH318" s="406" t="s">
        <v>4624</v>
      </c>
      <c r="DI318" s="406" t="str">
        <f t="shared" si="33"/>
        <v>BA, Cristópolis</v>
      </c>
      <c r="DJ318" s="406">
        <v>-12.234</v>
      </c>
      <c r="DK318" s="80">
        <v>-44.420999999999999</v>
      </c>
      <c r="DL318" s="80">
        <v>688</v>
      </c>
      <c r="DM318" s="64">
        <v>6</v>
      </c>
      <c r="DN318" s="406" t="s">
        <v>6209</v>
      </c>
      <c r="DO318" s="406">
        <v>-12.15</v>
      </c>
      <c r="DP318" s="80">
        <v>470</v>
      </c>
    </row>
    <row r="319" spans="29:120" x14ac:dyDescent="0.25">
      <c r="AC319" s="122" t="s">
        <v>27</v>
      </c>
      <c r="AD319" s="122" t="s">
        <v>724</v>
      </c>
      <c r="AE319" s="127">
        <v>5</v>
      </c>
      <c r="BC319" s="122"/>
      <c r="BD319" s="115"/>
      <c r="BE319" s="115"/>
      <c r="BF319" s="115"/>
      <c r="BG319" s="115"/>
      <c r="BH319" s="122" t="str">
        <f t="shared" si="30"/>
        <v/>
      </c>
      <c r="BM319" s="122"/>
      <c r="BN319" s="115"/>
      <c r="BO319" s="115"/>
      <c r="BP319" s="115"/>
      <c r="BQ319" s="115"/>
      <c r="BR319" s="122" t="str">
        <f t="shared" si="31"/>
        <v/>
      </c>
      <c r="BW319" s="122"/>
      <c r="BX319" s="115"/>
      <c r="BY319" s="115"/>
      <c r="BZ319" s="115"/>
      <c r="CA319" s="115"/>
      <c r="CB319" s="122" t="str">
        <f t="shared" si="32"/>
        <v/>
      </c>
      <c r="DA319" s="122" t="s">
        <v>289</v>
      </c>
      <c r="DB319" s="122" t="s">
        <v>6272</v>
      </c>
      <c r="DC319" s="122" t="s">
        <v>2214</v>
      </c>
      <c r="DD319" s="127">
        <v>8</v>
      </c>
      <c r="DE319" s="127">
        <v>8</v>
      </c>
      <c r="DG319" s="405" t="s">
        <v>289</v>
      </c>
      <c r="DH319" s="406" t="s">
        <v>2214</v>
      </c>
      <c r="DI319" s="406" t="str">
        <f t="shared" si="33"/>
        <v>BA, Cruz das Almas</v>
      </c>
      <c r="DJ319" s="406">
        <v>-12.67</v>
      </c>
      <c r="DK319" s="80">
        <v>-39.101999999999997</v>
      </c>
      <c r="DL319" s="80">
        <v>220</v>
      </c>
      <c r="DM319" s="64">
        <v>8</v>
      </c>
      <c r="DN319" s="406" t="s">
        <v>6241</v>
      </c>
      <c r="DO319" s="406">
        <v>-12.67</v>
      </c>
      <c r="DP319" s="80">
        <v>226</v>
      </c>
    </row>
    <row r="320" spans="29:120" x14ac:dyDescent="0.25">
      <c r="AC320" s="122" t="s">
        <v>27</v>
      </c>
      <c r="AD320" s="122" t="s">
        <v>725</v>
      </c>
      <c r="AE320" s="127">
        <v>3</v>
      </c>
      <c r="BC320" s="122"/>
      <c r="BD320" s="115"/>
      <c r="BE320" s="115"/>
      <c r="BF320" s="115"/>
      <c r="BG320" s="115"/>
      <c r="BH320" s="122" t="str">
        <f t="shared" si="30"/>
        <v/>
      </c>
      <c r="BM320" s="122"/>
      <c r="BN320" s="115"/>
      <c r="BO320" s="115"/>
      <c r="BP320" s="115"/>
      <c r="BQ320" s="115"/>
      <c r="BR320" s="122" t="str">
        <f t="shared" si="31"/>
        <v/>
      </c>
      <c r="BW320" s="122"/>
      <c r="BX320" s="115"/>
      <c r="BY320" s="115"/>
      <c r="BZ320" s="115"/>
      <c r="CA320" s="115"/>
      <c r="CB320" s="122" t="str">
        <f t="shared" si="32"/>
        <v/>
      </c>
      <c r="DA320" s="122" t="s">
        <v>289</v>
      </c>
      <c r="DB320" s="122" t="s">
        <v>2443</v>
      </c>
      <c r="DC320" s="122" t="s">
        <v>2443</v>
      </c>
      <c r="DD320" s="127">
        <v>7</v>
      </c>
      <c r="DE320" s="127">
        <v>7</v>
      </c>
      <c r="DG320" s="405" t="s">
        <v>289</v>
      </c>
      <c r="DH320" s="406" t="s">
        <v>2443</v>
      </c>
      <c r="DI320" s="406" t="str">
        <f t="shared" si="33"/>
        <v>BA, Curaçá</v>
      </c>
      <c r="DJ320" s="406">
        <v>-8.9920000000000009</v>
      </c>
      <c r="DK320" s="80">
        <v>-39.908000000000001</v>
      </c>
      <c r="DL320" s="80">
        <v>330</v>
      </c>
      <c r="DM320" s="64">
        <v>7</v>
      </c>
      <c r="DN320" s="406" t="s">
        <v>6260</v>
      </c>
      <c r="DO320" s="406">
        <v>-9.39</v>
      </c>
      <c r="DP320" s="80">
        <v>370</v>
      </c>
    </row>
    <row r="321" spans="29:120" x14ac:dyDescent="0.25">
      <c r="AC321" s="122" t="s">
        <v>376</v>
      </c>
      <c r="AD321" s="122" t="s">
        <v>726</v>
      </c>
      <c r="AE321" s="127">
        <v>3</v>
      </c>
      <c r="BC321" s="122"/>
      <c r="BD321" s="115"/>
      <c r="BE321" s="115"/>
      <c r="BF321" s="115"/>
      <c r="BG321" s="115"/>
      <c r="BH321" s="122" t="str">
        <f t="shared" si="30"/>
        <v/>
      </c>
      <c r="BM321" s="122"/>
      <c r="BN321" s="115"/>
      <c r="BO321" s="115"/>
      <c r="BP321" s="115"/>
      <c r="BQ321" s="115"/>
      <c r="BR321" s="122" t="str">
        <f t="shared" si="31"/>
        <v/>
      </c>
      <c r="BW321" s="122"/>
      <c r="BX321" s="115"/>
      <c r="BY321" s="115"/>
      <c r="BZ321" s="115"/>
      <c r="CA321" s="115"/>
      <c r="CB321" s="122" t="str">
        <f t="shared" si="32"/>
        <v/>
      </c>
      <c r="DA321" s="122" t="s">
        <v>289</v>
      </c>
      <c r="DB321" s="122" t="s">
        <v>6273</v>
      </c>
      <c r="DC321" s="122" t="s">
        <v>5210</v>
      </c>
      <c r="DD321" s="127">
        <v>8</v>
      </c>
      <c r="DE321" s="127">
        <v>8</v>
      </c>
      <c r="DG321" s="405" t="s">
        <v>289</v>
      </c>
      <c r="DH321" s="406" t="s">
        <v>5210</v>
      </c>
      <c r="DI321" s="406" t="str">
        <f t="shared" si="33"/>
        <v>BA, Dário Meira</v>
      </c>
      <c r="DJ321" s="406">
        <v>-14.436</v>
      </c>
      <c r="DK321" s="80">
        <v>-39.908000000000001</v>
      </c>
      <c r="DL321" s="80">
        <v>208</v>
      </c>
      <c r="DM321" s="64">
        <v>8</v>
      </c>
      <c r="DN321" s="406" t="s">
        <v>6199</v>
      </c>
      <c r="DO321" s="406">
        <v>-14.14</v>
      </c>
      <c r="DP321" s="80">
        <v>135</v>
      </c>
    </row>
    <row r="322" spans="29:120" x14ac:dyDescent="0.25">
      <c r="AC322" s="122" t="s">
        <v>376</v>
      </c>
      <c r="AD322" s="122" t="s">
        <v>727</v>
      </c>
      <c r="AE322" s="127">
        <v>3</v>
      </c>
      <c r="BC322" s="122"/>
      <c r="BD322" s="115"/>
      <c r="BE322" s="115"/>
      <c r="BF322" s="115"/>
      <c r="BG322" s="115"/>
      <c r="BH322" s="122" t="str">
        <f t="shared" si="30"/>
        <v/>
      </c>
      <c r="BM322" s="122"/>
      <c r="BN322" s="115"/>
      <c r="BO322" s="115"/>
      <c r="BP322" s="115"/>
      <c r="BQ322" s="115"/>
      <c r="BR322" s="122" t="str">
        <f t="shared" si="31"/>
        <v/>
      </c>
      <c r="BW322" s="122"/>
      <c r="BX322" s="115"/>
      <c r="BY322" s="115"/>
      <c r="BZ322" s="115"/>
      <c r="CA322" s="115"/>
      <c r="CB322" s="122" t="str">
        <f t="shared" si="32"/>
        <v/>
      </c>
      <c r="DA322" s="122" t="s">
        <v>289</v>
      </c>
      <c r="DB322" s="122" t="s">
        <v>6274</v>
      </c>
      <c r="DC322" s="122" t="s">
        <v>5072</v>
      </c>
      <c r="DD322" s="127">
        <v>8</v>
      </c>
      <c r="DE322" s="127">
        <v>8</v>
      </c>
      <c r="DG322" s="405" t="s">
        <v>289</v>
      </c>
      <c r="DH322" s="406" t="s">
        <v>5072</v>
      </c>
      <c r="DI322" s="406" t="str">
        <f t="shared" si="33"/>
        <v>BA, Dias d'Ávila</v>
      </c>
      <c r="DJ322" s="406">
        <v>-12.613</v>
      </c>
      <c r="DK322" s="80">
        <v>-38.296999999999997</v>
      </c>
      <c r="DL322" s="80">
        <v>35</v>
      </c>
      <c r="DM322" s="64">
        <v>8</v>
      </c>
      <c r="DN322" s="406" t="s">
        <v>6245</v>
      </c>
      <c r="DO322" s="406">
        <v>-12.97</v>
      </c>
      <c r="DP322" s="80">
        <v>51</v>
      </c>
    </row>
    <row r="323" spans="29:120" x14ac:dyDescent="0.25">
      <c r="AC323" s="122" t="s">
        <v>376</v>
      </c>
      <c r="AD323" s="122" t="s">
        <v>728</v>
      </c>
      <c r="AE323" s="127">
        <v>3</v>
      </c>
      <c r="BC323" s="122"/>
      <c r="BD323" s="115"/>
      <c r="BE323" s="115"/>
      <c r="BF323" s="115"/>
      <c r="BG323" s="115"/>
      <c r="BH323" s="122" t="str">
        <f t="shared" ref="BH323:BH369" si="34">IF(BD323=$BK$1,IF(BC323=$BJ$1,IF(AND($BI$1&gt;BE323,$BI$1&lt;=BF323),BG323,""),""),"")</f>
        <v/>
      </c>
      <c r="BM323" s="122"/>
      <c r="BN323" s="115"/>
      <c r="BO323" s="115"/>
      <c r="BP323" s="115"/>
      <c r="BQ323" s="115"/>
      <c r="BR323" s="122" t="str">
        <f t="shared" ref="BR323:BR369" si="35">IF(BN323=$BK$1,IF(BM323=$BJ$1,IF(AND($BI$1&gt;BO323,$BI$1&lt;=BP323),BQ323,""),""),"")</f>
        <v/>
      </c>
      <c r="BW323" s="122"/>
      <c r="BX323" s="115"/>
      <c r="BY323" s="115"/>
      <c r="BZ323" s="115"/>
      <c r="CA323" s="115"/>
      <c r="CB323" s="122" t="str">
        <f t="shared" ref="CB323:CB377" si="36">IF(BX323=$BK$1,IF(BW323=$BJ$1,IF(AND($BI$1&gt;BY323,$BI$1&lt;=BZ323),CA323,""),""),"")</f>
        <v/>
      </c>
      <c r="DA323" s="122" t="s">
        <v>289</v>
      </c>
      <c r="DB323" s="122" t="s">
        <v>6275</v>
      </c>
      <c r="DC323" s="122" t="s">
        <v>2643</v>
      </c>
      <c r="DD323" s="127">
        <v>6</v>
      </c>
      <c r="DE323" s="127">
        <v>6</v>
      </c>
      <c r="DG323" s="405" t="s">
        <v>289</v>
      </c>
      <c r="DH323" s="406" t="s">
        <v>2643</v>
      </c>
      <c r="DI323" s="406" t="str">
        <f t="shared" ref="DI323:DI386" si="37">CONCATENATE(DG323,", ",DH323)</f>
        <v>BA, Dom Basílio</v>
      </c>
      <c r="DJ323" s="406">
        <v>-13.76</v>
      </c>
      <c r="DK323" s="80">
        <v>-41.771000000000001</v>
      </c>
      <c r="DL323" s="80">
        <v>440</v>
      </c>
      <c r="DM323" s="64">
        <v>6</v>
      </c>
      <c r="DN323" s="406" t="s">
        <v>6213</v>
      </c>
      <c r="DO323" s="406">
        <v>-14.18</v>
      </c>
      <c r="DP323" s="80">
        <v>470</v>
      </c>
    </row>
    <row r="324" spans="29:120" x14ac:dyDescent="0.25">
      <c r="AC324" s="122" t="s">
        <v>376</v>
      </c>
      <c r="AD324" s="122" t="s">
        <v>729</v>
      </c>
      <c r="AE324" s="127">
        <v>1</v>
      </c>
      <c r="BC324" s="122"/>
      <c r="BD324" s="115"/>
      <c r="BE324" s="115"/>
      <c r="BF324" s="115"/>
      <c r="BG324" s="115"/>
      <c r="BH324" s="122" t="str">
        <f t="shared" si="34"/>
        <v/>
      </c>
      <c r="BM324" s="122"/>
      <c r="BN324" s="115"/>
      <c r="BO324" s="115"/>
      <c r="BP324" s="115"/>
      <c r="BQ324" s="115"/>
      <c r="BR324" s="122" t="str">
        <f t="shared" si="35"/>
        <v/>
      </c>
      <c r="BW324" s="122"/>
      <c r="BX324" s="115"/>
      <c r="BY324" s="115"/>
      <c r="BZ324" s="115"/>
      <c r="CA324" s="115"/>
      <c r="CB324" s="122" t="str">
        <f t="shared" si="36"/>
        <v/>
      </c>
      <c r="DA324" s="122" t="s">
        <v>289</v>
      </c>
      <c r="DB324" s="122" t="s">
        <v>6276</v>
      </c>
      <c r="DC324" s="122" t="s">
        <v>2060</v>
      </c>
      <c r="DD324" s="127">
        <v>8</v>
      </c>
      <c r="DE324" s="127">
        <v>8</v>
      </c>
      <c r="DG324" s="405" t="s">
        <v>289</v>
      </c>
      <c r="DH324" s="406" t="s">
        <v>2060</v>
      </c>
      <c r="DI324" s="406" t="str">
        <f t="shared" si="37"/>
        <v>BA, Dom Macedo Costa</v>
      </c>
      <c r="DJ324" s="406">
        <v>-12.904999999999999</v>
      </c>
      <c r="DK324" s="80">
        <v>-39.192999999999998</v>
      </c>
      <c r="DL324" s="80">
        <v>192</v>
      </c>
      <c r="DM324" s="64">
        <v>8</v>
      </c>
      <c r="DN324" s="406" t="s">
        <v>6241</v>
      </c>
      <c r="DO324" s="406">
        <v>-12.67</v>
      </c>
      <c r="DP324" s="80">
        <v>226</v>
      </c>
    </row>
    <row r="325" spans="29:120" x14ac:dyDescent="0.25">
      <c r="AC325" s="122" t="s">
        <v>376</v>
      </c>
      <c r="AD325" s="122" t="s">
        <v>730</v>
      </c>
      <c r="AE325" s="127">
        <v>3</v>
      </c>
      <c r="BC325" s="122"/>
      <c r="BD325" s="115"/>
      <c r="BE325" s="115"/>
      <c r="BF325" s="115"/>
      <c r="BG325" s="115"/>
      <c r="BH325" s="122" t="str">
        <f t="shared" si="34"/>
        <v/>
      </c>
      <c r="BM325" s="122"/>
      <c r="BN325" s="115"/>
      <c r="BO325" s="115"/>
      <c r="BP325" s="115"/>
      <c r="BQ325" s="115"/>
      <c r="BR325" s="122" t="str">
        <f t="shared" si="35"/>
        <v/>
      </c>
      <c r="BW325" s="122"/>
      <c r="BX325" s="115"/>
      <c r="BY325" s="115"/>
      <c r="BZ325" s="115"/>
      <c r="CA325" s="115"/>
      <c r="CB325" s="122" t="str">
        <f t="shared" si="36"/>
        <v/>
      </c>
      <c r="DA325" s="122" t="s">
        <v>289</v>
      </c>
      <c r="DB325" s="122" t="s">
        <v>6277</v>
      </c>
      <c r="DC325" s="122" t="s">
        <v>1979</v>
      </c>
      <c r="DD325" s="127">
        <v>8</v>
      </c>
      <c r="DE325" s="127">
        <v>8</v>
      </c>
      <c r="DG325" s="405" t="s">
        <v>289</v>
      </c>
      <c r="DH325" s="406" t="s">
        <v>1979</v>
      </c>
      <c r="DI325" s="406" t="str">
        <f t="shared" si="37"/>
        <v>BA, Elísio Medrado</v>
      </c>
      <c r="DJ325" s="406">
        <v>-12.946</v>
      </c>
      <c r="DK325" s="80">
        <v>-39.521999999999998</v>
      </c>
      <c r="DL325" s="80">
        <v>390</v>
      </c>
      <c r="DM325" s="64">
        <v>8</v>
      </c>
      <c r="DN325" s="406" t="s">
        <v>6202</v>
      </c>
      <c r="DO325" s="406">
        <v>-13.01</v>
      </c>
      <c r="DP325" s="80">
        <v>407</v>
      </c>
    </row>
    <row r="326" spans="29:120" x14ac:dyDescent="0.25">
      <c r="AC326" s="122" t="s">
        <v>376</v>
      </c>
      <c r="AD326" s="122" t="s">
        <v>731</v>
      </c>
      <c r="AE326" s="127">
        <v>3</v>
      </c>
      <c r="BC326" s="122"/>
      <c r="BD326" s="115"/>
      <c r="BE326" s="115"/>
      <c r="BF326" s="115"/>
      <c r="BG326" s="115"/>
      <c r="BH326" s="122" t="str">
        <f t="shared" si="34"/>
        <v/>
      </c>
      <c r="BM326" s="122"/>
      <c r="BN326" s="115"/>
      <c r="BO326" s="115"/>
      <c r="BP326" s="115"/>
      <c r="BQ326" s="115"/>
      <c r="BR326" s="122" t="str">
        <f t="shared" si="35"/>
        <v/>
      </c>
      <c r="BW326" s="122"/>
      <c r="BX326" s="115"/>
      <c r="BY326" s="115"/>
      <c r="BZ326" s="115"/>
      <c r="CA326" s="115"/>
      <c r="CB326" s="122" t="str">
        <f t="shared" si="36"/>
        <v/>
      </c>
      <c r="DA326" s="122" t="s">
        <v>289</v>
      </c>
      <c r="DB326" s="122" t="s">
        <v>2149</v>
      </c>
      <c r="DC326" s="122" t="s">
        <v>2149</v>
      </c>
      <c r="DD326" s="127">
        <v>5</v>
      </c>
      <c r="DE326" s="127">
        <v>5</v>
      </c>
      <c r="DG326" s="405" t="s">
        <v>289</v>
      </c>
      <c r="DH326" s="406" t="s">
        <v>2149</v>
      </c>
      <c r="DI326" s="406" t="str">
        <f t="shared" si="37"/>
        <v>BA, Encruzilhada</v>
      </c>
      <c r="DJ326" s="406">
        <v>-15.531000000000001</v>
      </c>
      <c r="DK326" s="80">
        <v>-40.908999999999999</v>
      </c>
      <c r="DL326" s="80">
        <v>650</v>
      </c>
      <c r="DM326" s="64">
        <v>5</v>
      </c>
      <c r="DN326" s="406" t="s">
        <v>6252</v>
      </c>
      <c r="DO326" s="406">
        <v>-15.75</v>
      </c>
      <c r="DP326" s="80">
        <v>740</v>
      </c>
    </row>
    <row r="327" spans="29:120" x14ac:dyDescent="0.25">
      <c r="AC327" s="122" t="s">
        <v>376</v>
      </c>
      <c r="AD327" s="122" t="s">
        <v>732</v>
      </c>
      <c r="AE327" s="127">
        <v>3</v>
      </c>
      <c r="BC327" s="122"/>
      <c r="BD327" s="115"/>
      <c r="BE327" s="115"/>
      <c r="BF327" s="115"/>
      <c r="BG327" s="115"/>
      <c r="BH327" s="122" t="str">
        <f t="shared" si="34"/>
        <v/>
      </c>
      <c r="BM327" s="122"/>
      <c r="BN327" s="115"/>
      <c r="BO327" s="115"/>
      <c r="BP327" s="115"/>
      <c r="BQ327" s="115"/>
      <c r="BR327" s="122" t="str">
        <f t="shared" si="35"/>
        <v/>
      </c>
      <c r="BW327" s="122"/>
      <c r="BX327" s="115"/>
      <c r="BY327" s="115"/>
      <c r="BZ327" s="115"/>
      <c r="CA327" s="115"/>
      <c r="CB327" s="122" t="str">
        <f t="shared" si="36"/>
        <v/>
      </c>
      <c r="DA327" s="122" t="s">
        <v>289</v>
      </c>
      <c r="DB327" s="122" t="s">
        <v>6278</v>
      </c>
      <c r="DC327" s="122" t="s">
        <v>1177</v>
      </c>
      <c r="DD327" s="127">
        <v>8</v>
      </c>
      <c r="DE327" s="127">
        <v>8</v>
      </c>
      <c r="DG327" s="405" t="s">
        <v>289</v>
      </c>
      <c r="DH327" s="406" t="s">
        <v>1177</v>
      </c>
      <c r="DI327" s="406" t="str">
        <f t="shared" si="37"/>
        <v>BA, Entre Rios</v>
      </c>
      <c r="DJ327" s="406">
        <v>-11.942</v>
      </c>
      <c r="DK327" s="80">
        <v>-38.084000000000003</v>
      </c>
      <c r="DL327" s="80">
        <v>162</v>
      </c>
      <c r="DM327" s="64">
        <v>8</v>
      </c>
      <c r="DN327" s="406" t="s">
        <v>6195</v>
      </c>
      <c r="DO327" s="406">
        <v>-11.81</v>
      </c>
      <c r="DP327" s="80">
        <v>14</v>
      </c>
    </row>
    <row r="328" spans="29:120" x14ac:dyDescent="0.25">
      <c r="AC328" s="122" t="s">
        <v>376</v>
      </c>
      <c r="AD328" s="122" t="s">
        <v>733</v>
      </c>
      <c r="AE328" s="127">
        <v>2</v>
      </c>
      <c r="BC328" s="122"/>
      <c r="BD328" s="115"/>
      <c r="BE328" s="115"/>
      <c r="BF328" s="115"/>
      <c r="BG328" s="115"/>
      <c r="BH328" s="122" t="str">
        <f t="shared" si="34"/>
        <v/>
      </c>
      <c r="BM328" s="122"/>
      <c r="BN328" s="115"/>
      <c r="BO328" s="115"/>
      <c r="BP328" s="115"/>
      <c r="BQ328" s="115"/>
      <c r="BR328" s="122" t="str">
        <f t="shared" si="35"/>
        <v/>
      </c>
      <c r="BW328" s="122"/>
      <c r="BX328" s="115"/>
      <c r="BY328" s="115"/>
      <c r="BZ328" s="115"/>
      <c r="CA328" s="115"/>
      <c r="CB328" s="122" t="str">
        <f t="shared" si="36"/>
        <v/>
      </c>
      <c r="DA328" s="122" t="s">
        <v>289</v>
      </c>
      <c r="DB328" s="122" t="s">
        <v>6279</v>
      </c>
      <c r="DC328" s="122" t="s">
        <v>2627</v>
      </c>
      <c r="DD328" s="127">
        <v>5</v>
      </c>
      <c r="DE328" s="127">
        <v>5</v>
      </c>
      <c r="DG328" s="405" t="s">
        <v>289</v>
      </c>
      <c r="DH328" s="406" t="s">
        <v>2627</v>
      </c>
      <c r="DI328" s="406" t="str">
        <f t="shared" si="37"/>
        <v>BA, Érico Cardoso</v>
      </c>
      <c r="DJ328" s="406">
        <v>-13.417999999999999</v>
      </c>
      <c r="DK328" s="80">
        <v>-42.14</v>
      </c>
      <c r="DL328" s="80">
        <v>688</v>
      </c>
      <c r="DM328" s="64">
        <v>5</v>
      </c>
      <c r="DN328" s="406" t="s">
        <v>6193</v>
      </c>
      <c r="DO328" s="406">
        <v>-13.16</v>
      </c>
      <c r="DP328" s="80">
        <v>1290</v>
      </c>
    </row>
    <row r="329" spans="29:120" x14ac:dyDescent="0.25">
      <c r="AC329" s="122" t="s">
        <v>376</v>
      </c>
      <c r="AD329" s="122" t="s">
        <v>734</v>
      </c>
      <c r="AE329" s="127">
        <v>2</v>
      </c>
      <c r="BC329" s="122"/>
      <c r="BD329" s="115"/>
      <c r="BE329" s="115"/>
      <c r="BF329" s="115"/>
      <c r="BG329" s="115"/>
      <c r="BH329" s="122" t="str">
        <f t="shared" si="34"/>
        <v/>
      </c>
      <c r="BM329" s="122"/>
      <c r="BN329" s="115"/>
      <c r="BO329" s="115"/>
      <c r="BP329" s="115"/>
      <c r="BQ329" s="115"/>
      <c r="BR329" s="122" t="str">
        <f t="shared" si="35"/>
        <v/>
      </c>
      <c r="BW329" s="122"/>
      <c r="BX329" s="115"/>
      <c r="BY329" s="115"/>
      <c r="BZ329" s="115"/>
      <c r="CA329" s="115"/>
      <c r="CB329" s="122" t="str">
        <f t="shared" si="36"/>
        <v/>
      </c>
      <c r="DA329" s="122" t="s">
        <v>289</v>
      </c>
      <c r="DB329" s="122" t="s">
        <v>1945</v>
      </c>
      <c r="DC329" s="122" t="s">
        <v>1945</v>
      </c>
      <c r="DD329" s="127">
        <v>8</v>
      </c>
      <c r="DE329" s="127">
        <v>8</v>
      </c>
      <c r="DG329" s="405" t="s">
        <v>289</v>
      </c>
      <c r="DH329" s="406" t="s">
        <v>1945</v>
      </c>
      <c r="DI329" s="406" t="str">
        <f t="shared" si="37"/>
        <v>BA, Esplanada</v>
      </c>
      <c r="DJ329" s="406">
        <v>-11.795999999999999</v>
      </c>
      <c r="DK329" s="80">
        <v>-37.945</v>
      </c>
      <c r="DL329" s="80">
        <v>142</v>
      </c>
      <c r="DM329" s="64">
        <v>8</v>
      </c>
      <c r="DN329" s="406" t="s">
        <v>6195</v>
      </c>
      <c r="DO329" s="406">
        <v>-11.81</v>
      </c>
      <c r="DP329" s="80">
        <v>14</v>
      </c>
    </row>
    <row r="330" spans="29:120" x14ac:dyDescent="0.25">
      <c r="AC330" s="122" t="s">
        <v>376</v>
      </c>
      <c r="AD330" s="122" t="s">
        <v>735</v>
      </c>
      <c r="AE330" s="127">
        <v>3</v>
      </c>
      <c r="BC330" s="122"/>
      <c r="BD330" s="115"/>
      <c r="BE330" s="115"/>
      <c r="BF330" s="115"/>
      <c r="BG330" s="115"/>
      <c r="BH330" s="122" t="str">
        <f t="shared" si="34"/>
        <v/>
      </c>
      <c r="BM330" s="122"/>
      <c r="BN330" s="115"/>
      <c r="BO330" s="115"/>
      <c r="BP330" s="115"/>
      <c r="BQ330" s="115"/>
      <c r="BR330" s="122" t="str">
        <f t="shared" si="35"/>
        <v/>
      </c>
      <c r="BW330" s="122"/>
      <c r="BX330" s="115"/>
      <c r="BY330" s="115"/>
      <c r="BZ330" s="115"/>
      <c r="CA330" s="115"/>
      <c r="CB330" s="122" t="str">
        <f t="shared" si="36"/>
        <v/>
      </c>
      <c r="DA330" s="122" t="s">
        <v>289</v>
      </c>
      <c r="DB330" s="122" t="s">
        <v>6280</v>
      </c>
      <c r="DC330" s="122" t="s">
        <v>3546</v>
      </c>
      <c r="DD330" s="127">
        <v>7</v>
      </c>
      <c r="DE330" s="127">
        <v>7</v>
      </c>
      <c r="DG330" s="405" t="s">
        <v>289</v>
      </c>
      <c r="DH330" s="406" t="s">
        <v>3546</v>
      </c>
      <c r="DI330" s="406" t="str">
        <f t="shared" si="37"/>
        <v>BA, Euclides da Cunha</v>
      </c>
      <c r="DJ330" s="406">
        <v>-10.507999999999999</v>
      </c>
      <c r="DK330" s="80">
        <v>-39.014000000000003</v>
      </c>
      <c r="DL330" s="80">
        <v>472</v>
      </c>
      <c r="DM330" s="64">
        <v>7</v>
      </c>
      <c r="DN330" s="406" t="s">
        <v>6219</v>
      </c>
      <c r="DO330" s="406">
        <v>-10.54</v>
      </c>
      <c r="DP330" s="80">
        <v>432</v>
      </c>
    </row>
    <row r="331" spans="29:120" x14ac:dyDescent="0.25">
      <c r="AC331" s="122" t="s">
        <v>376</v>
      </c>
      <c r="AD331" s="122" t="s">
        <v>736</v>
      </c>
      <c r="AE331" s="127">
        <v>3</v>
      </c>
      <c r="BC331" s="122"/>
      <c r="BD331" s="115"/>
      <c r="BE331" s="115"/>
      <c r="BF331" s="115"/>
      <c r="BG331" s="115"/>
      <c r="BH331" s="122" t="str">
        <f t="shared" si="34"/>
        <v/>
      </c>
      <c r="BM331" s="122"/>
      <c r="BN331" s="115"/>
      <c r="BO331" s="115"/>
      <c r="BP331" s="115"/>
      <c r="BQ331" s="115"/>
      <c r="BR331" s="122" t="str">
        <f t="shared" si="35"/>
        <v/>
      </c>
      <c r="BW331" s="122"/>
      <c r="BX331" s="115"/>
      <c r="BY331" s="115"/>
      <c r="BZ331" s="115"/>
      <c r="CA331" s="115"/>
      <c r="CB331" s="122" t="str">
        <f t="shared" si="36"/>
        <v/>
      </c>
      <c r="DA331" s="122" t="s">
        <v>289</v>
      </c>
      <c r="DB331" s="122" t="s">
        <v>3230</v>
      </c>
      <c r="DC331" s="122" t="s">
        <v>3230</v>
      </c>
      <c r="DD331" s="127">
        <v>8</v>
      </c>
      <c r="DE331" s="127">
        <v>8</v>
      </c>
      <c r="DG331" s="405" t="s">
        <v>289</v>
      </c>
      <c r="DH331" s="406" t="s">
        <v>3230</v>
      </c>
      <c r="DI331" s="406" t="str">
        <f t="shared" si="37"/>
        <v>BA, Eunápolis</v>
      </c>
      <c r="DJ331" s="406">
        <v>-16.378</v>
      </c>
      <c r="DK331" s="80">
        <v>-39.58</v>
      </c>
      <c r="DL331" s="80">
        <v>189</v>
      </c>
      <c r="DM331" s="64">
        <v>8</v>
      </c>
      <c r="DN331" s="406" t="s">
        <v>6281</v>
      </c>
      <c r="DO331" s="406">
        <v>-16.39</v>
      </c>
      <c r="DP331" s="80">
        <v>85</v>
      </c>
    </row>
    <row r="332" spans="29:120" x14ac:dyDescent="0.25">
      <c r="AC332" s="122" t="s">
        <v>376</v>
      </c>
      <c r="AD332" s="122" t="s">
        <v>737</v>
      </c>
      <c r="AE332" s="127">
        <v>4</v>
      </c>
      <c r="BC332" s="122"/>
      <c r="BD332" s="115"/>
      <c r="BE332" s="115"/>
      <c r="BF332" s="115"/>
      <c r="BG332" s="115"/>
      <c r="BH332" s="122" t="str">
        <f t="shared" si="34"/>
        <v/>
      </c>
      <c r="BM332" s="122"/>
      <c r="BN332" s="115"/>
      <c r="BO332" s="115"/>
      <c r="BP332" s="115"/>
      <c r="BQ332" s="115"/>
      <c r="BR332" s="122" t="str">
        <f t="shared" si="35"/>
        <v/>
      </c>
      <c r="BW332" s="122"/>
      <c r="BX332" s="115"/>
      <c r="BY332" s="115"/>
      <c r="BZ332" s="115"/>
      <c r="CA332" s="115"/>
      <c r="CB332" s="122" t="str">
        <f t="shared" si="36"/>
        <v/>
      </c>
      <c r="DA332" s="122" t="s">
        <v>289</v>
      </c>
      <c r="DB332" s="122" t="s">
        <v>3510</v>
      </c>
      <c r="DC332" s="122" t="s">
        <v>3510</v>
      </c>
      <c r="DD332" s="127">
        <v>8</v>
      </c>
      <c r="DE332" s="127">
        <v>8</v>
      </c>
      <c r="DG332" s="405" t="s">
        <v>289</v>
      </c>
      <c r="DH332" s="406" t="s">
        <v>3510</v>
      </c>
      <c r="DI332" s="406" t="str">
        <f t="shared" si="37"/>
        <v>BA, Fátima</v>
      </c>
      <c r="DJ332" s="406">
        <v>-10.6</v>
      </c>
      <c r="DK332" s="80">
        <v>-38.216999999999999</v>
      </c>
      <c r="DL332" s="80">
        <v>100</v>
      </c>
      <c r="DM332" s="64">
        <v>8</v>
      </c>
      <c r="DN332" s="406" t="s">
        <v>6196</v>
      </c>
      <c r="DO332" s="406">
        <v>-10.74</v>
      </c>
      <c r="DP332" s="80">
        <v>362</v>
      </c>
    </row>
    <row r="333" spans="29:120" x14ac:dyDescent="0.25">
      <c r="AC333" s="122" t="s">
        <v>376</v>
      </c>
      <c r="AD333" s="122" t="s">
        <v>738</v>
      </c>
      <c r="AE333" s="127">
        <v>3</v>
      </c>
      <c r="BC333" s="122"/>
      <c r="BD333" s="115"/>
      <c r="BE333" s="115"/>
      <c r="BF333" s="115"/>
      <c r="BG333" s="115"/>
      <c r="BH333" s="122" t="str">
        <f t="shared" si="34"/>
        <v/>
      </c>
      <c r="BM333" s="122"/>
      <c r="BN333" s="115"/>
      <c r="BO333" s="115"/>
      <c r="BP333" s="115"/>
      <c r="BQ333" s="115"/>
      <c r="BR333" s="122" t="str">
        <f t="shared" si="35"/>
        <v/>
      </c>
      <c r="BW333" s="122"/>
      <c r="BX333" s="115"/>
      <c r="BY333" s="115"/>
      <c r="BZ333" s="115"/>
      <c r="CA333" s="115"/>
      <c r="CB333" s="122" t="str">
        <f t="shared" si="36"/>
        <v/>
      </c>
      <c r="DA333" s="122" t="s">
        <v>289</v>
      </c>
      <c r="DB333" s="122" t="s">
        <v>6282</v>
      </c>
      <c r="DC333" s="122" t="s">
        <v>2990</v>
      </c>
      <c r="DD333" s="127">
        <v>6</v>
      </c>
      <c r="DE333" s="127">
        <v>6</v>
      </c>
      <c r="DG333" s="405" t="s">
        <v>289</v>
      </c>
      <c r="DH333" s="406" t="s">
        <v>2990</v>
      </c>
      <c r="DI333" s="406" t="str">
        <f t="shared" si="37"/>
        <v>BA, Feira da Mata</v>
      </c>
      <c r="DJ333" s="406">
        <v>-14.207000000000001</v>
      </c>
      <c r="DK333" s="80">
        <v>-44.280999999999999</v>
      </c>
      <c r="DL333" s="80">
        <v>40</v>
      </c>
      <c r="DM333" s="64">
        <v>6</v>
      </c>
      <c r="DN333" s="406" t="s">
        <v>6258</v>
      </c>
      <c r="DO333" s="406">
        <v>-14.42</v>
      </c>
      <c r="DP333" s="80">
        <v>512</v>
      </c>
    </row>
    <row r="334" spans="29:120" x14ac:dyDescent="0.25">
      <c r="AC334" s="122" t="s">
        <v>236</v>
      </c>
      <c r="AD334" s="122" t="s">
        <v>739</v>
      </c>
      <c r="AE334" s="127">
        <v>2</v>
      </c>
      <c r="BC334" s="122"/>
      <c r="BD334" s="115"/>
      <c r="BE334" s="115"/>
      <c r="BF334" s="115"/>
      <c r="BG334" s="115"/>
      <c r="BH334" s="122" t="str">
        <f t="shared" si="34"/>
        <v/>
      </c>
      <c r="BM334" s="122"/>
      <c r="BN334" s="115"/>
      <c r="BO334" s="115"/>
      <c r="BP334" s="115"/>
      <c r="BQ334" s="115"/>
      <c r="BR334" s="122" t="str">
        <f t="shared" si="35"/>
        <v/>
      </c>
      <c r="BW334" s="122"/>
      <c r="BX334" s="115"/>
      <c r="BY334" s="115"/>
      <c r="BZ334" s="115"/>
      <c r="CA334" s="115"/>
      <c r="CB334" s="122" t="str">
        <f t="shared" si="36"/>
        <v/>
      </c>
      <c r="DA334" s="122" t="s">
        <v>289</v>
      </c>
      <c r="DB334" s="122" t="s">
        <v>6283</v>
      </c>
      <c r="DC334" s="122" t="s">
        <v>5296</v>
      </c>
      <c r="DD334" s="127">
        <v>8</v>
      </c>
      <c r="DE334" s="127">
        <v>8</v>
      </c>
      <c r="DG334" s="405" t="s">
        <v>289</v>
      </c>
      <c r="DH334" s="406" t="s">
        <v>5296</v>
      </c>
      <c r="DI334" s="406" t="str">
        <f t="shared" si="37"/>
        <v>BA, Feira de Santana</v>
      </c>
      <c r="DJ334" s="406">
        <v>-12.266999999999999</v>
      </c>
      <c r="DK334" s="80">
        <v>-38.966999999999999</v>
      </c>
      <c r="DL334" s="80">
        <v>234</v>
      </c>
      <c r="DM334" s="64">
        <v>8</v>
      </c>
      <c r="DN334" s="406" t="s">
        <v>6200</v>
      </c>
      <c r="DO334" s="406">
        <v>-12.27</v>
      </c>
      <c r="DP334" s="80">
        <v>231</v>
      </c>
    </row>
    <row r="335" spans="29:120" x14ac:dyDescent="0.25">
      <c r="AC335" s="122" t="s">
        <v>236</v>
      </c>
      <c r="AD335" s="122" t="s">
        <v>740</v>
      </c>
      <c r="AE335" s="127">
        <v>2</v>
      </c>
      <c r="BC335" s="122"/>
      <c r="BD335" s="115"/>
      <c r="BE335" s="115"/>
      <c r="BF335" s="115"/>
      <c r="BG335" s="115"/>
      <c r="BH335" s="122" t="str">
        <f t="shared" si="34"/>
        <v/>
      </c>
      <c r="BM335" s="122"/>
      <c r="BN335" s="115"/>
      <c r="BO335" s="115"/>
      <c r="BP335" s="115"/>
      <c r="BQ335" s="115"/>
      <c r="BR335" s="122" t="str">
        <f t="shared" si="35"/>
        <v/>
      </c>
      <c r="BW335" s="122"/>
      <c r="BX335" s="115"/>
      <c r="BY335" s="115"/>
      <c r="BZ335" s="115"/>
      <c r="CA335" s="115"/>
      <c r="CB335" s="122" t="str">
        <f t="shared" si="36"/>
        <v/>
      </c>
      <c r="DA335" s="122" t="s">
        <v>289</v>
      </c>
      <c r="DB335" s="122" t="s">
        <v>2345</v>
      </c>
      <c r="DC335" s="122" t="s">
        <v>2345</v>
      </c>
      <c r="DD335" s="127">
        <v>8</v>
      </c>
      <c r="DE335" s="127">
        <v>8</v>
      </c>
      <c r="DG335" s="405" t="s">
        <v>289</v>
      </c>
      <c r="DH335" s="406" t="s">
        <v>2345</v>
      </c>
      <c r="DI335" s="406" t="str">
        <f t="shared" si="37"/>
        <v>BA, Filadélfia</v>
      </c>
      <c r="DJ335" s="406">
        <v>-10.741</v>
      </c>
      <c r="DK335" s="80">
        <v>-40.133000000000003</v>
      </c>
      <c r="DL335" s="80">
        <v>424</v>
      </c>
      <c r="DM335" s="64">
        <v>8</v>
      </c>
      <c r="DN335" s="406" t="s">
        <v>6208</v>
      </c>
      <c r="DO335" s="406">
        <v>-10.44</v>
      </c>
      <c r="DP335" s="80">
        <v>548</v>
      </c>
    </row>
    <row r="336" spans="29:120" x14ac:dyDescent="0.25">
      <c r="AC336" s="122" t="s">
        <v>311</v>
      </c>
      <c r="AD336" s="122" t="s">
        <v>741</v>
      </c>
      <c r="AE336" s="127">
        <v>1</v>
      </c>
      <c r="BC336" s="122"/>
      <c r="BD336" s="115"/>
      <c r="BE336" s="115"/>
      <c r="BF336" s="115"/>
      <c r="BG336" s="115"/>
      <c r="BH336" s="122" t="str">
        <f t="shared" si="34"/>
        <v/>
      </c>
      <c r="BM336" s="122"/>
      <c r="BN336" s="115"/>
      <c r="BO336" s="115"/>
      <c r="BP336" s="115"/>
      <c r="BQ336" s="115"/>
      <c r="BR336" s="122" t="str">
        <f t="shared" si="35"/>
        <v/>
      </c>
      <c r="BW336" s="122"/>
      <c r="BX336" s="115"/>
      <c r="BY336" s="115"/>
      <c r="BZ336" s="115"/>
      <c r="CA336" s="115"/>
      <c r="CB336" s="122" t="str">
        <f t="shared" si="36"/>
        <v/>
      </c>
      <c r="DA336" s="122" t="s">
        <v>289</v>
      </c>
      <c r="DB336" s="122" t="s">
        <v>6284</v>
      </c>
      <c r="DC336" s="122" t="s">
        <v>5151</v>
      </c>
      <c r="DD336" s="127">
        <v>8</v>
      </c>
      <c r="DE336" s="127">
        <v>8</v>
      </c>
      <c r="DG336" s="405" t="s">
        <v>289</v>
      </c>
      <c r="DH336" s="406" t="s">
        <v>5151</v>
      </c>
      <c r="DI336" s="406" t="str">
        <f t="shared" si="37"/>
        <v>BA, Firmino Alves</v>
      </c>
      <c r="DJ336" s="406">
        <v>-14.984999999999999</v>
      </c>
      <c r="DK336" s="80">
        <v>-39.923999999999999</v>
      </c>
      <c r="DL336" s="80">
        <v>353</v>
      </c>
      <c r="DM336" s="64">
        <v>8</v>
      </c>
      <c r="DN336" s="406" t="s">
        <v>6239</v>
      </c>
      <c r="DO336" s="406">
        <v>-15.24</v>
      </c>
      <c r="DP336" s="80">
        <v>279</v>
      </c>
    </row>
    <row r="337" spans="29:120" x14ac:dyDescent="0.25">
      <c r="AC337" s="122" t="s">
        <v>236</v>
      </c>
      <c r="AD337" s="122" t="s">
        <v>742</v>
      </c>
      <c r="AE337" s="127">
        <v>2</v>
      </c>
      <c r="BC337" s="122"/>
      <c r="BD337" s="115"/>
      <c r="BE337" s="115"/>
      <c r="BF337" s="115"/>
      <c r="BG337" s="115"/>
      <c r="BH337" s="122" t="str">
        <f t="shared" si="34"/>
        <v/>
      </c>
      <c r="BM337" s="122"/>
      <c r="BN337" s="115"/>
      <c r="BO337" s="115"/>
      <c r="BP337" s="115"/>
      <c r="BQ337" s="115"/>
      <c r="BR337" s="122" t="str">
        <f t="shared" si="35"/>
        <v/>
      </c>
      <c r="BW337" s="122"/>
      <c r="BX337" s="115"/>
      <c r="BY337" s="115"/>
      <c r="BZ337" s="115"/>
      <c r="CA337" s="115"/>
      <c r="CB337" s="122" t="str">
        <f t="shared" si="36"/>
        <v/>
      </c>
      <c r="DA337" s="122" t="s">
        <v>289</v>
      </c>
      <c r="DB337" s="122" t="s">
        <v>6285</v>
      </c>
      <c r="DC337" s="122" t="s">
        <v>2155</v>
      </c>
      <c r="DD337" s="127">
        <v>8</v>
      </c>
      <c r="DE337" s="127">
        <v>8</v>
      </c>
      <c r="DG337" s="405" t="s">
        <v>289</v>
      </c>
      <c r="DH337" s="406" t="s">
        <v>2155</v>
      </c>
      <c r="DI337" s="406" t="str">
        <f t="shared" si="37"/>
        <v>BA, Floresta Azul</v>
      </c>
      <c r="DJ337" s="406">
        <v>-14.86</v>
      </c>
      <c r="DK337" s="80">
        <v>-39.659999999999997</v>
      </c>
      <c r="DL337" s="80">
        <v>186</v>
      </c>
      <c r="DM337" s="64">
        <v>8</v>
      </c>
      <c r="DN337" s="406" t="s">
        <v>6227</v>
      </c>
      <c r="DO337" s="406">
        <v>-14.79</v>
      </c>
      <c r="DP337" s="80">
        <v>78</v>
      </c>
    </row>
    <row r="338" spans="29:120" x14ac:dyDescent="0.25">
      <c r="AC338" s="122" t="s">
        <v>27</v>
      </c>
      <c r="AD338" s="122" t="s">
        <v>743</v>
      </c>
      <c r="AE338" s="127">
        <v>2</v>
      </c>
      <c r="BC338" s="122"/>
      <c r="BD338" s="115"/>
      <c r="BE338" s="115"/>
      <c r="BF338" s="115"/>
      <c r="BG338" s="115"/>
      <c r="BH338" s="122" t="str">
        <f t="shared" si="34"/>
        <v/>
      </c>
      <c r="BM338" s="122"/>
      <c r="BN338" s="115"/>
      <c r="BO338" s="115"/>
      <c r="BP338" s="115"/>
      <c r="BQ338" s="115"/>
      <c r="BR338" s="122" t="str">
        <f t="shared" si="35"/>
        <v/>
      </c>
      <c r="BW338" s="122"/>
      <c r="BX338" s="115"/>
      <c r="BY338" s="115"/>
      <c r="BZ338" s="115"/>
      <c r="CA338" s="115"/>
      <c r="CB338" s="122" t="str">
        <f t="shared" si="36"/>
        <v/>
      </c>
      <c r="DA338" s="122" t="s">
        <v>289</v>
      </c>
      <c r="DB338" s="122" t="s">
        <v>6286</v>
      </c>
      <c r="DC338" s="122" t="s">
        <v>4762</v>
      </c>
      <c r="DD338" s="127">
        <v>6</v>
      </c>
      <c r="DE338" s="127">
        <v>6</v>
      </c>
      <c r="DG338" s="405" t="s">
        <v>289</v>
      </c>
      <c r="DH338" s="406" t="s">
        <v>4762</v>
      </c>
      <c r="DI338" s="406" t="str">
        <f t="shared" si="37"/>
        <v>BA, Formosa do Rio Preto</v>
      </c>
      <c r="DJ338" s="406">
        <v>-11.048</v>
      </c>
      <c r="DK338" s="80">
        <v>-45.192999999999998</v>
      </c>
      <c r="DL338" s="80">
        <v>490</v>
      </c>
      <c r="DM338" s="64">
        <v>6</v>
      </c>
      <c r="DN338" s="406" t="s">
        <v>6287</v>
      </c>
      <c r="DO338" s="406">
        <v>-11.01</v>
      </c>
      <c r="DP338" s="80">
        <v>450</v>
      </c>
    </row>
    <row r="339" spans="29:120" x14ac:dyDescent="0.25">
      <c r="AC339" s="122" t="s">
        <v>311</v>
      </c>
      <c r="AD339" s="122" t="s">
        <v>744</v>
      </c>
      <c r="AE339" s="127">
        <v>2</v>
      </c>
      <c r="BC339" s="122"/>
      <c r="BD339" s="115"/>
      <c r="BE339" s="115"/>
      <c r="BF339" s="115"/>
      <c r="BG339" s="115"/>
      <c r="BH339" s="122" t="str">
        <f t="shared" si="34"/>
        <v/>
      </c>
      <c r="BM339" s="122"/>
      <c r="BN339" s="115"/>
      <c r="BO339" s="115"/>
      <c r="BP339" s="115"/>
      <c r="BQ339" s="115"/>
      <c r="BR339" s="122" t="str">
        <f t="shared" si="35"/>
        <v/>
      </c>
      <c r="BW339" s="122"/>
      <c r="BX339" s="115"/>
      <c r="BY339" s="115"/>
      <c r="BZ339" s="115"/>
      <c r="CA339" s="115"/>
      <c r="CB339" s="122" t="str">
        <f t="shared" si="36"/>
        <v/>
      </c>
      <c r="DA339" s="122" t="s">
        <v>289</v>
      </c>
      <c r="DB339" s="122" t="s">
        <v>2137</v>
      </c>
      <c r="DC339" s="122" t="s">
        <v>2137</v>
      </c>
      <c r="DD339" s="127">
        <v>8</v>
      </c>
      <c r="DE339" s="127">
        <v>8</v>
      </c>
      <c r="DG339" s="405" t="s">
        <v>289</v>
      </c>
      <c r="DH339" s="406" t="s">
        <v>2137</v>
      </c>
      <c r="DI339" s="406" t="str">
        <f t="shared" si="37"/>
        <v>BA, Gandu</v>
      </c>
      <c r="DJ339" s="406">
        <v>-13.744</v>
      </c>
      <c r="DK339" s="80">
        <v>-39.487000000000002</v>
      </c>
      <c r="DL339" s="80">
        <v>164</v>
      </c>
      <c r="DM339" s="64">
        <v>8</v>
      </c>
      <c r="DN339" s="406" t="s">
        <v>6199</v>
      </c>
      <c r="DO339" s="406">
        <v>-14.14</v>
      </c>
      <c r="DP339" s="80">
        <v>135</v>
      </c>
    </row>
    <row r="340" spans="29:120" x14ac:dyDescent="0.25">
      <c r="AC340" s="122" t="s">
        <v>311</v>
      </c>
      <c r="AD340" s="122" t="s">
        <v>745</v>
      </c>
      <c r="AE340" s="127">
        <v>1</v>
      </c>
      <c r="BC340" s="122"/>
      <c r="BD340" s="115"/>
      <c r="BE340" s="115"/>
      <c r="BF340" s="115"/>
      <c r="BG340" s="115"/>
      <c r="BH340" s="122" t="str">
        <f t="shared" si="34"/>
        <v/>
      </c>
      <c r="BM340" s="122"/>
      <c r="BN340" s="115"/>
      <c r="BO340" s="115"/>
      <c r="BP340" s="115"/>
      <c r="BQ340" s="115"/>
      <c r="BR340" s="122" t="str">
        <f t="shared" si="35"/>
        <v/>
      </c>
      <c r="BW340" s="122"/>
      <c r="BX340" s="115"/>
      <c r="BY340" s="115"/>
      <c r="BZ340" s="115"/>
      <c r="CA340" s="115"/>
      <c r="CB340" s="122" t="str">
        <f t="shared" si="36"/>
        <v/>
      </c>
      <c r="DA340" s="122" t="s">
        <v>289</v>
      </c>
      <c r="DB340" s="122" t="s">
        <v>5195</v>
      </c>
      <c r="DC340" s="122" t="s">
        <v>5195</v>
      </c>
      <c r="DD340" s="127">
        <v>8</v>
      </c>
      <c r="DE340" s="127">
        <v>8</v>
      </c>
      <c r="DG340" s="405" t="s">
        <v>289</v>
      </c>
      <c r="DH340" s="406" t="s">
        <v>5195</v>
      </c>
      <c r="DI340" s="406" t="str">
        <f t="shared" si="37"/>
        <v>BA, Gavião</v>
      </c>
      <c r="DJ340" s="406">
        <v>-11.471</v>
      </c>
      <c r="DK340" s="80">
        <v>-39.783999999999999</v>
      </c>
      <c r="DL340" s="80">
        <v>312</v>
      </c>
      <c r="DM340" s="64">
        <v>8</v>
      </c>
      <c r="DN340" s="406" t="s">
        <v>6253</v>
      </c>
      <c r="DO340" s="406">
        <v>-10.98</v>
      </c>
      <c r="DP340" s="80">
        <v>315</v>
      </c>
    </row>
    <row r="341" spans="29:120" x14ac:dyDescent="0.25">
      <c r="AC341" s="122" t="s">
        <v>311</v>
      </c>
      <c r="AD341" s="122" t="s">
        <v>746</v>
      </c>
      <c r="AE341" s="127">
        <v>3</v>
      </c>
      <c r="BC341" s="122"/>
      <c r="BD341" s="115"/>
      <c r="BE341" s="115"/>
      <c r="BF341" s="115"/>
      <c r="BG341" s="115"/>
      <c r="BH341" s="122" t="str">
        <f t="shared" si="34"/>
        <v/>
      </c>
      <c r="BM341" s="122"/>
      <c r="BN341" s="115"/>
      <c r="BO341" s="115"/>
      <c r="BP341" s="115"/>
      <c r="BQ341" s="115"/>
      <c r="BR341" s="122" t="str">
        <f t="shared" si="35"/>
        <v/>
      </c>
      <c r="BW341" s="122"/>
      <c r="BX341" s="115"/>
      <c r="BY341" s="115"/>
      <c r="BZ341" s="115"/>
      <c r="CA341" s="115"/>
      <c r="CB341" s="122" t="str">
        <f t="shared" si="36"/>
        <v/>
      </c>
      <c r="DA341" s="122" t="s">
        <v>289</v>
      </c>
      <c r="DB341" s="122" t="s">
        <v>6288</v>
      </c>
      <c r="DC341" s="122" t="s">
        <v>2699</v>
      </c>
      <c r="DD341" s="127">
        <v>6</v>
      </c>
      <c r="DE341" s="127">
        <v>6</v>
      </c>
      <c r="DG341" s="405" t="s">
        <v>289</v>
      </c>
      <c r="DH341" s="406" t="s">
        <v>2699</v>
      </c>
      <c r="DI341" s="406" t="str">
        <f t="shared" si="37"/>
        <v>BA, Gentio do Ouro</v>
      </c>
      <c r="DJ341" s="406">
        <v>-11.429</v>
      </c>
      <c r="DK341" s="80">
        <v>-42.506</v>
      </c>
      <c r="DL341" s="80">
        <v>1098</v>
      </c>
      <c r="DM341" s="64">
        <v>6</v>
      </c>
      <c r="DN341" s="406" t="s">
        <v>6205</v>
      </c>
      <c r="DO341" s="406">
        <v>-11.33</v>
      </c>
      <c r="DP341" s="80">
        <v>755</v>
      </c>
    </row>
    <row r="342" spans="29:120" x14ac:dyDescent="0.25">
      <c r="AC342" s="122" t="s">
        <v>311</v>
      </c>
      <c r="AD342" s="122" t="s">
        <v>747</v>
      </c>
      <c r="AE342" s="127">
        <v>2</v>
      </c>
      <c r="BC342" s="122"/>
      <c r="BD342" s="115"/>
      <c r="BE342" s="115"/>
      <c r="BF342" s="115"/>
      <c r="BG342" s="115"/>
      <c r="BH342" s="122" t="str">
        <f t="shared" si="34"/>
        <v/>
      </c>
      <c r="BM342" s="122"/>
      <c r="BN342" s="115"/>
      <c r="BO342" s="115"/>
      <c r="BP342" s="115"/>
      <c r="BQ342" s="115"/>
      <c r="BR342" s="122" t="str">
        <f t="shared" si="35"/>
        <v/>
      </c>
      <c r="BW342" s="122"/>
      <c r="BX342" s="115"/>
      <c r="BY342" s="115"/>
      <c r="BZ342" s="115"/>
      <c r="CA342" s="115"/>
      <c r="CB342" s="122" t="str">
        <f t="shared" si="36"/>
        <v/>
      </c>
      <c r="DA342" s="122" t="s">
        <v>289</v>
      </c>
      <c r="DB342" s="122" t="s">
        <v>5225</v>
      </c>
      <c r="DC342" s="122" t="s">
        <v>5225</v>
      </c>
      <c r="DD342" s="127">
        <v>7</v>
      </c>
      <c r="DE342" s="127">
        <v>7</v>
      </c>
      <c r="DG342" s="405" t="s">
        <v>289</v>
      </c>
      <c r="DH342" s="406" t="s">
        <v>5225</v>
      </c>
      <c r="DI342" s="406" t="str">
        <f t="shared" si="37"/>
        <v>BA, Glória</v>
      </c>
      <c r="DJ342" s="406">
        <v>-9.3390000000000004</v>
      </c>
      <c r="DK342" s="80">
        <v>-38.256999999999998</v>
      </c>
      <c r="DL342" s="80">
        <v>250</v>
      </c>
      <c r="DM342" s="64">
        <v>7</v>
      </c>
      <c r="DN342" s="406" t="s">
        <v>6087</v>
      </c>
      <c r="DO342" s="406">
        <v>-9.41</v>
      </c>
      <c r="DP342" s="80">
        <v>253</v>
      </c>
    </row>
    <row r="343" spans="29:120" x14ac:dyDescent="0.25">
      <c r="AC343" s="122" t="s">
        <v>311</v>
      </c>
      <c r="AD343" s="122" t="s">
        <v>748</v>
      </c>
      <c r="AE343" s="127">
        <v>2</v>
      </c>
      <c r="BC343" s="122"/>
      <c r="BD343" s="115"/>
      <c r="BE343" s="115"/>
      <c r="BF343" s="115"/>
      <c r="BG343" s="115"/>
      <c r="BH343" s="122" t="str">
        <f t="shared" si="34"/>
        <v/>
      </c>
      <c r="BM343" s="122"/>
      <c r="BN343" s="115"/>
      <c r="BO343" s="115"/>
      <c r="BP343" s="115"/>
      <c r="BQ343" s="115"/>
      <c r="BR343" s="122" t="str">
        <f t="shared" si="35"/>
        <v/>
      </c>
      <c r="BW343" s="122"/>
      <c r="BX343" s="115"/>
      <c r="BY343" s="115"/>
      <c r="BZ343" s="115"/>
      <c r="CA343" s="115"/>
      <c r="CB343" s="122" t="str">
        <f t="shared" si="36"/>
        <v/>
      </c>
      <c r="DA343" s="122" t="s">
        <v>289</v>
      </c>
      <c r="DB343" s="122" t="s">
        <v>5181</v>
      </c>
      <c r="DC343" s="122" t="s">
        <v>5181</v>
      </c>
      <c r="DD343" s="127">
        <v>8</v>
      </c>
      <c r="DE343" s="127">
        <v>8</v>
      </c>
      <c r="DG343" s="405" t="s">
        <v>289</v>
      </c>
      <c r="DH343" s="406" t="s">
        <v>5181</v>
      </c>
      <c r="DI343" s="406" t="str">
        <f t="shared" si="37"/>
        <v>BA, Gongogi</v>
      </c>
      <c r="DJ343" s="406">
        <v>-14.321999999999999</v>
      </c>
      <c r="DK343" s="80">
        <v>-39.465000000000003</v>
      </c>
      <c r="DL343" s="80">
        <v>115</v>
      </c>
      <c r="DM343" s="64">
        <v>8</v>
      </c>
      <c r="DN343" s="406" t="s">
        <v>6199</v>
      </c>
      <c r="DO343" s="406">
        <v>-14.14</v>
      </c>
      <c r="DP343" s="80">
        <v>135</v>
      </c>
    </row>
    <row r="344" spans="29:120" x14ac:dyDescent="0.25">
      <c r="AC344" s="122" t="s">
        <v>311</v>
      </c>
      <c r="AD344" s="122" t="s">
        <v>749</v>
      </c>
      <c r="AE344" s="127">
        <v>1</v>
      </c>
      <c r="BC344" s="122"/>
      <c r="BD344" s="115"/>
      <c r="BE344" s="115"/>
      <c r="BF344" s="115"/>
      <c r="BG344" s="115"/>
      <c r="BH344" s="122" t="str">
        <f t="shared" si="34"/>
        <v/>
      </c>
      <c r="BM344" s="122"/>
      <c r="BN344" s="115"/>
      <c r="BO344" s="115"/>
      <c r="BP344" s="115"/>
      <c r="BQ344" s="115"/>
      <c r="BR344" s="122" t="str">
        <f t="shared" si="35"/>
        <v/>
      </c>
      <c r="BW344" s="122"/>
      <c r="BX344" s="115"/>
      <c r="BY344" s="115"/>
      <c r="BZ344" s="115"/>
      <c r="CA344" s="115"/>
      <c r="CB344" s="122" t="str">
        <f t="shared" si="36"/>
        <v/>
      </c>
      <c r="DA344" s="122" t="s">
        <v>289</v>
      </c>
      <c r="DB344" s="122" t="s">
        <v>6289</v>
      </c>
      <c r="DC344" s="122" t="s">
        <v>5129</v>
      </c>
      <c r="DD344" s="127">
        <v>8</v>
      </c>
      <c r="DE344" s="127">
        <v>8</v>
      </c>
      <c r="DG344" s="405" t="s">
        <v>289</v>
      </c>
      <c r="DH344" s="406" t="s">
        <v>5129</v>
      </c>
      <c r="DI344" s="406" t="str">
        <f t="shared" si="37"/>
        <v>BA, Governador Mangabeira</v>
      </c>
      <c r="DJ344" s="406">
        <v>-12.602</v>
      </c>
      <c r="DK344" s="80">
        <v>-39.042999999999999</v>
      </c>
      <c r="DL344" s="80">
        <v>204</v>
      </c>
      <c r="DM344" s="64">
        <v>8</v>
      </c>
      <c r="DN344" s="406" t="s">
        <v>6241</v>
      </c>
      <c r="DO344" s="406">
        <v>-12.67</v>
      </c>
      <c r="DP344" s="80">
        <v>226</v>
      </c>
    </row>
    <row r="345" spans="29:120" x14ac:dyDescent="0.25">
      <c r="AC345" s="122" t="s">
        <v>311</v>
      </c>
      <c r="AD345" s="122" t="s">
        <v>750</v>
      </c>
      <c r="AE345" s="127">
        <v>2</v>
      </c>
      <c r="BC345" s="122"/>
      <c r="BD345" s="115"/>
      <c r="BE345" s="115"/>
      <c r="BF345" s="115"/>
      <c r="BG345" s="115"/>
      <c r="BH345" s="122" t="str">
        <f t="shared" si="34"/>
        <v/>
      </c>
      <c r="BM345" s="122"/>
      <c r="BN345" s="115"/>
      <c r="BO345" s="115"/>
      <c r="BP345" s="115"/>
      <c r="BQ345" s="115"/>
      <c r="BR345" s="122" t="str">
        <f t="shared" si="35"/>
        <v/>
      </c>
      <c r="BW345" s="122"/>
      <c r="BX345" s="115"/>
      <c r="BY345" s="115"/>
      <c r="BZ345" s="115"/>
      <c r="CA345" s="115"/>
      <c r="CB345" s="122" t="str">
        <f t="shared" si="36"/>
        <v/>
      </c>
      <c r="DA345" s="122" t="s">
        <v>289</v>
      </c>
      <c r="DB345" s="122" t="s">
        <v>2006</v>
      </c>
      <c r="DC345" s="122" t="s">
        <v>2006</v>
      </c>
      <c r="DD345" s="127">
        <v>6</v>
      </c>
      <c r="DE345" s="127">
        <v>6</v>
      </c>
      <c r="DG345" s="405" t="s">
        <v>289</v>
      </c>
      <c r="DH345" s="406" t="s">
        <v>2006</v>
      </c>
      <c r="DI345" s="406" t="str">
        <f t="shared" si="37"/>
        <v>BA, Guajeru</v>
      </c>
      <c r="DJ345" s="406">
        <v>-14.547000000000001</v>
      </c>
      <c r="DK345" s="80">
        <v>-41.94</v>
      </c>
      <c r="DL345" s="80">
        <v>628</v>
      </c>
      <c r="DM345" s="64">
        <v>6</v>
      </c>
      <c r="DN345" s="406" t="s">
        <v>6213</v>
      </c>
      <c r="DO345" s="406">
        <v>-14.18</v>
      </c>
      <c r="DP345" s="80">
        <v>470</v>
      </c>
    </row>
    <row r="346" spans="29:120" x14ac:dyDescent="0.25">
      <c r="AC346" s="122" t="s">
        <v>311</v>
      </c>
      <c r="AD346" s="122" t="s">
        <v>751</v>
      </c>
      <c r="AE346" s="127">
        <v>2</v>
      </c>
      <c r="BC346" s="122"/>
      <c r="BD346" s="115"/>
      <c r="BE346" s="115"/>
      <c r="BF346" s="115"/>
      <c r="BG346" s="115"/>
      <c r="BH346" s="122" t="str">
        <f t="shared" si="34"/>
        <v/>
      </c>
      <c r="BM346" s="122"/>
      <c r="BN346" s="115"/>
      <c r="BO346" s="115"/>
      <c r="BP346" s="115"/>
      <c r="BQ346" s="115"/>
      <c r="BR346" s="122" t="str">
        <f t="shared" si="35"/>
        <v/>
      </c>
      <c r="BW346" s="122"/>
      <c r="BX346" s="115"/>
      <c r="BY346" s="115"/>
      <c r="BZ346" s="115"/>
      <c r="CA346" s="115"/>
      <c r="CB346" s="122" t="str">
        <f t="shared" si="36"/>
        <v/>
      </c>
      <c r="DA346" s="122" t="s">
        <v>289</v>
      </c>
      <c r="DB346" s="122" t="s">
        <v>5157</v>
      </c>
      <c r="DC346" s="122" t="s">
        <v>5157</v>
      </c>
      <c r="DD346" s="127">
        <v>6</v>
      </c>
      <c r="DE346" s="127">
        <v>6</v>
      </c>
      <c r="DG346" s="405" t="s">
        <v>289</v>
      </c>
      <c r="DH346" s="406" t="s">
        <v>5157</v>
      </c>
      <c r="DI346" s="406" t="str">
        <f t="shared" si="37"/>
        <v>BA, Guanambi</v>
      </c>
      <c r="DJ346" s="406">
        <v>-14.223000000000001</v>
      </c>
      <c r="DK346" s="80">
        <v>-42.780999999999999</v>
      </c>
      <c r="DL346" s="80">
        <v>530</v>
      </c>
      <c r="DM346" s="64">
        <v>6</v>
      </c>
      <c r="DN346" s="406" t="s">
        <v>6242</v>
      </c>
      <c r="DO346" s="406">
        <v>-14.21</v>
      </c>
      <c r="DP346" s="80">
        <v>551</v>
      </c>
    </row>
    <row r="347" spans="29:120" x14ac:dyDescent="0.25">
      <c r="AC347" s="122" t="s">
        <v>311</v>
      </c>
      <c r="AD347" s="122" t="s">
        <v>752</v>
      </c>
      <c r="AE347" s="127">
        <v>2</v>
      </c>
      <c r="BC347" s="122"/>
      <c r="BD347" s="115"/>
      <c r="BE347" s="115"/>
      <c r="BF347" s="115"/>
      <c r="BG347" s="115"/>
      <c r="BH347" s="122" t="str">
        <f t="shared" si="34"/>
        <v/>
      </c>
      <c r="BM347" s="122"/>
      <c r="BN347" s="115"/>
      <c r="BO347" s="115"/>
      <c r="BP347" s="115"/>
      <c r="BQ347" s="115"/>
      <c r="BR347" s="122" t="str">
        <f t="shared" si="35"/>
        <v/>
      </c>
      <c r="BW347" s="122"/>
      <c r="BX347" s="115"/>
      <c r="BY347" s="115"/>
      <c r="BZ347" s="115"/>
      <c r="CA347" s="115"/>
      <c r="CB347" s="122" t="str">
        <f t="shared" si="36"/>
        <v/>
      </c>
      <c r="DA347" s="122" t="s">
        <v>289</v>
      </c>
      <c r="DB347" s="122" t="s">
        <v>1811</v>
      </c>
      <c r="DC347" s="122" t="s">
        <v>1811</v>
      </c>
      <c r="DD347" s="127">
        <v>8</v>
      </c>
      <c r="DE347" s="127">
        <v>8</v>
      </c>
      <c r="DG347" s="405" t="s">
        <v>289</v>
      </c>
      <c r="DH347" s="406" t="s">
        <v>1811</v>
      </c>
      <c r="DI347" s="406" t="str">
        <f t="shared" si="37"/>
        <v>BA, Guaratinga</v>
      </c>
      <c r="DJ347" s="406">
        <v>-16.584</v>
      </c>
      <c r="DK347" s="80">
        <v>-39.783000000000001</v>
      </c>
      <c r="DL347" s="80">
        <v>200</v>
      </c>
      <c r="DM347" s="64">
        <v>8</v>
      </c>
      <c r="DN347" s="406" t="s">
        <v>6281</v>
      </c>
      <c r="DO347" s="406">
        <v>-16.39</v>
      </c>
      <c r="DP347" s="80">
        <v>85</v>
      </c>
    </row>
    <row r="348" spans="29:120" x14ac:dyDescent="0.25">
      <c r="AC348" s="122" t="s">
        <v>311</v>
      </c>
      <c r="AD348" s="122" t="s">
        <v>753</v>
      </c>
      <c r="AE348" s="127">
        <v>2</v>
      </c>
      <c r="BC348" s="122"/>
      <c r="BD348" s="115"/>
      <c r="BE348" s="115"/>
      <c r="BF348" s="115"/>
      <c r="BG348" s="115"/>
      <c r="BH348" s="122" t="str">
        <f t="shared" si="34"/>
        <v/>
      </c>
      <c r="BM348" s="122"/>
      <c r="BN348" s="115"/>
      <c r="BO348" s="115"/>
      <c r="BP348" s="115"/>
      <c r="BQ348" s="115"/>
      <c r="BR348" s="122" t="str">
        <f t="shared" si="35"/>
        <v/>
      </c>
      <c r="BW348" s="122"/>
      <c r="BX348" s="115"/>
      <c r="BY348" s="115"/>
      <c r="BZ348" s="115"/>
      <c r="CA348" s="115"/>
      <c r="CB348" s="122" t="str">
        <f t="shared" si="36"/>
        <v/>
      </c>
      <c r="DA348" s="122" t="s">
        <v>289</v>
      </c>
      <c r="DB348" s="122" t="s">
        <v>3513</v>
      </c>
      <c r="DC348" s="122" t="s">
        <v>3513</v>
      </c>
      <c r="DD348" s="127">
        <v>8</v>
      </c>
      <c r="DE348" s="127">
        <v>8</v>
      </c>
      <c r="DG348" s="405" t="s">
        <v>289</v>
      </c>
      <c r="DH348" s="406" t="s">
        <v>3513</v>
      </c>
      <c r="DI348" s="406" t="str">
        <f t="shared" si="37"/>
        <v>BA, Heliópolis</v>
      </c>
      <c r="DJ348" s="406">
        <v>-10.683</v>
      </c>
      <c r="DK348" s="80">
        <v>-38.286000000000001</v>
      </c>
      <c r="DL348" s="80">
        <v>328</v>
      </c>
      <c r="DM348" s="64">
        <v>8</v>
      </c>
      <c r="DN348" s="406" t="s">
        <v>6196</v>
      </c>
      <c r="DO348" s="406">
        <v>-10.74</v>
      </c>
      <c r="DP348" s="80">
        <v>362</v>
      </c>
    </row>
    <row r="349" spans="29:120" x14ac:dyDescent="0.25">
      <c r="AC349" s="122" t="s">
        <v>311</v>
      </c>
      <c r="AD349" s="122" t="s">
        <v>754</v>
      </c>
      <c r="AE349" s="127">
        <v>2</v>
      </c>
      <c r="BC349" s="122"/>
      <c r="BD349" s="115"/>
      <c r="BE349" s="115"/>
      <c r="BF349" s="115"/>
      <c r="BG349" s="115"/>
      <c r="BH349" s="122" t="str">
        <f t="shared" si="34"/>
        <v/>
      </c>
      <c r="BM349" s="122"/>
      <c r="BN349" s="115"/>
      <c r="BO349" s="115"/>
      <c r="BP349" s="115"/>
      <c r="BQ349" s="115"/>
      <c r="BR349" s="122" t="str">
        <f t="shared" si="35"/>
        <v/>
      </c>
      <c r="BW349" s="122"/>
      <c r="BX349" s="115"/>
      <c r="BY349" s="115"/>
      <c r="BZ349" s="115"/>
      <c r="CA349" s="115"/>
      <c r="CB349" s="122" t="str">
        <f t="shared" si="36"/>
        <v/>
      </c>
      <c r="DA349" s="122" t="s">
        <v>289</v>
      </c>
      <c r="DB349" s="122" t="s">
        <v>1992</v>
      </c>
      <c r="DC349" s="122" t="s">
        <v>1992</v>
      </c>
      <c r="DD349" s="127">
        <v>8</v>
      </c>
      <c r="DE349" s="127">
        <v>8</v>
      </c>
      <c r="DG349" s="405" t="s">
        <v>289</v>
      </c>
      <c r="DH349" s="406" t="s">
        <v>1992</v>
      </c>
      <c r="DI349" s="406" t="str">
        <f t="shared" si="37"/>
        <v>BA, Iaçu</v>
      </c>
      <c r="DJ349" s="406">
        <v>-12.766999999999999</v>
      </c>
      <c r="DK349" s="80">
        <v>-40.212000000000003</v>
      </c>
      <c r="DL349" s="80">
        <v>242</v>
      </c>
      <c r="DM349" s="64">
        <v>8</v>
      </c>
      <c r="DN349" s="406" t="s">
        <v>6232</v>
      </c>
      <c r="DO349" s="406">
        <v>-12.53</v>
      </c>
      <c r="DP349" s="80">
        <v>250</v>
      </c>
    </row>
    <row r="350" spans="29:120" x14ac:dyDescent="0.25">
      <c r="AC350" s="122" t="s">
        <v>311</v>
      </c>
      <c r="AD350" s="122" t="s">
        <v>755</v>
      </c>
      <c r="AE350" s="127">
        <v>3</v>
      </c>
      <c r="BC350" s="122"/>
      <c r="BD350" s="115"/>
      <c r="BE350" s="115"/>
      <c r="BF350" s="115"/>
      <c r="BG350" s="115"/>
      <c r="BH350" s="122" t="str">
        <f t="shared" si="34"/>
        <v/>
      </c>
      <c r="BM350" s="122"/>
      <c r="BN350" s="115"/>
      <c r="BO350" s="115"/>
      <c r="BP350" s="115"/>
      <c r="BQ350" s="115"/>
      <c r="BR350" s="122" t="str">
        <f t="shared" si="35"/>
        <v/>
      </c>
      <c r="BW350" s="122"/>
      <c r="BX350" s="115"/>
      <c r="BY350" s="115"/>
      <c r="BZ350" s="115"/>
      <c r="CA350" s="115"/>
      <c r="CB350" s="122" t="str">
        <f t="shared" si="36"/>
        <v/>
      </c>
      <c r="DA350" s="122" t="s">
        <v>289</v>
      </c>
      <c r="DB350" s="122" t="s">
        <v>2003</v>
      </c>
      <c r="DC350" s="122" t="s">
        <v>2003</v>
      </c>
      <c r="DD350" s="127">
        <v>6</v>
      </c>
      <c r="DE350" s="127">
        <v>6</v>
      </c>
      <c r="DG350" s="405" t="s">
        <v>289</v>
      </c>
      <c r="DH350" s="406" t="s">
        <v>2003</v>
      </c>
      <c r="DI350" s="406" t="str">
        <f t="shared" si="37"/>
        <v>BA, Ibiassucê</v>
      </c>
      <c r="DJ350" s="406">
        <v>-14.259</v>
      </c>
      <c r="DK350" s="80">
        <v>-42.256999999999998</v>
      </c>
      <c r="DL350" s="80">
        <v>574</v>
      </c>
      <c r="DM350" s="64">
        <v>6</v>
      </c>
      <c r="DN350" s="406" t="s">
        <v>6242</v>
      </c>
      <c r="DO350" s="406">
        <v>-14.21</v>
      </c>
      <c r="DP350" s="80">
        <v>551</v>
      </c>
    </row>
    <row r="351" spans="29:120" x14ac:dyDescent="0.25">
      <c r="AC351" s="122" t="s">
        <v>311</v>
      </c>
      <c r="AD351" s="122" t="s">
        <v>756</v>
      </c>
      <c r="AE351" s="127">
        <v>2</v>
      </c>
      <c r="BC351" s="122"/>
      <c r="BD351" s="115"/>
      <c r="BE351" s="115"/>
      <c r="BF351" s="115"/>
      <c r="BG351" s="115"/>
      <c r="BH351" s="122" t="str">
        <f t="shared" si="34"/>
        <v/>
      </c>
      <c r="BM351" s="122"/>
      <c r="BN351" s="115"/>
      <c r="BO351" s="115"/>
      <c r="BP351" s="115"/>
      <c r="BQ351" s="115"/>
      <c r="BR351" s="122" t="str">
        <f t="shared" si="35"/>
        <v/>
      </c>
      <c r="BW351" s="122"/>
      <c r="BX351" s="115"/>
      <c r="BY351" s="115"/>
      <c r="BZ351" s="115"/>
      <c r="CA351" s="115"/>
      <c r="CB351" s="122" t="str">
        <f t="shared" si="36"/>
        <v/>
      </c>
      <c r="DA351" s="122" t="s">
        <v>289</v>
      </c>
      <c r="DB351" s="122" t="s">
        <v>2093</v>
      </c>
      <c r="DC351" s="122" t="s">
        <v>2093</v>
      </c>
      <c r="DD351" s="127">
        <v>8</v>
      </c>
      <c r="DE351" s="127">
        <v>8</v>
      </c>
      <c r="DG351" s="405" t="s">
        <v>289</v>
      </c>
      <c r="DH351" s="406" t="s">
        <v>2093</v>
      </c>
      <c r="DI351" s="406" t="str">
        <f t="shared" si="37"/>
        <v>BA, Ibicaraí</v>
      </c>
      <c r="DJ351" s="406">
        <v>-14.865</v>
      </c>
      <c r="DK351" s="80">
        <v>-39.588000000000001</v>
      </c>
      <c r="DL351" s="80">
        <v>162</v>
      </c>
      <c r="DM351" s="64">
        <v>8</v>
      </c>
      <c r="DN351" s="406" t="s">
        <v>6227</v>
      </c>
      <c r="DO351" s="406">
        <v>-14.79</v>
      </c>
      <c r="DP351" s="80">
        <v>78</v>
      </c>
    </row>
    <row r="352" spans="29:120" x14ac:dyDescent="0.25">
      <c r="AC352" s="122" t="s">
        <v>311</v>
      </c>
      <c r="AD352" s="122" t="s">
        <v>757</v>
      </c>
      <c r="AE352" s="127">
        <v>2</v>
      </c>
      <c r="BC352" s="122"/>
      <c r="BD352" s="115"/>
      <c r="BE352" s="115"/>
      <c r="BF352" s="115"/>
      <c r="BG352" s="115"/>
      <c r="BH352" s="122" t="str">
        <f t="shared" si="34"/>
        <v/>
      </c>
      <c r="BM352" s="122"/>
      <c r="BN352" s="115"/>
      <c r="BO352" s="115"/>
      <c r="BP352" s="115"/>
      <c r="BQ352" s="115"/>
      <c r="BR352" s="122" t="str">
        <f t="shared" si="35"/>
        <v/>
      </c>
      <c r="BW352" s="122"/>
      <c r="BX352" s="115"/>
      <c r="BY352" s="115"/>
      <c r="BZ352" s="115"/>
      <c r="CA352" s="115"/>
      <c r="CB352" s="122" t="str">
        <f t="shared" si="36"/>
        <v/>
      </c>
      <c r="DA352" s="122" t="s">
        <v>289</v>
      </c>
      <c r="DB352" s="122" t="s">
        <v>2522</v>
      </c>
      <c r="DC352" s="122" t="s">
        <v>2522</v>
      </c>
      <c r="DD352" s="127">
        <v>6</v>
      </c>
      <c r="DE352" s="127">
        <v>6</v>
      </c>
      <c r="DG352" s="405" t="s">
        <v>289</v>
      </c>
      <c r="DH352" s="406" t="s">
        <v>2522</v>
      </c>
      <c r="DI352" s="406" t="str">
        <f t="shared" si="37"/>
        <v>BA, Ibicoara</v>
      </c>
      <c r="DJ352" s="406">
        <v>-13.411</v>
      </c>
      <c r="DK352" s="80">
        <v>-41.284999999999997</v>
      </c>
      <c r="DL352" s="80">
        <v>1027</v>
      </c>
      <c r="DM352" s="64">
        <v>6</v>
      </c>
      <c r="DN352" s="406" t="s">
        <v>6193</v>
      </c>
      <c r="DO352" s="406">
        <v>-13.16</v>
      </c>
      <c r="DP352" s="80">
        <v>1290</v>
      </c>
    </row>
    <row r="353" spans="29:120" x14ac:dyDescent="0.25">
      <c r="AC353" s="122" t="s">
        <v>311</v>
      </c>
      <c r="AD353" s="122" t="s">
        <v>758</v>
      </c>
      <c r="AE353" s="127">
        <v>2</v>
      </c>
      <c r="BC353" s="122"/>
      <c r="BD353" s="115"/>
      <c r="BE353" s="115"/>
      <c r="BF353" s="115"/>
      <c r="BG353" s="115"/>
      <c r="BH353" s="122" t="str">
        <f t="shared" si="34"/>
        <v/>
      </c>
      <c r="BM353" s="122"/>
      <c r="BN353" s="115"/>
      <c r="BO353" s="115"/>
      <c r="BP353" s="115"/>
      <c r="BQ353" s="115"/>
      <c r="BR353" s="122" t="str">
        <f t="shared" si="35"/>
        <v/>
      </c>
      <c r="BW353" s="122"/>
      <c r="BX353" s="115"/>
      <c r="BY353" s="115"/>
      <c r="BZ353" s="115"/>
      <c r="CA353" s="115"/>
      <c r="CB353" s="122" t="str">
        <f t="shared" si="36"/>
        <v/>
      </c>
      <c r="DA353" s="122" t="s">
        <v>289</v>
      </c>
      <c r="DB353" s="122" t="s">
        <v>2236</v>
      </c>
      <c r="DC353" s="122" t="s">
        <v>2236</v>
      </c>
      <c r="DD353" s="127">
        <v>8</v>
      </c>
      <c r="DE353" s="127">
        <v>8</v>
      </c>
      <c r="DG353" s="405" t="s">
        <v>289</v>
      </c>
      <c r="DH353" s="406" t="s">
        <v>2236</v>
      </c>
      <c r="DI353" s="406" t="str">
        <f t="shared" si="37"/>
        <v>BA, Ibicuí</v>
      </c>
      <c r="DJ353" s="406">
        <v>-14.842000000000001</v>
      </c>
      <c r="DK353" s="80">
        <v>-39.987000000000002</v>
      </c>
      <c r="DL353" s="80">
        <v>365</v>
      </c>
      <c r="DM353" s="64">
        <v>8</v>
      </c>
      <c r="DN353" s="406" t="s">
        <v>6239</v>
      </c>
      <c r="DO353" s="406">
        <v>-15.24</v>
      </c>
      <c r="DP353" s="80">
        <v>279</v>
      </c>
    </row>
    <row r="354" spans="29:120" x14ac:dyDescent="0.25">
      <c r="AC354" s="122" t="s">
        <v>311</v>
      </c>
      <c r="AD354" s="122" t="s">
        <v>759</v>
      </c>
      <c r="AE354" s="127">
        <v>2</v>
      </c>
      <c r="BC354" s="122"/>
      <c r="BD354" s="115"/>
      <c r="BE354" s="115"/>
      <c r="BF354" s="115"/>
      <c r="BG354" s="115"/>
      <c r="BH354" s="122" t="str">
        <f t="shared" si="34"/>
        <v/>
      </c>
      <c r="BM354" s="122"/>
      <c r="BN354" s="115"/>
      <c r="BO354" s="115"/>
      <c r="BP354" s="115"/>
      <c r="BQ354" s="115"/>
      <c r="BR354" s="122" t="str">
        <f t="shared" si="35"/>
        <v/>
      </c>
      <c r="BW354" s="122"/>
      <c r="BX354" s="115"/>
      <c r="BY354" s="115"/>
      <c r="BZ354" s="115"/>
      <c r="CA354" s="115"/>
      <c r="CB354" s="122" t="str">
        <f t="shared" si="36"/>
        <v/>
      </c>
      <c r="DA354" s="122" t="s">
        <v>289</v>
      </c>
      <c r="DB354" s="122" t="s">
        <v>2555</v>
      </c>
      <c r="DC354" s="122" t="s">
        <v>2555</v>
      </c>
      <c r="DD354" s="127">
        <v>6</v>
      </c>
      <c r="DE354" s="127">
        <v>6</v>
      </c>
      <c r="DG354" s="405" t="s">
        <v>289</v>
      </c>
      <c r="DH354" s="406" t="s">
        <v>2555</v>
      </c>
      <c r="DI354" s="406" t="str">
        <f t="shared" si="37"/>
        <v>BA, Ibipeba</v>
      </c>
      <c r="DJ354" s="406">
        <v>-11.641</v>
      </c>
      <c r="DK354" s="80">
        <v>-42.011000000000003</v>
      </c>
      <c r="DL354" s="80">
        <v>682</v>
      </c>
      <c r="DM354" s="64">
        <v>6</v>
      </c>
      <c r="DN354" s="406" t="s">
        <v>6205</v>
      </c>
      <c r="DO354" s="406">
        <v>-11.33</v>
      </c>
      <c r="DP354" s="80">
        <v>755</v>
      </c>
    </row>
    <row r="355" spans="29:120" x14ac:dyDescent="0.25">
      <c r="AC355" s="122" t="s">
        <v>27</v>
      </c>
      <c r="AD355" s="122" t="s">
        <v>760</v>
      </c>
      <c r="AE355" s="127">
        <v>1</v>
      </c>
      <c r="BC355" s="122"/>
      <c r="BD355" s="115"/>
      <c r="BE355" s="115"/>
      <c r="BF355" s="115"/>
      <c r="BG355" s="115"/>
      <c r="BH355" s="122" t="str">
        <f t="shared" si="34"/>
        <v/>
      </c>
      <c r="BM355" s="122"/>
      <c r="BN355" s="115"/>
      <c r="BO355" s="115"/>
      <c r="BP355" s="115"/>
      <c r="BQ355" s="115"/>
      <c r="BR355" s="122" t="str">
        <f t="shared" si="35"/>
        <v/>
      </c>
      <c r="BW355" s="122"/>
      <c r="BX355" s="115"/>
      <c r="BY355" s="115"/>
      <c r="BZ355" s="115"/>
      <c r="CA355" s="115"/>
      <c r="CB355" s="122" t="str">
        <f t="shared" si="36"/>
        <v/>
      </c>
      <c r="DA355" s="122" t="s">
        <v>289</v>
      </c>
      <c r="DB355" s="122" t="s">
        <v>2687</v>
      </c>
      <c r="DC355" s="122" t="s">
        <v>2687</v>
      </c>
      <c r="DD355" s="127">
        <v>6</v>
      </c>
      <c r="DE355" s="127">
        <v>6</v>
      </c>
      <c r="DG355" s="405" t="s">
        <v>289</v>
      </c>
      <c r="DH355" s="406" t="s">
        <v>2687</v>
      </c>
      <c r="DI355" s="406" t="str">
        <f t="shared" si="37"/>
        <v>BA, Ibipitanga</v>
      </c>
      <c r="DJ355" s="406">
        <v>-12.882</v>
      </c>
      <c r="DK355" s="80">
        <v>-42.485999999999997</v>
      </c>
      <c r="DL355" s="80">
        <v>492</v>
      </c>
      <c r="DM355" s="64">
        <v>6</v>
      </c>
      <c r="DN355" s="406" t="s">
        <v>6193</v>
      </c>
      <c r="DO355" s="406">
        <v>-13.16</v>
      </c>
      <c r="DP355" s="80">
        <v>1290</v>
      </c>
    </row>
    <row r="356" spans="29:120" x14ac:dyDescent="0.25">
      <c r="AC356" s="122" t="s">
        <v>311</v>
      </c>
      <c r="AD356" s="122" t="s">
        <v>761</v>
      </c>
      <c r="AE356" s="127">
        <v>2</v>
      </c>
      <c r="BC356" s="122"/>
      <c r="BD356" s="115"/>
      <c r="BE356" s="115"/>
      <c r="BF356" s="115"/>
      <c r="BG356" s="115"/>
      <c r="BH356" s="122" t="str">
        <f t="shared" si="34"/>
        <v/>
      </c>
      <c r="BM356" s="122"/>
      <c r="BN356" s="115"/>
      <c r="BO356" s="115"/>
      <c r="BP356" s="115"/>
      <c r="BQ356" s="115"/>
      <c r="BR356" s="122" t="str">
        <f t="shared" si="35"/>
        <v/>
      </c>
      <c r="BW356" s="122"/>
      <c r="BX356" s="115"/>
      <c r="BY356" s="115"/>
      <c r="BZ356" s="115"/>
      <c r="CA356" s="115"/>
      <c r="CB356" s="122" t="str">
        <f t="shared" si="36"/>
        <v/>
      </c>
      <c r="DA356" s="122" t="s">
        <v>289</v>
      </c>
      <c r="DB356" s="122" t="s">
        <v>5353</v>
      </c>
      <c r="DC356" s="122" t="s">
        <v>5353</v>
      </c>
      <c r="DD356" s="127">
        <v>8</v>
      </c>
      <c r="DE356" s="127">
        <v>8</v>
      </c>
      <c r="DG356" s="405" t="s">
        <v>289</v>
      </c>
      <c r="DH356" s="406" t="s">
        <v>5353</v>
      </c>
      <c r="DI356" s="406" t="str">
        <f t="shared" si="37"/>
        <v>BA, Ibiquera</v>
      </c>
      <c r="DJ356" s="406">
        <v>-12.651</v>
      </c>
      <c r="DK356" s="80">
        <v>-40.933999999999997</v>
      </c>
      <c r="DL356" s="80">
        <v>584</v>
      </c>
      <c r="DM356" s="64">
        <v>8</v>
      </c>
      <c r="DN356" s="406" t="s">
        <v>6207</v>
      </c>
      <c r="DO356" s="406">
        <v>-12.56</v>
      </c>
      <c r="DP356" s="80">
        <v>439</v>
      </c>
    </row>
    <row r="357" spans="29:120" x14ac:dyDescent="0.25">
      <c r="AC357" s="122" t="s">
        <v>311</v>
      </c>
      <c r="AD357" s="122" t="s">
        <v>762</v>
      </c>
      <c r="AE357" s="127">
        <v>3</v>
      </c>
      <c r="BC357" s="122"/>
      <c r="BD357" s="115"/>
      <c r="BE357" s="115"/>
      <c r="BF357" s="115"/>
      <c r="BG357" s="115"/>
      <c r="BH357" s="122" t="str">
        <f t="shared" si="34"/>
        <v/>
      </c>
      <c r="BM357" s="122"/>
      <c r="BN357" s="115"/>
      <c r="BO357" s="115"/>
      <c r="BP357" s="115"/>
      <c r="BQ357" s="115"/>
      <c r="BR357" s="122" t="str">
        <f t="shared" si="35"/>
        <v/>
      </c>
      <c r="BW357" s="122"/>
      <c r="BX357" s="115"/>
      <c r="BY357" s="115"/>
      <c r="BZ357" s="115"/>
      <c r="CA357" s="115"/>
      <c r="CB357" s="122" t="str">
        <f t="shared" si="36"/>
        <v/>
      </c>
      <c r="DA357" s="122" t="s">
        <v>289</v>
      </c>
      <c r="DB357" s="122" t="s">
        <v>5176</v>
      </c>
      <c r="DC357" s="122" t="s">
        <v>5176</v>
      </c>
      <c r="DD357" s="127">
        <v>8</v>
      </c>
      <c r="DE357" s="127">
        <v>8</v>
      </c>
      <c r="DG357" s="405" t="s">
        <v>289</v>
      </c>
      <c r="DH357" s="406" t="s">
        <v>5176</v>
      </c>
      <c r="DI357" s="406" t="str">
        <f t="shared" si="37"/>
        <v>BA, Ibirapitanga</v>
      </c>
      <c r="DJ357" s="406">
        <v>-14.164</v>
      </c>
      <c r="DK357" s="80">
        <v>-39.374000000000002</v>
      </c>
      <c r="DL357" s="80">
        <v>113</v>
      </c>
      <c r="DM357" s="64">
        <v>8</v>
      </c>
      <c r="DN357" s="406" t="s">
        <v>6199</v>
      </c>
      <c r="DO357" s="406">
        <v>-14.14</v>
      </c>
      <c r="DP357" s="80">
        <v>135</v>
      </c>
    </row>
    <row r="358" spans="29:120" x14ac:dyDescent="0.25">
      <c r="AC358" s="122" t="s">
        <v>311</v>
      </c>
      <c r="AD358" s="122" t="s">
        <v>763</v>
      </c>
      <c r="AE358" s="127">
        <v>1</v>
      </c>
      <c r="BC358" s="122"/>
      <c r="BD358" s="115"/>
      <c r="BE358" s="115"/>
      <c r="BF358" s="115"/>
      <c r="BG358" s="115"/>
      <c r="BH358" s="122" t="str">
        <f t="shared" si="34"/>
        <v/>
      </c>
      <c r="BM358" s="122"/>
      <c r="BN358" s="115"/>
      <c r="BO358" s="115"/>
      <c r="BP358" s="115"/>
      <c r="BQ358" s="115"/>
      <c r="BR358" s="122" t="str">
        <f t="shared" si="35"/>
        <v/>
      </c>
      <c r="BW358" s="122"/>
      <c r="BX358" s="115"/>
      <c r="BY358" s="115"/>
      <c r="BZ358" s="115"/>
      <c r="CA358" s="115"/>
      <c r="CB358" s="122" t="str">
        <f t="shared" si="36"/>
        <v/>
      </c>
      <c r="DA358" s="122" t="s">
        <v>289</v>
      </c>
      <c r="DB358" s="122" t="s">
        <v>1957</v>
      </c>
      <c r="DC358" s="122" t="s">
        <v>1957</v>
      </c>
      <c r="DD358" s="127">
        <v>8</v>
      </c>
      <c r="DE358" s="127">
        <v>8</v>
      </c>
      <c r="DG358" s="405" t="s">
        <v>289</v>
      </c>
      <c r="DH358" s="406" t="s">
        <v>1957</v>
      </c>
      <c r="DI358" s="406" t="str">
        <f t="shared" si="37"/>
        <v>BA, Ibirapuã</v>
      </c>
      <c r="DJ358" s="406">
        <v>-17.687999999999999</v>
      </c>
      <c r="DK358" s="80">
        <v>-40.109000000000002</v>
      </c>
      <c r="DL358" s="80">
        <v>190</v>
      </c>
      <c r="DM358" s="64">
        <v>8</v>
      </c>
      <c r="DN358" s="406" t="s">
        <v>6290</v>
      </c>
      <c r="DO358" s="406">
        <v>-17.78</v>
      </c>
      <c r="DP358" s="80">
        <v>208</v>
      </c>
    </row>
    <row r="359" spans="29:120" x14ac:dyDescent="0.25">
      <c r="AC359" s="122" t="s">
        <v>311</v>
      </c>
      <c r="AD359" s="122" t="s">
        <v>764</v>
      </c>
      <c r="AE359" s="127">
        <v>2</v>
      </c>
      <c r="BC359" s="122"/>
      <c r="BD359" s="115"/>
      <c r="BE359" s="115"/>
      <c r="BF359" s="115"/>
      <c r="BG359" s="115"/>
      <c r="BH359" s="122" t="str">
        <f t="shared" si="34"/>
        <v/>
      </c>
      <c r="BM359" s="122"/>
      <c r="BN359" s="115"/>
      <c r="BO359" s="115"/>
      <c r="BP359" s="115"/>
      <c r="BQ359" s="115"/>
      <c r="BR359" s="122" t="str">
        <f t="shared" si="35"/>
        <v/>
      </c>
      <c r="BW359" s="122"/>
      <c r="BX359" s="115"/>
      <c r="BY359" s="115"/>
      <c r="BZ359" s="115"/>
      <c r="CA359" s="115"/>
      <c r="CB359" s="122" t="str">
        <f t="shared" si="36"/>
        <v/>
      </c>
      <c r="DA359" s="122" t="s">
        <v>289</v>
      </c>
      <c r="DB359" s="122" t="s">
        <v>2377</v>
      </c>
      <c r="DC359" s="122" t="s">
        <v>2377</v>
      </c>
      <c r="DD359" s="127">
        <v>8</v>
      </c>
      <c r="DE359" s="127">
        <v>8</v>
      </c>
      <c r="DG359" s="405" t="s">
        <v>289</v>
      </c>
      <c r="DH359" s="406" t="s">
        <v>2377</v>
      </c>
      <c r="DI359" s="406" t="str">
        <f t="shared" si="37"/>
        <v>BA, Ibirataia</v>
      </c>
      <c r="DJ359" s="406">
        <v>-14.067</v>
      </c>
      <c r="DK359" s="80">
        <v>-39.640999999999998</v>
      </c>
      <c r="DL359" s="80">
        <v>141</v>
      </c>
      <c r="DM359" s="64">
        <v>8</v>
      </c>
      <c r="DN359" s="406" t="s">
        <v>6199</v>
      </c>
      <c r="DO359" s="406">
        <v>-14.14</v>
      </c>
      <c r="DP359" s="80">
        <v>135</v>
      </c>
    </row>
    <row r="360" spans="29:120" x14ac:dyDescent="0.25">
      <c r="AC360" s="122" t="s">
        <v>27</v>
      </c>
      <c r="AD360" s="122" t="s">
        <v>765</v>
      </c>
      <c r="AE360" s="127">
        <v>2</v>
      </c>
      <c r="BC360" s="122"/>
      <c r="BD360" s="115"/>
      <c r="BE360" s="115"/>
      <c r="BF360" s="115"/>
      <c r="BG360" s="115"/>
      <c r="BH360" s="122" t="str">
        <f t="shared" si="34"/>
        <v/>
      </c>
      <c r="BM360" s="122"/>
      <c r="BN360" s="115"/>
      <c r="BO360" s="115"/>
      <c r="BP360" s="115"/>
      <c r="BQ360" s="115"/>
      <c r="BR360" s="122" t="str">
        <f t="shared" si="35"/>
        <v/>
      </c>
      <c r="BW360" s="122"/>
      <c r="BX360" s="115"/>
      <c r="BY360" s="115"/>
      <c r="BZ360" s="115"/>
      <c r="CA360" s="115"/>
      <c r="CB360" s="122" t="str">
        <f t="shared" si="36"/>
        <v/>
      </c>
      <c r="DA360" s="122" t="s">
        <v>289</v>
      </c>
      <c r="DB360" s="122" t="s">
        <v>2649</v>
      </c>
      <c r="DC360" s="122" t="s">
        <v>2649</v>
      </c>
      <c r="DD360" s="127">
        <v>6</v>
      </c>
      <c r="DE360" s="127">
        <v>6</v>
      </c>
      <c r="DG360" s="405" t="s">
        <v>289</v>
      </c>
      <c r="DH360" s="406" t="s">
        <v>2649</v>
      </c>
      <c r="DI360" s="406" t="str">
        <f t="shared" si="37"/>
        <v>BA, Ibitiara</v>
      </c>
      <c r="DJ360" s="406">
        <v>-12.651999999999999</v>
      </c>
      <c r="DK360" s="80">
        <v>-42.218000000000004</v>
      </c>
      <c r="DL360" s="80">
        <v>889</v>
      </c>
      <c r="DM360" s="64">
        <v>6</v>
      </c>
      <c r="DN360" s="406" t="s">
        <v>6193</v>
      </c>
      <c r="DO360" s="406">
        <v>-13.16</v>
      </c>
      <c r="DP360" s="80">
        <v>1290</v>
      </c>
    </row>
    <row r="361" spans="29:120" x14ac:dyDescent="0.25">
      <c r="AC361" s="122" t="s">
        <v>311</v>
      </c>
      <c r="AD361" s="122" t="s">
        <v>766</v>
      </c>
      <c r="AE361" s="127">
        <v>2</v>
      </c>
      <c r="BC361" s="122"/>
      <c r="BD361" s="115"/>
      <c r="BE361" s="115"/>
      <c r="BF361" s="115"/>
      <c r="BG361" s="115"/>
      <c r="BH361" s="122" t="str">
        <f t="shared" si="34"/>
        <v/>
      </c>
      <c r="BM361" s="122"/>
      <c r="BN361" s="115"/>
      <c r="BO361" s="115"/>
      <c r="BP361" s="115"/>
      <c r="BQ361" s="115"/>
      <c r="BR361" s="122" t="str">
        <f t="shared" si="35"/>
        <v/>
      </c>
      <c r="BW361" s="122"/>
      <c r="BX361" s="115"/>
      <c r="BY361" s="115"/>
      <c r="BZ361" s="115"/>
      <c r="CA361" s="115"/>
      <c r="CB361" s="122" t="str">
        <f t="shared" si="36"/>
        <v/>
      </c>
      <c r="DA361" s="122" t="s">
        <v>289</v>
      </c>
      <c r="DB361" s="122" t="s">
        <v>2590</v>
      </c>
      <c r="DC361" s="122" t="s">
        <v>2590</v>
      </c>
      <c r="DD361" s="127">
        <v>6</v>
      </c>
      <c r="DE361" s="127">
        <v>6</v>
      </c>
      <c r="DG361" s="405" t="s">
        <v>289</v>
      </c>
      <c r="DH361" s="406" t="s">
        <v>2590</v>
      </c>
      <c r="DI361" s="406" t="str">
        <f t="shared" si="37"/>
        <v>BA, Ibititá</v>
      </c>
      <c r="DJ361" s="406">
        <v>-11.547000000000001</v>
      </c>
      <c r="DK361" s="80">
        <v>-41.978000000000002</v>
      </c>
      <c r="DL361" s="80">
        <v>782</v>
      </c>
      <c r="DM361" s="64">
        <v>6</v>
      </c>
      <c r="DN361" s="406" t="s">
        <v>6205</v>
      </c>
      <c r="DO361" s="406">
        <v>-11.33</v>
      </c>
      <c r="DP361" s="80">
        <v>755</v>
      </c>
    </row>
    <row r="362" spans="29:120" x14ac:dyDescent="0.25">
      <c r="AC362" s="122" t="s">
        <v>27</v>
      </c>
      <c r="AD362" s="122" t="s">
        <v>767</v>
      </c>
      <c r="AE362" s="127">
        <v>2</v>
      </c>
      <c r="BC362" s="122"/>
      <c r="BD362" s="115"/>
      <c r="BE362" s="115"/>
      <c r="BF362" s="115"/>
      <c r="BG362" s="115"/>
      <c r="BH362" s="122" t="str">
        <f t="shared" si="34"/>
        <v/>
      </c>
      <c r="BM362" s="122"/>
      <c r="BN362" s="115"/>
      <c r="BO362" s="115"/>
      <c r="BP362" s="115"/>
      <c r="BQ362" s="115"/>
      <c r="BR362" s="122" t="str">
        <f t="shared" si="35"/>
        <v/>
      </c>
      <c r="BW362" s="122"/>
      <c r="BX362" s="115"/>
      <c r="BY362" s="115"/>
      <c r="BZ362" s="115"/>
      <c r="CA362" s="115"/>
      <c r="CB362" s="122" t="str">
        <f t="shared" si="36"/>
        <v/>
      </c>
      <c r="DA362" s="122" t="s">
        <v>289</v>
      </c>
      <c r="DB362" s="122" t="s">
        <v>5568</v>
      </c>
      <c r="DC362" s="122" t="s">
        <v>5568</v>
      </c>
      <c r="DD362" s="127">
        <v>7</v>
      </c>
      <c r="DE362" s="127">
        <v>7</v>
      </c>
      <c r="DG362" s="405" t="s">
        <v>289</v>
      </c>
      <c r="DH362" s="406" t="s">
        <v>5568</v>
      </c>
      <c r="DI362" s="406" t="str">
        <f t="shared" si="37"/>
        <v>BA, Ibotirama</v>
      </c>
      <c r="DJ362" s="406">
        <v>-12.185</v>
      </c>
      <c r="DK362" s="80">
        <v>-43.220999999999997</v>
      </c>
      <c r="DL362" s="80">
        <v>419</v>
      </c>
      <c r="DM362" s="64">
        <v>7</v>
      </c>
      <c r="DN362" s="406" t="s">
        <v>6236</v>
      </c>
      <c r="DO362" s="406">
        <v>-12.19</v>
      </c>
      <c r="DP362" s="80">
        <v>430</v>
      </c>
    </row>
    <row r="363" spans="29:120" x14ac:dyDescent="0.25">
      <c r="AC363" s="122" t="s">
        <v>311</v>
      </c>
      <c r="AD363" s="122" t="s">
        <v>768</v>
      </c>
      <c r="AE363" s="127">
        <v>2</v>
      </c>
      <c r="BC363" s="122"/>
      <c r="BD363" s="115"/>
      <c r="BE363" s="115"/>
      <c r="BF363" s="115"/>
      <c r="BG363" s="115"/>
      <c r="BH363" s="122" t="str">
        <f t="shared" si="34"/>
        <v/>
      </c>
      <c r="BM363" s="122"/>
      <c r="BN363" s="115"/>
      <c r="BO363" s="115"/>
      <c r="BP363" s="115"/>
      <c r="BQ363" s="115"/>
      <c r="BR363" s="122" t="str">
        <f t="shared" si="35"/>
        <v/>
      </c>
      <c r="BW363" s="122"/>
      <c r="BX363" s="115"/>
      <c r="BY363" s="115"/>
      <c r="BZ363" s="115"/>
      <c r="CA363" s="115"/>
      <c r="CB363" s="122" t="str">
        <f t="shared" si="36"/>
        <v/>
      </c>
      <c r="DA363" s="122" t="s">
        <v>289</v>
      </c>
      <c r="DB363" s="122" t="s">
        <v>2265</v>
      </c>
      <c r="DC363" s="122" t="s">
        <v>2265</v>
      </c>
      <c r="DD363" s="127">
        <v>8</v>
      </c>
      <c r="DE363" s="127">
        <v>8</v>
      </c>
      <c r="DG363" s="405" t="s">
        <v>289</v>
      </c>
      <c r="DH363" s="406" t="s">
        <v>2265</v>
      </c>
      <c r="DI363" s="406" t="str">
        <f t="shared" si="37"/>
        <v>BA, Ichu</v>
      </c>
      <c r="DJ363" s="406">
        <v>-11.749000000000001</v>
      </c>
      <c r="DK363" s="80">
        <v>-39.192</v>
      </c>
      <c r="DL363" s="80">
        <v>280</v>
      </c>
      <c r="DM363" s="64">
        <v>8</v>
      </c>
      <c r="DN363" s="406" t="s">
        <v>6198</v>
      </c>
      <c r="DO363" s="406">
        <v>-11.66</v>
      </c>
      <c r="DP363" s="80">
        <v>339</v>
      </c>
    </row>
    <row r="364" spans="29:120" x14ac:dyDescent="0.25">
      <c r="AC364" s="122" t="s">
        <v>311</v>
      </c>
      <c r="AD364" s="122" t="s">
        <v>769</v>
      </c>
      <c r="AE364" s="127">
        <v>2</v>
      </c>
      <c r="BC364" s="122"/>
      <c r="BD364" s="115"/>
      <c r="BE364" s="115"/>
      <c r="BF364" s="115"/>
      <c r="BG364" s="115"/>
      <c r="BH364" s="122" t="str">
        <f t="shared" si="34"/>
        <v/>
      </c>
      <c r="BM364" s="122"/>
      <c r="BN364" s="115"/>
      <c r="BO364" s="115"/>
      <c r="BP364" s="115"/>
      <c r="BQ364" s="115"/>
      <c r="BR364" s="122" t="str">
        <f t="shared" si="35"/>
        <v/>
      </c>
      <c r="BW364" s="122"/>
      <c r="BX364" s="115"/>
      <c r="BY364" s="115"/>
      <c r="BZ364" s="115"/>
      <c r="CA364" s="115"/>
      <c r="CB364" s="122" t="str">
        <f t="shared" si="36"/>
        <v/>
      </c>
      <c r="DA364" s="122" t="s">
        <v>289</v>
      </c>
      <c r="DB364" s="122" t="s">
        <v>2651</v>
      </c>
      <c r="DC364" s="122" t="s">
        <v>2651</v>
      </c>
      <c r="DD364" s="127">
        <v>6</v>
      </c>
      <c r="DE364" s="127">
        <v>6</v>
      </c>
      <c r="DG364" s="405" t="s">
        <v>289</v>
      </c>
      <c r="DH364" s="406" t="s">
        <v>2651</v>
      </c>
      <c r="DI364" s="406" t="str">
        <f t="shared" si="37"/>
        <v>BA, Igaporã</v>
      </c>
      <c r="DJ364" s="406">
        <v>-13.773</v>
      </c>
      <c r="DK364" s="80">
        <v>-42.713999999999999</v>
      </c>
      <c r="DL364" s="80">
        <v>765</v>
      </c>
      <c r="DM364" s="64">
        <v>6</v>
      </c>
      <c r="DN364" s="406" t="s">
        <v>6242</v>
      </c>
      <c r="DO364" s="406">
        <v>-14.21</v>
      </c>
      <c r="DP364" s="80">
        <v>551</v>
      </c>
    </row>
    <row r="365" spans="29:120" x14ac:dyDescent="0.25">
      <c r="AC365" s="122" t="s">
        <v>311</v>
      </c>
      <c r="AD365" s="122" t="s">
        <v>770</v>
      </c>
      <c r="AE365" s="127">
        <v>2</v>
      </c>
      <c r="BC365" s="122"/>
      <c r="BD365" s="115"/>
      <c r="BE365" s="115"/>
      <c r="BF365" s="115"/>
      <c r="BG365" s="115"/>
      <c r="BH365" s="122" t="str">
        <f t="shared" si="34"/>
        <v/>
      </c>
      <c r="BM365" s="122"/>
      <c r="BN365" s="115"/>
      <c r="BO365" s="115"/>
      <c r="BP365" s="115"/>
      <c r="BQ365" s="115"/>
      <c r="BR365" s="122" t="str">
        <f t="shared" si="35"/>
        <v/>
      </c>
      <c r="BW365" s="122"/>
      <c r="BX365" s="115"/>
      <c r="BY365" s="115"/>
      <c r="BZ365" s="115"/>
      <c r="CA365" s="115"/>
      <c r="CB365" s="122" t="str">
        <f t="shared" si="36"/>
        <v/>
      </c>
      <c r="DA365" s="122" t="s">
        <v>289</v>
      </c>
      <c r="DB365" s="122" t="s">
        <v>5089</v>
      </c>
      <c r="DC365" s="122" t="s">
        <v>5089</v>
      </c>
      <c r="DD365" s="127">
        <v>8</v>
      </c>
      <c r="DE365" s="127">
        <v>8</v>
      </c>
      <c r="DG365" s="405" t="s">
        <v>289</v>
      </c>
      <c r="DH365" s="406" t="s">
        <v>5089</v>
      </c>
      <c r="DI365" s="406" t="str">
        <f t="shared" si="37"/>
        <v>BA, Igrapiúna</v>
      </c>
      <c r="DJ365" s="406">
        <v>-13.826000000000001</v>
      </c>
      <c r="DK365" s="80">
        <v>-39.142000000000003</v>
      </c>
      <c r="DL365" s="80">
        <v>48</v>
      </c>
      <c r="DM365" s="64">
        <v>8</v>
      </c>
      <c r="DN365" s="406" t="s">
        <v>6246</v>
      </c>
      <c r="DO365" s="406">
        <v>-13.91</v>
      </c>
      <c r="DP365" s="80">
        <v>10</v>
      </c>
    </row>
    <row r="366" spans="29:120" x14ac:dyDescent="0.25">
      <c r="AC366" s="122" t="s">
        <v>311</v>
      </c>
      <c r="AD366" s="122" t="s">
        <v>771</v>
      </c>
      <c r="AE366" s="127">
        <v>2</v>
      </c>
      <c r="BC366" s="122"/>
      <c r="BD366" s="115"/>
      <c r="BE366" s="115"/>
      <c r="BF366" s="115"/>
      <c r="BG366" s="115"/>
      <c r="BH366" s="122" t="str">
        <f t="shared" si="34"/>
        <v/>
      </c>
      <c r="BM366" s="122"/>
      <c r="BN366" s="115"/>
      <c r="BO366" s="115"/>
      <c r="BP366" s="115"/>
      <c r="BQ366" s="115"/>
      <c r="BR366" s="122" t="str">
        <f t="shared" si="35"/>
        <v/>
      </c>
      <c r="BW366" s="122"/>
      <c r="BX366" s="115"/>
      <c r="BY366" s="115"/>
      <c r="BZ366" s="115"/>
      <c r="CA366" s="115"/>
      <c r="CB366" s="122" t="str">
        <f t="shared" si="36"/>
        <v/>
      </c>
      <c r="DA366" s="122" t="s">
        <v>289</v>
      </c>
      <c r="DB366" s="122" t="s">
        <v>2245</v>
      </c>
      <c r="DC366" s="122" t="s">
        <v>2245</v>
      </c>
      <c r="DD366" s="127">
        <v>8</v>
      </c>
      <c r="DE366" s="127">
        <v>8</v>
      </c>
      <c r="DG366" s="405" t="s">
        <v>289</v>
      </c>
      <c r="DH366" s="406" t="s">
        <v>2245</v>
      </c>
      <c r="DI366" s="406" t="str">
        <f t="shared" si="37"/>
        <v>BA, Iguaí</v>
      </c>
      <c r="DJ366" s="406">
        <v>-14.756</v>
      </c>
      <c r="DK366" s="80">
        <v>-40.088999999999999</v>
      </c>
      <c r="DL366" s="80">
        <v>352</v>
      </c>
      <c r="DM366" s="64">
        <v>8</v>
      </c>
      <c r="DN366" s="406" t="s">
        <v>6239</v>
      </c>
      <c r="DO366" s="406">
        <v>-15.24</v>
      </c>
      <c r="DP366" s="80">
        <v>279</v>
      </c>
    </row>
    <row r="367" spans="29:120" x14ac:dyDescent="0.25">
      <c r="AC367" s="122" t="s">
        <v>311</v>
      </c>
      <c r="AD367" s="122" t="s">
        <v>772</v>
      </c>
      <c r="AE367" s="127">
        <v>2</v>
      </c>
      <c r="BC367" s="122"/>
      <c r="BD367" s="115"/>
      <c r="BE367" s="115"/>
      <c r="BF367" s="115"/>
      <c r="BG367" s="115"/>
      <c r="BH367" s="122" t="str">
        <f t="shared" si="34"/>
        <v/>
      </c>
      <c r="BM367" s="122"/>
      <c r="BN367" s="115"/>
      <c r="BO367" s="115"/>
      <c r="BP367" s="115"/>
      <c r="BQ367" s="115"/>
      <c r="BR367" s="122" t="str">
        <f t="shared" si="35"/>
        <v/>
      </c>
      <c r="BW367" s="122"/>
      <c r="BX367" s="115"/>
      <c r="BY367" s="115"/>
      <c r="BZ367" s="115"/>
      <c r="CA367" s="115"/>
      <c r="CB367" s="122" t="str">
        <f t="shared" si="36"/>
        <v/>
      </c>
      <c r="DA367" s="122" t="s">
        <v>289</v>
      </c>
      <c r="DB367" s="122" t="s">
        <v>1949</v>
      </c>
      <c r="DC367" s="122" t="s">
        <v>1949</v>
      </c>
      <c r="DD367" s="127">
        <v>8</v>
      </c>
      <c r="DE367" s="127">
        <v>8</v>
      </c>
      <c r="DG367" s="405" t="s">
        <v>289</v>
      </c>
      <c r="DH367" s="406" t="s">
        <v>1949</v>
      </c>
      <c r="DI367" s="406" t="str">
        <f t="shared" si="37"/>
        <v>BA, Ilhéus</v>
      </c>
      <c r="DJ367" s="406">
        <v>-14.789</v>
      </c>
      <c r="DK367" s="80">
        <v>-39.048999999999999</v>
      </c>
      <c r="DL367" s="80">
        <v>52</v>
      </c>
      <c r="DM367" s="64">
        <v>8</v>
      </c>
      <c r="DN367" s="406" t="s">
        <v>6227</v>
      </c>
      <c r="DO367" s="406">
        <v>-14.79</v>
      </c>
      <c r="DP367" s="80">
        <v>78</v>
      </c>
    </row>
    <row r="368" spans="29:120" x14ac:dyDescent="0.25">
      <c r="AC368" s="122" t="s">
        <v>311</v>
      </c>
      <c r="AD368" s="122" t="s">
        <v>773</v>
      </c>
      <c r="AE368" s="127">
        <v>3</v>
      </c>
      <c r="BC368" s="122"/>
      <c r="BD368" s="115"/>
      <c r="BE368" s="115"/>
      <c r="BF368" s="115"/>
      <c r="BG368" s="115"/>
      <c r="BH368" s="122" t="str">
        <f t="shared" si="34"/>
        <v/>
      </c>
      <c r="BM368" s="122"/>
      <c r="BN368" s="115"/>
      <c r="BO368" s="115"/>
      <c r="BP368" s="115"/>
      <c r="BQ368" s="115"/>
      <c r="BR368" s="122" t="str">
        <f t="shared" si="35"/>
        <v/>
      </c>
      <c r="BW368" s="122"/>
      <c r="BX368" s="115"/>
      <c r="BY368" s="115"/>
      <c r="BZ368" s="115"/>
      <c r="CA368" s="115"/>
      <c r="CB368" s="122" t="str">
        <f t="shared" si="36"/>
        <v/>
      </c>
      <c r="DA368" s="122" t="s">
        <v>289</v>
      </c>
      <c r="DB368" s="122" t="s">
        <v>2026</v>
      </c>
      <c r="DC368" s="122" t="s">
        <v>2026</v>
      </c>
      <c r="DD368" s="127">
        <v>8</v>
      </c>
      <c r="DE368" s="127">
        <v>8</v>
      </c>
      <c r="DG368" s="405" t="s">
        <v>289</v>
      </c>
      <c r="DH368" s="406" t="s">
        <v>2026</v>
      </c>
      <c r="DI368" s="406" t="str">
        <f t="shared" si="37"/>
        <v>BA, Inhambupe</v>
      </c>
      <c r="DJ368" s="406">
        <v>-11.784000000000001</v>
      </c>
      <c r="DK368" s="80">
        <v>-38.353000000000002</v>
      </c>
      <c r="DL368" s="80">
        <v>179</v>
      </c>
      <c r="DM368" s="64">
        <v>8</v>
      </c>
      <c r="DN368" s="406" t="s">
        <v>6198</v>
      </c>
      <c r="DO368" s="406">
        <v>-11.66</v>
      </c>
      <c r="DP368" s="80">
        <v>339</v>
      </c>
    </row>
    <row r="369" spans="29:120" x14ac:dyDescent="0.25">
      <c r="AC369" s="122" t="s">
        <v>311</v>
      </c>
      <c r="AD369" s="122" t="s">
        <v>774</v>
      </c>
      <c r="AE369" s="127">
        <v>2</v>
      </c>
      <c r="BC369" s="122"/>
      <c r="BD369" s="115"/>
      <c r="BE369" s="115"/>
      <c r="BF369" s="115"/>
      <c r="BG369" s="115"/>
      <c r="BH369" s="122" t="str">
        <f t="shared" si="34"/>
        <v/>
      </c>
      <c r="BM369" s="122"/>
      <c r="BN369" s="115"/>
      <c r="BO369" s="115"/>
      <c r="BP369" s="115"/>
      <c r="BQ369" s="115"/>
      <c r="BR369" s="122" t="str">
        <f t="shared" si="35"/>
        <v/>
      </c>
      <c r="BW369" s="122"/>
      <c r="BX369" s="115"/>
      <c r="BY369" s="115"/>
      <c r="BZ369" s="115"/>
      <c r="CA369" s="115"/>
      <c r="CB369" s="122" t="str">
        <f t="shared" si="36"/>
        <v/>
      </c>
      <c r="DA369" s="122" t="s">
        <v>289</v>
      </c>
      <c r="DB369" s="122" t="s">
        <v>2302</v>
      </c>
      <c r="DC369" s="122" t="s">
        <v>2302</v>
      </c>
      <c r="DD369" s="127">
        <v>8</v>
      </c>
      <c r="DE369" s="127">
        <v>8</v>
      </c>
      <c r="DG369" s="405" t="s">
        <v>289</v>
      </c>
      <c r="DH369" s="406" t="s">
        <v>2302</v>
      </c>
      <c r="DI369" s="406" t="str">
        <f t="shared" si="37"/>
        <v>BA, Ipecaetá</v>
      </c>
      <c r="DJ369" s="406">
        <v>-12.3</v>
      </c>
      <c r="DK369" s="80">
        <v>-39.308</v>
      </c>
      <c r="DL369" s="80">
        <v>189</v>
      </c>
      <c r="DM369" s="64">
        <v>8</v>
      </c>
      <c r="DN369" s="406" t="s">
        <v>6200</v>
      </c>
      <c r="DO369" s="406">
        <v>-12.27</v>
      </c>
      <c r="DP369" s="80">
        <v>231</v>
      </c>
    </row>
    <row r="370" spans="29:120" x14ac:dyDescent="0.25">
      <c r="AC370" s="122" t="s">
        <v>311</v>
      </c>
      <c r="AD370" s="122" t="s">
        <v>775</v>
      </c>
      <c r="AE370" s="127">
        <v>2</v>
      </c>
      <c r="BW370" s="122"/>
      <c r="BX370" s="115"/>
      <c r="BY370" s="115"/>
      <c r="BZ370" s="115"/>
      <c r="CA370" s="115"/>
      <c r="CB370" s="122" t="str">
        <f t="shared" si="36"/>
        <v/>
      </c>
      <c r="DA370" s="122" t="s">
        <v>289</v>
      </c>
      <c r="DB370" s="122" t="s">
        <v>5295</v>
      </c>
      <c r="DC370" s="122" t="s">
        <v>5295</v>
      </c>
      <c r="DD370" s="127">
        <v>8</v>
      </c>
      <c r="DE370" s="127">
        <v>8</v>
      </c>
      <c r="DG370" s="405" t="s">
        <v>289</v>
      </c>
      <c r="DH370" s="406" t="s">
        <v>5295</v>
      </c>
      <c r="DI370" s="406" t="str">
        <f t="shared" si="37"/>
        <v>BA, Ipiaú</v>
      </c>
      <c r="DJ370" s="406">
        <v>-14.137</v>
      </c>
      <c r="DK370" s="80">
        <v>-39.734000000000002</v>
      </c>
      <c r="DL370" s="80">
        <v>135</v>
      </c>
      <c r="DM370" s="64">
        <v>8</v>
      </c>
      <c r="DN370" s="406" t="s">
        <v>6199</v>
      </c>
      <c r="DO370" s="406">
        <v>-14.14</v>
      </c>
      <c r="DP370" s="80">
        <v>135</v>
      </c>
    </row>
    <row r="371" spans="29:120" x14ac:dyDescent="0.25">
      <c r="AC371" s="122" t="s">
        <v>311</v>
      </c>
      <c r="AD371" s="122" t="s">
        <v>776</v>
      </c>
      <c r="AE371" s="127">
        <v>2</v>
      </c>
      <c r="BW371" s="122"/>
      <c r="BX371" s="115"/>
      <c r="BY371" s="115"/>
      <c r="BZ371" s="115"/>
      <c r="CA371" s="115"/>
      <c r="CB371" s="122" t="str">
        <f t="shared" si="36"/>
        <v/>
      </c>
      <c r="DA371" s="122" t="s">
        <v>289</v>
      </c>
      <c r="DB371" s="122" t="s">
        <v>5451</v>
      </c>
      <c r="DC371" s="122" t="s">
        <v>5451</v>
      </c>
      <c r="DD371" s="127">
        <v>8</v>
      </c>
      <c r="DE371" s="127">
        <v>8</v>
      </c>
      <c r="DG371" s="405" t="s">
        <v>289</v>
      </c>
      <c r="DH371" s="406" t="s">
        <v>5451</v>
      </c>
      <c r="DI371" s="406" t="str">
        <f t="shared" si="37"/>
        <v>BA, Ipirá</v>
      </c>
      <c r="DJ371" s="406">
        <v>-12.157999999999999</v>
      </c>
      <c r="DK371" s="80">
        <v>-39.737000000000002</v>
      </c>
      <c r="DL371" s="80">
        <v>328</v>
      </c>
      <c r="DM371" s="64">
        <v>8</v>
      </c>
      <c r="DN371" s="406" t="s">
        <v>6218</v>
      </c>
      <c r="DO371" s="406">
        <v>-12.14</v>
      </c>
      <c r="DP371" s="80">
        <v>380</v>
      </c>
    </row>
    <row r="372" spans="29:120" x14ac:dyDescent="0.25">
      <c r="AC372" s="122" t="s">
        <v>311</v>
      </c>
      <c r="AD372" s="122" t="s">
        <v>777</v>
      </c>
      <c r="AE372" s="127">
        <v>2</v>
      </c>
      <c r="BW372" s="122"/>
      <c r="BX372" s="115"/>
      <c r="BY372" s="115"/>
      <c r="BZ372" s="115"/>
      <c r="CA372" s="115"/>
      <c r="CB372" s="122" t="str">
        <f t="shared" si="36"/>
        <v/>
      </c>
      <c r="DA372" s="122" t="s">
        <v>289</v>
      </c>
      <c r="DB372" s="122" t="s">
        <v>2737</v>
      </c>
      <c r="DC372" s="122" t="s">
        <v>2737</v>
      </c>
      <c r="DD372" s="127">
        <v>6</v>
      </c>
      <c r="DE372" s="127">
        <v>6</v>
      </c>
      <c r="DG372" s="405" t="s">
        <v>289</v>
      </c>
      <c r="DH372" s="406" t="s">
        <v>2737</v>
      </c>
      <c r="DI372" s="406" t="str">
        <f t="shared" si="37"/>
        <v>BA, Ipupiara</v>
      </c>
      <c r="DJ372" s="406">
        <v>-11.82</v>
      </c>
      <c r="DK372" s="80">
        <v>-42.613999999999997</v>
      </c>
      <c r="DL372" s="80">
        <v>731</v>
      </c>
      <c r="DM372" s="64">
        <v>6</v>
      </c>
      <c r="DN372" s="406" t="s">
        <v>6236</v>
      </c>
      <c r="DO372" s="406">
        <v>-12.19</v>
      </c>
      <c r="DP372" s="80">
        <v>430</v>
      </c>
    </row>
    <row r="373" spans="29:120" x14ac:dyDescent="0.25">
      <c r="AC373" s="122" t="s">
        <v>311</v>
      </c>
      <c r="AD373" s="122" t="s">
        <v>778</v>
      </c>
      <c r="AE373" s="127">
        <v>2</v>
      </c>
      <c r="BW373" s="122"/>
      <c r="BX373" s="115"/>
      <c r="BY373" s="115"/>
      <c r="BZ373" s="115"/>
      <c r="CA373" s="115"/>
      <c r="CB373" s="122" t="str">
        <f t="shared" si="36"/>
        <v/>
      </c>
      <c r="DA373" s="122" t="s">
        <v>289</v>
      </c>
      <c r="DB373" s="122" t="s">
        <v>2584</v>
      </c>
      <c r="DC373" s="122" t="s">
        <v>2584</v>
      </c>
      <c r="DD373" s="127">
        <v>5</v>
      </c>
      <c r="DE373" s="127">
        <v>5</v>
      </c>
      <c r="DG373" s="405" t="s">
        <v>289</v>
      </c>
      <c r="DH373" s="406" t="s">
        <v>2584</v>
      </c>
      <c r="DI373" s="406" t="str">
        <f t="shared" si="37"/>
        <v>BA, Irajuba</v>
      </c>
      <c r="DJ373" s="406">
        <v>-13.250999999999999</v>
      </c>
      <c r="DK373" s="80">
        <v>-40.084000000000003</v>
      </c>
      <c r="DL373" s="80">
        <v>542</v>
      </c>
      <c r="DM373" s="64">
        <v>5</v>
      </c>
      <c r="DN373" s="406" t="s">
        <v>6271</v>
      </c>
      <c r="DO373" s="406">
        <v>-13.53</v>
      </c>
      <c r="DP373" s="80">
        <v>756</v>
      </c>
    </row>
    <row r="374" spans="29:120" x14ac:dyDescent="0.25">
      <c r="AC374" s="122" t="s">
        <v>311</v>
      </c>
      <c r="AD374" s="122" t="s">
        <v>779</v>
      </c>
      <c r="AE374" s="127">
        <v>2</v>
      </c>
      <c r="BW374" s="122"/>
      <c r="BX374" s="115"/>
      <c r="BY374" s="115"/>
      <c r="BZ374" s="115"/>
      <c r="CA374" s="115"/>
      <c r="CB374" s="122" t="str">
        <f t="shared" si="36"/>
        <v/>
      </c>
      <c r="DA374" s="122" t="s">
        <v>289</v>
      </c>
      <c r="DB374" s="122" t="s">
        <v>2458</v>
      </c>
      <c r="DC374" s="122" t="s">
        <v>2458</v>
      </c>
      <c r="DD374" s="127">
        <v>5</v>
      </c>
      <c r="DE374" s="127">
        <v>5</v>
      </c>
      <c r="DG374" s="405" t="s">
        <v>289</v>
      </c>
      <c r="DH374" s="406" t="s">
        <v>2458</v>
      </c>
      <c r="DI374" s="406" t="str">
        <f t="shared" si="37"/>
        <v>BA, Iramaia</v>
      </c>
      <c r="DJ374" s="406">
        <v>-13.286</v>
      </c>
      <c r="DK374" s="80">
        <v>-40.951000000000001</v>
      </c>
      <c r="DL374" s="80">
        <v>607</v>
      </c>
      <c r="DM374" s="64">
        <v>5</v>
      </c>
      <c r="DN374" s="406" t="s">
        <v>6193</v>
      </c>
      <c r="DO374" s="406">
        <v>-13.16</v>
      </c>
      <c r="DP374" s="80">
        <v>1290</v>
      </c>
    </row>
    <row r="375" spans="29:120" x14ac:dyDescent="0.25">
      <c r="AC375" s="122" t="s">
        <v>311</v>
      </c>
      <c r="AD375" s="122" t="s">
        <v>780</v>
      </c>
      <c r="AE375" s="127">
        <v>2</v>
      </c>
      <c r="BW375" s="122"/>
      <c r="BX375" s="115"/>
      <c r="BY375" s="115"/>
      <c r="BZ375" s="115"/>
      <c r="CA375" s="115"/>
      <c r="CB375" s="122" t="str">
        <f t="shared" si="36"/>
        <v/>
      </c>
      <c r="DA375" s="122" t="s">
        <v>289</v>
      </c>
      <c r="DB375" s="122" t="s">
        <v>2448</v>
      </c>
      <c r="DC375" s="122" t="s">
        <v>2448</v>
      </c>
      <c r="DD375" s="127">
        <v>5</v>
      </c>
      <c r="DE375" s="127">
        <v>5</v>
      </c>
      <c r="DG375" s="405" t="s">
        <v>289</v>
      </c>
      <c r="DH375" s="406" t="s">
        <v>2448</v>
      </c>
      <c r="DI375" s="406" t="str">
        <f t="shared" si="37"/>
        <v>BA, Iraquara</v>
      </c>
      <c r="DJ375" s="406">
        <v>-12.249000000000001</v>
      </c>
      <c r="DK375" s="80">
        <v>-41.619</v>
      </c>
      <c r="DL375" s="80">
        <v>687</v>
      </c>
      <c r="DM375" s="64">
        <v>5</v>
      </c>
      <c r="DN375" s="406" t="s">
        <v>6207</v>
      </c>
      <c r="DO375" s="406">
        <v>-12.56</v>
      </c>
      <c r="DP375" s="80">
        <v>439</v>
      </c>
    </row>
    <row r="376" spans="29:120" x14ac:dyDescent="0.25">
      <c r="AC376" s="122" t="s">
        <v>311</v>
      </c>
      <c r="AD376" s="122" t="s">
        <v>781</v>
      </c>
      <c r="AE376" s="127">
        <v>2</v>
      </c>
      <c r="BW376" s="122"/>
      <c r="BX376" s="115"/>
      <c r="BY376" s="115"/>
      <c r="BZ376" s="115"/>
      <c r="CA376" s="115"/>
      <c r="CB376" s="122" t="str">
        <f t="shared" si="36"/>
        <v/>
      </c>
      <c r="DA376" s="122" t="s">
        <v>289</v>
      </c>
      <c r="DB376" s="122" t="s">
        <v>2052</v>
      </c>
      <c r="DC376" s="122" t="s">
        <v>2052</v>
      </c>
      <c r="DD376" s="127">
        <v>8</v>
      </c>
      <c r="DE376" s="127">
        <v>8</v>
      </c>
      <c r="DG376" s="405" t="s">
        <v>289</v>
      </c>
      <c r="DH376" s="406" t="s">
        <v>2052</v>
      </c>
      <c r="DI376" s="406" t="str">
        <f t="shared" si="37"/>
        <v>BA, Irará</v>
      </c>
      <c r="DJ376" s="406">
        <v>-12.05</v>
      </c>
      <c r="DK376" s="80">
        <v>-38.767000000000003</v>
      </c>
      <c r="DL376" s="80">
        <v>283</v>
      </c>
      <c r="DM376" s="64">
        <v>8</v>
      </c>
      <c r="DN376" s="406" t="s">
        <v>6200</v>
      </c>
      <c r="DO376" s="406">
        <v>-12.27</v>
      </c>
      <c r="DP376" s="80">
        <v>231</v>
      </c>
    </row>
    <row r="377" spans="29:120" x14ac:dyDescent="0.25">
      <c r="AC377" s="122" t="s">
        <v>27</v>
      </c>
      <c r="AD377" s="122" t="s">
        <v>782</v>
      </c>
      <c r="AE377" s="127">
        <v>2</v>
      </c>
      <c r="BW377" s="122"/>
      <c r="BX377" s="115"/>
      <c r="BY377" s="115"/>
      <c r="BZ377" s="115"/>
      <c r="CA377" s="115"/>
      <c r="CB377" s="122" t="str">
        <f t="shared" si="36"/>
        <v/>
      </c>
      <c r="DA377" s="122" t="s">
        <v>289</v>
      </c>
      <c r="DB377" s="122" t="s">
        <v>2677</v>
      </c>
      <c r="DC377" s="122" t="s">
        <v>2677</v>
      </c>
      <c r="DD377" s="127">
        <v>6</v>
      </c>
      <c r="DE377" s="127">
        <v>6</v>
      </c>
      <c r="DG377" s="405" t="s">
        <v>289</v>
      </c>
      <c r="DH377" s="406" t="s">
        <v>2677</v>
      </c>
      <c r="DI377" s="406" t="str">
        <f t="shared" si="37"/>
        <v>BA, Irecê</v>
      </c>
      <c r="DJ377" s="406">
        <v>-11.304</v>
      </c>
      <c r="DK377" s="80">
        <v>-41.856000000000002</v>
      </c>
      <c r="DL377" s="80">
        <v>721</v>
      </c>
      <c r="DM377" s="64">
        <v>6</v>
      </c>
      <c r="DN377" s="406" t="s">
        <v>6205</v>
      </c>
      <c r="DO377" s="406">
        <v>-11.33</v>
      </c>
      <c r="DP377" s="80">
        <v>755</v>
      </c>
    </row>
    <row r="378" spans="29:120" x14ac:dyDescent="0.25">
      <c r="AC378" s="122" t="s">
        <v>311</v>
      </c>
      <c r="AD378" s="122" t="s">
        <v>783</v>
      </c>
      <c r="AE378" s="127">
        <v>2</v>
      </c>
      <c r="DA378" s="122" t="s">
        <v>289</v>
      </c>
      <c r="DB378" s="122" t="s">
        <v>1802</v>
      </c>
      <c r="DC378" s="122" t="s">
        <v>1802</v>
      </c>
      <c r="DD378" s="127">
        <v>8</v>
      </c>
      <c r="DE378" s="127">
        <v>8</v>
      </c>
      <c r="DG378" s="405" t="s">
        <v>289</v>
      </c>
      <c r="DH378" s="406" t="s">
        <v>1802</v>
      </c>
      <c r="DI378" s="406" t="str">
        <f t="shared" si="37"/>
        <v>BA, Itabela</v>
      </c>
      <c r="DJ378" s="406">
        <v>-16.574999999999999</v>
      </c>
      <c r="DK378" s="80">
        <v>-39.552999999999997</v>
      </c>
      <c r="DL378" s="80">
        <v>130</v>
      </c>
      <c r="DM378" s="64">
        <v>8</v>
      </c>
      <c r="DN378" s="406" t="s">
        <v>6281</v>
      </c>
      <c r="DO378" s="406">
        <v>-16.39</v>
      </c>
      <c r="DP378" s="80">
        <v>85</v>
      </c>
    </row>
    <row r="379" spans="29:120" x14ac:dyDescent="0.25">
      <c r="AC379" s="122" t="s">
        <v>311</v>
      </c>
      <c r="AD379" s="122" t="s">
        <v>784</v>
      </c>
      <c r="AE379" s="127">
        <v>2</v>
      </c>
      <c r="DA379" s="122" t="s">
        <v>289</v>
      </c>
      <c r="DB379" s="122" t="s">
        <v>5178</v>
      </c>
      <c r="DC379" s="122" t="s">
        <v>5178</v>
      </c>
      <c r="DD379" s="127">
        <v>8</v>
      </c>
      <c r="DE379" s="127">
        <v>8</v>
      </c>
      <c r="DG379" s="405" t="s">
        <v>289</v>
      </c>
      <c r="DH379" s="406" t="s">
        <v>5178</v>
      </c>
      <c r="DI379" s="406" t="str">
        <f t="shared" si="37"/>
        <v>BA, Itaberaba</v>
      </c>
      <c r="DJ379" s="406">
        <v>-12.528</v>
      </c>
      <c r="DK379" s="80">
        <v>-40.307000000000002</v>
      </c>
      <c r="DL379" s="80">
        <v>265</v>
      </c>
      <c r="DM379" s="64">
        <v>8</v>
      </c>
      <c r="DN379" s="406" t="s">
        <v>6232</v>
      </c>
      <c r="DO379" s="406">
        <v>-12.53</v>
      </c>
      <c r="DP379" s="80">
        <v>250</v>
      </c>
    </row>
    <row r="380" spans="29:120" x14ac:dyDescent="0.25">
      <c r="AC380" s="122" t="s">
        <v>311</v>
      </c>
      <c r="AD380" s="122" t="s">
        <v>785</v>
      </c>
      <c r="AE380" s="127">
        <v>2</v>
      </c>
      <c r="DA380" s="122" t="s">
        <v>289</v>
      </c>
      <c r="DB380" s="122" t="s">
        <v>1961</v>
      </c>
      <c r="DC380" s="122" t="s">
        <v>1961</v>
      </c>
      <c r="DD380" s="127">
        <v>8</v>
      </c>
      <c r="DE380" s="127">
        <v>8</v>
      </c>
      <c r="DG380" s="405" t="s">
        <v>289</v>
      </c>
      <c r="DH380" s="406" t="s">
        <v>1961</v>
      </c>
      <c r="DI380" s="406" t="str">
        <f t="shared" si="37"/>
        <v>BA, Itabuna</v>
      </c>
      <c r="DJ380" s="406">
        <v>-14.786</v>
      </c>
      <c r="DK380" s="80">
        <v>-39.28</v>
      </c>
      <c r="DL380" s="80">
        <v>54</v>
      </c>
      <c r="DM380" s="64">
        <v>8</v>
      </c>
      <c r="DN380" s="406" t="s">
        <v>6227</v>
      </c>
      <c r="DO380" s="406">
        <v>-14.79</v>
      </c>
      <c r="DP380" s="80">
        <v>78</v>
      </c>
    </row>
    <row r="381" spans="29:120" x14ac:dyDescent="0.25">
      <c r="AC381" s="122" t="s">
        <v>311</v>
      </c>
      <c r="AD381" s="122" t="s">
        <v>786</v>
      </c>
      <c r="AE381" s="127">
        <v>2</v>
      </c>
      <c r="DA381" s="122" t="s">
        <v>289</v>
      </c>
      <c r="DB381" s="122" t="s">
        <v>5041</v>
      </c>
      <c r="DC381" s="122" t="s">
        <v>5041</v>
      </c>
      <c r="DD381" s="127">
        <v>8</v>
      </c>
      <c r="DE381" s="127">
        <v>8</v>
      </c>
      <c r="DG381" s="405" t="s">
        <v>289</v>
      </c>
      <c r="DH381" s="406" t="s">
        <v>5041</v>
      </c>
      <c r="DI381" s="406" t="str">
        <f t="shared" si="37"/>
        <v>BA, Itacaré</v>
      </c>
      <c r="DJ381" s="406">
        <v>-14.278</v>
      </c>
      <c r="DK381" s="80">
        <v>-38.997</v>
      </c>
      <c r="DL381" s="80">
        <v>29</v>
      </c>
      <c r="DM381" s="64">
        <v>8</v>
      </c>
      <c r="DN381" s="406" t="s">
        <v>6246</v>
      </c>
      <c r="DO381" s="406">
        <v>-13.91</v>
      </c>
      <c r="DP381" s="80">
        <v>10</v>
      </c>
    </row>
    <row r="382" spans="29:120" x14ac:dyDescent="0.25">
      <c r="AC382" s="122" t="s">
        <v>311</v>
      </c>
      <c r="AD382" s="122" t="s">
        <v>787</v>
      </c>
      <c r="AE382" s="127">
        <v>2</v>
      </c>
      <c r="DA382" s="122" t="s">
        <v>289</v>
      </c>
      <c r="DB382" s="122" t="s">
        <v>2455</v>
      </c>
      <c r="DC382" s="122" t="s">
        <v>2455</v>
      </c>
      <c r="DD382" s="127">
        <v>8</v>
      </c>
      <c r="DE382" s="127">
        <v>8</v>
      </c>
      <c r="DG382" s="405" t="s">
        <v>289</v>
      </c>
      <c r="DH382" s="406" t="s">
        <v>2455</v>
      </c>
      <c r="DI382" s="406" t="str">
        <f t="shared" si="37"/>
        <v>BA, Itaeté</v>
      </c>
      <c r="DJ382" s="406">
        <v>-12.986000000000001</v>
      </c>
      <c r="DK382" s="80">
        <v>-40.972999999999999</v>
      </c>
      <c r="DL382" s="80">
        <v>321</v>
      </c>
      <c r="DM382" s="64">
        <v>8</v>
      </c>
      <c r="DN382" s="406" t="s">
        <v>6207</v>
      </c>
      <c r="DO382" s="406">
        <v>-12.56</v>
      </c>
      <c r="DP382" s="80">
        <v>439</v>
      </c>
    </row>
    <row r="383" spans="29:120" x14ac:dyDescent="0.25">
      <c r="AC383" s="122" t="s">
        <v>311</v>
      </c>
      <c r="AD383" s="122" t="s">
        <v>788</v>
      </c>
      <c r="AE383" s="127">
        <v>2</v>
      </c>
      <c r="DA383" s="122" t="s">
        <v>289</v>
      </c>
      <c r="DB383" s="122" t="s">
        <v>2636</v>
      </c>
      <c r="DC383" s="122" t="s">
        <v>2636</v>
      </c>
      <c r="DD383" s="127">
        <v>8</v>
      </c>
      <c r="DE383" s="127">
        <v>8</v>
      </c>
      <c r="DG383" s="405" t="s">
        <v>289</v>
      </c>
      <c r="DH383" s="406" t="s">
        <v>2636</v>
      </c>
      <c r="DI383" s="406" t="str">
        <f t="shared" si="37"/>
        <v>BA, Itagi</v>
      </c>
      <c r="DJ383" s="406">
        <v>-14.163</v>
      </c>
      <c r="DK383" s="80">
        <v>-40.006</v>
      </c>
      <c r="DL383" s="80">
        <v>258</v>
      </c>
      <c r="DM383" s="64">
        <v>8</v>
      </c>
      <c r="DN383" s="406" t="s">
        <v>6199</v>
      </c>
      <c r="DO383" s="406">
        <v>-14.14</v>
      </c>
      <c r="DP383" s="80">
        <v>135</v>
      </c>
    </row>
    <row r="384" spans="29:120" x14ac:dyDescent="0.25">
      <c r="AC384" s="122" t="s">
        <v>27</v>
      </c>
      <c r="AD384" s="122" t="s">
        <v>789</v>
      </c>
      <c r="AE384" s="127">
        <v>2</v>
      </c>
      <c r="DA384" s="122" t="s">
        <v>289</v>
      </c>
      <c r="DB384" s="122" t="s">
        <v>5263</v>
      </c>
      <c r="DC384" s="122" t="s">
        <v>5263</v>
      </c>
      <c r="DD384" s="127">
        <v>8</v>
      </c>
      <c r="DE384" s="127">
        <v>8</v>
      </c>
      <c r="DG384" s="405" t="s">
        <v>289</v>
      </c>
      <c r="DH384" s="406" t="s">
        <v>5263</v>
      </c>
      <c r="DI384" s="406" t="str">
        <f t="shared" si="37"/>
        <v>BA, Itagibá</v>
      </c>
      <c r="DJ384" s="406">
        <v>-14.284000000000001</v>
      </c>
      <c r="DK384" s="80">
        <v>-39.843000000000004</v>
      </c>
      <c r="DL384" s="80">
        <v>185</v>
      </c>
      <c r="DM384" s="64">
        <v>8</v>
      </c>
      <c r="DN384" s="406" t="s">
        <v>6199</v>
      </c>
      <c r="DO384" s="406">
        <v>-14.14</v>
      </c>
      <c r="DP384" s="80">
        <v>135</v>
      </c>
    </row>
    <row r="385" spans="29:120" x14ac:dyDescent="0.25">
      <c r="AC385" s="122" t="s">
        <v>311</v>
      </c>
      <c r="AD385" s="122" t="s">
        <v>790</v>
      </c>
      <c r="AE385" s="127">
        <v>2</v>
      </c>
      <c r="DA385" s="122" t="s">
        <v>289</v>
      </c>
      <c r="DB385" s="122" t="s">
        <v>1828</v>
      </c>
      <c r="DC385" s="122" t="s">
        <v>1828</v>
      </c>
      <c r="DD385" s="127">
        <v>8</v>
      </c>
      <c r="DE385" s="127">
        <v>8</v>
      </c>
      <c r="DG385" s="405" t="s">
        <v>289</v>
      </c>
      <c r="DH385" s="406" t="s">
        <v>1828</v>
      </c>
      <c r="DI385" s="406" t="str">
        <f t="shared" si="37"/>
        <v>BA, Itagimirim</v>
      </c>
      <c r="DJ385" s="406">
        <v>-16.087</v>
      </c>
      <c r="DK385" s="80">
        <v>-39.613999999999997</v>
      </c>
      <c r="DL385" s="80">
        <v>176</v>
      </c>
      <c r="DM385" s="64">
        <v>8</v>
      </c>
      <c r="DN385" s="406" t="s">
        <v>6281</v>
      </c>
      <c r="DO385" s="406">
        <v>-16.39</v>
      </c>
      <c r="DP385" s="80">
        <v>85</v>
      </c>
    </row>
    <row r="386" spans="29:120" x14ac:dyDescent="0.25">
      <c r="AC386" s="122" t="s">
        <v>311</v>
      </c>
      <c r="AD386" s="122" t="s">
        <v>791</v>
      </c>
      <c r="AE386" s="127">
        <v>2</v>
      </c>
      <c r="DA386" s="122" t="s">
        <v>289</v>
      </c>
      <c r="DB386" s="122" t="s">
        <v>6291</v>
      </c>
      <c r="DC386" s="122" t="s">
        <v>2622</v>
      </c>
      <c r="DD386" s="127">
        <v>6</v>
      </c>
      <c r="DE386" s="127">
        <v>6</v>
      </c>
      <c r="DG386" s="405" t="s">
        <v>289</v>
      </c>
      <c r="DH386" s="406" t="s">
        <v>2622</v>
      </c>
      <c r="DI386" s="406" t="str">
        <f t="shared" si="37"/>
        <v>BA, Itaguaçu da Bahia</v>
      </c>
      <c r="DJ386" s="406">
        <v>-11.012</v>
      </c>
      <c r="DK386" s="80">
        <v>-42.399000000000001</v>
      </c>
      <c r="DL386" s="80">
        <v>44</v>
      </c>
      <c r="DM386" s="64">
        <v>6</v>
      </c>
      <c r="DN386" s="406" t="s">
        <v>6205</v>
      </c>
      <c r="DO386" s="406">
        <v>-11.33</v>
      </c>
      <c r="DP386" s="80">
        <v>755</v>
      </c>
    </row>
    <row r="387" spans="29:120" x14ac:dyDescent="0.25">
      <c r="AC387" s="122" t="s">
        <v>311</v>
      </c>
      <c r="AD387" s="122" t="s">
        <v>792</v>
      </c>
      <c r="AE387" s="127">
        <v>2</v>
      </c>
      <c r="DA387" s="122" t="s">
        <v>289</v>
      </c>
      <c r="DB387" s="122" t="s">
        <v>6292</v>
      </c>
      <c r="DC387" s="122" t="s">
        <v>2042</v>
      </c>
      <c r="DD387" s="127">
        <v>8</v>
      </c>
      <c r="DE387" s="127">
        <v>8</v>
      </c>
      <c r="DG387" s="405" t="s">
        <v>289</v>
      </c>
      <c r="DH387" s="406" t="s">
        <v>2042</v>
      </c>
      <c r="DI387" s="406" t="str">
        <f t="shared" ref="DI387:DI450" si="38">CONCATENATE(DG387,", ",DH387)</f>
        <v>BA, Itaju do Colônia</v>
      </c>
      <c r="DJ387" s="406">
        <v>-15.143000000000001</v>
      </c>
      <c r="DK387" s="80">
        <v>-39.723999999999997</v>
      </c>
      <c r="DL387" s="80">
        <v>167</v>
      </c>
      <c r="DM387" s="64">
        <v>8</v>
      </c>
      <c r="DN387" s="406" t="s">
        <v>6239</v>
      </c>
      <c r="DO387" s="406">
        <v>-15.24</v>
      </c>
      <c r="DP387" s="80">
        <v>279</v>
      </c>
    </row>
    <row r="388" spans="29:120" x14ac:dyDescent="0.25">
      <c r="AC388" s="122" t="s">
        <v>311</v>
      </c>
      <c r="AD388" s="122" t="s">
        <v>793</v>
      </c>
      <c r="AE388" s="127">
        <v>2</v>
      </c>
      <c r="DA388" s="122" t="s">
        <v>289</v>
      </c>
      <c r="DB388" s="122" t="s">
        <v>2074</v>
      </c>
      <c r="DC388" s="122" t="s">
        <v>2074</v>
      </c>
      <c r="DD388" s="127">
        <v>8</v>
      </c>
      <c r="DE388" s="127">
        <v>8</v>
      </c>
      <c r="DG388" s="405" t="s">
        <v>289</v>
      </c>
      <c r="DH388" s="406" t="s">
        <v>2074</v>
      </c>
      <c r="DI388" s="406" t="str">
        <f t="shared" si="38"/>
        <v>BA, Itajuípe</v>
      </c>
      <c r="DJ388" s="406">
        <v>-14.678000000000001</v>
      </c>
      <c r="DK388" s="80">
        <v>-39.375</v>
      </c>
      <c r="DL388" s="80">
        <v>101</v>
      </c>
      <c r="DM388" s="64">
        <v>8</v>
      </c>
      <c r="DN388" s="406" t="s">
        <v>6227</v>
      </c>
      <c r="DO388" s="406">
        <v>-14.79</v>
      </c>
      <c r="DP388" s="80">
        <v>78</v>
      </c>
    </row>
    <row r="389" spans="29:120" x14ac:dyDescent="0.25">
      <c r="AC389" s="122" t="s">
        <v>311</v>
      </c>
      <c r="AD389" s="122" t="s">
        <v>794</v>
      </c>
      <c r="AE389" s="127">
        <v>2</v>
      </c>
      <c r="DA389" s="122" t="s">
        <v>289</v>
      </c>
      <c r="DB389" s="122" t="s">
        <v>1805</v>
      </c>
      <c r="DC389" s="122" t="s">
        <v>1805</v>
      </c>
      <c r="DD389" s="127">
        <v>8</v>
      </c>
      <c r="DE389" s="127">
        <v>8</v>
      </c>
      <c r="DG389" s="405" t="s">
        <v>289</v>
      </c>
      <c r="DH389" s="406" t="s">
        <v>1805</v>
      </c>
      <c r="DI389" s="406" t="str">
        <f t="shared" si="38"/>
        <v>BA, Itamaraju</v>
      </c>
      <c r="DJ389" s="406">
        <v>-17.039000000000001</v>
      </c>
      <c r="DK389" s="80">
        <v>-39.530999999999999</v>
      </c>
      <c r="DL389" s="80">
        <v>112</v>
      </c>
      <c r="DM389" s="64">
        <v>8</v>
      </c>
      <c r="DN389" s="406" t="s">
        <v>6201</v>
      </c>
      <c r="DO389" s="406">
        <v>-17.73</v>
      </c>
      <c r="DP389" s="80">
        <v>3</v>
      </c>
    </row>
    <row r="390" spans="29:120" x14ac:dyDescent="0.25">
      <c r="AC390" s="122" t="s">
        <v>311</v>
      </c>
      <c r="AD390" s="122" t="s">
        <v>795</v>
      </c>
      <c r="AE390" s="127">
        <v>3</v>
      </c>
      <c r="DA390" s="122" t="s">
        <v>289</v>
      </c>
      <c r="DB390" s="122" t="s">
        <v>2168</v>
      </c>
      <c r="DC390" s="122" t="s">
        <v>2168</v>
      </c>
      <c r="DD390" s="127">
        <v>8</v>
      </c>
      <c r="DE390" s="127">
        <v>8</v>
      </c>
      <c r="DG390" s="405" t="s">
        <v>289</v>
      </c>
      <c r="DH390" s="406" t="s">
        <v>2168</v>
      </c>
      <c r="DI390" s="406" t="str">
        <f t="shared" si="38"/>
        <v>BA, Itamari</v>
      </c>
      <c r="DJ390" s="406">
        <v>-13.778</v>
      </c>
      <c r="DK390" s="80">
        <v>-39.683999999999997</v>
      </c>
      <c r="DL390" s="80">
        <v>232</v>
      </c>
      <c r="DM390" s="64">
        <v>8</v>
      </c>
      <c r="DN390" s="406" t="s">
        <v>6199</v>
      </c>
      <c r="DO390" s="406">
        <v>-14.14</v>
      </c>
      <c r="DP390" s="80">
        <v>135</v>
      </c>
    </row>
    <row r="391" spans="29:120" x14ac:dyDescent="0.25">
      <c r="AC391" s="122" t="s">
        <v>311</v>
      </c>
      <c r="AD391" s="122" t="s">
        <v>796</v>
      </c>
      <c r="AE391" s="127">
        <v>2</v>
      </c>
      <c r="DA391" s="122" t="s">
        <v>289</v>
      </c>
      <c r="DB391" s="122" t="s">
        <v>2289</v>
      </c>
      <c r="DC391" s="122" t="s">
        <v>2289</v>
      </c>
      <c r="DD391" s="127">
        <v>5</v>
      </c>
      <c r="DE391" s="127">
        <v>5</v>
      </c>
      <c r="DG391" s="405" t="s">
        <v>289</v>
      </c>
      <c r="DH391" s="406" t="s">
        <v>2289</v>
      </c>
      <c r="DI391" s="406" t="str">
        <f t="shared" si="38"/>
        <v>BA, Itambé</v>
      </c>
      <c r="DJ391" s="406">
        <v>-15.244999999999999</v>
      </c>
      <c r="DK391" s="80">
        <v>-40.624000000000002</v>
      </c>
      <c r="DL391" s="80">
        <v>346</v>
      </c>
      <c r="DM391" s="64">
        <v>5</v>
      </c>
      <c r="DN391" s="406" t="s">
        <v>6239</v>
      </c>
      <c r="DO391" s="406">
        <v>-15.24</v>
      </c>
      <c r="DP391" s="80">
        <v>279</v>
      </c>
    </row>
    <row r="392" spans="29:120" x14ac:dyDescent="0.25">
      <c r="AC392" s="122" t="s">
        <v>311</v>
      </c>
      <c r="AD392" s="122" t="s">
        <v>797</v>
      </c>
      <c r="AE392" s="127">
        <v>2</v>
      </c>
      <c r="DA392" s="122" t="s">
        <v>289</v>
      </c>
      <c r="DB392" s="122" t="s">
        <v>4076</v>
      </c>
      <c r="DC392" s="122" t="s">
        <v>4076</v>
      </c>
      <c r="DD392" s="127">
        <v>8</v>
      </c>
      <c r="DE392" s="127">
        <v>8</v>
      </c>
      <c r="DG392" s="405" t="s">
        <v>289</v>
      </c>
      <c r="DH392" s="406" t="s">
        <v>4076</v>
      </c>
      <c r="DI392" s="406" t="str">
        <f t="shared" si="38"/>
        <v>BA, Itanagra</v>
      </c>
      <c r="DJ392" s="406">
        <v>-12.263</v>
      </c>
      <c r="DK392" s="80">
        <v>-38.042000000000002</v>
      </c>
      <c r="DL392" s="80">
        <v>44</v>
      </c>
      <c r="DM392" s="64">
        <v>8</v>
      </c>
      <c r="DN392" s="406" t="s">
        <v>6195</v>
      </c>
      <c r="DO392" s="406">
        <v>-11.81</v>
      </c>
      <c r="DP392" s="80">
        <v>14</v>
      </c>
    </row>
    <row r="393" spans="29:120" x14ac:dyDescent="0.25">
      <c r="AC393" s="122" t="s">
        <v>311</v>
      </c>
      <c r="AD393" s="122" t="s">
        <v>798</v>
      </c>
      <c r="AE393" s="127">
        <v>1</v>
      </c>
      <c r="DA393" s="122" t="s">
        <v>289</v>
      </c>
      <c r="DB393" s="122" t="s">
        <v>1847</v>
      </c>
      <c r="DC393" s="122" t="s">
        <v>1847</v>
      </c>
      <c r="DD393" s="127">
        <v>8</v>
      </c>
      <c r="DE393" s="127">
        <v>8</v>
      </c>
      <c r="DG393" s="405" t="s">
        <v>289</v>
      </c>
      <c r="DH393" s="406" t="s">
        <v>1847</v>
      </c>
      <c r="DI393" s="406" t="str">
        <f t="shared" si="38"/>
        <v>BA, Itanhém</v>
      </c>
      <c r="DJ393" s="406">
        <v>-17.166</v>
      </c>
      <c r="DK393" s="80">
        <v>-40.33</v>
      </c>
      <c r="DL393" s="80">
        <v>210</v>
      </c>
      <c r="DM393" s="64">
        <v>8</v>
      </c>
      <c r="DN393" s="406" t="s">
        <v>6290</v>
      </c>
      <c r="DO393" s="406">
        <v>-17.78</v>
      </c>
      <c r="DP393" s="80">
        <v>208</v>
      </c>
    </row>
    <row r="394" spans="29:120" x14ac:dyDescent="0.25">
      <c r="AC394" s="122" t="s">
        <v>311</v>
      </c>
      <c r="AD394" s="122" t="s">
        <v>799</v>
      </c>
      <c r="AE394" s="127">
        <v>2</v>
      </c>
      <c r="DA394" s="122" t="s">
        <v>289</v>
      </c>
      <c r="DB394" s="122" t="s">
        <v>5094</v>
      </c>
      <c r="DC394" s="122" t="s">
        <v>5094</v>
      </c>
      <c r="DD394" s="127">
        <v>8</v>
      </c>
      <c r="DE394" s="127">
        <v>8</v>
      </c>
      <c r="DG394" s="405" t="s">
        <v>289</v>
      </c>
      <c r="DH394" s="406" t="s">
        <v>5094</v>
      </c>
      <c r="DI394" s="406" t="str">
        <f t="shared" si="38"/>
        <v>BA, Itaparica</v>
      </c>
      <c r="DJ394" s="406">
        <v>-12.888</v>
      </c>
      <c r="DK394" s="80">
        <v>-38.679000000000002</v>
      </c>
      <c r="DL394" s="80">
        <v>15</v>
      </c>
      <c r="DM394" s="64">
        <v>8</v>
      </c>
      <c r="DN394" s="406" t="s">
        <v>6245</v>
      </c>
      <c r="DO394" s="406">
        <v>-12.97</v>
      </c>
      <c r="DP394" s="80">
        <v>51</v>
      </c>
    </row>
    <row r="395" spans="29:120" x14ac:dyDescent="0.25">
      <c r="AC395" s="122" t="s">
        <v>311</v>
      </c>
      <c r="AD395" s="122" t="s">
        <v>800</v>
      </c>
      <c r="AE395" s="127">
        <v>2</v>
      </c>
      <c r="DA395" s="122" t="s">
        <v>289</v>
      </c>
      <c r="DB395" s="122" t="s">
        <v>2025</v>
      </c>
      <c r="DC395" s="122" t="s">
        <v>2025</v>
      </c>
      <c r="DD395" s="127">
        <v>8</v>
      </c>
      <c r="DE395" s="127">
        <v>8</v>
      </c>
      <c r="DG395" s="405" t="s">
        <v>289</v>
      </c>
      <c r="DH395" s="406" t="s">
        <v>2025</v>
      </c>
      <c r="DI395" s="406" t="str">
        <f t="shared" si="38"/>
        <v>BA, Itapé</v>
      </c>
      <c r="DJ395" s="406">
        <v>-14.898</v>
      </c>
      <c r="DK395" s="80">
        <v>-39.420999999999999</v>
      </c>
      <c r="DL395" s="80">
        <v>40</v>
      </c>
      <c r="DM395" s="64">
        <v>8</v>
      </c>
      <c r="DN395" s="406" t="s">
        <v>6227</v>
      </c>
      <c r="DO395" s="406">
        <v>-14.79</v>
      </c>
      <c r="DP395" s="80">
        <v>78</v>
      </c>
    </row>
    <row r="396" spans="29:120" x14ac:dyDescent="0.25">
      <c r="AC396" s="122" t="s">
        <v>311</v>
      </c>
      <c r="AD396" s="122" t="s">
        <v>801</v>
      </c>
      <c r="AE396" s="127">
        <v>2</v>
      </c>
      <c r="DA396" s="122" t="s">
        <v>289</v>
      </c>
      <c r="DB396" s="122" t="s">
        <v>1837</v>
      </c>
      <c r="DC396" s="122" t="s">
        <v>1837</v>
      </c>
      <c r="DD396" s="127">
        <v>8</v>
      </c>
      <c r="DE396" s="127">
        <v>8</v>
      </c>
      <c r="DG396" s="405" t="s">
        <v>289</v>
      </c>
      <c r="DH396" s="406" t="s">
        <v>1837</v>
      </c>
      <c r="DI396" s="406" t="str">
        <f t="shared" si="38"/>
        <v>BA, Itapebi</v>
      </c>
      <c r="DJ396" s="406">
        <v>-15.951000000000001</v>
      </c>
      <c r="DK396" s="80">
        <v>-39.533999999999999</v>
      </c>
      <c r="DL396" s="80">
        <v>177</v>
      </c>
      <c r="DM396" s="64">
        <v>8</v>
      </c>
      <c r="DN396" s="406" t="s">
        <v>6281</v>
      </c>
      <c r="DO396" s="406">
        <v>-16.39</v>
      </c>
      <c r="DP396" s="80">
        <v>85</v>
      </c>
    </row>
    <row r="397" spans="29:120" x14ac:dyDescent="0.25">
      <c r="AC397" s="122" t="s">
        <v>311</v>
      </c>
      <c r="AD397" s="122" t="s">
        <v>802</v>
      </c>
      <c r="AE397" s="127">
        <v>2</v>
      </c>
      <c r="DA397" s="122" t="s">
        <v>289</v>
      </c>
      <c r="DB397" s="122" t="s">
        <v>5164</v>
      </c>
      <c r="DC397" s="122" t="s">
        <v>5164</v>
      </c>
      <c r="DD397" s="127">
        <v>5</v>
      </c>
      <c r="DE397" s="127">
        <v>5</v>
      </c>
      <c r="DG397" s="405" t="s">
        <v>289</v>
      </c>
      <c r="DH397" s="406" t="s">
        <v>5164</v>
      </c>
      <c r="DI397" s="406" t="str">
        <f t="shared" si="38"/>
        <v>BA, Itapetinga</v>
      </c>
      <c r="DJ397" s="406">
        <v>-15.249000000000001</v>
      </c>
      <c r="DK397" s="80">
        <v>-40.247999999999998</v>
      </c>
      <c r="DL397" s="80">
        <v>279</v>
      </c>
      <c r="DM397" s="64">
        <v>5</v>
      </c>
      <c r="DN397" s="406" t="s">
        <v>6239</v>
      </c>
      <c r="DO397" s="406">
        <v>-15.24</v>
      </c>
      <c r="DP397" s="80">
        <v>279</v>
      </c>
    </row>
    <row r="398" spans="29:120" x14ac:dyDescent="0.25">
      <c r="AC398" s="122" t="s">
        <v>311</v>
      </c>
      <c r="AD398" s="122" t="s">
        <v>803</v>
      </c>
      <c r="AE398" s="127">
        <v>3</v>
      </c>
      <c r="DA398" s="122" t="s">
        <v>289</v>
      </c>
      <c r="DB398" s="122" t="s">
        <v>2016</v>
      </c>
      <c r="DC398" s="122" t="s">
        <v>2016</v>
      </c>
      <c r="DD398" s="127">
        <v>8</v>
      </c>
      <c r="DE398" s="127">
        <v>8</v>
      </c>
      <c r="DG398" s="405" t="s">
        <v>289</v>
      </c>
      <c r="DH398" s="406" t="s">
        <v>2016</v>
      </c>
      <c r="DI398" s="406" t="str">
        <f t="shared" si="38"/>
        <v>BA, Itapicuru</v>
      </c>
      <c r="DJ398" s="406">
        <v>-11.317</v>
      </c>
      <c r="DK398" s="80">
        <v>-38.232999999999997</v>
      </c>
      <c r="DL398" s="80">
        <v>155</v>
      </c>
      <c r="DM398" s="64">
        <v>8</v>
      </c>
      <c r="DN398" s="406" t="s">
        <v>6212</v>
      </c>
      <c r="DO398" s="406">
        <v>-11.27</v>
      </c>
      <c r="DP398" s="80">
        <v>208</v>
      </c>
    </row>
    <row r="399" spans="29:120" x14ac:dyDescent="0.25">
      <c r="AC399" s="122" t="s">
        <v>311</v>
      </c>
      <c r="AD399" s="122" t="s">
        <v>804</v>
      </c>
      <c r="AE399" s="127">
        <v>3</v>
      </c>
      <c r="DA399" s="122" t="s">
        <v>289</v>
      </c>
      <c r="DB399" s="122" t="s">
        <v>5203</v>
      </c>
      <c r="DC399" s="122" t="s">
        <v>5203</v>
      </c>
      <c r="DD399" s="127">
        <v>8</v>
      </c>
      <c r="DE399" s="127">
        <v>8</v>
      </c>
      <c r="DG399" s="405" t="s">
        <v>289</v>
      </c>
      <c r="DH399" s="406" t="s">
        <v>5203</v>
      </c>
      <c r="DI399" s="406" t="str">
        <f t="shared" si="38"/>
        <v>BA, Itapitanga</v>
      </c>
      <c r="DJ399" s="406">
        <v>-14.423</v>
      </c>
      <c r="DK399" s="80">
        <v>-39.564999999999998</v>
      </c>
      <c r="DL399" s="80">
        <v>152</v>
      </c>
      <c r="DM399" s="64">
        <v>8</v>
      </c>
      <c r="DN399" s="406" t="s">
        <v>6199</v>
      </c>
      <c r="DO399" s="406">
        <v>-14.14</v>
      </c>
      <c r="DP399" s="80">
        <v>135</v>
      </c>
    </row>
    <row r="400" spans="29:120" x14ac:dyDescent="0.25">
      <c r="AC400" s="122" t="s">
        <v>311</v>
      </c>
      <c r="AD400" s="122" t="s">
        <v>805</v>
      </c>
      <c r="AE400" s="127">
        <v>2</v>
      </c>
      <c r="DA400" s="122" t="s">
        <v>289</v>
      </c>
      <c r="DB400" s="122" t="s">
        <v>1927</v>
      </c>
      <c r="DC400" s="122" t="s">
        <v>1927</v>
      </c>
      <c r="DD400" s="127">
        <v>5</v>
      </c>
      <c r="DE400" s="127">
        <v>5</v>
      </c>
      <c r="DG400" s="405" t="s">
        <v>289</v>
      </c>
      <c r="DH400" s="406" t="s">
        <v>1927</v>
      </c>
      <c r="DI400" s="406" t="str">
        <f t="shared" si="38"/>
        <v>BA, Itaquara</v>
      </c>
      <c r="DJ400" s="406">
        <v>-13.451000000000001</v>
      </c>
      <c r="DK400" s="80">
        <v>-39.941000000000003</v>
      </c>
      <c r="DL400" s="80">
        <v>578</v>
      </c>
      <c r="DM400" s="64">
        <v>5</v>
      </c>
      <c r="DN400" s="406" t="s">
        <v>6271</v>
      </c>
      <c r="DO400" s="406">
        <v>-13.53</v>
      </c>
      <c r="DP400" s="80">
        <v>756</v>
      </c>
    </row>
    <row r="401" spans="29:120" x14ac:dyDescent="0.25">
      <c r="AC401" s="122" t="s">
        <v>376</v>
      </c>
      <c r="AD401" s="122" t="s">
        <v>806</v>
      </c>
      <c r="AE401" s="127">
        <v>3</v>
      </c>
      <c r="DA401" s="122" t="s">
        <v>289</v>
      </c>
      <c r="DB401" s="122" t="s">
        <v>5062</v>
      </c>
      <c r="DC401" s="122" t="s">
        <v>5062</v>
      </c>
      <c r="DD401" s="127">
        <v>8</v>
      </c>
      <c r="DE401" s="127">
        <v>8</v>
      </c>
      <c r="DG401" s="405" t="s">
        <v>289</v>
      </c>
      <c r="DH401" s="406" t="s">
        <v>5062</v>
      </c>
      <c r="DI401" s="406" t="str">
        <f t="shared" si="38"/>
        <v>BA, Itarantim</v>
      </c>
      <c r="DJ401" s="406">
        <v>-15.66</v>
      </c>
      <c r="DK401" s="80">
        <v>-40.066000000000003</v>
      </c>
      <c r="DL401" s="80">
        <v>259</v>
      </c>
      <c r="DM401" s="64">
        <v>8</v>
      </c>
      <c r="DN401" s="406" t="s">
        <v>6239</v>
      </c>
      <c r="DO401" s="406">
        <v>-15.24</v>
      </c>
      <c r="DP401" s="80">
        <v>279</v>
      </c>
    </row>
    <row r="402" spans="29:120" x14ac:dyDescent="0.25">
      <c r="AC402" s="122" t="s">
        <v>376</v>
      </c>
      <c r="AD402" s="122" t="s">
        <v>807</v>
      </c>
      <c r="AE402" s="127">
        <v>3</v>
      </c>
      <c r="DA402" s="122" t="s">
        <v>289</v>
      </c>
      <c r="DB402" s="122" t="s">
        <v>1965</v>
      </c>
      <c r="DC402" s="122" t="s">
        <v>1965</v>
      </c>
      <c r="DD402" s="127">
        <v>8</v>
      </c>
      <c r="DE402" s="127">
        <v>8</v>
      </c>
      <c r="DG402" s="405" t="s">
        <v>289</v>
      </c>
      <c r="DH402" s="406" t="s">
        <v>1965</v>
      </c>
      <c r="DI402" s="406" t="str">
        <f t="shared" si="38"/>
        <v>BA, Itatim</v>
      </c>
      <c r="DJ402" s="406">
        <v>-12.712</v>
      </c>
      <c r="DK402" s="80">
        <v>-39.698</v>
      </c>
      <c r="DL402" s="80">
        <v>260</v>
      </c>
      <c r="DM402" s="64">
        <v>8</v>
      </c>
      <c r="DN402" s="406" t="s">
        <v>6202</v>
      </c>
      <c r="DO402" s="406">
        <v>-13.01</v>
      </c>
      <c r="DP402" s="80">
        <v>407</v>
      </c>
    </row>
    <row r="403" spans="29:120" x14ac:dyDescent="0.25">
      <c r="AC403" s="122" t="s">
        <v>311</v>
      </c>
      <c r="AD403" s="122" t="s">
        <v>808</v>
      </c>
      <c r="AE403" s="127">
        <v>2</v>
      </c>
      <c r="DA403" s="122" t="s">
        <v>289</v>
      </c>
      <c r="DB403" s="122" t="s">
        <v>3444</v>
      </c>
      <c r="DC403" s="122" t="s">
        <v>3444</v>
      </c>
      <c r="DD403" s="127">
        <v>5</v>
      </c>
      <c r="DE403" s="127">
        <v>5</v>
      </c>
      <c r="DG403" s="405" t="s">
        <v>289</v>
      </c>
      <c r="DH403" s="406" t="s">
        <v>3444</v>
      </c>
      <c r="DI403" s="406" t="str">
        <f t="shared" si="38"/>
        <v>BA, Itiruçu</v>
      </c>
      <c r="DJ403" s="406">
        <v>-13.532</v>
      </c>
      <c r="DK403" s="80">
        <v>-40.15</v>
      </c>
      <c r="DL403" s="80">
        <v>820</v>
      </c>
      <c r="DM403" s="64">
        <v>5</v>
      </c>
      <c r="DN403" s="406" t="s">
        <v>6271</v>
      </c>
      <c r="DO403" s="406">
        <v>-13.53</v>
      </c>
      <c r="DP403" s="80">
        <v>756</v>
      </c>
    </row>
    <row r="404" spans="29:120" x14ac:dyDescent="0.25">
      <c r="AC404" s="122" t="s">
        <v>311</v>
      </c>
      <c r="AD404" s="122" t="s">
        <v>809</v>
      </c>
      <c r="AE404" s="127">
        <v>1</v>
      </c>
      <c r="DA404" s="122" t="s">
        <v>289</v>
      </c>
      <c r="DB404" s="122" t="s">
        <v>5218</v>
      </c>
      <c r="DC404" s="122" t="s">
        <v>5218</v>
      </c>
      <c r="DD404" s="127">
        <v>7</v>
      </c>
      <c r="DE404" s="127">
        <v>7</v>
      </c>
      <c r="DG404" s="405" t="s">
        <v>289</v>
      </c>
      <c r="DH404" s="406" t="s">
        <v>5218</v>
      </c>
      <c r="DI404" s="406" t="str">
        <f t="shared" si="38"/>
        <v>BA, Itiúba</v>
      </c>
      <c r="DJ404" s="406">
        <v>-10.691000000000001</v>
      </c>
      <c r="DK404" s="80">
        <v>-39.853000000000002</v>
      </c>
      <c r="DL404" s="80">
        <v>377</v>
      </c>
      <c r="DM404" s="64">
        <v>7</v>
      </c>
      <c r="DN404" s="406" t="s">
        <v>6253</v>
      </c>
      <c r="DO404" s="406">
        <v>-10.98</v>
      </c>
      <c r="DP404" s="80">
        <v>315</v>
      </c>
    </row>
    <row r="405" spans="29:120" x14ac:dyDescent="0.25">
      <c r="AC405" s="122" t="s">
        <v>311</v>
      </c>
      <c r="AD405" s="122" t="s">
        <v>810</v>
      </c>
      <c r="AE405" s="127">
        <v>2</v>
      </c>
      <c r="DA405" s="122" t="s">
        <v>289</v>
      </c>
      <c r="DB405" s="122" t="s">
        <v>5154</v>
      </c>
      <c r="DC405" s="122" t="s">
        <v>5154</v>
      </c>
      <c r="DD405" s="127">
        <v>8</v>
      </c>
      <c r="DE405" s="127">
        <v>8</v>
      </c>
      <c r="DG405" s="405" t="s">
        <v>289</v>
      </c>
      <c r="DH405" s="406" t="s">
        <v>5154</v>
      </c>
      <c r="DI405" s="406" t="str">
        <f t="shared" si="38"/>
        <v>BA, Itororó</v>
      </c>
      <c r="DJ405" s="406">
        <v>-15.117000000000001</v>
      </c>
      <c r="DK405" s="80">
        <v>-40.07</v>
      </c>
      <c r="DL405" s="80">
        <v>237</v>
      </c>
      <c r="DM405" s="64">
        <v>8</v>
      </c>
      <c r="DN405" s="406" t="s">
        <v>6239</v>
      </c>
      <c r="DO405" s="406">
        <v>-15.24</v>
      </c>
      <c r="DP405" s="80">
        <v>279</v>
      </c>
    </row>
    <row r="406" spans="29:120" x14ac:dyDescent="0.25">
      <c r="AC406" s="122" t="s">
        <v>311</v>
      </c>
      <c r="AD406" s="122" t="s">
        <v>811</v>
      </c>
      <c r="AE406" s="127">
        <v>2</v>
      </c>
      <c r="DA406" s="122" t="s">
        <v>289</v>
      </c>
      <c r="DB406" s="122" t="s">
        <v>2420</v>
      </c>
      <c r="DC406" s="122" t="s">
        <v>2420</v>
      </c>
      <c r="DD406" s="127">
        <v>6</v>
      </c>
      <c r="DE406" s="127">
        <v>6</v>
      </c>
      <c r="DG406" s="405" t="s">
        <v>289</v>
      </c>
      <c r="DH406" s="406" t="s">
        <v>2420</v>
      </c>
      <c r="DI406" s="406" t="str">
        <f t="shared" si="38"/>
        <v>BA, Ituaçu</v>
      </c>
      <c r="DJ406" s="406">
        <v>-13.813000000000001</v>
      </c>
      <c r="DK406" s="80">
        <v>-41.296999999999997</v>
      </c>
      <c r="DL406" s="80">
        <v>520</v>
      </c>
      <c r="DM406" s="64">
        <v>6</v>
      </c>
      <c r="DN406" s="406" t="s">
        <v>6213</v>
      </c>
      <c r="DO406" s="406">
        <v>-14.18</v>
      </c>
      <c r="DP406" s="80">
        <v>470</v>
      </c>
    </row>
    <row r="407" spans="29:120" x14ac:dyDescent="0.25">
      <c r="AC407" s="122" t="s">
        <v>311</v>
      </c>
      <c r="AD407" s="122" t="s">
        <v>812</v>
      </c>
      <c r="AE407" s="127">
        <v>3</v>
      </c>
      <c r="DA407" s="122" t="s">
        <v>289</v>
      </c>
      <c r="DB407" s="122" t="s">
        <v>1984</v>
      </c>
      <c r="DC407" s="122" t="s">
        <v>1984</v>
      </c>
      <c r="DD407" s="127">
        <v>8</v>
      </c>
      <c r="DE407" s="127">
        <v>8</v>
      </c>
      <c r="DG407" s="405" t="s">
        <v>289</v>
      </c>
      <c r="DH407" s="406" t="s">
        <v>1984</v>
      </c>
      <c r="DI407" s="406" t="str">
        <f t="shared" si="38"/>
        <v>BA, Ituberá</v>
      </c>
      <c r="DJ407" s="406">
        <v>-13.731999999999999</v>
      </c>
      <c r="DK407" s="80">
        <v>-39.149000000000001</v>
      </c>
      <c r="DL407" s="80">
        <v>27</v>
      </c>
      <c r="DM407" s="64">
        <v>8</v>
      </c>
      <c r="DN407" s="406" t="s">
        <v>6246</v>
      </c>
      <c r="DO407" s="406">
        <v>-13.91</v>
      </c>
      <c r="DP407" s="80">
        <v>10</v>
      </c>
    </row>
    <row r="408" spans="29:120" x14ac:dyDescent="0.25">
      <c r="AC408" s="122" t="s">
        <v>376</v>
      </c>
      <c r="AD408" s="122" t="s">
        <v>813</v>
      </c>
      <c r="AE408" s="127">
        <v>3</v>
      </c>
      <c r="DA408" s="122" t="s">
        <v>289</v>
      </c>
      <c r="DB408" s="122" t="s">
        <v>5515</v>
      </c>
      <c r="DC408" s="122" t="s">
        <v>5515</v>
      </c>
      <c r="DD408" s="127">
        <v>6</v>
      </c>
      <c r="DE408" s="127">
        <v>6</v>
      </c>
      <c r="DG408" s="405" t="s">
        <v>289</v>
      </c>
      <c r="DH408" s="406" t="s">
        <v>5515</v>
      </c>
      <c r="DI408" s="406" t="str">
        <f t="shared" si="38"/>
        <v>BA, Iuiú</v>
      </c>
      <c r="DJ408" s="406">
        <v>-14.414</v>
      </c>
      <c r="DK408" s="80">
        <v>-43.554000000000002</v>
      </c>
      <c r="DL408" s="80">
        <v>490</v>
      </c>
      <c r="DM408" s="64">
        <v>6</v>
      </c>
      <c r="DN408" s="406" t="s">
        <v>6242</v>
      </c>
      <c r="DO408" s="406">
        <v>-14.21</v>
      </c>
      <c r="DP408" s="80">
        <v>551</v>
      </c>
    </row>
    <row r="409" spans="29:120" x14ac:dyDescent="0.25">
      <c r="AC409" s="122" t="s">
        <v>311</v>
      </c>
      <c r="AD409" s="122" t="s">
        <v>814</v>
      </c>
      <c r="AE409" s="127">
        <v>2</v>
      </c>
      <c r="DA409" s="122" t="s">
        <v>289</v>
      </c>
      <c r="DB409" s="122" t="s">
        <v>2955</v>
      </c>
      <c r="DC409" s="122" t="s">
        <v>2955</v>
      </c>
      <c r="DD409" s="127">
        <v>6</v>
      </c>
      <c r="DE409" s="127">
        <v>6</v>
      </c>
      <c r="DG409" s="405" t="s">
        <v>289</v>
      </c>
      <c r="DH409" s="406" t="s">
        <v>2955</v>
      </c>
      <c r="DI409" s="406" t="str">
        <f t="shared" si="38"/>
        <v>BA, Jaborandi</v>
      </c>
      <c r="DJ409" s="406">
        <v>-13.619</v>
      </c>
      <c r="DK409" s="80">
        <v>-44.433</v>
      </c>
      <c r="DL409" s="80">
        <v>448</v>
      </c>
      <c r="DM409" s="64">
        <v>6</v>
      </c>
      <c r="DN409" s="406" t="s">
        <v>6250</v>
      </c>
      <c r="DO409" s="406">
        <v>-13.33</v>
      </c>
      <c r="DP409" s="80">
        <v>549</v>
      </c>
    </row>
    <row r="410" spans="29:120" x14ac:dyDescent="0.25">
      <c r="AC410" s="122" t="s">
        <v>376</v>
      </c>
      <c r="AD410" s="122" t="s">
        <v>815</v>
      </c>
      <c r="AE410" s="127">
        <v>2</v>
      </c>
      <c r="DA410" s="122" t="s">
        <v>289</v>
      </c>
      <c r="DB410" s="122" t="s">
        <v>1943</v>
      </c>
      <c r="DC410" s="122" t="s">
        <v>1943</v>
      </c>
      <c r="DD410" s="127">
        <v>6</v>
      </c>
      <c r="DE410" s="127">
        <v>6</v>
      </c>
      <c r="DG410" s="405" t="s">
        <v>289</v>
      </c>
      <c r="DH410" s="406" t="s">
        <v>1943</v>
      </c>
      <c r="DI410" s="406" t="str">
        <f t="shared" si="38"/>
        <v>BA, Jacaraci</v>
      </c>
      <c r="DJ410" s="406">
        <v>-14.85</v>
      </c>
      <c r="DK410" s="80">
        <v>-42.433</v>
      </c>
      <c r="DL410" s="80">
        <v>900</v>
      </c>
      <c r="DM410" s="64">
        <v>6</v>
      </c>
      <c r="DN410" s="406" t="s">
        <v>6293</v>
      </c>
      <c r="DO410" s="406">
        <v>-14.92</v>
      </c>
      <c r="DP410" s="80">
        <v>570</v>
      </c>
    </row>
    <row r="411" spans="29:120" x14ac:dyDescent="0.25">
      <c r="AC411" s="122" t="s">
        <v>376</v>
      </c>
      <c r="AD411" s="122" t="s">
        <v>816</v>
      </c>
      <c r="AE411" s="127">
        <v>2</v>
      </c>
      <c r="DA411" s="122" t="s">
        <v>289</v>
      </c>
      <c r="DB411" s="122" t="s">
        <v>2349</v>
      </c>
      <c r="DC411" s="122" t="s">
        <v>2349</v>
      </c>
      <c r="DD411" s="127">
        <v>8</v>
      </c>
      <c r="DE411" s="127">
        <v>8</v>
      </c>
      <c r="DG411" s="405" t="s">
        <v>289</v>
      </c>
      <c r="DH411" s="406" t="s">
        <v>2349</v>
      </c>
      <c r="DI411" s="406" t="str">
        <f t="shared" si="38"/>
        <v>BA, Jacobina</v>
      </c>
      <c r="DJ411" s="406">
        <v>-11.180999999999999</v>
      </c>
      <c r="DK411" s="80">
        <v>-40.518000000000001</v>
      </c>
      <c r="DL411" s="80">
        <v>463</v>
      </c>
      <c r="DM411" s="64">
        <v>8</v>
      </c>
      <c r="DN411" s="406" t="s">
        <v>6243</v>
      </c>
      <c r="DO411" s="406">
        <v>-11.21</v>
      </c>
      <c r="DP411" s="80">
        <v>453</v>
      </c>
    </row>
    <row r="412" spans="29:120" x14ac:dyDescent="0.25">
      <c r="AC412" s="122" t="s">
        <v>311</v>
      </c>
      <c r="AD412" s="122" t="s">
        <v>817</v>
      </c>
      <c r="AE412" s="127">
        <v>2</v>
      </c>
      <c r="DA412" s="122" t="s">
        <v>289</v>
      </c>
      <c r="DB412" s="122" t="s">
        <v>2230</v>
      </c>
      <c r="DC412" s="122" t="s">
        <v>2230</v>
      </c>
      <c r="DD412" s="127">
        <v>5</v>
      </c>
      <c r="DE412" s="127">
        <v>5</v>
      </c>
      <c r="DG412" s="405" t="s">
        <v>289</v>
      </c>
      <c r="DH412" s="406" t="s">
        <v>2230</v>
      </c>
      <c r="DI412" s="406" t="str">
        <f t="shared" si="38"/>
        <v>BA, Jaguaquara</v>
      </c>
      <c r="DJ412" s="406">
        <v>-13.531000000000001</v>
      </c>
      <c r="DK412" s="80">
        <v>-39.970999999999997</v>
      </c>
      <c r="DL412" s="80">
        <v>667</v>
      </c>
      <c r="DM412" s="64">
        <v>5</v>
      </c>
      <c r="DN412" s="406" t="s">
        <v>6271</v>
      </c>
      <c r="DO412" s="406">
        <v>-13.53</v>
      </c>
      <c r="DP412" s="80">
        <v>756</v>
      </c>
    </row>
    <row r="413" spans="29:120" x14ac:dyDescent="0.25">
      <c r="AC413" s="122" t="s">
        <v>311</v>
      </c>
      <c r="AD413" s="122" t="s">
        <v>818</v>
      </c>
      <c r="AE413" s="127">
        <v>2</v>
      </c>
      <c r="DA413" s="122" t="s">
        <v>289</v>
      </c>
      <c r="DB413" s="122" t="s">
        <v>2367</v>
      </c>
      <c r="DC413" s="122" t="s">
        <v>2367</v>
      </c>
      <c r="DD413" s="127">
        <v>7</v>
      </c>
      <c r="DE413" s="127">
        <v>7</v>
      </c>
      <c r="DG413" s="405" t="s">
        <v>289</v>
      </c>
      <c r="DH413" s="406" t="s">
        <v>2367</v>
      </c>
      <c r="DI413" s="406" t="str">
        <f t="shared" si="38"/>
        <v>BA, Jaguarari</v>
      </c>
      <c r="DJ413" s="406">
        <v>-10.26</v>
      </c>
      <c r="DK413" s="80">
        <v>-40.195999999999998</v>
      </c>
      <c r="DL413" s="80">
        <v>662</v>
      </c>
      <c r="DM413" s="64">
        <v>7</v>
      </c>
      <c r="DN413" s="406" t="s">
        <v>6208</v>
      </c>
      <c r="DO413" s="406">
        <v>-10.44</v>
      </c>
      <c r="DP413" s="80">
        <v>548</v>
      </c>
    </row>
    <row r="414" spans="29:120" x14ac:dyDescent="0.25">
      <c r="AC414" s="122" t="s">
        <v>27</v>
      </c>
      <c r="AD414" s="122" t="s">
        <v>819</v>
      </c>
      <c r="AE414" s="127">
        <v>2</v>
      </c>
      <c r="DA414" s="122" t="s">
        <v>289</v>
      </c>
      <c r="DB414" s="122" t="s">
        <v>5109</v>
      </c>
      <c r="DC414" s="122" t="s">
        <v>5109</v>
      </c>
      <c r="DD414" s="127">
        <v>8</v>
      </c>
      <c r="DE414" s="127">
        <v>8</v>
      </c>
      <c r="DG414" s="405" t="s">
        <v>289</v>
      </c>
      <c r="DH414" s="406" t="s">
        <v>5109</v>
      </c>
      <c r="DI414" s="406" t="str">
        <f t="shared" si="38"/>
        <v>BA, Jaguaripe</v>
      </c>
      <c r="DJ414" s="406">
        <v>-13.113</v>
      </c>
      <c r="DK414" s="80">
        <v>-38.896000000000001</v>
      </c>
      <c r="DL414" s="80">
        <v>11</v>
      </c>
      <c r="DM414" s="64">
        <v>8</v>
      </c>
      <c r="DN414" s="406" t="s">
        <v>6215</v>
      </c>
      <c r="DO414" s="406">
        <v>-13.37</v>
      </c>
      <c r="DP414" s="80">
        <v>39</v>
      </c>
    </row>
    <row r="415" spans="29:120" x14ac:dyDescent="0.25">
      <c r="AC415" s="122" t="s">
        <v>311</v>
      </c>
      <c r="AD415" s="122" t="s">
        <v>820</v>
      </c>
      <c r="AE415" s="127">
        <v>2</v>
      </c>
      <c r="DA415" s="122" t="s">
        <v>289</v>
      </c>
      <c r="DB415" s="122" t="s">
        <v>1825</v>
      </c>
      <c r="DC415" s="122" t="s">
        <v>1825</v>
      </c>
      <c r="DD415" s="127">
        <v>8</v>
      </c>
      <c r="DE415" s="127">
        <v>8</v>
      </c>
      <c r="DG415" s="405" t="s">
        <v>289</v>
      </c>
      <c r="DH415" s="406" t="s">
        <v>1825</v>
      </c>
      <c r="DI415" s="406" t="str">
        <f t="shared" si="38"/>
        <v>BA, Jandaíra</v>
      </c>
      <c r="DJ415" s="406">
        <v>-11.564</v>
      </c>
      <c r="DK415" s="80">
        <v>-37.783999999999999</v>
      </c>
      <c r="DL415" s="80">
        <v>146</v>
      </c>
      <c r="DM415" s="64">
        <v>8</v>
      </c>
      <c r="DN415" s="406" t="s">
        <v>6212</v>
      </c>
      <c r="DO415" s="406">
        <v>-11.27</v>
      </c>
      <c r="DP415" s="80">
        <v>208</v>
      </c>
    </row>
    <row r="416" spans="29:120" x14ac:dyDescent="0.25">
      <c r="AC416" s="122" t="s">
        <v>289</v>
      </c>
      <c r="AD416" s="122" t="s">
        <v>821</v>
      </c>
      <c r="AE416" s="127">
        <v>6</v>
      </c>
      <c r="DA416" s="122" t="s">
        <v>289</v>
      </c>
      <c r="DB416" s="122" t="s">
        <v>3186</v>
      </c>
      <c r="DC416" s="122" t="s">
        <v>3186</v>
      </c>
      <c r="DD416" s="127">
        <v>8</v>
      </c>
      <c r="DE416" s="127">
        <v>8</v>
      </c>
      <c r="DG416" s="405" t="s">
        <v>289</v>
      </c>
      <c r="DH416" s="406" t="s">
        <v>3186</v>
      </c>
      <c r="DI416" s="406" t="str">
        <f t="shared" si="38"/>
        <v>BA, Jequié</v>
      </c>
      <c r="DJ416" s="406">
        <v>-13.858000000000001</v>
      </c>
      <c r="DK416" s="80">
        <v>-40.084000000000003</v>
      </c>
      <c r="DL416" s="80">
        <v>215</v>
      </c>
      <c r="DM416" s="64">
        <v>8</v>
      </c>
      <c r="DN416" s="406" t="s">
        <v>6271</v>
      </c>
      <c r="DO416" s="406">
        <v>-13.53</v>
      </c>
      <c r="DP416" s="80">
        <v>756</v>
      </c>
    </row>
    <row r="417" spans="29:120" x14ac:dyDescent="0.25">
      <c r="AC417" s="122" t="s">
        <v>289</v>
      </c>
      <c r="AD417" s="122" t="s">
        <v>822</v>
      </c>
      <c r="AE417" s="127">
        <v>6</v>
      </c>
      <c r="DA417" s="122" t="s">
        <v>289</v>
      </c>
      <c r="DB417" s="122" t="s">
        <v>3422</v>
      </c>
      <c r="DC417" s="122" t="s">
        <v>3422</v>
      </c>
      <c r="DD417" s="127">
        <v>8</v>
      </c>
      <c r="DE417" s="127">
        <v>8</v>
      </c>
      <c r="DG417" s="405" t="s">
        <v>289</v>
      </c>
      <c r="DH417" s="406" t="s">
        <v>3422</v>
      </c>
      <c r="DI417" s="406" t="str">
        <f t="shared" si="38"/>
        <v>BA, Jeremoabo</v>
      </c>
      <c r="DJ417" s="406">
        <v>-10.067</v>
      </c>
      <c r="DK417" s="80">
        <v>-38.35</v>
      </c>
      <c r="DL417" s="80">
        <v>275</v>
      </c>
      <c r="DM417" s="64">
        <v>8</v>
      </c>
      <c r="DN417" s="406" t="s">
        <v>6087</v>
      </c>
      <c r="DO417" s="406">
        <v>-9.41</v>
      </c>
      <c r="DP417" s="80">
        <v>253</v>
      </c>
    </row>
    <row r="418" spans="29:120" x14ac:dyDescent="0.25">
      <c r="AC418" s="122" t="s">
        <v>376</v>
      </c>
      <c r="AD418" s="122" t="s">
        <v>823</v>
      </c>
      <c r="AE418" s="127">
        <v>3</v>
      </c>
      <c r="DA418" s="122" t="s">
        <v>289</v>
      </c>
      <c r="DB418" s="122" t="s">
        <v>1933</v>
      </c>
      <c r="DC418" s="122" t="s">
        <v>1933</v>
      </c>
      <c r="DD418" s="127">
        <v>5</v>
      </c>
      <c r="DE418" s="127">
        <v>5</v>
      </c>
      <c r="DG418" s="405" t="s">
        <v>289</v>
      </c>
      <c r="DH418" s="406" t="s">
        <v>1933</v>
      </c>
      <c r="DI418" s="406" t="str">
        <f t="shared" si="38"/>
        <v>BA, Jiquiriçá</v>
      </c>
      <c r="DJ418" s="406">
        <v>-13.257</v>
      </c>
      <c r="DK418" s="80">
        <v>-39.572000000000003</v>
      </c>
      <c r="DL418" s="80">
        <v>342</v>
      </c>
      <c r="DM418" s="64">
        <v>5</v>
      </c>
      <c r="DN418" s="406" t="s">
        <v>6202</v>
      </c>
      <c r="DO418" s="406">
        <v>-13.01</v>
      </c>
      <c r="DP418" s="80">
        <v>407</v>
      </c>
    </row>
    <row r="419" spans="29:120" x14ac:dyDescent="0.25">
      <c r="AC419" s="122" t="s">
        <v>311</v>
      </c>
      <c r="AD419" s="122" t="s">
        <v>824</v>
      </c>
      <c r="AE419" s="127">
        <v>2</v>
      </c>
      <c r="DA419" s="122" t="s">
        <v>289</v>
      </c>
      <c r="DB419" s="122" t="s">
        <v>2111</v>
      </c>
      <c r="DC419" s="122" t="s">
        <v>2111</v>
      </c>
      <c r="DD419" s="127">
        <v>8</v>
      </c>
      <c r="DE419" s="127">
        <v>8</v>
      </c>
      <c r="DG419" s="405" t="s">
        <v>289</v>
      </c>
      <c r="DH419" s="406" t="s">
        <v>2111</v>
      </c>
      <c r="DI419" s="406" t="str">
        <f t="shared" si="38"/>
        <v>BA, Jitaúna</v>
      </c>
      <c r="DJ419" s="406">
        <v>-14.019</v>
      </c>
      <c r="DK419" s="80">
        <v>-39.889000000000003</v>
      </c>
      <c r="DL419" s="80">
        <v>163</v>
      </c>
      <c r="DM419" s="64">
        <v>8</v>
      </c>
      <c r="DN419" s="406" t="s">
        <v>6199</v>
      </c>
      <c r="DO419" s="406">
        <v>-14.14</v>
      </c>
      <c r="DP419" s="80">
        <v>135</v>
      </c>
    </row>
    <row r="420" spans="29:120" x14ac:dyDescent="0.25">
      <c r="AC420" s="122" t="s">
        <v>311</v>
      </c>
      <c r="AD420" s="122" t="s">
        <v>825</v>
      </c>
      <c r="AE420" s="127">
        <v>1</v>
      </c>
      <c r="DA420" s="122" t="s">
        <v>289</v>
      </c>
      <c r="DB420" s="122" t="s">
        <v>6294</v>
      </c>
      <c r="DC420" s="122" t="s">
        <v>2122</v>
      </c>
      <c r="DD420" s="127">
        <v>5</v>
      </c>
      <c r="DE420" s="127">
        <v>5</v>
      </c>
      <c r="DG420" s="405" t="s">
        <v>289</v>
      </c>
      <c r="DH420" s="406" t="s">
        <v>2122</v>
      </c>
      <c r="DI420" s="406" t="str">
        <f t="shared" si="38"/>
        <v>BA, João Dourado</v>
      </c>
      <c r="DJ420" s="406">
        <v>-11.35</v>
      </c>
      <c r="DK420" s="80">
        <v>-41.664000000000001</v>
      </c>
      <c r="DL420" s="80">
        <v>815</v>
      </c>
      <c r="DM420" s="64">
        <v>5</v>
      </c>
      <c r="DN420" s="406" t="s">
        <v>6205</v>
      </c>
      <c r="DO420" s="406">
        <v>-11.33</v>
      </c>
      <c r="DP420" s="80">
        <v>755</v>
      </c>
    </row>
    <row r="421" spans="29:120" x14ac:dyDescent="0.25">
      <c r="AC421" s="122" t="s">
        <v>358</v>
      </c>
      <c r="AD421" s="122" t="s">
        <v>826</v>
      </c>
      <c r="AE421" s="127">
        <v>3</v>
      </c>
      <c r="DA421" s="122" t="s">
        <v>289</v>
      </c>
      <c r="DB421" s="122" t="s">
        <v>5205</v>
      </c>
      <c r="DC421" s="122" t="s">
        <v>5205</v>
      </c>
      <c r="DD421" s="127">
        <v>7</v>
      </c>
      <c r="DE421" s="127">
        <v>7</v>
      </c>
      <c r="DG421" s="405" t="s">
        <v>289</v>
      </c>
      <c r="DH421" s="406" t="s">
        <v>5205</v>
      </c>
      <c r="DI421" s="406" t="str">
        <f t="shared" si="38"/>
        <v>BA, Juazeiro</v>
      </c>
      <c r="DJ421" s="406">
        <v>-9.4139999999999997</v>
      </c>
      <c r="DK421" s="80">
        <v>-40.503</v>
      </c>
      <c r="DL421" s="80">
        <v>368</v>
      </c>
      <c r="DM421" s="64">
        <v>7</v>
      </c>
      <c r="DN421" s="406" t="s">
        <v>6260</v>
      </c>
      <c r="DO421" s="406">
        <v>-9.39</v>
      </c>
      <c r="DP421" s="80">
        <v>370</v>
      </c>
    </row>
    <row r="422" spans="29:120" x14ac:dyDescent="0.25">
      <c r="AC422" s="122" t="s">
        <v>311</v>
      </c>
      <c r="AD422" s="122" t="s">
        <v>827</v>
      </c>
      <c r="AE422" s="127">
        <v>3</v>
      </c>
      <c r="DA422" s="122" t="s">
        <v>289</v>
      </c>
      <c r="DB422" s="122" t="s">
        <v>1816</v>
      </c>
      <c r="DC422" s="122" t="s">
        <v>1816</v>
      </c>
      <c r="DD422" s="127">
        <v>8</v>
      </c>
      <c r="DE422" s="127">
        <v>8</v>
      </c>
      <c r="DG422" s="405" t="s">
        <v>289</v>
      </c>
      <c r="DH422" s="406" t="s">
        <v>1816</v>
      </c>
      <c r="DI422" s="406" t="str">
        <f t="shared" si="38"/>
        <v>BA, Jucuruçu</v>
      </c>
      <c r="DJ422" s="406">
        <v>-16.843</v>
      </c>
      <c r="DK422" s="80">
        <v>-40.158999999999999</v>
      </c>
      <c r="DL422" s="80">
        <v>365</v>
      </c>
      <c r="DM422" s="64">
        <v>8</v>
      </c>
      <c r="DN422" s="406" t="s">
        <v>6295</v>
      </c>
      <c r="DO422" s="406">
        <v>-16.18</v>
      </c>
      <c r="DP422" s="80">
        <v>208</v>
      </c>
    </row>
    <row r="423" spans="29:120" x14ac:dyDescent="0.25">
      <c r="AC423" s="122" t="s">
        <v>311</v>
      </c>
      <c r="AD423" s="122" t="s">
        <v>828</v>
      </c>
      <c r="AE423" s="127">
        <v>2</v>
      </c>
      <c r="DA423" s="122" t="s">
        <v>289</v>
      </c>
      <c r="DB423" s="122" t="s">
        <v>2585</v>
      </c>
      <c r="DC423" s="122" t="s">
        <v>2585</v>
      </c>
      <c r="DD423" s="127">
        <v>6</v>
      </c>
      <c r="DE423" s="127">
        <v>6</v>
      </c>
      <c r="DG423" s="405" t="s">
        <v>289</v>
      </c>
      <c r="DH423" s="406" t="s">
        <v>2585</v>
      </c>
      <c r="DI423" s="406" t="str">
        <f t="shared" si="38"/>
        <v>BA, Jussara</v>
      </c>
      <c r="DJ423" s="406">
        <v>-11.047000000000001</v>
      </c>
      <c r="DK423" s="80">
        <v>-41.969000000000001</v>
      </c>
      <c r="DL423" s="80">
        <v>620</v>
      </c>
      <c r="DM423" s="64">
        <v>6</v>
      </c>
      <c r="DN423" s="406" t="s">
        <v>6205</v>
      </c>
      <c r="DO423" s="406">
        <v>-11.33</v>
      </c>
      <c r="DP423" s="80">
        <v>755</v>
      </c>
    </row>
    <row r="424" spans="29:120" x14ac:dyDescent="0.25">
      <c r="AC424" s="122" t="s">
        <v>376</v>
      </c>
      <c r="AD424" s="122" t="s">
        <v>829</v>
      </c>
      <c r="AE424" s="127">
        <v>3</v>
      </c>
      <c r="DA424" s="122" t="s">
        <v>289</v>
      </c>
      <c r="DB424" s="122" t="s">
        <v>1973</v>
      </c>
      <c r="DC424" s="122" t="s">
        <v>1973</v>
      </c>
      <c r="DD424" s="127">
        <v>8</v>
      </c>
      <c r="DE424" s="127">
        <v>8</v>
      </c>
      <c r="DG424" s="405" t="s">
        <v>289</v>
      </c>
      <c r="DH424" s="406" t="s">
        <v>1973</v>
      </c>
      <c r="DI424" s="406" t="str">
        <f t="shared" si="38"/>
        <v>BA, Jussari</v>
      </c>
      <c r="DJ424" s="406">
        <v>-15.191000000000001</v>
      </c>
      <c r="DK424" s="80">
        <v>-39.494999999999997</v>
      </c>
      <c r="DL424" s="80">
        <v>196</v>
      </c>
      <c r="DM424" s="64">
        <v>8</v>
      </c>
      <c r="DN424" s="406" t="s">
        <v>6214</v>
      </c>
      <c r="DO424" s="406">
        <v>-15.28</v>
      </c>
      <c r="DP424" s="80">
        <v>82</v>
      </c>
    </row>
    <row r="425" spans="29:120" x14ac:dyDescent="0.25">
      <c r="AC425" s="122" t="s">
        <v>333</v>
      </c>
      <c r="AD425" s="122" t="s">
        <v>830</v>
      </c>
      <c r="AE425" s="127">
        <v>3</v>
      </c>
      <c r="DA425" s="122" t="s">
        <v>289</v>
      </c>
      <c r="DB425" s="122" t="s">
        <v>821</v>
      </c>
      <c r="DC425" s="122" t="s">
        <v>821</v>
      </c>
      <c r="DD425" s="127">
        <v>6</v>
      </c>
      <c r="DE425" s="127">
        <v>6</v>
      </c>
      <c r="DG425" s="405" t="s">
        <v>289</v>
      </c>
      <c r="DH425" s="406" t="s">
        <v>821</v>
      </c>
      <c r="DI425" s="406" t="str">
        <f t="shared" si="38"/>
        <v>BA, Jussiape</v>
      </c>
      <c r="DJ425" s="406">
        <v>-13.516999999999999</v>
      </c>
      <c r="DK425" s="80">
        <v>-41.593000000000004</v>
      </c>
      <c r="DL425" s="80">
        <v>538</v>
      </c>
      <c r="DM425" s="64">
        <v>6</v>
      </c>
      <c r="DN425" s="406" t="s">
        <v>6193</v>
      </c>
      <c r="DO425" s="406">
        <v>-13.16</v>
      </c>
      <c r="DP425" s="80">
        <v>1290</v>
      </c>
    </row>
    <row r="426" spans="29:120" x14ac:dyDescent="0.25">
      <c r="AC426" s="122" t="s">
        <v>311</v>
      </c>
      <c r="AD426" s="122" t="s">
        <v>831</v>
      </c>
      <c r="AE426" s="127">
        <v>2</v>
      </c>
      <c r="DA426" s="122" t="s">
        <v>289</v>
      </c>
      <c r="DB426" s="122" t="s">
        <v>6296</v>
      </c>
      <c r="DC426" s="122" t="s">
        <v>1897</v>
      </c>
      <c r="DD426" s="127">
        <v>5</v>
      </c>
      <c r="DE426" s="127">
        <v>5</v>
      </c>
      <c r="DG426" s="405" t="s">
        <v>289</v>
      </c>
      <c r="DH426" s="406" t="s">
        <v>1897</v>
      </c>
      <c r="DI426" s="406" t="str">
        <f t="shared" si="38"/>
        <v>BA, Lafaiete Coutinho</v>
      </c>
      <c r="DJ426" s="406">
        <v>-13.656000000000001</v>
      </c>
      <c r="DK426" s="80">
        <v>-40.213000000000001</v>
      </c>
      <c r="DL426" s="80">
        <v>558</v>
      </c>
      <c r="DM426" s="64">
        <v>5</v>
      </c>
      <c r="DN426" s="406" t="s">
        <v>6271</v>
      </c>
      <c r="DO426" s="406">
        <v>-13.53</v>
      </c>
      <c r="DP426" s="80">
        <v>756</v>
      </c>
    </row>
    <row r="427" spans="29:120" x14ac:dyDescent="0.25">
      <c r="AC427" s="122" t="s">
        <v>376</v>
      </c>
      <c r="AD427" s="122" t="s">
        <v>832</v>
      </c>
      <c r="AE427" s="127">
        <v>3</v>
      </c>
      <c r="DA427" s="122" t="s">
        <v>289</v>
      </c>
      <c r="DB427" s="122" t="s">
        <v>6297</v>
      </c>
      <c r="DC427" s="122" t="s">
        <v>2078</v>
      </c>
      <c r="DD427" s="127">
        <v>5</v>
      </c>
      <c r="DE427" s="127">
        <v>5</v>
      </c>
      <c r="DG427" s="405" t="s">
        <v>289</v>
      </c>
      <c r="DH427" s="406" t="s">
        <v>2078</v>
      </c>
      <c r="DI427" s="406" t="str">
        <f t="shared" si="38"/>
        <v>BA, Lagoa Real</v>
      </c>
      <c r="DJ427" s="406">
        <v>-14.035</v>
      </c>
      <c r="DK427" s="80">
        <v>-42.142000000000003</v>
      </c>
      <c r="DL427" s="80">
        <v>525</v>
      </c>
      <c r="DM427" s="64">
        <v>5</v>
      </c>
      <c r="DN427" s="406" t="s">
        <v>6213</v>
      </c>
      <c r="DO427" s="406">
        <v>-14.18</v>
      </c>
      <c r="DP427" s="80">
        <v>470</v>
      </c>
    </row>
    <row r="428" spans="29:120" x14ac:dyDescent="0.25">
      <c r="AC428" s="122" t="s">
        <v>333</v>
      </c>
      <c r="AD428" s="122" t="s">
        <v>833</v>
      </c>
      <c r="AE428" s="127">
        <v>4</v>
      </c>
      <c r="DA428" s="122" t="s">
        <v>289</v>
      </c>
      <c r="DB428" s="122" t="s">
        <v>1944</v>
      </c>
      <c r="DC428" s="122" t="s">
        <v>1944</v>
      </c>
      <c r="DD428" s="127">
        <v>8</v>
      </c>
      <c r="DE428" s="127">
        <v>8</v>
      </c>
      <c r="DG428" s="405" t="s">
        <v>289</v>
      </c>
      <c r="DH428" s="406" t="s">
        <v>1944</v>
      </c>
      <c r="DI428" s="406" t="str">
        <f t="shared" si="38"/>
        <v>BA, Laje</v>
      </c>
      <c r="DJ428" s="406">
        <v>-13.182</v>
      </c>
      <c r="DK428" s="80">
        <v>-39.424999999999997</v>
      </c>
      <c r="DL428" s="80">
        <v>190</v>
      </c>
      <c r="DM428" s="64">
        <v>8</v>
      </c>
      <c r="DN428" s="406" t="s">
        <v>6202</v>
      </c>
      <c r="DO428" s="406">
        <v>-13.01</v>
      </c>
      <c r="DP428" s="80">
        <v>407</v>
      </c>
    </row>
    <row r="429" spans="29:120" x14ac:dyDescent="0.25">
      <c r="AC429" s="122" t="s">
        <v>333</v>
      </c>
      <c r="AD429" s="122" t="s">
        <v>834</v>
      </c>
      <c r="AE429" s="127">
        <v>3</v>
      </c>
      <c r="DA429" s="122" t="s">
        <v>289</v>
      </c>
      <c r="DB429" s="122" t="s">
        <v>1959</v>
      </c>
      <c r="DC429" s="122" t="s">
        <v>1959</v>
      </c>
      <c r="DD429" s="127">
        <v>8</v>
      </c>
      <c r="DE429" s="127">
        <v>8</v>
      </c>
      <c r="DG429" s="405" t="s">
        <v>289</v>
      </c>
      <c r="DH429" s="406" t="s">
        <v>1959</v>
      </c>
      <c r="DI429" s="406" t="str">
        <f t="shared" si="38"/>
        <v>BA, Lajedão</v>
      </c>
      <c r="DJ429" s="406">
        <v>-17.614000000000001</v>
      </c>
      <c r="DK429" s="80">
        <v>-40.344999999999999</v>
      </c>
      <c r="DL429" s="80">
        <v>290</v>
      </c>
      <c r="DM429" s="64">
        <v>8</v>
      </c>
      <c r="DN429" s="406" t="s">
        <v>6290</v>
      </c>
      <c r="DO429" s="406">
        <v>-17.78</v>
      </c>
      <c r="DP429" s="80">
        <v>208</v>
      </c>
    </row>
    <row r="430" spans="29:120" x14ac:dyDescent="0.25">
      <c r="AC430" s="122" t="s">
        <v>333</v>
      </c>
      <c r="AD430" s="122" t="s">
        <v>835</v>
      </c>
      <c r="AE430" s="127">
        <v>6</v>
      </c>
      <c r="DA430" s="122" t="s">
        <v>289</v>
      </c>
      <c r="DB430" s="122" t="s">
        <v>2066</v>
      </c>
      <c r="DC430" s="122" t="s">
        <v>2066</v>
      </c>
      <c r="DD430" s="127">
        <v>5</v>
      </c>
      <c r="DE430" s="127">
        <v>5</v>
      </c>
      <c r="DG430" s="405" t="s">
        <v>289</v>
      </c>
      <c r="DH430" s="406" t="s">
        <v>2066</v>
      </c>
      <c r="DI430" s="406" t="str">
        <f t="shared" si="38"/>
        <v>BA, Lajedinho</v>
      </c>
      <c r="DJ430" s="406">
        <v>-12.356</v>
      </c>
      <c r="DK430" s="80">
        <v>-40.905999999999999</v>
      </c>
      <c r="DL430" s="80">
        <v>530</v>
      </c>
      <c r="DM430" s="64">
        <v>5</v>
      </c>
      <c r="DN430" s="406" t="s">
        <v>6207</v>
      </c>
      <c r="DO430" s="406">
        <v>-12.56</v>
      </c>
      <c r="DP430" s="80">
        <v>439</v>
      </c>
    </row>
    <row r="431" spans="29:120" x14ac:dyDescent="0.25">
      <c r="AC431" s="122" t="s">
        <v>311</v>
      </c>
      <c r="AD431" s="122" t="s">
        <v>836</v>
      </c>
      <c r="AE431" s="127">
        <v>2</v>
      </c>
      <c r="DA431" s="122" t="s">
        <v>289</v>
      </c>
      <c r="DB431" s="122" t="s">
        <v>6298</v>
      </c>
      <c r="DC431" s="122" t="s">
        <v>1976</v>
      </c>
      <c r="DD431" s="127">
        <v>5</v>
      </c>
      <c r="DE431" s="127">
        <v>5</v>
      </c>
      <c r="DG431" s="405" t="s">
        <v>289</v>
      </c>
      <c r="DH431" s="406" t="s">
        <v>1976</v>
      </c>
      <c r="DI431" s="406" t="str">
        <f t="shared" si="38"/>
        <v>BA, Lajedo do Tabocal</v>
      </c>
      <c r="DJ431" s="406">
        <v>-13.475</v>
      </c>
      <c r="DK431" s="80">
        <v>-40.223999999999997</v>
      </c>
      <c r="DL431" s="80">
        <v>875</v>
      </c>
      <c r="DM431" s="64">
        <v>5</v>
      </c>
      <c r="DN431" s="406" t="s">
        <v>6271</v>
      </c>
      <c r="DO431" s="406">
        <v>-13.53</v>
      </c>
      <c r="DP431" s="80">
        <v>756</v>
      </c>
    </row>
    <row r="432" spans="29:120" x14ac:dyDescent="0.25">
      <c r="AC432" s="122" t="s">
        <v>333</v>
      </c>
      <c r="AD432" s="122" t="s">
        <v>837</v>
      </c>
      <c r="AE432" s="127">
        <v>2</v>
      </c>
      <c r="DA432" s="122" t="s">
        <v>289</v>
      </c>
      <c r="DB432" s="122" t="s">
        <v>3429</v>
      </c>
      <c r="DC432" s="122" t="s">
        <v>3429</v>
      </c>
      <c r="DD432" s="127">
        <v>8</v>
      </c>
      <c r="DE432" s="127">
        <v>8</v>
      </c>
      <c r="DG432" s="405" t="s">
        <v>289</v>
      </c>
      <c r="DH432" s="406" t="s">
        <v>3429</v>
      </c>
      <c r="DI432" s="406" t="str">
        <f t="shared" si="38"/>
        <v>BA, Lamarão</v>
      </c>
      <c r="DJ432" s="406">
        <v>-11.782999999999999</v>
      </c>
      <c r="DK432" s="80">
        <v>-38.9</v>
      </c>
      <c r="DL432" s="80">
        <v>315</v>
      </c>
      <c r="DM432" s="64">
        <v>8</v>
      </c>
      <c r="DN432" s="406" t="s">
        <v>6198</v>
      </c>
      <c r="DO432" s="406">
        <v>-11.66</v>
      </c>
      <c r="DP432" s="80">
        <v>339</v>
      </c>
    </row>
    <row r="433" spans="29:120" x14ac:dyDescent="0.25">
      <c r="AC433" s="122" t="s">
        <v>333</v>
      </c>
      <c r="AD433" s="122" t="s">
        <v>838</v>
      </c>
      <c r="AE433" s="127">
        <v>3</v>
      </c>
      <c r="DA433" s="122" t="s">
        <v>289</v>
      </c>
      <c r="DB433" s="122" t="s">
        <v>2693</v>
      </c>
      <c r="DC433" s="122" t="s">
        <v>2693</v>
      </c>
      <c r="DD433" s="127">
        <v>5</v>
      </c>
      <c r="DE433" s="127">
        <v>5</v>
      </c>
      <c r="DG433" s="405" t="s">
        <v>289</v>
      </c>
      <c r="DH433" s="406" t="s">
        <v>2693</v>
      </c>
      <c r="DI433" s="406" t="str">
        <f t="shared" si="38"/>
        <v>BA, Lapão</v>
      </c>
      <c r="DJ433" s="406">
        <v>-11.382999999999999</v>
      </c>
      <c r="DK433" s="80">
        <v>-41.832000000000001</v>
      </c>
      <c r="DL433" s="80">
        <v>775</v>
      </c>
      <c r="DM433" s="64">
        <v>5</v>
      </c>
      <c r="DN433" s="406" t="s">
        <v>6205</v>
      </c>
      <c r="DO433" s="406">
        <v>-11.33</v>
      </c>
      <c r="DP433" s="80">
        <v>755</v>
      </c>
    </row>
    <row r="434" spans="29:120" x14ac:dyDescent="0.25">
      <c r="AC434" s="122" t="s">
        <v>311</v>
      </c>
      <c r="AD434" s="122" t="s">
        <v>839</v>
      </c>
      <c r="AE434" s="127">
        <v>2</v>
      </c>
      <c r="DA434" s="122" t="s">
        <v>289</v>
      </c>
      <c r="DB434" s="122" t="s">
        <v>6299</v>
      </c>
      <c r="DC434" s="122" t="s">
        <v>4107</v>
      </c>
      <c r="DD434" s="127">
        <v>8</v>
      </c>
      <c r="DE434" s="127">
        <v>8</v>
      </c>
      <c r="DG434" s="405" t="s">
        <v>289</v>
      </c>
      <c r="DH434" s="406" t="s">
        <v>4107</v>
      </c>
      <c r="DI434" s="406" t="str">
        <f t="shared" si="38"/>
        <v>BA, Lauro de Freitas</v>
      </c>
      <c r="DJ434" s="406">
        <v>-12.894</v>
      </c>
      <c r="DK434" s="80">
        <v>-38.326999999999998</v>
      </c>
      <c r="DL434" s="80">
        <v>30</v>
      </c>
      <c r="DM434" s="64">
        <v>8</v>
      </c>
      <c r="DN434" s="406" t="s">
        <v>6245</v>
      </c>
      <c r="DO434" s="406">
        <v>-12.97</v>
      </c>
      <c r="DP434" s="80">
        <v>51</v>
      </c>
    </row>
    <row r="435" spans="29:120" x14ac:dyDescent="0.25">
      <c r="AC435" s="122" t="s">
        <v>376</v>
      </c>
      <c r="AD435" s="122" t="s">
        <v>840</v>
      </c>
      <c r="AE435" s="127">
        <v>3</v>
      </c>
      <c r="DA435" s="122" t="s">
        <v>289</v>
      </c>
      <c r="DB435" s="122" t="s">
        <v>5174</v>
      </c>
      <c r="DC435" s="122" t="s">
        <v>5174</v>
      </c>
      <c r="DD435" s="127">
        <v>8</v>
      </c>
      <c r="DE435" s="127">
        <v>8</v>
      </c>
      <c r="DG435" s="405" t="s">
        <v>289</v>
      </c>
      <c r="DH435" s="406" t="s">
        <v>5174</v>
      </c>
      <c r="DI435" s="406" t="str">
        <f t="shared" si="38"/>
        <v>BA, Lençóis</v>
      </c>
      <c r="DJ435" s="406">
        <v>-12.563000000000001</v>
      </c>
      <c r="DK435" s="80">
        <v>-41.39</v>
      </c>
      <c r="DL435" s="80">
        <v>394</v>
      </c>
      <c r="DM435" s="64">
        <v>8</v>
      </c>
      <c r="DN435" s="406" t="s">
        <v>6207</v>
      </c>
      <c r="DO435" s="406">
        <v>-12.56</v>
      </c>
      <c r="DP435" s="80">
        <v>439</v>
      </c>
    </row>
    <row r="436" spans="29:120" x14ac:dyDescent="0.25">
      <c r="AC436" s="122" t="s">
        <v>333</v>
      </c>
      <c r="AD436" s="122" t="s">
        <v>765</v>
      </c>
      <c r="AE436" s="127">
        <v>3</v>
      </c>
      <c r="DA436" s="122" t="s">
        <v>289</v>
      </c>
      <c r="DB436" s="122" t="s">
        <v>6300</v>
      </c>
      <c r="DC436" s="122" t="s">
        <v>1971</v>
      </c>
      <c r="DD436" s="127">
        <v>6</v>
      </c>
      <c r="DE436" s="127">
        <v>6</v>
      </c>
      <c r="DG436" s="405" t="s">
        <v>289</v>
      </c>
      <c r="DH436" s="406" t="s">
        <v>1971</v>
      </c>
      <c r="DI436" s="406" t="str">
        <f t="shared" si="38"/>
        <v>BA, Licínio de Almeida</v>
      </c>
      <c r="DJ436" s="406">
        <v>-14.682</v>
      </c>
      <c r="DK436" s="80">
        <v>-42.508000000000003</v>
      </c>
      <c r="DL436" s="80">
        <v>852</v>
      </c>
      <c r="DM436" s="64">
        <v>6</v>
      </c>
      <c r="DN436" s="406" t="s">
        <v>6293</v>
      </c>
      <c r="DO436" s="406">
        <v>-14.92</v>
      </c>
      <c r="DP436" s="80">
        <v>570</v>
      </c>
    </row>
    <row r="437" spans="29:120" x14ac:dyDescent="0.25">
      <c r="AC437" s="122" t="s">
        <v>311</v>
      </c>
      <c r="AD437" s="122" t="s">
        <v>841</v>
      </c>
      <c r="AE437" s="127">
        <v>2</v>
      </c>
      <c r="DA437" s="122" t="s">
        <v>289</v>
      </c>
      <c r="DB437" s="122" t="s">
        <v>6301</v>
      </c>
      <c r="DC437" s="122" t="s">
        <v>2618</v>
      </c>
      <c r="DD437" s="127">
        <v>6</v>
      </c>
      <c r="DE437" s="127">
        <v>6</v>
      </c>
      <c r="DG437" s="405" t="s">
        <v>289</v>
      </c>
      <c r="DH437" s="406" t="s">
        <v>2618</v>
      </c>
      <c r="DI437" s="406" t="str">
        <f t="shared" si="38"/>
        <v>BA, Livramento de Nossa Senhora</v>
      </c>
      <c r="DJ437" s="406">
        <v>-13.643000000000001</v>
      </c>
      <c r="DK437" s="80">
        <v>-41.841000000000001</v>
      </c>
      <c r="DL437" s="80">
        <v>475</v>
      </c>
      <c r="DM437" s="64">
        <v>6</v>
      </c>
      <c r="DN437" s="406" t="s">
        <v>6193</v>
      </c>
      <c r="DO437" s="406">
        <v>-13.16</v>
      </c>
      <c r="DP437" s="80">
        <v>1290</v>
      </c>
    </row>
    <row r="438" spans="29:120" x14ac:dyDescent="0.25">
      <c r="AC438" s="122" t="s">
        <v>376</v>
      </c>
      <c r="AD438" s="122" t="s">
        <v>842</v>
      </c>
      <c r="AE438" s="127">
        <v>3</v>
      </c>
      <c r="DA438" s="122" t="s">
        <v>289</v>
      </c>
      <c r="DB438" s="122" t="s">
        <v>6302</v>
      </c>
      <c r="DC438" s="122" t="s">
        <v>3034</v>
      </c>
      <c r="DD438" s="127">
        <v>8</v>
      </c>
      <c r="DE438" s="127">
        <v>8</v>
      </c>
      <c r="DG438" s="405" t="s">
        <v>289</v>
      </c>
      <c r="DH438" s="406" t="s">
        <v>5774</v>
      </c>
      <c r="DI438" s="406" t="str">
        <f t="shared" si="38"/>
        <v>BA, Luís Eduardo Magalhães</v>
      </c>
      <c r="DJ438" s="406">
        <v>-12.092000000000001</v>
      </c>
      <c r="DK438" s="80">
        <v>-45.805</v>
      </c>
      <c r="DL438" s="80">
        <v>745</v>
      </c>
      <c r="DM438" s="64">
        <v>8</v>
      </c>
      <c r="DN438" s="406" t="s">
        <v>6209</v>
      </c>
      <c r="DO438" s="406">
        <v>-12.15</v>
      </c>
      <c r="DP438" s="80">
        <v>470</v>
      </c>
    </row>
    <row r="439" spans="29:120" x14ac:dyDescent="0.25">
      <c r="AC439" s="122" t="s">
        <v>358</v>
      </c>
      <c r="AD439" s="122" t="s">
        <v>843</v>
      </c>
      <c r="AE439" s="127">
        <v>3</v>
      </c>
      <c r="DA439" s="122" t="s">
        <v>289</v>
      </c>
      <c r="DB439" s="122" t="s">
        <v>2305</v>
      </c>
      <c r="DC439" s="122" t="s">
        <v>2305</v>
      </c>
      <c r="DD439" s="127">
        <v>8</v>
      </c>
      <c r="DE439" s="127">
        <v>8</v>
      </c>
      <c r="DG439" s="405" t="s">
        <v>289</v>
      </c>
      <c r="DH439" s="406" t="s">
        <v>2305</v>
      </c>
      <c r="DI439" s="406" t="str">
        <f t="shared" si="38"/>
        <v>BA, Macajuba</v>
      </c>
      <c r="DJ439" s="406">
        <v>-12.135999999999999</v>
      </c>
      <c r="DK439" s="80">
        <v>-40.36</v>
      </c>
      <c r="DL439" s="80">
        <v>353</v>
      </c>
      <c r="DM439" s="64">
        <v>8</v>
      </c>
      <c r="DN439" s="406" t="s">
        <v>6218</v>
      </c>
      <c r="DO439" s="406">
        <v>-12.14</v>
      </c>
      <c r="DP439" s="80">
        <v>380</v>
      </c>
    </row>
    <row r="440" spans="29:120" x14ac:dyDescent="0.25">
      <c r="AC440" s="122" t="s">
        <v>333</v>
      </c>
      <c r="AD440" s="122" t="s">
        <v>844</v>
      </c>
      <c r="AE440" s="127">
        <v>3</v>
      </c>
      <c r="DA440" s="122" t="s">
        <v>289</v>
      </c>
      <c r="DB440" s="122" t="s">
        <v>2072</v>
      </c>
      <c r="DC440" s="122" t="s">
        <v>2072</v>
      </c>
      <c r="DD440" s="127">
        <v>5</v>
      </c>
      <c r="DE440" s="127">
        <v>5</v>
      </c>
      <c r="DG440" s="405" t="s">
        <v>289</v>
      </c>
      <c r="DH440" s="406" t="s">
        <v>2072</v>
      </c>
      <c r="DI440" s="406" t="str">
        <f t="shared" si="38"/>
        <v>BA, Macarani</v>
      </c>
      <c r="DJ440" s="406">
        <v>-15.568</v>
      </c>
      <c r="DK440" s="80">
        <v>-40.423000000000002</v>
      </c>
      <c r="DL440" s="80">
        <v>324</v>
      </c>
      <c r="DM440" s="64">
        <v>5</v>
      </c>
      <c r="DN440" s="406" t="s">
        <v>6239</v>
      </c>
      <c r="DO440" s="406">
        <v>-15.24</v>
      </c>
      <c r="DP440" s="80">
        <v>279</v>
      </c>
    </row>
    <row r="441" spans="29:120" x14ac:dyDescent="0.25">
      <c r="AC441" s="122" t="s">
        <v>333</v>
      </c>
      <c r="AD441" s="122" t="s">
        <v>845</v>
      </c>
      <c r="AE441" s="127">
        <v>3</v>
      </c>
      <c r="DA441" s="122" t="s">
        <v>289</v>
      </c>
      <c r="DB441" s="122" t="s">
        <v>2715</v>
      </c>
      <c r="DC441" s="122" t="s">
        <v>2715</v>
      </c>
      <c r="DD441" s="127">
        <v>6</v>
      </c>
      <c r="DE441" s="127">
        <v>6</v>
      </c>
      <c r="DG441" s="405" t="s">
        <v>289</v>
      </c>
      <c r="DH441" s="406" t="s">
        <v>2715</v>
      </c>
      <c r="DI441" s="406" t="str">
        <f t="shared" si="38"/>
        <v>BA, Macaúbas</v>
      </c>
      <c r="DJ441" s="406">
        <v>-13.019</v>
      </c>
      <c r="DK441" s="80">
        <v>-42.698999999999998</v>
      </c>
      <c r="DL441" s="80">
        <v>697</v>
      </c>
      <c r="DM441" s="64">
        <v>6</v>
      </c>
      <c r="DN441" s="406" t="s">
        <v>6234</v>
      </c>
      <c r="DO441" s="406">
        <v>-13.26</v>
      </c>
      <c r="DP441" s="80">
        <v>440</v>
      </c>
    </row>
    <row r="442" spans="29:120" x14ac:dyDescent="0.25">
      <c r="AC442" s="122" t="s">
        <v>333</v>
      </c>
      <c r="AD442" s="122" t="s">
        <v>846</v>
      </c>
      <c r="AE442" s="127">
        <v>3</v>
      </c>
      <c r="DA442" s="122" t="s">
        <v>289</v>
      </c>
      <c r="DB442" s="122" t="s">
        <v>5326</v>
      </c>
      <c r="DC442" s="122" t="s">
        <v>5326</v>
      </c>
      <c r="DD442" s="127">
        <v>8</v>
      </c>
      <c r="DE442" s="127">
        <v>8</v>
      </c>
      <c r="DG442" s="405" t="s">
        <v>289</v>
      </c>
      <c r="DH442" s="406" t="s">
        <v>5326</v>
      </c>
      <c r="DI442" s="406" t="str">
        <f t="shared" si="38"/>
        <v>BA, Macururé</v>
      </c>
      <c r="DJ442" s="406">
        <v>-9.1679999999999993</v>
      </c>
      <c r="DK442" s="80">
        <v>-39.058</v>
      </c>
      <c r="DL442" s="80">
        <v>357</v>
      </c>
      <c r="DM442" s="64">
        <v>8</v>
      </c>
      <c r="DN442" s="406" t="s">
        <v>6194</v>
      </c>
      <c r="DO442" s="406">
        <v>-8.5</v>
      </c>
      <c r="DP442" s="80">
        <v>342</v>
      </c>
    </row>
    <row r="443" spans="29:120" x14ac:dyDescent="0.25">
      <c r="AC443" s="122" t="s">
        <v>311</v>
      </c>
      <c r="AD443" s="122" t="s">
        <v>847</v>
      </c>
      <c r="AE443" s="127">
        <v>2</v>
      </c>
      <c r="DA443" s="122" t="s">
        <v>289</v>
      </c>
      <c r="DB443" s="122" t="s">
        <v>6303</v>
      </c>
      <c r="DC443" s="122" t="s">
        <v>5078</v>
      </c>
      <c r="DD443" s="127">
        <v>8</v>
      </c>
      <c r="DE443" s="127">
        <v>8</v>
      </c>
      <c r="DG443" s="405" t="s">
        <v>289</v>
      </c>
      <c r="DH443" s="406" t="s">
        <v>5078</v>
      </c>
      <c r="DI443" s="406" t="str">
        <f t="shared" si="38"/>
        <v>BA, Madre de Deus</v>
      </c>
      <c r="DJ443" s="406">
        <v>-12.741</v>
      </c>
      <c r="DK443" s="80">
        <v>-38.621000000000002</v>
      </c>
      <c r="DL443" s="80">
        <v>5</v>
      </c>
      <c r="DM443" s="64">
        <v>8</v>
      </c>
      <c r="DN443" s="406" t="s">
        <v>6245</v>
      </c>
      <c r="DO443" s="406">
        <v>-12.97</v>
      </c>
      <c r="DP443" s="80">
        <v>51</v>
      </c>
    </row>
    <row r="444" spans="29:120" x14ac:dyDescent="0.25">
      <c r="AC444" s="122" t="s">
        <v>311</v>
      </c>
      <c r="AD444" s="122" t="s">
        <v>848</v>
      </c>
      <c r="AE444" s="127">
        <v>2</v>
      </c>
      <c r="DA444" s="122" t="s">
        <v>289</v>
      </c>
      <c r="DB444" s="122" t="s">
        <v>2446</v>
      </c>
      <c r="DC444" s="122" t="s">
        <v>2446</v>
      </c>
      <c r="DD444" s="127">
        <v>5</v>
      </c>
      <c r="DE444" s="127">
        <v>5</v>
      </c>
      <c r="DG444" s="405" t="s">
        <v>289</v>
      </c>
      <c r="DH444" s="406" t="s">
        <v>2446</v>
      </c>
      <c r="DI444" s="406" t="str">
        <f t="shared" si="38"/>
        <v>BA, Maetinga</v>
      </c>
      <c r="DJ444" s="406">
        <v>-14.663</v>
      </c>
      <c r="DK444" s="80">
        <v>-41.491999999999997</v>
      </c>
      <c r="DL444" s="80">
        <v>600</v>
      </c>
      <c r="DM444" s="64">
        <v>5</v>
      </c>
      <c r="DN444" s="406" t="s">
        <v>6213</v>
      </c>
      <c r="DO444" s="406">
        <v>-14.18</v>
      </c>
      <c r="DP444" s="80">
        <v>470</v>
      </c>
    </row>
    <row r="445" spans="29:120" x14ac:dyDescent="0.25">
      <c r="AC445" s="122" t="s">
        <v>333</v>
      </c>
      <c r="AD445" s="122" t="s">
        <v>849</v>
      </c>
      <c r="AE445" s="127">
        <v>2</v>
      </c>
      <c r="DA445" s="122" t="s">
        <v>289</v>
      </c>
      <c r="DB445" s="122" t="s">
        <v>5095</v>
      </c>
      <c r="DC445" s="122" t="s">
        <v>5095</v>
      </c>
      <c r="DD445" s="127">
        <v>5</v>
      </c>
      <c r="DE445" s="127">
        <v>5</v>
      </c>
      <c r="DG445" s="405" t="s">
        <v>289</v>
      </c>
      <c r="DH445" s="406" t="s">
        <v>5095</v>
      </c>
      <c r="DI445" s="406" t="str">
        <f t="shared" si="38"/>
        <v>BA, Maiquinique</v>
      </c>
      <c r="DJ445" s="406">
        <v>-15.621</v>
      </c>
      <c r="DK445" s="80">
        <v>-40.265999999999998</v>
      </c>
      <c r="DL445" s="80">
        <v>309</v>
      </c>
      <c r="DM445" s="64">
        <v>5</v>
      </c>
      <c r="DN445" s="406" t="s">
        <v>6239</v>
      </c>
      <c r="DO445" s="406">
        <v>-15.24</v>
      </c>
      <c r="DP445" s="80">
        <v>279</v>
      </c>
    </row>
    <row r="446" spans="29:120" x14ac:dyDescent="0.25">
      <c r="AC446" s="122" t="s">
        <v>333</v>
      </c>
      <c r="AD446" s="122" t="s">
        <v>850</v>
      </c>
      <c r="AE446" s="127">
        <v>3</v>
      </c>
      <c r="DA446" s="122" t="s">
        <v>289</v>
      </c>
      <c r="DB446" s="122" t="s">
        <v>2238</v>
      </c>
      <c r="DC446" s="122" t="s">
        <v>2238</v>
      </c>
      <c r="DD446" s="127">
        <v>8</v>
      </c>
      <c r="DE446" s="127">
        <v>8</v>
      </c>
      <c r="DG446" s="405" t="s">
        <v>289</v>
      </c>
      <c r="DH446" s="406" t="s">
        <v>2238</v>
      </c>
      <c r="DI446" s="406" t="str">
        <f t="shared" si="38"/>
        <v>BA, Mairi</v>
      </c>
      <c r="DJ446" s="406">
        <v>-11.711</v>
      </c>
      <c r="DK446" s="80">
        <v>-40.149000000000001</v>
      </c>
      <c r="DL446" s="80">
        <v>468</v>
      </c>
      <c r="DM446" s="64">
        <v>8</v>
      </c>
      <c r="DN446" s="406" t="s">
        <v>6218</v>
      </c>
      <c r="DO446" s="406">
        <v>-12.14</v>
      </c>
      <c r="DP446" s="80">
        <v>380</v>
      </c>
    </row>
    <row r="447" spans="29:120" x14ac:dyDescent="0.25">
      <c r="AC447" s="122" t="s">
        <v>333</v>
      </c>
      <c r="AD447" s="122" t="s">
        <v>851</v>
      </c>
      <c r="AE447" s="127">
        <v>4</v>
      </c>
      <c r="DA447" s="122" t="s">
        <v>289</v>
      </c>
      <c r="DB447" s="122" t="s">
        <v>5553</v>
      </c>
      <c r="DC447" s="122" t="s">
        <v>5553</v>
      </c>
      <c r="DD447" s="127">
        <v>6</v>
      </c>
      <c r="DE447" s="127">
        <v>6</v>
      </c>
      <c r="DG447" s="405" t="s">
        <v>289</v>
      </c>
      <c r="DH447" s="406" t="s">
        <v>5553</v>
      </c>
      <c r="DI447" s="406" t="str">
        <f t="shared" si="38"/>
        <v>BA, Malhada</v>
      </c>
      <c r="DJ447" s="406">
        <v>-14.336</v>
      </c>
      <c r="DK447" s="80">
        <v>-43.774000000000001</v>
      </c>
      <c r="DL447" s="80">
        <v>433</v>
      </c>
      <c r="DM447" s="64">
        <v>6</v>
      </c>
      <c r="DN447" s="406" t="s">
        <v>6258</v>
      </c>
      <c r="DO447" s="406">
        <v>-14.42</v>
      </c>
      <c r="DP447" s="80">
        <v>512</v>
      </c>
    </row>
    <row r="448" spans="29:120" x14ac:dyDescent="0.25">
      <c r="AC448" s="122" t="s">
        <v>376</v>
      </c>
      <c r="AD448" s="122" t="s">
        <v>852</v>
      </c>
      <c r="AE448" s="127">
        <v>3</v>
      </c>
      <c r="DA448" s="122" t="s">
        <v>289</v>
      </c>
      <c r="DB448" s="122" t="s">
        <v>6304</v>
      </c>
      <c r="DC448" s="122" t="s">
        <v>2211</v>
      </c>
      <c r="DD448" s="127">
        <v>5</v>
      </c>
      <c r="DE448" s="127">
        <v>5</v>
      </c>
      <c r="DG448" s="405" t="s">
        <v>289</v>
      </c>
      <c r="DH448" s="406" t="s">
        <v>2211</v>
      </c>
      <c r="DI448" s="406" t="str">
        <f t="shared" si="38"/>
        <v>BA, Malhada de Pedras</v>
      </c>
      <c r="DJ448" s="406">
        <v>-14.388</v>
      </c>
      <c r="DK448" s="80">
        <v>-41.878999999999998</v>
      </c>
      <c r="DL448" s="80">
        <v>515</v>
      </c>
      <c r="DM448" s="64">
        <v>5</v>
      </c>
      <c r="DN448" s="406" t="s">
        <v>6213</v>
      </c>
      <c r="DO448" s="406">
        <v>-14.18</v>
      </c>
      <c r="DP448" s="80">
        <v>470</v>
      </c>
    </row>
    <row r="449" spans="29:120" x14ac:dyDescent="0.25">
      <c r="AC449" s="122" t="s">
        <v>376</v>
      </c>
      <c r="AD449" s="122" t="s">
        <v>853</v>
      </c>
      <c r="AE449" s="127">
        <v>3</v>
      </c>
      <c r="DA449" s="122" t="s">
        <v>289</v>
      </c>
      <c r="DB449" s="122" t="s">
        <v>6305</v>
      </c>
      <c r="DC449" s="122" t="s">
        <v>2471</v>
      </c>
      <c r="DD449" s="127">
        <v>8</v>
      </c>
      <c r="DE449" s="127">
        <v>8</v>
      </c>
      <c r="DG449" s="405" t="s">
        <v>289</v>
      </c>
      <c r="DH449" s="406" t="s">
        <v>2471</v>
      </c>
      <c r="DI449" s="406" t="str">
        <f t="shared" si="38"/>
        <v>BA, Manoel Vitorino</v>
      </c>
      <c r="DJ449" s="406">
        <v>-14.145</v>
      </c>
      <c r="DK449" s="80">
        <v>-40.243000000000002</v>
      </c>
      <c r="DL449" s="80">
        <v>292</v>
      </c>
      <c r="DM449" s="64">
        <v>8</v>
      </c>
      <c r="DN449" s="406" t="s">
        <v>6199</v>
      </c>
      <c r="DO449" s="406">
        <v>-14.14</v>
      </c>
      <c r="DP449" s="80">
        <v>135</v>
      </c>
    </row>
    <row r="450" spans="29:120" x14ac:dyDescent="0.25">
      <c r="AC450" s="122" t="s">
        <v>311</v>
      </c>
      <c r="AD450" s="122" t="s">
        <v>854</v>
      </c>
      <c r="AE450" s="127">
        <v>2</v>
      </c>
      <c r="DA450" s="122" t="s">
        <v>289</v>
      </c>
      <c r="DB450" s="122" t="s">
        <v>5546</v>
      </c>
      <c r="DC450" s="122" t="s">
        <v>5546</v>
      </c>
      <c r="DD450" s="127">
        <v>6</v>
      </c>
      <c r="DE450" s="127">
        <v>6</v>
      </c>
      <c r="DG450" s="405" t="s">
        <v>289</v>
      </c>
      <c r="DH450" s="406" t="s">
        <v>5546</v>
      </c>
      <c r="DI450" s="406" t="str">
        <f t="shared" si="38"/>
        <v>BA, Mansidão</v>
      </c>
      <c r="DJ450" s="406">
        <v>-10.715999999999999</v>
      </c>
      <c r="DK450" s="80">
        <v>-44.033999999999999</v>
      </c>
      <c r="DL450" s="80">
        <v>519</v>
      </c>
      <c r="DM450" s="64">
        <v>6</v>
      </c>
      <c r="DN450" s="406" t="s">
        <v>6238</v>
      </c>
      <c r="DO450" s="406">
        <v>-10.72</v>
      </c>
      <c r="DP450" s="80">
        <v>502</v>
      </c>
    </row>
    <row r="451" spans="29:120" x14ac:dyDescent="0.25">
      <c r="AC451" s="122" t="s">
        <v>333</v>
      </c>
      <c r="AD451" s="122" t="s">
        <v>855</v>
      </c>
      <c r="AE451" s="127">
        <v>2</v>
      </c>
      <c r="DA451" s="122" t="s">
        <v>289</v>
      </c>
      <c r="DB451" s="122" t="s">
        <v>2434</v>
      </c>
      <c r="DC451" s="122" t="s">
        <v>2434</v>
      </c>
      <c r="DD451" s="127">
        <v>5</v>
      </c>
      <c r="DE451" s="127">
        <v>5</v>
      </c>
      <c r="DG451" s="405" t="s">
        <v>289</v>
      </c>
      <c r="DH451" s="406" t="s">
        <v>2434</v>
      </c>
      <c r="DI451" s="406" t="str">
        <f t="shared" ref="DI451:DI514" si="39">CONCATENATE(DG451,", ",DH451)</f>
        <v>BA, Maracás</v>
      </c>
      <c r="DJ451" s="406">
        <v>-13.441000000000001</v>
      </c>
      <c r="DK451" s="80">
        <v>-40.430999999999997</v>
      </c>
      <c r="DL451" s="80">
        <v>964</v>
      </c>
      <c r="DM451" s="64">
        <v>5</v>
      </c>
      <c r="DN451" s="406" t="s">
        <v>6271</v>
      </c>
      <c r="DO451" s="406">
        <v>-13.53</v>
      </c>
      <c r="DP451" s="80">
        <v>756</v>
      </c>
    </row>
    <row r="452" spans="29:120" x14ac:dyDescent="0.25">
      <c r="AC452" s="122" t="s">
        <v>311</v>
      </c>
      <c r="AD452" s="122" t="s">
        <v>856</v>
      </c>
      <c r="AE452" s="127">
        <v>3</v>
      </c>
      <c r="DA452" s="122" t="s">
        <v>289</v>
      </c>
      <c r="DB452" s="122" t="s">
        <v>5125</v>
      </c>
      <c r="DC452" s="122" t="s">
        <v>5125</v>
      </c>
      <c r="DD452" s="127">
        <v>8</v>
      </c>
      <c r="DE452" s="127">
        <v>8</v>
      </c>
      <c r="DG452" s="405" t="s">
        <v>289</v>
      </c>
      <c r="DH452" s="406" t="s">
        <v>5125</v>
      </c>
      <c r="DI452" s="406" t="str">
        <f t="shared" si="39"/>
        <v>BA, Maragogipe</v>
      </c>
      <c r="DJ452" s="406">
        <v>-12.778</v>
      </c>
      <c r="DK452" s="80">
        <v>-38.918999999999997</v>
      </c>
      <c r="DL452" s="80">
        <v>39</v>
      </c>
      <c r="DM452" s="64">
        <v>8</v>
      </c>
      <c r="DN452" s="406" t="s">
        <v>6241</v>
      </c>
      <c r="DO452" s="406">
        <v>-12.67</v>
      </c>
      <c r="DP452" s="80">
        <v>226</v>
      </c>
    </row>
    <row r="453" spans="29:120" x14ac:dyDescent="0.25">
      <c r="AC453" s="122" t="s">
        <v>311</v>
      </c>
      <c r="AD453" s="122" t="s">
        <v>857</v>
      </c>
      <c r="AE453" s="127">
        <v>2</v>
      </c>
      <c r="DA453" s="122" t="s">
        <v>289</v>
      </c>
      <c r="DB453" s="122" t="s">
        <v>5030</v>
      </c>
      <c r="DC453" s="122" t="s">
        <v>5030</v>
      </c>
      <c r="DD453" s="127">
        <v>8</v>
      </c>
      <c r="DE453" s="127">
        <v>8</v>
      </c>
      <c r="DG453" s="405" t="s">
        <v>289</v>
      </c>
      <c r="DH453" s="406" t="s">
        <v>5030</v>
      </c>
      <c r="DI453" s="406" t="str">
        <f t="shared" si="39"/>
        <v>BA, Maraú</v>
      </c>
      <c r="DJ453" s="406">
        <v>-14.103</v>
      </c>
      <c r="DK453" s="80">
        <v>-39.015000000000001</v>
      </c>
      <c r="DL453" s="80">
        <v>36</v>
      </c>
      <c r="DM453" s="64">
        <v>8</v>
      </c>
      <c r="DN453" s="406" t="s">
        <v>6246</v>
      </c>
      <c r="DO453" s="406">
        <v>-13.91</v>
      </c>
      <c r="DP453" s="80">
        <v>10</v>
      </c>
    </row>
    <row r="454" spans="29:120" x14ac:dyDescent="0.25">
      <c r="AC454" s="122" t="s">
        <v>333</v>
      </c>
      <c r="AD454" s="122" t="s">
        <v>858</v>
      </c>
      <c r="AE454" s="127">
        <v>3</v>
      </c>
      <c r="DA454" s="122" t="s">
        <v>289</v>
      </c>
      <c r="DB454" s="122" t="s">
        <v>6306</v>
      </c>
      <c r="DC454" s="122" t="s">
        <v>5349</v>
      </c>
      <c r="DD454" s="127">
        <v>5</v>
      </c>
      <c r="DE454" s="127">
        <v>5</v>
      </c>
      <c r="DG454" s="405" t="s">
        <v>289</v>
      </c>
      <c r="DH454" s="406" t="s">
        <v>5349</v>
      </c>
      <c r="DI454" s="406" t="str">
        <f t="shared" si="39"/>
        <v>BA, Marcionílio Souza</v>
      </c>
      <c r="DJ454" s="406">
        <v>-13.003</v>
      </c>
      <c r="DK454" s="80">
        <v>-40.530999999999999</v>
      </c>
      <c r="DL454" s="80">
        <v>292</v>
      </c>
      <c r="DM454" s="64">
        <v>5</v>
      </c>
      <c r="DN454" s="406" t="s">
        <v>6232</v>
      </c>
      <c r="DO454" s="406">
        <v>-12.53</v>
      </c>
      <c r="DP454" s="80">
        <v>250</v>
      </c>
    </row>
    <row r="455" spans="29:120" x14ac:dyDescent="0.25">
      <c r="AC455" s="122" t="s">
        <v>376</v>
      </c>
      <c r="AD455" s="122" t="s">
        <v>859</v>
      </c>
      <c r="AE455" s="127">
        <v>2</v>
      </c>
      <c r="DA455" s="122" t="s">
        <v>289</v>
      </c>
      <c r="DB455" s="122" t="s">
        <v>1830</v>
      </c>
      <c r="DC455" s="122" t="s">
        <v>1830</v>
      </c>
      <c r="DD455" s="127">
        <v>8</v>
      </c>
      <c r="DE455" s="127">
        <v>8</v>
      </c>
      <c r="DG455" s="405" t="s">
        <v>289</v>
      </c>
      <c r="DH455" s="406" t="s">
        <v>1830</v>
      </c>
      <c r="DI455" s="406" t="str">
        <f t="shared" si="39"/>
        <v>BA, Mascote</v>
      </c>
      <c r="DJ455" s="406">
        <v>-15.563000000000001</v>
      </c>
      <c r="DK455" s="80">
        <v>-39.302999999999997</v>
      </c>
      <c r="DL455" s="80">
        <v>43</v>
      </c>
      <c r="DM455" s="64">
        <v>8</v>
      </c>
      <c r="DN455" s="406" t="s">
        <v>6214</v>
      </c>
      <c r="DO455" s="406">
        <v>-15.28</v>
      </c>
      <c r="DP455" s="80">
        <v>82</v>
      </c>
    </row>
    <row r="456" spans="29:120" x14ac:dyDescent="0.25">
      <c r="AC456" s="122" t="s">
        <v>376</v>
      </c>
      <c r="AD456" s="122" t="s">
        <v>860</v>
      </c>
      <c r="AE456" s="127">
        <v>3</v>
      </c>
      <c r="DA456" s="122" t="s">
        <v>289</v>
      </c>
      <c r="DB456" s="122" t="s">
        <v>6307</v>
      </c>
      <c r="DC456" s="122" t="s">
        <v>5037</v>
      </c>
      <c r="DD456" s="127">
        <v>8</v>
      </c>
      <c r="DE456" s="127">
        <v>8</v>
      </c>
      <c r="DG456" s="405" t="s">
        <v>289</v>
      </c>
      <c r="DH456" s="406" t="s">
        <v>5037</v>
      </c>
      <c r="DI456" s="406" t="str">
        <f t="shared" si="39"/>
        <v>BA, Mata de São João</v>
      </c>
      <c r="DJ456" s="406">
        <v>-12.53</v>
      </c>
      <c r="DK456" s="80">
        <v>-38.298999999999999</v>
      </c>
      <c r="DL456" s="80">
        <v>32</v>
      </c>
      <c r="DM456" s="64">
        <v>8</v>
      </c>
      <c r="DN456" s="406" t="s">
        <v>6245</v>
      </c>
      <c r="DO456" s="406">
        <v>-12.97</v>
      </c>
      <c r="DP456" s="80">
        <v>51</v>
      </c>
    </row>
    <row r="457" spans="29:120" x14ac:dyDescent="0.25">
      <c r="AC457" s="122" t="s">
        <v>333</v>
      </c>
      <c r="AD457" s="122" t="s">
        <v>861</v>
      </c>
      <c r="AE457" s="127">
        <v>2</v>
      </c>
      <c r="DA457" s="122" t="s">
        <v>289</v>
      </c>
      <c r="DB457" s="122" t="s">
        <v>2652</v>
      </c>
      <c r="DC457" s="122" t="s">
        <v>2652</v>
      </c>
      <c r="DD457" s="127">
        <v>6</v>
      </c>
      <c r="DE457" s="127">
        <v>6</v>
      </c>
      <c r="DG457" s="405" t="s">
        <v>289</v>
      </c>
      <c r="DH457" s="406" t="s">
        <v>2652</v>
      </c>
      <c r="DI457" s="406" t="str">
        <f t="shared" si="39"/>
        <v>BA, Matina</v>
      </c>
      <c r="DJ457" s="406">
        <v>-13.909000000000001</v>
      </c>
      <c r="DK457" s="80">
        <v>-42.848999999999997</v>
      </c>
      <c r="DL457" s="80">
        <v>509</v>
      </c>
      <c r="DM457" s="64">
        <v>6</v>
      </c>
      <c r="DN457" s="406" t="s">
        <v>6242</v>
      </c>
      <c r="DO457" s="406">
        <v>-14.21</v>
      </c>
      <c r="DP457" s="80">
        <v>551</v>
      </c>
    </row>
    <row r="458" spans="29:120" x14ac:dyDescent="0.25">
      <c r="AC458" s="122" t="s">
        <v>311</v>
      </c>
      <c r="AD458" s="122" t="s">
        <v>862</v>
      </c>
      <c r="AE458" s="127">
        <v>2</v>
      </c>
      <c r="DA458" s="122" t="s">
        <v>289</v>
      </c>
      <c r="DB458" s="122" t="s">
        <v>6308</v>
      </c>
      <c r="DC458" s="122" t="s">
        <v>1901</v>
      </c>
      <c r="DD458" s="127">
        <v>8</v>
      </c>
      <c r="DE458" s="127">
        <v>8</v>
      </c>
      <c r="DG458" s="405" t="s">
        <v>289</v>
      </c>
      <c r="DH458" s="406" t="s">
        <v>1901</v>
      </c>
      <c r="DI458" s="406" t="str">
        <f t="shared" si="39"/>
        <v>BA, Medeiros Neto</v>
      </c>
      <c r="DJ458" s="406">
        <v>-17.373999999999999</v>
      </c>
      <c r="DK458" s="80">
        <v>-40.220999999999997</v>
      </c>
      <c r="DL458" s="80">
        <v>185</v>
      </c>
      <c r="DM458" s="64">
        <v>8</v>
      </c>
      <c r="DN458" s="406" t="s">
        <v>6290</v>
      </c>
      <c r="DO458" s="406">
        <v>-17.78</v>
      </c>
      <c r="DP458" s="80">
        <v>208</v>
      </c>
    </row>
    <row r="459" spans="29:120" x14ac:dyDescent="0.25">
      <c r="AC459" s="122" t="s">
        <v>376</v>
      </c>
      <c r="AD459" s="122" t="s">
        <v>863</v>
      </c>
      <c r="AE459" s="127">
        <v>3</v>
      </c>
      <c r="DA459" s="122" t="s">
        <v>289</v>
      </c>
      <c r="DB459" s="122" t="s">
        <v>6309</v>
      </c>
      <c r="DC459" s="122" t="s">
        <v>2311</v>
      </c>
      <c r="DD459" s="127">
        <v>8</v>
      </c>
      <c r="DE459" s="127">
        <v>8</v>
      </c>
      <c r="DG459" s="405" t="s">
        <v>289</v>
      </c>
      <c r="DH459" s="406" t="s">
        <v>2311</v>
      </c>
      <c r="DI459" s="406" t="str">
        <f t="shared" si="39"/>
        <v>BA, Miguel Calmon</v>
      </c>
      <c r="DJ459" s="406">
        <v>-11.429</v>
      </c>
      <c r="DK459" s="80">
        <v>-40.594999999999999</v>
      </c>
      <c r="DL459" s="80">
        <v>532</v>
      </c>
      <c r="DM459" s="64">
        <v>8</v>
      </c>
      <c r="DN459" s="406" t="s">
        <v>6243</v>
      </c>
      <c r="DO459" s="406">
        <v>-11.21</v>
      </c>
      <c r="DP459" s="80">
        <v>453</v>
      </c>
    </row>
    <row r="460" spans="29:120" x14ac:dyDescent="0.25">
      <c r="AC460" s="122" t="s">
        <v>376</v>
      </c>
      <c r="AD460" s="122" t="s">
        <v>864</v>
      </c>
      <c r="AE460" s="127">
        <v>3</v>
      </c>
      <c r="DA460" s="122" t="s">
        <v>289</v>
      </c>
      <c r="DB460" s="122" t="s">
        <v>2432</v>
      </c>
      <c r="DC460" s="122" t="s">
        <v>2432</v>
      </c>
      <c r="DD460" s="127">
        <v>8</v>
      </c>
      <c r="DE460" s="127">
        <v>8</v>
      </c>
      <c r="DG460" s="405" t="s">
        <v>289</v>
      </c>
      <c r="DH460" s="406" t="s">
        <v>2432</v>
      </c>
      <c r="DI460" s="406" t="str">
        <f t="shared" si="39"/>
        <v>BA, Milagres</v>
      </c>
      <c r="DJ460" s="406">
        <v>-12.87</v>
      </c>
      <c r="DK460" s="80">
        <v>-39.859000000000002</v>
      </c>
      <c r="DL460" s="80">
        <v>419</v>
      </c>
      <c r="DM460" s="64">
        <v>8</v>
      </c>
      <c r="DN460" s="406" t="s">
        <v>6202</v>
      </c>
      <c r="DO460" s="406">
        <v>-13.01</v>
      </c>
      <c r="DP460" s="80">
        <v>407</v>
      </c>
    </row>
    <row r="461" spans="29:120" x14ac:dyDescent="0.25">
      <c r="AC461" s="122" t="s">
        <v>311</v>
      </c>
      <c r="AD461" s="122" t="s">
        <v>865</v>
      </c>
      <c r="AE461" s="127">
        <v>2</v>
      </c>
      <c r="DA461" s="122" t="s">
        <v>289</v>
      </c>
      <c r="DB461" s="122" t="s">
        <v>2278</v>
      </c>
      <c r="DC461" s="122" t="s">
        <v>2278</v>
      </c>
      <c r="DD461" s="127">
        <v>5</v>
      </c>
      <c r="DE461" s="127">
        <v>5</v>
      </c>
      <c r="DG461" s="405" t="s">
        <v>289</v>
      </c>
      <c r="DH461" s="406" t="s">
        <v>2278</v>
      </c>
      <c r="DI461" s="406" t="str">
        <f t="shared" si="39"/>
        <v>BA, Mirangaba</v>
      </c>
      <c r="DJ461" s="406">
        <v>-10.954000000000001</v>
      </c>
      <c r="DK461" s="80">
        <v>-40.576000000000001</v>
      </c>
      <c r="DL461" s="80">
        <v>829</v>
      </c>
      <c r="DM461" s="64">
        <v>5</v>
      </c>
      <c r="DN461" s="406" t="s">
        <v>6243</v>
      </c>
      <c r="DO461" s="406">
        <v>-11.21</v>
      </c>
      <c r="DP461" s="80">
        <v>453</v>
      </c>
    </row>
    <row r="462" spans="29:120" x14ac:dyDescent="0.25">
      <c r="AC462" s="122" t="s">
        <v>333</v>
      </c>
      <c r="AD462" s="122" t="s">
        <v>866</v>
      </c>
      <c r="AE462" s="127">
        <v>2</v>
      </c>
      <c r="DA462" s="122" t="s">
        <v>289</v>
      </c>
      <c r="DB462" s="122" t="s">
        <v>2427</v>
      </c>
      <c r="DC462" s="122" t="s">
        <v>2427</v>
      </c>
      <c r="DD462" s="127">
        <v>5</v>
      </c>
      <c r="DE462" s="127">
        <v>5</v>
      </c>
      <c r="DG462" s="405" t="s">
        <v>289</v>
      </c>
      <c r="DH462" s="406" t="s">
        <v>2427</v>
      </c>
      <c r="DI462" s="406" t="str">
        <f t="shared" si="39"/>
        <v>BA, Mirante</v>
      </c>
      <c r="DJ462" s="406">
        <v>-14.242000000000001</v>
      </c>
      <c r="DK462" s="80">
        <v>-40.773000000000003</v>
      </c>
      <c r="DL462" s="80">
        <v>420</v>
      </c>
      <c r="DM462" s="64">
        <v>5</v>
      </c>
      <c r="DN462" s="406" t="s">
        <v>6206</v>
      </c>
      <c r="DO462" s="406">
        <v>-14.87</v>
      </c>
      <c r="DP462" s="80">
        <v>870</v>
      </c>
    </row>
    <row r="463" spans="29:120" x14ac:dyDescent="0.25">
      <c r="AC463" s="122" t="s">
        <v>376</v>
      </c>
      <c r="AD463" s="122" t="s">
        <v>867</v>
      </c>
      <c r="AE463" s="127">
        <v>3</v>
      </c>
      <c r="DA463" s="122" t="s">
        <v>289</v>
      </c>
      <c r="DB463" s="122" t="s">
        <v>6310</v>
      </c>
      <c r="DC463" s="122" t="s">
        <v>5498</v>
      </c>
      <c r="DD463" s="127">
        <v>6</v>
      </c>
      <c r="DE463" s="127">
        <v>6</v>
      </c>
      <c r="DG463" s="405" t="s">
        <v>289</v>
      </c>
      <c r="DH463" s="406" t="s">
        <v>5498</v>
      </c>
      <c r="DI463" s="406" t="str">
        <f t="shared" si="39"/>
        <v>BA, Monte Santo</v>
      </c>
      <c r="DJ463" s="406">
        <v>-10.438000000000001</v>
      </c>
      <c r="DK463" s="80">
        <v>-39.332999999999998</v>
      </c>
      <c r="DL463" s="80">
        <v>489</v>
      </c>
      <c r="DM463" s="64">
        <v>6</v>
      </c>
      <c r="DN463" s="406" t="s">
        <v>6219</v>
      </c>
      <c r="DO463" s="406">
        <v>-10.54</v>
      </c>
      <c r="DP463" s="80">
        <v>432</v>
      </c>
    </row>
    <row r="464" spans="29:120" x14ac:dyDescent="0.25">
      <c r="AC464" s="122" t="s">
        <v>376</v>
      </c>
      <c r="AD464" s="122" t="s">
        <v>868</v>
      </c>
      <c r="AE464" s="127">
        <v>3</v>
      </c>
      <c r="DA464" s="122" t="s">
        <v>289</v>
      </c>
      <c r="DB464" s="122" t="s">
        <v>5562</v>
      </c>
      <c r="DC464" s="122" t="s">
        <v>5562</v>
      </c>
      <c r="DD464" s="127">
        <v>6</v>
      </c>
      <c r="DE464" s="127">
        <v>6</v>
      </c>
      <c r="DG464" s="405" t="s">
        <v>289</v>
      </c>
      <c r="DH464" s="406" t="s">
        <v>5562</v>
      </c>
      <c r="DI464" s="406" t="str">
        <f t="shared" si="39"/>
        <v>BA, Morpará</v>
      </c>
      <c r="DJ464" s="406">
        <v>-11.558999999999999</v>
      </c>
      <c r="DK464" s="80">
        <v>-43.280999999999999</v>
      </c>
      <c r="DL464" s="80">
        <v>405</v>
      </c>
      <c r="DM464" s="64">
        <v>6</v>
      </c>
      <c r="DN464" s="406" t="s">
        <v>6220</v>
      </c>
      <c r="DO464" s="406">
        <v>-11.08</v>
      </c>
      <c r="DP464" s="80">
        <v>403</v>
      </c>
    </row>
    <row r="465" spans="29:120" x14ac:dyDescent="0.25">
      <c r="AC465" s="122" t="s">
        <v>333</v>
      </c>
      <c r="AD465" s="122" t="s">
        <v>869</v>
      </c>
      <c r="AE465" s="127">
        <v>2</v>
      </c>
      <c r="DA465" s="122" t="s">
        <v>289</v>
      </c>
      <c r="DB465" s="122" t="s">
        <v>6311</v>
      </c>
      <c r="DC465" s="122" t="s">
        <v>2065</v>
      </c>
      <c r="DD465" s="127">
        <v>5</v>
      </c>
      <c r="DE465" s="127">
        <v>5</v>
      </c>
      <c r="DG465" s="405" t="s">
        <v>289</v>
      </c>
      <c r="DH465" s="406" t="s">
        <v>2065</v>
      </c>
      <c r="DI465" s="406" t="str">
        <f t="shared" si="39"/>
        <v>BA, Morro do Chapéu</v>
      </c>
      <c r="DJ465" s="406">
        <v>-11.55</v>
      </c>
      <c r="DK465" s="80">
        <v>-41.155999999999999</v>
      </c>
      <c r="DL465" s="80">
        <v>1011</v>
      </c>
      <c r="DM465" s="64">
        <v>5</v>
      </c>
      <c r="DN465" s="406" t="s">
        <v>6243</v>
      </c>
      <c r="DO465" s="406">
        <v>-11.21</v>
      </c>
      <c r="DP465" s="80">
        <v>453</v>
      </c>
    </row>
    <row r="466" spans="29:120" x14ac:dyDescent="0.25">
      <c r="AC466" s="122" t="s">
        <v>376</v>
      </c>
      <c r="AD466" s="122" t="s">
        <v>870</v>
      </c>
      <c r="AE466" s="127">
        <v>3</v>
      </c>
      <c r="DA466" s="122" t="s">
        <v>289</v>
      </c>
      <c r="DB466" s="122" t="s">
        <v>1899</v>
      </c>
      <c r="DC466" s="122" t="s">
        <v>1899</v>
      </c>
      <c r="DD466" s="127">
        <v>6</v>
      </c>
      <c r="DE466" s="127">
        <v>6</v>
      </c>
      <c r="DG466" s="405" t="s">
        <v>289</v>
      </c>
      <c r="DH466" s="406" t="s">
        <v>1899</v>
      </c>
      <c r="DI466" s="406" t="str">
        <f t="shared" si="39"/>
        <v>BA, Mortugaba</v>
      </c>
      <c r="DJ466" s="406">
        <v>-15.023</v>
      </c>
      <c r="DK466" s="80">
        <v>-42.368000000000002</v>
      </c>
      <c r="DL466" s="80">
        <v>384</v>
      </c>
      <c r="DM466" s="64">
        <v>6</v>
      </c>
      <c r="DN466" s="406" t="s">
        <v>6293</v>
      </c>
      <c r="DO466" s="406">
        <v>-14.92</v>
      </c>
      <c r="DP466" s="80">
        <v>570</v>
      </c>
    </row>
    <row r="467" spans="29:120" x14ac:dyDescent="0.25">
      <c r="AC467" s="122" t="s">
        <v>376</v>
      </c>
      <c r="AD467" s="122" t="s">
        <v>871</v>
      </c>
      <c r="AE467" s="127">
        <v>3</v>
      </c>
      <c r="DA467" s="122" t="s">
        <v>289</v>
      </c>
      <c r="DB467" s="122" t="s">
        <v>2477</v>
      </c>
      <c r="DC467" s="122" t="s">
        <v>2477</v>
      </c>
      <c r="DD467" s="127">
        <v>8</v>
      </c>
      <c r="DE467" s="127">
        <v>8</v>
      </c>
      <c r="DG467" s="405" t="s">
        <v>289</v>
      </c>
      <c r="DH467" s="406" t="s">
        <v>2477</v>
      </c>
      <c r="DI467" s="406" t="str">
        <f t="shared" si="39"/>
        <v>BA, Mucugê</v>
      </c>
      <c r="DJ467" s="406">
        <v>-13.005000000000001</v>
      </c>
      <c r="DK467" s="80">
        <v>-41.371000000000002</v>
      </c>
      <c r="DL467" s="80">
        <v>983</v>
      </c>
      <c r="DM467" s="64">
        <v>8</v>
      </c>
      <c r="DN467" s="406" t="s">
        <v>6193</v>
      </c>
      <c r="DO467" s="406">
        <v>-13.16</v>
      </c>
      <c r="DP467" s="80">
        <v>1290</v>
      </c>
    </row>
    <row r="468" spans="29:120" x14ac:dyDescent="0.25">
      <c r="AC468" s="122" t="s">
        <v>376</v>
      </c>
      <c r="AD468" s="122" t="s">
        <v>872</v>
      </c>
      <c r="AE468" s="127">
        <v>3</v>
      </c>
      <c r="DA468" s="122" t="s">
        <v>289</v>
      </c>
      <c r="DB468" s="122" t="s">
        <v>1800</v>
      </c>
      <c r="DC468" s="122" t="s">
        <v>1800</v>
      </c>
      <c r="DD468" s="127">
        <v>8</v>
      </c>
      <c r="DE468" s="127">
        <v>8</v>
      </c>
      <c r="DG468" s="405" t="s">
        <v>289</v>
      </c>
      <c r="DH468" s="406" t="s">
        <v>1800</v>
      </c>
      <c r="DI468" s="406" t="str">
        <f t="shared" si="39"/>
        <v>BA, Mucuri</v>
      </c>
      <c r="DJ468" s="406">
        <v>-18.085999999999999</v>
      </c>
      <c r="DK468" s="80">
        <v>-39.551000000000002</v>
      </c>
      <c r="DL468" s="80">
        <v>7</v>
      </c>
      <c r="DM468" s="64">
        <v>8</v>
      </c>
      <c r="DN468" s="406" t="s">
        <v>6201</v>
      </c>
      <c r="DO468" s="406">
        <v>-17.73</v>
      </c>
      <c r="DP468" s="80">
        <v>3</v>
      </c>
    </row>
    <row r="469" spans="29:120" x14ac:dyDescent="0.25">
      <c r="AC469" s="122" t="s">
        <v>376</v>
      </c>
      <c r="AD469" s="122" t="s">
        <v>873</v>
      </c>
      <c r="AE469" s="127">
        <v>3</v>
      </c>
      <c r="DA469" s="122" t="s">
        <v>289</v>
      </c>
      <c r="DB469" s="122" t="s">
        <v>6312</v>
      </c>
      <c r="DC469" s="122" t="s">
        <v>2466</v>
      </c>
      <c r="DD469" s="127">
        <v>5</v>
      </c>
      <c r="DE469" s="127">
        <v>5</v>
      </c>
      <c r="DG469" s="405" t="s">
        <v>289</v>
      </c>
      <c r="DH469" s="406" t="s">
        <v>2466</v>
      </c>
      <c r="DI469" s="406" t="str">
        <f t="shared" si="39"/>
        <v>BA, Mulungu do Morro</v>
      </c>
      <c r="DJ469" s="406">
        <v>-11.965999999999999</v>
      </c>
      <c r="DK469" s="80">
        <v>-41.639000000000003</v>
      </c>
      <c r="DL469" s="80">
        <v>850</v>
      </c>
      <c r="DM469" s="64">
        <v>5</v>
      </c>
      <c r="DN469" s="406" t="s">
        <v>6207</v>
      </c>
      <c r="DO469" s="406">
        <v>-12.56</v>
      </c>
      <c r="DP469" s="80">
        <v>439</v>
      </c>
    </row>
    <row r="470" spans="29:120" x14ac:dyDescent="0.25">
      <c r="AC470" s="122" t="s">
        <v>333</v>
      </c>
      <c r="AD470" s="122" t="s">
        <v>874</v>
      </c>
      <c r="AE470" s="127">
        <v>2</v>
      </c>
      <c r="DA470" s="122" t="s">
        <v>289</v>
      </c>
      <c r="DB470" s="122" t="s">
        <v>6313</v>
      </c>
      <c r="DC470" s="122" t="s">
        <v>2183</v>
      </c>
      <c r="DD470" s="127">
        <v>8</v>
      </c>
      <c r="DE470" s="127">
        <v>8</v>
      </c>
      <c r="DG470" s="405" t="s">
        <v>289</v>
      </c>
      <c r="DH470" s="406" t="s">
        <v>2183</v>
      </c>
      <c r="DI470" s="406" t="str">
        <f t="shared" si="39"/>
        <v>BA, Mundo Novo</v>
      </c>
      <c r="DJ470" s="406">
        <v>-11.859</v>
      </c>
      <c r="DK470" s="80">
        <v>-40.472000000000001</v>
      </c>
      <c r="DL470" s="80">
        <v>604</v>
      </c>
      <c r="DM470" s="64">
        <v>8</v>
      </c>
      <c r="DN470" s="406" t="s">
        <v>6218</v>
      </c>
      <c r="DO470" s="406">
        <v>-12.14</v>
      </c>
      <c r="DP470" s="80">
        <v>380</v>
      </c>
    </row>
    <row r="471" spans="29:120" x14ac:dyDescent="0.25">
      <c r="AC471" s="122" t="s">
        <v>333</v>
      </c>
      <c r="AD471" s="122" t="s">
        <v>875</v>
      </c>
      <c r="AE471" s="127">
        <v>2</v>
      </c>
      <c r="DA471" s="122" t="s">
        <v>289</v>
      </c>
      <c r="DB471" s="122" t="s">
        <v>6314</v>
      </c>
      <c r="DC471" s="122" t="s">
        <v>2045</v>
      </c>
      <c r="DD471" s="127">
        <v>8</v>
      </c>
      <c r="DE471" s="127">
        <v>8</v>
      </c>
      <c r="DG471" s="405" t="s">
        <v>289</v>
      </c>
      <c r="DH471" s="406" t="s">
        <v>2045</v>
      </c>
      <c r="DI471" s="406" t="str">
        <f t="shared" si="39"/>
        <v>BA, Muniz Ferreira</v>
      </c>
      <c r="DJ471" s="406">
        <v>-13.003</v>
      </c>
      <c r="DK471" s="80">
        <v>-39.11</v>
      </c>
      <c r="DL471" s="80">
        <v>86</v>
      </c>
      <c r="DM471" s="64">
        <v>8</v>
      </c>
      <c r="DN471" s="406" t="s">
        <v>6241</v>
      </c>
      <c r="DO471" s="406">
        <v>-12.67</v>
      </c>
      <c r="DP471" s="80">
        <v>226</v>
      </c>
    </row>
    <row r="472" spans="29:120" x14ac:dyDescent="0.25">
      <c r="AC472" s="122" t="s">
        <v>376</v>
      </c>
      <c r="AD472" s="122" t="s">
        <v>876</v>
      </c>
      <c r="AE472" s="127">
        <v>3</v>
      </c>
      <c r="DA472" s="122" t="s">
        <v>289</v>
      </c>
      <c r="DB472" s="122" t="s">
        <v>6315</v>
      </c>
      <c r="DC472" s="122" t="s">
        <v>5461</v>
      </c>
      <c r="DD472" s="127">
        <v>6</v>
      </c>
      <c r="DE472" s="127">
        <v>6</v>
      </c>
      <c r="DG472" s="405" t="s">
        <v>289</v>
      </c>
      <c r="DH472" s="406" t="s">
        <v>5461</v>
      </c>
      <c r="DI472" s="406" t="str">
        <f t="shared" si="39"/>
        <v>BA, Muquém de São Francisco</v>
      </c>
      <c r="DJ472" s="406">
        <v>-12.065</v>
      </c>
      <c r="DK472" s="80">
        <v>-43.548999999999999</v>
      </c>
      <c r="DL472" s="80">
        <v>560</v>
      </c>
      <c r="DM472" s="64">
        <v>6</v>
      </c>
      <c r="DN472" s="406" t="s">
        <v>6236</v>
      </c>
      <c r="DO472" s="406">
        <v>-12.19</v>
      </c>
      <c r="DP472" s="80">
        <v>430</v>
      </c>
    </row>
    <row r="473" spans="29:120" x14ac:dyDescent="0.25">
      <c r="AC473" s="122" t="s">
        <v>333</v>
      </c>
      <c r="AD473" s="122" t="s">
        <v>877</v>
      </c>
      <c r="AE473" s="127">
        <v>3</v>
      </c>
      <c r="DA473" s="122" t="s">
        <v>289</v>
      </c>
      <c r="DB473" s="122" t="s">
        <v>5162</v>
      </c>
      <c r="DC473" s="122" t="s">
        <v>5162</v>
      </c>
      <c r="DD473" s="127">
        <v>8</v>
      </c>
      <c r="DE473" s="127">
        <v>8</v>
      </c>
      <c r="DG473" s="405" t="s">
        <v>289</v>
      </c>
      <c r="DH473" s="406" t="s">
        <v>5162</v>
      </c>
      <c r="DI473" s="406" t="str">
        <f t="shared" si="39"/>
        <v>BA, Muritiba</v>
      </c>
      <c r="DJ473" s="406">
        <v>-12.625999999999999</v>
      </c>
      <c r="DK473" s="80">
        <v>-38.99</v>
      </c>
      <c r="DL473" s="80">
        <v>213</v>
      </c>
      <c r="DM473" s="64">
        <v>8</v>
      </c>
      <c r="DN473" s="406" t="s">
        <v>6241</v>
      </c>
      <c r="DO473" s="406">
        <v>-12.67</v>
      </c>
      <c r="DP473" s="80">
        <v>226</v>
      </c>
    </row>
    <row r="474" spans="29:120" x14ac:dyDescent="0.25">
      <c r="AC474" s="122" t="s">
        <v>333</v>
      </c>
      <c r="AD474" s="122" t="s">
        <v>878</v>
      </c>
      <c r="AE474" s="127">
        <v>4</v>
      </c>
      <c r="DA474" s="122" t="s">
        <v>289</v>
      </c>
      <c r="DB474" s="122" t="s">
        <v>1932</v>
      </c>
      <c r="DC474" s="122" t="s">
        <v>1932</v>
      </c>
      <c r="DD474" s="127">
        <v>8</v>
      </c>
      <c r="DE474" s="127">
        <v>8</v>
      </c>
      <c r="DG474" s="405" t="s">
        <v>289</v>
      </c>
      <c r="DH474" s="406" t="s">
        <v>1932</v>
      </c>
      <c r="DI474" s="406" t="str">
        <f t="shared" si="39"/>
        <v>BA, Mutuípe</v>
      </c>
      <c r="DJ474" s="406">
        <v>-13.228999999999999</v>
      </c>
      <c r="DK474" s="80">
        <v>-39.505000000000003</v>
      </c>
      <c r="DL474" s="80">
        <v>271</v>
      </c>
      <c r="DM474" s="64">
        <v>8</v>
      </c>
      <c r="DN474" s="406" t="s">
        <v>6202</v>
      </c>
      <c r="DO474" s="406">
        <v>-13.01</v>
      </c>
      <c r="DP474" s="80">
        <v>407</v>
      </c>
    </row>
    <row r="475" spans="29:120" x14ac:dyDescent="0.25">
      <c r="AC475" s="122" t="s">
        <v>333</v>
      </c>
      <c r="AD475" s="122" t="s">
        <v>879</v>
      </c>
      <c r="AE475" s="127">
        <v>2</v>
      </c>
      <c r="DA475" s="122" t="s">
        <v>289</v>
      </c>
      <c r="DB475" s="122" t="s">
        <v>2050</v>
      </c>
      <c r="DC475" s="122" t="s">
        <v>2050</v>
      </c>
      <c r="DD475" s="127">
        <v>8</v>
      </c>
      <c r="DE475" s="127">
        <v>8</v>
      </c>
      <c r="DG475" s="405" t="s">
        <v>289</v>
      </c>
      <c r="DH475" s="406" t="s">
        <v>2050</v>
      </c>
      <c r="DI475" s="406" t="str">
        <f t="shared" si="39"/>
        <v>BA, Nazaré</v>
      </c>
      <c r="DJ475" s="406">
        <v>-13.035</v>
      </c>
      <c r="DK475" s="80">
        <v>-39.014000000000003</v>
      </c>
      <c r="DL475" s="80">
        <v>39</v>
      </c>
      <c r="DM475" s="64">
        <v>8</v>
      </c>
      <c r="DN475" s="406" t="s">
        <v>6215</v>
      </c>
      <c r="DO475" s="406">
        <v>-13.37</v>
      </c>
      <c r="DP475" s="80">
        <v>39</v>
      </c>
    </row>
    <row r="476" spans="29:120" x14ac:dyDescent="0.25">
      <c r="AC476" s="122" t="s">
        <v>333</v>
      </c>
      <c r="AD476" s="122" t="s">
        <v>880</v>
      </c>
      <c r="AE476" s="127">
        <v>4</v>
      </c>
      <c r="DA476" s="122" t="s">
        <v>289</v>
      </c>
      <c r="DB476" s="122" t="s">
        <v>6316</v>
      </c>
      <c r="DC476" s="122" t="s">
        <v>2017</v>
      </c>
      <c r="DD476" s="127">
        <v>8</v>
      </c>
      <c r="DE476" s="127">
        <v>8</v>
      </c>
      <c r="DG476" s="405" t="s">
        <v>289</v>
      </c>
      <c r="DH476" s="406" t="s">
        <v>2017</v>
      </c>
      <c r="DI476" s="406" t="str">
        <f t="shared" si="39"/>
        <v>BA, Nilo Peçanha</v>
      </c>
      <c r="DJ476" s="406">
        <v>-13.599</v>
      </c>
      <c r="DK476" s="80">
        <v>-39.106999999999999</v>
      </c>
      <c r="DL476" s="80">
        <v>20</v>
      </c>
      <c r="DM476" s="64">
        <v>8</v>
      </c>
      <c r="DN476" s="406" t="s">
        <v>6215</v>
      </c>
      <c r="DO476" s="406">
        <v>-13.37</v>
      </c>
      <c r="DP476" s="80">
        <v>39</v>
      </c>
    </row>
    <row r="477" spans="29:120" x14ac:dyDescent="0.25">
      <c r="AC477" s="122" t="s">
        <v>376</v>
      </c>
      <c r="AD477" s="122" t="s">
        <v>881</v>
      </c>
      <c r="AE477" s="127">
        <v>3</v>
      </c>
      <c r="DA477" s="122" t="s">
        <v>289</v>
      </c>
      <c r="DB477" s="122" t="s">
        <v>5231</v>
      </c>
      <c r="DC477" s="122" t="s">
        <v>5231</v>
      </c>
      <c r="DD477" s="127">
        <v>8</v>
      </c>
      <c r="DE477" s="127">
        <v>8</v>
      </c>
      <c r="DG477" s="405" t="s">
        <v>289</v>
      </c>
      <c r="DH477" s="406" t="s">
        <v>5231</v>
      </c>
      <c r="DI477" s="406" t="str">
        <f t="shared" si="39"/>
        <v>BA, Nordestina</v>
      </c>
      <c r="DJ477" s="406">
        <v>-10.823</v>
      </c>
      <c r="DK477" s="80">
        <v>-39.427999999999997</v>
      </c>
      <c r="DL477" s="80">
        <v>370</v>
      </c>
      <c r="DM477" s="64">
        <v>8</v>
      </c>
      <c r="DN477" s="406" t="s">
        <v>6253</v>
      </c>
      <c r="DO477" s="406">
        <v>-10.98</v>
      </c>
      <c r="DP477" s="80">
        <v>315</v>
      </c>
    </row>
    <row r="478" spans="29:120" x14ac:dyDescent="0.25">
      <c r="AC478" s="122" t="s">
        <v>333</v>
      </c>
      <c r="AD478" s="122" t="s">
        <v>882</v>
      </c>
      <c r="AE478" s="127">
        <v>1</v>
      </c>
      <c r="DA478" s="122" t="s">
        <v>289</v>
      </c>
      <c r="DB478" s="122" t="s">
        <v>6317</v>
      </c>
      <c r="DC478" s="122" t="s">
        <v>2240</v>
      </c>
      <c r="DD478" s="127">
        <v>8</v>
      </c>
      <c r="DE478" s="127">
        <v>8</v>
      </c>
      <c r="DG478" s="405" t="s">
        <v>289</v>
      </c>
      <c r="DH478" s="406" t="s">
        <v>2240</v>
      </c>
      <c r="DI478" s="406" t="str">
        <f t="shared" si="39"/>
        <v>BA, Nova Canaã</v>
      </c>
      <c r="DJ478" s="406">
        <v>-14.794</v>
      </c>
      <c r="DK478" s="80">
        <v>-40.142000000000003</v>
      </c>
      <c r="DL478" s="80">
        <v>422</v>
      </c>
      <c r="DM478" s="64">
        <v>8</v>
      </c>
      <c r="DN478" s="406" t="s">
        <v>6239</v>
      </c>
      <c r="DO478" s="406">
        <v>-15.24</v>
      </c>
      <c r="DP478" s="80">
        <v>279</v>
      </c>
    </row>
    <row r="479" spans="29:120" x14ac:dyDescent="0.25">
      <c r="AC479" s="122" t="s">
        <v>333</v>
      </c>
      <c r="AD479" s="122" t="s">
        <v>883</v>
      </c>
      <c r="AE479" s="127">
        <v>2</v>
      </c>
      <c r="DA479" s="122" t="s">
        <v>289</v>
      </c>
      <c r="DB479" s="122" t="s">
        <v>6318</v>
      </c>
      <c r="DC479" s="122" t="s">
        <v>2229</v>
      </c>
      <c r="DD479" s="127">
        <v>8</v>
      </c>
      <c r="DE479" s="127">
        <v>8</v>
      </c>
      <c r="DG479" s="405" t="s">
        <v>289</v>
      </c>
      <c r="DH479" s="406" t="s">
        <v>2229</v>
      </c>
      <c r="DI479" s="406" t="str">
        <f t="shared" si="39"/>
        <v>BA, Nova Fátima</v>
      </c>
      <c r="DJ479" s="406">
        <v>-11.606</v>
      </c>
      <c r="DK479" s="80">
        <v>-39.631</v>
      </c>
      <c r="DL479" s="80">
        <v>298</v>
      </c>
      <c r="DM479" s="64">
        <v>8</v>
      </c>
      <c r="DN479" s="406" t="s">
        <v>6198</v>
      </c>
      <c r="DO479" s="406">
        <v>-11.66</v>
      </c>
      <c r="DP479" s="80">
        <v>339</v>
      </c>
    </row>
    <row r="480" spans="29:120" x14ac:dyDescent="0.25">
      <c r="AC480" s="122" t="s">
        <v>333</v>
      </c>
      <c r="AD480" s="122" t="s">
        <v>884</v>
      </c>
      <c r="AE480" s="127">
        <v>4</v>
      </c>
      <c r="DA480" s="122" t="s">
        <v>289</v>
      </c>
      <c r="DB480" s="122" t="s">
        <v>6319</v>
      </c>
      <c r="DC480" s="122" t="s">
        <v>2241</v>
      </c>
      <c r="DD480" s="127">
        <v>8</v>
      </c>
      <c r="DE480" s="127">
        <v>8</v>
      </c>
      <c r="DG480" s="405" t="s">
        <v>289</v>
      </c>
      <c r="DH480" s="406" t="s">
        <v>2241</v>
      </c>
      <c r="DI480" s="406" t="str">
        <f t="shared" si="39"/>
        <v>BA, Nova Ibiá</v>
      </c>
      <c r="DJ480" s="406">
        <v>-13.81</v>
      </c>
      <c r="DK480" s="80">
        <v>-39.625999999999998</v>
      </c>
      <c r="DL480" s="80">
        <v>292</v>
      </c>
      <c r="DM480" s="64">
        <v>8</v>
      </c>
      <c r="DN480" s="406" t="s">
        <v>6199</v>
      </c>
      <c r="DO480" s="406">
        <v>-14.14</v>
      </c>
      <c r="DP480" s="80">
        <v>135</v>
      </c>
    </row>
    <row r="481" spans="29:120" x14ac:dyDescent="0.25">
      <c r="AC481" s="122" t="s">
        <v>333</v>
      </c>
      <c r="AD481" s="122" t="s">
        <v>885</v>
      </c>
      <c r="AE481" s="127">
        <v>2</v>
      </c>
      <c r="DA481" s="122" t="s">
        <v>289</v>
      </c>
      <c r="DB481" s="122" t="s">
        <v>6320</v>
      </c>
      <c r="DC481" s="122" t="s">
        <v>2407</v>
      </c>
      <c r="DD481" s="127">
        <v>5</v>
      </c>
      <c r="DE481" s="127">
        <v>5</v>
      </c>
      <c r="DG481" s="405" t="s">
        <v>289</v>
      </c>
      <c r="DH481" s="406" t="s">
        <v>2407</v>
      </c>
      <c r="DI481" s="406" t="str">
        <f t="shared" si="39"/>
        <v>BA, Nova Itarana</v>
      </c>
      <c r="DJ481" s="406">
        <v>-13.026999999999999</v>
      </c>
      <c r="DK481" s="80">
        <v>-40.069000000000003</v>
      </c>
      <c r="DL481" s="80">
        <v>560</v>
      </c>
      <c r="DM481" s="64">
        <v>5</v>
      </c>
      <c r="DN481" s="406" t="s">
        <v>6202</v>
      </c>
      <c r="DO481" s="406">
        <v>-13.01</v>
      </c>
      <c r="DP481" s="80">
        <v>407</v>
      </c>
    </row>
    <row r="482" spans="29:120" x14ac:dyDescent="0.25">
      <c r="AC482" s="122" t="s">
        <v>333</v>
      </c>
      <c r="AD482" s="122" t="s">
        <v>886</v>
      </c>
      <c r="AE482" s="127">
        <v>3</v>
      </c>
      <c r="DA482" s="122" t="s">
        <v>289</v>
      </c>
      <c r="DB482" s="122" t="s">
        <v>6321</v>
      </c>
      <c r="DC482" s="122" t="s">
        <v>2474</v>
      </c>
      <c r="DD482" s="127">
        <v>8</v>
      </c>
      <c r="DE482" s="127">
        <v>8</v>
      </c>
      <c r="DG482" s="405" t="s">
        <v>289</v>
      </c>
      <c r="DH482" s="406" t="s">
        <v>2474</v>
      </c>
      <c r="DI482" s="406" t="str">
        <f t="shared" si="39"/>
        <v>BA, Nova Redenção</v>
      </c>
      <c r="DJ482" s="406">
        <v>-12.819000000000001</v>
      </c>
      <c r="DK482" s="80">
        <v>-41.070999999999998</v>
      </c>
      <c r="DL482" s="80">
        <v>415</v>
      </c>
      <c r="DM482" s="64">
        <v>8</v>
      </c>
      <c r="DN482" s="406" t="s">
        <v>6207</v>
      </c>
      <c r="DO482" s="406">
        <v>-12.56</v>
      </c>
      <c r="DP482" s="80">
        <v>439</v>
      </c>
    </row>
    <row r="483" spans="29:120" x14ac:dyDescent="0.25">
      <c r="AC483" s="122" t="s">
        <v>311</v>
      </c>
      <c r="AD483" s="122" t="s">
        <v>874</v>
      </c>
      <c r="AE483" s="127">
        <v>2</v>
      </c>
      <c r="DA483" s="122" t="s">
        <v>289</v>
      </c>
      <c r="DB483" s="122" t="s">
        <v>6322</v>
      </c>
      <c r="DC483" s="122" t="s">
        <v>5459</v>
      </c>
      <c r="DD483" s="127">
        <v>8</v>
      </c>
      <c r="DE483" s="127">
        <v>8</v>
      </c>
      <c r="DG483" s="405" t="s">
        <v>289</v>
      </c>
      <c r="DH483" s="406" t="s">
        <v>5459</v>
      </c>
      <c r="DI483" s="406" t="str">
        <f t="shared" si="39"/>
        <v>BA, Nova Soure</v>
      </c>
      <c r="DJ483" s="406">
        <v>-11.233000000000001</v>
      </c>
      <c r="DK483" s="80">
        <v>-38.482999999999997</v>
      </c>
      <c r="DL483" s="80">
        <v>169</v>
      </c>
      <c r="DM483" s="64">
        <v>8</v>
      </c>
      <c r="DN483" s="406" t="s">
        <v>6196</v>
      </c>
      <c r="DO483" s="406">
        <v>-10.74</v>
      </c>
      <c r="DP483" s="80">
        <v>362</v>
      </c>
    </row>
    <row r="484" spans="29:120" x14ac:dyDescent="0.25">
      <c r="AC484" s="122" t="s">
        <v>333</v>
      </c>
      <c r="AD484" s="122" t="s">
        <v>887</v>
      </c>
      <c r="AE484" s="127">
        <v>2</v>
      </c>
      <c r="DA484" s="122" t="s">
        <v>289</v>
      </c>
      <c r="DB484" s="122" t="s">
        <v>6323</v>
      </c>
      <c r="DC484" s="122" t="s">
        <v>1801</v>
      </c>
      <c r="DD484" s="127">
        <v>8</v>
      </c>
      <c r="DE484" s="127">
        <v>8</v>
      </c>
      <c r="DG484" s="405" t="s">
        <v>289</v>
      </c>
      <c r="DH484" s="406" t="s">
        <v>1801</v>
      </c>
      <c r="DI484" s="406" t="str">
        <f t="shared" si="39"/>
        <v>BA, Nova Viçosa</v>
      </c>
      <c r="DJ484" s="406">
        <v>-17.891999999999999</v>
      </c>
      <c r="DK484" s="80">
        <v>-39.372</v>
      </c>
      <c r="DL484" s="80">
        <v>11</v>
      </c>
      <c r="DM484" s="64">
        <v>8</v>
      </c>
      <c r="DN484" s="406" t="s">
        <v>6201</v>
      </c>
      <c r="DO484" s="406">
        <v>-17.73</v>
      </c>
      <c r="DP484" s="80">
        <v>3</v>
      </c>
    </row>
    <row r="485" spans="29:120" x14ac:dyDescent="0.25">
      <c r="AC485" s="122" t="s">
        <v>311</v>
      </c>
      <c r="AD485" s="122" t="s">
        <v>888</v>
      </c>
      <c r="AE485" s="127">
        <v>3</v>
      </c>
      <c r="DA485" s="122" t="s">
        <v>289</v>
      </c>
      <c r="DB485" s="122" t="s">
        <v>6324</v>
      </c>
      <c r="DC485" s="122" t="s">
        <v>1111</v>
      </c>
      <c r="DD485" s="127">
        <v>5</v>
      </c>
      <c r="DE485" s="127">
        <v>5</v>
      </c>
      <c r="DG485" s="405" t="s">
        <v>289</v>
      </c>
      <c r="DH485" s="406" t="s">
        <v>1111</v>
      </c>
      <c r="DI485" s="406" t="str">
        <f t="shared" si="39"/>
        <v>BA, Novo Horizonte</v>
      </c>
      <c r="DJ485" s="406">
        <v>-12.808</v>
      </c>
      <c r="DK485" s="80">
        <v>-42.167999999999999</v>
      </c>
      <c r="DL485" s="80">
        <v>835</v>
      </c>
      <c r="DM485" s="64">
        <v>5</v>
      </c>
      <c r="DN485" s="406" t="s">
        <v>6193</v>
      </c>
      <c r="DO485" s="406">
        <v>-13.16</v>
      </c>
      <c r="DP485" s="80">
        <v>1290</v>
      </c>
    </row>
    <row r="486" spans="29:120" x14ac:dyDescent="0.25">
      <c r="AC486" s="122" t="s">
        <v>333</v>
      </c>
      <c r="AD486" s="122" t="s">
        <v>889</v>
      </c>
      <c r="AE486" s="127">
        <v>3</v>
      </c>
      <c r="DA486" s="122" t="s">
        <v>289</v>
      </c>
      <c r="DB486" s="122" t="s">
        <v>6325</v>
      </c>
      <c r="DC486" s="122" t="s">
        <v>3505</v>
      </c>
      <c r="DD486" s="127">
        <v>8</v>
      </c>
      <c r="DE486" s="127">
        <v>8</v>
      </c>
      <c r="DG486" s="405" t="s">
        <v>289</v>
      </c>
      <c r="DH486" s="406" t="s">
        <v>3505</v>
      </c>
      <c r="DI486" s="406" t="str">
        <f t="shared" si="39"/>
        <v>BA, Novo Triunfo</v>
      </c>
      <c r="DJ486" s="406">
        <v>-10.317</v>
      </c>
      <c r="DK486" s="80">
        <v>-38.405999999999999</v>
      </c>
      <c r="DL486" s="80">
        <v>460</v>
      </c>
      <c r="DM486" s="64">
        <v>8</v>
      </c>
      <c r="DN486" s="406" t="s">
        <v>6196</v>
      </c>
      <c r="DO486" s="406">
        <v>-10.74</v>
      </c>
      <c r="DP486" s="80">
        <v>362</v>
      </c>
    </row>
    <row r="487" spans="29:120" x14ac:dyDescent="0.25">
      <c r="AC487" s="122" t="s">
        <v>333</v>
      </c>
      <c r="AD487" s="122" t="s">
        <v>890</v>
      </c>
      <c r="AE487" s="127">
        <v>1</v>
      </c>
      <c r="DA487" s="122" t="s">
        <v>289</v>
      </c>
      <c r="DB487" s="122" t="s">
        <v>2148</v>
      </c>
      <c r="DC487" s="122" t="s">
        <v>2148</v>
      </c>
      <c r="DD487" s="127">
        <v>8</v>
      </c>
      <c r="DE487" s="127">
        <v>8</v>
      </c>
      <c r="DG487" s="405" t="s">
        <v>289</v>
      </c>
      <c r="DH487" s="406" t="s">
        <v>2148</v>
      </c>
      <c r="DI487" s="406" t="str">
        <f t="shared" si="39"/>
        <v>BA, Olindina</v>
      </c>
      <c r="DJ487" s="406">
        <v>-11.367000000000001</v>
      </c>
      <c r="DK487" s="80">
        <v>-38.332999999999998</v>
      </c>
      <c r="DL487" s="80">
        <v>139</v>
      </c>
      <c r="DM487" s="64">
        <v>8</v>
      </c>
      <c r="DN487" s="406" t="s">
        <v>6212</v>
      </c>
      <c r="DO487" s="406">
        <v>-11.27</v>
      </c>
      <c r="DP487" s="80">
        <v>208</v>
      </c>
    </row>
    <row r="488" spans="29:120" x14ac:dyDescent="0.25">
      <c r="AC488" s="122" t="s">
        <v>333</v>
      </c>
      <c r="AD488" s="122" t="s">
        <v>891</v>
      </c>
      <c r="AE488" s="127">
        <v>3</v>
      </c>
      <c r="DA488" s="122" t="s">
        <v>289</v>
      </c>
      <c r="DB488" s="122" t="s">
        <v>6326</v>
      </c>
      <c r="DC488" s="122" t="s">
        <v>2825</v>
      </c>
      <c r="DD488" s="127">
        <v>6</v>
      </c>
      <c r="DE488" s="127">
        <v>6</v>
      </c>
      <c r="DG488" s="405" t="s">
        <v>289</v>
      </c>
      <c r="DH488" s="406" t="s">
        <v>2825</v>
      </c>
      <c r="DI488" s="406" t="str">
        <f t="shared" si="39"/>
        <v>BA, Oliveira dos Brejinhos</v>
      </c>
      <c r="DJ488" s="406">
        <v>-12.317</v>
      </c>
      <c r="DK488" s="80">
        <v>-42.896000000000001</v>
      </c>
      <c r="DL488" s="80">
        <v>550</v>
      </c>
      <c r="DM488" s="64">
        <v>6</v>
      </c>
      <c r="DN488" s="406" t="s">
        <v>6236</v>
      </c>
      <c r="DO488" s="406">
        <v>-12.19</v>
      </c>
      <c r="DP488" s="80">
        <v>430</v>
      </c>
    </row>
    <row r="489" spans="29:120" x14ac:dyDescent="0.25">
      <c r="AC489" s="122" t="s">
        <v>333</v>
      </c>
      <c r="AD489" s="122" t="s">
        <v>892</v>
      </c>
      <c r="AE489" s="127">
        <v>2</v>
      </c>
      <c r="DA489" s="122" t="s">
        <v>289</v>
      </c>
      <c r="DB489" s="122" t="s">
        <v>1923</v>
      </c>
      <c r="DC489" s="122" t="s">
        <v>1923</v>
      </c>
      <c r="DD489" s="127">
        <v>8</v>
      </c>
      <c r="DE489" s="127">
        <v>8</v>
      </c>
      <c r="DG489" s="405" t="s">
        <v>289</v>
      </c>
      <c r="DH489" s="406" t="s">
        <v>1923</v>
      </c>
      <c r="DI489" s="406" t="str">
        <f t="shared" si="39"/>
        <v>BA, Ouriçangas</v>
      </c>
      <c r="DJ489" s="406">
        <v>-12.016999999999999</v>
      </c>
      <c r="DK489" s="80">
        <v>-38.616999999999997</v>
      </c>
      <c r="DL489" s="80">
        <v>327</v>
      </c>
      <c r="DM489" s="64">
        <v>8</v>
      </c>
      <c r="DN489" s="406" t="s">
        <v>6200</v>
      </c>
      <c r="DO489" s="406">
        <v>-12.27</v>
      </c>
      <c r="DP489" s="80">
        <v>231</v>
      </c>
    </row>
    <row r="490" spans="29:120" x14ac:dyDescent="0.25">
      <c r="AC490" s="122" t="s">
        <v>317</v>
      </c>
      <c r="AD490" s="122" t="s">
        <v>893</v>
      </c>
      <c r="AE490" s="127">
        <v>5</v>
      </c>
      <c r="DA490" s="122" t="s">
        <v>289</v>
      </c>
      <c r="DB490" s="122" t="s">
        <v>2160</v>
      </c>
      <c r="DC490" s="122" t="s">
        <v>2160</v>
      </c>
      <c r="DD490" s="127">
        <v>5</v>
      </c>
      <c r="DE490" s="127">
        <v>5</v>
      </c>
      <c r="DG490" s="405" t="s">
        <v>289</v>
      </c>
      <c r="DH490" s="406" t="s">
        <v>2160</v>
      </c>
      <c r="DI490" s="406" t="str">
        <f t="shared" si="39"/>
        <v>BA, Ourolândia</v>
      </c>
      <c r="DJ490" s="406">
        <v>-10.97</v>
      </c>
      <c r="DK490" s="80">
        <v>-41.082999999999998</v>
      </c>
      <c r="DL490" s="80">
        <v>560</v>
      </c>
      <c r="DM490" s="64">
        <v>5</v>
      </c>
      <c r="DN490" s="406" t="s">
        <v>6327</v>
      </c>
      <c r="DO490" s="406">
        <v>-10.46</v>
      </c>
      <c r="DP490" s="80">
        <v>637</v>
      </c>
    </row>
    <row r="491" spans="29:120" x14ac:dyDescent="0.25">
      <c r="AC491" s="122" t="s">
        <v>333</v>
      </c>
      <c r="AD491" s="122" t="s">
        <v>894</v>
      </c>
      <c r="AE491" s="127">
        <v>2</v>
      </c>
      <c r="DA491" s="122" t="s">
        <v>289</v>
      </c>
      <c r="DB491" s="122" t="s">
        <v>6328</v>
      </c>
      <c r="DC491" s="122" t="s">
        <v>5455</v>
      </c>
      <c r="DD491" s="127">
        <v>6</v>
      </c>
      <c r="DE491" s="127">
        <v>6</v>
      </c>
      <c r="DG491" s="405" t="s">
        <v>289</v>
      </c>
      <c r="DH491" s="406" t="s">
        <v>5455</v>
      </c>
      <c r="DI491" s="406" t="str">
        <f t="shared" si="39"/>
        <v>BA, Palmas de Monte Alto</v>
      </c>
      <c r="DJ491" s="406">
        <v>-14.266999999999999</v>
      </c>
      <c r="DK491" s="80">
        <v>-43.161999999999999</v>
      </c>
      <c r="DL491" s="80">
        <v>802</v>
      </c>
      <c r="DM491" s="64">
        <v>6</v>
      </c>
      <c r="DN491" s="406" t="s">
        <v>6242</v>
      </c>
      <c r="DO491" s="406">
        <v>-14.21</v>
      </c>
      <c r="DP491" s="80">
        <v>551</v>
      </c>
    </row>
    <row r="492" spans="29:120" x14ac:dyDescent="0.25">
      <c r="AC492" s="122" t="s">
        <v>376</v>
      </c>
      <c r="AD492" s="122" t="s">
        <v>895</v>
      </c>
      <c r="AE492" s="127">
        <v>3</v>
      </c>
      <c r="DA492" s="122" t="s">
        <v>289</v>
      </c>
      <c r="DB492" s="122" t="s">
        <v>2543</v>
      </c>
      <c r="DC492" s="122" t="s">
        <v>2543</v>
      </c>
      <c r="DD492" s="127">
        <v>8</v>
      </c>
      <c r="DE492" s="127">
        <v>8</v>
      </c>
      <c r="DG492" s="405" t="s">
        <v>289</v>
      </c>
      <c r="DH492" s="406" t="s">
        <v>2543</v>
      </c>
      <c r="DI492" s="406" t="str">
        <f t="shared" si="39"/>
        <v>BA, Palmeiras</v>
      </c>
      <c r="DJ492" s="406">
        <v>-12.529</v>
      </c>
      <c r="DK492" s="80">
        <v>-41.558999999999997</v>
      </c>
      <c r="DL492" s="80">
        <v>697</v>
      </c>
      <c r="DM492" s="64">
        <v>8</v>
      </c>
      <c r="DN492" s="406" t="s">
        <v>6207</v>
      </c>
      <c r="DO492" s="406">
        <v>-12.56</v>
      </c>
      <c r="DP492" s="80">
        <v>439</v>
      </c>
    </row>
    <row r="493" spans="29:120" x14ac:dyDescent="0.25">
      <c r="AC493" s="122" t="s">
        <v>376</v>
      </c>
      <c r="AD493" s="122" t="s">
        <v>896</v>
      </c>
      <c r="AE493" s="127">
        <v>3</v>
      </c>
      <c r="DA493" s="122" t="s">
        <v>289</v>
      </c>
      <c r="DB493" s="122" t="s">
        <v>2645</v>
      </c>
      <c r="DC493" s="122" t="s">
        <v>2645</v>
      </c>
      <c r="DD493" s="127">
        <v>6</v>
      </c>
      <c r="DE493" s="127">
        <v>6</v>
      </c>
      <c r="DG493" s="405" t="s">
        <v>289</v>
      </c>
      <c r="DH493" s="406" t="s">
        <v>2645</v>
      </c>
      <c r="DI493" s="406" t="str">
        <f t="shared" si="39"/>
        <v>BA, Paramirim</v>
      </c>
      <c r="DJ493" s="406">
        <v>-13.443</v>
      </c>
      <c r="DK493" s="80">
        <v>-42.238999999999997</v>
      </c>
      <c r="DL493" s="80">
        <v>654</v>
      </c>
      <c r="DM493" s="64">
        <v>6</v>
      </c>
      <c r="DN493" s="406" t="s">
        <v>6193</v>
      </c>
      <c r="DO493" s="406">
        <v>-13.16</v>
      </c>
      <c r="DP493" s="80">
        <v>1290</v>
      </c>
    </row>
    <row r="494" spans="29:120" x14ac:dyDescent="0.25">
      <c r="AC494" s="122" t="s">
        <v>376</v>
      </c>
      <c r="AD494" s="122" t="s">
        <v>897</v>
      </c>
      <c r="AE494" s="127">
        <v>3</v>
      </c>
      <c r="DA494" s="122" t="s">
        <v>289</v>
      </c>
      <c r="DB494" s="122" t="s">
        <v>4667</v>
      </c>
      <c r="DC494" s="122" t="s">
        <v>4667</v>
      </c>
      <c r="DD494" s="127">
        <v>7</v>
      </c>
      <c r="DE494" s="127">
        <v>7</v>
      </c>
      <c r="DG494" s="405" t="s">
        <v>289</v>
      </c>
      <c r="DH494" s="406" t="s">
        <v>4667</v>
      </c>
      <c r="DI494" s="406" t="str">
        <f t="shared" si="39"/>
        <v>BA, Paratinga</v>
      </c>
      <c r="DJ494" s="406">
        <v>-12.691000000000001</v>
      </c>
      <c r="DK494" s="80">
        <v>-43.183999999999997</v>
      </c>
      <c r="DL494" s="80">
        <v>425</v>
      </c>
      <c r="DM494" s="64">
        <v>7</v>
      </c>
      <c r="DN494" s="406" t="s">
        <v>6236</v>
      </c>
      <c r="DO494" s="406">
        <v>-12.19</v>
      </c>
      <c r="DP494" s="80">
        <v>430</v>
      </c>
    </row>
    <row r="495" spans="29:120" x14ac:dyDescent="0.25">
      <c r="AC495" s="122" t="s">
        <v>333</v>
      </c>
      <c r="AD495" s="122" t="s">
        <v>898</v>
      </c>
      <c r="AE495" s="127">
        <v>2</v>
      </c>
      <c r="DA495" s="122" t="s">
        <v>289</v>
      </c>
      <c r="DB495" s="122" t="s">
        <v>1827</v>
      </c>
      <c r="DC495" s="122" t="s">
        <v>1827</v>
      </c>
      <c r="DD495" s="127">
        <v>8</v>
      </c>
      <c r="DE495" s="127">
        <v>8</v>
      </c>
      <c r="DG495" s="405" t="s">
        <v>289</v>
      </c>
      <c r="DH495" s="406" t="s">
        <v>1827</v>
      </c>
      <c r="DI495" s="406" t="str">
        <f t="shared" si="39"/>
        <v>BA, Paripiranga</v>
      </c>
      <c r="DJ495" s="406">
        <v>-10.688000000000001</v>
      </c>
      <c r="DK495" s="80">
        <v>-37.862000000000002</v>
      </c>
      <c r="DL495" s="80">
        <v>434</v>
      </c>
      <c r="DM495" s="64">
        <v>8</v>
      </c>
      <c r="DN495" s="406" t="s">
        <v>6196</v>
      </c>
      <c r="DO495" s="406">
        <v>-10.74</v>
      </c>
      <c r="DP495" s="80">
        <v>362</v>
      </c>
    </row>
    <row r="496" spans="29:120" x14ac:dyDescent="0.25">
      <c r="AC496" s="122" t="s">
        <v>333</v>
      </c>
      <c r="AD496" s="122" t="s">
        <v>899</v>
      </c>
      <c r="AE496" s="127">
        <v>2</v>
      </c>
      <c r="DA496" s="122" t="s">
        <v>289</v>
      </c>
      <c r="DB496" s="122" t="s">
        <v>6329</v>
      </c>
      <c r="DC496" s="122" t="s">
        <v>1934</v>
      </c>
      <c r="DD496" s="127">
        <v>8</v>
      </c>
      <c r="DE496" s="127">
        <v>8</v>
      </c>
      <c r="DG496" s="405" t="s">
        <v>289</v>
      </c>
      <c r="DH496" s="406" t="s">
        <v>1934</v>
      </c>
      <c r="DI496" s="406" t="str">
        <f t="shared" si="39"/>
        <v>BA, Pau Brasil</v>
      </c>
      <c r="DJ496" s="406">
        <v>-15.464</v>
      </c>
      <c r="DK496" s="80">
        <v>-39.651000000000003</v>
      </c>
      <c r="DL496" s="80">
        <v>169</v>
      </c>
      <c r="DM496" s="64">
        <v>8</v>
      </c>
      <c r="DN496" s="406" t="s">
        <v>6214</v>
      </c>
      <c r="DO496" s="406">
        <v>-15.28</v>
      </c>
      <c r="DP496" s="80">
        <v>82</v>
      </c>
    </row>
    <row r="497" spans="29:120" x14ac:dyDescent="0.25">
      <c r="AC497" s="122" t="s">
        <v>376</v>
      </c>
      <c r="AD497" s="122" t="s">
        <v>900</v>
      </c>
      <c r="AE497" s="127">
        <v>3</v>
      </c>
      <c r="DA497" s="122" t="s">
        <v>289</v>
      </c>
      <c r="DB497" s="122" t="s">
        <v>6330</v>
      </c>
      <c r="DC497" s="122" t="s">
        <v>5241</v>
      </c>
      <c r="DD497" s="127">
        <v>7</v>
      </c>
      <c r="DE497" s="127">
        <v>7</v>
      </c>
      <c r="DG497" s="405" t="s">
        <v>289</v>
      </c>
      <c r="DH497" s="406" t="s">
        <v>5241</v>
      </c>
      <c r="DI497" s="406" t="str">
        <f t="shared" si="39"/>
        <v>BA, Paulo Afonso</v>
      </c>
      <c r="DJ497" s="406">
        <v>-9.4079999999999995</v>
      </c>
      <c r="DK497" s="80">
        <v>-38.222000000000001</v>
      </c>
      <c r="DL497" s="80">
        <v>243</v>
      </c>
      <c r="DM497" s="64">
        <v>7</v>
      </c>
      <c r="DN497" s="406" t="s">
        <v>6087</v>
      </c>
      <c r="DO497" s="406">
        <v>-9.41</v>
      </c>
      <c r="DP497" s="80">
        <v>253</v>
      </c>
    </row>
    <row r="498" spans="29:120" x14ac:dyDescent="0.25">
      <c r="AC498" s="122" t="s">
        <v>333</v>
      </c>
      <c r="AD498" s="122" t="s">
        <v>901</v>
      </c>
      <c r="AE498" s="127">
        <v>2</v>
      </c>
      <c r="DA498" s="122" t="s">
        <v>289</v>
      </c>
      <c r="DB498" s="122" t="s">
        <v>6331</v>
      </c>
      <c r="DC498" s="122" t="s">
        <v>2184</v>
      </c>
      <c r="DD498" s="127">
        <v>8</v>
      </c>
      <c r="DE498" s="127">
        <v>8</v>
      </c>
      <c r="DG498" s="405" t="s">
        <v>289</v>
      </c>
      <c r="DH498" s="406" t="s">
        <v>2184</v>
      </c>
      <c r="DI498" s="406" t="str">
        <f t="shared" si="39"/>
        <v>BA, Pé de Serra</v>
      </c>
      <c r="DJ498" s="406">
        <v>-11.834</v>
      </c>
      <c r="DK498" s="80">
        <v>-39.613</v>
      </c>
      <c r="DL498" s="80">
        <v>286</v>
      </c>
      <c r="DM498" s="64">
        <v>8</v>
      </c>
      <c r="DN498" s="406" t="s">
        <v>6198</v>
      </c>
      <c r="DO498" s="406">
        <v>-11.66</v>
      </c>
      <c r="DP498" s="80">
        <v>339</v>
      </c>
    </row>
    <row r="499" spans="29:120" x14ac:dyDescent="0.25">
      <c r="AC499" s="122" t="s">
        <v>333</v>
      </c>
      <c r="AD499" s="122" t="s">
        <v>902</v>
      </c>
      <c r="AE499" s="127">
        <v>2</v>
      </c>
      <c r="DA499" s="122" t="s">
        <v>289</v>
      </c>
      <c r="DB499" s="122" t="s">
        <v>5112</v>
      </c>
      <c r="DC499" s="122" t="s">
        <v>5112</v>
      </c>
      <c r="DD499" s="127">
        <v>8</v>
      </c>
      <c r="DE499" s="127">
        <v>8</v>
      </c>
      <c r="DG499" s="405" t="s">
        <v>289</v>
      </c>
      <c r="DH499" s="406" t="s">
        <v>5112</v>
      </c>
      <c r="DI499" s="406" t="str">
        <f t="shared" si="39"/>
        <v>BA, Pedrão</v>
      </c>
      <c r="DJ499" s="406">
        <v>-12.15</v>
      </c>
      <c r="DK499" s="80">
        <v>-38.65</v>
      </c>
      <c r="DL499" s="80">
        <v>230</v>
      </c>
      <c r="DM499" s="64">
        <v>8</v>
      </c>
      <c r="DN499" s="406" t="s">
        <v>6200</v>
      </c>
      <c r="DO499" s="406">
        <v>-12.27</v>
      </c>
      <c r="DP499" s="80">
        <v>231</v>
      </c>
    </row>
    <row r="500" spans="29:120" x14ac:dyDescent="0.25">
      <c r="AC500" s="122" t="s">
        <v>333</v>
      </c>
      <c r="AD500" s="122" t="s">
        <v>903</v>
      </c>
      <c r="AE500" s="127">
        <v>3</v>
      </c>
      <c r="DA500" s="122" t="s">
        <v>289</v>
      </c>
      <c r="DB500" s="122" t="s">
        <v>6332</v>
      </c>
      <c r="DC500" s="122" t="s">
        <v>1831</v>
      </c>
      <c r="DD500" s="127">
        <v>8</v>
      </c>
      <c r="DE500" s="127">
        <v>8</v>
      </c>
      <c r="DG500" s="405" t="s">
        <v>289</v>
      </c>
      <c r="DH500" s="406" t="s">
        <v>1831</v>
      </c>
      <c r="DI500" s="406" t="str">
        <f t="shared" si="39"/>
        <v>BA, Pedro Alexandre</v>
      </c>
      <c r="DJ500" s="406">
        <v>-10.013999999999999</v>
      </c>
      <c r="DK500" s="80">
        <v>-37.893999999999998</v>
      </c>
      <c r="DL500" s="80">
        <v>356</v>
      </c>
      <c r="DM500" s="64">
        <v>8</v>
      </c>
      <c r="DN500" s="406" t="s">
        <v>6270</v>
      </c>
      <c r="DO500" s="406">
        <v>-10.4</v>
      </c>
      <c r="DP500" s="80">
        <v>308</v>
      </c>
    </row>
    <row r="501" spans="29:120" x14ac:dyDescent="0.25">
      <c r="AC501" s="122" t="s">
        <v>333</v>
      </c>
      <c r="AD501" s="122" t="s">
        <v>904</v>
      </c>
      <c r="AE501" s="127">
        <v>2</v>
      </c>
      <c r="DA501" s="122" t="s">
        <v>289</v>
      </c>
      <c r="DB501" s="122" t="s">
        <v>569</v>
      </c>
      <c r="DC501" s="122" t="s">
        <v>569</v>
      </c>
      <c r="DD501" s="127">
        <v>5</v>
      </c>
      <c r="DE501" s="127">
        <v>5</v>
      </c>
      <c r="DG501" s="405" t="s">
        <v>289</v>
      </c>
      <c r="DH501" s="406" t="s">
        <v>569</v>
      </c>
      <c r="DI501" s="406" t="str">
        <f t="shared" si="39"/>
        <v>BA, Piatã</v>
      </c>
      <c r="DJ501" s="406">
        <v>-13.151999999999999</v>
      </c>
      <c r="DK501" s="80">
        <v>-41.773000000000003</v>
      </c>
      <c r="DL501" s="80">
        <v>1268</v>
      </c>
      <c r="DM501" s="64">
        <v>5</v>
      </c>
      <c r="DN501" s="406" t="s">
        <v>6193</v>
      </c>
      <c r="DO501" s="406">
        <v>-13.16</v>
      </c>
      <c r="DP501" s="80">
        <v>1290</v>
      </c>
    </row>
    <row r="502" spans="29:120" x14ac:dyDescent="0.25">
      <c r="AC502" s="122" t="s">
        <v>333</v>
      </c>
      <c r="AD502" s="122" t="s">
        <v>733</v>
      </c>
      <c r="AE502" s="127">
        <v>3</v>
      </c>
      <c r="DA502" s="122" t="s">
        <v>289</v>
      </c>
      <c r="DB502" s="122" t="s">
        <v>6333</v>
      </c>
      <c r="DC502" s="122" t="s">
        <v>4477</v>
      </c>
      <c r="DD502" s="127">
        <v>7</v>
      </c>
      <c r="DE502" s="127">
        <v>7</v>
      </c>
      <c r="DG502" s="405" t="s">
        <v>289</v>
      </c>
      <c r="DH502" s="406" t="s">
        <v>4477</v>
      </c>
      <c r="DI502" s="406" t="str">
        <f t="shared" si="39"/>
        <v>BA, Pilão Arcado</v>
      </c>
      <c r="DJ502" s="406">
        <v>-10.003</v>
      </c>
      <c r="DK502" s="80">
        <v>-42.503999999999998</v>
      </c>
      <c r="DL502" s="80">
        <v>394</v>
      </c>
      <c r="DM502" s="64">
        <v>7</v>
      </c>
      <c r="DN502" s="406" t="s">
        <v>6334</v>
      </c>
      <c r="DO502" s="406">
        <v>-9.6199999999999992</v>
      </c>
      <c r="DP502" s="80">
        <v>401</v>
      </c>
    </row>
    <row r="503" spans="29:120" x14ac:dyDescent="0.25">
      <c r="AC503" s="122" t="s">
        <v>333</v>
      </c>
      <c r="AD503" s="122" t="s">
        <v>905</v>
      </c>
      <c r="AE503" s="127">
        <v>2</v>
      </c>
      <c r="DA503" s="122" t="s">
        <v>289</v>
      </c>
      <c r="DB503" s="122" t="s">
        <v>5124</v>
      </c>
      <c r="DC503" s="122" t="s">
        <v>5124</v>
      </c>
      <c r="DD503" s="127">
        <v>6</v>
      </c>
      <c r="DE503" s="127">
        <v>6</v>
      </c>
      <c r="DG503" s="405" t="s">
        <v>289</v>
      </c>
      <c r="DH503" s="406" t="s">
        <v>5124</v>
      </c>
      <c r="DI503" s="406" t="str">
        <f t="shared" si="39"/>
        <v>BA, Pindaí</v>
      </c>
      <c r="DJ503" s="406">
        <v>-14.493</v>
      </c>
      <c r="DK503" s="80">
        <v>-42.686999999999998</v>
      </c>
      <c r="DL503" s="80">
        <v>610</v>
      </c>
      <c r="DM503" s="64">
        <v>6</v>
      </c>
      <c r="DN503" s="406" t="s">
        <v>6242</v>
      </c>
      <c r="DO503" s="406">
        <v>-14.21</v>
      </c>
      <c r="DP503" s="80">
        <v>551</v>
      </c>
    </row>
    <row r="504" spans="29:120" x14ac:dyDescent="0.25">
      <c r="AC504" s="122" t="s">
        <v>333</v>
      </c>
      <c r="AD504" s="122" t="s">
        <v>906</v>
      </c>
      <c r="AE504" s="127">
        <v>3</v>
      </c>
      <c r="DA504" s="122" t="s">
        <v>289</v>
      </c>
      <c r="DB504" s="122" t="s">
        <v>2724</v>
      </c>
      <c r="DC504" s="122" t="s">
        <v>2724</v>
      </c>
      <c r="DD504" s="127">
        <v>7</v>
      </c>
      <c r="DE504" s="127">
        <v>7</v>
      </c>
      <c r="DG504" s="405" t="s">
        <v>289</v>
      </c>
      <c r="DH504" s="406" t="s">
        <v>2724</v>
      </c>
      <c r="DI504" s="406" t="str">
        <f t="shared" si="39"/>
        <v>BA, Pindobaçu</v>
      </c>
      <c r="DJ504" s="406">
        <v>-10.743</v>
      </c>
      <c r="DK504" s="80">
        <v>-40.363</v>
      </c>
      <c r="DL504" s="80">
        <v>448</v>
      </c>
      <c r="DM504" s="64">
        <v>7</v>
      </c>
      <c r="DN504" s="406" t="s">
        <v>6208</v>
      </c>
      <c r="DO504" s="406">
        <v>-10.44</v>
      </c>
      <c r="DP504" s="80">
        <v>548</v>
      </c>
    </row>
    <row r="505" spans="29:120" x14ac:dyDescent="0.25">
      <c r="AC505" s="122" t="s">
        <v>376</v>
      </c>
      <c r="AD505" s="122" t="s">
        <v>907</v>
      </c>
      <c r="AE505" s="127">
        <v>3</v>
      </c>
      <c r="DA505" s="122" t="s">
        <v>289</v>
      </c>
      <c r="DB505" s="122" t="s">
        <v>2189</v>
      </c>
      <c r="DC505" s="122" t="s">
        <v>2189</v>
      </c>
      <c r="DD505" s="127">
        <v>8</v>
      </c>
      <c r="DE505" s="127">
        <v>8</v>
      </c>
      <c r="DG505" s="405" t="s">
        <v>289</v>
      </c>
      <c r="DH505" s="406" t="s">
        <v>2189</v>
      </c>
      <c r="DI505" s="406" t="str">
        <f t="shared" si="39"/>
        <v>BA, Pintadas</v>
      </c>
      <c r="DJ505" s="406">
        <v>-11.813000000000001</v>
      </c>
      <c r="DK505" s="80">
        <v>-39.908999999999999</v>
      </c>
      <c r="DL505" s="80">
        <v>300</v>
      </c>
      <c r="DM505" s="64">
        <v>8</v>
      </c>
      <c r="DN505" s="406" t="s">
        <v>6218</v>
      </c>
      <c r="DO505" s="406">
        <v>-12.14</v>
      </c>
      <c r="DP505" s="80">
        <v>380</v>
      </c>
    </row>
    <row r="506" spans="29:120" x14ac:dyDescent="0.25">
      <c r="AC506" s="122" t="s">
        <v>311</v>
      </c>
      <c r="AD506" s="122" t="s">
        <v>908</v>
      </c>
      <c r="AE506" s="127">
        <v>2</v>
      </c>
      <c r="DA506" s="122" t="s">
        <v>289</v>
      </c>
      <c r="DB506" s="122" t="s">
        <v>6335</v>
      </c>
      <c r="DC506" s="122" t="s">
        <v>2094</v>
      </c>
      <c r="DD506" s="127">
        <v>8</v>
      </c>
      <c r="DE506" s="127">
        <v>8</v>
      </c>
      <c r="DG506" s="405" t="s">
        <v>289</v>
      </c>
      <c r="DH506" s="406" t="s">
        <v>2094</v>
      </c>
      <c r="DI506" s="406" t="str">
        <f t="shared" si="39"/>
        <v>BA, Piraí do Norte</v>
      </c>
      <c r="DJ506" s="406">
        <v>-13.762</v>
      </c>
      <c r="DK506" s="80">
        <v>-39.378999999999998</v>
      </c>
      <c r="DL506" s="80">
        <v>148</v>
      </c>
      <c r="DM506" s="64">
        <v>8</v>
      </c>
      <c r="DN506" s="406" t="s">
        <v>6246</v>
      </c>
      <c r="DO506" s="406">
        <v>-13.91</v>
      </c>
      <c r="DP506" s="80">
        <v>10</v>
      </c>
    </row>
    <row r="507" spans="29:120" x14ac:dyDescent="0.25">
      <c r="AC507" s="122" t="s">
        <v>376</v>
      </c>
      <c r="AD507" s="122" t="s">
        <v>909</v>
      </c>
      <c r="AE507" s="127">
        <v>3</v>
      </c>
      <c r="DA507" s="122" t="s">
        <v>289</v>
      </c>
      <c r="DB507" s="122" t="s">
        <v>1860</v>
      </c>
      <c r="DC507" s="122" t="s">
        <v>1860</v>
      </c>
      <c r="DD507" s="127">
        <v>5</v>
      </c>
      <c r="DE507" s="127">
        <v>5</v>
      </c>
      <c r="DG507" s="405" t="s">
        <v>289</v>
      </c>
      <c r="DH507" s="406" t="s">
        <v>1860</v>
      </c>
      <c r="DI507" s="406" t="str">
        <f t="shared" si="39"/>
        <v>BA, Piripá</v>
      </c>
      <c r="DJ507" s="406">
        <v>-14.94</v>
      </c>
      <c r="DK507" s="80">
        <v>-41.72</v>
      </c>
      <c r="DL507" s="80">
        <v>618</v>
      </c>
      <c r="DM507" s="64">
        <v>5</v>
      </c>
      <c r="DN507" s="406" t="s">
        <v>6213</v>
      </c>
      <c r="DO507" s="406">
        <v>-14.18</v>
      </c>
      <c r="DP507" s="80">
        <v>470</v>
      </c>
    </row>
    <row r="508" spans="29:120" x14ac:dyDescent="0.25">
      <c r="AC508" s="122" t="s">
        <v>376</v>
      </c>
      <c r="AD508" s="122" t="s">
        <v>910</v>
      </c>
      <c r="AE508" s="127">
        <v>2</v>
      </c>
      <c r="DA508" s="122" t="s">
        <v>289</v>
      </c>
      <c r="DB508" s="122" t="s">
        <v>2210</v>
      </c>
      <c r="DC508" s="122" t="s">
        <v>2210</v>
      </c>
      <c r="DD508" s="127">
        <v>5</v>
      </c>
      <c r="DE508" s="127">
        <v>5</v>
      </c>
      <c r="DG508" s="405" t="s">
        <v>289</v>
      </c>
      <c r="DH508" s="406" t="s">
        <v>2210</v>
      </c>
      <c r="DI508" s="406" t="str">
        <f t="shared" si="39"/>
        <v>BA, Piritiba</v>
      </c>
      <c r="DJ508" s="406">
        <v>-11.73</v>
      </c>
      <c r="DK508" s="80">
        <v>-40.555</v>
      </c>
      <c r="DL508" s="80">
        <v>554</v>
      </c>
      <c r="DM508" s="64">
        <v>5</v>
      </c>
      <c r="DN508" s="406" t="s">
        <v>6218</v>
      </c>
      <c r="DO508" s="406">
        <v>-12.14</v>
      </c>
      <c r="DP508" s="80">
        <v>380</v>
      </c>
    </row>
    <row r="509" spans="29:120" x14ac:dyDescent="0.25">
      <c r="AC509" s="122" t="s">
        <v>333</v>
      </c>
      <c r="AD509" s="122" t="s">
        <v>911</v>
      </c>
      <c r="AE509" s="127">
        <v>4</v>
      </c>
      <c r="DA509" s="122" t="s">
        <v>289</v>
      </c>
      <c r="DB509" s="122" t="s">
        <v>2444</v>
      </c>
      <c r="DC509" s="122" t="s">
        <v>2444</v>
      </c>
      <c r="DD509" s="127">
        <v>5</v>
      </c>
      <c r="DE509" s="127">
        <v>5</v>
      </c>
      <c r="DG509" s="405" t="s">
        <v>289</v>
      </c>
      <c r="DH509" s="406" t="s">
        <v>2444</v>
      </c>
      <c r="DI509" s="406" t="str">
        <f t="shared" si="39"/>
        <v>BA, Planaltino</v>
      </c>
      <c r="DJ509" s="406">
        <v>-13.259</v>
      </c>
      <c r="DK509" s="80">
        <v>-40.369</v>
      </c>
      <c r="DL509" s="80">
        <v>691</v>
      </c>
      <c r="DM509" s="64">
        <v>5</v>
      </c>
      <c r="DN509" s="406" t="s">
        <v>6271</v>
      </c>
      <c r="DO509" s="406">
        <v>-13.53</v>
      </c>
      <c r="DP509" s="80">
        <v>756</v>
      </c>
    </row>
    <row r="510" spans="29:120" x14ac:dyDescent="0.25">
      <c r="AC510" s="122" t="s">
        <v>333</v>
      </c>
      <c r="AD510" s="122" t="s">
        <v>912</v>
      </c>
      <c r="AE510" s="127">
        <v>2</v>
      </c>
      <c r="DA510" s="122" t="s">
        <v>289</v>
      </c>
      <c r="DB510" s="122" t="s">
        <v>1620</v>
      </c>
      <c r="DC510" s="122" t="s">
        <v>1620</v>
      </c>
      <c r="DD510" s="127">
        <v>8</v>
      </c>
      <c r="DE510" s="127">
        <v>8</v>
      </c>
      <c r="DG510" s="405" t="s">
        <v>289</v>
      </c>
      <c r="DH510" s="406" t="s">
        <v>1620</v>
      </c>
      <c r="DI510" s="406" t="str">
        <f t="shared" si="39"/>
        <v>BA, Planalto</v>
      </c>
      <c r="DJ510" s="406">
        <v>-14.67</v>
      </c>
      <c r="DK510" s="80">
        <v>-40.470999999999997</v>
      </c>
      <c r="DL510" s="80">
        <v>943</v>
      </c>
      <c r="DM510" s="64">
        <v>8</v>
      </c>
      <c r="DN510" s="406" t="s">
        <v>6206</v>
      </c>
      <c r="DO510" s="406">
        <v>-14.87</v>
      </c>
      <c r="DP510" s="80">
        <v>870</v>
      </c>
    </row>
    <row r="511" spans="29:120" x14ac:dyDescent="0.25">
      <c r="AC511" s="122" t="s">
        <v>333</v>
      </c>
      <c r="AD511" s="122" t="s">
        <v>913</v>
      </c>
      <c r="AE511" s="127">
        <v>4</v>
      </c>
      <c r="DA511" s="122" t="s">
        <v>289</v>
      </c>
      <c r="DB511" s="122" t="s">
        <v>2621</v>
      </c>
      <c r="DC511" s="122" t="s">
        <v>2621</v>
      </c>
      <c r="DD511" s="127">
        <v>8</v>
      </c>
      <c r="DE511" s="127">
        <v>8</v>
      </c>
      <c r="DG511" s="405" t="s">
        <v>289</v>
      </c>
      <c r="DH511" s="406" t="s">
        <v>2621</v>
      </c>
      <c r="DI511" s="406" t="str">
        <f t="shared" si="39"/>
        <v>BA, Poções</v>
      </c>
      <c r="DJ511" s="406">
        <v>-14.53</v>
      </c>
      <c r="DK511" s="80">
        <v>-40.365000000000002</v>
      </c>
      <c r="DL511" s="80">
        <v>760</v>
      </c>
      <c r="DM511" s="64">
        <v>8</v>
      </c>
      <c r="DN511" s="406" t="s">
        <v>6206</v>
      </c>
      <c r="DO511" s="406">
        <v>-14.87</v>
      </c>
      <c r="DP511" s="80">
        <v>870</v>
      </c>
    </row>
    <row r="512" spans="29:120" x14ac:dyDescent="0.25">
      <c r="AC512" s="122" t="s">
        <v>376</v>
      </c>
      <c r="AD512" s="122" t="s">
        <v>914</v>
      </c>
      <c r="AE512" s="127">
        <v>3</v>
      </c>
      <c r="DA512" s="122" t="s">
        <v>289</v>
      </c>
      <c r="DB512" s="122" t="s">
        <v>1822</v>
      </c>
      <c r="DC512" s="122" t="s">
        <v>1822</v>
      </c>
      <c r="DD512" s="127">
        <v>8</v>
      </c>
      <c r="DE512" s="127">
        <v>8</v>
      </c>
      <c r="DG512" s="405" t="s">
        <v>289</v>
      </c>
      <c r="DH512" s="406" t="s">
        <v>1822</v>
      </c>
      <c r="DI512" s="406" t="str">
        <f t="shared" si="39"/>
        <v>BA, Pojuca</v>
      </c>
      <c r="DJ512" s="406">
        <v>-12.430999999999999</v>
      </c>
      <c r="DK512" s="80">
        <v>-38.328000000000003</v>
      </c>
      <c r="DL512" s="80">
        <v>60</v>
      </c>
      <c r="DM512" s="64">
        <v>8</v>
      </c>
      <c r="DN512" s="406" t="s">
        <v>6245</v>
      </c>
      <c r="DO512" s="406">
        <v>-12.97</v>
      </c>
      <c r="DP512" s="80">
        <v>51</v>
      </c>
    </row>
    <row r="513" spans="29:120" x14ac:dyDescent="0.25">
      <c r="AC513" s="122" t="s">
        <v>333</v>
      </c>
      <c r="AD513" s="122" t="s">
        <v>915</v>
      </c>
      <c r="AE513" s="127">
        <v>2</v>
      </c>
      <c r="DA513" s="122" t="s">
        <v>289</v>
      </c>
      <c r="DB513" s="122" t="s">
        <v>6336</v>
      </c>
      <c r="DC513" s="122" t="s">
        <v>2326</v>
      </c>
      <c r="DD513" s="127">
        <v>8</v>
      </c>
      <c r="DE513" s="127">
        <v>8</v>
      </c>
      <c r="DG513" s="405" t="s">
        <v>289</v>
      </c>
      <c r="DH513" s="406" t="s">
        <v>2326</v>
      </c>
      <c r="DI513" s="406" t="str">
        <f t="shared" si="39"/>
        <v>BA, Ponto Novo</v>
      </c>
      <c r="DJ513" s="406">
        <v>-10.862</v>
      </c>
      <c r="DK513" s="80">
        <v>-40.134</v>
      </c>
      <c r="DL513" s="80">
        <v>362</v>
      </c>
      <c r="DM513" s="64">
        <v>8</v>
      </c>
      <c r="DN513" s="406" t="s">
        <v>6208</v>
      </c>
      <c r="DO513" s="406">
        <v>-10.44</v>
      </c>
      <c r="DP513" s="80">
        <v>548</v>
      </c>
    </row>
    <row r="514" spans="29:120" x14ac:dyDescent="0.25">
      <c r="AC514" s="122" t="s">
        <v>376</v>
      </c>
      <c r="AD514" s="122" t="s">
        <v>916</v>
      </c>
      <c r="AE514" s="127">
        <v>3</v>
      </c>
      <c r="DA514" s="122" t="s">
        <v>289</v>
      </c>
      <c r="DB514" s="122" t="s">
        <v>6337</v>
      </c>
      <c r="DC514" s="122" t="s">
        <v>2046</v>
      </c>
      <c r="DD514" s="127">
        <v>8</v>
      </c>
      <c r="DE514" s="127">
        <v>8</v>
      </c>
      <c r="DG514" s="405" t="s">
        <v>289</v>
      </c>
      <c r="DH514" s="406" t="s">
        <v>2046</v>
      </c>
      <c r="DI514" s="406" t="str">
        <f t="shared" si="39"/>
        <v>BA, Porto Seguro</v>
      </c>
      <c r="DJ514" s="406">
        <v>-16.45</v>
      </c>
      <c r="DK514" s="80">
        <v>-39.064999999999998</v>
      </c>
      <c r="DL514" s="80">
        <v>49</v>
      </c>
      <c r="DM514" s="64">
        <v>8</v>
      </c>
      <c r="DN514" s="406" t="s">
        <v>6281</v>
      </c>
      <c r="DO514" s="406">
        <v>-16.39</v>
      </c>
      <c r="DP514" s="80">
        <v>85</v>
      </c>
    </row>
    <row r="515" spans="29:120" x14ac:dyDescent="0.25">
      <c r="AC515" s="122" t="s">
        <v>333</v>
      </c>
      <c r="AD515" s="122" t="s">
        <v>917</v>
      </c>
      <c r="AE515" s="127">
        <v>2</v>
      </c>
      <c r="DA515" s="122" t="s">
        <v>289</v>
      </c>
      <c r="DB515" s="122" t="s">
        <v>5063</v>
      </c>
      <c r="DC515" s="122" t="s">
        <v>5063</v>
      </c>
      <c r="DD515" s="127">
        <v>8</v>
      </c>
      <c r="DE515" s="127">
        <v>8</v>
      </c>
      <c r="DG515" s="405" t="s">
        <v>289</v>
      </c>
      <c r="DH515" s="406" t="s">
        <v>5063</v>
      </c>
      <c r="DI515" s="406" t="str">
        <f t="shared" ref="DI515:DI578" si="40">CONCATENATE(DG515,", ",DH515)</f>
        <v>BA, Potiraguá</v>
      </c>
      <c r="DJ515" s="406">
        <v>-15.595000000000001</v>
      </c>
      <c r="DK515" s="80">
        <v>-39.877000000000002</v>
      </c>
      <c r="DL515" s="80">
        <v>181</v>
      </c>
      <c r="DM515" s="64">
        <v>8</v>
      </c>
      <c r="DN515" s="406" t="s">
        <v>6239</v>
      </c>
      <c r="DO515" s="406">
        <v>-15.24</v>
      </c>
      <c r="DP515" s="80">
        <v>279</v>
      </c>
    </row>
    <row r="516" spans="29:120" x14ac:dyDescent="0.25">
      <c r="AC516" s="122" t="s">
        <v>376</v>
      </c>
      <c r="AD516" s="122" t="s">
        <v>918</v>
      </c>
      <c r="AE516" s="127">
        <v>3</v>
      </c>
      <c r="DA516" s="122" t="s">
        <v>289</v>
      </c>
      <c r="DB516" s="122" t="s">
        <v>1810</v>
      </c>
      <c r="DC516" s="122" t="s">
        <v>1810</v>
      </c>
      <c r="DD516" s="127">
        <v>8</v>
      </c>
      <c r="DE516" s="127">
        <v>8</v>
      </c>
      <c r="DG516" s="405" t="s">
        <v>289</v>
      </c>
      <c r="DH516" s="406" t="s">
        <v>1810</v>
      </c>
      <c r="DI516" s="406" t="str">
        <f t="shared" si="40"/>
        <v>BA, Prado</v>
      </c>
      <c r="DJ516" s="406">
        <v>-17.341000000000001</v>
      </c>
      <c r="DK516" s="80">
        <v>-39.220999999999997</v>
      </c>
      <c r="DL516" s="80">
        <v>4</v>
      </c>
      <c r="DM516" s="64">
        <v>8</v>
      </c>
      <c r="DN516" s="406" t="s">
        <v>6201</v>
      </c>
      <c r="DO516" s="406">
        <v>-17.73</v>
      </c>
      <c r="DP516" s="80">
        <v>3</v>
      </c>
    </row>
    <row r="517" spans="29:120" x14ac:dyDescent="0.25">
      <c r="AC517" s="122" t="s">
        <v>376</v>
      </c>
      <c r="AD517" s="122" t="s">
        <v>919</v>
      </c>
      <c r="AE517" s="127">
        <v>3</v>
      </c>
      <c r="DA517" s="122" t="s">
        <v>289</v>
      </c>
      <c r="DB517" s="122" t="s">
        <v>6338</v>
      </c>
      <c r="DC517" s="122" t="s">
        <v>2595</v>
      </c>
      <c r="DD517" s="127">
        <v>6</v>
      </c>
      <c r="DE517" s="127">
        <v>6</v>
      </c>
      <c r="DG517" s="405" t="s">
        <v>289</v>
      </c>
      <c r="DH517" s="406" t="s">
        <v>2595</v>
      </c>
      <c r="DI517" s="406" t="str">
        <f t="shared" si="40"/>
        <v>BA, Presidente Dutra</v>
      </c>
      <c r="DJ517" s="406">
        <v>-11.295999999999999</v>
      </c>
      <c r="DK517" s="80">
        <v>-41.987000000000002</v>
      </c>
      <c r="DL517" s="80">
        <v>672</v>
      </c>
      <c r="DM517" s="64">
        <v>6</v>
      </c>
      <c r="DN517" s="406" t="s">
        <v>6205</v>
      </c>
      <c r="DO517" s="406">
        <v>-11.33</v>
      </c>
      <c r="DP517" s="80">
        <v>755</v>
      </c>
    </row>
    <row r="518" spans="29:120" x14ac:dyDescent="0.25">
      <c r="AC518" s="122" t="s">
        <v>333</v>
      </c>
      <c r="AD518" s="122" t="s">
        <v>920</v>
      </c>
      <c r="AE518" s="127">
        <v>3</v>
      </c>
      <c r="DA518" s="122" t="s">
        <v>289</v>
      </c>
      <c r="DB518" s="122" t="s">
        <v>6339</v>
      </c>
      <c r="DC518" s="122" t="s">
        <v>1912</v>
      </c>
      <c r="DD518" s="127">
        <v>5</v>
      </c>
      <c r="DE518" s="127">
        <v>5</v>
      </c>
      <c r="DG518" s="405" t="s">
        <v>289</v>
      </c>
      <c r="DH518" s="406" t="s">
        <v>1912</v>
      </c>
      <c r="DI518" s="406" t="str">
        <f t="shared" si="40"/>
        <v>BA, Presidente Jânio Quadros</v>
      </c>
      <c r="DJ518" s="406">
        <v>-14.689</v>
      </c>
      <c r="DK518" s="80">
        <v>-41.677999999999997</v>
      </c>
      <c r="DL518" s="80">
        <v>682</v>
      </c>
      <c r="DM518" s="64">
        <v>5</v>
      </c>
      <c r="DN518" s="406" t="s">
        <v>6213</v>
      </c>
      <c r="DO518" s="406">
        <v>-14.18</v>
      </c>
      <c r="DP518" s="80">
        <v>470</v>
      </c>
    </row>
    <row r="519" spans="29:120" x14ac:dyDescent="0.25">
      <c r="AC519" s="122" t="s">
        <v>333</v>
      </c>
      <c r="AD519" s="122" t="s">
        <v>921</v>
      </c>
      <c r="AE519" s="127">
        <v>2</v>
      </c>
      <c r="DA519" s="122" t="s">
        <v>289</v>
      </c>
      <c r="DB519" s="122" t="s">
        <v>6340</v>
      </c>
      <c r="DC519" s="122" t="s">
        <v>2011</v>
      </c>
      <c r="DD519" s="127">
        <v>8</v>
      </c>
      <c r="DE519" s="127">
        <v>8</v>
      </c>
      <c r="DG519" s="405" t="s">
        <v>289</v>
      </c>
      <c r="DH519" s="406" t="s">
        <v>2011</v>
      </c>
      <c r="DI519" s="406" t="str">
        <f t="shared" si="40"/>
        <v>BA, Presidente Tancredo Neves</v>
      </c>
      <c r="DJ519" s="406">
        <v>-13.449</v>
      </c>
      <c r="DK519" s="80">
        <v>-39.42</v>
      </c>
      <c r="DL519" s="80">
        <v>150</v>
      </c>
      <c r="DM519" s="64">
        <v>8</v>
      </c>
      <c r="DN519" s="406" t="s">
        <v>6215</v>
      </c>
      <c r="DO519" s="406">
        <v>-13.37</v>
      </c>
      <c r="DP519" s="80">
        <v>39</v>
      </c>
    </row>
    <row r="520" spans="29:120" x14ac:dyDescent="0.25">
      <c r="AC520" s="122" t="s">
        <v>376</v>
      </c>
      <c r="AD520" s="122" t="s">
        <v>922</v>
      </c>
      <c r="AE520" s="127">
        <v>3</v>
      </c>
      <c r="DA520" s="122" t="s">
        <v>289</v>
      </c>
      <c r="DB520" s="122" t="s">
        <v>2123</v>
      </c>
      <c r="DC520" s="122" t="s">
        <v>2123</v>
      </c>
      <c r="DD520" s="127">
        <v>8</v>
      </c>
      <c r="DE520" s="127">
        <v>8</v>
      </c>
      <c r="DG520" s="405" t="s">
        <v>289</v>
      </c>
      <c r="DH520" s="406" t="s">
        <v>2123</v>
      </c>
      <c r="DI520" s="406" t="str">
        <f t="shared" si="40"/>
        <v>BA, Queimadas</v>
      </c>
      <c r="DJ520" s="406">
        <v>-10.978</v>
      </c>
      <c r="DK520" s="80">
        <v>-39.624000000000002</v>
      </c>
      <c r="DL520" s="80">
        <v>295</v>
      </c>
      <c r="DM520" s="64">
        <v>8</v>
      </c>
      <c r="DN520" s="406" t="s">
        <v>6253</v>
      </c>
      <c r="DO520" s="406">
        <v>-10.98</v>
      </c>
      <c r="DP520" s="80">
        <v>315</v>
      </c>
    </row>
    <row r="521" spans="29:120" x14ac:dyDescent="0.25">
      <c r="AC521" s="122" t="s">
        <v>376</v>
      </c>
      <c r="AD521" s="122" t="s">
        <v>923</v>
      </c>
      <c r="AE521" s="127">
        <v>3</v>
      </c>
      <c r="DA521" s="122" t="s">
        <v>289</v>
      </c>
      <c r="DB521" s="122" t="s">
        <v>5247</v>
      </c>
      <c r="DC521" s="122" t="s">
        <v>5247</v>
      </c>
      <c r="DD521" s="127">
        <v>6</v>
      </c>
      <c r="DE521" s="127">
        <v>6</v>
      </c>
      <c r="DG521" s="405" t="s">
        <v>289</v>
      </c>
      <c r="DH521" s="406" t="s">
        <v>5247</v>
      </c>
      <c r="DI521" s="406" t="str">
        <f t="shared" si="40"/>
        <v>BA, Quijingue</v>
      </c>
      <c r="DJ521" s="406">
        <v>-10.753</v>
      </c>
      <c r="DK521" s="80">
        <v>-39.21</v>
      </c>
      <c r="DL521" s="80">
        <v>352</v>
      </c>
      <c r="DM521" s="64">
        <v>6</v>
      </c>
      <c r="DN521" s="406" t="s">
        <v>6219</v>
      </c>
      <c r="DO521" s="406">
        <v>-10.54</v>
      </c>
      <c r="DP521" s="80">
        <v>432</v>
      </c>
    </row>
    <row r="522" spans="29:120" x14ac:dyDescent="0.25">
      <c r="AC522" s="122" t="s">
        <v>376</v>
      </c>
      <c r="AD522" s="122" t="s">
        <v>924</v>
      </c>
      <c r="AE522" s="127">
        <v>3</v>
      </c>
      <c r="DA522" s="122" t="s">
        <v>289</v>
      </c>
      <c r="DB522" s="122" t="s">
        <v>5198</v>
      </c>
      <c r="DC522" s="122" t="s">
        <v>5198</v>
      </c>
      <c r="DD522" s="127">
        <v>8</v>
      </c>
      <c r="DE522" s="127">
        <v>8</v>
      </c>
      <c r="DG522" s="405" t="s">
        <v>289</v>
      </c>
      <c r="DH522" s="406" t="s">
        <v>5198</v>
      </c>
      <c r="DI522" s="406" t="str">
        <f t="shared" si="40"/>
        <v>BA, Quixabeira</v>
      </c>
      <c r="DJ522" s="406">
        <v>-11.412000000000001</v>
      </c>
      <c r="DK522" s="80">
        <v>-40.128</v>
      </c>
      <c r="DL522" s="80">
        <v>420</v>
      </c>
      <c r="DM522" s="64">
        <v>8</v>
      </c>
      <c r="DN522" s="406" t="s">
        <v>6243</v>
      </c>
      <c r="DO522" s="406">
        <v>-11.21</v>
      </c>
      <c r="DP522" s="80">
        <v>453</v>
      </c>
    </row>
    <row r="523" spans="29:120" x14ac:dyDescent="0.25">
      <c r="AC523" s="122" t="s">
        <v>311</v>
      </c>
      <c r="AD523" s="122" t="s">
        <v>925</v>
      </c>
      <c r="AE523" s="127">
        <v>3</v>
      </c>
      <c r="DA523" s="122" t="s">
        <v>289</v>
      </c>
      <c r="DB523" s="122" t="s">
        <v>6341</v>
      </c>
      <c r="DC523" s="122" t="s">
        <v>2176</v>
      </c>
      <c r="DD523" s="127">
        <v>8</v>
      </c>
      <c r="DE523" s="127">
        <v>8</v>
      </c>
      <c r="DG523" s="405" t="s">
        <v>289</v>
      </c>
      <c r="DH523" s="406" t="s">
        <v>2176</v>
      </c>
      <c r="DI523" s="406" t="str">
        <f t="shared" si="40"/>
        <v>BA, Rafael Jambeiro</v>
      </c>
      <c r="DJ523" s="406">
        <v>-12.407999999999999</v>
      </c>
      <c r="DK523" s="80">
        <v>-39.500999999999998</v>
      </c>
      <c r="DL523" s="80">
        <v>238</v>
      </c>
      <c r="DM523" s="64">
        <v>8</v>
      </c>
      <c r="DN523" s="406" t="s">
        <v>6241</v>
      </c>
      <c r="DO523" s="406">
        <v>-12.67</v>
      </c>
      <c r="DP523" s="80">
        <v>226</v>
      </c>
    </row>
    <row r="524" spans="29:120" x14ac:dyDescent="0.25">
      <c r="AC524" s="122" t="s">
        <v>333</v>
      </c>
      <c r="AD524" s="122" t="s">
        <v>926</v>
      </c>
      <c r="AE524" s="127">
        <v>2</v>
      </c>
      <c r="DA524" s="122" t="s">
        <v>289</v>
      </c>
      <c r="DB524" s="122" t="s">
        <v>4199</v>
      </c>
      <c r="DC524" s="122" t="s">
        <v>4199</v>
      </c>
      <c r="DD524" s="127">
        <v>7</v>
      </c>
      <c r="DE524" s="127">
        <v>7</v>
      </c>
      <c r="DG524" s="405" t="s">
        <v>289</v>
      </c>
      <c r="DH524" s="406" t="s">
        <v>4199</v>
      </c>
      <c r="DI524" s="406" t="str">
        <f t="shared" si="40"/>
        <v>BA, Remanso</v>
      </c>
      <c r="DJ524" s="406">
        <v>-9.6219999999999999</v>
      </c>
      <c r="DK524" s="80">
        <v>-42.081000000000003</v>
      </c>
      <c r="DL524" s="80">
        <v>388</v>
      </c>
      <c r="DM524" s="64">
        <v>7</v>
      </c>
      <c r="DN524" s="406" t="s">
        <v>6334</v>
      </c>
      <c r="DO524" s="406">
        <v>-9.6199999999999992</v>
      </c>
      <c r="DP524" s="80">
        <v>401</v>
      </c>
    </row>
    <row r="525" spans="29:120" x14ac:dyDescent="0.25">
      <c r="AC525" s="122" t="s">
        <v>333</v>
      </c>
      <c r="AD525" s="122" t="s">
        <v>927</v>
      </c>
      <c r="AE525" s="127">
        <v>2</v>
      </c>
      <c r="DA525" s="122" t="s">
        <v>289</v>
      </c>
      <c r="DB525" s="122" t="s">
        <v>2284</v>
      </c>
      <c r="DC525" s="122" t="s">
        <v>2284</v>
      </c>
      <c r="DD525" s="127">
        <v>8</v>
      </c>
      <c r="DE525" s="127">
        <v>8</v>
      </c>
      <c r="DG525" s="405" t="s">
        <v>289</v>
      </c>
      <c r="DH525" s="406" t="s">
        <v>2284</v>
      </c>
      <c r="DI525" s="406" t="str">
        <f t="shared" si="40"/>
        <v>BA, Retirolândia</v>
      </c>
      <c r="DJ525" s="406">
        <v>-11.494999999999999</v>
      </c>
      <c r="DK525" s="80">
        <v>-39.426000000000002</v>
      </c>
      <c r="DL525" s="80">
        <v>325</v>
      </c>
      <c r="DM525" s="64">
        <v>8</v>
      </c>
      <c r="DN525" s="406" t="s">
        <v>6198</v>
      </c>
      <c r="DO525" s="406">
        <v>-11.66</v>
      </c>
      <c r="DP525" s="80">
        <v>339</v>
      </c>
    </row>
    <row r="526" spans="29:120" x14ac:dyDescent="0.25">
      <c r="AC526" s="122" t="s">
        <v>333</v>
      </c>
      <c r="AD526" s="122" t="s">
        <v>928</v>
      </c>
      <c r="AE526" s="127">
        <v>2</v>
      </c>
      <c r="DA526" s="122" t="s">
        <v>289</v>
      </c>
      <c r="DB526" s="122" t="s">
        <v>6342</v>
      </c>
      <c r="DC526" s="122" t="s">
        <v>5634</v>
      </c>
      <c r="DD526" s="127">
        <v>6</v>
      </c>
      <c r="DE526" s="127">
        <v>6</v>
      </c>
      <c r="DG526" s="405" t="s">
        <v>289</v>
      </c>
      <c r="DH526" s="406" t="s">
        <v>5634</v>
      </c>
      <c r="DI526" s="406" t="str">
        <f t="shared" si="40"/>
        <v>BA, Riachão das Neves</v>
      </c>
      <c r="DJ526" s="406">
        <v>-11.746</v>
      </c>
      <c r="DK526" s="80">
        <v>-44.91</v>
      </c>
      <c r="DL526" s="80">
        <v>495</v>
      </c>
      <c r="DM526" s="64">
        <v>6</v>
      </c>
      <c r="DN526" s="406" t="s">
        <v>6209</v>
      </c>
      <c r="DO526" s="406">
        <v>-12.15</v>
      </c>
      <c r="DP526" s="80">
        <v>470</v>
      </c>
    </row>
    <row r="527" spans="29:120" x14ac:dyDescent="0.25">
      <c r="AC527" s="122" t="s">
        <v>376</v>
      </c>
      <c r="AD527" s="122" t="s">
        <v>929</v>
      </c>
      <c r="AE527" s="127">
        <v>3</v>
      </c>
      <c r="DA527" s="122" t="s">
        <v>289</v>
      </c>
      <c r="DB527" s="122" t="s">
        <v>6343</v>
      </c>
      <c r="DC527" s="122" t="s">
        <v>2234</v>
      </c>
      <c r="DD527" s="127">
        <v>8</v>
      </c>
      <c r="DE527" s="127">
        <v>8</v>
      </c>
      <c r="DG527" s="405" t="s">
        <v>289</v>
      </c>
      <c r="DH527" s="406" t="s">
        <v>2234</v>
      </c>
      <c r="DI527" s="406" t="str">
        <f t="shared" si="40"/>
        <v>BA, Riachão do Jacuípe</v>
      </c>
      <c r="DJ527" s="406">
        <v>-11.81</v>
      </c>
      <c r="DK527" s="80">
        <v>-39.381999999999998</v>
      </c>
      <c r="DL527" s="80">
        <v>219</v>
      </c>
      <c r="DM527" s="64">
        <v>8</v>
      </c>
      <c r="DN527" s="406" t="s">
        <v>6198</v>
      </c>
      <c r="DO527" s="406">
        <v>-11.66</v>
      </c>
      <c r="DP527" s="80">
        <v>339</v>
      </c>
    </row>
    <row r="528" spans="29:120" x14ac:dyDescent="0.25">
      <c r="AC528" s="122" t="s">
        <v>376</v>
      </c>
      <c r="AD528" s="122" t="s">
        <v>930</v>
      </c>
      <c r="AE528" s="127">
        <v>3</v>
      </c>
      <c r="DA528" s="122" t="s">
        <v>289</v>
      </c>
      <c r="DB528" s="122" t="s">
        <v>6344</v>
      </c>
      <c r="DC528" s="122" t="s">
        <v>4545</v>
      </c>
      <c r="DD528" s="127">
        <v>6</v>
      </c>
      <c r="DE528" s="127">
        <v>6</v>
      </c>
      <c r="DG528" s="405" t="s">
        <v>289</v>
      </c>
      <c r="DH528" s="406" t="s">
        <v>4545</v>
      </c>
      <c r="DI528" s="406" t="str">
        <f t="shared" si="40"/>
        <v>BA, Riacho de Santana</v>
      </c>
      <c r="DJ528" s="406">
        <v>-13.609</v>
      </c>
      <c r="DK528" s="80">
        <v>-42.939</v>
      </c>
      <c r="DL528" s="80">
        <v>627</v>
      </c>
      <c r="DM528" s="64">
        <v>6</v>
      </c>
      <c r="DN528" s="406" t="s">
        <v>6234</v>
      </c>
      <c r="DO528" s="406">
        <v>-13.26</v>
      </c>
      <c r="DP528" s="80">
        <v>440</v>
      </c>
    </row>
    <row r="529" spans="29:120" x14ac:dyDescent="0.25">
      <c r="AC529" s="122" t="s">
        <v>333</v>
      </c>
      <c r="AD529" s="122" t="s">
        <v>931</v>
      </c>
      <c r="AE529" s="127">
        <v>2</v>
      </c>
      <c r="DA529" s="122" t="s">
        <v>289</v>
      </c>
      <c r="DB529" s="122" t="s">
        <v>6345</v>
      </c>
      <c r="DC529" s="122" t="s">
        <v>5454</v>
      </c>
      <c r="DD529" s="127">
        <v>8</v>
      </c>
      <c r="DE529" s="127">
        <v>8</v>
      </c>
      <c r="DG529" s="405" t="s">
        <v>289</v>
      </c>
      <c r="DH529" s="406" t="s">
        <v>5454</v>
      </c>
      <c r="DI529" s="406" t="str">
        <f t="shared" si="40"/>
        <v>BA, Ribeira do Amparo</v>
      </c>
      <c r="DJ529" s="406">
        <v>-11.047000000000001</v>
      </c>
      <c r="DK529" s="80">
        <v>-38.433</v>
      </c>
      <c r="DL529" s="80">
        <v>180</v>
      </c>
      <c r="DM529" s="64">
        <v>8</v>
      </c>
      <c r="DN529" s="406" t="s">
        <v>6196</v>
      </c>
      <c r="DO529" s="406">
        <v>-10.74</v>
      </c>
      <c r="DP529" s="80">
        <v>362</v>
      </c>
    </row>
    <row r="530" spans="29:120" x14ac:dyDescent="0.25">
      <c r="AC530" s="122" t="s">
        <v>376</v>
      </c>
      <c r="AD530" s="122" t="s">
        <v>932</v>
      </c>
      <c r="AE530" s="127">
        <v>3</v>
      </c>
      <c r="DA530" s="122" t="s">
        <v>289</v>
      </c>
      <c r="DB530" s="122" t="s">
        <v>6346</v>
      </c>
      <c r="DC530" s="122" t="s">
        <v>2313</v>
      </c>
      <c r="DD530" s="127">
        <v>8</v>
      </c>
      <c r="DE530" s="127">
        <v>8</v>
      </c>
      <c r="DG530" s="405" t="s">
        <v>289</v>
      </c>
      <c r="DH530" s="406" t="s">
        <v>2313</v>
      </c>
      <c r="DI530" s="406" t="str">
        <f t="shared" si="40"/>
        <v>BA, Ribeira do Pombal</v>
      </c>
      <c r="DJ530" s="406">
        <v>-10.834</v>
      </c>
      <c r="DK530" s="80">
        <v>-38.536000000000001</v>
      </c>
      <c r="DL530" s="80">
        <v>228</v>
      </c>
      <c r="DM530" s="64">
        <v>8</v>
      </c>
      <c r="DN530" s="406" t="s">
        <v>6196</v>
      </c>
      <c r="DO530" s="406">
        <v>-10.74</v>
      </c>
      <c r="DP530" s="80">
        <v>362</v>
      </c>
    </row>
    <row r="531" spans="29:120" x14ac:dyDescent="0.25">
      <c r="AC531" s="122" t="s">
        <v>333</v>
      </c>
      <c r="AD531" s="122" t="s">
        <v>933</v>
      </c>
      <c r="AE531" s="127">
        <v>4</v>
      </c>
      <c r="DA531" s="122" t="s">
        <v>289</v>
      </c>
      <c r="DB531" s="122" t="s">
        <v>6347</v>
      </c>
      <c r="DC531" s="122" t="s">
        <v>2158</v>
      </c>
      <c r="DD531" s="127">
        <v>5</v>
      </c>
      <c r="DE531" s="127">
        <v>5</v>
      </c>
      <c r="DG531" s="405" t="s">
        <v>289</v>
      </c>
      <c r="DH531" s="406" t="s">
        <v>2158</v>
      </c>
      <c r="DI531" s="406" t="str">
        <f t="shared" si="40"/>
        <v>BA, Ribeirão do Largo</v>
      </c>
      <c r="DJ531" s="406">
        <v>-15.459</v>
      </c>
      <c r="DK531" s="80">
        <v>-40.738999999999997</v>
      </c>
      <c r="DL531" s="80">
        <v>712</v>
      </c>
      <c r="DM531" s="64">
        <v>5</v>
      </c>
      <c r="DN531" s="406" t="s">
        <v>6239</v>
      </c>
      <c r="DO531" s="406">
        <v>-15.24</v>
      </c>
      <c r="DP531" s="80">
        <v>279</v>
      </c>
    </row>
    <row r="532" spans="29:120" x14ac:dyDescent="0.25">
      <c r="AC532" s="122" t="s">
        <v>333</v>
      </c>
      <c r="AD532" s="122" t="s">
        <v>934</v>
      </c>
      <c r="AE532" s="127">
        <v>3</v>
      </c>
      <c r="DA532" s="122" t="s">
        <v>289</v>
      </c>
      <c r="DB532" s="122" t="s">
        <v>6348</v>
      </c>
      <c r="DC532" s="122" t="s">
        <v>2599</v>
      </c>
      <c r="DD532" s="127">
        <v>6</v>
      </c>
      <c r="DE532" s="127">
        <v>6</v>
      </c>
      <c r="DG532" s="405" t="s">
        <v>289</v>
      </c>
      <c r="DH532" s="406" t="s">
        <v>2599</v>
      </c>
      <c r="DI532" s="406" t="str">
        <f t="shared" si="40"/>
        <v>BA, Rio de Contas</v>
      </c>
      <c r="DJ532" s="406">
        <v>-13.579000000000001</v>
      </c>
      <c r="DK532" s="80">
        <v>-41.811</v>
      </c>
      <c r="DL532" s="80">
        <v>999</v>
      </c>
      <c r="DM532" s="64">
        <v>6</v>
      </c>
      <c r="DN532" s="406" t="s">
        <v>6193</v>
      </c>
      <c r="DO532" s="406">
        <v>-13.16</v>
      </c>
      <c r="DP532" s="80">
        <v>1290</v>
      </c>
    </row>
    <row r="533" spans="29:120" x14ac:dyDescent="0.25">
      <c r="AC533" s="122" t="s">
        <v>333</v>
      </c>
      <c r="AD533" s="122" t="s">
        <v>935</v>
      </c>
      <c r="AE533" s="127">
        <v>4</v>
      </c>
      <c r="DA533" s="122" t="s">
        <v>289</v>
      </c>
      <c r="DB533" s="122" t="s">
        <v>6349</v>
      </c>
      <c r="DC533" s="122" t="s">
        <v>2086</v>
      </c>
      <c r="DD533" s="127">
        <v>5</v>
      </c>
      <c r="DE533" s="127">
        <v>5</v>
      </c>
      <c r="DG533" s="405" t="s">
        <v>289</v>
      </c>
      <c r="DH533" s="406" t="s">
        <v>2086</v>
      </c>
      <c r="DI533" s="406" t="str">
        <f t="shared" si="40"/>
        <v>BA, Rio do Antônio</v>
      </c>
      <c r="DJ533" s="406">
        <v>-14.411</v>
      </c>
      <c r="DK533" s="80">
        <v>-42.076000000000001</v>
      </c>
      <c r="DL533" s="80">
        <v>598</v>
      </c>
      <c r="DM533" s="64">
        <v>5</v>
      </c>
      <c r="DN533" s="406" t="s">
        <v>6213</v>
      </c>
      <c r="DO533" s="406">
        <v>-14.18</v>
      </c>
      <c r="DP533" s="80">
        <v>470</v>
      </c>
    </row>
    <row r="534" spans="29:120" x14ac:dyDescent="0.25">
      <c r="AC534" s="122" t="s">
        <v>376</v>
      </c>
      <c r="AD534" s="122" t="s">
        <v>936</v>
      </c>
      <c r="AE534" s="127">
        <v>3</v>
      </c>
      <c r="DA534" s="122" t="s">
        <v>289</v>
      </c>
      <c r="DB534" s="122" t="s">
        <v>6350</v>
      </c>
      <c r="DC534" s="122" t="s">
        <v>2628</v>
      </c>
      <c r="DD534" s="127">
        <v>6</v>
      </c>
      <c r="DE534" s="127">
        <v>6</v>
      </c>
      <c r="DG534" s="405" t="s">
        <v>289</v>
      </c>
      <c r="DH534" s="406" t="s">
        <v>2628</v>
      </c>
      <c r="DI534" s="406" t="str">
        <f t="shared" si="40"/>
        <v>BA, Rio do Pires</v>
      </c>
      <c r="DJ534" s="406">
        <v>-13.128</v>
      </c>
      <c r="DK534" s="80">
        <v>-42.292000000000002</v>
      </c>
      <c r="DL534" s="80">
        <v>551</v>
      </c>
      <c r="DM534" s="64">
        <v>6</v>
      </c>
      <c r="DN534" s="406" t="s">
        <v>6193</v>
      </c>
      <c r="DO534" s="406">
        <v>-13.16</v>
      </c>
      <c r="DP534" s="80">
        <v>1290</v>
      </c>
    </row>
    <row r="535" spans="29:120" x14ac:dyDescent="0.25">
      <c r="AC535" s="122" t="s">
        <v>376</v>
      </c>
      <c r="AD535" s="122" t="s">
        <v>937</v>
      </c>
      <c r="AE535" s="127">
        <v>3</v>
      </c>
      <c r="DA535" s="122" t="s">
        <v>289</v>
      </c>
      <c r="DB535" s="122" t="s">
        <v>6351</v>
      </c>
      <c r="DC535" s="122" t="s">
        <v>2057</v>
      </c>
      <c r="DD535" s="127">
        <v>8</v>
      </c>
      <c r="DE535" s="127">
        <v>8</v>
      </c>
      <c r="DG535" s="405" t="s">
        <v>289</v>
      </c>
      <c r="DH535" s="406" t="s">
        <v>2057</v>
      </c>
      <c r="DI535" s="406" t="str">
        <f t="shared" si="40"/>
        <v>BA, Rio Real</v>
      </c>
      <c r="DJ535" s="406">
        <v>-11.484999999999999</v>
      </c>
      <c r="DK535" s="80">
        <v>-37.933</v>
      </c>
      <c r="DL535" s="80">
        <v>169</v>
      </c>
      <c r="DM535" s="64">
        <v>8</v>
      </c>
      <c r="DN535" s="406" t="s">
        <v>6212</v>
      </c>
      <c r="DO535" s="406">
        <v>-11.27</v>
      </c>
      <c r="DP535" s="80">
        <v>208</v>
      </c>
    </row>
    <row r="536" spans="29:120" x14ac:dyDescent="0.25">
      <c r="AC536" s="122" t="s">
        <v>333</v>
      </c>
      <c r="AD536" s="122" t="s">
        <v>938</v>
      </c>
      <c r="AE536" s="127">
        <v>2</v>
      </c>
      <c r="DA536" s="122" t="s">
        <v>289</v>
      </c>
      <c r="DB536" s="122" t="s">
        <v>2433</v>
      </c>
      <c r="DC536" s="122" t="s">
        <v>2433</v>
      </c>
      <c r="DD536" s="127">
        <v>5</v>
      </c>
      <c r="DE536" s="127">
        <v>5</v>
      </c>
      <c r="DG536" s="405" t="s">
        <v>289</v>
      </c>
      <c r="DH536" s="406" t="s">
        <v>2433</v>
      </c>
      <c r="DI536" s="406" t="str">
        <f t="shared" si="40"/>
        <v>BA, Rodelas</v>
      </c>
      <c r="DJ536" s="406">
        <v>-8.8510000000000009</v>
      </c>
      <c r="DK536" s="80">
        <v>-38.756</v>
      </c>
      <c r="DL536" s="80">
        <v>295</v>
      </c>
      <c r="DM536" s="64">
        <v>5</v>
      </c>
      <c r="DN536" s="406" t="s">
        <v>6352</v>
      </c>
      <c r="DO536" s="406">
        <v>-8.61</v>
      </c>
      <c r="DP536" s="80">
        <v>329</v>
      </c>
    </row>
    <row r="537" spans="29:120" x14ac:dyDescent="0.25">
      <c r="AC537" s="122" t="s">
        <v>333</v>
      </c>
      <c r="AD537" s="122" t="s">
        <v>939</v>
      </c>
      <c r="AE537" s="127">
        <v>2</v>
      </c>
      <c r="DA537" s="122" t="s">
        <v>289</v>
      </c>
      <c r="DB537" s="122" t="s">
        <v>6353</v>
      </c>
      <c r="DC537" s="122" t="s">
        <v>2250</v>
      </c>
      <c r="DD537" s="127">
        <v>8</v>
      </c>
      <c r="DE537" s="127">
        <v>8</v>
      </c>
      <c r="DG537" s="405" t="s">
        <v>289</v>
      </c>
      <c r="DH537" s="406" t="s">
        <v>2250</v>
      </c>
      <c r="DI537" s="406" t="str">
        <f t="shared" si="40"/>
        <v>BA, Ruy Barbosa</v>
      </c>
      <c r="DJ537" s="406">
        <v>-12.284000000000001</v>
      </c>
      <c r="DK537" s="80">
        <v>-40.494</v>
      </c>
      <c r="DL537" s="80">
        <v>368</v>
      </c>
      <c r="DM537" s="64">
        <v>8</v>
      </c>
      <c r="DN537" s="406" t="s">
        <v>6218</v>
      </c>
      <c r="DO537" s="406">
        <v>-12.14</v>
      </c>
      <c r="DP537" s="80">
        <v>380</v>
      </c>
    </row>
    <row r="538" spans="29:120" x14ac:dyDescent="0.25">
      <c r="AC538" s="122" t="s">
        <v>376</v>
      </c>
      <c r="AD538" s="122" t="s">
        <v>940</v>
      </c>
      <c r="AE538" s="127">
        <v>2</v>
      </c>
      <c r="DA538" s="122" t="s">
        <v>289</v>
      </c>
      <c r="DB538" s="122" t="s">
        <v>6354</v>
      </c>
      <c r="DC538" s="122" t="s">
        <v>5102</v>
      </c>
      <c r="DD538" s="127">
        <v>8</v>
      </c>
      <c r="DE538" s="127">
        <v>8</v>
      </c>
      <c r="DG538" s="405" t="s">
        <v>289</v>
      </c>
      <c r="DH538" s="406" t="s">
        <v>5102</v>
      </c>
      <c r="DI538" s="406" t="str">
        <f t="shared" si="40"/>
        <v>BA, Salinas da Margarida</v>
      </c>
      <c r="DJ538" s="406">
        <v>-12.871</v>
      </c>
      <c r="DK538" s="80">
        <v>-38.764000000000003</v>
      </c>
      <c r="DL538" s="80">
        <v>6</v>
      </c>
      <c r="DM538" s="64">
        <v>8</v>
      </c>
      <c r="DN538" s="406" t="s">
        <v>6245</v>
      </c>
      <c r="DO538" s="406">
        <v>-12.97</v>
      </c>
      <c r="DP538" s="80">
        <v>51</v>
      </c>
    </row>
    <row r="539" spans="29:120" x14ac:dyDescent="0.25">
      <c r="AC539" s="122" t="s">
        <v>311</v>
      </c>
      <c r="AD539" s="122" t="s">
        <v>941</v>
      </c>
      <c r="AE539" s="127">
        <v>2</v>
      </c>
      <c r="DA539" s="122" t="s">
        <v>289</v>
      </c>
      <c r="DB539" s="122" t="s">
        <v>5140</v>
      </c>
      <c r="DC539" s="122" t="s">
        <v>5140</v>
      </c>
      <c r="DD539" s="127">
        <v>8</v>
      </c>
      <c r="DE539" s="127">
        <v>8</v>
      </c>
      <c r="DG539" s="405" t="s">
        <v>289</v>
      </c>
      <c r="DH539" s="406" t="s">
        <v>5140</v>
      </c>
      <c r="DI539" s="406" t="str">
        <f t="shared" si="40"/>
        <v>BA, Salvador</v>
      </c>
      <c r="DJ539" s="406">
        <v>-12.971</v>
      </c>
      <c r="DK539" s="80">
        <v>-38.511000000000003</v>
      </c>
      <c r="DL539" s="80">
        <v>8</v>
      </c>
      <c r="DM539" s="64">
        <v>8</v>
      </c>
      <c r="DN539" s="406" t="s">
        <v>6245</v>
      </c>
      <c r="DO539" s="406">
        <v>-12.97</v>
      </c>
      <c r="DP539" s="80">
        <v>51</v>
      </c>
    </row>
    <row r="540" spans="29:120" x14ac:dyDescent="0.25">
      <c r="AC540" s="122" t="s">
        <v>376</v>
      </c>
      <c r="AD540" s="122" t="s">
        <v>942</v>
      </c>
      <c r="AE540" s="127">
        <v>3</v>
      </c>
      <c r="DA540" s="122" t="s">
        <v>289</v>
      </c>
      <c r="DB540" s="122" t="s">
        <v>6355</v>
      </c>
      <c r="DC540" s="122" t="s">
        <v>678</v>
      </c>
      <c r="DD540" s="127">
        <v>8</v>
      </c>
      <c r="DE540" s="127">
        <v>8</v>
      </c>
      <c r="DG540" s="405" t="s">
        <v>289</v>
      </c>
      <c r="DH540" s="406" t="s">
        <v>678</v>
      </c>
      <c r="DI540" s="406" t="str">
        <f t="shared" si="40"/>
        <v>BA, Santa Bárbara</v>
      </c>
      <c r="DJ540" s="406">
        <v>-11.958</v>
      </c>
      <c r="DK540" s="80">
        <v>-38.975000000000001</v>
      </c>
      <c r="DL540" s="80">
        <v>293</v>
      </c>
      <c r="DM540" s="64">
        <v>8</v>
      </c>
      <c r="DN540" s="406" t="s">
        <v>6198</v>
      </c>
      <c r="DO540" s="406">
        <v>-11.66</v>
      </c>
      <c r="DP540" s="80">
        <v>339</v>
      </c>
    </row>
    <row r="541" spans="29:120" x14ac:dyDescent="0.25">
      <c r="AC541" s="122" t="s">
        <v>333</v>
      </c>
      <c r="AD541" s="122" t="s">
        <v>943</v>
      </c>
      <c r="AE541" s="127">
        <v>2</v>
      </c>
      <c r="DA541" s="122" t="s">
        <v>289</v>
      </c>
      <c r="DB541" s="122" t="s">
        <v>6356</v>
      </c>
      <c r="DC541" s="122" t="s">
        <v>5031</v>
      </c>
      <c r="DD541" s="127">
        <v>8</v>
      </c>
      <c r="DE541" s="127">
        <v>8</v>
      </c>
      <c r="DG541" s="405" t="s">
        <v>289</v>
      </c>
      <c r="DH541" s="406" t="s">
        <v>5031</v>
      </c>
      <c r="DI541" s="406" t="str">
        <f t="shared" si="40"/>
        <v>BA, Santa Brígida</v>
      </c>
      <c r="DJ541" s="406">
        <v>-9.7360000000000007</v>
      </c>
      <c r="DK541" s="80">
        <v>-38.125999999999998</v>
      </c>
      <c r="DL541" s="80">
        <v>317</v>
      </c>
      <c r="DM541" s="64">
        <v>8</v>
      </c>
      <c r="DN541" s="406" t="s">
        <v>6087</v>
      </c>
      <c r="DO541" s="406">
        <v>-9.41</v>
      </c>
      <c r="DP541" s="80">
        <v>253</v>
      </c>
    </row>
    <row r="542" spans="29:120" x14ac:dyDescent="0.25">
      <c r="AC542" s="122" t="s">
        <v>376</v>
      </c>
      <c r="AD542" s="122" t="s">
        <v>944</v>
      </c>
      <c r="AE542" s="127">
        <v>3</v>
      </c>
      <c r="DA542" s="122" t="s">
        <v>289</v>
      </c>
      <c r="DB542" s="122" t="s">
        <v>6357</v>
      </c>
      <c r="DC542" s="122" t="s">
        <v>1995</v>
      </c>
      <c r="DD542" s="127">
        <v>8</v>
      </c>
      <c r="DE542" s="127">
        <v>8</v>
      </c>
      <c r="DG542" s="405" t="s">
        <v>289</v>
      </c>
      <c r="DH542" s="406" t="s">
        <v>1995</v>
      </c>
      <c r="DI542" s="406" t="str">
        <f t="shared" si="40"/>
        <v>BA, Santa Cruz Cabrália</v>
      </c>
      <c r="DJ542" s="406">
        <v>-16.277999999999999</v>
      </c>
      <c r="DK542" s="80">
        <v>-39.024999999999999</v>
      </c>
      <c r="DL542" s="80">
        <v>32</v>
      </c>
      <c r="DM542" s="64">
        <v>8</v>
      </c>
      <c r="DN542" s="406" t="s">
        <v>6281</v>
      </c>
      <c r="DO542" s="406">
        <v>-16.39</v>
      </c>
      <c r="DP542" s="80">
        <v>85</v>
      </c>
    </row>
    <row r="543" spans="29:120" x14ac:dyDescent="0.25">
      <c r="AC543" s="122" t="s">
        <v>333</v>
      </c>
      <c r="AD543" s="122" t="s">
        <v>945</v>
      </c>
      <c r="AE543" s="127">
        <v>1</v>
      </c>
      <c r="DA543" s="122" t="s">
        <v>289</v>
      </c>
      <c r="DB543" s="122" t="s">
        <v>6358</v>
      </c>
      <c r="DC543" s="122" t="s">
        <v>2177</v>
      </c>
      <c r="DD543" s="127">
        <v>8</v>
      </c>
      <c r="DE543" s="127">
        <v>8</v>
      </c>
      <c r="DG543" s="405" t="s">
        <v>289</v>
      </c>
      <c r="DH543" s="406" t="s">
        <v>2177</v>
      </c>
      <c r="DI543" s="406" t="str">
        <f t="shared" si="40"/>
        <v>BA, Santa Cruz da Vitória</v>
      </c>
      <c r="DJ543" s="406">
        <v>-14.961</v>
      </c>
      <c r="DK543" s="80">
        <v>-39.811999999999998</v>
      </c>
      <c r="DL543" s="80">
        <v>281</v>
      </c>
      <c r="DM543" s="64">
        <v>8</v>
      </c>
      <c r="DN543" s="406" t="s">
        <v>6239</v>
      </c>
      <c r="DO543" s="406">
        <v>-15.24</v>
      </c>
      <c r="DP543" s="80">
        <v>279</v>
      </c>
    </row>
    <row r="544" spans="29:120" x14ac:dyDescent="0.25">
      <c r="AC544" s="122" t="s">
        <v>333</v>
      </c>
      <c r="AD544" s="122" t="s">
        <v>946</v>
      </c>
      <c r="AE544" s="127">
        <v>2</v>
      </c>
      <c r="DA544" s="122" t="s">
        <v>289</v>
      </c>
      <c r="DB544" s="122" t="s">
        <v>6359</v>
      </c>
      <c r="DC544" s="122" t="s">
        <v>1814</v>
      </c>
      <c r="DD544" s="127">
        <v>5</v>
      </c>
      <c r="DE544" s="127">
        <v>5</v>
      </c>
      <c r="DG544" s="405" t="s">
        <v>289</v>
      </c>
      <c r="DH544" s="406" t="s">
        <v>1814</v>
      </c>
      <c r="DI544" s="406" t="str">
        <f t="shared" si="40"/>
        <v>BA, Santa Inês</v>
      </c>
      <c r="DJ544" s="406">
        <v>-13.292</v>
      </c>
      <c r="DK544" s="80">
        <v>-39.819000000000003</v>
      </c>
      <c r="DL544" s="80">
        <v>398</v>
      </c>
      <c r="DM544" s="64">
        <v>5</v>
      </c>
      <c r="DN544" s="406" t="s">
        <v>6202</v>
      </c>
      <c r="DO544" s="406">
        <v>-13.01</v>
      </c>
      <c r="DP544" s="80">
        <v>407</v>
      </c>
    </row>
    <row r="545" spans="29:120" x14ac:dyDescent="0.25">
      <c r="AC545" s="122" t="s">
        <v>333</v>
      </c>
      <c r="AD545" s="122" t="s">
        <v>947</v>
      </c>
      <c r="AE545" s="127">
        <v>2</v>
      </c>
      <c r="DA545" s="122" t="s">
        <v>289</v>
      </c>
      <c r="DB545" s="122" t="s">
        <v>6360</v>
      </c>
      <c r="DC545" s="122" t="s">
        <v>1864</v>
      </c>
      <c r="DD545" s="127">
        <v>8</v>
      </c>
      <c r="DE545" s="127">
        <v>8</v>
      </c>
      <c r="DG545" s="405" t="s">
        <v>289</v>
      </c>
      <c r="DH545" s="406" t="s">
        <v>1864</v>
      </c>
      <c r="DI545" s="406" t="str">
        <f t="shared" si="40"/>
        <v>BA, Santa Luzia</v>
      </c>
      <c r="DJ545" s="406">
        <v>-15.429</v>
      </c>
      <c r="DK545" s="80">
        <v>-39.334000000000003</v>
      </c>
      <c r="DL545" s="80">
        <v>195</v>
      </c>
      <c r="DM545" s="64">
        <v>8</v>
      </c>
      <c r="DN545" s="406" t="s">
        <v>6214</v>
      </c>
      <c r="DO545" s="406">
        <v>-15.28</v>
      </c>
      <c r="DP545" s="80">
        <v>82</v>
      </c>
    </row>
    <row r="546" spans="29:120" x14ac:dyDescent="0.25">
      <c r="AC546" s="122" t="s">
        <v>376</v>
      </c>
      <c r="AD546" s="122" t="s">
        <v>948</v>
      </c>
      <c r="AE546" s="127">
        <v>3</v>
      </c>
      <c r="DA546" s="122" t="s">
        <v>289</v>
      </c>
      <c r="DB546" s="122" t="s">
        <v>6361</v>
      </c>
      <c r="DC546" s="122" t="s">
        <v>5505</v>
      </c>
      <c r="DD546" s="127">
        <v>6</v>
      </c>
      <c r="DE546" s="127">
        <v>6</v>
      </c>
      <c r="DG546" s="405" t="s">
        <v>289</v>
      </c>
      <c r="DH546" s="406" t="s">
        <v>5505</v>
      </c>
      <c r="DI546" s="406" t="str">
        <f t="shared" si="40"/>
        <v>BA, Santa Maria da Vitória</v>
      </c>
      <c r="DJ546" s="406">
        <v>-13.398</v>
      </c>
      <c r="DK546" s="80">
        <v>-44.198</v>
      </c>
      <c r="DL546" s="80">
        <v>436</v>
      </c>
      <c r="DM546" s="64">
        <v>6</v>
      </c>
      <c r="DN546" s="406" t="s">
        <v>6250</v>
      </c>
      <c r="DO546" s="406">
        <v>-13.33</v>
      </c>
      <c r="DP546" s="80">
        <v>549</v>
      </c>
    </row>
    <row r="547" spans="29:120" x14ac:dyDescent="0.25">
      <c r="AC547" s="122" t="s">
        <v>333</v>
      </c>
      <c r="AD547" s="122" t="s">
        <v>949</v>
      </c>
      <c r="AE547" s="127">
        <v>2</v>
      </c>
      <c r="DA547" s="122" t="s">
        <v>289</v>
      </c>
      <c r="DB547" s="122" t="s">
        <v>6362</v>
      </c>
      <c r="DC547" s="122" t="s">
        <v>5680</v>
      </c>
      <c r="DD547" s="127">
        <v>6</v>
      </c>
      <c r="DE547" s="127">
        <v>6</v>
      </c>
      <c r="DG547" s="405" t="s">
        <v>289</v>
      </c>
      <c r="DH547" s="406" t="s">
        <v>5680</v>
      </c>
      <c r="DI547" s="406" t="str">
        <f t="shared" si="40"/>
        <v>BA, Santa Rita de Cássia</v>
      </c>
      <c r="DJ547" s="406">
        <v>-11.009</v>
      </c>
      <c r="DK547" s="80">
        <v>-44.518999999999998</v>
      </c>
      <c r="DL547" s="80">
        <v>440</v>
      </c>
      <c r="DM547" s="64">
        <v>6</v>
      </c>
      <c r="DN547" s="406" t="s">
        <v>6287</v>
      </c>
      <c r="DO547" s="406">
        <v>-11.01</v>
      </c>
      <c r="DP547" s="80">
        <v>450</v>
      </c>
    </row>
    <row r="548" spans="29:120" x14ac:dyDescent="0.25">
      <c r="AC548" s="122" t="s">
        <v>376</v>
      </c>
      <c r="AD548" s="122" t="s">
        <v>950</v>
      </c>
      <c r="AE548" s="127">
        <v>3</v>
      </c>
      <c r="DA548" s="122" t="s">
        <v>289</v>
      </c>
      <c r="DB548" s="122" t="s">
        <v>6363</v>
      </c>
      <c r="DC548" s="122" t="s">
        <v>2029</v>
      </c>
      <c r="DD548" s="127">
        <v>8</v>
      </c>
      <c r="DE548" s="127">
        <v>8</v>
      </c>
      <c r="DG548" s="405" t="s">
        <v>289</v>
      </c>
      <c r="DH548" s="406" t="s">
        <v>2029</v>
      </c>
      <c r="DI548" s="406" t="str">
        <f t="shared" si="40"/>
        <v>BA, Santa Teresinha</v>
      </c>
      <c r="DJ548" s="406">
        <v>-12.772</v>
      </c>
      <c r="DK548" s="80">
        <v>-39.523000000000003</v>
      </c>
      <c r="DL548" s="80">
        <v>227</v>
      </c>
      <c r="DM548" s="64">
        <v>8</v>
      </c>
      <c r="DN548" s="406" t="s">
        <v>6202</v>
      </c>
      <c r="DO548" s="406">
        <v>-13.01</v>
      </c>
      <c r="DP548" s="80">
        <v>407</v>
      </c>
    </row>
    <row r="549" spans="29:120" x14ac:dyDescent="0.25">
      <c r="AC549" s="122" t="s">
        <v>376</v>
      </c>
      <c r="AD549" s="122" t="s">
        <v>951</v>
      </c>
      <c r="AE549" s="127">
        <v>3</v>
      </c>
      <c r="DA549" s="122" t="s">
        <v>289</v>
      </c>
      <c r="DB549" s="122" t="s">
        <v>5202</v>
      </c>
      <c r="DC549" s="122" t="s">
        <v>5202</v>
      </c>
      <c r="DD549" s="127">
        <v>8</v>
      </c>
      <c r="DE549" s="127">
        <v>8</v>
      </c>
      <c r="DG549" s="405" t="s">
        <v>289</v>
      </c>
      <c r="DH549" s="406" t="s">
        <v>5202</v>
      </c>
      <c r="DI549" s="406" t="str">
        <f t="shared" si="40"/>
        <v>BA, Santaluz</v>
      </c>
      <c r="DJ549" s="406">
        <v>-11.256</v>
      </c>
      <c r="DK549" s="80">
        <v>-39.375</v>
      </c>
      <c r="DL549" s="80">
        <v>370</v>
      </c>
      <c r="DM549" s="64">
        <v>8</v>
      </c>
      <c r="DN549" s="406" t="s">
        <v>6253</v>
      </c>
      <c r="DO549" s="406">
        <v>-10.98</v>
      </c>
      <c r="DP549" s="80">
        <v>315</v>
      </c>
    </row>
    <row r="550" spans="29:120" x14ac:dyDescent="0.25">
      <c r="AC550" s="122" t="s">
        <v>333</v>
      </c>
      <c r="AD550" s="122" t="s">
        <v>952</v>
      </c>
      <c r="AE550" s="127">
        <v>2</v>
      </c>
      <c r="DA550" s="122" t="s">
        <v>289</v>
      </c>
      <c r="DB550" s="122" t="s">
        <v>4448</v>
      </c>
      <c r="DC550" s="122" t="s">
        <v>4448</v>
      </c>
      <c r="DD550" s="127">
        <v>6</v>
      </c>
      <c r="DE550" s="127">
        <v>6</v>
      </c>
      <c r="DG550" s="405" t="s">
        <v>289</v>
      </c>
      <c r="DH550" s="406" t="s">
        <v>4448</v>
      </c>
      <c r="DI550" s="406" t="str">
        <f t="shared" si="40"/>
        <v>BA, Santana</v>
      </c>
      <c r="DJ550" s="406">
        <v>-12.983000000000001</v>
      </c>
      <c r="DK550" s="80">
        <v>-44.051000000000002</v>
      </c>
      <c r="DL550" s="80">
        <v>526</v>
      </c>
      <c r="DM550" s="64">
        <v>6</v>
      </c>
      <c r="DN550" s="406" t="s">
        <v>6250</v>
      </c>
      <c r="DO550" s="406">
        <v>-13.33</v>
      </c>
      <c r="DP550" s="80">
        <v>549</v>
      </c>
    </row>
    <row r="551" spans="29:120" x14ac:dyDescent="0.25">
      <c r="AC551" s="122" t="s">
        <v>376</v>
      </c>
      <c r="AD551" s="122" t="s">
        <v>953</v>
      </c>
      <c r="AE551" s="127">
        <v>3</v>
      </c>
      <c r="DA551" s="122" t="s">
        <v>289</v>
      </c>
      <c r="DB551" s="122" t="s">
        <v>2156</v>
      </c>
      <c r="DC551" s="122" t="s">
        <v>2156</v>
      </c>
      <c r="DD551" s="127">
        <v>8</v>
      </c>
      <c r="DE551" s="127">
        <v>8</v>
      </c>
      <c r="DG551" s="405" t="s">
        <v>289</v>
      </c>
      <c r="DH551" s="406" t="s">
        <v>2156</v>
      </c>
      <c r="DI551" s="406" t="str">
        <f t="shared" si="40"/>
        <v>BA, Santanópolis</v>
      </c>
      <c r="DJ551" s="406">
        <v>-12.016999999999999</v>
      </c>
      <c r="DK551" s="80">
        <v>-38.866999999999997</v>
      </c>
      <c r="DL551" s="80">
        <v>278</v>
      </c>
      <c r="DM551" s="64">
        <v>8</v>
      </c>
      <c r="DN551" s="406" t="s">
        <v>6200</v>
      </c>
      <c r="DO551" s="406">
        <v>-12.27</v>
      </c>
      <c r="DP551" s="80">
        <v>231</v>
      </c>
    </row>
    <row r="552" spans="29:120" x14ac:dyDescent="0.25">
      <c r="AC552" s="122" t="s">
        <v>311</v>
      </c>
      <c r="AD552" s="122" t="s">
        <v>954</v>
      </c>
      <c r="AE552" s="127">
        <v>3</v>
      </c>
      <c r="DA552" s="122" t="s">
        <v>289</v>
      </c>
      <c r="DB552" s="122" t="s">
        <v>6364</v>
      </c>
      <c r="DC552" s="122" t="s">
        <v>5133</v>
      </c>
      <c r="DD552" s="127">
        <v>8</v>
      </c>
      <c r="DE552" s="127">
        <v>8</v>
      </c>
      <c r="DG552" s="405" t="s">
        <v>289</v>
      </c>
      <c r="DH552" s="406" t="s">
        <v>5133</v>
      </c>
      <c r="DI552" s="406" t="str">
        <f t="shared" si="40"/>
        <v>BA, Santo Amaro</v>
      </c>
      <c r="DJ552" s="406">
        <v>-12.547000000000001</v>
      </c>
      <c r="DK552" s="80">
        <v>-38.712000000000003</v>
      </c>
      <c r="DL552" s="80">
        <v>42</v>
      </c>
      <c r="DM552" s="64">
        <v>8</v>
      </c>
      <c r="DN552" s="406" t="s">
        <v>6200</v>
      </c>
      <c r="DO552" s="406">
        <v>-12.27</v>
      </c>
      <c r="DP552" s="80">
        <v>231</v>
      </c>
    </row>
    <row r="553" spans="29:120" x14ac:dyDescent="0.25">
      <c r="AC553" s="122" t="s">
        <v>376</v>
      </c>
      <c r="AD553" s="122" t="s">
        <v>955</v>
      </c>
      <c r="AE553" s="127">
        <v>3</v>
      </c>
      <c r="DA553" s="122" t="s">
        <v>289</v>
      </c>
      <c r="DB553" s="122" t="s">
        <v>6365</v>
      </c>
      <c r="DC553" s="122" t="s">
        <v>2007</v>
      </c>
      <c r="DD553" s="127">
        <v>8</v>
      </c>
      <c r="DE553" s="127">
        <v>8</v>
      </c>
      <c r="DG553" s="405" t="s">
        <v>289</v>
      </c>
      <c r="DH553" s="406" t="s">
        <v>2007</v>
      </c>
      <c r="DI553" s="406" t="str">
        <f t="shared" si="40"/>
        <v>BA, Santo Antônio de Jesus</v>
      </c>
      <c r="DJ553" s="406">
        <v>-12.968999999999999</v>
      </c>
      <c r="DK553" s="80">
        <v>-39.261000000000003</v>
      </c>
      <c r="DL553" s="80">
        <v>213</v>
      </c>
      <c r="DM553" s="64">
        <v>8</v>
      </c>
      <c r="DN553" s="406" t="s">
        <v>6241</v>
      </c>
      <c r="DO553" s="406">
        <v>-12.67</v>
      </c>
      <c r="DP553" s="80">
        <v>226</v>
      </c>
    </row>
    <row r="554" spans="29:120" x14ac:dyDescent="0.25">
      <c r="AC554" s="122" t="s">
        <v>333</v>
      </c>
      <c r="AD554" s="122" t="s">
        <v>956</v>
      </c>
      <c r="AE554" s="127">
        <v>2</v>
      </c>
      <c r="DA554" s="122" t="s">
        <v>289</v>
      </c>
      <c r="DB554" s="122" t="s">
        <v>6366</v>
      </c>
      <c r="DC554" s="122" t="s">
        <v>2262</v>
      </c>
      <c r="DD554" s="127">
        <v>8</v>
      </c>
      <c r="DE554" s="127">
        <v>8</v>
      </c>
      <c r="DG554" s="405" t="s">
        <v>289</v>
      </c>
      <c r="DH554" s="406" t="s">
        <v>2262</v>
      </c>
      <c r="DI554" s="406" t="str">
        <f t="shared" si="40"/>
        <v>BA, Santo Estêvão</v>
      </c>
      <c r="DJ554" s="406">
        <v>-12.43</v>
      </c>
      <c r="DK554" s="80">
        <v>-39.250999999999998</v>
      </c>
      <c r="DL554" s="80">
        <v>242</v>
      </c>
      <c r="DM554" s="64">
        <v>8</v>
      </c>
      <c r="DN554" s="406" t="s">
        <v>6241</v>
      </c>
      <c r="DO554" s="406">
        <v>-12.67</v>
      </c>
      <c r="DP554" s="80">
        <v>226</v>
      </c>
    </row>
    <row r="555" spans="29:120" x14ac:dyDescent="0.25">
      <c r="AC555" s="122" t="s">
        <v>333</v>
      </c>
      <c r="AD555" s="122" t="s">
        <v>957</v>
      </c>
      <c r="AE555" s="127">
        <v>3</v>
      </c>
      <c r="DA555" s="122" t="s">
        <v>289</v>
      </c>
      <c r="DB555" s="122" t="s">
        <v>6367</v>
      </c>
      <c r="DC555" s="122" t="s">
        <v>3027</v>
      </c>
      <c r="DD555" s="127">
        <v>6</v>
      </c>
      <c r="DE555" s="127">
        <v>6</v>
      </c>
      <c r="DG555" s="405" t="s">
        <v>289</v>
      </c>
      <c r="DH555" s="406" t="s">
        <v>3027</v>
      </c>
      <c r="DI555" s="406" t="str">
        <f t="shared" si="40"/>
        <v>BA, São Desidério</v>
      </c>
      <c r="DJ555" s="406">
        <v>-12.363</v>
      </c>
      <c r="DK555" s="80">
        <v>-44.972999999999999</v>
      </c>
      <c r="DL555" s="80">
        <v>497</v>
      </c>
      <c r="DM555" s="64">
        <v>6</v>
      </c>
      <c r="DN555" s="406" t="s">
        <v>6209</v>
      </c>
      <c r="DO555" s="406">
        <v>-12.15</v>
      </c>
      <c r="DP555" s="80">
        <v>470</v>
      </c>
    </row>
    <row r="556" spans="29:120" x14ac:dyDescent="0.25">
      <c r="AC556" s="122" t="s">
        <v>376</v>
      </c>
      <c r="AD556" s="122" t="s">
        <v>958</v>
      </c>
      <c r="AE556" s="127">
        <v>4</v>
      </c>
      <c r="DA556" s="122" t="s">
        <v>289</v>
      </c>
      <c r="DB556" s="122" t="s">
        <v>6368</v>
      </c>
      <c r="DC556" s="122" t="s">
        <v>1486</v>
      </c>
      <c r="DD556" s="127">
        <v>8</v>
      </c>
      <c r="DE556" s="127">
        <v>8</v>
      </c>
      <c r="DG556" s="405" t="s">
        <v>289</v>
      </c>
      <c r="DH556" s="406" t="s">
        <v>1486</v>
      </c>
      <c r="DI556" s="406" t="str">
        <f t="shared" si="40"/>
        <v>BA, São Domingos</v>
      </c>
      <c r="DJ556" s="406">
        <v>-11.503</v>
      </c>
      <c r="DK556" s="80">
        <v>-39.542000000000002</v>
      </c>
      <c r="DL556" s="80">
        <v>276</v>
      </c>
      <c r="DM556" s="64">
        <v>8</v>
      </c>
      <c r="DN556" s="406" t="s">
        <v>6253</v>
      </c>
      <c r="DO556" s="406">
        <v>-10.98</v>
      </c>
      <c r="DP556" s="80">
        <v>315</v>
      </c>
    </row>
    <row r="557" spans="29:120" x14ac:dyDescent="0.25">
      <c r="AC557" s="122" t="s">
        <v>376</v>
      </c>
      <c r="AD557" s="122" t="s">
        <v>959</v>
      </c>
      <c r="AE557" s="127">
        <v>3</v>
      </c>
      <c r="DA557" s="122" t="s">
        <v>289</v>
      </c>
      <c r="DB557" s="122" t="s">
        <v>6369</v>
      </c>
      <c r="DC557" s="122" t="s">
        <v>2071</v>
      </c>
      <c r="DD557" s="127">
        <v>8</v>
      </c>
      <c r="DE557" s="127">
        <v>8</v>
      </c>
      <c r="DG557" s="405" t="s">
        <v>289</v>
      </c>
      <c r="DH557" s="406" t="s">
        <v>2071</v>
      </c>
      <c r="DI557" s="406" t="str">
        <f t="shared" si="40"/>
        <v>BA, São Felipe</v>
      </c>
      <c r="DJ557" s="406">
        <v>-12.847</v>
      </c>
      <c r="DK557" s="80">
        <v>-39.088999999999999</v>
      </c>
      <c r="DL557" s="80">
        <v>195</v>
      </c>
      <c r="DM557" s="64">
        <v>8</v>
      </c>
      <c r="DN557" s="406" t="s">
        <v>6241</v>
      </c>
      <c r="DO557" s="406">
        <v>-12.67</v>
      </c>
      <c r="DP557" s="80">
        <v>226</v>
      </c>
    </row>
    <row r="558" spans="29:120" x14ac:dyDescent="0.25">
      <c r="AC558" s="122" t="s">
        <v>376</v>
      </c>
      <c r="AD558" s="122" t="s">
        <v>960</v>
      </c>
      <c r="AE558" s="127">
        <v>3</v>
      </c>
      <c r="DA558" s="122" t="s">
        <v>289</v>
      </c>
      <c r="DB558" s="122" t="s">
        <v>6370</v>
      </c>
      <c r="DC558" s="122" t="s">
        <v>5137</v>
      </c>
      <c r="DD558" s="127">
        <v>8</v>
      </c>
      <c r="DE558" s="127">
        <v>8</v>
      </c>
      <c r="DG558" s="405" t="s">
        <v>289</v>
      </c>
      <c r="DH558" s="406" t="s">
        <v>5137</v>
      </c>
      <c r="DI558" s="406" t="str">
        <f t="shared" si="40"/>
        <v>BA, São Félix</v>
      </c>
      <c r="DJ558" s="406">
        <v>-12.605</v>
      </c>
      <c r="DK558" s="80">
        <v>-38.972000000000001</v>
      </c>
      <c r="DL558" s="80">
        <v>45</v>
      </c>
      <c r="DM558" s="64">
        <v>8</v>
      </c>
      <c r="DN558" s="406" t="s">
        <v>6241</v>
      </c>
      <c r="DO558" s="406">
        <v>-12.67</v>
      </c>
      <c r="DP558" s="80">
        <v>226</v>
      </c>
    </row>
    <row r="559" spans="29:120" x14ac:dyDescent="0.25">
      <c r="AC559" s="122" t="s">
        <v>333</v>
      </c>
      <c r="AD559" s="122" t="s">
        <v>961</v>
      </c>
      <c r="AE559" s="127">
        <v>2</v>
      </c>
      <c r="DA559" s="122" t="s">
        <v>289</v>
      </c>
      <c r="DB559" s="122" t="s">
        <v>6371</v>
      </c>
      <c r="DC559" s="122" t="s">
        <v>5506</v>
      </c>
      <c r="DD559" s="127">
        <v>6</v>
      </c>
      <c r="DE559" s="127">
        <v>6</v>
      </c>
      <c r="DG559" s="405" t="s">
        <v>289</v>
      </c>
      <c r="DH559" s="406" t="s">
        <v>5506</v>
      </c>
      <c r="DI559" s="406" t="str">
        <f t="shared" si="40"/>
        <v>BA, São Félix do Coribe</v>
      </c>
      <c r="DJ559" s="406">
        <v>-13.401999999999999</v>
      </c>
      <c r="DK559" s="80">
        <v>-44.195</v>
      </c>
      <c r="DL559" s="80">
        <v>40</v>
      </c>
      <c r="DM559" s="64">
        <v>6</v>
      </c>
      <c r="DN559" s="406" t="s">
        <v>6250</v>
      </c>
      <c r="DO559" s="406">
        <v>-13.33</v>
      </c>
      <c r="DP559" s="80">
        <v>549</v>
      </c>
    </row>
    <row r="560" spans="29:120" x14ac:dyDescent="0.25">
      <c r="AC560" s="122" t="s">
        <v>333</v>
      </c>
      <c r="AD560" s="122" t="s">
        <v>962</v>
      </c>
      <c r="AE560" s="127">
        <v>2</v>
      </c>
      <c r="DA560" s="122" t="s">
        <v>289</v>
      </c>
      <c r="DB560" s="122" t="s">
        <v>6372</v>
      </c>
      <c r="DC560" s="122" t="s">
        <v>5128</v>
      </c>
      <c r="DD560" s="127">
        <v>8</v>
      </c>
      <c r="DE560" s="127">
        <v>8</v>
      </c>
      <c r="DG560" s="405" t="s">
        <v>289</v>
      </c>
      <c r="DH560" s="406" t="s">
        <v>5128</v>
      </c>
      <c r="DI560" s="406" t="str">
        <f t="shared" si="40"/>
        <v>BA, São Francisco do Conde</v>
      </c>
      <c r="DJ560" s="406">
        <v>-12.628</v>
      </c>
      <c r="DK560" s="80">
        <v>-38.68</v>
      </c>
      <c r="DL560" s="80">
        <v>11</v>
      </c>
      <c r="DM560" s="64">
        <v>8</v>
      </c>
      <c r="DN560" s="406" t="s">
        <v>6245</v>
      </c>
      <c r="DO560" s="406">
        <v>-12.97</v>
      </c>
      <c r="DP560" s="80">
        <v>51</v>
      </c>
    </row>
    <row r="561" spans="29:120" x14ac:dyDescent="0.25">
      <c r="AC561" s="122" t="s">
        <v>333</v>
      </c>
      <c r="AD561" s="122" t="s">
        <v>963</v>
      </c>
      <c r="AE561" s="127">
        <v>2</v>
      </c>
      <c r="DA561" s="122" t="s">
        <v>289</v>
      </c>
      <c r="DB561" s="122" t="s">
        <v>6373</v>
      </c>
      <c r="DC561" s="122" t="s">
        <v>1755</v>
      </c>
      <c r="DD561" s="127">
        <v>6</v>
      </c>
      <c r="DE561" s="127">
        <v>6</v>
      </c>
      <c r="DG561" s="405" t="s">
        <v>289</v>
      </c>
      <c r="DH561" s="406" t="s">
        <v>1755</v>
      </c>
      <c r="DI561" s="406" t="str">
        <f t="shared" si="40"/>
        <v>BA, São Gabriel</v>
      </c>
      <c r="DJ561" s="406">
        <v>-11.228999999999999</v>
      </c>
      <c r="DK561" s="80">
        <v>-41.911999999999999</v>
      </c>
      <c r="DL561" s="80">
        <v>692</v>
      </c>
      <c r="DM561" s="64">
        <v>6</v>
      </c>
      <c r="DN561" s="406" t="s">
        <v>6205</v>
      </c>
      <c r="DO561" s="406">
        <v>-11.33</v>
      </c>
      <c r="DP561" s="80">
        <v>755</v>
      </c>
    </row>
    <row r="562" spans="29:120" x14ac:dyDescent="0.25">
      <c r="AC562" s="122" t="s">
        <v>333</v>
      </c>
      <c r="AD562" s="122" t="s">
        <v>964</v>
      </c>
      <c r="AE562" s="127">
        <v>2</v>
      </c>
      <c r="DA562" s="122" t="s">
        <v>289</v>
      </c>
      <c r="DB562" s="122" t="s">
        <v>6374</v>
      </c>
      <c r="DC562" s="122" t="s">
        <v>2325</v>
      </c>
      <c r="DD562" s="127">
        <v>8</v>
      </c>
      <c r="DE562" s="127">
        <v>8</v>
      </c>
      <c r="DG562" s="405" t="s">
        <v>289</v>
      </c>
      <c r="DH562" s="406" t="s">
        <v>2325</v>
      </c>
      <c r="DI562" s="406" t="str">
        <f t="shared" si="40"/>
        <v>BA, São Gonçalo dos Campos</v>
      </c>
      <c r="DJ562" s="406">
        <v>-12.433</v>
      </c>
      <c r="DK562" s="80">
        <v>-38.966999999999999</v>
      </c>
      <c r="DL562" s="80">
        <v>234</v>
      </c>
      <c r="DM562" s="64">
        <v>8</v>
      </c>
      <c r="DN562" s="406" t="s">
        <v>6200</v>
      </c>
      <c r="DO562" s="406">
        <v>-12.27</v>
      </c>
      <c r="DP562" s="80">
        <v>231</v>
      </c>
    </row>
    <row r="563" spans="29:120" x14ac:dyDescent="0.25">
      <c r="AC563" s="122" t="s">
        <v>333</v>
      </c>
      <c r="AD563" s="122" t="s">
        <v>965</v>
      </c>
      <c r="AE563" s="127">
        <v>2</v>
      </c>
      <c r="DA563" s="122" t="s">
        <v>289</v>
      </c>
      <c r="DB563" s="122" t="s">
        <v>6375</v>
      </c>
      <c r="DC563" s="122" t="s">
        <v>1924</v>
      </c>
      <c r="DD563" s="127">
        <v>8</v>
      </c>
      <c r="DE563" s="127">
        <v>8</v>
      </c>
      <c r="DG563" s="405" t="s">
        <v>289</v>
      </c>
      <c r="DH563" s="406" t="s">
        <v>1924</v>
      </c>
      <c r="DI563" s="406" t="str">
        <f t="shared" si="40"/>
        <v>BA, São José da Vitória</v>
      </c>
      <c r="DJ563" s="406">
        <v>-15.084</v>
      </c>
      <c r="DK563" s="80">
        <v>-39.338999999999999</v>
      </c>
      <c r="DL563" s="80">
        <v>180</v>
      </c>
      <c r="DM563" s="64">
        <v>8</v>
      </c>
      <c r="DN563" s="406" t="s">
        <v>6214</v>
      </c>
      <c r="DO563" s="406">
        <v>-15.28</v>
      </c>
      <c r="DP563" s="80">
        <v>82</v>
      </c>
    </row>
    <row r="564" spans="29:120" x14ac:dyDescent="0.25">
      <c r="AC564" s="122" t="s">
        <v>333</v>
      </c>
      <c r="AD564" s="122" t="s">
        <v>966</v>
      </c>
      <c r="AE564" s="127">
        <v>2</v>
      </c>
      <c r="DA564" s="122" t="s">
        <v>289</v>
      </c>
      <c r="DB564" s="122" t="s">
        <v>6376</v>
      </c>
      <c r="DC564" s="122" t="s">
        <v>5200</v>
      </c>
      <c r="DD564" s="127">
        <v>8</v>
      </c>
      <c r="DE564" s="127">
        <v>8</v>
      </c>
      <c r="DG564" s="405" t="s">
        <v>289</v>
      </c>
      <c r="DH564" s="406" t="s">
        <v>5200</v>
      </c>
      <c r="DI564" s="406" t="str">
        <f t="shared" si="40"/>
        <v>BA, São José do Jacuípe</v>
      </c>
      <c r="DJ564" s="406">
        <v>-11.412000000000001</v>
      </c>
      <c r="DK564" s="80">
        <v>-39.866999999999997</v>
      </c>
      <c r="DL564" s="80">
        <v>361</v>
      </c>
      <c r="DM564" s="64">
        <v>8</v>
      </c>
      <c r="DN564" s="406" t="s">
        <v>6253</v>
      </c>
      <c r="DO564" s="406">
        <v>-10.98</v>
      </c>
      <c r="DP564" s="80">
        <v>315</v>
      </c>
    </row>
    <row r="565" spans="29:120" x14ac:dyDescent="0.25">
      <c r="AC565" s="122" t="s">
        <v>333</v>
      </c>
      <c r="AD565" s="122" t="s">
        <v>967</v>
      </c>
      <c r="AE565" s="127">
        <v>2</v>
      </c>
      <c r="DA565" s="122" t="s">
        <v>289</v>
      </c>
      <c r="DB565" s="122" t="s">
        <v>6377</v>
      </c>
      <c r="DC565" s="122" t="s">
        <v>1963</v>
      </c>
      <c r="DD565" s="127">
        <v>8</v>
      </c>
      <c r="DE565" s="127">
        <v>8</v>
      </c>
      <c r="DG565" s="405" t="s">
        <v>289</v>
      </c>
      <c r="DH565" s="406" t="s">
        <v>1963</v>
      </c>
      <c r="DI565" s="406" t="str">
        <f t="shared" si="40"/>
        <v>BA, São Miguel das Matas</v>
      </c>
      <c r="DJ565" s="406">
        <v>-13.048</v>
      </c>
      <c r="DK565" s="80">
        <v>-39.456000000000003</v>
      </c>
      <c r="DL565" s="80">
        <v>293</v>
      </c>
      <c r="DM565" s="64">
        <v>8</v>
      </c>
      <c r="DN565" s="406" t="s">
        <v>6202</v>
      </c>
      <c r="DO565" s="406">
        <v>-13.01</v>
      </c>
      <c r="DP565" s="80">
        <v>407</v>
      </c>
    </row>
    <row r="566" spans="29:120" x14ac:dyDescent="0.25">
      <c r="AC566" s="122" t="s">
        <v>333</v>
      </c>
      <c r="AD566" s="122" t="s">
        <v>968</v>
      </c>
      <c r="AE566" s="127">
        <v>2</v>
      </c>
      <c r="DA566" s="122" t="s">
        <v>289</v>
      </c>
      <c r="DB566" s="122" t="s">
        <v>6378</v>
      </c>
      <c r="DC566" s="122" t="s">
        <v>1904</v>
      </c>
      <c r="DD566" s="127">
        <v>8</v>
      </c>
      <c r="DE566" s="127">
        <v>8</v>
      </c>
      <c r="DG566" s="405" t="s">
        <v>289</v>
      </c>
      <c r="DH566" s="406" t="s">
        <v>1904</v>
      </c>
      <c r="DI566" s="406" t="str">
        <f t="shared" si="40"/>
        <v>BA, São Sebastião do Passé</v>
      </c>
      <c r="DJ566" s="406">
        <v>-12.513</v>
      </c>
      <c r="DK566" s="80">
        <v>-38.494999999999997</v>
      </c>
      <c r="DL566" s="80">
        <v>37</v>
      </c>
      <c r="DM566" s="64">
        <v>8</v>
      </c>
      <c r="DN566" s="406" t="s">
        <v>6245</v>
      </c>
      <c r="DO566" s="406">
        <v>-12.97</v>
      </c>
      <c r="DP566" s="80">
        <v>51</v>
      </c>
    </row>
    <row r="567" spans="29:120" x14ac:dyDescent="0.25">
      <c r="AC567" s="122" t="s">
        <v>333</v>
      </c>
      <c r="AD567" s="122" t="s">
        <v>969</v>
      </c>
      <c r="AE567" s="127">
        <v>2</v>
      </c>
      <c r="DA567" s="122" t="s">
        <v>289</v>
      </c>
      <c r="DB567" s="122" t="s">
        <v>2139</v>
      </c>
      <c r="DC567" s="122" t="s">
        <v>2139</v>
      </c>
      <c r="DD567" s="127">
        <v>8</v>
      </c>
      <c r="DE567" s="127">
        <v>8</v>
      </c>
      <c r="DG567" s="405" t="s">
        <v>289</v>
      </c>
      <c r="DH567" s="406" t="s">
        <v>2139</v>
      </c>
      <c r="DI567" s="406" t="str">
        <f t="shared" si="40"/>
        <v>BA, Sapeaçu</v>
      </c>
      <c r="DJ567" s="406">
        <v>-12.728</v>
      </c>
      <c r="DK567" s="80">
        <v>-39.182000000000002</v>
      </c>
      <c r="DL567" s="80">
        <v>226</v>
      </c>
      <c r="DM567" s="64">
        <v>8</v>
      </c>
      <c r="DN567" s="406" t="s">
        <v>6241</v>
      </c>
      <c r="DO567" s="406">
        <v>-12.67</v>
      </c>
      <c r="DP567" s="80">
        <v>226</v>
      </c>
    </row>
    <row r="568" spans="29:120" x14ac:dyDescent="0.25">
      <c r="AC568" s="122" t="s">
        <v>333</v>
      </c>
      <c r="AD568" s="122" t="s">
        <v>970</v>
      </c>
      <c r="AE568" s="127">
        <v>2</v>
      </c>
      <c r="DA568" s="122" t="s">
        <v>289</v>
      </c>
      <c r="DB568" s="122" t="s">
        <v>6379</v>
      </c>
      <c r="DC568" s="122" t="s">
        <v>2110</v>
      </c>
      <c r="DD568" s="127">
        <v>8</v>
      </c>
      <c r="DE568" s="127">
        <v>8</v>
      </c>
      <c r="DG568" s="405" t="s">
        <v>289</v>
      </c>
      <c r="DH568" s="406" t="s">
        <v>2110</v>
      </c>
      <c r="DI568" s="406" t="str">
        <f t="shared" si="40"/>
        <v>BA, Sátiro Dias</v>
      </c>
      <c r="DJ568" s="406">
        <v>-11.6</v>
      </c>
      <c r="DK568" s="80">
        <v>-38.6</v>
      </c>
      <c r="DL568" s="80">
        <v>213</v>
      </c>
      <c r="DM568" s="64">
        <v>8</v>
      </c>
      <c r="DN568" s="406" t="s">
        <v>6198</v>
      </c>
      <c r="DO568" s="406">
        <v>-11.66</v>
      </c>
      <c r="DP568" s="80">
        <v>339</v>
      </c>
    </row>
    <row r="569" spans="29:120" x14ac:dyDescent="0.25">
      <c r="AC569" s="122" t="s">
        <v>333</v>
      </c>
      <c r="AD569" s="122" t="s">
        <v>971</v>
      </c>
      <c r="AE569" s="127">
        <v>2</v>
      </c>
      <c r="DA569" s="122" t="s">
        <v>289</v>
      </c>
      <c r="DB569" s="122" t="s">
        <v>5120</v>
      </c>
      <c r="DC569" s="122" t="s">
        <v>5120</v>
      </c>
      <c r="DD569" s="127">
        <v>8</v>
      </c>
      <c r="DE569" s="127">
        <v>8</v>
      </c>
      <c r="DG569" s="405" t="s">
        <v>289</v>
      </c>
      <c r="DH569" s="406" t="s">
        <v>5120</v>
      </c>
      <c r="DI569" s="406" t="str">
        <f t="shared" si="40"/>
        <v>BA, Saubara</v>
      </c>
      <c r="DJ569" s="406">
        <v>-12.738</v>
      </c>
      <c r="DK569" s="80">
        <v>-38.768999999999998</v>
      </c>
      <c r="DL569" s="80">
        <v>44</v>
      </c>
      <c r="DM569" s="64">
        <v>8</v>
      </c>
      <c r="DN569" s="406" t="s">
        <v>6241</v>
      </c>
      <c r="DO569" s="406">
        <v>-12.67</v>
      </c>
      <c r="DP569" s="80">
        <v>226</v>
      </c>
    </row>
    <row r="570" spans="29:120" x14ac:dyDescent="0.25">
      <c r="AC570" s="122" t="s">
        <v>376</v>
      </c>
      <c r="AD570" s="122" t="s">
        <v>972</v>
      </c>
      <c r="AE570" s="127">
        <v>3</v>
      </c>
      <c r="DA570" s="122" t="s">
        <v>289</v>
      </c>
      <c r="DB570" s="122" t="s">
        <v>2254</v>
      </c>
      <c r="DC570" s="122" t="s">
        <v>2254</v>
      </c>
      <c r="DD570" s="127">
        <v>8</v>
      </c>
      <c r="DE570" s="127">
        <v>8</v>
      </c>
      <c r="DG570" s="405" t="s">
        <v>289</v>
      </c>
      <c r="DH570" s="406" t="s">
        <v>2254</v>
      </c>
      <c r="DI570" s="406" t="str">
        <f t="shared" si="40"/>
        <v>BA, Saúde</v>
      </c>
      <c r="DJ570" s="406">
        <v>-10.941000000000001</v>
      </c>
      <c r="DK570" s="80">
        <v>-40.417999999999999</v>
      </c>
      <c r="DL570" s="80">
        <v>542</v>
      </c>
      <c r="DM570" s="64">
        <v>8</v>
      </c>
      <c r="DN570" s="406" t="s">
        <v>6243</v>
      </c>
      <c r="DO570" s="406">
        <v>-11.21</v>
      </c>
      <c r="DP570" s="80">
        <v>453</v>
      </c>
    </row>
    <row r="571" spans="29:120" x14ac:dyDescent="0.25">
      <c r="AC571" s="122" t="s">
        <v>376</v>
      </c>
      <c r="AD571" s="122" t="s">
        <v>973</v>
      </c>
      <c r="AE571" s="127">
        <v>3</v>
      </c>
      <c r="DA571" s="122" t="s">
        <v>289</v>
      </c>
      <c r="DB571" s="122" t="s">
        <v>2525</v>
      </c>
      <c r="DC571" s="122" t="s">
        <v>2525</v>
      </c>
      <c r="DD571" s="127">
        <v>5</v>
      </c>
      <c r="DE571" s="127">
        <v>5</v>
      </c>
      <c r="DG571" s="405" t="s">
        <v>289</v>
      </c>
      <c r="DH571" s="406" t="s">
        <v>2525</v>
      </c>
      <c r="DI571" s="406" t="str">
        <f t="shared" si="40"/>
        <v>BA, Seabra</v>
      </c>
      <c r="DJ571" s="406">
        <v>-12.419</v>
      </c>
      <c r="DK571" s="80">
        <v>-41.77</v>
      </c>
      <c r="DL571" s="80">
        <v>812</v>
      </c>
      <c r="DM571" s="64">
        <v>5</v>
      </c>
      <c r="DN571" s="406" t="s">
        <v>6207</v>
      </c>
      <c r="DO571" s="406">
        <v>-12.56</v>
      </c>
      <c r="DP571" s="80">
        <v>439</v>
      </c>
    </row>
    <row r="572" spans="29:120" x14ac:dyDescent="0.25">
      <c r="AC572" s="122" t="s">
        <v>333</v>
      </c>
      <c r="AD572" s="122" t="s">
        <v>974</v>
      </c>
      <c r="AE572" s="127">
        <v>1</v>
      </c>
      <c r="DA572" s="122" t="s">
        <v>289</v>
      </c>
      <c r="DB572" s="122" t="s">
        <v>6380</v>
      </c>
      <c r="DC572" s="122" t="s">
        <v>5132</v>
      </c>
      <c r="DD572" s="127">
        <v>6</v>
      </c>
      <c r="DE572" s="127">
        <v>6</v>
      </c>
      <c r="DG572" s="405" t="s">
        <v>289</v>
      </c>
      <c r="DH572" s="406" t="s">
        <v>5132</v>
      </c>
      <c r="DI572" s="406" t="str">
        <f t="shared" si="40"/>
        <v>BA, Sebastião Laranjeiras</v>
      </c>
      <c r="DJ572" s="406">
        <v>-14.573</v>
      </c>
      <c r="DK572" s="80">
        <v>-42.94</v>
      </c>
      <c r="DL572" s="80">
        <v>533</v>
      </c>
      <c r="DM572" s="64">
        <v>6</v>
      </c>
      <c r="DN572" s="406" t="s">
        <v>6293</v>
      </c>
      <c r="DO572" s="406">
        <v>-14.92</v>
      </c>
      <c r="DP572" s="80">
        <v>570</v>
      </c>
    </row>
    <row r="573" spans="29:120" x14ac:dyDescent="0.25">
      <c r="AC573" s="122" t="s">
        <v>376</v>
      </c>
      <c r="AD573" s="122" t="s">
        <v>975</v>
      </c>
      <c r="AE573" s="127">
        <v>3</v>
      </c>
      <c r="DA573" s="122" t="s">
        <v>289</v>
      </c>
      <c r="DB573" s="122" t="s">
        <v>6381</v>
      </c>
      <c r="DC573" s="122" t="s">
        <v>2380</v>
      </c>
      <c r="DD573" s="127">
        <v>7</v>
      </c>
      <c r="DE573" s="127">
        <v>7</v>
      </c>
      <c r="DG573" s="405" t="s">
        <v>289</v>
      </c>
      <c r="DH573" s="406" t="s">
        <v>2380</v>
      </c>
      <c r="DI573" s="406" t="str">
        <f t="shared" si="40"/>
        <v>BA, Senhor do Bonfim</v>
      </c>
      <c r="DJ573" s="406">
        <v>-10.462999999999999</v>
      </c>
      <c r="DK573" s="80">
        <v>-40.191000000000003</v>
      </c>
      <c r="DL573" s="80">
        <v>538</v>
      </c>
      <c r="DM573" s="64">
        <v>7</v>
      </c>
      <c r="DN573" s="406" t="s">
        <v>6208</v>
      </c>
      <c r="DO573" s="406">
        <v>-10.44</v>
      </c>
      <c r="DP573" s="80">
        <v>548</v>
      </c>
    </row>
    <row r="574" spans="29:120" x14ac:dyDescent="0.25">
      <c r="AC574" s="122" t="s">
        <v>376</v>
      </c>
      <c r="AD574" s="122" t="s">
        <v>976</v>
      </c>
      <c r="AE574" s="127">
        <v>3</v>
      </c>
      <c r="DA574" s="122" t="s">
        <v>289</v>
      </c>
      <c r="DB574" s="122" t="s">
        <v>6382</v>
      </c>
      <c r="DC574" s="122" t="s">
        <v>4467</v>
      </c>
      <c r="DD574" s="127">
        <v>7</v>
      </c>
      <c r="DE574" s="127">
        <v>7</v>
      </c>
      <c r="DG574" s="405" t="s">
        <v>289</v>
      </c>
      <c r="DH574" s="406" t="s">
        <v>4467</v>
      </c>
      <c r="DI574" s="406" t="str">
        <f t="shared" si="40"/>
        <v>BA, Sento Sé</v>
      </c>
      <c r="DJ574" s="406">
        <v>-9.7460000000000004</v>
      </c>
      <c r="DK574" s="80">
        <v>-41.884999999999998</v>
      </c>
      <c r="DL574" s="80">
        <v>410</v>
      </c>
      <c r="DM574" s="64">
        <v>7</v>
      </c>
      <c r="DN574" s="406" t="s">
        <v>6334</v>
      </c>
      <c r="DO574" s="406">
        <v>-9.6199999999999992</v>
      </c>
      <c r="DP574" s="80">
        <v>401</v>
      </c>
    </row>
    <row r="575" spans="29:120" x14ac:dyDescent="0.25">
      <c r="AC575" s="122" t="s">
        <v>333</v>
      </c>
      <c r="AD575" s="122" t="s">
        <v>977</v>
      </c>
      <c r="AE575" s="127">
        <v>2</v>
      </c>
      <c r="DA575" s="122" t="s">
        <v>289</v>
      </c>
      <c r="DB575" s="122" t="s">
        <v>6383</v>
      </c>
      <c r="DC575" s="122" t="s">
        <v>5514</v>
      </c>
      <c r="DD575" s="127">
        <v>6</v>
      </c>
      <c r="DE575" s="127">
        <v>6</v>
      </c>
      <c r="DG575" s="405" t="s">
        <v>289</v>
      </c>
      <c r="DH575" s="406" t="s">
        <v>5514</v>
      </c>
      <c r="DI575" s="406" t="str">
        <f t="shared" si="40"/>
        <v>BA, Serra do Ramalho</v>
      </c>
      <c r="DJ575" s="406">
        <v>-13.571999999999999</v>
      </c>
      <c r="DK575" s="80">
        <v>-43.597999999999999</v>
      </c>
      <c r="DL575" s="80">
        <v>448</v>
      </c>
      <c r="DM575" s="64">
        <v>6</v>
      </c>
      <c r="DN575" s="406" t="s">
        <v>6234</v>
      </c>
      <c r="DO575" s="406">
        <v>-13.26</v>
      </c>
      <c r="DP575" s="80">
        <v>440</v>
      </c>
    </row>
    <row r="576" spans="29:120" x14ac:dyDescent="0.25">
      <c r="AC576" s="122" t="s">
        <v>333</v>
      </c>
      <c r="AD576" s="122" t="s">
        <v>978</v>
      </c>
      <c r="AE576" s="127">
        <v>2</v>
      </c>
      <c r="DA576" s="122" t="s">
        <v>289</v>
      </c>
      <c r="DB576" s="122" t="s">
        <v>6384</v>
      </c>
      <c r="DC576" s="122" t="s">
        <v>5494</v>
      </c>
      <c r="DD576" s="127">
        <v>6</v>
      </c>
      <c r="DE576" s="127">
        <v>6</v>
      </c>
      <c r="DG576" s="405" t="s">
        <v>289</v>
      </c>
      <c r="DH576" s="406" t="s">
        <v>5494</v>
      </c>
      <c r="DI576" s="406" t="str">
        <f t="shared" si="40"/>
        <v>BA, Serra Dourada</v>
      </c>
      <c r="DJ576" s="406">
        <v>-12.760999999999999</v>
      </c>
      <c r="DK576" s="80">
        <v>-43.95</v>
      </c>
      <c r="DL576" s="80">
        <v>500</v>
      </c>
      <c r="DM576" s="64">
        <v>6</v>
      </c>
      <c r="DN576" s="406" t="s">
        <v>6234</v>
      </c>
      <c r="DO576" s="406">
        <v>-13.26</v>
      </c>
      <c r="DP576" s="80">
        <v>440</v>
      </c>
    </row>
    <row r="577" spans="29:120" x14ac:dyDescent="0.25">
      <c r="AC577" s="122" t="s">
        <v>333</v>
      </c>
      <c r="AD577" s="122" t="s">
        <v>979</v>
      </c>
      <c r="AE577" s="127">
        <v>2</v>
      </c>
      <c r="DA577" s="122" t="s">
        <v>289</v>
      </c>
      <c r="DB577" s="122" t="s">
        <v>6385</v>
      </c>
      <c r="DC577" s="122" t="s">
        <v>2312</v>
      </c>
      <c r="DD577" s="127">
        <v>8</v>
      </c>
      <c r="DE577" s="127">
        <v>8</v>
      </c>
      <c r="DG577" s="405" t="s">
        <v>289</v>
      </c>
      <c r="DH577" s="406" t="s">
        <v>2312</v>
      </c>
      <c r="DI577" s="406" t="str">
        <f t="shared" si="40"/>
        <v>BA, Serra Preta</v>
      </c>
      <c r="DJ577" s="406">
        <v>-12.16</v>
      </c>
      <c r="DK577" s="80">
        <v>-39.332000000000001</v>
      </c>
      <c r="DL577" s="80">
        <v>311</v>
      </c>
      <c r="DM577" s="64">
        <v>8</v>
      </c>
      <c r="DN577" s="406" t="s">
        <v>6200</v>
      </c>
      <c r="DO577" s="406">
        <v>-12.27</v>
      </c>
      <c r="DP577" s="80">
        <v>231</v>
      </c>
    </row>
    <row r="578" spans="29:120" x14ac:dyDescent="0.25">
      <c r="AC578" s="122" t="s">
        <v>333</v>
      </c>
      <c r="AD578" s="122" t="s">
        <v>980</v>
      </c>
      <c r="AE578" s="127">
        <v>2</v>
      </c>
      <c r="DA578" s="122" t="s">
        <v>289</v>
      </c>
      <c r="DB578" s="122" t="s">
        <v>3504</v>
      </c>
      <c r="DC578" s="122" t="s">
        <v>3504</v>
      </c>
      <c r="DD578" s="127">
        <v>8</v>
      </c>
      <c r="DE578" s="127">
        <v>8</v>
      </c>
      <c r="DG578" s="405" t="s">
        <v>289</v>
      </c>
      <c r="DH578" s="406" t="s">
        <v>3504</v>
      </c>
      <c r="DI578" s="406" t="str">
        <f t="shared" si="40"/>
        <v>BA, Serrinha</v>
      </c>
      <c r="DJ578" s="406">
        <v>-11.664</v>
      </c>
      <c r="DK578" s="80">
        <v>-39.008000000000003</v>
      </c>
      <c r="DL578" s="80">
        <v>379</v>
      </c>
      <c r="DM578" s="64">
        <v>8</v>
      </c>
      <c r="DN578" s="406" t="s">
        <v>6198</v>
      </c>
      <c r="DO578" s="406">
        <v>-11.66</v>
      </c>
      <c r="DP578" s="80">
        <v>339</v>
      </c>
    </row>
    <row r="579" spans="29:120" x14ac:dyDescent="0.25">
      <c r="AC579" s="122" t="s">
        <v>333</v>
      </c>
      <c r="AD579" s="122" t="s">
        <v>981</v>
      </c>
      <c r="AE579" s="127">
        <v>2</v>
      </c>
      <c r="DA579" s="122" t="s">
        <v>289</v>
      </c>
      <c r="DB579" s="122" t="s">
        <v>2346</v>
      </c>
      <c r="DC579" s="122" t="s">
        <v>2346</v>
      </c>
      <c r="DD579" s="127">
        <v>8</v>
      </c>
      <c r="DE579" s="127">
        <v>8</v>
      </c>
      <c r="DG579" s="405" t="s">
        <v>289</v>
      </c>
      <c r="DH579" s="406" t="s">
        <v>2346</v>
      </c>
      <c r="DI579" s="406" t="str">
        <f t="shared" ref="DI579:DI642" si="41">CONCATENATE(DG579,", ",DH579)</f>
        <v>BA, Serrolândia</v>
      </c>
      <c r="DJ579" s="406">
        <v>-11.416</v>
      </c>
      <c r="DK579" s="80">
        <v>-40.302</v>
      </c>
      <c r="DL579" s="80">
        <v>478</v>
      </c>
      <c r="DM579" s="64">
        <v>8</v>
      </c>
      <c r="DN579" s="406" t="s">
        <v>6243</v>
      </c>
      <c r="DO579" s="406">
        <v>-11.21</v>
      </c>
      <c r="DP579" s="80">
        <v>453</v>
      </c>
    </row>
    <row r="580" spans="29:120" x14ac:dyDescent="0.25">
      <c r="AC580" s="122" t="s">
        <v>376</v>
      </c>
      <c r="AD580" s="122" t="s">
        <v>982</v>
      </c>
      <c r="AE580" s="127">
        <v>3</v>
      </c>
      <c r="DA580" s="122" t="s">
        <v>289</v>
      </c>
      <c r="DB580" s="122" t="s">
        <v>6386</v>
      </c>
      <c r="DC580" s="122" t="s">
        <v>4144</v>
      </c>
      <c r="DD580" s="127">
        <v>8</v>
      </c>
      <c r="DE580" s="127">
        <v>8</v>
      </c>
      <c r="DG580" s="405" t="s">
        <v>289</v>
      </c>
      <c r="DH580" s="406" t="s">
        <v>4144</v>
      </c>
      <c r="DI580" s="406" t="str">
        <f t="shared" si="41"/>
        <v>BA, Simões Filho</v>
      </c>
      <c r="DJ580" s="406">
        <v>-12.784000000000001</v>
      </c>
      <c r="DK580" s="80">
        <v>-38.404000000000003</v>
      </c>
      <c r="DL580" s="80">
        <v>52</v>
      </c>
      <c r="DM580" s="64">
        <v>8</v>
      </c>
      <c r="DN580" s="406" t="s">
        <v>6245</v>
      </c>
      <c r="DO580" s="406">
        <v>-12.97</v>
      </c>
      <c r="DP580" s="80">
        <v>51</v>
      </c>
    </row>
    <row r="581" spans="29:120" x14ac:dyDescent="0.25">
      <c r="AC581" s="122" t="s">
        <v>376</v>
      </c>
      <c r="AD581" s="122" t="s">
        <v>983</v>
      </c>
      <c r="AE581" s="127">
        <v>4</v>
      </c>
      <c r="DA581" s="122" t="s">
        <v>289</v>
      </c>
      <c r="DB581" s="122" t="s">
        <v>6387</v>
      </c>
      <c r="DC581" s="122" t="s">
        <v>5521</v>
      </c>
      <c r="DD581" s="127">
        <v>7</v>
      </c>
      <c r="DE581" s="127">
        <v>7</v>
      </c>
      <c r="DG581" s="405" t="s">
        <v>289</v>
      </c>
      <c r="DH581" s="406" t="s">
        <v>5521</v>
      </c>
      <c r="DI581" s="406" t="str">
        <f t="shared" si="41"/>
        <v>BA, Sítio do Mato</v>
      </c>
      <c r="DJ581" s="406">
        <v>-13.085000000000001</v>
      </c>
      <c r="DK581" s="80">
        <v>-43.465000000000003</v>
      </c>
      <c r="DL581" s="80">
        <v>428</v>
      </c>
      <c r="DM581" s="64">
        <v>7</v>
      </c>
      <c r="DN581" s="406" t="s">
        <v>6234</v>
      </c>
      <c r="DO581" s="406">
        <v>-13.26</v>
      </c>
      <c r="DP581" s="80">
        <v>440</v>
      </c>
    </row>
    <row r="582" spans="29:120" x14ac:dyDescent="0.25">
      <c r="AC582" s="122" t="s">
        <v>333</v>
      </c>
      <c r="AD582" s="122" t="s">
        <v>984</v>
      </c>
      <c r="AE582" s="127">
        <v>2</v>
      </c>
      <c r="DA582" s="122" t="s">
        <v>289</v>
      </c>
      <c r="DB582" s="122" t="s">
        <v>6388</v>
      </c>
      <c r="DC582" s="122" t="s">
        <v>3486</v>
      </c>
      <c r="DD582" s="127">
        <v>8</v>
      </c>
      <c r="DE582" s="127">
        <v>8</v>
      </c>
      <c r="DG582" s="405" t="s">
        <v>289</v>
      </c>
      <c r="DH582" s="406" t="s">
        <v>3486</v>
      </c>
      <c r="DI582" s="406" t="str">
        <f t="shared" si="41"/>
        <v>BA, Sítio do Quinto</v>
      </c>
      <c r="DJ582" s="406">
        <v>-10.35</v>
      </c>
      <c r="DK582" s="80">
        <v>-38.216999999999999</v>
      </c>
      <c r="DL582" s="80">
        <v>332</v>
      </c>
      <c r="DM582" s="64">
        <v>8</v>
      </c>
      <c r="DN582" s="406" t="s">
        <v>6196</v>
      </c>
      <c r="DO582" s="406">
        <v>-10.74</v>
      </c>
      <c r="DP582" s="80">
        <v>362</v>
      </c>
    </row>
    <row r="583" spans="29:120" x14ac:dyDescent="0.25">
      <c r="AC583" s="122" t="s">
        <v>333</v>
      </c>
      <c r="AD583" s="122" t="s">
        <v>985</v>
      </c>
      <c r="AE583" s="127">
        <v>2</v>
      </c>
      <c r="DA583" s="122" t="s">
        <v>289</v>
      </c>
      <c r="DB583" s="122" t="s">
        <v>1610</v>
      </c>
      <c r="DC583" s="122" t="s">
        <v>1610</v>
      </c>
      <c r="DD583" s="127">
        <v>7</v>
      </c>
      <c r="DE583" s="127">
        <v>7</v>
      </c>
      <c r="DG583" s="405" t="s">
        <v>289</v>
      </c>
      <c r="DH583" s="406" t="s">
        <v>1610</v>
      </c>
      <c r="DI583" s="406" t="str">
        <f t="shared" si="41"/>
        <v>BA, Sobradinho</v>
      </c>
      <c r="DJ583" s="406">
        <v>-9.4550000000000001</v>
      </c>
      <c r="DK583" s="80">
        <v>-40.823</v>
      </c>
      <c r="DL583" s="80">
        <v>377</v>
      </c>
      <c r="DM583" s="64">
        <v>7</v>
      </c>
      <c r="DN583" s="406" t="s">
        <v>6260</v>
      </c>
      <c r="DO583" s="406">
        <v>-9.39</v>
      </c>
      <c r="DP583" s="80">
        <v>370</v>
      </c>
    </row>
    <row r="584" spans="29:120" x14ac:dyDescent="0.25">
      <c r="AC584" s="122" t="s">
        <v>333</v>
      </c>
      <c r="AD584" s="122" t="s">
        <v>986</v>
      </c>
      <c r="AE584" s="127">
        <v>2</v>
      </c>
      <c r="DA584" s="122" t="s">
        <v>289</v>
      </c>
      <c r="DB584" s="122" t="s">
        <v>6389</v>
      </c>
      <c r="DC584" s="122" t="s">
        <v>2449</v>
      </c>
      <c r="DD584" s="127">
        <v>5</v>
      </c>
      <c r="DE584" s="127">
        <v>5</v>
      </c>
      <c r="DG584" s="405" t="s">
        <v>289</v>
      </c>
      <c r="DH584" s="406" t="s">
        <v>2449</v>
      </c>
      <c r="DI584" s="406" t="str">
        <f t="shared" si="41"/>
        <v>BA, Souto Soares</v>
      </c>
      <c r="DJ584" s="406">
        <v>-12.089</v>
      </c>
      <c r="DK584" s="80">
        <v>-41.637999999999998</v>
      </c>
      <c r="DL584" s="80">
        <v>620</v>
      </c>
      <c r="DM584" s="64">
        <v>5</v>
      </c>
      <c r="DN584" s="406" t="s">
        <v>6207</v>
      </c>
      <c r="DO584" s="406">
        <v>-12.56</v>
      </c>
      <c r="DP584" s="80">
        <v>439</v>
      </c>
    </row>
    <row r="585" spans="29:120" x14ac:dyDescent="0.25">
      <c r="AC585" s="122" t="s">
        <v>376</v>
      </c>
      <c r="AD585" s="122" t="s">
        <v>987</v>
      </c>
      <c r="AE585" s="127">
        <v>3</v>
      </c>
      <c r="DA585" s="122" t="s">
        <v>289</v>
      </c>
      <c r="DB585" s="122" t="s">
        <v>6390</v>
      </c>
      <c r="DC585" s="122" t="s">
        <v>5495</v>
      </c>
      <c r="DD585" s="127">
        <v>6</v>
      </c>
      <c r="DE585" s="127">
        <v>6</v>
      </c>
      <c r="DG585" s="405" t="s">
        <v>289</v>
      </c>
      <c r="DH585" s="406" t="s">
        <v>5495</v>
      </c>
      <c r="DI585" s="406" t="str">
        <f t="shared" si="41"/>
        <v>BA, Tabocas do Brejo Velho</v>
      </c>
      <c r="DJ585" s="406">
        <v>-12.706</v>
      </c>
      <c r="DK585" s="80">
        <v>-44.006999999999998</v>
      </c>
      <c r="DL585" s="80">
        <v>532</v>
      </c>
      <c r="DM585" s="64">
        <v>6</v>
      </c>
      <c r="DN585" s="406" t="s">
        <v>6234</v>
      </c>
      <c r="DO585" s="406">
        <v>-13.26</v>
      </c>
      <c r="DP585" s="80">
        <v>440</v>
      </c>
    </row>
    <row r="586" spans="29:120" x14ac:dyDescent="0.25">
      <c r="AC586" s="122" t="s">
        <v>333</v>
      </c>
      <c r="AD586" s="122" t="s">
        <v>988</v>
      </c>
      <c r="AE586" s="127">
        <v>2</v>
      </c>
      <c r="DA586" s="122" t="s">
        <v>289</v>
      </c>
      <c r="DB586" s="122" t="s">
        <v>2454</v>
      </c>
      <c r="DC586" s="122" t="s">
        <v>2454</v>
      </c>
      <c r="DD586" s="127">
        <v>6</v>
      </c>
      <c r="DE586" s="127">
        <v>6</v>
      </c>
      <c r="DG586" s="405" t="s">
        <v>289</v>
      </c>
      <c r="DH586" s="406" t="s">
        <v>2454</v>
      </c>
      <c r="DI586" s="406" t="str">
        <f t="shared" si="41"/>
        <v>BA, Tanhaçu</v>
      </c>
      <c r="DJ586" s="406">
        <v>-14.021000000000001</v>
      </c>
      <c r="DK586" s="80">
        <v>-41.247999999999998</v>
      </c>
      <c r="DL586" s="80">
        <v>430</v>
      </c>
      <c r="DM586" s="64">
        <v>6</v>
      </c>
      <c r="DN586" s="406" t="s">
        <v>6213</v>
      </c>
      <c r="DO586" s="406">
        <v>-14.18</v>
      </c>
      <c r="DP586" s="80">
        <v>470</v>
      </c>
    </row>
    <row r="587" spans="29:120" x14ac:dyDescent="0.25">
      <c r="AC587" s="122" t="s">
        <v>333</v>
      </c>
      <c r="AD587" s="122" t="s">
        <v>989</v>
      </c>
      <c r="AE587" s="127">
        <v>2</v>
      </c>
      <c r="DA587" s="122" t="s">
        <v>289</v>
      </c>
      <c r="DB587" s="122" t="s">
        <v>6391</v>
      </c>
      <c r="DC587" s="122" t="s">
        <v>2653</v>
      </c>
      <c r="DD587" s="127">
        <v>6</v>
      </c>
      <c r="DE587" s="127">
        <v>6</v>
      </c>
      <c r="DG587" s="405" t="s">
        <v>289</v>
      </c>
      <c r="DH587" s="406" t="s">
        <v>2653</v>
      </c>
      <c r="DI587" s="406" t="str">
        <f t="shared" si="41"/>
        <v>BA, Tanque Novo</v>
      </c>
      <c r="DJ587" s="406">
        <v>-13.545999999999999</v>
      </c>
      <c r="DK587" s="80">
        <v>-42.491</v>
      </c>
      <c r="DL587" s="80">
        <v>835</v>
      </c>
      <c r="DM587" s="64">
        <v>6</v>
      </c>
      <c r="DN587" s="406" t="s">
        <v>6242</v>
      </c>
      <c r="DO587" s="406">
        <v>-14.21</v>
      </c>
      <c r="DP587" s="80">
        <v>551</v>
      </c>
    </row>
    <row r="588" spans="29:120" x14ac:dyDescent="0.25">
      <c r="AC588" s="122" t="s">
        <v>376</v>
      </c>
      <c r="AD588" s="122" t="s">
        <v>990</v>
      </c>
      <c r="AE588" s="127">
        <v>2</v>
      </c>
      <c r="DA588" s="122" t="s">
        <v>289</v>
      </c>
      <c r="DB588" s="122" t="s">
        <v>3489</v>
      </c>
      <c r="DC588" s="122" t="s">
        <v>3489</v>
      </c>
      <c r="DD588" s="127">
        <v>8</v>
      </c>
      <c r="DE588" s="127">
        <v>8</v>
      </c>
      <c r="DG588" s="405" t="s">
        <v>289</v>
      </c>
      <c r="DH588" s="406" t="s">
        <v>3489</v>
      </c>
      <c r="DI588" s="406" t="str">
        <f t="shared" si="41"/>
        <v>BA, Tanquinho</v>
      </c>
      <c r="DJ588" s="406">
        <v>-11.978999999999999</v>
      </c>
      <c r="DK588" s="80">
        <v>-39.103999999999999</v>
      </c>
      <c r="DL588" s="80">
        <v>248</v>
      </c>
      <c r="DM588" s="64">
        <v>8</v>
      </c>
      <c r="DN588" s="406" t="s">
        <v>6200</v>
      </c>
      <c r="DO588" s="406">
        <v>-12.27</v>
      </c>
      <c r="DP588" s="80">
        <v>231</v>
      </c>
    </row>
    <row r="589" spans="29:120" x14ac:dyDescent="0.25">
      <c r="AC589" s="122" t="s">
        <v>376</v>
      </c>
      <c r="AD589" s="122" t="s">
        <v>991</v>
      </c>
      <c r="AE589" s="127">
        <v>3</v>
      </c>
      <c r="DA589" s="122" t="s">
        <v>289</v>
      </c>
      <c r="DB589" s="122" t="s">
        <v>2067</v>
      </c>
      <c r="DC589" s="122" t="s">
        <v>2067</v>
      </c>
      <c r="DD589" s="127">
        <v>8</v>
      </c>
      <c r="DE589" s="127">
        <v>8</v>
      </c>
      <c r="DG589" s="405" t="s">
        <v>289</v>
      </c>
      <c r="DH589" s="406" t="s">
        <v>2067</v>
      </c>
      <c r="DI589" s="406" t="str">
        <f t="shared" si="41"/>
        <v>BA, Taperoá</v>
      </c>
      <c r="DJ589" s="406">
        <v>-13.538</v>
      </c>
      <c r="DK589" s="80">
        <v>-39.098999999999997</v>
      </c>
      <c r="DL589" s="80">
        <v>15</v>
      </c>
      <c r="DM589" s="64">
        <v>8</v>
      </c>
      <c r="DN589" s="406" t="s">
        <v>6215</v>
      </c>
      <c r="DO589" s="406">
        <v>-13.37</v>
      </c>
      <c r="DP589" s="80">
        <v>39</v>
      </c>
    </row>
    <row r="590" spans="29:120" x14ac:dyDescent="0.25">
      <c r="AC590" s="122" t="s">
        <v>333</v>
      </c>
      <c r="AD590" s="122" t="s">
        <v>992</v>
      </c>
      <c r="AE590" s="127">
        <v>4</v>
      </c>
      <c r="DA590" s="122" t="s">
        <v>289</v>
      </c>
      <c r="DB590" s="122" t="s">
        <v>2108</v>
      </c>
      <c r="DC590" s="122" t="s">
        <v>2108</v>
      </c>
      <c r="DD590" s="127">
        <v>5</v>
      </c>
      <c r="DE590" s="127">
        <v>5</v>
      </c>
      <c r="DG590" s="405" t="s">
        <v>289</v>
      </c>
      <c r="DH590" s="406" t="s">
        <v>2108</v>
      </c>
      <c r="DI590" s="406" t="str">
        <f t="shared" si="41"/>
        <v>BA, Tapiramutá</v>
      </c>
      <c r="DJ590" s="406">
        <v>-11.847</v>
      </c>
      <c r="DK590" s="80">
        <v>-40.790999999999997</v>
      </c>
      <c r="DL590" s="80">
        <v>820</v>
      </c>
      <c r="DM590" s="64">
        <v>5</v>
      </c>
      <c r="DN590" s="406" t="s">
        <v>6218</v>
      </c>
      <c r="DO590" s="406">
        <v>-12.14</v>
      </c>
      <c r="DP590" s="80">
        <v>380</v>
      </c>
    </row>
    <row r="591" spans="29:120" x14ac:dyDescent="0.25">
      <c r="AC591" s="122" t="s">
        <v>376</v>
      </c>
      <c r="AD591" s="122" t="s">
        <v>993</v>
      </c>
      <c r="AE591" s="127">
        <v>3</v>
      </c>
      <c r="DA591" s="122" t="s">
        <v>289</v>
      </c>
      <c r="DB591" s="122" t="s">
        <v>6392</v>
      </c>
      <c r="DC591" s="122" t="s">
        <v>1804</v>
      </c>
      <c r="DD591" s="127">
        <v>8</v>
      </c>
      <c r="DE591" s="127">
        <v>8</v>
      </c>
      <c r="DG591" s="405" t="s">
        <v>289</v>
      </c>
      <c r="DH591" s="406" t="s">
        <v>1804</v>
      </c>
      <c r="DI591" s="406" t="str">
        <f t="shared" si="41"/>
        <v>BA, Teixeira de Freitas</v>
      </c>
      <c r="DJ591" s="406">
        <v>-17.535</v>
      </c>
      <c r="DK591" s="80">
        <v>-39.741999999999997</v>
      </c>
      <c r="DL591" s="80">
        <v>186</v>
      </c>
      <c r="DM591" s="64">
        <v>8</v>
      </c>
      <c r="DN591" s="406" t="s">
        <v>6201</v>
      </c>
      <c r="DO591" s="406">
        <v>-17.73</v>
      </c>
      <c r="DP591" s="80">
        <v>3</v>
      </c>
    </row>
    <row r="592" spans="29:120" x14ac:dyDescent="0.25">
      <c r="AC592" s="122" t="s">
        <v>311</v>
      </c>
      <c r="AD592" s="122" t="s">
        <v>994</v>
      </c>
      <c r="AE592" s="127">
        <v>3</v>
      </c>
      <c r="DA592" s="122" t="s">
        <v>289</v>
      </c>
      <c r="DB592" s="122" t="s">
        <v>6393</v>
      </c>
      <c r="DC592" s="122" t="s">
        <v>2095</v>
      </c>
      <c r="DD592" s="127">
        <v>8</v>
      </c>
      <c r="DE592" s="127">
        <v>8</v>
      </c>
      <c r="DG592" s="405" t="s">
        <v>289</v>
      </c>
      <c r="DH592" s="406" t="s">
        <v>2095</v>
      </c>
      <c r="DI592" s="406" t="str">
        <f t="shared" si="41"/>
        <v>BA, Teodoro Sampaio</v>
      </c>
      <c r="DJ592" s="406">
        <v>-12.303000000000001</v>
      </c>
      <c r="DK592" s="80">
        <v>-38.643000000000001</v>
      </c>
      <c r="DL592" s="80">
        <v>121</v>
      </c>
      <c r="DM592" s="64">
        <v>8</v>
      </c>
      <c r="DN592" s="406" t="s">
        <v>6200</v>
      </c>
      <c r="DO592" s="406">
        <v>-12.27</v>
      </c>
      <c r="DP592" s="80">
        <v>231</v>
      </c>
    </row>
    <row r="593" spans="29:120" x14ac:dyDescent="0.25">
      <c r="AC593" s="122" t="s">
        <v>376</v>
      </c>
      <c r="AD593" s="122" t="s">
        <v>995</v>
      </c>
      <c r="AE593" s="127">
        <v>3</v>
      </c>
      <c r="DA593" s="122" t="s">
        <v>289</v>
      </c>
      <c r="DB593" s="122" t="s">
        <v>2251</v>
      </c>
      <c r="DC593" s="122" t="s">
        <v>2251</v>
      </c>
      <c r="DD593" s="127">
        <v>8</v>
      </c>
      <c r="DE593" s="127">
        <v>8</v>
      </c>
      <c r="DG593" s="405" t="s">
        <v>289</v>
      </c>
      <c r="DH593" s="406" t="s">
        <v>2251</v>
      </c>
      <c r="DI593" s="406" t="str">
        <f t="shared" si="41"/>
        <v>BA, Teofilândia</v>
      </c>
      <c r="DJ593" s="406">
        <v>-11.489000000000001</v>
      </c>
      <c r="DK593" s="80">
        <v>-38.997999999999998</v>
      </c>
      <c r="DL593" s="80">
        <v>430</v>
      </c>
      <c r="DM593" s="64">
        <v>8</v>
      </c>
      <c r="DN593" s="406" t="s">
        <v>6198</v>
      </c>
      <c r="DO593" s="406">
        <v>-11.66</v>
      </c>
      <c r="DP593" s="80">
        <v>339</v>
      </c>
    </row>
    <row r="594" spans="29:120" x14ac:dyDescent="0.25">
      <c r="AC594" s="122" t="s">
        <v>333</v>
      </c>
      <c r="AD594" s="122" t="s">
        <v>996</v>
      </c>
      <c r="AE594" s="127">
        <v>2</v>
      </c>
      <c r="DA594" s="122" t="s">
        <v>289</v>
      </c>
      <c r="DB594" s="122" t="s">
        <v>2076</v>
      </c>
      <c r="DC594" s="122" t="s">
        <v>2076</v>
      </c>
      <c r="DD594" s="127">
        <v>8</v>
      </c>
      <c r="DE594" s="127">
        <v>8</v>
      </c>
      <c r="DG594" s="405" t="s">
        <v>289</v>
      </c>
      <c r="DH594" s="406" t="s">
        <v>2076</v>
      </c>
      <c r="DI594" s="406" t="str">
        <f t="shared" si="41"/>
        <v>BA, Teolândia</v>
      </c>
      <c r="DJ594" s="406">
        <v>-13.602</v>
      </c>
      <c r="DK594" s="80">
        <v>-39.491</v>
      </c>
      <c r="DL594" s="80">
        <v>192</v>
      </c>
      <c r="DM594" s="64">
        <v>8</v>
      </c>
      <c r="DN594" s="406" t="s">
        <v>6215</v>
      </c>
      <c r="DO594" s="406">
        <v>-13.37</v>
      </c>
      <c r="DP594" s="80">
        <v>39</v>
      </c>
    </row>
    <row r="595" spans="29:120" x14ac:dyDescent="0.25">
      <c r="AC595" s="122" t="s">
        <v>376</v>
      </c>
      <c r="AD595" s="122" t="s">
        <v>997</v>
      </c>
      <c r="AE595" s="127">
        <v>4</v>
      </c>
      <c r="DA595" s="122" t="s">
        <v>289</v>
      </c>
      <c r="DB595" s="122" t="s">
        <v>6394</v>
      </c>
      <c r="DC595" s="122" t="s">
        <v>2030</v>
      </c>
      <c r="DD595" s="127">
        <v>8</v>
      </c>
      <c r="DE595" s="127">
        <v>8</v>
      </c>
      <c r="DG595" s="405" t="s">
        <v>289</v>
      </c>
      <c r="DH595" s="406" t="s">
        <v>2030</v>
      </c>
      <c r="DI595" s="406" t="str">
        <f t="shared" si="41"/>
        <v>BA, Terra Nova</v>
      </c>
      <c r="DJ595" s="406">
        <v>-12.391999999999999</v>
      </c>
      <c r="DK595" s="80">
        <v>-38.625</v>
      </c>
      <c r="DL595" s="80">
        <v>720</v>
      </c>
      <c r="DM595" s="64">
        <v>8</v>
      </c>
      <c r="DN595" s="406" t="s">
        <v>6200</v>
      </c>
      <c r="DO595" s="406">
        <v>-12.27</v>
      </c>
      <c r="DP595" s="80">
        <v>231</v>
      </c>
    </row>
    <row r="596" spans="29:120" x14ac:dyDescent="0.25">
      <c r="AC596" s="122" t="s">
        <v>333</v>
      </c>
      <c r="AD596" s="122" t="s">
        <v>998</v>
      </c>
      <c r="AE596" s="127">
        <v>2</v>
      </c>
      <c r="DA596" s="122" t="s">
        <v>289</v>
      </c>
      <c r="DB596" s="122" t="s">
        <v>2496</v>
      </c>
      <c r="DC596" s="122" t="s">
        <v>2496</v>
      </c>
      <c r="DD596" s="127">
        <v>5</v>
      </c>
      <c r="DE596" s="127">
        <v>5</v>
      </c>
      <c r="DG596" s="405" t="s">
        <v>289</v>
      </c>
      <c r="DH596" s="406" t="s">
        <v>2496</v>
      </c>
      <c r="DI596" s="406" t="str">
        <f t="shared" si="41"/>
        <v>BA, Tremedal</v>
      </c>
      <c r="DJ596" s="406">
        <v>-14.976000000000001</v>
      </c>
      <c r="DK596" s="80">
        <v>-41.411000000000001</v>
      </c>
      <c r="DL596" s="80">
        <v>530</v>
      </c>
      <c r="DM596" s="64">
        <v>5</v>
      </c>
      <c r="DN596" s="406" t="s">
        <v>6206</v>
      </c>
      <c r="DO596" s="406">
        <v>-14.87</v>
      </c>
      <c r="DP596" s="80">
        <v>870</v>
      </c>
    </row>
    <row r="597" spans="29:120" x14ac:dyDescent="0.25">
      <c r="AC597" s="122" t="s">
        <v>311</v>
      </c>
      <c r="AD597" s="122" t="s">
        <v>999</v>
      </c>
      <c r="AE597" s="127">
        <v>3</v>
      </c>
      <c r="DA597" s="122" t="s">
        <v>289</v>
      </c>
      <c r="DB597" s="122" t="s">
        <v>2344</v>
      </c>
      <c r="DC597" s="122" t="s">
        <v>2344</v>
      </c>
      <c r="DD597" s="127">
        <v>8</v>
      </c>
      <c r="DE597" s="127">
        <v>8</v>
      </c>
      <c r="DG597" s="405" t="s">
        <v>289</v>
      </c>
      <c r="DH597" s="406" t="s">
        <v>2344</v>
      </c>
      <c r="DI597" s="406" t="str">
        <f t="shared" si="41"/>
        <v>BA, Tucano</v>
      </c>
      <c r="DJ597" s="406">
        <v>-10.962999999999999</v>
      </c>
      <c r="DK597" s="80">
        <v>-38.786999999999999</v>
      </c>
      <c r="DL597" s="80">
        <v>209</v>
      </c>
      <c r="DM597" s="64">
        <v>8</v>
      </c>
      <c r="DN597" s="406" t="s">
        <v>6219</v>
      </c>
      <c r="DO597" s="406">
        <v>-10.54</v>
      </c>
      <c r="DP597" s="80">
        <v>432</v>
      </c>
    </row>
    <row r="598" spans="29:120" x14ac:dyDescent="0.25">
      <c r="AC598" s="122" t="s">
        <v>333</v>
      </c>
      <c r="AD598" s="122" t="s">
        <v>1000</v>
      </c>
      <c r="AE598" s="127">
        <v>3</v>
      </c>
      <c r="DA598" s="122" t="s">
        <v>289</v>
      </c>
      <c r="DB598" s="122" t="s">
        <v>5234</v>
      </c>
      <c r="DC598" s="122" t="s">
        <v>5234</v>
      </c>
      <c r="DD598" s="127">
        <v>6</v>
      </c>
      <c r="DE598" s="127">
        <v>6</v>
      </c>
      <c r="DG598" s="405" t="s">
        <v>289</v>
      </c>
      <c r="DH598" s="406" t="s">
        <v>5234</v>
      </c>
      <c r="DI598" s="406" t="str">
        <f t="shared" si="41"/>
        <v>BA, Uauá</v>
      </c>
      <c r="DJ598" s="406">
        <v>-9.8420000000000005</v>
      </c>
      <c r="DK598" s="80">
        <v>-39.481999999999999</v>
      </c>
      <c r="DL598" s="80">
        <v>439</v>
      </c>
      <c r="DM598" s="64">
        <v>6</v>
      </c>
      <c r="DN598" s="406" t="s">
        <v>6254</v>
      </c>
      <c r="DO598" s="406">
        <v>-9.83</v>
      </c>
      <c r="DP598" s="80">
        <v>453</v>
      </c>
    </row>
    <row r="599" spans="29:120" x14ac:dyDescent="0.25">
      <c r="AC599" s="122" t="s">
        <v>376</v>
      </c>
      <c r="AD599" s="122" t="s">
        <v>1001</v>
      </c>
      <c r="AE599" s="127">
        <v>3</v>
      </c>
      <c r="DA599" s="122" t="s">
        <v>289</v>
      </c>
      <c r="DB599" s="122" t="s">
        <v>1900</v>
      </c>
      <c r="DC599" s="122" t="s">
        <v>1900</v>
      </c>
      <c r="DD599" s="127">
        <v>5</v>
      </c>
      <c r="DE599" s="127">
        <v>5</v>
      </c>
      <c r="DG599" s="405" t="s">
        <v>289</v>
      </c>
      <c r="DH599" s="406" t="s">
        <v>1900</v>
      </c>
      <c r="DI599" s="406" t="str">
        <f t="shared" si="41"/>
        <v>BA, Ubaíra</v>
      </c>
      <c r="DJ599" s="406">
        <v>-13.268000000000001</v>
      </c>
      <c r="DK599" s="80">
        <v>-39.662999999999997</v>
      </c>
      <c r="DL599" s="80">
        <v>324</v>
      </c>
      <c r="DM599" s="64">
        <v>5</v>
      </c>
      <c r="DN599" s="406" t="s">
        <v>6202</v>
      </c>
      <c r="DO599" s="406">
        <v>-13.01</v>
      </c>
      <c r="DP599" s="80">
        <v>407</v>
      </c>
    </row>
    <row r="600" spans="29:120" x14ac:dyDescent="0.25">
      <c r="AC600" s="122" t="s">
        <v>333</v>
      </c>
      <c r="AD600" s="122" t="s">
        <v>1002</v>
      </c>
      <c r="AE600" s="127">
        <v>2</v>
      </c>
      <c r="DA600" s="122" t="s">
        <v>289</v>
      </c>
      <c r="DB600" s="122" t="s">
        <v>2133</v>
      </c>
      <c r="DC600" s="122" t="s">
        <v>2133</v>
      </c>
      <c r="DD600" s="127">
        <v>8</v>
      </c>
      <c r="DE600" s="127">
        <v>8</v>
      </c>
      <c r="DG600" s="405" t="s">
        <v>289</v>
      </c>
      <c r="DH600" s="406" t="s">
        <v>2133</v>
      </c>
      <c r="DI600" s="406" t="str">
        <f t="shared" si="41"/>
        <v>BA, Ubaitaba</v>
      </c>
      <c r="DJ600" s="406">
        <v>-14.313000000000001</v>
      </c>
      <c r="DK600" s="80">
        <v>-39.323</v>
      </c>
      <c r="DL600" s="80">
        <v>68</v>
      </c>
      <c r="DM600" s="64">
        <v>8</v>
      </c>
      <c r="DN600" s="406" t="s">
        <v>6199</v>
      </c>
      <c r="DO600" s="406">
        <v>-14.14</v>
      </c>
      <c r="DP600" s="80">
        <v>135</v>
      </c>
    </row>
    <row r="601" spans="29:120" x14ac:dyDescent="0.25">
      <c r="AC601" s="122" t="s">
        <v>376</v>
      </c>
      <c r="AD601" s="122" t="s">
        <v>1003</v>
      </c>
      <c r="AE601" s="127">
        <v>3</v>
      </c>
      <c r="DA601" s="122" t="s">
        <v>289</v>
      </c>
      <c r="DB601" s="122" t="s">
        <v>5233</v>
      </c>
      <c r="DC601" s="122" t="s">
        <v>5233</v>
      </c>
      <c r="DD601" s="127">
        <v>8</v>
      </c>
      <c r="DE601" s="127">
        <v>8</v>
      </c>
      <c r="DG601" s="405" t="s">
        <v>289</v>
      </c>
      <c r="DH601" s="406" t="s">
        <v>5233</v>
      </c>
      <c r="DI601" s="406" t="str">
        <f t="shared" si="41"/>
        <v>BA, Ubatã</v>
      </c>
      <c r="DJ601" s="406">
        <v>-14.214</v>
      </c>
      <c r="DK601" s="80">
        <v>-39.523000000000003</v>
      </c>
      <c r="DL601" s="80">
        <v>109</v>
      </c>
      <c r="DM601" s="64">
        <v>8</v>
      </c>
      <c r="DN601" s="406" t="s">
        <v>6199</v>
      </c>
      <c r="DO601" s="406">
        <v>-14.14</v>
      </c>
      <c r="DP601" s="80">
        <v>135</v>
      </c>
    </row>
    <row r="602" spans="29:120" x14ac:dyDescent="0.25">
      <c r="AC602" s="122" t="s">
        <v>376</v>
      </c>
      <c r="AD602" s="122" t="s">
        <v>1004</v>
      </c>
      <c r="AE602" s="127">
        <v>3</v>
      </c>
      <c r="DA602" s="122" t="s">
        <v>289</v>
      </c>
      <c r="DB602" s="122" t="s">
        <v>2567</v>
      </c>
      <c r="DC602" s="122" t="s">
        <v>2567</v>
      </c>
      <c r="DD602" s="127">
        <v>6</v>
      </c>
      <c r="DE602" s="127">
        <v>6</v>
      </c>
      <c r="DG602" s="405" t="s">
        <v>289</v>
      </c>
      <c r="DH602" s="406" t="s">
        <v>2567</v>
      </c>
      <c r="DI602" s="406" t="str">
        <f t="shared" si="41"/>
        <v>BA, Uibaí</v>
      </c>
      <c r="DJ602" s="406">
        <v>-11.337</v>
      </c>
      <c r="DK602" s="80">
        <v>-42.133000000000003</v>
      </c>
      <c r="DL602" s="80">
        <v>582</v>
      </c>
      <c r="DM602" s="64">
        <v>6</v>
      </c>
      <c r="DN602" s="406" t="s">
        <v>6205</v>
      </c>
      <c r="DO602" s="406">
        <v>-11.33</v>
      </c>
      <c r="DP602" s="80">
        <v>755</v>
      </c>
    </row>
    <row r="603" spans="29:120" x14ac:dyDescent="0.25">
      <c r="AC603" s="122" t="s">
        <v>333</v>
      </c>
      <c r="AD603" s="122" t="s">
        <v>1005</v>
      </c>
      <c r="AE603" s="127">
        <v>2</v>
      </c>
      <c r="DA603" s="122" t="s">
        <v>289</v>
      </c>
      <c r="DB603" s="122" t="s">
        <v>2665</v>
      </c>
      <c r="DC603" s="122" t="s">
        <v>2665</v>
      </c>
      <c r="DD603" s="127">
        <v>5</v>
      </c>
      <c r="DE603" s="127">
        <v>5</v>
      </c>
      <c r="DG603" s="405" t="s">
        <v>289</v>
      </c>
      <c r="DH603" s="406" t="s">
        <v>2665</v>
      </c>
      <c r="DI603" s="406" t="str">
        <f t="shared" si="41"/>
        <v>BA, Umburanas</v>
      </c>
      <c r="DJ603" s="406">
        <v>-10.733000000000001</v>
      </c>
      <c r="DK603" s="80">
        <v>-41.326000000000001</v>
      </c>
      <c r="DL603" s="80">
        <v>738</v>
      </c>
      <c r="DM603" s="64">
        <v>5</v>
      </c>
      <c r="DN603" s="406" t="s">
        <v>6327</v>
      </c>
      <c r="DO603" s="406">
        <v>-10.46</v>
      </c>
      <c r="DP603" s="80">
        <v>637</v>
      </c>
    </row>
    <row r="604" spans="29:120" x14ac:dyDescent="0.25">
      <c r="AC604" s="122" t="s">
        <v>333</v>
      </c>
      <c r="AD604" s="122" t="s">
        <v>1006</v>
      </c>
      <c r="AE604" s="127">
        <v>2</v>
      </c>
      <c r="DA604" s="122" t="s">
        <v>289</v>
      </c>
      <c r="DB604" s="122" t="s">
        <v>1829</v>
      </c>
      <c r="DC604" s="122" t="s">
        <v>1829</v>
      </c>
      <c r="DD604" s="127">
        <v>8</v>
      </c>
      <c r="DE604" s="127">
        <v>8</v>
      </c>
      <c r="DG604" s="405" t="s">
        <v>289</v>
      </c>
      <c r="DH604" s="406" t="s">
        <v>1829</v>
      </c>
      <c r="DI604" s="406" t="str">
        <f t="shared" si="41"/>
        <v>BA, Una</v>
      </c>
      <c r="DJ604" s="406">
        <v>-15.292999999999999</v>
      </c>
      <c r="DK604" s="80">
        <v>-39.075000000000003</v>
      </c>
      <c r="DL604" s="80">
        <v>28</v>
      </c>
      <c r="DM604" s="64">
        <v>8</v>
      </c>
      <c r="DN604" s="406" t="s">
        <v>6214</v>
      </c>
      <c r="DO604" s="406">
        <v>-15.28</v>
      </c>
      <c r="DP604" s="80">
        <v>82</v>
      </c>
    </row>
    <row r="605" spans="29:120" x14ac:dyDescent="0.25">
      <c r="AC605" s="122" t="s">
        <v>333</v>
      </c>
      <c r="AD605" s="122" t="s">
        <v>1007</v>
      </c>
      <c r="AE605" s="127">
        <v>2</v>
      </c>
      <c r="DA605" s="122" t="s">
        <v>289</v>
      </c>
      <c r="DB605" s="122" t="s">
        <v>5123</v>
      </c>
      <c r="DC605" s="122" t="s">
        <v>5123</v>
      </c>
      <c r="DD605" s="127">
        <v>6</v>
      </c>
      <c r="DE605" s="127">
        <v>6</v>
      </c>
      <c r="DG605" s="405" t="s">
        <v>289</v>
      </c>
      <c r="DH605" s="406" t="s">
        <v>5123</v>
      </c>
      <c r="DI605" s="406" t="str">
        <f t="shared" si="41"/>
        <v>BA, Urandi</v>
      </c>
      <c r="DJ605" s="406">
        <v>-14.771000000000001</v>
      </c>
      <c r="DK605" s="80">
        <v>-42.655000000000001</v>
      </c>
      <c r="DL605" s="80">
        <v>637</v>
      </c>
      <c r="DM605" s="64">
        <v>6</v>
      </c>
      <c r="DN605" s="406" t="s">
        <v>6293</v>
      </c>
      <c r="DO605" s="406">
        <v>-14.92</v>
      </c>
      <c r="DP605" s="80">
        <v>570</v>
      </c>
    </row>
    <row r="606" spans="29:120" x14ac:dyDescent="0.25">
      <c r="AC606" s="122" t="s">
        <v>333</v>
      </c>
      <c r="AD606" s="122" t="s">
        <v>1008</v>
      </c>
      <c r="AE606" s="127">
        <v>2</v>
      </c>
      <c r="DA606" s="122" t="s">
        <v>289</v>
      </c>
      <c r="DB606" s="122" t="s">
        <v>1990</v>
      </c>
      <c r="DC606" s="122" t="s">
        <v>1990</v>
      </c>
      <c r="DD606" s="127">
        <v>8</v>
      </c>
      <c r="DE606" s="127">
        <v>8</v>
      </c>
      <c r="DG606" s="405" t="s">
        <v>289</v>
      </c>
      <c r="DH606" s="406" t="s">
        <v>1990</v>
      </c>
      <c r="DI606" s="406" t="str">
        <f t="shared" si="41"/>
        <v>BA, Uruçuca</v>
      </c>
      <c r="DJ606" s="406">
        <v>-14.593</v>
      </c>
      <c r="DK606" s="80">
        <v>-39.283999999999999</v>
      </c>
      <c r="DL606" s="80">
        <v>102</v>
      </c>
      <c r="DM606" s="64">
        <v>8</v>
      </c>
      <c r="DN606" s="406" t="s">
        <v>6227</v>
      </c>
      <c r="DO606" s="406">
        <v>-14.79</v>
      </c>
      <c r="DP606" s="80">
        <v>78</v>
      </c>
    </row>
    <row r="607" spans="29:120" x14ac:dyDescent="0.25">
      <c r="AC607" s="122" t="s">
        <v>333</v>
      </c>
      <c r="AD607" s="122" t="s">
        <v>1009</v>
      </c>
      <c r="AE607" s="127">
        <v>3</v>
      </c>
      <c r="DA607" s="122" t="s">
        <v>289</v>
      </c>
      <c r="DB607" s="122" t="s">
        <v>2043</v>
      </c>
      <c r="DC607" s="122" t="s">
        <v>2043</v>
      </c>
      <c r="DD607" s="127">
        <v>5</v>
      </c>
      <c r="DE607" s="127">
        <v>5</v>
      </c>
      <c r="DG607" s="405" t="s">
        <v>289</v>
      </c>
      <c r="DH607" s="406" t="s">
        <v>2043</v>
      </c>
      <c r="DI607" s="406" t="str">
        <f t="shared" si="41"/>
        <v>BA, Utinga</v>
      </c>
      <c r="DJ607" s="406">
        <v>-12.082000000000001</v>
      </c>
      <c r="DK607" s="80">
        <v>-41.094000000000001</v>
      </c>
      <c r="DL607" s="80">
        <v>530</v>
      </c>
      <c r="DM607" s="64">
        <v>5</v>
      </c>
      <c r="DN607" s="406" t="s">
        <v>6207</v>
      </c>
      <c r="DO607" s="406">
        <v>-12.56</v>
      </c>
      <c r="DP607" s="80">
        <v>439</v>
      </c>
    </row>
    <row r="608" spans="29:120" x14ac:dyDescent="0.25">
      <c r="AC608" s="122" t="s">
        <v>333</v>
      </c>
      <c r="AD608" s="122" t="s">
        <v>1010</v>
      </c>
      <c r="AE608" s="127">
        <v>2</v>
      </c>
      <c r="DA608" s="122" t="s">
        <v>289</v>
      </c>
      <c r="DB608" s="122" t="s">
        <v>2282</v>
      </c>
      <c r="DC608" s="122" t="s">
        <v>2282</v>
      </c>
      <c r="DD608" s="127">
        <v>8</v>
      </c>
      <c r="DE608" s="127">
        <v>8</v>
      </c>
      <c r="DG608" s="405" t="s">
        <v>289</v>
      </c>
      <c r="DH608" s="406" t="s">
        <v>2282</v>
      </c>
      <c r="DI608" s="406" t="str">
        <f t="shared" si="41"/>
        <v>BA, Valença</v>
      </c>
      <c r="DJ608" s="406">
        <v>-13.37</v>
      </c>
      <c r="DK608" s="80">
        <v>-39.073</v>
      </c>
      <c r="DL608" s="80">
        <v>39</v>
      </c>
      <c r="DM608" s="64">
        <v>8</v>
      </c>
      <c r="DN608" s="406" t="s">
        <v>6215</v>
      </c>
      <c r="DO608" s="406">
        <v>-13.37</v>
      </c>
      <c r="DP608" s="80">
        <v>39</v>
      </c>
    </row>
    <row r="609" spans="29:120" x14ac:dyDescent="0.25">
      <c r="AC609" s="122" t="s">
        <v>376</v>
      </c>
      <c r="AD609" s="122" t="s">
        <v>1011</v>
      </c>
      <c r="AE609" s="127">
        <v>3</v>
      </c>
      <c r="DA609" s="122" t="s">
        <v>289</v>
      </c>
      <c r="DB609" s="122" t="s">
        <v>2314</v>
      </c>
      <c r="DC609" s="122" t="s">
        <v>2314</v>
      </c>
      <c r="DD609" s="127">
        <v>8</v>
      </c>
      <c r="DE609" s="127">
        <v>8</v>
      </c>
      <c r="DG609" s="405" t="s">
        <v>289</v>
      </c>
      <c r="DH609" s="406" t="s">
        <v>2314</v>
      </c>
      <c r="DI609" s="406" t="str">
        <f t="shared" si="41"/>
        <v>BA, Valente</v>
      </c>
      <c r="DJ609" s="406">
        <v>-11.412000000000001</v>
      </c>
      <c r="DK609" s="80">
        <v>-39.462000000000003</v>
      </c>
      <c r="DL609" s="80">
        <v>358</v>
      </c>
      <c r="DM609" s="64">
        <v>8</v>
      </c>
      <c r="DN609" s="406" t="s">
        <v>6253</v>
      </c>
      <c r="DO609" s="406">
        <v>-10.98</v>
      </c>
      <c r="DP609" s="80">
        <v>315</v>
      </c>
    </row>
    <row r="610" spans="29:120" x14ac:dyDescent="0.25">
      <c r="AC610" s="122" t="s">
        <v>333</v>
      </c>
      <c r="AD610" s="122" t="s">
        <v>1012</v>
      </c>
      <c r="AE610" s="127">
        <v>2</v>
      </c>
      <c r="DA610" s="122" t="s">
        <v>289</v>
      </c>
      <c r="DB610" s="122" t="s">
        <v>6395</v>
      </c>
      <c r="DC610" s="122" t="s">
        <v>2256</v>
      </c>
      <c r="DD610" s="127">
        <v>8</v>
      </c>
      <c r="DE610" s="127">
        <v>8</v>
      </c>
      <c r="DG610" s="405" t="s">
        <v>289</v>
      </c>
      <c r="DH610" s="406" t="s">
        <v>2256</v>
      </c>
      <c r="DI610" s="406" t="str">
        <f t="shared" si="41"/>
        <v>BA, Várzea da Roça</v>
      </c>
      <c r="DJ610" s="406">
        <v>-11.606999999999999</v>
      </c>
      <c r="DK610" s="80">
        <v>-40.137</v>
      </c>
      <c r="DL610" s="80">
        <v>459</v>
      </c>
      <c r="DM610" s="64">
        <v>8</v>
      </c>
      <c r="DN610" s="406" t="s">
        <v>6243</v>
      </c>
      <c r="DO610" s="406">
        <v>-11.21</v>
      </c>
      <c r="DP610" s="80">
        <v>453</v>
      </c>
    </row>
    <row r="611" spans="29:120" x14ac:dyDescent="0.25">
      <c r="AC611" s="122" t="s">
        <v>333</v>
      </c>
      <c r="AD611" s="122" t="s">
        <v>1013</v>
      </c>
      <c r="AE611" s="127">
        <v>2</v>
      </c>
      <c r="DA611" s="122" t="s">
        <v>289</v>
      </c>
      <c r="DB611" s="122" t="s">
        <v>6396</v>
      </c>
      <c r="DC611" s="122" t="s">
        <v>2310</v>
      </c>
      <c r="DD611" s="127">
        <v>8</v>
      </c>
      <c r="DE611" s="127">
        <v>8</v>
      </c>
      <c r="DG611" s="405" t="s">
        <v>289</v>
      </c>
      <c r="DH611" s="406" t="s">
        <v>2310</v>
      </c>
      <c r="DI611" s="406" t="str">
        <f t="shared" si="41"/>
        <v>BA, Várzea do Poço</v>
      </c>
      <c r="DJ611" s="406">
        <v>-11.529</v>
      </c>
      <c r="DK611" s="80">
        <v>-40.32</v>
      </c>
      <c r="DL611" s="80">
        <v>462</v>
      </c>
      <c r="DM611" s="64">
        <v>8</v>
      </c>
      <c r="DN611" s="406" t="s">
        <v>6243</v>
      </c>
      <c r="DO611" s="406">
        <v>-11.21</v>
      </c>
      <c r="DP611" s="80">
        <v>453</v>
      </c>
    </row>
    <row r="612" spans="29:120" x14ac:dyDescent="0.25">
      <c r="AC612" s="122" t="s">
        <v>376</v>
      </c>
      <c r="AD612" s="122" t="s">
        <v>1014</v>
      </c>
      <c r="AE612" s="127">
        <v>3</v>
      </c>
      <c r="DA612" s="122" t="s">
        <v>289</v>
      </c>
      <c r="DB612" s="122" t="s">
        <v>6397</v>
      </c>
      <c r="DC612" s="122" t="s">
        <v>2162</v>
      </c>
      <c r="DD612" s="127">
        <v>5</v>
      </c>
      <c r="DE612" s="127">
        <v>5</v>
      </c>
      <c r="DG612" s="405" t="s">
        <v>289</v>
      </c>
      <c r="DH612" s="406" t="s">
        <v>2162</v>
      </c>
      <c r="DI612" s="406" t="str">
        <f t="shared" si="41"/>
        <v>BA, Várzea Nova</v>
      </c>
      <c r="DJ612" s="406">
        <v>-11.259</v>
      </c>
      <c r="DK612" s="80">
        <v>-40.942</v>
      </c>
      <c r="DL612" s="80">
        <v>742</v>
      </c>
      <c r="DM612" s="64">
        <v>5</v>
      </c>
      <c r="DN612" s="406" t="s">
        <v>6243</v>
      </c>
      <c r="DO612" s="406">
        <v>-11.21</v>
      </c>
      <c r="DP612" s="80">
        <v>453</v>
      </c>
    </row>
    <row r="613" spans="29:120" x14ac:dyDescent="0.25">
      <c r="AC613" s="122" t="s">
        <v>333</v>
      </c>
      <c r="AD613" s="122" t="s">
        <v>1015</v>
      </c>
      <c r="AE613" s="127">
        <v>3</v>
      </c>
      <c r="DA613" s="122" t="s">
        <v>289</v>
      </c>
      <c r="DB613" s="122" t="s">
        <v>1988</v>
      </c>
      <c r="DC613" s="122" t="s">
        <v>1988</v>
      </c>
      <c r="DD613" s="127">
        <v>8</v>
      </c>
      <c r="DE613" s="127">
        <v>8</v>
      </c>
      <c r="DG613" s="405" t="s">
        <v>289</v>
      </c>
      <c r="DH613" s="406" t="s">
        <v>1988</v>
      </c>
      <c r="DI613" s="406" t="str">
        <f t="shared" si="41"/>
        <v>BA, Varzedo</v>
      </c>
      <c r="DJ613" s="406">
        <v>-12.971</v>
      </c>
      <c r="DK613" s="80">
        <v>-39.393999999999998</v>
      </c>
      <c r="DL613" s="80">
        <v>280</v>
      </c>
      <c r="DM613" s="64">
        <v>8</v>
      </c>
      <c r="DN613" s="406" t="s">
        <v>6202</v>
      </c>
      <c r="DO613" s="406">
        <v>-13.01</v>
      </c>
      <c r="DP613" s="80">
        <v>407</v>
      </c>
    </row>
    <row r="614" spans="29:120" x14ac:dyDescent="0.25">
      <c r="AC614" s="122" t="s">
        <v>333</v>
      </c>
      <c r="AD614" s="122" t="s">
        <v>1016</v>
      </c>
      <c r="AE614" s="127">
        <v>2</v>
      </c>
      <c r="DA614" s="122" t="s">
        <v>289</v>
      </c>
      <c r="DB614" s="122" t="s">
        <v>6398</v>
      </c>
      <c r="DC614" s="122" t="s">
        <v>1612</v>
      </c>
      <c r="DD614" s="127">
        <v>8</v>
      </c>
      <c r="DE614" s="127">
        <v>8</v>
      </c>
      <c r="DG614" s="405" t="s">
        <v>289</v>
      </c>
      <c r="DH614" s="406" t="s">
        <v>1612</v>
      </c>
      <c r="DI614" s="406" t="str">
        <f t="shared" si="41"/>
        <v>BA, Vera Cruz</v>
      </c>
      <c r="DJ614" s="406">
        <v>-12.96</v>
      </c>
      <c r="DK614" s="80">
        <v>-38.609000000000002</v>
      </c>
      <c r="DL614" s="80">
        <v>13</v>
      </c>
      <c r="DM614" s="64">
        <v>8</v>
      </c>
      <c r="DN614" s="406" t="s">
        <v>6245</v>
      </c>
      <c r="DO614" s="406">
        <v>-12.97</v>
      </c>
      <c r="DP614" s="80">
        <v>51</v>
      </c>
    </row>
    <row r="615" spans="29:120" x14ac:dyDescent="0.25">
      <c r="AC615" s="122" t="s">
        <v>376</v>
      </c>
      <c r="AD615" s="122" t="s">
        <v>1017</v>
      </c>
      <c r="AE615" s="127">
        <v>3</v>
      </c>
      <c r="DA615" s="122" t="s">
        <v>289</v>
      </c>
      <c r="DB615" s="122" t="s">
        <v>1838</v>
      </c>
      <c r="DC615" s="122" t="s">
        <v>1838</v>
      </c>
      <c r="DD615" s="127">
        <v>8</v>
      </c>
      <c r="DE615" s="127">
        <v>8</v>
      </c>
      <c r="DG615" s="405" t="s">
        <v>289</v>
      </c>
      <c r="DH615" s="406" t="s">
        <v>1838</v>
      </c>
      <c r="DI615" s="406" t="str">
        <f t="shared" si="41"/>
        <v>BA, Vereda</v>
      </c>
      <c r="DJ615" s="406">
        <v>-17.222999999999999</v>
      </c>
      <c r="DK615" s="80">
        <v>-40.090000000000003</v>
      </c>
      <c r="DL615" s="80">
        <v>100</v>
      </c>
      <c r="DM615" s="64">
        <v>8</v>
      </c>
      <c r="DN615" s="406" t="s">
        <v>6290</v>
      </c>
      <c r="DO615" s="406">
        <v>-17.78</v>
      </c>
      <c r="DP615" s="80">
        <v>208</v>
      </c>
    </row>
    <row r="616" spans="29:120" x14ac:dyDescent="0.25">
      <c r="AC616" s="122" t="s">
        <v>333</v>
      </c>
      <c r="AD616" s="122" t="s">
        <v>1018</v>
      </c>
      <c r="AE616" s="127">
        <v>2</v>
      </c>
      <c r="DA616" s="122" t="s">
        <v>289</v>
      </c>
      <c r="DB616" s="122" t="s">
        <v>6399</v>
      </c>
      <c r="DC616" s="122" t="s">
        <v>2366</v>
      </c>
      <c r="DD616" s="127">
        <v>5</v>
      </c>
      <c r="DE616" s="127">
        <v>5</v>
      </c>
      <c r="DG616" s="405" t="s">
        <v>289</v>
      </c>
      <c r="DH616" s="406" t="s">
        <v>2366</v>
      </c>
      <c r="DI616" s="406" t="str">
        <f t="shared" si="41"/>
        <v>BA, Vitória da Conquista</v>
      </c>
      <c r="DJ616" s="406">
        <v>-14.866</v>
      </c>
      <c r="DK616" s="80">
        <v>-40.838999999999999</v>
      </c>
      <c r="DL616" s="80">
        <v>923</v>
      </c>
      <c r="DM616" s="64">
        <v>5</v>
      </c>
      <c r="DN616" s="406" t="s">
        <v>6206</v>
      </c>
      <c r="DO616" s="406">
        <v>-14.87</v>
      </c>
      <c r="DP616" s="80">
        <v>870</v>
      </c>
    </row>
    <row r="617" spans="29:120" x14ac:dyDescent="0.25">
      <c r="AC617" s="122" t="s">
        <v>376</v>
      </c>
      <c r="AD617" s="122" t="s">
        <v>1019</v>
      </c>
      <c r="AE617" s="127">
        <v>3</v>
      </c>
      <c r="DA617" s="122" t="s">
        <v>289</v>
      </c>
      <c r="DB617" s="122" t="s">
        <v>2055</v>
      </c>
      <c r="DC617" s="122" t="s">
        <v>2055</v>
      </c>
      <c r="DD617" s="127">
        <v>5</v>
      </c>
      <c r="DE617" s="127">
        <v>5</v>
      </c>
      <c r="DG617" s="405" t="s">
        <v>289</v>
      </c>
      <c r="DH617" s="406" t="s">
        <v>2055</v>
      </c>
      <c r="DI617" s="406" t="str">
        <f t="shared" si="41"/>
        <v>BA, Wagner</v>
      </c>
      <c r="DJ617" s="406">
        <v>-12.287000000000001</v>
      </c>
      <c r="DK617" s="80">
        <v>-41.167999999999999</v>
      </c>
      <c r="DL617" s="80">
        <v>460</v>
      </c>
      <c r="DM617" s="64">
        <v>5</v>
      </c>
      <c r="DN617" s="406" t="s">
        <v>6207</v>
      </c>
      <c r="DO617" s="406">
        <v>-12.56</v>
      </c>
      <c r="DP617" s="80">
        <v>439</v>
      </c>
    </row>
    <row r="618" spans="29:120" x14ac:dyDescent="0.25">
      <c r="AC618" s="122" t="s">
        <v>376</v>
      </c>
      <c r="AD618" s="122" t="s">
        <v>1020</v>
      </c>
      <c r="AE618" s="127">
        <v>3</v>
      </c>
      <c r="DA618" s="122" t="s">
        <v>289</v>
      </c>
      <c r="DB618" s="122" t="s">
        <v>4466</v>
      </c>
      <c r="DC618" s="122" t="s">
        <v>4466</v>
      </c>
      <c r="DD618" s="127">
        <v>6</v>
      </c>
      <c r="DE618" s="127">
        <v>6</v>
      </c>
      <c r="DG618" s="405" t="s">
        <v>289</v>
      </c>
      <c r="DH618" s="406" t="s">
        <v>4466</v>
      </c>
      <c r="DI618" s="406" t="str">
        <f t="shared" si="41"/>
        <v>BA, Wanderley</v>
      </c>
      <c r="DJ618" s="406">
        <v>-12.12</v>
      </c>
      <c r="DK618" s="80">
        <v>-43.887999999999998</v>
      </c>
      <c r="DL618" s="80">
        <v>583</v>
      </c>
      <c r="DM618" s="64">
        <v>6</v>
      </c>
      <c r="DN618" s="406" t="s">
        <v>6236</v>
      </c>
      <c r="DO618" s="406">
        <v>-12.19</v>
      </c>
      <c r="DP618" s="80">
        <v>430</v>
      </c>
    </row>
    <row r="619" spans="29:120" x14ac:dyDescent="0.25">
      <c r="AC619" s="122" t="s">
        <v>376</v>
      </c>
      <c r="AD619" s="122" t="s">
        <v>1021</v>
      </c>
      <c r="AE619" s="127">
        <v>3</v>
      </c>
      <c r="DA619" s="122" t="s">
        <v>289</v>
      </c>
      <c r="DB619" s="122" t="s">
        <v>6400</v>
      </c>
      <c r="DC619" s="122" t="s">
        <v>2106</v>
      </c>
      <c r="DD619" s="127">
        <v>8</v>
      </c>
      <c r="DE619" s="127">
        <v>8</v>
      </c>
      <c r="DG619" s="405" t="s">
        <v>289</v>
      </c>
      <c r="DH619" s="406" t="s">
        <v>2106</v>
      </c>
      <c r="DI619" s="406" t="str">
        <f t="shared" si="41"/>
        <v>BA, Wenceslau Guimarães</v>
      </c>
      <c r="DJ619" s="406">
        <v>-13.686999999999999</v>
      </c>
      <c r="DK619" s="80">
        <v>-39.478999999999999</v>
      </c>
      <c r="DL619" s="80">
        <v>178</v>
      </c>
      <c r="DM619" s="64">
        <v>8</v>
      </c>
      <c r="DN619" s="406" t="s">
        <v>6246</v>
      </c>
      <c r="DO619" s="406">
        <v>-13.91</v>
      </c>
      <c r="DP619" s="80">
        <v>10</v>
      </c>
    </row>
    <row r="620" spans="29:120" x14ac:dyDescent="0.25">
      <c r="AC620" s="122" t="s">
        <v>376</v>
      </c>
      <c r="AD620" s="122" t="s">
        <v>1022</v>
      </c>
      <c r="AE620" s="127">
        <v>3</v>
      </c>
      <c r="DA620" s="122" t="s">
        <v>289</v>
      </c>
      <c r="DB620" s="122" t="s">
        <v>5545</v>
      </c>
      <c r="DC620" s="122" t="s">
        <v>5545</v>
      </c>
      <c r="DD620" s="127">
        <v>6</v>
      </c>
      <c r="DE620" s="127">
        <v>6</v>
      </c>
      <c r="DG620" s="405" t="s">
        <v>289</v>
      </c>
      <c r="DH620" s="406" t="s">
        <v>5545</v>
      </c>
      <c r="DI620" s="406" t="str">
        <f t="shared" si="41"/>
        <v>BA, Xique-Xique</v>
      </c>
      <c r="DJ620" s="406">
        <v>-10.821999999999999</v>
      </c>
      <c r="DK620" s="80">
        <v>-42.731000000000002</v>
      </c>
      <c r="DL620" s="80">
        <v>402</v>
      </c>
      <c r="DM620" s="64">
        <v>6</v>
      </c>
      <c r="DN620" s="406" t="s">
        <v>6220</v>
      </c>
      <c r="DO620" s="406">
        <v>-11.08</v>
      </c>
      <c r="DP620" s="80">
        <v>403</v>
      </c>
    </row>
    <row r="621" spans="29:120" x14ac:dyDescent="0.25">
      <c r="AC621" s="122" t="s">
        <v>333</v>
      </c>
      <c r="AD621" s="122" t="s">
        <v>1023</v>
      </c>
      <c r="AE621" s="127">
        <v>2</v>
      </c>
      <c r="DA621" s="122" t="s">
        <v>300</v>
      </c>
      <c r="DB621" s="122" t="s">
        <v>5193</v>
      </c>
      <c r="DC621" s="122" t="s">
        <v>5193</v>
      </c>
      <c r="DD621" s="127">
        <v>7</v>
      </c>
      <c r="DE621" s="127">
        <v>7</v>
      </c>
      <c r="DG621" s="405" t="s">
        <v>300</v>
      </c>
      <c r="DH621" s="406" t="s">
        <v>5193</v>
      </c>
      <c r="DI621" s="406" t="str">
        <f t="shared" si="41"/>
        <v>CE, Abaiara</v>
      </c>
      <c r="DJ621" s="406">
        <v>-7.359</v>
      </c>
      <c r="DK621" s="80">
        <v>-39.045999999999999</v>
      </c>
      <c r="DL621" s="80">
        <v>409</v>
      </c>
      <c r="DM621" s="64">
        <v>7</v>
      </c>
      <c r="DN621" s="406" t="s">
        <v>6401</v>
      </c>
      <c r="DO621" s="406">
        <v>-7.3</v>
      </c>
      <c r="DP621" s="80">
        <v>409</v>
      </c>
    </row>
    <row r="622" spans="29:120" x14ac:dyDescent="0.25">
      <c r="AC622" s="122" t="s">
        <v>333</v>
      </c>
      <c r="AD622" s="122" t="s">
        <v>1024</v>
      </c>
      <c r="AE622" s="127">
        <v>2</v>
      </c>
      <c r="DA622" s="122" t="s">
        <v>300</v>
      </c>
      <c r="DB622" s="122" t="s">
        <v>4288</v>
      </c>
      <c r="DC622" s="122" t="s">
        <v>4288</v>
      </c>
      <c r="DD622" s="127">
        <v>8</v>
      </c>
      <c r="DE622" s="127">
        <v>8</v>
      </c>
      <c r="DG622" s="405" t="s">
        <v>300</v>
      </c>
      <c r="DH622" s="406" t="s">
        <v>5716</v>
      </c>
      <c r="DI622" s="406" t="str">
        <f t="shared" si="41"/>
        <v>CE, Acarape</v>
      </c>
      <c r="DJ622" s="406">
        <v>-4.2240000000000002</v>
      </c>
      <c r="DK622" s="80">
        <v>-38.707999999999998</v>
      </c>
      <c r="DL622" s="80">
        <v>80</v>
      </c>
      <c r="DM622" s="64">
        <v>8</v>
      </c>
      <c r="DN622" s="406" t="s">
        <v>6402</v>
      </c>
      <c r="DO622" s="406">
        <v>-4.26</v>
      </c>
      <c r="DP622" s="80">
        <v>38</v>
      </c>
    </row>
    <row r="623" spans="29:120" x14ac:dyDescent="0.25">
      <c r="AC623" s="122" t="s">
        <v>333</v>
      </c>
      <c r="AD623" s="122" t="s">
        <v>1025</v>
      </c>
      <c r="AE623" s="127">
        <v>4</v>
      </c>
      <c r="DA623" s="122" t="s">
        <v>300</v>
      </c>
      <c r="DB623" s="122" t="s">
        <v>4258</v>
      </c>
      <c r="DC623" s="122" t="s">
        <v>4258</v>
      </c>
      <c r="DD623" s="127">
        <v>8</v>
      </c>
      <c r="DE623" s="127">
        <v>8</v>
      </c>
      <c r="DG623" s="405" t="s">
        <v>300</v>
      </c>
      <c r="DH623" s="406" t="s">
        <v>4258</v>
      </c>
      <c r="DI623" s="406" t="str">
        <f t="shared" si="41"/>
        <v>CE, Acaraú</v>
      </c>
      <c r="DJ623" s="406">
        <v>-2.8860000000000001</v>
      </c>
      <c r="DK623" s="80">
        <v>-40.119999999999997</v>
      </c>
      <c r="DL623" s="80">
        <v>7</v>
      </c>
      <c r="DM623" s="64">
        <v>8</v>
      </c>
      <c r="DN623" s="406" t="s">
        <v>6403</v>
      </c>
      <c r="DO623" s="406">
        <v>-3.12</v>
      </c>
      <c r="DP623" s="80">
        <v>76</v>
      </c>
    </row>
    <row r="624" spans="29:120" x14ac:dyDescent="0.25">
      <c r="AC624" s="122" t="s">
        <v>376</v>
      </c>
      <c r="AD624" s="122" t="s">
        <v>1026</v>
      </c>
      <c r="AE624" s="127">
        <v>3</v>
      </c>
      <c r="DA624" s="122" t="s">
        <v>300</v>
      </c>
      <c r="DB624" s="122" t="s">
        <v>5237</v>
      </c>
      <c r="DC624" s="122" t="s">
        <v>5237</v>
      </c>
      <c r="DD624" s="127">
        <v>7</v>
      </c>
      <c r="DE624" s="127">
        <v>7</v>
      </c>
      <c r="DG624" s="405" t="s">
        <v>300</v>
      </c>
      <c r="DH624" s="406" t="s">
        <v>5237</v>
      </c>
      <c r="DI624" s="406" t="str">
        <f t="shared" si="41"/>
        <v>CE, Acopiara</v>
      </c>
      <c r="DJ624" s="406">
        <v>-6.0949999999999998</v>
      </c>
      <c r="DK624" s="80">
        <v>-39.453000000000003</v>
      </c>
      <c r="DL624" s="80">
        <v>317</v>
      </c>
      <c r="DM624" s="64">
        <v>7</v>
      </c>
      <c r="DN624" s="406" t="s">
        <v>6404</v>
      </c>
      <c r="DO624" s="406">
        <v>-6.36</v>
      </c>
      <c r="DP624" s="80">
        <v>233</v>
      </c>
    </row>
    <row r="625" spans="29:120" x14ac:dyDescent="0.25">
      <c r="AC625" s="122" t="s">
        <v>376</v>
      </c>
      <c r="AD625" s="122" t="s">
        <v>1027</v>
      </c>
      <c r="AE625" s="127">
        <v>3</v>
      </c>
      <c r="DA625" s="122" t="s">
        <v>300</v>
      </c>
      <c r="DB625" s="122" t="s">
        <v>4579</v>
      </c>
      <c r="DC625" s="122" t="s">
        <v>4579</v>
      </c>
      <c r="DD625" s="127">
        <v>7</v>
      </c>
      <c r="DE625" s="127">
        <v>7</v>
      </c>
      <c r="DG625" s="405" t="s">
        <v>300</v>
      </c>
      <c r="DH625" s="406" t="s">
        <v>4579</v>
      </c>
      <c r="DI625" s="406" t="str">
        <f t="shared" si="41"/>
        <v>CE, Aiuaba</v>
      </c>
      <c r="DJ625" s="406">
        <v>-6.5739999999999998</v>
      </c>
      <c r="DK625" s="80">
        <v>-40.124000000000002</v>
      </c>
      <c r="DL625" s="80">
        <v>466</v>
      </c>
      <c r="DM625" s="64">
        <v>7</v>
      </c>
      <c r="DN625" s="406" t="s">
        <v>6405</v>
      </c>
      <c r="DO625" s="406">
        <v>-7.08</v>
      </c>
      <c r="DP625" s="80">
        <v>572</v>
      </c>
    </row>
    <row r="626" spans="29:120" x14ac:dyDescent="0.25">
      <c r="AC626" s="122" t="s">
        <v>376</v>
      </c>
      <c r="AD626" s="122" t="s">
        <v>1028</v>
      </c>
      <c r="AE626" s="127">
        <v>3</v>
      </c>
      <c r="DA626" s="122" t="s">
        <v>300</v>
      </c>
      <c r="DB626" s="122" t="s">
        <v>4693</v>
      </c>
      <c r="DC626" s="122" t="s">
        <v>4693</v>
      </c>
      <c r="DD626" s="127">
        <v>7</v>
      </c>
      <c r="DE626" s="127">
        <v>7</v>
      </c>
      <c r="DG626" s="405" t="s">
        <v>300</v>
      </c>
      <c r="DH626" s="406" t="s">
        <v>4693</v>
      </c>
      <c r="DI626" s="406" t="str">
        <f t="shared" si="41"/>
        <v>CE, Alcântaras</v>
      </c>
      <c r="DJ626" s="406">
        <v>-3.589</v>
      </c>
      <c r="DK626" s="80">
        <v>-40.545999999999999</v>
      </c>
      <c r="DL626" s="80">
        <v>656</v>
      </c>
      <c r="DM626" s="64">
        <v>7</v>
      </c>
      <c r="DN626" s="406" t="s">
        <v>6403</v>
      </c>
      <c r="DO626" s="406">
        <v>-3.12</v>
      </c>
      <c r="DP626" s="80">
        <v>76</v>
      </c>
    </row>
    <row r="627" spans="29:120" x14ac:dyDescent="0.25">
      <c r="AC627" s="122" t="s">
        <v>376</v>
      </c>
      <c r="AD627" s="122" t="s">
        <v>1029</v>
      </c>
      <c r="AE627" s="127">
        <v>3</v>
      </c>
      <c r="DA627" s="122" t="s">
        <v>300</v>
      </c>
      <c r="DB627" s="122" t="s">
        <v>5191</v>
      </c>
      <c r="DC627" s="122" t="s">
        <v>5191</v>
      </c>
      <c r="DD627" s="127">
        <v>7</v>
      </c>
      <c r="DE627" s="127">
        <v>7</v>
      </c>
      <c r="DG627" s="405" t="s">
        <v>300</v>
      </c>
      <c r="DH627" s="406" t="s">
        <v>5191</v>
      </c>
      <c r="DI627" s="406" t="str">
        <f t="shared" si="41"/>
        <v>CE, Altaneira</v>
      </c>
      <c r="DJ627" s="406">
        <v>-7.0019999999999998</v>
      </c>
      <c r="DK627" s="80">
        <v>-39.741</v>
      </c>
      <c r="DL627" s="80">
        <v>661</v>
      </c>
      <c r="DM627" s="64">
        <v>7</v>
      </c>
      <c r="DN627" s="406" t="s">
        <v>6401</v>
      </c>
      <c r="DO627" s="406">
        <v>-7.3</v>
      </c>
      <c r="DP627" s="80">
        <v>409</v>
      </c>
    </row>
    <row r="628" spans="29:120" x14ac:dyDescent="0.25">
      <c r="AC628" s="122" t="s">
        <v>376</v>
      </c>
      <c r="AD628" s="122" t="s">
        <v>1030</v>
      </c>
      <c r="AE628" s="127">
        <v>3</v>
      </c>
      <c r="DA628" s="122" t="s">
        <v>300</v>
      </c>
      <c r="DB628" s="122" t="s">
        <v>6406</v>
      </c>
      <c r="DC628" s="122" t="s">
        <v>5312</v>
      </c>
      <c r="DD628" s="127">
        <v>7</v>
      </c>
      <c r="DE628" s="127">
        <v>7</v>
      </c>
      <c r="DG628" s="405" t="s">
        <v>300</v>
      </c>
      <c r="DH628" s="406" t="s">
        <v>5312</v>
      </c>
      <c r="DI628" s="406" t="str">
        <f t="shared" si="41"/>
        <v>CE, Alto Santo</v>
      </c>
      <c r="DJ628" s="406">
        <v>-5.5209999999999999</v>
      </c>
      <c r="DK628" s="80">
        <v>-38.271999999999998</v>
      </c>
      <c r="DL628" s="80">
        <v>79</v>
      </c>
      <c r="DM628" s="64">
        <v>7</v>
      </c>
      <c r="DN628" s="406" t="s">
        <v>6407</v>
      </c>
      <c r="DO628" s="406">
        <v>-5.1100000000000003</v>
      </c>
      <c r="DP628" s="80">
        <v>44</v>
      </c>
    </row>
    <row r="629" spans="29:120" x14ac:dyDescent="0.25">
      <c r="AC629" s="122" t="s">
        <v>333</v>
      </c>
      <c r="AD629" s="122" t="s">
        <v>1031</v>
      </c>
      <c r="AE629" s="127">
        <v>3</v>
      </c>
      <c r="DA629" s="122" t="s">
        <v>300</v>
      </c>
      <c r="DB629" s="122" t="s">
        <v>4304</v>
      </c>
      <c r="DC629" s="122" t="s">
        <v>4304</v>
      </c>
      <c r="DD629" s="127">
        <v>7</v>
      </c>
      <c r="DE629" s="127">
        <v>7</v>
      </c>
      <c r="DG629" s="405" t="s">
        <v>300</v>
      </c>
      <c r="DH629" s="406" t="s">
        <v>4304</v>
      </c>
      <c r="DI629" s="406" t="str">
        <f t="shared" si="41"/>
        <v>CE, Amontada</v>
      </c>
      <c r="DJ629" s="406">
        <v>-3.3610000000000002</v>
      </c>
      <c r="DK629" s="80">
        <v>-39.831000000000003</v>
      </c>
      <c r="DL629" s="80">
        <v>34</v>
      </c>
      <c r="DM629" s="64">
        <v>7</v>
      </c>
      <c r="DN629" s="406" t="s">
        <v>6408</v>
      </c>
      <c r="DO629" s="406">
        <v>-3.48</v>
      </c>
      <c r="DP629" s="80">
        <v>102</v>
      </c>
    </row>
    <row r="630" spans="29:120" x14ac:dyDescent="0.25">
      <c r="AC630" s="122" t="s">
        <v>376</v>
      </c>
      <c r="AD630" s="122" t="s">
        <v>1032</v>
      </c>
      <c r="AE630" s="127">
        <v>3</v>
      </c>
      <c r="DA630" s="122" t="s">
        <v>300</v>
      </c>
      <c r="DB630" s="122" t="s">
        <v>6409</v>
      </c>
      <c r="DC630" s="122" t="s">
        <v>4578</v>
      </c>
      <c r="DD630" s="127">
        <v>7</v>
      </c>
      <c r="DE630" s="127">
        <v>7</v>
      </c>
      <c r="DG630" s="405" t="s">
        <v>300</v>
      </c>
      <c r="DH630" s="406" t="s">
        <v>4578</v>
      </c>
      <c r="DI630" s="406" t="str">
        <f t="shared" si="41"/>
        <v>CE, Antonina do Norte</v>
      </c>
      <c r="DJ630" s="406">
        <v>-6.7750000000000004</v>
      </c>
      <c r="DK630" s="80">
        <v>-39.988999999999997</v>
      </c>
      <c r="DL630" s="80">
        <v>365</v>
      </c>
      <c r="DM630" s="64">
        <v>7</v>
      </c>
      <c r="DN630" s="406" t="s">
        <v>6405</v>
      </c>
      <c r="DO630" s="406">
        <v>-7.08</v>
      </c>
      <c r="DP630" s="80">
        <v>572</v>
      </c>
    </row>
    <row r="631" spans="29:120" x14ac:dyDescent="0.25">
      <c r="AC631" s="122" t="s">
        <v>376</v>
      </c>
      <c r="AD631" s="122" t="s">
        <v>1033</v>
      </c>
      <c r="AE631" s="127">
        <v>3</v>
      </c>
      <c r="DA631" s="122" t="s">
        <v>300</v>
      </c>
      <c r="DB631" s="122" t="s">
        <v>4366</v>
      </c>
      <c r="DC631" s="122" t="s">
        <v>4366</v>
      </c>
      <c r="DD631" s="127">
        <v>8</v>
      </c>
      <c r="DE631" s="127">
        <v>8</v>
      </c>
      <c r="DG631" s="405" t="s">
        <v>300</v>
      </c>
      <c r="DH631" s="406" t="s">
        <v>4366</v>
      </c>
      <c r="DI631" s="406" t="str">
        <f t="shared" si="41"/>
        <v>CE, Apuiarés</v>
      </c>
      <c r="DJ631" s="406">
        <v>-3.9489999999999998</v>
      </c>
      <c r="DK631" s="80">
        <v>-39.432000000000002</v>
      </c>
      <c r="DL631" s="80">
        <v>91</v>
      </c>
      <c r="DM631" s="64">
        <v>8</v>
      </c>
      <c r="DN631" s="406" t="s">
        <v>6408</v>
      </c>
      <c r="DO631" s="406">
        <v>-3.48</v>
      </c>
      <c r="DP631" s="80">
        <v>102</v>
      </c>
    </row>
    <row r="632" spans="29:120" x14ac:dyDescent="0.25">
      <c r="AC632" s="122" t="s">
        <v>376</v>
      </c>
      <c r="AD632" s="122" t="s">
        <v>1034</v>
      </c>
      <c r="AE632" s="127">
        <v>3</v>
      </c>
      <c r="DA632" s="122" t="s">
        <v>300</v>
      </c>
      <c r="DB632" s="122" t="s">
        <v>4127</v>
      </c>
      <c r="DC632" s="122" t="s">
        <v>4127</v>
      </c>
      <c r="DD632" s="127">
        <v>8</v>
      </c>
      <c r="DE632" s="127">
        <v>8</v>
      </c>
      <c r="DG632" s="405" t="s">
        <v>300</v>
      </c>
      <c r="DH632" s="406" t="s">
        <v>4127</v>
      </c>
      <c r="DI632" s="406" t="str">
        <f t="shared" si="41"/>
        <v>CE, Aquiraz</v>
      </c>
      <c r="DJ632" s="406">
        <v>-3.9009999999999998</v>
      </c>
      <c r="DK632" s="80">
        <v>-38.390999999999998</v>
      </c>
      <c r="DL632" s="80">
        <v>14</v>
      </c>
      <c r="DM632" s="64">
        <v>8</v>
      </c>
      <c r="DN632" s="406" t="s">
        <v>6410</v>
      </c>
      <c r="DO632" s="406">
        <v>-3.8</v>
      </c>
      <c r="DP632" s="80">
        <v>41</v>
      </c>
    </row>
    <row r="633" spans="29:120" x14ac:dyDescent="0.25">
      <c r="AC633" s="122" t="s">
        <v>333</v>
      </c>
      <c r="AD633" s="122" t="s">
        <v>1035</v>
      </c>
      <c r="AE633" s="127">
        <v>3</v>
      </c>
      <c r="DA633" s="122" t="s">
        <v>300</v>
      </c>
      <c r="DB633" s="122" t="s">
        <v>4311</v>
      </c>
      <c r="DC633" s="122" t="s">
        <v>4311</v>
      </c>
      <c r="DD633" s="127">
        <v>8</v>
      </c>
      <c r="DE633" s="127">
        <v>8</v>
      </c>
      <c r="DG633" s="405" t="s">
        <v>300</v>
      </c>
      <c r="DH633" s="406" t="s">
        <v>4311</v>
      </c>
      <c r="DI633" s="406" t="str">
        <f t="shared" si="41"/>
        <v>CE, Aracati</v>
      </c>
      <c r="DJ633" s="406">
        <v>-4.5620000000000003</v>
      </c>
      <c r="DK633" s="80">
        <v>-37.770000000000003</v>
      </c>
      <c r="DL633" s="80">
        <v>5</v>
      </c>
      <c r="DM633" s="64">
        <v>8</v>
      </c>
      <c r="DN633" s="406" t="s">
        <v>6411</v>
      </c>
      <c r="DO633" s="406">
        <v>-4.79</v>
      </c>
      <c r="DP633" s="80">
        <v>12</v>
      </c>
    </row>
    <row r="634" spans="29:120" x14ac:dyDescent="0.25">
      <c r="AC634" s="122" t="s">
        <v>376</v>
      </c>
      <c r="AD634" s="122" t="s">
        <v>1036</v>
      </c>
      <c r="AE634" s="127">
        <v>3</v>
      </c>
      <c r="DA634" s="122" t="s">
        <v>300</v>
      </c>
      <c r="DB634" s="122" t="s">
        <v>4392</v>
      </c>
      <c r="DC634" s="122" t="s">
        <v>4392</v>
      </c>
      <c r="DD634" s="127">
        <v>8</v>
      </c>
      <c r="DE634" s="127">
        <v>8</v>
      </c>
      <c r="DG634" s="405" t="s">
        <v>300</v>
      </c>
      <c r="DH634" s="406" t="s">
        <v>4392</v>
      </c>
      <c r="DI634" s="406" t="str">
        <f t="shared" si="41"/>
        <v>CE, Aracoiaba</v>
      </c>
      <c r="DJ634" s="406">
        <v>-4.3710000000000004</v>
      </c>
      <c r="DK634" s="80">
        <v>-38.814</v>
      </c>
      <c r="DL634" s="80">
        <v>107</v>
      </c>
      <c r="DM634" s="64">
        <v>8</v>
      </c>
      <c r="DN634" s="406" t="s">
        <v>6402</v>
      </c>
      <c r="DO634" s="406">
        <v>-4.26</v>
      </c>
      <c r="DP634" s="80">
        <v>38</v>
      </c>
    </row>
    <row r="635" spans="29:120" x14ac:dyDescent="0.25">
      <c r="AC635" s="122" t="s">
        <v>333</v>
      </c>
      <c r="AD635" s="122" t="s">
        <v>1037</v>
      </c>
      <c r="AE635" s="127">
        <v>2</v>
      </c>
      <c r="DA635" s="122" t="s">
        <v>300</v>
      </c>
      <c r="DB635" s="122" t="s">
        <v>4688</v>
      </c>
      <c r="DC635" s="122" t="s">
        <v>4688</v>
      </c>
      <c r="DD635" s="127">
        <v>7</v>
      </c>
      <c r="DE635" s="127">
        <v>7</v>
      </c>
      <c r="DG635" s="405" t="s">
        <v>300</v>
      </c>
      <c r="DH635" s="406" t="s">
        <v>4688</v>
      </c>
      <c r="DI635" s="406" t="str">
        <f t="shared" si="41"/>
        <v>CE, Ararendá</v>
      </c>
      <c r="DJ635" s="406">
        <v>-4.7530000000000001</v>
      </c>
      <c r="DK635" s="80">
        <v>-40.832999999999998</v>
      </c>
      <c r="DL635" s="80">
        <v>380</v>
      </c>
      <c r="DM635" s="64">
        <v>7</v>
      </c>
      <c r="DN635" s="406" t="s">
        <v>6412</v>
      </c>
      <c r="DO635" s="406">
        <v>-5.19</v>
      </c>
      <c r="DP635" s="80">
        <v>291</v>
      </c>
    </row>
    <row r="636" spans="29:120" x14ac:dyDescent="0.25">
      <c r="AC636" s="122" t="s">
        <v>376</v>
      </c>
      <c r="AD636" s="122" t="s">
        <v>1038</v>
      </c>
      <c r="AE636" s="127">
        <v>4</v>
      </c>
      <c r="DA636" s="122" t="s">
        <v>300</v>
      </c>
      <c r="DB636" s="122" t="s">
        <v>2213</v>
      </c>
      <c r="DC636" s="122" t="s">
        <v>2213</v>
      </c>
      <c r="DD636" s="127">
        <v>7</v>
      </c>
      <c r="DE636" s="127">
        <v>7</v>
      </c>
      <c r="DG636" s="405" t="s">
        <v>300</v>
      </c>
      <c r="DH636" s="406" t="s">
        <v>2213</v>
      </c>
      <c r="DI636" s="406" t="str">
        <f t="shared" si="41"/>
        <v>CE, Araripe</v>
      </c>
      <c r="DJ636" s="406">
        <v>-7.2130000000000001</v>
      </c>
      <c r="DK636" s="80">
        <v>-40.045999999999999</v>
      </c>
      <c r="DL636" s="80">
        <v>605</v>
      </c>
      <c r="DM636" s="64">
        <v>7</v>
      </c>
      <c r="DN636" s="406" t="s">
        <v>6405</v>
      </c>
      <c r="DO636" s="406">
        <v>-7.08</v>
      </c>
      <c r="DP636" s="80">
        <v>572</v>
      </c>
    </row>
    <row r="637" spans="29:120" x14ac:dyDescent="0.25">
      <c r="AC637" s="122" t="s">
        <v>376</v>
      </c>
      <c r="AD637" s="122" t="s">
        <v>1039</v>
      </c>
      <c r="AE637" s="127">
        <v>4</v>
      </c>
      <c r="DA637" s="122" t="s">
        <v>300</v>
      </c>
      <c r="DB637" s="122" t="s">
        <v>4387</v>
      </c>
      <c r="DC637" s="122" t="s">
        <v>4387</v>
      </c>
      <c r="DD637" s="127">
        <v>5</v>
      </c>
      <c r="DE637" s="127">
        <v>5</v>
      </c>
      <c r="DG637" s="405" t="s">
        <v>300</v>
      </c>
      <c r="DH637" s="406" t="s">
        <v>4387</v>
      </c>
      <c r="DI637" s="406" t="str">
        <f t="shared" si="41"/>
        <v>CE, Aratuba</v>
      </c>
      <c r="DJ637" s="406">
        <v>-4.4180000000000001</v>
      </c>
      <c r="DK637" s="80">
        <v>-39.045000000000002</v>
      </c>
      <c r="DL637" s="80">
        <v>838</v>
      </c>
      <c r="DM637" s="64">
        <v>5</v>
      </c>
      <c r="DN637" s="406" t="s">
        <v>6402</v>
      </c>
      <c r="DO637" s="406">
        <v>-4.26</v>
      </c>
      <c r="DP637" s="80">
        <v>38</v>
      </c>
    </row>
    <row r="638" spans="29:120" x14ac:dyDescent="0.25">
      <c r="AC638" s="122" t="s">
        <v>376</v>
      </c>
      <c r="AD638" s="122" t="s">
        <v>1040</v>
      </c>
      <c r="AE638" s="127">
        <v>3</v>
      </c>
      <c r="DA638" s="122" t="s">
        <v>300</v>
      </c>
      <c r="DB638" s="122" t="s">
        <v>4576</v>
      </c>
      <c r="DC638" s="122" t="s">
        <v>4576</v>
      </c>
      <c r="DD638" s="127">
        <v>7</v>
      </c>
      <c r="DE638" s="127">
        <v>7</v>
      </c>
      <c r="DG638" s="405" t="s">
        <v>300</v>
      </c>
      <c r="DH638" s="406" t="s">
        <v>4576</v>
      </c>
      <c r="DI638" s="406" t="str">
        <f t="shared" si="41"/>
        <v>CE, Arneiroz</v>
      </c>
      <c r="DJ638" s="406">
        <v>-6.3239999999999998</v>
      </c>
      <c r="DK638" s="80">
        <v>-40.161000000000001</v>
      </c>
      <c r="DL638" s="80">
        <v>337</v>
      </c>
      <c r="DM638" s="64">
        <v>7</v>
      </c>
      <c r="DN638" s="406" t="s">
        <v>6413</v>
      </c>
      <c r="DO638" s="406">
        <v>-6.02</v>
      </c>
      <c r="DP638" s="80">
        <v>415</v>
      </c>
    </row>
    <row r="639" spans="29:120" x14ac:dyDescent="0.25">
      <c r="AC639" s="122" t="s">
        <v>376</v>
      </c>
      <c r="AD639" s="122" t="s">
        <v>1041</v>
      </c>
      <c r="AE639" s="127">
        <v>3</v>
      </c>
      <c r="DA639" s="122" t="s">
        <v>300</v>
      </c>
      <c r="DB639" s="122" t="s">
        <v>5179</v>
      </c>
      <c r="DC639" s="122" t="s">
        <v>5179</v>
      </c>
      <c r="DD639" s="127">
        <v>7</v>
      </c>
      <c r="DE639" s="127">
        <v>7</v>
      </c>
      <c r="DG639" s="405" t="s">
        <v>300</v>
      </c>
      <c r="DH639" s="406" t="s">
        <v>5179</v>
      </c>
      <c r="DI639" s="406" t="str">
        <f t="shared" si="41"/>
        <v>CE, Assaré</v>
      </c>
      <c r="DJ639" s="406">
        <v>-6.8739999999999997</v>
      </c>
      <c r="DK639" s="80">
        <v>-39.875</v>
      </c>
      <c r="DL639" s="80">
        <v>442</v>
      </c>
      <c r="DM639" s="64">
        <v>7</v>
      </c>
      <c r="DN639" s="406" t="s">
        <v>6405</v>
      </c>
      <c r="DO639" s="406">
        <v>-7.08</v>
      </c>
      <c r="DP639" s="80">
        <v>572</v>
      </c>
    </row>
    <row r="640" spans="29:120" x14ac:dyDescent="0.25">
      <c r="AC640" s="122" t="s">
        <v>376</v>
      </c>
      <c r="AD640" s="122" t="s">
        <v>1042</v>
      </c>
      <c r="AE640" s="127">
        <v>3</v>
      </c>
      <c r="DA640" s="122" t="s">
        <v>300</v>
      </c>
      <c r="DB640" s="122" t="s">
        <v>1326</v>
      </c>
      <c r="DC640" s="122" t="s">
        <v>1326</v>
      </c>
      <c r="DD640" s="127">
        <v>7</v>
      </c>
      <c r="DE640" s="127">
        <v>7</v>
      </c>
      <c r="DG640" s="405" t="s">
        <v>300</v>
      </c>
      <c r="DH640" s="406" t="s">
        <v>1326</v>
      </c>
      <c r="DI640" s="406" t="str">
        <f t="shared" si="41"/>
        <v>CE, Aurora</v>
      </c>
      <c r="DJ640" s="406">
        <v>-6.9429999999999996</v>
      </c>
      <c r="DK640" s="80">
        <v>-38.968000000000004</v>
      </c>
      <c r="DL640" s="80">
        <v>267</v>
      </c>
      <c r="DM640" s="64">
        <v>7</v>
      </c>
      <c r="DN640" s="406" t="s">
        <v>6401</v>
      </c>
      <c r="DO640" s="406">
        <v>-7.3</v>
      </c>
      <c r="DP640" s="80">
        <v>409</v>
      </c>
    </row>
    <row r="641" spans="29:120" x14ac:dyDescent="0.25">
      <c r="AC641" s="122" t="s">
        <v>376</v>
      </c>
      <c r="AD641" s="122" t="s">
        <v>1043</v>
      </c>
      <c r="AE641" s="127">
        <v>3</v>
      </c>
      <c r="DA641" s="122" t="s">
        <v>300</v>
      </c>
      <c r="DB641" s="122" t="s">
        <v>5441</v>
      </c>
      <c r="DC641" s="122" t="s">
        <v>5441</v>
      </c>
      <c r="DD641" s="127">
        <v>7</v>
      </c>
      <c r="DE641" s="127">
        <v>7</v>
      </c>
      <c r="DG641" s="405" t="s">
        <v>300</v>
      </c>
      <c r="DH641" s="406" t="s">
        <v>5441</v>
      </c>
      <c r="DI641" s="406" t="str">
        <f t="shared" si="41"/>
        <v>CE, Baixio</v>
      </c>
      <c r="DJ641" s="406">
        <v>-6.73</v>
      </c>
      <c r="DK641" s="80">
        <v>-38.716999999999999</v>
      </c>
      <c r="DL641" s="80">
        <v>279</v>
      </c>
      <c r="DM641" s="64">
        <v>7</v>
      </c>
      <c r="DN641" s="406" t="s">
        <v>6414</v>
      </c>
      <c r="DO641" s="406">
        <v>-6.84</v>
      </c>
      <c r="DP641" s="80">
        <v>234</v>
      </c>
    </row>
    <row r="642" spans="29:120" x14ac:dyDescent="0.25">
      <c r="AC642" s="122" t="s">
        <v>376</v>
      </c>
      <c r="AD642" s="122" t="s">
        <v>1044</v>
      </c>
      <c r="AE642" s="127">
        <v>3</v>
      </c>
      <c r="DA642" s="122" t="s">
        <v>300</v>
      </c>
      <c r="DB642" s="122" t="s">
        <v>5252</v>
      </c>
      <c r="DC642" s="122" t="s">
        <v>5252</v>
      </c>
      <c r="DD642" s="127">
        <v>7</v>
      </c>
      <c r="DE642" s="127">
        <v>7</v>
      </c>
      <c r="DG642" s="405" t="s">
        <v>300</v>
      </c>
      <c r="DH642" s="406" t="s">
        <v>5252</v>
      </c>
      <c r="DI642" s="406" t="str">
        <f t="shared" si="41"/>
        <v>CE, Banabuiú</v>
      </c>
      <c r="DJ642" s="406">
        <v>-5.31</v>
      </c>
      <c r="DK642" s="80">
        <v>-38.920999999999999</v>
      </c>
      <c r="DL642" s="80">
        <v>170</v>
      </c>
      <c r="DM642" s="64">
        <v>7</v>
      </c>
      <c r="DN642" s="406" t="s">
        <v>6415</v>
      </c>
      <c r="DO642" s="406">
        <v>-5.2</v>
      </c>
      <c r="DP642" s="80">
        <v>80</v>
      </c>
    </row>
    <row r="643" spans="29:120" x14ac:dyDescent="0.25">
      <c r="AC643" s="122" t="s">
        <v>333</v>
      </c>
      <c r="AD643" s="122" t="s">
        <v>1045</v>
      </c>
      <c r="AE643" s="127">
        <v>3</v>
      </c>
      <c r="DA643" s="122" t="s">
        <v>300</v>
      </c>
      <c r="DB643" s="122" t="s">
        <v>5304</v>
      </c>
      <c r="DC643" s="122" t="s">
        <v>5304</v>
      </c>
      <c r="DD643" s="127">
        <v>7</v>
      </c>
      <c r="DE643" s="127">
        <v>7</v>
      </c>
      <c r="DG643" s="405" t="s">
        <v>300</v>
      </c>
      <c r="DH643" s="406" t="s">
        <v>5304</v>
      </c>
      <c r="DI643" s="406" t="str">
        <f t="shared" ref="DI643:DI706" si="42">CONCATENATE(DG643,", ",DH643)</f>
        <v>CE, Barbalha</v>
      </c>
      <c r="DJ643" s="406">
        <v>-7.3049999999999997</v>
      </c>
      <c r="DK643" s="80">
        <v>-39.302</v>
      </c>
      <c r="DL643" s="80">
        <v>414</v>
      </c>
      <c r="DM643" s="64">
        <v>7</v>
      </c>
      <c r="DN643" s="406" t="s">
        <v>6401</v>
      </c>
      <c r="DO643" s="406">
        <v>-7.3</v>
      </c>
      <c r="DP643" s="80">
        <v>409</v>
      </c>
    </row>
    <row r="644" spans="29:120" x14ac:dyDescent="0.25">
      <c r="AC644" s="122" t="s">
        <v>376</v>
      </c>
      <c r="AD644" s="122" t="s">
        <v>1046</v>
      </c>
      <c r="AE644" s="127">
        <v>3</v>
      </c>
      <c r="DA644" s="122" t="s">
        <v>300</v>
      </c>
      <c r="DB644" s="122" t="s">
        <v>4286</v>
      </c>
      <c r="DC644" s="122" t="s">
        <v>4286</v>
      </c>
      <c r="DD644" s="127">
        <v>8</v>
      </c>
      <c r="DE644" s="127">
        <v>8</v>
      </c>
      <c r="DG644" s="405" t="s">
        <v>300</v>
      </c>
      <c r="DH644" s="406" t="s">
        <v>4286</v>
      </c>
      <c r="DI644" s="406" t="str">
        <f t="shared" si="42"/>
        <v>CE, Barreira</v>
      </c>
      <c r="DJ644" s="406">
        <v>-4.2869999999999999</v>
      </c>
      <c r="DK644" s="80">
        <v>-38.643000000000001</v>
      </c>
      <c r="DL644" s="80">
        <v>100</v>
      </c>
      <c r="DM644" s="64">
        <v>8</v>
      </c>
      <c r="DN644" s="406" t="s">
        <v>6402</v>
      </c>
      <c r="DO644" s="406">
        <v>-4.26</v>
      </c>
      <c r="DP644" s="80">
        <v>38</v>
      </c>
    </row>
    <row r="645" spans="29:120" x14ac:dyDescent="0.25">
      <c r="AC645" s="122" t="s">
        <v>333</v>
      </c>
      <c r="AD645" s="122" t="s">
        <v>1047</v>
      </c>
      <c r="AE645" s="127">
        <v>3</v>
      </c>
      <c r="DA645" s="122" t="s">
        <v>300</v>
      </c>
      <c r="DB645" s="122" t="s">
        <v>2119</v>
      </c>
      <c r="DC645" s="122" t="s">
        <v>2119</v>
      </c>
      <c r="DD645" s="127">
        <v>7</v>
      </c>
      <c r="DE645" s="127">
        <v>7</v>
      </c>
      <c r="DG645" s="405" t="s">
        <v>300</v>
      </c>
      <c r="DH645" s="406" t="s">
        <v>2119</v>
      </c>
      <c r="DI645" s="406" t="str">
        <f t="shared" si="42"/>
        <v>CE, Barro</v>
      </c>
      <c r="DJ645" s="406">
        <v>-7.1769999999999996</v>
      </c>
      <c r="DK645" s="80">
        <v>-38.781999999999996</v>
      </c>
      <c r="DL645" s="80">
        <v>362</v>
      </c>
      <c r="DM645" s="64">
        <v>7</v>
      </c>
      <c r="DN645" s="406" t="s">
        <v>6401</v>
      </c>
      <c r="DO645" s="406">
        <v>-7.3</v>
      </c>
      <c r="DP645" s="80">
        <v>409</v>
      </c>
    </row>
    <row r="646" spans="29:120" x14ac:dyDescent="0.25">
      <c r="AC646" s="122" t="s">
        <v>376</v>
      </c>
      <c r="AD646" s="122" t="s">
        <v>1048</v>
      </c>
      <c r="AE646" s="127">
        <v>2</v>
      </c>
      <c r="DA646" s="122" t="s">
        <v>300</v>
      </c>
      <c r="DB646" s="122" t="s">
        <v>4674</v>
      </c>
      <c r="DC646" s="122" t="s">
        <v>4674</v>
      </c>
      <c r="DD646" s="127">
        <v>8</v>
      </c>
      <c r="DE646" s="127">
        <v>8</v>
      </c>
      <c r="DG646" s="405" t="s">
        <v>300</v>
      </c>
      <c r="DH646" s="406" t="s">
        <v>4674</v>
      </c>
      <c r="DI646" s="406" t="str">
        <f t="shared" si="42"/>
        <v>CE, Barroquinha</v>
      </c>
      <c r="DJ646" s="406">
        <v>-3.0190000000000001</v>
      </c>
      <c r="DK646" s="80">
        <v>-41.137</v>
      </c>
      <c r="DL646" s="80">
        <v>25</v>
      </c>
      <c r="DM646" s="64">
        <v>8</v>
      </c>
      <c r="DN646" s="406" t="s">
        <v>6416</v>
      </c>
      <c r="DO646" s="406">
        <v>-2.9</v>
      </c>
      <c r="DP646" s="80">
        <v>80</v>
      </c>
    </row>
    <row r="647" spans="29:120" x14ac:dyDescent="0.25">
      <c r="AC647" s="122" t="s">
        <v>376</v>
      </c>
      <c r="AD647" s="122" t="s">
        <v>1049</v>
      </c>
      <c r="AE647" s="127">
        <v>4</v>
      </c>
      <c r="DA647" s="122" t="s">
        <v>300</v>
      </c>
      <c r="DB647" s="122" t="s">
        <v>2348</v>
      </c>
      <c r="DC647" s="122" t="s">
        <v>2348</v>
      </c>
      <c r="DD647" s="127">
        <v>5</v>
      </c>
      <c r="DE647" s="127">
        <v>5</v>
      </c>
      <c r="DG647" s="405" t="s">
        <v>300</v>
      </c>
      <c r="DH647" s="406" t="s">
        <v>2348</v>
      </c>
      <c r="DI647" s="406" t="str">
        <f t="shared" si="42"/>
        <v>CE, Baturité</v>
      </c>
      <c r="DJ647" s="406">
        <v>-4.3289999999999997</v>
      </c>
      <c r="DK647" s="80">
        <v>-38.884999999999998</v>
      </c>
      <c r="DL647" s="80">
        <v>171</v>
      </c>
      <c r="DM647" s="64">
        <v>5</v>
      </c>
      <c r="DN647" s="406" t="s">
        <v>6402</v>
      </c>
      <c r="DO647" s="406">
        <v>-4.26</v>
      </c>
      <c r="DP647" s="80">
        <v>38</v>
      </c>
    </row>
    <row r="648" spans="29:120" x14ac:dyDescent="0.25">
      <c r="AC648" s="122" t="s">
        <v>376</v>
      </c>
      <c r="AD648" s="122" t="s">
        <v>1050</v>
      </c>
      <c r="AE648" s="127">
        <v>3</v>
      </c>
      <c r="DA648" s="122" t="s">
        <v>300</v>
      </c>
      <c r="DB648" s="122" t="s">
        <v>4103</v>
      </c>
      <c r="DC648" s="122" t="s">
        <v>4103</v>
      </c>
      <c r="DD648" s="127">
        <v>8</v>
      </c>
      <c r="DE648" s="127">
        <v>8</v>
      </c>
      <c r="DG648" s="405" t="s">
        <v>300</v>
      </c>
      <c r="DH648" s="406" t="s">
        <v>4103</v>
      </c>
      <c r="DI648" s="406" t="str">
        <f t="shared" si="42"/>
        <v>CE, Beberibe</v>
      </c>
      <c r="DJ648" s="406">
        <v>-4.18</v>
      </c>
      <c r="DK648" s="80">
        <v>-38.131</v>
      </c>
      <c r="DL648" s="80">
        <v>12</v>
      </c>
      <c r="DM648" s="64">
        <v>8</v>
      </c>
      <c r="DN648" s="406" t="s">
        <v>6410</v>
      </c>
      <c r="DO648" s="406">
        <v>-3.8</v>
      </c>
      <c r="DP648" s="80">
        <v>41</v>
      </c>
    </row>
    <row r="649" spans="29:120" x14ac:dyDescent="0.25">
      <c r="AC649" s="122" t="s">
        <v>376</v>
      </c>
      <c r="AD649" s="122" t="s">
        <v>1051</v>
      </c>
      <c r="AE649" s="127">
        <v>3</v>
      </c>
      <c r="DA649" s="122" t="s">
        <v>300</v>
      </c>
      <c r="DB649" s="122" t="s">
        <v>6417</v>
      </c>
      <c r="DC649" s="122" t="s">
        <v>4328</v>
      </c>
      <c r="DD649" s="127">
        <v>8</v>
      </c>
      <c r="DE649" s="127">
        <v>8</v>
      </c>
      <c r="DG649" s="405" t="s">
        <v>300</v>
      </c>
      <c r="DH649" s="406" t="s">
        <v>4328</v>
      </c>
      <c r="DI649" s="406" t="str">
        <f t="shared" si="42"/>
        <v>CE, Bela Cruz</v>
      </c>
      <c r="DJ649" s="406">
        <v>-3.0510000000000002</v>
      </c>
      <c r="DK649" s="80">
        <v>-40.167999999999999</v>
      </c>
      <c r="DL649" s="80">
        <v>15</v>
      </c>
      <c r="DM649" s="64">
        <v>8</v>
      </c>
      <c r="DN649" s="406" t="s">
        <v>6403</v>
      </c>
      <c r="DO649" s="406">
        <v>-3.12</v>
      </c>
      <c r="DP649" s="80">
        <v>76</v>
      </c>
    </row>
    <row r="650" spans="29:120" x14ac:dyDescent="0.25">
      <c r="AC650" s="122" t="s">
        <v>376</v>
      </c>
      <c r="AD650" s="122" t="s">
        <v>1052</v>
      </c>
      <c r="AE650" s="127">
        <v>3</v>
      </c>
      <c r="DA650" s="122" t="s">
        <v>300</v>
      </c>
      <c r="DB650" s="122" t="s">
        <v>6418</v>
      </c>
      <c r="DC650" s="122" t="s">
        <v>5219</v>
      </c>
      <c r="DD650" s="127">
        <v>7</v>
      </c>
      <c r="DE650" s="127">
        <v>7</v>
      </c>
      <c r="DG650" s="405" t="s">
        <v>300</v>
      </c>
      <c r="DH650" s="406" t="s">
        <v>5219</v>
      </c>
      <c r="DI650" s="406" t="str">
        <f t="shared" si="42"/>
        <v>CE, Boa Viagem</v>
      </c>
      <c r="DJ650" s="406">
        <v>-5.1280000000000001</v>
      </c>
      <c r="DK650" s="80">
        <v>-39.731999999999999</v>
      </c>
      <c r="DL650" s="80">
        <v>275</v>
      </c>
      <c r="DM650" s="64">
        <v>7</v>
      </c>
      <c r="DN650" s="406" t="s">
        <v>6415</v>
      </c>
      <c r="DO650" s="406">
        <v>-5.2</v>
      </c>
      <c r="DP650" s="80">
        <v>80</v>
      </c>
    </row>
    <row r="651" spans="29:120" x14ac:dyDescent="0.25">
      <c r="AC651" s="122" t="s">
        <v>376</v>
      </c>
      <c r="AD651" s="122" t="s">
        <v>1053</v>
      </c>
      <c r="AE651" s="127">
        <v>3</v>
      </c>
      <c r="DA651" s="122" t="s">
        <v>300</v>
      </c>
      <c r="DB651" s="122" t="s">
        <v>6419</v>
      </c>
      <c r="DC651" s="122" t="s">
        <v>5481</v>
      </c>
      <c r="DD651" s="127">
        <v>7</v>
      </c>
      <c r="DE651" s="127">
        <v>7</v>
      </c>
      <c r="DG651" s="405" t="s">
        <v>300</v>
      </c>
      <c r="DH651" s="406" t="s">
        <v>5481</v>
      </c>
      <c r="DI651" s="406" t="str">
        <f t="shared" si="42"/>
        <v>CE, Brejo Santo</v>
      </c>
      <c r="DJ651" s="406">
        <v>-7.4930000000000003</v>
      </c>
      <c r="DK651" s="80">
        <v>-38.984999999999999</v>
      </c>
      <c r="DL651" s="80">
        <v>381</v>
      </c>
      <c r="DM651" s="64">
        <v>7</v>
      </c>
      <c r="DN651" s="406" t="s">
        <v>6401</v>
      </c>
      <c r="DO651" s="406">
        <v>-7.3</v>
      </c>
      <c r="DP651" s="80">
        <v>409</v>
      </c>
    </row>
    <row r="652" spans="29:120" x14ac:dyDescent="0.25">
      <c r="AC652" s="122" t="s">
        <v>376</v>
      </c>
      <c r="AD652" s="122" t="s">
        <v>1054</v>
      </c>
      <c r="AE652" s="127">
        <v>3</v>
      </c>
      <c r="DA652" s="122" t="s">
        <v>300</v>
      </c>
      <c r="DB652" s="122" t="s">
        <v>4347</v>
      </c>
      <c r="DC652" s="122" t="s">
        <v>4347</v>
      </c>
      <c r="DD652" s="127">
        <v>8</v>
      </c>
      <c r="DE652" s="127">
        <v>8</v>
      </c>
      <c r="DG652" s="405" t="s">
        <v>300</v>
      </c>
      <c r="DH652" s="406" t="s">
        <v>4347</v>
      </c>
      <c r="DI652" s="406" t="str">
        <f t="shared" si="42"/>
        <v>CE, Camocim</v>
      </c>
      <c r="DJ652" s="406">
        <v>-2.9020000000000001</v>
      </c>
      <c r="DK652" s="80">
        <v>-40.841000000000001</v>
      </c>
      <c r="DL652" s="80">
        <v>8</v>
      </c>
      <c r="DM652" s="64">
        <v>8</v>
      </c>
      <c r="DN652" s="406" t="s">
        <v>6403</v>
      </c>
      <c r="DO652" s="406">
        <v>-3.12</v>
      </c>
      <c r="DP652" s="80">
        <v>76</v>
      </c>
    </row>
    <row r="653" spans="29:120" x14ac:dyDescent="0.25">
      <c r="AC653" s="122" t="s">
        <v>376</v>
      </c>
      <c r="AD653" s="122" t="s">
        <v>1055</v>
      </c>
      <c r="AE653" s="127">
        <v>3</v>
      </c>
      <c r="DA653" s="122" t="s">
        <v>300</v>
      </c>
      <c r="DB653" s="122" t="s">
        <v>6420</v>
      </c>
      <c r="DC653" s="122" t="s">
        <v>5253</v>
      </c>
      <c r="DD653" s="127">
        <v>7</v>
      </c>
      <c r="DE653" s="127">
        <v>7</v>
      </c>
      <c r="DG653" s="405" t="s">
        <v>300</v>
      </c>
      <c r="DH653" s="406" t="s">
        <v>5253</v>
      </c>
      <c r="DI653" s="406" t="str">
        <f t="shared" si="42"/>
        <v>CE, Campos Sales</v>
      </c>
      <c r="DJ653" s="406">
        <v>-7.0739999999999998</v>
      </c>
      <c r="DK653" s="80">
        <v>-40.375999999999998</v>
      </c>
      <c r="DL653" s="80">
        <v>566</v>
      </c>
      <c r="DM653" s="64">
        <v>7</v>
      </c>
      <c r="DN653" s="406" t="s">
        <v>6405</v>
      </c>
      <c r="DO653" s="406">
        <v>-7.08</v>
      </c>
      <c r="DP653" s="80">
        <v>572</v>
      </c>
    </row>
    <row r="654" spans="29:120" x14ac:dyDescent="0.25">
      <c r="AC654" s="122" t="s">
        <v>333</v>
      </c>
      <c r="AD654" s="122" t="s">
        <v>1056</v>
      </c>
      <c r="AE654" s="127">
        <v>4</v>
      </c>
      <c r="DA654" s="122" t="s">
        <v>300</v>
      </c>
      <c r="DB654" s="122" t="s">
        <v>4401</v>
      </c>
      <c r="DC654" s="122" t="s">
        <v>4401</v>
      </c>
      <c r="DD654" s="127">
        <v>8</v>
      </c>
      <c r="DE654" s="127">
        <v>8</v>
      </c>
      <c r="DG654" s="405" t="s">
        <v>300</v>
      </c>
      <c r="DH654" s="406" t="s">
        <v>4401</v>
      </c>
      <c r="DI654" s="406" t="str">
        <f t="shared" si="42"/>
        <v>CE, Canindé</v>
      </c>
      <c r="DJ654" s="406">
        <v>-4.359</v>
      </c>
      <c r="DK654" s="80">
        <v>-39.311999999999998</v>
      </c>
      <c r="DL654" s="80">
        <v>148</v>
      </c>
      <c r="DM654" s="64">
        <v>8</v>
      </c>
      <c r="DN654" s="406" t="s">
        <v>6402</v>
      </c>
      <c r="DO654" s="406">
        <v>-4.26</v>
      </c>
      <c r="DP654" s="80">
        <v>38</v>
      </c>
    </row>
    <row r="655" spans="29:120" x14ac:dyDescent="0.25">
      <c r="AC655" s="122" t="s">
        <v>376</v>
      </c>
      <c r="AD655" s="122" t="s">
        <v>1057</v>
      </c>
      <c r="AE655" s="127">
        <v>3</v>
      </c>
      <c r="DA655" s="122" t="s">
        <v>300</v>
      </c>
      <c r="DB655" s="122" t="s">
        <v>4394</v>
      </c>
      <c r="DC655" s="122" t="s">
        <v>4394</v>
      </c>
      <c r="DD655" s="127">
        <v>8</v>
      </c>
      <c r="DE655" s="127">
        <v>8</v>
      </c>
      <c r="DG655" s="405" t="s">
        <v>300</v>
      </c>
      <c r="DH655" s="406" t="s">
        <v>4394</v>
      </c>
      <c r="DI655" s="406" t="str">
        <f t="shared" si="42"/>
        <v>CE, Capistrano</v>
      </c>
      <c r="DJ655" s="406">
        <v>-4.47</v>
      </c>
      <c r="DK655" s="80">
        <v>-38.901000000000003</v>
      </c>
      <c r="DL655" s="80">
        <v>159</v>
      </c>
      <c r="DM655" s="64">
        <v>8</v>
      </c>
      <c r="DN655" s="406" t="s">
        <v>6402</v>
      </c>
      <c r="DO655" s="406">
        <v>-4.26</v>
      </c>
      <c r="DP655" s="80">
        <v>38</v>
      </c>
    </row>
    <row r="656" spans="29:120" x14ac:dyDescent="0.25">
      <c r="AC656" s="122" t="s">
        <v>376</v>
      </c>
      <c r="AD656" s="122" t="s">
        <v>1058</v>
      </c>
      <c r="AE656" s="127">
        <v>3</v>
      </c>
      <c r="DA656" s="122" t="s">
        <v>300</v>
      </c>
      <c r="DB656" s="122" t="s">
        <v>2319</v>
      </c>
      <c r="DC656" s="122" t="s">
        <v>2319</v>
      </c>
      <c r="DD656" s="127">
        <v>5</v>
      </c>
      <c r="DE656" s="127">
        <v>5</v>
      </c>
      <c r="DG656" s="405" t="s">
        <v>300</v>
      </c>
      <c r="DH656" s="406" t="s">
        <v>2319</v>
      </c>
      <c r="DI656" s="406" t="str">
        <f t="shared" si="42"/>
        <v>CE, Caridade</v>
      </c>
      <c r="DJ656" s="406">
        <v>-4.2320000000000002</v>
      </c>
      <c r="DK656" s="80">
        <v>-39.192999999999998</v>
      </c>
      <c r="DL656" s="80">
        <v>144</v>
      </c>
      <c r="DM656" s="64">
        <v>5</v>
      </c>
      <c r="DN656" s="406" t="s">
        <v>6402</v>
      </c>
      <c r="DO656" s="406">
        <v>-4.26</v>
      </c>
      <c r="DP656" s="80">
        <v>38</v>
      </c>
    </row>
    <row r="657" spans="29:120" x14ac:dyDescent="0.25">
      <c r="AC657" s="122" t="s">
        <v>376</v>
      </c>
      <c r="AD657" s="122" t="s">
        <v>1059</v>
      </c>
      <c r="AE657" s="127">
        <v>3</v>
      </c>
      <c r="DA657" s="122" t="s">
        <v>300</v>
      </c>
      <c r="DB657" s="122" t="s">
        <v>4716</v>
      </c>
      <c r="DC657" s="122" t="s">
        <v>4716</v>
      </c>
      <c r="DD657" s="127">
        <v>7</v>
      </c>
      <c r="DE657" s="127">
        <v>7</v>
      </c>
      <c r="DG657" s="405" t="s">
        <v>300</v>
      </c>
      <c r="DH657" s="406" t="s">
        <v>4716</v>
      </c>
      <c r="DI657" s="406" t="str">
        <f t="shared" si="42"/>
        <v>CE, Cariré</v>
      </c>
      <c r="DJ657" s="406">
        <v>-3.9510000000000001</v>
      </c>
      <c r="DK657" s="80">
        <v>-40.472999999999999</v>
      </c>
      <c r="DL657" s="80">
        <v>158</v>
      </c>
      <c r="DM657" s="64">
        <v>7</v>
      </c>
      <c r="DN657" s="406" t="s">
        <v>6403</v>
      </c>
      <c r="DO657" s="406">
        <v>-3.12</v>
      </c>
      <c r="DP657" s="80">
        <v>76</v>
      </c>
    </row>
    <row r="658" spans="29:120" x14ac:dyDescent="0.25">
      <c r="AC658" s="122" t="s">
        <v>376</v>
      </c>
      <c r="AD658" s="122" t="s">
        <v>1060</v>
      </c>
      <c r="AE658" s="127">
        <v>3</v>
      </c>
      <c r="DA658" s="122" t="s">
        <v>300</v>
      </c>
      <c r="DB658" s="122" t="s">
        <v>5220</v>
      </c>
      <c r="DC658" s="122" t="s">
        <v>5220</v>
      </c>
      <c r="DD658" s="127">
        <v>7</v>
      </c>
      <c r="DE658" s="127">
        <v>7</v>
      </c>
      <c r="DG658" s="405" t="s">
        <v>300</v>
      </c>
      <c r="DH658" s="406" t="s">
        <v>5220</v>
      </c>
      <c r="DI658" s="406" t="str">
        <f t="shared" si="42"/>
        <v>CE, Caririaçu</v>
      </c>
      <c r="DJ658" s="406">
        <v>-7.0419999999999998</v>
      </c>
      <c r="DK658" s="80">
        <v>-39.283999999999999</v>
      </c>
      <c r="DL658" s="80">
        <v>715</v>
      </c>
      <c r="DM658" s="64">
        <v>7</v>
      </c>
      <c r="DN658" s="406" t="s">
        <v>6401</v>
      </c>
      <c r="DO658" s="406">
        <v>-7.3</v>
      </c>
      <c r="DP658" s="80">
        <v>409</v>
      </c>
    </row>
    <row r="659" spans="29:120" x14ac:dyDescent="0.25">
      <c r="AC659" s="122" t="s">
        <v>376</v>
      </c>
      <c r="AD659" s="122" t="s">
        <v>1061</v>
      </c>
      <c r="AE659" s="127">
        <v>3</v>
      </c>
      <c r="DA659" s="122" t="s">
        <v>300</v>
      </c>
      <c r="DB659" s="122" t="s">
        <v>5492</v>
      </c>
      <c r="DC659" s="122" t="s">
        <v>5492</v>
      </c>
      <c r="DD659" s="127">
        <v>7</v>
      </c>
      <c r="DE659" s="127">
        <v>7</v>
      </c>
      <c r="DG659" s="405" t="s">
        <v>300</v>
      </c>
      <c r="DH659" s="406" t="s">
        <v>5492</v>
      </c>
      <c r="DI659" s="406" t="str">
        <f t="shared" si="42"/>
        <v>CE, Cariús</v>
      </c>
      <c r="DJ659" s="406">
        <v>-6.5369999999999999</v>
      </c>
      <c r="DK659" s="80">
        <v>-39.497</v>
      </c>
      <c r="DL659" s="80">
        <v>240</v>
      </c>
      <c r="DM659" s="64">
        <v>7</v>
      </c>
      <c r="DN659" s="406" t="s">
        <v>6404</v>
      </c>
      <c r="DO659" s="406">
        <v>-6.36</v>
      </c>
      <c r="DP659" s="80">
        <v>233</v>
      </c>
    </row>
    <row r="660" spans="29:120" x14ac:dyDescent="0.25">
      <c r="AC660" s="122" t="s">
        <v>376</v>
      </c>
      <c r="AD660" s="122" t="s">
        <v>1062</v>
      </c>
      <c r="AE660" s="127">
        <v>3</v>
      </c>
      <c r="DA660" s="122" t="s">
        <v>300</v>
      </c>
      <c r="DB660" s="122" t="s">
        <v>4355</v>
      </c>
      <c r="DC660" s="122" t="s">
        <v>4355</v>
      </c>
      <c r="DD660" s="127">
        <v>7</v>
      </c>
      <c r="DE660" s="127">
        <v>7</v>
      </c>
      <c r="DG660" s="405" t="s">
        <v>300</v>
      </c>
      <c r="DH660" s="406" t="s">
        <v>4355</v>
      </c>
      <c r="DI660" s="406" t="str">
        <f t="shared" si="42"/>
        <v>CE, Carnaubal</v>
      </c>
      <c r="DJ660" s="406">
        <v>-4.1669999999999998</v>
      </c>
      <c r="DK660" s="80">
        <v>-40.942999999999998</v>
      </c>
      <c r="DL660" s="80">
        <v>766</v>
      </c>
      <c r="DM660" s="64">
        <v>7</v>
      </c>
      <c r="DN660" s="406" t="s">
        <v>6421</v>
      </c>
      <c r="DO660" s="406">
        <v>-4.2699999999999996</v>
      </c>
      <c r="DP660" s="80">
        <v>161</v>
      </c>
    </row>
    <row r="661" spans="29:120" x14ac:dyDescent="0.25">
      <c r="AC661" s="122" t="s">
        <v>376</v>
      </c>
      <c r="AD661" s="122" t="s">
        <v>1063</v>
      </c>
      <c r="AE661" s="127">
        <v>3</v>
      </c>
      <c r="DA661" s="122" t="s">
        <v>300</v>
      </c>
      <c r="DB661" s="122" t="s">
        <v>435</v>
      </c>
      <c r="DC661" s="122" t="s">
        <v>435</v>
      </c>
      <c r="DD661" s="127">
        <v>8</v>
      </c>
      <c r="DE661" s="127">
        <v>8</v>
      </c>
      <c r="DG661" s="405" t="s">
        <v>300</v>
      </c>
      <c r="DH661" s="406" t="s">
        <v>435</v>
      </c>
      <c r="DI661" s="406" t="str">
        <f t="shared" si="42"/>
        <v>CE, Cascavel</v>
      </c>
      <c r="DJ661" s="406">
        <v>-4.1310000000000002</v>
      </c>
      <c r="DK661" s="80">
        <v>-38.235999999999997</v>
      </c>
      <c r="DL661" s="80">
        <v>40</v>
      </c>
      <c r="DM661" s="64">
        <v>8</v>
      </c>
      <c r="DN661" s="406" t="s">
        <v>6410</v>
      </c>
      <c r="DO661" s="406">
        <v>-3.8</v>
      </c>
      <c r="DP661" s="80">
        <v>41</v>
      </c>
    </row>
    <row r="662" spans="29:120" x14ac:dyDescent="0.25">
      <c r="AC662" s="122" t="s">
        <v>333</v>
      </c>
      <c r="AD662" s="122" t="s">
        <v>1064</v>
      </c>
      <c r="AE662" s="127">
        <v>4</v>
      </c>
      <c r="DA662" s="122" t="s">
        <v>300</v>
      </c>
      <c r="DB662" s="122" t="s">
        <v>5204</v>
      </c>
      <c r="DC662" s="122" t="s">
        <v>5204</v>
      </c>
      <c r="DD662" s="127">
        <v>7</v>
      </c>
      <c r="DE662" s="127">
        <v>7</v>
      </c>
      <c r="DG662" s="405" t="s">
        <v>300</v>
      </c>
      <c r="DH662" s="406" t="s">
        <v>5204</v>
      </c>
      <c r="DI662" s="406" t="str">
        <f t="shared" si="42"/>
        <v>CE, Catarina</v>
      </c>
      <c r="DJ662" s="406">
        <v>-6.1310000000000002</v>
      </c>
      <c r="DK662" s="80">
        <v>-39.878</v>
      </c>
      <c r="DL662" s="80">
        <v>589</v>
      </c>
      <c r="DM662" s="64">
        <v>7</v>
      </c>
      <c r="DN662" s="406" t="s">
        <v>6413</v>
      </c>
      <c r="DO662" s="406">
        <v>-6.02</v>
      </c>
      <c r="DP662" s="80">
        <v>415</v>
      </c>
    </row>
    <row r="663" spans="29:120" x14ac:dyDescent="0.25">
      <c r="AC663" s="122" t="s">
        <v>376</v>
      </c>
      <c r="AD663" s="122" t="s">
        <v>1065</v>
      </c>
      <c r="AE663" s="127">
        <v>3</v>
      </c>
      <c r="DA663" s="122" t="s">
        <v>300</v>
      </c>
      <c r="DB663" s="122" t="s">
        <v>4657</v>
      </c>
      <c r="DC663" s="122" t="s">
        <v>4657</v>
      </c>
      <c r="DD663" s="127">
        <v>7</v>
      </c>
      <c r="DE663" s="127">
        <v>7</v>
      </c>
      <c r="DG663" s="405" t="s">
        <v>300</v>
      </c>
      <c r="DH663" s="406" t="s">
        <v>4657</v>
      </c>
      <c r="DI663" s="406" t="str">
        <f t="shared" si="42"/>
        <v>CE, Catunda</v>
      </c>
      <c r="DJ663" s="406">
        <v>-4.6479999999999997</v>
      </c>
      <c r="DK663" s="80">
        <v>-40.201000000000001</v>
      </c>
      <c r="DL663" s="80">
        <v>280</v>
      </c>
      <c r="DM663" s="64">
        <v>7</v>
      </c>
      <c r="DN663" s="406" t="s">
        <v>6412</v>
      </c>
      <c r="DO663" s="406">
        <v>-5.19</v>
      </c>
      <c r="DP663" s="80">
        <v>291</v>
      </c>
    </row>
    <row r="664" spans="29:120" x14ac:dyDescent="0.25">
      <c r="AC664" s="122" t="s">
        <v>376</v>
      </c>
      <c r="AD664" s="122" t="s">
        <v>1066</v>
      </c>
      <c r="AE664" s="127">
        <v>3</v>
      </c>
      <c r="DA664" s="122" t="s">
        <v>300</v>
      </c>
      <c r="DB664" s="122" t="s">
        <v>4147</v>
      </c>
      <c r="DC664" s="122" t="s">
        <v>4147</v>
      </c>
      <c r="DD664" s="127">
        <v>8</v>
      </c>
      <c r="DE664" s="127">
        <v>8</v>
      </c>
      <c r="DG664" s="405" t="s">
        <v>300</v>
      </c>
      <c r="DH664" s="406" t="s">
        <v>4147</v>
      </c>
      <c r="DI664" s="406" t="str">
        <f t="shared" si="42"/>
        <v>CE, Caucaia</v>
      </c>
      <c r="DJ664" s="406">
        <v>-3.7330000000000001</v>
      </c>
      <c r="DK664" s="80">
        <v>-38.655999999999999</v>
      </c>
      <c r="DL664" s="80">
        <v>29</v>
      </c>
      <c r="DM664" s="64">
        <v>8</v>
      </c>
      <c r="DN664" s="406" t="s">
        <v>6410</v>
      </c>
      <c r="DO664" s="406">
        <v>-3.8</v>
      </c>
      <c r="DP664" s="80">
        <v>41</v>
      </c>
    </row>
    <row r="665" spans="29:120" x14ac:dyDescent="0.25">
      <c r="AC665" s="122" t="s">
        <v>376</v>
      </c>
      <c r="AD665" s="122" t="s">
        <v>1067</v>
      </c>
      <c r="AE665" s="127">
        <v>3</v>
      </c>
      <c r="DA665" s="122" t="s">
        <v>300</v>
      </c>
      <c r="DB665" s="122" t="s">
        <v>4592</v>
      </c>
      <c r="DC665" s="122" t="s">
        <v>4592</v>
      </c>
      <c r="DD665" s="127">
        <v>7</v>
      </c>
      <c r="DE665" s="127">
        <v>7</v>
      </c>
      <c r="DG665" s="405" t="s">
        <v>300</v>
      </c>
      <c r="DH665" s="406" t="s">
        <v>4592</v>
      </c>
      <c r="DI665" s="406" t="str">
        <f t="shared" si="42"/>
        <v>CE, Cedro</v>
      </c>
      <c r="DJ665" s="406">
        <v>-6.6070000000000002</v>
      </c>
      <c r="DK665" s="80">
        <v>-39.061999999999998</v>
      </c>
      <c r="DL665" s="80">
        <v>250</v>
      </c>
      <c r="DM665" s="64">
        <v>7</v>
      </c>
      <c r="DN665" s="406" t="s">
        <v>6404</v>
      </c>
      <c r="DO665" s="406">
        <v>-6.36</v>
      </c>
      <c r="DP665" s="80">
        <v>233</v>
      </c>
    </row>
    <row r="666" spans="29:120" x14ac:dyDescent="0.25">
      <c r="AC666" s="122" t="s">
        <v>376</v>
      </c>
      <c r="AD666" s="122" t="s">
        <v>1068</v>
      </c>
      <c r="AE666" s="127">
        <v>3</v>
      </c>
      <c r="DA666" s="122" t="s">
        <v>300</v>
      </c>
      <c r="DB666" s="122" t="s">
        <v>4723</v>
      </c>
      <c r="DC666" s="122" t="s">
        <v>4723</v>
      </c>
      <c r="DD666" s="127">
        <v>8</v>
      </c>
      <c r="DE666" s="127">
        <v>8</v>
      </c>
      <c r="DG666" s="405" t="s">
        <v>300</v>
      </c>
      <c r="DH666" s="406" t="s">
        <v>4723</v>
      </c>
      <c r="DI666" s="406" t="str">
        <f t="shared" si="42"/>
        <v>CE, Chaval</v>
      </c>
      <c r="DJ666" s="406">
        <v>-3.0339999999999998</v>
      </c>
      <c r="DK666" s="80">
        <v>-41.244</v>
      </c>
      <c r="DL666" s="80">
        <v>12</v>
      </c>
      <c r="DM666" s="64">
        <v>8</v>
      </c>
      <c r="DN666" s="406" t="s">
        <v>6416</v>
      </c>
      <c r="DO666" s="406">
        <v>-2.9</v>
      </c>
      <c r="DP666" s="80">
        <v>80</v>
      </c>
    </row>
    <row r="667" spans="29:120" x14ac:dyDescent="0.25">
      <c r="AC667" s="122" t="s">
        <v>376</v>
      </c>
      <c r="AD667" s="122" t="s">
        <v>1069</v>
      </c>
      <c r="AE667" s="127">
        <v>3</v>
      </c>
      <c r="DA667" s="122" t="s">
        <v>300</v>
      </c>
      <c r="DB667" s="122" t="s">
        <v>4588</v>
      </c>
      <c r="DC667" s="122" t="s">
        <v>4588</v>
      </c>
      <c r="DD667" s="127">
        <v>7</v>
      </c>
      <c r="DE667" s="127">
        <v>7</v>
      </c>
      <c r="DG667" s="405" t="s">
        <v>300</v>
      </c>
      <c r="DH667" s="406" t="s">
        <v>4588</v>
      </c>
      <c r="DI667" s="406" t="str">
        <f t="shared" si="42"/>
        <v>CE, Choró</v>
      </c>
      <c r="DJ667" s="406">
        <v>-4.843</v>
      </c>
      <c r="DK667" s="80">
        <v>-39.140999999999998</v>
      </c>
      <c r="DL667" s="80">
        <v>237</v>
      </c>
      <c r="DM667" s="64">
        <v>7</v>
      </c>
      <c r="DN667" s="406" t="s">
        <v>6415</v>
      </c>
      <c r="DO667" s="406">
        <v>-5.2</v>
      </c>
      <c r="DP667" s="80">
        <v>80</v>
      </c>
    </row>
    <row r="668" spans="29:120" x14ac:dyDescent="0.25">
      <c r="AC668" s="122" t="s">
        <v>376</v>
      </c>
      <c r="AD668" s="122" t="s">
        <v>1070</v>
      </c>
      <c r="AE668" s="127">
        <v>3</v>
      </c>
      <c r="DA668" s="122" t="s">
        <v>300</v>
      </c>
      <c r="DB668" s="122" t="s">
        <v>4206</v>
      </c>
      <c r="DC668" s="122" t="s">
        <v>4206</v>
      </c>
      <c r="DD668" s="127">
        <v>8</v>
      </c>
      <c r="DE668" s="127">
        <v>8</v>
      </c>
      <c r="DG668" s="405" t="s">
        <v>300</v>
      </c>
      <c r="DH668" s="406" t="s">
        <v>4206</v>
      </c>
      <c r="DI668" s="406" t="str">
        <f t="shared" si="42"/>
        <v>CE, Chorozinho</v>
      </c>
      <c r="DJ668" s="406">
        <v>-4.3</v>
      </c>
      <c r="DK668" s="80">
        <v>-38.497</v>
      </c>
      <c r="DL668" s="80">
        <v>48</v>
      </c>
      <c r="DM668" s="64">
        <v>8</v>
      </c>
      <c r="DN668" s="406" t="s">
        <v>6402</v>
      </c>
      <c r="DO668" s="406">
        <v>-4.26</v>
      </c>
      <c r="DP668" s="80">
        <v>38</v>
      </c>
    </row>
    <row r="669" spans="29:120" x14ac:dyDescent="0.25">
      <c r="AC669" s="122" t="s">
        <v>376</v>
      </c>
      <c r="AD669" s="122" t="s">
        <v>1071</v>
      </c>
      <c r="AE669" s="127">
        <v>3</v>
      </c>
      <c r="DA669" s="122" t="s">
        <v>300</v>
      </c>
      <c r="DB669" s="122" t="s">
        <v>4669</v>
      </c>
      <c r="DC669" s="122" t="s">
        <v>4669</v>
      </c>
      <c r="DD669" s="127">
        <v>7</v>
      </c>
      <c r="DE669" s="127">
        <v>7</v>
      </c>
      <c r="DG669" s="405" t="s">
        <v>300</v>
      </c>
      <c r="DH669" s="406" t="s">
        <v>4669</v>
      </c>
      <c r="DI669" s="406" t="str">
        <f t="shared" si="42"/>
        <v>CE, Coreaú</v>
      </c>
      <c r="DJ669" s="406">
        <v>-3.5329999999999999</v>
      </c>
      <c r="DK669" s="80">
        <v>-40.656999999999996</v>
      </c>
      <c r="DL669" s="80">
        <v>72</v>
      </c>
      <c r="DM669" s="64">
        <v>7</v>
      </c>
      <c r="DN669" s="406" t="s">
        <v>6403</v>
      </c>
      <c r="DO669" s="406">
        <v>-3.12</v>
      </c>
      <c r="DP669" s="80">
        <v>76</v>
      </c>
    </row>
    <row r="670" spans="29:120" x14ac:dyDescent="0.25">
      <c r="AC670" s="122" t="s">
        <v>376</v>
      </c>
      <c r="AD670" s="122" t="s">
        <v>1072</v>
      </c>
      <c r="AE670" s="127">
        <v>3</v>
      </c>
      <c r="DA670" s="122" t="s">
        <v>300</v>
      </c>
      <c r="DB670" s="122" t="s">
        <v>5276</v>
      </c>
      <c r="DC670" s="122" t="s">
        <v>5276</v>
      </c>
      <c r="DD670" s="127">
        <v>7</v>
      </c>
      <c r="DE670" s="127">
        <v>7</v>
      </c>
      <c r="DG670" s="405" t="s">
        <v>300</v>
      </c>
      <c r="DH670" s="406" t="s">
        <v>5276</v>
      </c>
      <c r="DI670" s="406" t="str">
        <f t="shared" si="42"/>
        <v>CE, Crateús</v>
      </c>
      <c r="DJ670" s="406">
        <v>-5.1779999999999999</v>
      </c>
      <c r="DK670" s="80">
        <v>-40.677999999999997</v>
      </c>
      <c r="DL670" s="80">
        <v>274</v>
      </c>
      <c r="DM670" s="64">
        <v>7</v>
      </c>
      <c r="DN670" s="406" t="s">
        <v>6412</v>
      </c>
      <c r="DO670" s="406">
        <v>-5.19</v>
      </c>
      <c r="DP670" s="80">
        <v>291</v>
      </c>
    </row>
    <row r="671" spans="29:120" x14ac:dyDescent="0.25">
      <c r="AC671" s="122" t="s">
        <v>376</v>
      </c>
      <c r="AD671" s="122" t="s">
        <v>1073</v>
      </c>
      <c r="AE671" s="127">
        <v>3</v>
      </c>
      <c r="DA671" s="122" t="s">
        <v>300</v>
      </c>
      <c r="DB671" s="122" t="s">
        <v>5259</v>
      </c>
      <c r="DC671" s="122" t="s">
        <v>5259</v>
      </c>
      <c r="DD671" s="127">
        <v>7</v>
      </c>
      <c r="DE671" s="127">
        <v>7</v>
      </c>
      <c r="DG671" s="405" t="s">
        <v>300</v>
      </c>
      <c r="DH671" s="406" t="s">
        <v>5259</v>
      </c>
      <c r="DI671" s="406" t="str">
        <f t="shared" si="42"/>
        <v>CE, Crato</v>
      </c>
      <c r="DJ671" s="406">
        <v>-7.234</v>
      </c>
      <c r="DK671" s="80">
        <v>-39.408999999999999</v>
      </c>
      <c r="DL671" s="80">
        <v>426</v>
      </c>
      <c r="DM671" s="64">
        <v>7</v>
      </c>
      <c r="DN671" s="406" t="s">
        <v>6401</v>
      </c>
      <c r="DO671" s="406">
        <v>-7.3</v>
      </c>
      <c r="DP671" s="80">
        <v>409</v>
      </c>
    </row>
    <row r="672" spans="29:120" x14ac:dyDescent="0.25">
      <c r="AC672" s="122" t="s">
        <v>376</v>
      </c>
      <c r="AD672" s="122" t="s">
        <v>1074</v>
      </c>
      <c r="AE672" s="127">
        <v>3</v>
      </c>
      <c r="DA672" s="122" t="s">
        <v>300</v>
      </c>
      <c r="DB672" s="122" t="s">
        <v>4631</v>
      </c>
      <c r="DC672" s="122" t="s">
        <v>4631</v>
      </c>
      <c r="DD672" s="127">
        <v>7</v>
      </c>
      <c r="DE672" s="127">
        <v>7</v>
      </c>
      <c r="DG672" s="405" t="s">
        <v>300</v>
      </c>
      <c r="DH672" s="406" t="s">
        <v>4631</v>
      </c>
      <c r="DI672" s="406" t="str">
        <f t="shared" si="42"/>
        <v>CE, Croatá</v>
      </c>
      <c r="DJ672" s="406">
        <v>-4.4000000000000004</v>
      </c>
      <c r="DK672" s="80">
        <v>-40.911000000000001</v>
      </c>
      <c r="DL672" s="80">
        <v>571</v>
      </c>
      <c r="DM672" s="64">
        <v>7</v>
      </c>
      <c r="DN672" s="406" t="s">
        <v>6412</v>
      </c>
      <c r="DO672" s="406">
        <v>-5.19</v>
      </c>
      <c r="DP672" s="80">
        <v>291</v>
      </c>
    </row>
    <row r="673" spans="29:120" x14ac:dyDescent="0.25">
      <c r="AC673" s="122" t="s">
        <v>376</v>
      </c>
      <c r="AD673" s="122" t="s">
        <v>1075</v>
      </c>
      <c r="AE673" s="127">
        <v>3</v>
      </c>
      <c r="DA673" s="122" t="s">
        <v>300</v>
      </c>
      <c r="DB673" s="122" t="s">
        <v>4293</v>
      </c>
      <c r="DC673" s="122" t="s">
        <v>4293</v>
      </c>
      <c r="DD673" s="127">
        <v>8</v>
      </c>
      <c r="DE673" s="127">
        <v>8</v>
      </c>
      <c r="DG673" s="405" t="s">
        <v>300</v>
      </c>
      <c r="DH673" s="406" t="s">
        <v>4293</v>
      </c>
      <c r="DI673" s="406" t="str">
        <f t="shared" si="42"/>
        <v>CE, Cruz</v>
      </c>
      <c r="DJ673" s="406">
        <v>-2.9180000000000001</v>
      </c>
      <c r="DK673" s="80">
        <v>-40.171999999999997</v>
      </c>
      <c r="DL673" s="80">
        <v>16</v>
      </c>
      <c r="DM673" s="64">
        <v>8</v>
      </c>
      <c r="DN673" s="406" t="s">
        <v>6403</v>
      </c>
      <c r="DO673" s="406">
        <v>-3.12</v>
      </c>
      <c r="DP673" s="80">
        <v>76</v>
      </c>
    </row>
    <row r="674" spans="29:120" x14ac:dyDescent="0.25">
      <c r="AC674" s="122" t="s">
        <v>376</v>
      </c>
      <c r="AD674" s="122" t="s">
        <v>1076</v>
      </c>
      <c r="AE674" s="127">
        <v>3</v>
      </c>
      <c r="DA674" s="122" t="s">
        <v>300</v>
      </c>
      <c r="DB674" s="122" t="s">
        <v>6422</v>
      </c>
      <c r="DC674" s="122" t="s">
        <v>4388</v>
      </c>
      <c r="DD674" s="127">
        <v>7</v>
      </c>
      <c r="DE674" s="127">
        <v>7</v>
      </c>
      <c r="DG674" s="405" t="s">
        <v>300</v>
      </c>
      <c r="DH674" s="406" t="s">
        <v>4388</v>
      </c>
      <c r="DI674" s="406" t="str">
        <f t="shared" si="42"/>
        <v>CE, Deputado Irapuan Pinheiro</v>
      </c>
      <c r="DJ674" s="406">
        <v>-5.9169999999999998</v>
      </c>
      <c r="DK674" s="80">
        <v>-39.268000000000001</v>
      </c>
      <c r="DL674" s="80">
        <v>288</v>
      </c>
      <c r="DM674" s="64">
        <v>7</v>
      </c>
      <c r="DN674" s="406" t="s">
        <v>6404</v>
      </c>
      <c r="DO674" s="406">
        <v>-6.36</v>
      </c>
      <c r="DP674" s="80">
        <v>233</v>
      </c>
    </row>
    <row r="675" spans="29:120" x14ac:dyDescent="0.25">
      <c r="AC675" s="122" t="s">
        <v>376</v>
      </c>
      <c r="AD675" s="122" t="s">
        <v>1077</v>
      </c>
      <c r="AE675" s="127">
        <v>2</v>
      </c>
      <c r="DA675" s="122" t="s">
        <v>300</v>
      </c>
      <c r="DB675" s="122" t="s">
        <v>4601</v>
      </c>
      <c r="DC675" s="122" t="s">
        <v>4601</v>
      </c>
      <c r="DD675" s="127">
        <v>7</v>
      </c>
      <c r="DE675" s="127">
        <v>7</v>
      </c>
      <c r="DG675" s="405" t="s">
        <v>300</v>
      </c>
      <c r="DH675" s="406" t="s">
        <v>4601</v>
      </c>
      <c r="DI675" s="406" t="str">
        <f t="shared" si="42"/>
        <v>CE, Ererê</v>
      </c>
      <c r="DJ675" s="406">
        <v>-6.032</v>
      </c>
      <c r="DK675" s="80">
        <v>-38.348999999999997</v>
      </c>
      <c r="DL675" s="80">
        <v>200</v>
      </c>
      <c r="DM675" s="64">
        <v>7</v>
      </c>
      <c r="DN675" s="406" t="s">
        <v>6423</v>
      </c>
      <c r="DO675" s="406">
        <v>-5.91</v>
      </c>
      <c r="DP675" s="80">
        <v>184</v>
      </c>
    </row>
    <row r="676" spans="29:120" x14ac:dyDescent="0.25">
      <c r="AC676" s="122" t="s">
        <v>376</v>
      </c>
      <c r="AD676" s="122" t="s">
        <v>1078</v>
      </c>
      <c r="AE676" s="127">
        <v>3</v>
      </c>
      <c r="DA676" s="122" t="s">
        <v>300</v>
      </c>
      <c r="DB676" s="122" t="s">
        <v>4113</v>
      </c>
      <c r="DC676" s="122" t="s">
        <v>4113</v>
      </c>
      <c r="DD676" s="127">
        <v>8</v>
      </c>
      <c r="DE676" s="127">
        <v>8</v>
      </c>
      <c r="DG676" s="405" t="s">
        <v>300</v>
      </c>
      <c r="DH676" s="406" t="s">
        <v>4113</v>
      </c>
      <c r="DI676" s="406" t="str">
        <f t="shared" si="42"/>
        <v>CE, Eusébio</v>
      </c>
      <c r="DJ676" s="406">
        <v>-3.89</v>
      </c>
      <c r="DK676" s="80">
        <v>-38.451000000000001</v>
      </c>
      <c r="DL676" s="80">
        <v>28</v>
      </c>
      <c r="DM676" s="64">
        <v>8</v>
      </c>
      <c r="DN676" s="406" t="s">
        <v>6410</v>
      </c>
      <c r="DO676" s="406">
        <v>-3.8</v>
      </c>
      <c r="DP676" s="80">
        <v>41</v>
      </c>
    </row>
    <row r="677" spans="29:120" x14ac:dyDescent="0.25">
      <c r="AC677" s="122" t="s">
        <v>376</v>
      </c>
      <c r="AD677" s="122" t="s">
        <v>1079</v>
      </c>
      <c r="AE677" s="127">
        <v>3</v>
      </c>
      <c r="DA677" s="122" t="s">
        <v>300</v>
      </c>
      <c r="DB677" s="122" t="s">
        <v>6424</v>
      </c>
      <c r="DC677" s="122" t="s">
        <v>5208</v>
      </c>
      <c r="DD677" s="127">
        <v>7</v>
      </c>
      <c r="DE677" s="127">
        <v>7</v>
      </c>
      <c r="DG677" s="405" t="s">
        <v>300</v>
      </c>
      <c r="DH677" s="406" t="s">
        <v>5208</v>
      </c>
      <c r="DI677" s="406" t="str">
        <f t="shared" si="42"/>
        <v>CE, Farias Brito</v>
      </c>
      <c r="DJ677" s="406">
        <v>-6.931</v>
      </c>
      <c r="DK677" s="80">
        <v>-39.566000000000003</v>
      </c>
      <c r="DL677" s="80">
        <v>337</v>
      </c>
      <c r="DM677" s="64">
        <v>7</v>
      </c>
      <c r="DN677" s="406" t="s">
        <v>6401</v>
      </c>
      <c r="DO677" s="406">
        <v>-7.3</v>
      </c>
      <c r="DP677" s="80">
        <v>409</v>
      </c>
    </row>
    <row r="678" spans="29:120" x14ac:dyDescent="0.25">
      <c r="AC678" s="122" t="s">
        <v>376</v>
      </c>
      <c r="AD678" s="122" t="s">
        <v>1080</v>
      </c>
      <c r="AE678" s="127">
        <v>3</v>
      </c>
      <c r="DA678" s="122" t="s">
        <v>300</v>
      </c>
      <c r="DB678" s="122" t="s">
        <v>4796</v>
      </c>
      <c r="DC678" s="122" t="s">
        <v>4796</v>
      </c>
      <c r="DD678" s="127">
        <v>7</v>
      </c>
      <c r="DE678" s="127">
        <v>7</v>
      </c>
      <c r="DG678" s="405" t="s">
        <v>300</v>
      </c>
      <c r="DH678" s="406" t="s">
        <v>4796</v>
      </c>
      <c r="DI678" s="406" t="str">
        <f t="shared" si="42"/>
        <v>CE, Forquilha</v>
      </c>
      <c r="DJ678" s="406">
        <v>-3.798</v>
      </c>
      <c r="DK678" s="80">
        <v>-40.261000000000003</v>
      </c>
      <c r="DL678" s="80">
        <v>99</v>
      </c>
      <c r="DM678" s="64">
        <v>7</v>
      </c>
      <c r="DN678" s="406" t="s">
        <v>6403</v>
      </c>
      <c r="DO678" s="406">
        <v>-3.12</v>
      </c>
      <c r="DP678" s="80">
        <v>76</v>
      </c>
    </row>
    <row r="679" spans="29:120" x14ac:dyDescent="0.25">
      <c r="AC679" s="122" t="s">
        <v>333</v>
      </c>
      <c r="AD679" s="122" t="s">
        <v>1081</v>
      </c>
      <c r="AE679" s="127">
        <v>3</v>
      </c>
      <c r="DA679" s="122" t="s">
        <v>300</v>
      </c>
      <c r="DB679" s="122" t="s">
        <v>4109</v>
      </c>
      <c r="DC679" s="122" t="s">
        <v>4109</v>
      </c>
      <c r="DD679" s="127">
        <v>8</v>
      </c>
      <c r="DE679" s="127">
        <v>8</v>
      </c>
      <c r="DG679" s="405" t="s">
        <v>300</v>
      </c>
      <c r="DH679" s="406" t="s">
        <v>4109</v>
      </c>
      <c r="DI679" s="406" t="str">
        <f t="shared" si="42"/>
        <v>CE, Fortaleza</v>
      </c>
      <c r="DJ679" s="406">
        <v>-3.7170000000000001</v>
      </c>
      <c r="DK679" s="80">
        <v>-38.542999999999999</v>
      </c>
      <c r="DL679" s="80">
        <v>21</v>
      </c>
      <c r="DM679" s="64">
        <v>8</v>
      </c>
      <c r="DN679" s="406" t="s">
        <v>6410</v>
      </c>
      <c r="DO679" s="406">
        <v>-3.8</v>
      </c>
      <c r="DP679" s="80">
        <v>41</v>
      </c>
    </row>
    <row r="680" spans="29:120" x14ac:dyDescent="0.25">
      <c r="AC680" s="122" t="s">
        <v>376</v>
      </c>
      <c r="AD680" s="122" t="s">
        <v>1082</v>
      </c>
      <c r="AE680" s="127">
        <v>4</v>
      </c>
      <c r="DA680" s="122" t="s">
        <v>300</v>
      </c>
      <c r="DB680" s="122" t="s">
        <v>4237</v>
      </c>
      <c r="DC680" s="122" t="s">
        <v>4237</v>
      </c>
      <c r="DD680" s="127">
        <v>8</v>
      </c>
      <c r="DE680" s="127">
        <v>8</v>
      </c>
      <c r="DG680" s="405" t="s">
        <v>300</v>
      </c>
      <c r="DH680" s="406" t="s">
        <v>4237</v>
      </c>
      <c r="DI680" s="406" t="str">
        <f t="shared" si="42"/>
        <v>CE, Fortim</v>
      </c>
      <c r="DJ680" s="406">
        <v>-4.452</v>
      </c>
      <c r="DK680" s="80">
        <v>-37.796999999999997</v>
      </c>
      <c r="DL680" s="80">
        <v>15</v>
      </c>
      <c r="DM680" s="64">
        <v>8</v>
      </c>
      <c r="DN680" s="406" t="s">
        <v>6411</v>
      </c>
      <c r="DO680" s="406">
        <v>-4.79</v>
      </c>
      <c r="DP680" s="80">
        <v>12</v>
      </c>
    </row>
    <row r="681" spans="29:120" x14ac:dyDescent="0.25">
      <c r="AC681" s="122" t="s">
        <v>376</v>
      </c>
      <c r="AD681" s="122" t="s">
        <v>1083</v>
      </c>
      <c r="AE681" s="127">
        <v>3</v>
      </c>
      <c r="DA681" s="122" t="s">
        <v>300</v>
      </c>
      <c r="DB681" s="122" t="s">
        <v>4609</v>
      </c>
      <c r="DC681" s="122" t="s">
        <v>4609</v>
      </c>
      <c r="DD681" s="127">
        <v>7</v>
      </c>
      <c r="DE681" s="127">
        <v>7</v>
      </c>
      <c r="DG681" s="405" t="s">
        <v>300</v>
      </c>
      <c r="DH681" s="406" t="s">
        <v>4609</v>
      </c>
      <c r="DI681" s="406" t="str">
        <f t="shared" si="42"/>
        <v>CE, Frecheirinha</v>
      </c>
      <c r="DJ681" s="406">
        <v>-3.76</v>
      </c>
      <c r="DK681" s="80">
        <v>-40.816000000000003</v>
      </c>
      <c r="DL681" s="80">
        <v>120</v>
      </c>
      <c r="DM681" s="64">
        <v>7</v>
      </c>
      <c r="DN681" s="406" t="s">
        <v>6403</v>
      </c>
      <c r="DO681" s="406">
        <v>-3.12</v>
      </c>
      <c r="DP681" s="80">
        <v>76</v>
      </c>
    </row>
    <row r="682" spans="29:120" x14ac:dyDescent="0.25">
      <c r="AC682" s="122" t="s">
        <v>376</v>
      </c>
      <c r="AD682" s="122" t="s">
        <v>1084</v>
      </c>
      <c r="AE682" s="127">
        <v>3</v>
      </c>
      <c r="DA682" s="122" t="s">
        <v>300</v>
      </c>
      <c r="DB682" s="122" t="s">
        <v>6425</v>
      </c>
      <c r="DC682" s="122" t="s">
        <v>4373</v>
      </c>
      <c r="DD682" s="127">
        <v>8</v>
      </c>
      <c r="DE682" s="127">
        <v>8</v>
      </c>
      <c r="DG682" s="405" t="s">
        <v>300</v>
      </c>
      <c r="DH682" s="406" t="s">
        <v>4373</v>
      </c>
      <c r="DI682" s="406" t="str">
        <f t="shared" si="42"/>
        <v>CE, General Sampaio</v>
      </c>
      <c r="DJ682" s="406">
        <v>-4.0529999999999999</v>
      </c>
      <c r="DK682" s="80">
        <v>-39.454000000000001</v>
      </c>
      <c r="DL682" s="80">
        <v>95</v>
      </c>
      <c r="DM682" s="64">
        <v>8</v>
      </c>
      <c r="DN682" s="406" t="s">
        <v>6402</v>
      </c>
      <c r="DO682" s="406">
        <v>-4.26</v>
      </c>
      <c r="DP682" s="80">
        <v>38</v>
      </c>
    </row>
    <row r="683" spans="29:120" x14ac:dyDescent="0.25">
      <c r="AC683" s="122" t="s">
        <v>376</v>
      </c>
      <c r="AD683" s="122" t="s">
        <v>1085</v>
      </c>
      <c r="AE683" s="127">
        <v>3</v>
      </c>
      <c r="DA683" s="122" t="s">
        <v>300</v>
      </c>
      <c r="DB683" s="122" t="s">
        <v>4372</v>
      </c>
      <c r="DC683" s="122" t="s">
        <v>4372</v>
      </c>
      <c r="DD683" s="127">
        <v>7</v>
      </c>
      <c r="DE683" s="127">
        <v>7</v>
      </c>
      <c r="DG683" s="405" t="s">
        <v>300</v>
      </c>
      <c r="DH683" s="406" t="s">
        <v>4372</v>
      </c>
      <c r="DI683" s="406" t="str">
        <f t="shared" si="42"/>
        <v>CE, Graça</v>
      </c>
      <c r="DJ683" s="406">
        <v>-4.0460000000000003</v>
      </c>
      <c r="DK683" s="80">
        <v>-40.753</v>
      </c>
      <c r="DL683" s="80">
        <v>179</v>
      </c>
      <c r="DM683" s="64">
        <v>7</v>
      </c>
      <c r="DN683" s="406" t="s">
        <v>6421</v>
      </c>
      <c r="DO683" s="406">
        <v>-4.2699999999999996</v>
      </c>
      <c r="DP683" s="80">
        <v>161</v>
      </c>
    </row>
    <row r="684" spans="29:120" x14ac:dyDescent="0.25">
      <c r="AC684" s="122" t="s">
        <v>376</v>
      </c>
      <c r="AD684" s="122" t="s">
        <v>1086</v>
      </c>
      <c r="AE684" s="127">
        <v>3</v>
      </c>
      <c r="DA684" s="122" t="s">
        <v>300</v>
      </c>
      <c r="DB684" s="122" t="s">
        <v>4618</v>
      </c>
      <c r="DC684" s="122" t="s">
        <v>4618</v>
      </c>
      <c r="DD684" s="127">
        <v>8</v>
      </c>
      <c r="DE684" s="127">
        <v>8</v>
      </c>
      <c r="DG684" s="405" t="s">
        <v>300</v>
      </c>
      <c r="DH684" s="406" t="s">
        <v>4618</v>
      </c>
      <c r="DI684" s="406" t="str">
        <f t="shared" si="42"/>
        <v>CE, Granja</v>
      </c>
      <c r="DJ684" s="406">
        <v>-3.12</v>
      </c>
      <c r="DK684" s="80">
        <v>-40.826000000000001</v>
      </c>
      <c r="DL684" s="80">
        <v>10</v>
      </c>
      <c r="DM684" s="64">
        <v>8</v>
      </c>
      <c r="DN684" s="406" t="s">
        <v>6403</v>
      </c>
      <c r="DO684" s="406">
        <v>-3.12</v>
      </c>
      <c r="DP684" s="80">
        <v>76</v>
      </c>
    </row>
    <row r="685" spans="29:120" x14ac:dyDescent="0.25">
      <c r="AC685" s="122" t="s">
        <v>376</v>
      </c>
      <c r="AD685" s="122" t="s">
        <v>1087</v>
      </c>
      <c r="AE685" s="127">
        <v>4</v>
      </c>
      <c r="DA685" s="122" t="s">
        <v>300</v>
      </c>
      <c r="DB685" s="122" t="s">
        <v>5491</v>
      </c>
      <c r="DC685" s="122" t="s">
        <v>5491</v>
      </c>
      <c r="DD685" s="127">
        <v>7</v>
      </c>
      <c r="DE685" s="127">
        <v>7</v>
      </c>
      <c r="DG685" s="405" t="s">
        <v>300</v>
      </c>
      <c r="DH685" s="406" t="s">
        <v>5491</v>
      </c>
      <c r="DI685" s="406" t="str">
        <f t="shared" si="42"/>
        <v>CE, Granjeiro</v>
      </c>
      <c r="DJ685" s="406">
        <v>-6.8879999999999999</v>
      </c>
      <c r="DK685" s="80">
        <v>-39.218000000000004</v>
      </c>
      <c r="DL685" s="80">
        <v>311</v>
      </c>
      <c r="DM685" s="64">
        <v>7</v>
      </c>
      <c r="DN685" s="406" t="s">
        <v>6401</v>
      </c>
      <c r="DO685" s="406">
        <v>-7.3</v>
      </c>
      <c r="DP685" s="80">
        <v>409</v>
      </c>
    </row>
    <row r="686" spans="29:120" x14ac:dyDescent="0.25">
      <c r="AC686" s="122" t="s">
        <v>376</v>
      </c>
      <c r="AD686" s="122" t="s">
        <v>1088</v>
      </c>
      <c r="AE686" s="127">
        <v>4</v>
      </c>
      <c r="DA686" s="122" t="s">
        <v>300</v>
      </c>
      <c r="DB686" s="122" t="s">
        <v>4750</v>
      </c>
      <c r="DC686" s="122" t="s">
        <v>4750</v>
      </c>
      <c r="DD686" s="127">
        <v>7</v>
      </c>
      <c r="DE686" s="127">
        <v>7</v>
      </c>
      <c r="DG686" s="405" t="s">
        <v>300</v>
      </c>
      <c r="DH686" s="406" t="s">
        <v>4750</v>
      </c>
      <c r="DI686" s="406" t="str">
        <f t="shared" si="42"/>
        <v>CE, Groaíras</v>
      </c>
      <c r="DJ686" s="406">
        <v>-3.9129999999999998</v>
      </c>
      <c r="DK686" s="80">
        <v>-40.383000000000003</v>
      </c>
      <c r="DL686" s="80">
        <v>88</v>
      </c>
      <c r="DM686" s="64">
        <v>7</v>
      </c>
      <c r="DN686" s="406" t="s">
        <v>6403</v>
      </c>
      <c r="DO686" s="406">
        <v>-3.12</v>
      </c>
      <c r="DP686" s="80">
        <v>76</v>
      </c>
    </row>
    <row r="687" spans="29:120" x14ac:dyDescent="0.25">
      <c r="AC687" s="122" t="s">
        <v>27</v>
      </c>
      <c r="AD687" s="122" t="s">
        <v>1089</v>
      </c>
      <c r="AE687" s="127">
        <v>2</v>
      </c>
      <c r="DA687" s="122" t="s">
        <v>300</v>
      </c>
      <c r="DB687" s="122" t="s">
        <v>4178</v>
      </c>
      <c r="DC687" s="122" t="s">
        <v>4178</v>
      </c>
      <c r="DD687" s="127">
        <v>8</v>
      </c>
      <c r="DE687" s="127">
        <v>8</v>
      </c>
      <c r="DG687" s="405" t="s">
        <v>300</v>
      </c>
      <c r="DH687" s="406" t="s">
        <v>4178</v>
      </c>
      <c r="DI687" s="406" t="str">
        <f t="shared" si="42"/>
        <v>CE, Guaiúba</v>
      </c>
      <c r="DJ687" s="406">
        <v>-4.04</v>
      </c>
      <c r="DK687" s="80">
        <v>-38.637</v>
      </c>
      <c r="DL687" s="80">
        <v>62</v>
      </c>
      <c r="DM687" s="64">
        <v>8</v>
      </c>
      <c r="DN687" s="406" t="s">
        <v>6410</v>
      </c>
      <c r="DO687" s="406">
        <v>-3.8</v>
      </c>
      <c r="DP687" s="80">
        <v>41</v>
      </c>
    </row>
    <row r="688" spans="29:120" x14ac:dyDescent="0.25">
      <c r="AC688" s="122" t="s">
        <v>236</v>
      </c>
      <c r="AD688" s="122" t="s">
        <v>1090</v>
      </c>
      <c r="AE688" s="127">
        <v>3</v>
      </c>
      <c r="DA688" s="122" t="s">
        <v>300</v>
      </c>
      <c r="DB688" s="122" t="s">
        <v>6426</v>
      </c>
      <c r="DC688" s="122" t="s">
        <v>4612</v>
      </c>
      <c r="DD688" s="127">
        <v>7</v>
      </c>
      <c r="DE688" s="127">
        <v>7</v>
      </c>
      <c r="DG688" s="405" t="s">
        <v>300</v>
      </c>
      <c r="DH688" s="406" t="s">
        <v>4612</v>
      </c>
      <c r="DI688" s="406" t="str">
        <f t="shared" si="42"/>
        <v>CE, Guaraciaba do Norte</v>
      </c>
      <c r="DJ688" s="406">
        <v>-4.1669999999999998</v>
      </c>
      <c r="DK688" s="80">
        <v>-40.747999999999998</v>
      </c>
      <c r="DL688" s="80">
        <v>902</v>
      </c>
      <c r="DM688" s="64">
        <v>7</v>
      </c>
      <c r="DN688" s="406" t="s">
        <v>6412</v>
      </c>
      <c r="DO688" s="406">
        <v>-5.19</v>
      </c>
      <c r="DP688" s="80">
        <v>291</v>
      </c>
    </row>
    <row r="689" spans="29:120" x14ac:dyDescent="0.25">
      <c r="AC689" s="122" t="s">
        <v>236</v>
      </c>
      <c r="AD689" s="122" t="s">
        <v>1091</v>
      </c>
      <c r="AE689" s="127">
        <v>3</v>
      </c>
      <c r="DA689" s="122" t="s">
        <v>300</v>
      </c>
      <c r="DB689" s="122" t="s">
        <v>2334</v>
      </c>
      <c r="DC689" s="122" t="s">
        <v>2334</v>
      </c>
      <c r="DD689" s="127">
        <v>5</v>
      </c>
      <c r="DE689" s="127">
        <v>5</v>
      </c>
      <c r="DG689" s="405" t="s">
        <v>300</v>
      </c>
      <c r="DH689" s="406" t="s">
        <v>2334</v>
      </c>
      <c r="DI689" s="406" t="str">
        <f t="shared" si="42"/>
        <v>CE, Guaramiranga</v>
      </c>
      <c r="DJ689" s="406">
        <v>-4.2629999999999999</v>
      </c>
      <c r="DK689" s="80">
        <v>-38.933</v>
      </c>
      <c r="DL689" s="80">
        <v>900</v>
      </c>
      <c r="DM689" s="64">
        <v>5</v>
      </c>
      <c r="DN689" s="406" t="s">
        <v>6402</v>
      </c>
      <c r="DO689" s="406">
        <v>-4.26</v>
      </c>
      <c r="DP689" s="80">
        <v>38</v>
      </c>
    </row>
    <row r="690" spans="29:120" x14ac:dyDescent="0.25">
      <c r="AC690" s="122" t="s">
        <v>27</v>
      </c>
      <c r="AD690" s="122" t="s">
        <v>1092</v>
      </c>
      <c r="AE690" s="127">
        <v>2</v>
      </c>
      <c r="DA690" s="122" t="s">
        <v>300</v>
      </c>
      <c r="DB690" s="122" t="s">
        <v>1993</v>
      </c>
      <c r="DC690" s="122" t="s">
        <v>1993</v>
      </c>
      <c r="DD690" s="127">
        <v>7</v>
      </c>
      <c r="DE690" s="127">
        <v>7</v>
      </c>
      <c r="DG690" s="405" t="s">
        <v>300</v>
      </c>
      <c r="DH690" s="406" t="s">
        <v>1993</v>
      </c>
      <c r="DI690" s="406" t="str">
        <f t="shared" si="42"/>
        <v>CE, Hidrolândia</v>
      </c>
      <c r="DJ690" s="406">
        <v>-4.4080000000000004</v>
      </c>
      <c r="DK690" s="80">
        <v>-40.438000000000002</v>
      </c>
      <c r="DL690" s="80">
        <v>190</v>
      </c>
      <c r="DM690" s="64">
        <v>7</v>
      </c>
      <c r="DN690" s="406" t="s">
        <v>6412</v>
      </c>
      <c r="DO690" s="406">
        <v>-5.19</v>
      </c>
      <c r="DP690" s="80">
        <v>291</v>
      </c>
    </row>
    <row r="691" spans="29:120" x14ac:dyDescent="0.25">
      <c r="AC691" s="122" t="s">
        <v>27</v>
      </c>
      <c r="AD691" s="122" t="s">
        <v>1093</v>
      </c>
      <c r="AE691" s="127">
        <v>2</v>
      </c>
      <c r="DA691" s="122" t="s">
        <v>300</v>
      </c>
      <c r="DB691" s="122" t="s">
        <v>4153</v>
      </c>
      <c r="DC691" s="122" t="s">
        <v>4153</v>
      </c>
      <c r="DD691" s="127">
        <v>8</v>
      </c>
      <c r="DE691" s="127">
        <v>8</v>
      </c>
      <c r="DG691" s="405" t="s">
        <v>300</v>
      </c>
      <c r="DH691" s="406" t="s">
        <v>4153</v>
      </c>
      <c r="DI691" s="406" t="str">
        <f t="shared" si="42"/>
        <v>CE, Horizonte</v>
      </c>
      <c r="DJ691" s="406">
        <v>-4.0990000000000002</v>
      </c>
      <c r="DK691" s="80">
        <v>-38.496000000000002</v>
      </c>
      <c r="DL691" s="80">
        <v>65</v>
      </c>
      <c r="DM691" s="64">
        <v>8</v>
      </c>
      <c r="DN691" s="406" t="s">
        <v>6410</v>
      </c>
      <c r="DO691" s="406">
        <v>-3.8</v>
      </c>
      <c r="DP691" s="80">
        <v>41</v>
      </c>
    </row>
    <row r="692" spans="29:120" x14ac:dyDescent="0.25">
      <c r="AC692" s="122" t="s">
        <v>27</v>
      </c>
      <c r="AD692" s="122" t="s">
        <v>1094</v>
      </c>
      <c r="AE692" s="127">
        <v>2</v>
      </c>
      <c r="DA692" s="122" t="s">
        <v>300</v>
      </c>
      <c r="DB692" s="122" t="s">
        <v>4598</v>
      </c>
      <c r="DC692" s="122" t="s">
        <v>4598</v>
      </c>
      <c r="DD692" s="127">
        <v>7</v>
      </c>
      <c r="DE692" s="127">
        <v>7</v>
      </c>
      <c r="DG692" s="405" t="s">
        <v>300</v>
      </c>
      <c r="DH692" s="406" t="s">
        <v>4598</v>
      </c>
      <c r="DI692" s="406" t="str">
        <f t="shared" si="42"/>
        <v>CE, Ibaretama</v>
      </c>
      <c r="DJ692" s="406">
        <v>-4.8040000000000003</v>
      </c>
      <c r="DK692" s="80">
        <v>-38.753</v>
      </c>
      <c r="DL692" s="80">
        <v>190</v>
      </c>
      <c r="DM692" s="64">
        <v>7</v>
      </c>
      <c r="DN692" s="406" t="s">
        <v>6407</v>
      </c>
      <c r="DO692" s="406">
        <v>-5.1100000000000003</v>
      </c>
      <c r="DP692" s="80">
        <v>44</v>
      </c>
    </row>
    <row r="693" spans="29:120" x14ac:dyDescent="0.25">
      <c r="AC693" s="122" t="s">
        <v>236</v>
      </c>
      <c r="AD693" s="122" t="s">
        <v>1095</v>
      </c>
      <c r="AE693" s="127">
        <v>1</v>
      </c>
      <c r="DA693" s="122" t="s">
        <v>300</v>
      </c>
      <c r="DB693" s="122" t="s">
        <v>4340</v>
      </c>
      <c r="DC693" s="122" t="s">
        <v>4340</v>
      </c>
      <c r="DD693" s="127">
        <v>7</v>
      </c>
      <c r="DE693" s="127">
        <v>7</v>
      </c>
      <c r="DG693" s="405" t="s">
        <v>300</v>
      </c>
      <c r="DH693" s="406" t="s">
        <v>4340</v>
      </c>
      <c r="DI693" s="406" t="str">
        <f t="shared" si="42"/>
        <v>CE, Ibiapina</v>
      </c>
      <c r="DJ693" s="406">
        <v>-3.923</v>
      </c>
      <c r="DK693" s="80">
        <v>-40.889000000000003</v>
      </c>
      <c r="DL693" s="80">
        <v>878</v>
      </c>
      <c r="DM693" s="64">
        <v>7</v>
      </c>
      <c r="DN693" s="406" t="s">
        <v>6421</v>
      </c>
      <c r="DO693" s="406">
        <v>-4.2699999999999996</v>
      </c>
      <c r="DP693" s="80">
        <v>161</v>
      </c>
    </row>
    <row r="694" spans="29:120" x14ac:dyDescent="0.25">
      <c r="AC694" s="122" t="s">
        <v>27</v>
      </c>
      <c r="AD694" s="122" t="s">
        <v>1096</v>
      </c>
      <c r="AE694" s="127">
        <v>2</v>
      </c>
      <c r="DA694" s="122" t="s">
        <v>300</v>
      </c>
      <c r="DB694" s="122" t="s">
        <v>4681</v>
      </c>
      <c r="DC694" s="122" t="s">
        <v>4681</v>
      </c>
      <c r="DD694" s="127">
        <v>7</v>
      </c>
      <c r="DE694" s="127">
        <v>7</v>
      </c>
      <c r="DG694" s="405" t="s">
        <v>300</v>
      </c>
      <c r="DH694" s="406" t="s">
        <v>4681</v>
      </c>
      <c r="DI694" s="406" t="str">
        <f t="shared" si="42"/>
        <v>CE, Ibicuitinga</v>
      </c>
      <c r="DJ694" s="406">
        <v>-4.9740000000000002</v>
      </c>
      <c r="DK694" s="80">
        <v>-38.639000000000003</v>
      </c>
      <c r="DL694" s="80">
        <v>200</v>
      </c>
      <c r="DM694" s="64">
        <v>7</v>
      </c>
      <c r="DN694" s="406" t="s">
        <v>6407</v>
      </c>
      <c r="DO694" s="406">
        <v>-5.1100000000000003</v>
      </c>
      <c r="DP694" s="80">
        <v>44</v>
      </c>
    </row>
    <row r="695" spans="29:120" x14ac:dyDescent="0.25">
      <c r="AC695" s="122" t="s">
        <v>236</v>
      </c>
      <c r="AD695" s="122" t="s">
        <v>1097</v>
      </c>
      <c r="AE695" s="127">
        <v>1</v>
      </c>
      <c r="DA695" s="122" t="s">
        <v>300</v>
      </c>
      <c r="DB695" s="122" t="s">
        <v>4316</v>
      </c>
      <c r="DC695" s="122" t="s">
        <v>4316</v>
      </c>
      <c r="DD695" s="127">
        <v>8</v>
      </c>
      <c r="DE695" s="127">
        <v>8</v>
      </c>
      <c r="DG695" s="405" t="s">
        <v>300</v>
      </c>
      <c r="DH695" s="406" t="s">
        <v>4316</v>
      </c>
      <c r="DI695" s="406" t="str">
        <f t="shared" si="42"/>
        <v>CE, Icapuí</v>
      </c>
      <c r="DJ695" s="406">
        <v>-4.7130000000000001</v>
      </c>
      <c r="DK695" s="80">
        <v>-37.354999999999997</v>
      </c>
      <c r="DL695" s="80">
        <v>5</v>
      </c>
      <c r="DM695" s="64">
        <v>8</v>
      </c>
      <c r="DN695" s="406" t="s">
        <v>6411</v>
      </c>
      <c r="DO695" s="406">
        <v>-4.79</v>
      </c>
      <c r="DP695" s="80">
        <v>12</v>
      </c>
    </row>
    <row r="696" spans="29:120" x14ac:dyDescent="0.25">
      <c r="AC696" s="122" t="s">
        <v>27</v>
      </c>
      <c r="AD696" s="122" t="s">
        <v>1098</v>
      </c>
      <c r="AE696" s="127">
        <v>2</v>
      </c>
      <c r="DA696" s="122" t="s">
        <v>300</v>
      </c>
      <c r="DB696" s="122" t="s">
        <v>5161</v>
      </c>
      <c r="DC696" s="122" t="s">
        <v>5161</v>
      </c>
      <c r="DD696" s="127">
        <v>7</v>
      </c>
      <c r="DE696" s="127">
        <v>7</v>
      </c>
      <c r="DG696" s="405" t="s">
        <v>300</v>
      </c>
      <c r="DH696" s="406" t="s">
        <v>5161</v>
      </c>
      <c r="DI696" s="406" t="str">
        <f t="shared" si="42"/>
        <v>CE, Icó</v>
      </c>
      <c r="DJ696" s="406">
        <v>-6.4009999999999998</v>
      </c>
      <c r="DK696" s="80">
        <v>-38.862000000000002</v>
      </c>
      <c r="DL696" s="80">
        <v>153</v>
      </c>
      <c r="DM696" s="64">
        <v>7</v>
      </c>
      <c r="DN696" s="406" t="s">
        <v>6404</v>
      </c>
      <c r="DO696" s="406">
        <v>-6.36</v>
      </c>
      <c r="DP696" s="80">
        <v>233</v>
      </c>
    </row>
    <row r="697" spans="29:120" x14ac:dyDescent="0.25">
      <c r="AC697" s="122" t="s">
        <v>27</v>
      </c>
      <c r="AD697" s="122" t="s">
        <v>1099</v>
      </c>
      <c r="AE697" s="127">
        <v>2</v>
      </c>
      <c r="DA697" s="122" t="s">
        <v>300</v>
      </c>
      <c r="DB697" s="122" t="s">
        <v>758</v>
      </c>
      <c r="DC697" s="122" t="s">
        <v>758</v>
      </c>
      <c r="DD697" s="127">
        <v>7</v>
      </c>
      <c r="DE697" s="127">
        <v>7</v>
      </c>
      <c r="DG697" s="405" t="s">
        <v>300</v>
      </c>
      <c r="DH697" s="406" t="s">
        <v>758</v>
      </c>
      <c r="DI697" s="406" t="str">
        <f t="shared" si="42"/>
        <v>CE, Iguatu</v>
      </c>
      <c r="DJ697" s="406">
        <v>-6.359</v>
      </c>
      <c r="DK697" s="80">
        <v>-39.298999999999999</v>
      </c>
      <c r="DL697" s="80">
        <v>217</v>
      </c>
      <c r="DM697" s="64">
        <v>7</v>
      </c>
      <c r="DN697" s="406" t="s">
        <v>6404</v>
      </c>
      <c r="DO697" s="406">
        <v>-6.36</v>
      </c>
      <c r="DP697" s="80">
        <v>233</v>
      </c>
    </row>
    <row r="698" spans="29:120" x14ac:dyDescent="0.25">
      <c r="AC698" s="122" t="s">
        <v>27</v>
      </c>
      <c r="AD698" s="122" t="s">
        <v>1100</v>
      </c>
      <c r="AE698" s="127">
        <v>2</v>
      </c>
      <c r="DA698" s="122" t="s">
        <v>300</v>
      </c>
      <c r="DB698" s="122" t="s">
        <v>3121</v>
      </c>
      <c r="DC698" s="122" t="s">
        <v>3121</v>
      </c>
      <c r="DD698" s="127">
        <v>7</v>
      </c>
      <c r="DE698" s="127">
        <v>7</v>
      </c>
      <c r="DG698" s="405" t="s">
        <v>300</v>
      </c>
      <c r="DH698" s="406" t="s">
        <v>3121</v>
      </c>
      <c r="DI698" s="406" t="str">
        <f t="shared" si="42"/>
        <v>CE, Independência</v>
      </c>
      <c r="DJ698" s="406">
        <v>-5.3959999999999999</v>
      </c>
      <c r="DK698" s="80">
        <v>-40.308999999999997</v>
      </c>
      <c r="DL698" s="80">
        <v>343</v>
      </c>
      <c r="DM698" s="64">
        <v>7</v>
      </c>
      <c r="DN698" s="406" t="s">
        <v>6412</v>
      </c>
      <c r="DO698" s="406">
        <v>-5.19</v>
      </c>
      <c r="DP698" s="80">
        <v>291</v>
      </c>
    </row>
    <row r="699" spans="29:120" x14ac:dyDescent="0.25">
      <c r="AC699" s="122" t="s">
        <v>27</v>
      </c>
      <c r="AD699" s="122" t="s">
        <v>1101</v>
      </c>
      <c r="AE699" s="127">
        <v>2</v>
      </c>
      <c r="DA699" s="122" t="s">
        <v>300</v>
      </c>
      <c r="DB699" s="122" t="s">
        <v>4682</v>
      </c>
      <c r="DC699" s="122" t="s">
        <v>4682</v>
      </c>
      <c r="DD699" s="127">
        <v>7</v>
      </c>
      <c r="DE699" s="127">
        <v>7</v>
      </c>
      <c r="DG699" s="405" t="s">
        <v>300</v>
      </c>
      <c r="DH699" s="406" t="s">
        <v>4682</v>
      </c>
      <c r="DI699" s="406" t="str">
        <f t="shared" si="42"/>
        <v>CE, Ipaporanga</v>
      </c>
      <c r="DJ699" s="406">
        <v>-4.9000000000000004</v>
      </c>
      <c r="DK699" s="80">
        <v>-40.759</v>
      </c>
      <c r="DL699" s="80">
        <v>278</v>
      </c>
      <c r="DM699" s="64">
        <v>7</v>
      </c>
      <c r="DN699" s="406" t="s">
        <v>6412</v>
      </c>
      <c r="DO699" s="406">
        <v>-5.19</v>
      </c>
      <c r="DP699" s="80">
        <v>291</v>
      </c>
    </row>
    <row r="700" spans="29:120" x14ac:dyDescent="0.25">
      <c r="AC700" s="122" t="s">
        <v>27</v>
      </c>
      <c r="AD700" s="122" t="s">
        <v>1102</v>
      </c>
      <c r="AE700" s="127">
        <v>2</v>
      </c>
      <c r="DA700" s="122" t="s">
        <v>300</v>
      </c>
      <c r="DB700" s="122" t="s">
        <v>5436</v>
      </c>
      <c r="DC700" s="122" t="s">
        <v>5436</v>
      </c>
      <c r="DD700" s="127">
        <v>7</v>
      </c>
      <c r="DE700" s="127">
        <v>7</v>
      </c>
      <c r="DG700" s="405" t="s">
        <v>300</v>
      </c>
      <c r="DH700" s="406" t="s">
        <v>5436</v>
      </c>
      <c r="DI700" s="406" t="str">
        <f t="shared" si="42"/>
        <v>CE, Ipaumirim</v>
      </c>
      <c r="DJ700" s="406">
        <v>-6.79</v>
      </c>
      <c r="DK700" s="80">
        <v>-38.719000000000001</v>
      </c>
      <c r="DL700" s="80">
        <v>273</v>
      </c>
      <c r="DM700" s="64">
        <v>7</v>
      </c>
      <c r="DN700" s="406" t="s">
        <v>6414</v>
      </c>
      <c r="DO700" s="406">
        <v>-6.84</v>
      </c>
      <c r="DP700" s="80">
        <v>234</v>
      </c>
    </row>
    <row r="701" spans="29:120" x14ac:dyDescent="0.25">
      <c r="AC701" s="122" t="s">
        <v>236</v>
      </c>
      <c r="AD701" s="122" t="s">
        <v>1103</v>
      </c>
      <c r="AE701" s="127">
        <v>1</v>
      </c>
      <c r="DA701" s="122" t="s">
        <v>300</v>
      </c>
      <c r="DB701" s="122" t="s">
        <v>4615</v>
      </c>
      <c r="DC701" s="122" t="s">
        <v>4615</v>
      </c>
      <c r="DD701" s="127">
        <v>7</v>
      </c>
      <c r="DE701" s="127">
        <v>7</v>
      </c>
      <c r="DG701" s="405" t="s">
        <v>300</v>
      </c>
      <c r="DH701" s="406" t="s">
        <v>4615</v>
      </c>
      <c r="DI701" s="406" t="str">
        <f t="shared" si="42"/>
        <v>CE, Ipu</v>
      </c>
      <c r="DJ701" s="406">
        <v>-4.3220000000000001</v>
      </c>
      <c r="DK701" s="80">
        <v>-40.710999999999999</v>
      </c>
      <c r="DL701" s="80">
        <v>247</v>
      </c>
      <c r="DM701" s="64">
        <v>7</v>
      </c>
      <c r="DN701" s="406" t="s">
        <v>6412</v>
      </c>
      <c r="DO701" s="406">
        <v>-5.19</v>
      </c>
      <c r="DP701" s="80">
        <v>291</v>
      </c>
    </row>
    <row r="702" spans="29:120" x14ac:dyDescent="0.25">
      <c r="AC702" s="122" t="s">
        <v>27</v>
      </c>
      <c r="AD702" s="122" t="s">
        <v>1104</v>
      </c>
      <c r="AE702" s="127">
        <v>2</v>
      </c>
      <c r="DA702" s="122" t="s">
        <v>300</v>
      </c>
      <c r="DB702" s="122" t="s">
        <v>4629</v>
      </c>
      <c r="DC702" s="122" t="s">
        <v>4629</v>
      </c>
      <c r="DD702" s="127">
        <v>7</v>
      </c>
      <c r="DE702" s="127">
        <v>7</v>
      </c>
      <c r="DG702" s="405" t="s">
        <v>300</v>
      </c>
      <c r="DH702" s="406" t="s">
        <v>4629</v>
      </c>
      <c r="DI702" s="406" t="str">
        <f t="shared" si="42"/>
        <v>CE, Ipueiras</v>
      </c>
      <c r="DJ702" s="406">
        <v>-4.5419999999999998</v>
      </c>
      <c r="DK702" s="80">
        <v>-40.719000000000001</v>
      </c>
      <c r="DL702" s="80">
        <v>231</v>
      </c>
      <c r="DM702" s="64">
        <v>7</v>
      </c>
      <c r="DN702" s="406" t="s">
        <v>6412</v>
      </c>
      <c r="DO702" s="406">
        <v>-5.19</v>
      </c>
      <c r="DP702" s="80">
        <v>291</v>
      </c>
    </row>
    <row r="703" spans="29:120" x14ac:dyDescent="0.25">
      <c r="AC703" s="122" t="s">
        <v>27</v>
      </c>
      <c r="AD703" s="122" t="s">
        <v>1105</v>
      </c>
      <c r="AE703" s="127">
        <v>2</v>
      </c>
      <c r="DA703" s="122" t="s">
        <v>300</v>
      </c>
      <c r="DB703" s="122" t="s">
        <v>4207</v>
      </c>
      <c r="DC703" s="122" t="s">
        <v>4207</v>
      </c>
      <c r="DD703" s="127">
        <v>7</v>
      </c>
      <c r="DE703" s="127">
        <v>7</v>
      </c>
      <c r="DG703" s="405" t="s">
        <v>300</v>
      </c>
      <c r="DH703" s="406" t="s">
        <v>4207</v>
      </c>
      <c r="DI703" s="406" t="str">
        <f t="shared" si="42"/>
        <v>CE, Iracema</v>
      </c>
      <c r="DJ703" s="406">
        <v>-5.8120000000000003</v>
      </c>
      <c r="DK703" s="80">
        <v>-38.305999999999997</v>
      </c>
      <c r="DL703" s="80">
        <v>131</v>
      </c>
      <c r="DM703" s="64">
        <v>7</v>
      </c>
      <c r="DN703" s="406" t="s">
        <v>6423</v>
      </c>
      <c r="DO703" s="406">
        <v>-5.91</v>
      </c>
      <c r="DP703" s="80">
        <v>184</v>
      </c>
    </row>
    <row r="704" spans="29:120" x14ac:dyDescent="0.25">
      <c r="AC704" s="122" t="s">
        <v>236</v>
      </c>
      <c r="AD704" s="122" t="s">
        <v>1106</v>
      </c>
      <c r="AE704" s="127">
        <v>1</v>
      </c>
      <c r="DA704" s="122" t="s">
        <v>300</v>
      </c>
      <c r="DB704" s="122" t="s">
        <v>4369</v>
      </c>
      <c r="DC704" s="122" t="s">
        <v>4369</v>
      </c>
      <c r="DD704" s="127">
        <v>7</v>
      </c>
      <c r="DE704" s="127">
        <v>7</v>
      </c>
      <c r="DG704" s="405" t="s">
        <v>300</v>
      </c>
      <c r="DH704" s="406" t="s">
        <v>4369</v>
      </c>
      <c r="DI704" s="406" t="str">
        <f t="shared" si="42"/>
        <v>CE, Irauçuba</v>
      </c>
      <c r="DJ704" s="406">
        <v>-3.746</v>
      </c>
      <c r="DK704" s="80">
        <v>-39.783000000000001</v>
      </c>
      <c r="DL704" s="80">
        <v>153</v>
      </c>
      <c r="DM704" s="64">
        <v>7</v>
      </c>
      <c r="DN704" s="406" t="s">
        <v>6408</v>
      </c>
      <c r="DO704" s="406">
        <v>-3.48</v>
      </c>
      <c r="DP704" s="80">
        <v>102</v>
      </c>
    </row>
    <row r="705" spans="29:120" x14ac:dyDescent="0.25">
      <c r="AC705" s="122" t="s">
        <v>236</v>
      </c>
      <c r="AD705" s="122" t="s">
        <v>1107</v>
      </c>
      <c r="AE705" s="127">
        <v>2</v>
      </c>
      <c r="DA705" s="122" t="s">
        <v>300</v>
      </c>
      <c r="DB705" s="122" t="s">
        <v>4363</v>
      </c>
      <c r="DC705" s="122" t="s">
        <v>4363</v>
      </c>
      <c r="DD705" s="127">
        <v>8</v>
      </c>
      <c r="DE705" s="127">
        <v>8</v>
      </c>
      <c r="DG705" s="405" t="s">
        <v>300</v>
      </c>
      <c r="DH705" s="406" t="s">
        <v>4363</v>
      </c>
      <c r="DI705" s="406" t="str">
        <f t="shared" si="42"/>
        <v>CE, Itaiçaba</v>
      </c>
      <c r="DJ705" s="406">
        <v>-4.6740000000000004</v>
      </c>
      <c r="DK705" s="80">
        <v>-37.822000000000003</v>
      </c>
      <c r="DL705" s="80">
        <v>7</v>
      </c>
      <c r="DM705" s="64">
        <v>8</v>
      </c>
      <c r="DN705" s="406" t="s">
        <v>6411</v>
      </c>
      <c r="DO705" s="406">
        <v>-4.79</v>
      </c>
      <c r="DP705" s="80">
        <v>12</v>
      </c>
    </row>
    <row r="706" spans="29:120" x14ac:dyDescent="0.25">
      <c r="AC706" s="122" t="s">
        <v>27</v>
      </c>
      <c r="AD706" s="122" t="s">
        <v>1108</v>
      </c>
      <c r="AE706" s="127">
        <v>2</v>
      </c>
      <c r="DA706" s="122" t="s">
        <v>300</v>
      </c>
      <c r="DB706" s="122" t="s">
        <v>4131</v>
      </c>
      <c r="DC706" s="122" t="s">
        <v>4131</v>
      </c>
      <c r="DD706" s="127">
        <v>8</v>
      </c>
      <c r="DE706" s="127">
        <v>8</v>
      </c>
      <c r="DG706" s="405" t="s">
        <v>300</v>
      </c>
      <c r="DH706" s="406" t="s">
        <v>4131</v>
      </c>
      <c r="DI706" s="406" t="str">
        <f t="shared" si="42"/>
        <v>CE, Itaitinga</v>
      </c>
      <c r="DJ706" s="406">
        <v>-3.9689999999999999</v>
      </c>
      <c r="DK706" s="80">
        <v>-38.527999999999999</v>
      </c>
      <c r="DL706" s="80">
        <v>60</v>
      </c>
      <c r="DM706" s="64">
        <v>8</v>
      </c>
      <c r="DN706" s="406" t="s">
        <v>6410</v>
      </c>
      <c r="DO706" s="406">
        <v>-3.8</v>
      </c>
      <c r="DP706" s="80">
        <v>41</v>
      </c>
    </row>
    <row r="707" spans="29:120" x14ac:dyDescent="0.25">
      <c r="AC707" s="122" t="s">
        <v>27</v>
      </c>
      <c r="AD707" s="122" t="s">
        <v>250</v>
      </c>
      <c r="AE707" s="127">
        <v>2</v>
      </c>
      <c r="DA707" s="122" t="s">
        <v>300</v>
      </c>
      <c r="DB707" s="122" t="s">
        <v>4320</v>
      </c>
      <c r="DC707" s="122" t="s">
        <v>4320</v>
      </c>
      <c r="DD707" s="127">
        <v>7</v>
      </c>
      <c r="DE707" s="127">
        <v>7</v>
      </c>
      <c r="DG707" s="405" t="s">
        <v>300</v>
      </c>
      <c r="DH707" s="406" t="s">
        <v>4320</v>
      </c>
      <c r="DI707" s="406" t="str">
        <f t="shared" ref="DI707:DI770" si="43">CONCATENATE(DG707,", ",DH707)</f>
        <v>CE, Itapagé</v>
      </c>
      <c r="DJ707" s="406">
        <v>-3.6869999999999998</v>
      </c>
      <c r="DK707" s="80">
        <v>-39.585999999999999</v>
      </c>
      <c r="DL707" s="80">
        <v>262</v>
      </c>
      <c r="DM707" s="64">
        <v>7</v>
      </c>
      <c r="DN707" s="406" t="s">
        <v>6408</v>
      </c>
      <c r="DO707" s="406">
        <v>-3.48</v>
      </c>
      <c r="DP707" s="80">
        <v>102</v>
      </c>
    </row>
    <row r="708" spans="29:120" x14ac:dyDescent="0.25">
      <c r="AC708" s="122" t="s">
        <v>236</v>
      </c>
      <c r="AD708" s="122" t="s">
        <v>1109</v>
      </c>
      <c r="AE708" s="127">
        <v>2</v>
      </c>
      <c r="DA708" s="122" t="s">
        <v>300</v>
      </c>
      <c r="DB708" s="122" t="s">
        <v>5127</v>
      </c>
      <c r="DC708" s="122" t="s">
        <v>5127</v>
      </c>
      <c r="DD708" s="127">
        <v>8</v>
      </c>
      <c r="DE708" s="127">
        <v>8</v>
      </c>
      <c r="DG708" s="405" t="s">
        <v>300</v>
      </c>
      <c r="DH708" s="406" t="s">
        <v>5127</v>
      </c>
      <c r="DI708" s="406" t="str">
        <f t="shared" si="43"/>
        <v>CE, Itapipoca</v>
      </c>
      <c r="DJ708" s="406">
        <v>-3.4940000000000002</v>
      </c>
      <c r="DK708" s="80">
        <v>-39.579000000000001</v>
      </c>
      <c r="DL708" s="80">
        <v>108</v>
      </c>
      <c r="DM708" s="64">
        <v>8</v>
      </c>
      <c r="DN708" s="406" t="s">
        <v>6408</v>
      </c>
      <c r="DO708" s="406">
        <v>-3.48</v>
      </c>
      <c r="DP708" s="80">
        <v>102</v>
      </c>
    </row>
    <row r="709" spans="29:120" x14ac:dyDescent="0.25">
      <c r="AC709" s="122" t="s">
        <v>236</v>
      </c>
      <c r="AD709" s="122" t="s">
        <v>1110</v>
      </c>
      <c r="AE709" s="127">
        <v>3</v>
      </c>
      <c r="DA709" s="122" t="s">
        <v>300</v>
      </c>
      <c r="DB709" s="122" t="s">
        <v>4385</v>
      </c>
      <c r="DC709" s="122" t="s">
        <v>4385</v>
      </c>
      <c r="DD709" s="127">
        <v>8</v>
      </c>
      <c r="DE709" s="127">
        <v>8</v>
      </c>
      <c r="DG709" s="405" t="s">
        <v>300</v>
      </c>
      <c r="DH709" s="406" t="s">
        <v>4385</v>
      </c>
      <c r="DI709" s="406" t="str">
        <f t="shared" si="43"/>
        <v>CE, Itapiúna</v>
      </c>
      <c r="DJ709" s="406">
        <v>-4.5640000000000001</v>
      </c>
      <c r="DK709" s="80">
        <v>-38.921999999999997</v>
      </c>
      <c r="DL709" s="80">
        <v>133</v>
      </c>
      <c r="DM709" s="64">
        <v>8</v>
      </c>
      <c r="DN709" s="406" t="s">
        <v>6402</v>
      </c>
      <c r="DO709" s="406">
        <v>-4.26</v>
      </c>
      <c r="DP709" s="80">
        <v>38</v>
      </c>
    </row>
    <row r="710" spans="29:120" x14ac:dyDescent="0.25">
      <c r="AC710" s="122" t="s">
        <v>27</v>
      </c>
      <c r="AD710" s="122" t="s">
        <v>1111</v>
      </c>
      <c r="AE710" s="127">
        <v>2</v>
      </c>
      <c r="DA710" s="122" t="s">
        <v>300</v>
      </c>
      <c r="DB710" s="122" t="s">
        <v>4242</v>
      </c>
      <c r="DC710" s="122" t="s">
        <v>4242</v>
      </c>
      <c r="DD710" s="127">
        <v>8</v>
      </c>
      <c r="DE710" s="127">
        <v>8</v>
      </c>
      <c r="DG710" s="405" t="s">
        <v>300</v>
      </c>
      <c r="DH710" s="406" t="s">
        <v>4242</v>
      </c>
      <c r="DI710" s="406" t="str">
        <f t="shared" si="43"/>
        <v>CE, Itarema</v>
      </c>
      <c r="DJ710" s="406">
        <v>-2.92</v>
      </c>
      <c r="DK710" s="80">
        <v>-39.914999999999999</v>
      </c>
      <c r="DL710" s="80">
        <v>34</v>
      </c>
      <c r="DM710" s="64">
        <v>8</v>
      </c>
      <c r="DN710" s="406" t="s">
        <v>6403</v>
      </c>
      <c r="DO710" s="406">
        <v>-3.12</v>
      </c>
      <c r="DP710" s="80">
        <v>76</v>
      </c>
    </row>
    <row r="711" spans="29:120" x14ac:dyDescent="0.25">
      <c r="AC711" s="122" t="s">
        <v>236</v>
      </c>
      <c r="AD711" s="122" t="s">
        <v>1112</v>
      </c>
      <c r="AE711" s="127">
        <v>2</v>
      </c>
      <c r="DA711" s="122" t="s">
        <v>300</v>
      </c>
      <c r="DB711" s="122" t="s">
        <v>4658</v>
      </c>
      <c r="DC711" s="122" t="s">
        <v>4658</v>
      </c>
      <c r="DD711" s="127">
        <v>7</v>
      </c>
      <c r="DE711" s="127">
        <v>7</v>
      </c>
      <c r="DG711" s="405" t="s">
        <v>300</v>
      </c>
      <c r="DH711" s="406" t="s">
        <v>4658</v>
      </c>
      <c r="DI711" s="406" t="str">
        <f t="shared" si="43"/>
        <v>CE, Itatira</v>
      </c>
      <c r="DJ711" s="406">
        <v>-4.5289999999999999</v>
      </c>
      <c r="DK711" s="80">
        <v>-39.622</v>
      </c>
      <c r="DL711" s="80">
        <v>794</v>
      </c>
      <c r="DM711" s="64">
        <v>7</v>
      </c>
      <c r="DN711" s="406" t="s">
        <v>6402</v>
      </c>
      <c r="DO711" s="406">
        <v>-4.26</v>
      </c>
      <c r="DP711" s="80">
        <v>38</v>
      </c>
    </row>
    <row r="712" spans="29:120" x14ac:dyDescent="0.25">
      <c r="AC712" s="122" t="s">
        <v>27</v>
      </c>
      <c r="AD712" s="122" t="s">
        <v>1113</v>
      </c>
      <c r="AE712" s="127">
        <v>2</v>
      </c>
      <c r="DA712" s="122" t="s">
        <v>300</v>
      </c>
      <c r="DB712" s="122" t="s">
        <v>5283</v>
      </c>
      <c r="DC712" s="122" t="s">
        <v>5283</v>
      </c>
      <c r="DD712" s="127">
        <v>7</v>
      </c>
      <c r="DE712" s="127">
        <v>7</v>
      </c>
      <c r="DG712" s="405" t="s">
        <v>300</v>
      </c>
      <c r="DH712" s="406" t="s">
        <v>5283</v>
      </c>
      <c r="DI712" s="406" t="str">
        <f t="shared" si="43"/>
        <v>CE, Jaguaretama</v>
      </c>
      <c r="DJ712" s="406">
        <v>-5.6130000000000004</v>
      </c>
      <c r="DK712" s="80">
        <v>-38.767000000000003</v>
      </c>
      <c r="DL712" s="80">
        <v>120</v>
      </c>
      <c r="DM712" s="64">
        <v>7</v>
      </c>
      <c r="DN712" s="406" t="s">
        <v>6423</v>
      </c>
      <c r="DO712" s="406">
        <v>-5.91</v>
      </c>
      <c r="DP712" s="80">
        <v>184</v>
      </c>
    </row>
    <row r="713" spans="29:120" x14ac:dyDescent="0.25">
      <c r="AC713" s="122" t="s">
        <v>27</v>
      </c>
      <c r="AD713" s="122" t="s">
        <v>1114</v>
      </c>
      <c r="AE713" s="127">
        <v>2</v>
      </c>
      <c r="DA713" s="122" t="s">
        <v>300</v>
      </c>
      <c r="DB713" s="122" t="s">
        <v>5306</v>
      </c>
      <c r="DC713" s="122" t="s">
        <v>5306</v>
      </c>
      <c r="DD713" s="127">
        <v>7</v>
      </c>
      <c r="DE713" s="127">
        <v>7</v>
      </c>
      <c r="DG713" s="405" t="s">
        <v>300</v>
      </c>
      <c r="DH713" s="406" t="s">
        <v>5306</v>
      </c>
      <c r="DI713" s="406" t="str">
        <f t="shared" si="43"/>
        <v>CE, Jaguaribara</v>
      </c>
      <c r="DJ713" s="406">
        <v>-5.6580000000000004</v>
      </c>
      <c r="DK713" s="80">
        <v>-38.619999999999997</v>
      </c>
      <c r="DL713" s="80">
        <v>92</v>
      </c>
      <c r="DM713" s="64">
        <v>7</v>
      </c>
      <c r="DN713" s="406" t="s">
        <v>6423</v>
      </c>
      <c r="DO713" s="406">
        <v>-5.91</v>
      </c>
      <c r="DP713" s="80">
        <v>184</v>
      </c>
    </row>
    <row r="714" spans="29:120" x14ac:dyDescent="0.25">
      <c r="AC714" s="122" t="s">
        <v>27</v>
      </c>
      <c r="AD714" s="122" t="s">
        <v>1115</v>
      </c>
      <c r="AE714" s="127">
        <v>2</v>
      </c>
      <c r="DA714" s="122" t="s">
        <v>300</v>
      </c>
      <c r="DB714" s="122" t="s">
        <v>5310</v>
      </c>
      <c r="DC714" s="122" t="s">
        <v>5310</v>
      </c>
      <c r="DD714" s="127">
        <v>7</v>
      </c>
      <c r="DE714" s="127">
        <v>7</v>
      </c>
      <c r="DG714" s="405" t="s">
        <v>300</v>
      </c>
      <c r="DH714" s="406" t="s">
        <v>5310</v>
      </c>
      <c r="DI714" s="406" t="str">
        <f t="shared" si="43"/>
        <v>CE, Jaguaribe</v>
      </c>
      <c r="DJ714" s="406">
        <v>-5.891</v>
      </c>
      <c r="DK714" s="80">
        <v>-38.622</v>
      </c>
      <c r="DL714" s="80">
        <v>123</v>
      </c>
      <c r="DM714" s="64">
        <v>7</v>
      </c>
      <c r="DN714" s="406" t="s">
        <v>6423</v>
      </c>
      <c r="DO714" s="406">
        <v>-5.91</v>
      </c>
      <c r="DP714" s="80">
        <v>184</v>
      </c>
    </row>
    <row r="715" spans="29:120" x14ac:dyDescent="0.25">
      <c r="AC715" s="122" t="s">
        <v>27</v>
      </c>
      <c r="AD715" s="122" t="s">
        <v>1116</v>
      </c>
      <c r="AE715" s="127">
        <v>2</v>
      </c>
      <c r="DA715" s="122" t="s">
        <v>300</v>
      </c>
      <c r="DB715" s="122" t="s">
        <v>4432</v>
      </c>
      <c r="DC715" s="122" t="s">
        <v>4432</v>
      </c>
      <c r="DD715" s="127">
        <v>8</v>
      </c>
      <c r="DE715" s="127">
        <v>8</v>
      </c>
      <c r="DG715" s="405" t="s">
        <v>300</v>
      </c>
      <c r="DH715" s="406" t="s">
        <v>4432</v>
      </c>
      <c r="DI715" s="406" t="str">
        <f t="shared" si="43"/>
        <v>CE, Jaguaruana</v>
      </c>
      <c r="DJ715" s="406">
        <v>-4.8339999999999996</v>
      </c>
      <c r="DK715" s="80">
        <v>-37.780999999999999</v>
      </c>
      <c r="DL715" s="80">
        <v>12</v>
      </c>
      <c r="DM715" s="64">
        <v>8</v>
      </c>
      <c r="DN715" s="406" t="s">
        <v>6411</v>
      </c>
      <c r="DO715" s="406">
        <v>-4.79</v>
      </c>
      <c r="DP715" s="80">
        <v>12</v>
      </c>
    </row>
    <row r="716" spans="29:120" x14ac:dyDescent="0.25">
      <c r="AC716" s="122" t="s">
        <v>27</v>
      </c>
      <c r="AD716" s="122" t="s">
        <v>1117</v>
      </c>
      <c r="AE716" s="127">
        <v>2</v>
      </c>
      <c r="DA716" s="122" t="s">
        <v>300</v>
      </c>
      <c r="DB716" s="122" t="s">
        <v>3443</v>
      </c>
      <c r="DC716" s="122" t="s">
        <v>3443</v>
      </c>
      <c r="DD716" s="127">
        <v>7</v>
      </c>
      <c r="DE716" s="127">
        <v>7</v>
      </c>
      <c r="DG716" s="405" t="s">
        <v>300</v>
      </c>
      <c r="DH716" s="406" t="s">
        <v>3443</v>
      </c>
      <c r="DI716" s="406" t="str">
        <f t="shared" si="43"/>
        <v>CE, Jardim</v>
      </c>
      <c r="DJ716" s="406">
        <v>-7.5819999999999999</v>
      </c>
      <c r="DK716" s="80">
        <v>-39.298000000000002</v>
      </c>
      <c r="DL716" s="80">
        <v>648</v>
      </c>
      <c r="DM716" s="64">
        <v>7</v>
      </c>
      <c r="DN716" s="406" t="s">
        <v>6401</v>
      </c>
      <c r="DO716" s="406">
        <v>-7.3</v>
      </c>
      <c r="DP716" s="80">
        <v>409</v>
      </c>
    </row>
    <row r="717" spans="29:120" x14ac:dyDescent="0.25">
      <c r="AC717" s="122" t="s">
        <v>27</v>
      </c>
      <c r="AD717" s="122" t="s">
        <v>1118</v>
      </c>
      <c r="AE717" s="127">
        <v>2</v>
      </c>
      <c r="DA717" s="122" t="s">
        <v>300</v>
      </c>
      <c r="DB717" s="122" t="s">
        <v>5471</v>
      </c>
      <c r="DC717" s="122" t="s">
        <v>5471</v>
      </c>
      <c r="DD717" s="127">
        <v>7</v>
      </c>
      <c r="DE717" s="127">
        <v>7</v>
      </c>
      <c r="DG717" s="405" t="s">
        <v>300</v>
      </c>
      <c r="DH717" s="406" t="s">
        <v>5471</v>
      </c>
      <c r="DI717" s="406" t="str">
        <f t="shared" si="43"/>
        <v>CE, Jati</v>
      </c>
      <c r="DJ717" s="406">
        <v>-7.6859999999999999</v>
      </c>
      <c r="DK717" s="80">
        <v>-39.015999999999998</v>
      </c>
      <c r="DL717" s="80">
        <v>434</v>
      </c>
      <c r="DM717" s="64">
        <v>7</v>
      </c>
      <c r="DN717" s="406" t="s">
        <v>6401</v>
      </c>
      <c r="DO717" s="406">
        <v>-7.3</v>
      </c>
      <c r="DP717" s="80">
        <v>409</v>
      </c>
    </row>
    <row r="718" spans="29:120" x14ac:dyDescent="0.25">
      <c r="AC718" s="122" t="s">
        <v>27</v>
      </c>
      <c r="AD718" s="122" t="s">
        <v>1119</v>
      </c>
      <c r="AE718" s="127">
        <v>2</v>
      </c>
      <c r="DA718" s="122" t="s">
        <v>300</v>
      </c>
      <c r="DB718" s="122" t="s">
        <v>6427</v>
      </c>
      <c r="DC718" s="122" t="s">
        <v>4244</v>
      </c>
      <c r="DD718" s="127">
        <v>8</v>
      </c>
      <c r="DE718" s="127">
        <v>8</v>
      </c>
      <c r="DG718" s="405" t="s">
        <v>300</v>
      </c>
      <c r="DH718" s="406" t="s">
        <v>4244</v>
      </c>
      <c r="DI718" s="406" t="str">
        <f t="shared" si="43"/>
        <v>CE, Jijoca de Jericoacoara</v>
      </c>
      <c r="DJ718" s="406">
        <v>-2.794</v>
      </c>
      <c r="DK718" s="80">
        <v>-40.512999999999998</v>
      </c>
      <c r="DL718" s="80">
        <v>100</v>
      </c>
      <c r="DM718" s="64">
        <v>8</v>
      </c>
      <c r="DN718" s="406" t="s">
        <v>6403</v>
      </c>
      <c r="DO718" s="406">
        <v>-3.12</v>
      </c>
      <c r="DP718" s="80">
        <v>76</v>
      </c>
    </row>
    <row r="719" spans="29:120" x14ac:dyDescent="0.25">
      <c r="AC719" s="122" t="s">
        <v>236</v>
      </c>
      <c r="AD719" s="122" t="s">
        <v>1120</v>
      </c>
      <c r="AE719" s="127">
        <v>2</v>
      </c>
      <c r="DA719" s="122" t="s">
        <v>300</v>
      </c>
      <c r="DB719" s="122" t="s">
        <v>6428</v>
      </c>
      <c r="DC719" s="122" t="s">
        <v>5278</v>
      </c>
      <c r="DD719" s="127">
        <v>7</v>
      </c>
      <c r="DE719" s="127">
        <v>7</v>
      </c>
      <c r="DG719" s="405" t="s">
        <v>300</v>
      </c>
      <c r="DH719" s="406" t="s">
        <v>5278</v>
      </c>
      <c r="DI719" s="406" t="str">
        <f t="shared" si="43"/>
        <v>CE, Juazeiro do Norte</v>
      </c>
      <c r="DJ719" s="406">
        <v>-7.2130000000000001</v>
      </c>
      <c r="DK719" s="80">
        <v>-39.314999999999998</v>
      </c>
      <c r="DL719" s="80">
        <v>377</v>
      </c>
      <c r="DM719" s="64">
        <v>7</v>
      </c>
      <c r="DN719" s="406" t="s">
        <v>6401</v>
      </c>
      <c r="DO719" s="406">
        <v>-7.3</v>
      </c>
      <c r="DP719" s="80">
        <v>409</v>
      </c>
    </row>
    <row r="720" spans="29:120" x14ac:dyDescent="0.25">
      <c r="AC720" s="122" t="s">
        <v>236</v>
      </c>
      <c r="AD720" s="122" t="s">
        <v>1121</v>
      </c>
      <c r="AE720" s="127">
        <v>2</v>
      </c>
      <c r="DA720" s="122" t="s">
        <v>300</v>
      </c>
      <c r="DB720" s="122" t="s">
        <v>5182</v>
      </c>
      <c r="DC720" s="122" t="s">
        <v>5182</v>
      </c>
      <c r="DD720" s="127">
        <v>7</v>
      </c>
      <c r="DE720" s="127">
        <v>7</v>
      </c>
      <c r="DG720" s="405" t="s">
        <v>300</v>
      </c>
      <c r="DH720" s="406" t="s">
        <v>5182</v>
      </c>
      <c r="DI720" s="406" t="str">
        <f t="shared" si="43"/>
        <v>CE, Jucás</v>
      </c>
      <c r="DJ720" s="406">
        <v>-6.5250000000000004</v>
      </c>
      <c r="DK720" s="80">
        <v>-39.527999999999999</v>
      </c>
      <c r="DL720" s="80">
        <v>246</v>
      </c>
      <c r="DM720" s="64">
        <v>7</v>
      </c>
      <c r="DN720" s="406" t="s">
        <v>6404</v>
      </c>
      <c r="DO720" s="406">
        <v>-6.36</v>
      </c>
      <c r="DP720" s="80">
        <v>233</v>
      </c>
    </row>
    <row r="721" spans="29:120" x14ac:dyDescent="0.25">
      <c r="AC721" s="122" t="s">
        <v>236</v>
      </c>
      <c r="AD721" s="122" t="s">
        <v>1122</v>
      </c>
      <c r="AE721" s="127">
        <v>2</v>
      </c>
      <c r="DA721" s="122" t="s">
        <v>300</v>
      </c>
      <c r="DB721" s="122" t="s">
        <v>6429</v>
      </c>
      <c r="DC721" s="122" t="s">
        <v>5465</v>
      </c>
      <c r="DD721" s="127">
        <v>7</v>
      </c>
      <c r="DE721" s="127">
        <v>7</v>
      </c>
      <c r="DG721" s="405" t="s">
        <v>300</v>
      </c>
      <c r="DH721" s="406" t="s">
        <v>5465</v>
      </c>
      <c r="DI721" s="406" t="str">
        <f t="shared" si="43"/>
        <v>CE, Lavras da Mangabeira</v>
      </c>
      <c r="DJ721" s="406">
        <v>-6.7530000000000001</v>
      </c>
      <c r="DK721" s="80">
        <v>-38.972000000000001</v>
      </c>
      <c r="DL721" s="80">
        <v>239</v>
      </c>
      <c r="DM721" s="64">
        <v>7</v>
      </c>
      <c r="DN721" s="406" t="s">
        <v>6404</v>
      </c>
      <c r="DO721" s="406">
        <v>-6.36</v>
      </c>
      <c r="DP721" s="80">
        <v>233</v>
      </c>
    </row>
    <row r="722" spans="29:120" x14ac:dyDescent="0.25">
      <c r="AC722" s="122" t="s">
        <v>27</v>
      </c>
      <c r="AD722" s="122" t="s">
        <v>1123</v>
      </c>
      <c r="AE722" s="127">
        <v>1</v>
      </c>
      <c r="DA722" s="122" t="s">
        <v>300</v>
      </c>
      <c r="DB722" s="122" t="s">
        <v>6430</v>
      </c>
      <c r="DC722" s="122" t="s">
        <v>4783</v>
      </c>
      <c r="DD722" s="127">
        <v>8</v>
      </c>
      <c r="DE722" s="127">
        <v>8</v>
      </c>
      <c r="DG722" s="405" t="s">
        <v>300</v>
      </c>
      <c r="DH722" s="406" t="s">
        <v>4783</v>
      </c>
      <c r="DI722" s="406" t="str">
        <f t="shared" si="43"/>
        <v>CE, Limoeiro do Norte</v>
      </c>
      <c r="DJ722" s="406">
        <v>-5.1459999999999999</v>
      </c>
      <c r="DK722" s="80">
        <v>-38.097999999999999</v>
      </c>
      <c r="DL722" s="80">
        <v>30</v>
      </c>
      <c r="DM722" s="64">
        <v>8</v>
      </c>
      <c r="DN722" s="406" t="s">
        <v>6407</v>
      </c>
      <c r="DO722" s="406">
        <v>-5.1100000000000003</v>
      </c>
      <c r="DP722" s="80">
        <v>44</v>
      </c>
    </row>
    <row r="723" spans="29:120" x14ac:dyDescent="0.25">
      <c r="AC723" s="122" t="s">
        <v>27</v>
      </c>
      <c r="AD723" s="122" t="s">
        <v>1124</v>
      </c>
      <c r="AE723" s="127">
        <v>2</v>
      </c>
      <c r="DA723" s="122" t="s">
        <v>300</v>
      </c>
      <c r="DB723" s="122" t="s">
        <v>4647</v>
      </c>
      <c r="DC723" s="122" t="s">
        <v>4647</v>
      </c>
      <c r="DD723" s="127">
        <v>7</v>
      </c>
      <c r="DE723" s="127">
        <v>7</v>
      </c>
      <c r="DG723" s="405" t="s">
        <v>300</v>
      </c>
      <c r="DH723" s="406" t="s">
        <v>4647</v>
      </c>
      <c r="DI723" s="406" t="str">
        <f t="shared" si="43"/>
        <v>CE, Madalena</v>
      </c>
      <c r="DJ723" s="406">
        <v>-4.8570000000000002</v>
      </c>
      <c r="DK723" s="80">
        <v>-39.576999999999998</v>
      </c>
      <c r="DL723" s="80">
        <v>299</v>
      </c>
      <c r="DM723" s="64">
        <v>7</v>
      </c>
      <c r="DN723" s="406" t="s">
        <v>6415</v>
      </c>
      <c r="DO723" s="406">
        <v>-5.2</v>
      </c>
      <c r="DP723" s="80">
        <v>80</v>
      </c>
    </row>
    <row r="724" spans="29:120" x14ac:dyDescent="0.25">
      <c r="AC724" s="122" t="s">
        <v>27</v>
      </c>
      <c r="AD724" s="122" t="s">
        <v>1125</v>
      </c>
      <c r="AE724" s="127">
        <v>3</v>
      </c>
      <c r="DA724" s="122" t="s">
        <v>300</v>
      </c>
      <c r="DB724" s="122" t="s">
        <v>4150</v>
      </c>
      <c r="DC724" s="122" t="s">
        <v>4150</v>
      </c>
      <c r="DD724" s="127">
        <v>8</v>
      </c>
      <c r="DE724" s="127">
        <v>8</v>
      </c>
      <c r="DG724" s="405" t="s">
        <v>300</v>
      </c>
      <c r="DH724" s="406" t="s">
        <v>4150</v>
      </c>
      <c r="DI724" s="406" t="str">
        <f t="shared" si="43"/>
        <v>CE, Maracanaú</v>
      </c>
      <c r="DJ724" s="406">
        <v>-3.8769999999999998</v>
      </c>
      <c r="DK724" s="80">
        <v>-38.625999999999998</v>
      </c>
      <c r="DL724" s="80">
        <v>40</v>
      </c>
      <c r="DM724" s="64">
        <v>8</v>
      </c>
      <c r="DN724" s="406" t="s">
        <v>6410</v>
      </c>
      <c r="DO724" s="406">
        <v>-3.8</v>
      </c>
      <c r="DP724" s="80">
        <v>41</v>
      </c>
    </row>
    <row r="725" spans="29:120" x14ac:dyDescent="0.25">
      <c r="AC725" s="122" t="s">
        <v>236</v>
      </c>
      <c r="AD725" s="122" t="s">
        <v>1126</v>
      </c>
      <c r="AE725" s="127">
        <v>3</v>
      </c>
      <c r="DA725" s="122" t="s">
        <v>300</v>
      </c>
      <c r="DB725" s="122" t="s">
        <v>4176</v>
      </c>
      <c r="DC725" s="122" t="s">
        <v>4176</v>
      </c>
      <c r="DD725" s="127">
        <v>8</v>
      </c>
      <c r="DE725" s="127">
        <v>8</v>
      </c>
      <c r="DG725" s="405" t="s">
        <v>300</v>
      </c>
      <c r="DH725" s="406" t="s">
        <v>4176</v>
      </c>
      <c r="DI725" s="406" t="str">
        <f t="shared" si="43"/>
        <v>CE, Maranguape</v>
      </c>
      <c r="DJ725" s="406">
        <v>-3.89</v>
      </c>
      <c r="DK725" s="80">
        <v>-38.686</v>
      </c>
      <c r="DL725" s="80">
        <v>80</v>
      </c>
      <c r="DM725" s="64">
        <v>8</v>
      </c>
      <c r="DN725" s="406" t="s">
        <v>6410</v>
      </c>
      <c r="DO725" s="406">
        <v>-3.8</v>
      </c>
      <c r="DP725" s="80">
        <v>41</v>
      </c>
    </row>
    <row r="726" spans="29:120" x14ac:dyDescent="0.25">
      <c r="AC726" s="122" t="s">
        <v>27</v>
      </c>
      <c r="AD726" s="122" t="s">
        <v>1127</v>
      </c>
      <c r="AE726" s="127">
        <v>2</v>
      </c>
      <c r="DA726" s="122" t="s">
        <v>300</v>
      </c>
      <c r="DB726" s="122" t="s">
        <v>4345</v>
      </c>
      <c r="DC726" s="122" t="s">
        <v>4345</v>
      </c>
      <c r="DD726" s="127">
        <v>8</v>
      </c>
      <c r="DE726" s="127">
        <v>8</v>
      </c>
      <c r="DG726" s="405" t="s">
        <v>300</v>
      </c>
      <c r="DH726" s="406" t="s">
        <v>4345</v>
      </c>
      <c r="DI726" s="406" t="str">
        <f t="shared" si="43"/>
        <v>CE, Marco</v>
      </c>
      <c r="DJ726" s="406">
        <v>-3.1240000000000001</v>
      </c>
      <c r="DK726" s="80">
        <v>-40.146999999999998</v>
      </c>
      <c r="DL726" s="80">
        <v>20</v>
      </c>
      <c r="DM726" s="64">
        <v>8</v>
      </c>
      <c r="DN726" s="406" t="s">
        <v>6403</v>
      </c>
      <c r="DO726" s="406">
        <v>-3.12</v>
      </c>
      <c r="DP726" s="80">
        <v>76</v>
      </c>
    </row>
    <row r="727" spans="29:120" x14ac:dyDescent="0.25">
      <c r="AC727" s="122" t="s">
        <v>27</v>
      </c>
      <c r="AD727" s="122" t="s">
        <v>1128</v>
      </c>
      <c r="AE727" s="127">
        <v>3</v>
      </c>
      <c r="DA727" s="122" t="s">
        <v>300</v>
      </c>
      <c r="DB727" s="122" t="s">
        <v>4632</v>
      </c>
      <c r="DC727" s="122" t="s">
        <v>4632</v>
      </c>
      <c r="DD727" s="127">
        <v>8</v>
      </c>
      <c r="DE727" s="127">
        <v>8</v>
      </c>
      <c r="DG727" s="405" t="s">
        <v>300</v>
      </c>
      <c r="DH727" s="406" t="s">
        <v>4632</v>
      </c>
      <c r="DI727" s="406" t="str">
        <f t="shared" si="43"/>
        <v>CE, Martinópole</v>
      </c>
      <c r="DJ727" s="406">
        <v>-3.226</v>
      </c>
      <c r="DK727" s="80">
        <v>-40.697000000000003</v>
      </c>
      <c r="DL727" s="80">
        <v>85</v>
      </c>
      <c r="DM727" s="64">
        <v>8</v>
      </c>
      <c r="DN727" s="406" t="s">
        <v>6403</v>
      </c>
      <c r="DO727" s="406">
        <v>-3.12</v>
      </c>
      <c r="DP727" s="80">
        <v>76</v>
      </c>
    </row>
    <row r="728" spans="29:120" x14ac:dyDescent="0.25">
      <c r="AC728" s="122" t="s">
        <v>236</v>
      </c>
      <c r="AD728" s="122" t="s">
        <v>1129</v>
      </c>
      <c r="AE728" s="127">
        <v>2</v>
      </c>
      <c r="DA728" s="122" t="s">
        <v>300</v>
      </c>
      <c r="DB728" s="122" t="s">
        <v>4690</v>
      </c>
      <c r="DC728" s="122" t="s">
        <v>4690</v>
      </c>
      <c r="DD728" s="127">
        <v>7</v>
      </c>
      <c r="DE728" s="127">
        <v>7</v>
      </c>
      <c r="DG728" s="405" t="s">
        <v>300</v>
      </c>
      <c r="DH728" s="406" t="s">
        <v>4690</v>
      </c>
      <c r="DI728" s="406" t="str">
        <f t="shared" si="43"/>
        <v>CE, Massapê</v>
      </c>
      <c r="DJ728" s="406">
        <v>-3.5230000000000001</v>
      </c>
      <c r="DK728" s="80">
        <v>-40.343000000000004</v>
      </c>
      <c r="DL728" s="80">
        <v>83</v>
      </c>
      <c r="DM728" s="64">
        <v>7</v>
      </c>
      <c r="DN728" s="406" t="s">
        <v>6403</v>
      </c>
      <c r="DO728" s="406">
        <v>-3.12</v>
      </c>
      <c r="DP728" s="80">
        <v>76</v>
      </c>
    </row>
    <row r="729" spans="29:120" x14ac:dyDescent="0.25">
      <c r="AC729" s="122" t="s">
        <v>236</v>
      </c>
      <c r="AD729" s="122" t="s">
        <v>1130</v>
      </c>
      <c r="AE729" s="127">
        <v>2</v>
      </c>
      <c r="DA729" s="122" t="s">
        <v>300</v>
      </c>
      <c r="DB729" s="122" t="s">
        <v>2138</v>
      </c>
      <c r="DC729" s="122" t="s">
        <v>2138</v>
      </c>
      <c r="DD729" s="127">
        <v>7</v>
      </c>
      <c r="DE729" s="127">
        <v>7</v>
      </c>
      <c r="DG729" s="405" t="s">
        <v>300</v>
      </c>
      <c r="DH729" s="406" t="s">
        <v>2138</v>
      </c>
      <c r="DI729" s="406" t="str">
        <f t="shared" si="43"/>
        <v>CE, Mauriti</v>
      </c>
      <c r="DJ729" s="406">
        <v>-7.3890000000000002</v>
      </c>
      <c r="DK729" s="80">
        <v>-38.774000000000001</v>
      </c>
      <c r="DL729" s="80">
        <v>373</v>
      </c>
      <c r="DM729" s="64">
        <v>7</v>
      </c>
      <c r="DN729" s="406" t="s">
        <v>6401</v>
      </c>
      <c r="DO729" s="406">
        <v>-7.3</v>
      </c>
      <c r="DP729" s="80">
        <v>409</v>
      </c>
    </row>
    <row r="730" spans="29:120" x14ac:dyDescent="0.25">
      <c r="AC730" s="122" t="s">
        <v>236</v>
      </c>
      <c r="AD730" s="122" t="s">
        <v>1131</v>
      </c>
      <c r="AE730" s="127">
        <v>2</v>
      </c>
      <c r="DA730" s="122" t="s">
        <v>300</v>
      </c>
      <c r="DB730" s="122" t="s">
        <v>4715</v>
      </c>
      <c r="DC730" s="122" t="s">
        <v>4715</v>
      </c>
      <c r="DD730" s="127">
        <v>7</v>
      </c>
      <c r="DE730" s="127">
        <v>7</v>
      </c>
      <c r="DG730" s="405" t="s">
        <v>300</v>
      </c>
      <c r="DH730" s="406" t="s">
        <v>4715</v>
      </c>
      <c r="DI730" s="406" t="str">
        <f t="shared" si="43"/>
        <v>CE, Meruoca</v>
      </c>
      <c r="DJ730" s="406">
        <v>-3.5419999999999998</v>
      </c>
      <c r="DK730" s="80">
        <v>-40.454999999999998</v>
      </c>
      <c r="DL730" s="80">
        <v>657</v>
      </c>
      <c r="DM730" s="64">
        <v>7</v>
      </c>
      <c r="DN730" s="406" t="s">
        <v>6403</v>
      </c>
      <c r="DO730" s="406">
        <v>-3.12</v>
      </c>
      <c r="DP730" s="80">
        <v>76</v>
      </c>
    </row>
    <row r="731" spans="29:120" x14ac:dyDescent="0.25">
      <c r="AC731" s="122" t="s">
        <v>27</v>
      </c>
      <c r="AD731" s="122" t="s">
        <v>1132</v>
      </c>
      <c r="AE731" s="127">
        <v>2</v>
      </c>
      <c r="DA731" s="122" t="s">
        <v>300</v>
      </c>
      <c r="DB731" s="122" t="s">
        <v>2432</v>
      </c>
      <c r="DC731" s="122" t="s">
        <v>2432</v>
      </c>
      <c r="DD731" s="127">
        <v>7</v>
      </c>
      <c r="DE731" s="127">
        <v>7</v>
      </c>
      <c r="DG731" s="405" t="s">
        <v>300</v>
      </c>
      <c r="DH731" s="406" t="s">
        <v>2432</v>
      </c>
      <c r="DI731" s="406" t="str">
        <f t="shared" si="43"/>
        <v>CE, Milagres</v>
      </c>
      <c r="DJ731" s="406">
        <v>-7.3129999999999997</v>
      </c>
      <c r="DK731" s="80">
        <v>-38.945999999999998</v>
      </c>
      <c r="DL731" s="80">
        <v>334</v>
      </c>
      <c r="DM731" s="64">
        <v>7</v>
      </c>
      <c r="DN731" s="406" t="s">
        <v>6401</v>
      </c>
      <c r="DO731" s="406">
        <v>-7.3</v>
      </c>
      <c r="DP731" s="80">
        <v>409</v>
      </c>
    </row>
    <row r="732" spans="29:120" x14ac:dyDescent="0.25">
      <c r="AC732" s="122" t="s">
        <v>27</v>
      </c>
      <c r="AD732" s="122" t="s">
        <v>1133</v>
      </c>
      <c r="AE732" s="127">
        <v>2</v>
      </c>
      <c r="DA732" s="122" t="s">
        <v>300</v>
      </c>
      <c r="DB732" s="122" t="s">
        <v>4382</v>
      </c>
      <c r="DC732" s="122" t="s">
        <v>4382</v>
      </c>
      <c r="DD732" s="127">
        <v>7</v>
      </c>
      <c r="DE732" s="127">
        <v>7</v>
      </c>
      <c r="DG732" s="405" t="s">
        <v>300</v>
      </c>
      <c r="DH732" s="406" t="s">
        <v>4382</v>
      </c>
      <c r="DI732" s="406" t="str">
        <f t="shared" si="43"/>
        <v>CE, Milhã</v>
      </c>
      <c r="DJ732" s="406">
        <v>-5.6749999999999998</v>
      </c>
      <c r="DK732" s="80">
        <v>-39.194000000000003</v>
      </c>
      <c r="DL732" s="80">
        <v>215</v>
      </c>
      <c r="DM732" s="64">
        <v>7</v>
      </c>
      <c r="DN732" s="406" t="s">
        <v>6415</v>
      </c>
      <c r="DO732" s="406">
        <v>-5.2</v>
      </c>
      <c r="DP732" s="80">
        <v>80</v>
      </c>
    </row>
    <row r="733" spans="29:120" x14ac:dyDescent="0.25">
      <c r="AC733" s="122" t="s">
        <v>236</v>
      </c>
      <c r="AD733" s="122" t="s">
        <v>1134</v>
      </c>
      <c r="AE733" s="127">
        <v>1</v>
      </c>
      <c r="DA733" s="122" t="s">
        <v>300</v>
      </c>
      <c r="DB733" s="122" t="s">
        <v>4380</v>
      </c>
      <c r="DC733" s="122" t="s">
        <v>4380</v>
      </c>
      <c r="DD733" s="127">
        <v>7</v>
      </c>
      <c r="DE733" s="127">
        <v>7</v>
      </c>
      <c r="DG733" s="405" t="s">
        <v>300</v>
      </c>
      <c r="DH733" s="406" t="s">
        <v>4380</v>
      </c>
      <c r="DI733" s="406" t="str">
        <f t="shared" si="43"/>
        <v>CE, Miraíma</v>
      </c>
      <c r="DJ733" s="406">
        <v>-3.569</v>
      </c>
      <c r="DK733" s="80">
        <v>-39.97</v>
      </c>
      <c r="DL733" s="80">
        <v>79</v>
      </c>
      <c r="DM733" s="64">
        <v>7</v>
      </c>
      <c r="DN733" s="406" t="s">
        <v>6408</v>
      </c>
      <c r="DO733" s="406">
        <v>-3.48</v>
      </c>
      <c r="DP733" s="80">
        <v>102</v>
      </c>
    </row>
    <row r="734" spans="29:120" x14ac:dyDescent="0.25">
      <c r="AC734" s="122" t="s">
        <v>311</v>
      </c>
      <c r="AD734" s="122" t="s">
        <v>1135</v>
      </c>
      <c r="AE734" s="127">
        <v>2</v>
      </c>
      <c r="DA734" s="122" t="s">
        <v>300</v>
      </c>
      <c r="DB734" s="122" t="s">
        <v>6431</v>
      </c>
      <c r="DC734" s="122" t="s">
        <v>5243</v>
      </c>
      <c r="DD734" s="127">
        <v>7</v>
      </c>
      <c r="DE734" s="127">
        <v>7</v>
      </c>
      <c r="DG734" s="405" t="s">
        <v>300</v>
      </c>
      <c r="DH734" s="406" t="s">
        <v>5243</v>
      </c>
      <c r="DI734" s="406" t="str">
        <f t="shared" si="43"/>
        <v>CE, Missão Velha</v>
      </c>
      <c r="DJ734" s="406">
        <v>-7.25</v>
      </c>
      <c r="DK734" s="80">
        <v>-39.143000000000001</v>
      </c>
      <c r="DL734" s="80">
        <v>360</v>
      </c>
      <c r="DM734" s="64">
        <v>7</v>
      </c>
      <c r="DN734" s="406" t="s">
        <v>6401</v>
      </c>
      <c r="DO734" s="406">
        <v>-7.3</v>
      </c>
      <c r="DP734" s="80">
        <v>409</v>
      </c>
    </row>
    <row r="735" spans="29:120" x14ac:dyDescent="0.25">
      <c r="AC735" s="122" t="s">
        <v>236</v>
      </c>
      <c r="AD735" s="122" t="s">
        <v>1136</v>
      </c>
      <c r="AE735" s="127">
        <v>2</v>
      </c>
      <c r="DA735" s="122" t="s">
        <v>300</v>
      </c>
      <c r="DB735" s="122" t="s">
        <v>4359</v>
      </c>
      <c r="DC735" s="122" t="s">
        <v>4359</v>
      </c>
      <c r="DD735" s="127">
        <v>7</v>
      </c>
      <c r="DE735" s="127">
        <v>7</v>
      </c>
      <c r="DG735" s="405" t="s">
        <v>300</v>
      </c>
      <c r="DH735" s="406" t="s">
        <v>4359</v>
      </c>
      <c r="DI735" s="406" t="str">
        <f t="shared" si="43"/>
        <v>CE, Mombaça</v>
      </c>
      <c r="DJ735" s="406">
        <v>-5.7430000000000003</v>
      </c>
      <c r="DK735" s="80">
        <v>-39.628</v>
      </c>
      <c r="DL735" s="80">
        <v>244</v>
      </c>
      <c r="DM735" s="64">
        <v>7</v>
      </c>
      <c r="DN735" s="406" t="s">
        <v>6415</v>
      </c>
      <c r="DO735" s="406">
        <v>-5.2</v>
      </c>
      <c r="DP735" s="80">
        <v>80</v>
      </c>
    </row>
    <row r="736" spans="29:120" x14ac:dyDescent="0.25">
      <c r="AC736" s="122" t="s">
        <v>236</v>
      </c>
      <c r="AD736" s="122" t="s">
        <v>1137</v>
      </c>
      <c r="AE736" s="127">
        <v>2</v>
      </c>
      <c r="DA736" s="122" t="s">
        <v>300</v>
      </c>
      <c r="DB736" s="122" t="s">
        <v>6432</v>
      </c>
      <c r="DC736" s="122" t="s">
        <v>4656</v>
      </c>
      <c r="DD736" s="127">
        <v>7</v>
      </c>
      <c r="DE736" s="127">
        <v>7</v>
      </c>
      <c r="DG736" s="405" t="s">
        <v>300</v>
      </c>
      <c r="DH736" s="406" t="s">
        <v>4656</v>
      </c>
      <c r="DI736" s="406" t="str">
        <f t="shared" si="43"/>
        <v>CE, Monsenhor Tabosa</v>
      </c>
      <c r="DJ736" s="406">
        <v>-4.7889999999999997</v>
      </c>
      <c r="DK736" s="80">
        <v>-40.063000000000002</v>
      </c>
      <c r="DL736" s="80">
        <v>687</v>
      </c>
      <c r="DM736" s="64">
        <v>7</v>
      </c>
      <c r="DN736" s="406" t="s">
        <v>6412</v>
      </c>
      <c r="DO736" s="406">
        <v>-5.19</v>
      </c>
      <c r="DP736" s="80">
        <v>291</v>
      </c>
    </row>
    <row r="737" spans="29:120" x14ac:dyDescent="0.25">
      <c r="AC737" s="122" t="s">
        <v>236</v>
      </c>
      <c r="AD737" s="122" t="s">
        <v>1138</v>
      </c>
      <c r="AE737" s="127">
        <v>2</v>
      </c>
      <c r="DA737" s="122" t="s">
        <v>300</v>
      </c>
      <c r="DB737" s="122" t="s">
        <v>6433</v>
      </c>
      <c r="DC737" s="122" t="s">
        <v>5315</v>
      </c>
      <c r="DD737" s="127">
        <v>7</v>
      </c>
      <c r="DE737" s="127">
        <v>7</v>
      </c>
      <c r="DG737" s="405" t="s">
        <v>300</v>
      </c>
      <c r="DH737" s="406" t="s">
        <v>5315</v>
      </c>
      <c r="DI737" s="406" t="str">
        <f t="shared" si="43"/>
        <v>CE, Morada Nova</v>
      </c>
      <c r="DJ737" s="406">
        <v>-5.1070000000000002</v>
      </c>
      <c r="DK737" s="80">
        <v>-38.372999999999998</v>
      </c>
      <c r="DL737" s="80">
        <v>52</v>
      </c>
      <c r="DM737" s="64">
        <v>7</v>
      </c>
      <c r="DN737" s="406" t="s">
        <v>6407</v>
      </c>
      <c r="DO737" s="406">
        <v>-5.1100000000000003</v>
      </c>
      <c r="DP737" s="80">
        <v>44</v>
      </c>
    </row>
    <row r="738" spans="29:120" x14ac:dyDescent="0.25">
      <c r="AC738" s="122" t="s">
        <v>236</v>
      </c>
      <c r="AD738" s="122" t="s">
        <v>1139</v>
      </c>
      <c r="AE738" s="127">
        <v>1</v>
      </c>
      <c r="DA738" s="122" t="s">
        <v>300</v>
      </c>
      <c r="DB738" s="122" t="s">
        <v>4653</v>
      </c>
      <c r="DC738" s="122" t="s">
        <v>4653</v>
      </c>
      <c r="DD738" s="127">
        <v>7</v>
      </c>
      <c r="DE738" s="127">
        <v>7</v>
      </c>
      <c r="DG738" s="405" t="s">
        <v>300</v>
      </c>
      <c r="DH738" s="406" t="s">
        <v>4653</v>
      </c>
      <c r="DI738" s="406" t="str">
        <f t="shared" si="43"/>
        <v>CE, Moraújo</v>
      </c>
      <c r="DJ738" s="406">
        <v>-3.4670000000000001</v>
      </c>
      <c r="DK738" s="80">
        <v>-40.680999999999997</v>
      </c>
      <c r="DL738" s="80">
        <v>66</v>
      </c>
      <c r="DM738" s="64">
        <v>7</v>
      </c>
      <c r="DN738" s="406" t="s">
        <v>6403</v>
      </c>
      <c r="DO738" s="406">
        <v>-3.12</v>
      </c>
      <c r="DP738" s="80">
        <v>76</v>
      </c>
    </row>
    <row r="739" spans="29:120" x14ac:dyDescent="0.25">
      <c r="AC739" s="122" t="s">
        <v>236</v>
      </c>
      <c r="AD739" s="122" t="s">
        <v>1140</v>
      </c>
      <c r="AE739" s="127">
        <v>2</v>
      </c>
      <c r="DA739" s="122" t="s">
        <v>300</v>
      </c>
      <c r="DB739" s="122" t="s">
        <v>3052</v>
      </c>
      <c r="DC739" s="122" t="s">
        <v>3052</v>
      </c>
      <c r="DD739" s="127">
        <v>8</v>
      </c>
      <c r="DE739" s="127">
        <v>8</v>
      </c>
      <c r="DG739" s="405" t="s">
        <v>300</v>
      </c>
      <c r="DH739" s="406" t="s">
        <v>3052</v>
      </c>
      <c r="DI739" s="406" t="str">
        <f t="shared" si="43"/>
        <v>CE, Morrinhos</v>
      </c>
      <c r="DJ739" s="406">
        <v>-3.2290000000000001</v>
      </c>
      <c r="DK739" s="80">
        <v>-40.125</v>
      </c>
      <c r="DL739" s="80">
        <v>35</v>
      </c>
      <c r="DM739" s="64">
        <v>8</v>
      </c>
      <c r="DN739" s="406" t="s">
        <v>6403</v>
      </c>
      <c r="DO739" s="406">
        <v>-3.12</v>
      </c>
      <c r="DP739" s="80">
        <v>76</v>
      </c>
    </row>
    <row r="740" spans="29:120" x14ac:dyDescent="0.25">
      <c r="AC740" s="122" t="s">
        <v>27</v>
      </c>
      <c r="AD740" s="122" t="s">
        <v>1141</v>
      </c>
      <c r="AE740" s="127">
        <v>2</v>
      </c>
      <c r="DA740" s="122" t="s">
        <v>300</v>
      </c>
      <c r="DB740" s="122" t="s">
        <v>4623</v>
      </c>
      <c r="DC740" s="122" t="s">
        <v>4623</v>
      </c>
      <c r="DD740" s="127">
        <v>7</v>
      </c>
      <c r="DE740" s="127">
        <v>7</v>
      </c>
      <c r="DG740" s="405" t="s">
        <v>300</v>
      </c>
      <c r="DH740" s="406" t="s">
        <v>4623</v>
      </c>
      <c r="DI740" s="406" t="str">
        <f t="shared" si="43"/>
        <v>CE, Mucambo</v>
      </c>
      <c r="DJ740" s="406">
        <v>-3.9089999999999998</v>
      </c>
      <c r="DK740" s="80">
        <v>-40.747</v>
      </c>
      <c r="DL740" s="80">
        <v>170</v>
      </c>
      <c r="DM740" s="64">
        <v>7</v>
      </c>
      <c r="DN740" s="406" t="s">
        <v>6403</v>
      </c>
      <c r="DO740" s="406">
        <v>-3.12</v>
      </c>
      <c r="DP740" s="80">
        <v>76</v>
      </c>
    </row>
    <row r="741" spans="29:120" x14ac:dyDescent="0.25">
      <c r="AC741" s="122" t="s">
        <v>236</v>
      </c>
      <c r="AD741" s="122" t="s">
        <v>1142</v>
      </c>
      <c r="AE741" s="127">
        <v>1</v>
      </c>
      <c r="DA741" s="122" t="s">
        <v>300</v>
      </c>
      <c r="DB741" s="122" t="s">
        <v>2335</v>
      </c>
      <c r="DC741" s="122" t="s">
        <v>2335</v>
      </c>
      <c r="DD741" s="127">
        <v>5</v>
      </c>
      <c r="DE741" s="127">
        <v>5</v>
      </c>
      <c r="DG741" s="405" t="s">
        <v>300</v>
      </c>
      <c r="DH741" s="406" t="s">
        <v>2335</v>
      </c>
      <c r="DI741" s="406" t="str">
        <f t="shared" si="43"/>
        <v>CE, Mulungu</v>
      </c>
      <c r="DJ741" s="406">
        <v>-4.306</v>
      </c>
      <c r="DK741" s="80">
        <v>-38.996000000000002</v>
      </c>
      <c r="DL741" s="80">
        <v>801</v>
      </c>
      <c r="DM741" s="64">
        <v>5</v>
      </c>
      <c r="DN741" s="406" t="s">
        <v>6402</v>
      </c>
      <c r="DO741" s="406">
        <v>-4.26</v>
      </c>
      <c r="DP741" s="80">
        <v>38</v>
      </c>
    </row>
    <row r="742" spans="29:120" x14ac:dyDescent="0.25">
      <c r="AC742" s="122" t="s">
        <v>27</v>
      </c>
      <c r="AD742" s="122" t="s">
        <v>1143</v>
      </c>
      <c r="AE742" s="127">
        <v>2</v>
      </c>
      <c r="DA742" s="122" t="s">
        <v>300</v>
      </c>
      <c r="DB742" s="122" t="s">
        <v>6434</v>
      </c>
      <c r="DC742" s="122" t="s">
        <v>4446</v>
      </c>
      <c r="DD742" s="127">
        <v>7</v>
      </c>
      <c r="DE742" s="127">
        <v>7</v>
      </c>
      <c r="DG742" s="405" t="s">
        <v>300</v>
      </c>
      <c r="DH742" s="406" t="s">
        <v>4446</v>
      </c>
      <c r="DI742" s="406" t="str">
        <f t="shared" si="43"/>
        <v>CE, Nova Olinda</v>
      </c>
      <c r="DJ742" s="406">
        <v>-7.0919999999999996</v>
      </c>
      <c r="DK742" s="80">
        <v>-39.680999999999997</v>
      </c>
      <c r="DL742" s="80">
        <v>446</v>
      </c>
      <c r="DM742" s="64">
        <v>7</v>
      </c>
      <c r="DN742" s="406" t="s">
        <v>6401</v>
      </c>
      <c r="DO742" s="406">
        <v>-7.3</v>
      </c>
      <c r="DP742" s="80">
        <v>409</v>
      </c>
    </row>
    <row r="743" spans="29:120" x14ac:dyDescent="0.25">
      <c r="AC743" s="122" t="s">
        <v>236</v>
      </c>
      <c r="AD743" s="122" t="s">
        <v>690</v>
      </c>
      <c r="AE743" s="127">
        <v>1</v>
      </c>
      <c r="DA743" s="122" t="s">
        <v>300</v>
      </c>
      <c r="DB743" s="122" t="s">
        <v>6435</v>
      </c>
      <c r="DC743" s="122" t="s">
        <v>4607</v>
      </c>
      <c r="DD743" s="127">
        <v>7</v>
      </c>
      <c r="DE743" s="127">
        <v>7</v>
      </c>
      <c r="DG743" s="405" t="s">
        <v>300</v>
      </c>
      <c r="DH743" s="406" t="s">
        <v>4607</v>
      </c>
      <c r="DI743" s="406" t="str">
        <f t="shared" si="43"/>
        <v>CE, Nova Russas</v>
      </c>
      <c r="DJ743" s="406">
        <v>-4.7069999999999999</v>
      </c>
      <c r="DK743" s="80">
        <v>-40.563000000000002</v>
      </c>
      <c r="DL743" s="80">
        <v>240</v>
      </c>
      <c r="DM743" s="64">
        <v>7</v>
      </c>
      <c r="DN743" s="406" t="s">
        <v>6412</v>
      </c>
      <c r="DO743" s="406">
        <v>-5.19</v>
      </c>
      <c r="DP743" s="80">
        <v>291</v>
      </c>
    </row>
    <row r="744" spans="29:120" x14ac:dyDescent="0.25">
      <c r="AC744" s="122" t="s">
        <v>27</v>
      </c>
      <c r="AD744" s="122" t="s">
        <v>1144</v>
      </c>
      <c r="AE744" s="127">
        <v>2</v>
      </c>
      <c r="DA744" s="122" t="s">
        <v>300</v>
      </c>
      <c r="DB744" s="122" t="s">
        <v>6436</v>
      </c>
      <c r="DC744" s="122" t="s">
        <v>5298</v>
      </c>
      <c r="DD744" s="127">
        <v>7</v>
      </c>
      <c r="DE744" s="127">
        <v>7</v>
      </c>
      <c r="DG744" s="405" t="s">
        <v>300</v>
      </c>
      <c r="DH744" s="406" t="s">
        <v>5298</v>
      </c>
      <c r="DI744" s="406" t="str">
        <f t="shared" si="43"/>
        <v>CE, Novo Oriente</v>
      </c>
      <c r="DJ744" s="406">
        <v>-5.5339999999999998</v>
      </c>
      <c r="DK744" s="80">
        <v>-40.774000000000001</v>
      </c>
      <c r="DL744" s="80">
        <v>347</v>
      </c>
      <c r="DM744" s="64">
        <v>7</v>
      </c>
      <c r="DN744" s="406" t="s">
        <v>6412</v>
      </c>
      <c r="DO744" s="406">
        <v>-5.19</v>
      </c>
      <c r="DP744" s="80">
        <v>291</v>
      </c>
    </row>
    <row r="745" spans="29:120" x14ac:dyDescent="0.25">
      <c r="AC745" s="122" t="s">
        <v>27</v>
      </c>
      <c r="AD745" s="122" t="s">
        <v>1145</v>
      </c>
      <c r="AE745" s="127">
        <v>2</v>
      </c>
      <c r="DA745" s="122" t="s">
        <v>300</v>
      </c>
      <c r="DB745" s="122" t="s">
        <v>4323</v>
      </c>
      <c r="DC745" s="122" t="s">
        <v>4323</v>
      </c>
      <c r="DD745" s="127">
        <v>8</v>
      </c>
      <c r="DE745" s="127">
        <v>8</v>
      </c>
      <c r="DG745" s="405" t="s">
        <v>300</v>
      </c>
      <c r="DH745" s="406" t="s">
        <v>4323</v>
      </c>
      <c r="DI745" s="406" t="str">
        <f t="shared" si="43"/>
        <v>CE, Ocara</v>
      </c>
      <c r="DJ745" s="406">
        <v>-4.4909999999999997</v>
      </c>
      <c r="DK745" s="80">
        <v>-38.597000000000001</v>
      </c>
      <c r="DL745" s="80">
        <v>100</v>
      </c>
      <c r="DM745" s="64">
        <v>8</v>
      </c>
      <c r="DN745" s="406" t="s">
        <v>6402</v>
      </c>
      <c r="DO745" s="406">
        <v>-4.26</v>
      </c>
      <c r="DP745" s="80">
        <v>38</v>
      </c>
    </row>
    <row r="746" spans="29:120" x14ac:dyDescent="0.25">
      <c r="AC746" s="122" t="s">
        <v>27</v>
      </c>
      <c r="AD746" s="122" t="s">
        <v>1146</v>
      </c>
      <c r="AE746" s="127">
        <v>1</v>
      </c>
      <c r="DA746" s="122" t="s">
        <v>300</v>
      </c>
      <c r="DB746" s="122" t="s">
        <v>5170</v>
      </c>
      <c r="DC746" s="122" t="s">
        <v>5170</v>
      </c>
      <c r="DD746" s="127">
        <v>7</v>
      </c>
      <c r="DE746" s="127">
        <v>7</v>
      </c>
      <c r="DG746" s="405" t="s">
        <v>300</v>
      </c>
      <c r="DH746" s="406" t="s">
        <v>5170</v>
      </c>
      <c r="DI746" s="406" t="str">
        <f t="shared" si="43"/>
        <v>CE, Orós</v>
      </c>
      <c r="DJ746" s="406">
        <v>-6.2439999999999998</v>
      </c>
      <c r="DK746" s="80">
        <v>-38.914000000000001</v>
      </c>
      <c r="DL746" s="80">
        <v>184</v>
      </c>
      <c r="DM746" s="64">
        <v>7</v>
      </c>
      <c r="DN746" s="406" t="s">
        <v>6404</v>
      </c>
      <c r="DO746" s="406">
        <v>-6.36</v>
      </c>
      <c r="DP746" s="80">
        <v>233</v>
      </c>
    </row>
    <row r="747" spans="29:120" x14ac:dyDescent="0.25">
      <c r="AC747" s="122" t="s">
        <v>236</v>
      </c>
      <c r="AD747" s="122" t="s">
        <v>1147</v>
      </c>
      <c r="AE747" s="127">
        <v>2</v>
      </c>
      <c r="DA747" s="122" t="s">
        <v>300</v>
      </c>
      <c r="DB747" s="122" t="s">
        <v>4151</v>
      </c>
      <c r="DC747" s="122" t="s">
        <v>4151</v>
      </c>
      <c r="DD747" s="127">
        <v>8</v>
      </c>
      <c r="DE747" s="127">
        <v>8</v>
      </c>
      <c r="DG747" s="405" t="s">
        <v>300</v>
      </c>
      <c r="DH747" s="406" t="s">
        <v>4151</v>
      </c>
      <c r="DI747" s="406" t="str">
        <f t="shared" si="43"/>
        <v>CE, Pacajus</v>
      </c>
      <c r="DJ747" s="406">
        <v>-4.173</v>
      </c>
      <c r="DK747" s="80">
        <v>-38.460999999999999</v>
      </c>
      <c r="DL747" s="80">
        <v>60</v>
      </c>
      <c r="DM747" s="64">
        <v>8</v>
      </c>
      <c r="DN747" s="406" t="s">
        <v>6410</v>
      </c>
      <c r="DO747" s="406">
        <v>-3.8</v>
      </c>
      <c r="DP747" s="80">
        <v>41</v>
      </c>
    </row>
    <row r="748" spans="29:120" x14ac:dyDescent="0.25">
      <c r="AC748" s="122" t="s">
        <v>236</v>
      </c>
      <c r="AD748" s="122" t="s">
        <v>1148</v>
      </c>
      <c r="AE748" s="127">
        <v>1</v>
      </c>
      <c r="DA748" s="122" t="s">
        <v>300</v>
      </c>
      <c r="DB748" s="122" t="s">
        <v>4169</v>
      </c>
      <c r="DC748" s="122" t="s">
        <v>4169</v>
      </c>
      <c r="DD748" s="127">
        <v>8</v>
      </c>
      <c r="DE748" s="127">
        <v>8</v>
      </c>
      <c r="DG748" s="405" t="s">
        <v>300</v>
      </c>
      <c r="DH748" s="406" t="s">
        <v>4169</v>
      </c>
      <c r="DI748" s="406" t="str">
        <f t="shared" si="43"/>
        <v>CE, Pacatuba</v>
      </c>
      <c r="DJ748" s="406">
        <v>-3.984</v>
      </c>
      <c r="DK748" s="80">
        <v>-38.619999999999997</v>
      </c>
      <c r="DL748" s="80">
        <v>65</v>
      </c>
      <c r="DM748" s="64">
        <v>8</v>
      </c>
      <c r="DN748" s="406" t="s">
        <v>6410</v>
      </c>
      <c r="DO748" s="406">
        <v>-3.8</v>
      </c>
      <c r="DP748" s="80">
        <v>41</v>
      </c>
    </row>
    <row r="749" spans="29:120" x14ac:dyDescent="0.25">
      <c r="AC749" s="122" t="s">
        <v>236</v>
      </c>
      <c r="AD749" s="122" t="s">
        <v>1149</v>
      </c>
      <c r="AE749" s="127">
        <v>1</v>
      </c>
      <c r="DA749" s="122" t="s">
        <v>300</v>
      </c>
      <c r="DB749" s="122" t="s">
        <v>2350</v>
      </c>
      <c r="DC749" s="122" t="s">
        <v>2350</v>
      </c>
      <c r="DD749" s="127">
        <v>5</v>
      </c>
      <c r="DE749" s="127">
        <v>5</v>
      </c>
      <c r="DG749" s="405" t="s">
        <v>300</v>
      </c>
      <c r="DH749" s="406" t="s">
        <v>2350</v>
      </c>
      <c r="DI749" s="406" t="str">
        <f t="shared" si="43"/>
        <v>CE, Pacoti</v>
      </c>
      <c r="DJ749" s="406">
        <v>-4.2249999999999996</v>
      </c>
      <c r="DK749" s="80">
        <v>-38.923000000000002</v>
      </c>
      <c r="DL749" s="80">
        <v>736</v>
      </c>
      <c r="DM749" s="64">
        <v>5</v>
      </c>
      <c r="DN749" s="406" t="s">
        <v>6402</v>
      </c>
      <c r="DO749" s="406">
        <v>-4.26</v>
      </c>
      <c r="DP749" s="80">
        <v>38</v>
      </c>
    </row>
    <row r="750" spans="29:120" x14ac:dyDescent="0.25">
      <c r="AC750" s="122" t="s">
        <v>236</v>
      </c>
      <c r="AD750" s="122" t="s">
        <v>1150</v>
      </c>
      <c r="AE750" s="127">
        <v>1</v>
      </c>
      <c r="DA750" s="122" t="s">
        <v>300</v>
      </c>
      <c r="DB750" s="122" t="s">
        <v>4610</v>
      </c>
      <c r="DC750" s="122" t="s">
        <v>4610</v>
      </c>
      <c r="DD750" s="127">
        <v>7</v>
      </c>
      <c r="DE750" s="127">
        <v>7</v>
      </c>
      <c r="DG750" s="405" t="s">
        <v>300</v>
      </c>
      <c r="DH750" s="406" t="s">
        <v>4610</v>
      </c>
      <c r="DI750" s="406" t="str">
        <f t="shared" si="43"/>
        <v>CE, Pacujá</v>
      </c>
      <c r="DJ750" s="406">
        <v>-3.988</v>
      </c>
      <c r="DK750" s="80">
        <v>-40.697000000000003</v>
      </c>
      <c r="DL750" s="80">
        <v>142</v>
      </c>
      <c r="DM750" s="64">
        <v>7</v>
      </c>
      <c r="DN750" s="406" t="s">
        <v>6403</v>
      </c>
      <c r="DO750" s="406">
        <v>-3.12</v>
      </c>
      <c r="DP750" s="80">
        <v>76</v>
      </c>
    </row>
    <row r="751" spans="29:120" x14ac:dyDescent="0.25">
      <c r="AC751" s="122" t="s">
        <v>27</v>
      </c>
      <c r="AD751" s="122" t="s">
        <v>1151</v>
      </c>
      <c r="AE751" s="127">
        <v>1</v>
      </c>
      <c r="DA751" s="122" t="s">
        <v>300</v>
      </c>
      <c r="DB751" s="122" t="s">
        <v>4267</v>
      </c>
      <c r="DC751" s="122" t="s">
        <v>4267</v>
      </c>
      <c r="DD751" s="127">
        <v>8</v>
      </c>
      <c r="DE751" s="127">
        <v>8</v>
      </c>
      <c r="DG751" s="405" t="s">
        <v>300</v>
      </c>
      <c r="DH751" s="406" t="s">
        <v>4267</v>
      </c>
      <c r="DI751" s="406" t="str">
        <f t="shared" si="43"/>
        <v>CE, Palhano</v>
      </c>
      <c r="DJ751" s="406">
        <v>-4.7450000000000001</v>
      </c>
      <c r="DK751" s="80">
        <v>-37.959000000000003</v>
      </c>
      <c r="DL751" s="80">
        <v>14</v>
      </c>
      <c r="DM751" s="64">
        <v>8</v>
      </c>
      <c r="DN751" s="406" t="s">
        <v>6411</v>
      </c>
      <c r="DO751" s="406">
        <v>-4.79</v>
      </c>
      <c r="DP751" s="80">
        <v>12</v>
      </c>
    </row>
    <row r="752" spans="29:120" x14ac:dyDescent="0.25">
      <c r="AC752" s="122" t="s">
        <v>236</v>
      </c>
      <c r="AD752" s="122" t="s">
        <v>1152</v>
      </c>
      <c r="AE752" s="127">
        <v>1</v>
      </c>
      <c r="DA752" s="122" t="s">
        <v>300</v>
      </c>
      <c r="DB752" s="122" t="s">
        <v>2328</v>
      </c>
      <c r="DC752" s="122" t="s">
        <v>2328</v>
      </c>
      <c r="DD752" s="127">
        <v>8</v>
      </c>
      <c r="DE752" s="127">
        <v>8</v>
      </c>
      <c r="DG752" s="405" t="s">
        <v>300</v>
      </c>
      <c r="DH752" s="406" t="s">
        <v>2328</v>
      </c>
      <c r="DI752" s="406" t="str">
        <f t="shared" si="43"/>
        <v>CE, Palmácia</v>
      </c>
      <c r="DJ752" s="406">
        <v>-4.1500000000000004</v>
      </c>
      <c r="DK752" s="80">
        <v>-38.845999999999997</v>
      </c>
      <c r="DL752" s="80">
        <v>425</v>
      </c>
      <c r="DM752" s="64">
        <v>8</v>
      </c>
      <c r="DN752" s="406" t="s">
        <v>6402</v>
      </c>
      <c r="DO752" s="406">
        <v>-4.26</v>
      </c>
      <c r="DP752" s="80">
        <v>38</v>
      </c>
    </row>
    <row r="753" spans="29:120" x14ac:dyDescent="0.25">
      <c r="AC753" s="122" t="s">
        <v>27</v>
      </c>
      <c r="AD753" s="122" t="s">
        <v>1153</v>
      </c>
      <c r="AE753" s="127">
        <v>3</v>
      </c>
      <c r="DA753" s="122" t="s">
        <v>300</v>
      </c>
      <c r="DB753" s="122" t="s">
        <v>4126</v>
      </c>
      <c r="DC753" s="122" t="s">
        <v>4126</v>
      </c>
      <c r="DD753" s="127">
        <v>8</v>
      </c>
      <c r="DE753" s="127">
        <v>8</v>
      </c>
      <c r="DG753" s="405" t="s">
        <v>300</v>
      </c>
      <c r="DH753" s="406" t="s">
        <v>4126</v>
      </c>
      <c r="DI753" s="406" t="str">
        <f t="shared" si="43"/>
        <v>CE, Paracuru</v>
      </c>
      <c r="DJ753" s="406">
        <v>-3.41</v>
      </c>
      <c r="DK753" s="80">
        <v>-39.030999999999999</v>
      </c>
      <c r="DL753" s="80">
        <v>19</v>
      </c>
      <c r="DM753" s="64">
        <v>8</v>
      </c>
      <c r="DN753" s="406" t="s">
        <v>6408</v>
      </c>
      <c r="DO753" s="406">
        <v>-3.48</v>
      </c>
      <c r="DP753" s="80">
        <v>102</v>
      </c>
    </row>
    <row r="754" spans="29:120" x14ac:dyDescent="0.25">
      <c r="AC754" s="122" t="s">
        <v>27</v>
      </c>
      <c r="AD754" s="122" t="s">
        <v>1154</v>
      </c>
      <c r="AE754" s="127">
        <v>2</v>
      </c>
      <c r="DA754" s="122" t="s">
        <v>300</v>
      </c>
      <c r="DB754" s="122" t="s">
        <v>4164</v>
      </c>
      <c r="DC754" s="122" t="s">
        <v>4164</v>
      </c>
      <c r="DD754" s="127">
        <v>8</v>
      </c>
      <c r="DE754" s="127">
        <v>8</v>
      </c>
      <c r="DG754" s="405" t="s">
        <v>300</v>
      </c>
      <c r="DH754" s="406" t="s">
        <v>4164</v>
      </c>
      <c r="DI754" s="406" t="str">
        <f t="shared" si="43"/>
        <v>CE, Paraipaba</v>
      </c>
      <c r="DJ754" s="406">
        <v>-3.4390000000000001</v>
      </c>
      <c r="DK754" s="80">
        <v>-39.148000000000003</v>
      </c>
      <c r="DL754" s="80">
        <v>31</v>
      </c>
      <c r="DM754" s="64">
        <v>8</v>
      </c>
      <c r="DN754" s="406" t="s">
        <v>6408</v>
      </c>
      <c r="DO754" s="406">
        <v>-3.48</v>
      </c>
      <c r="DP754" s="80">
        <v>102</v>
      </c>
    </row>
    <row r="755" spans="29:120" x14ac:dyDescent="0.25">
      <c r="AC755" s="122" t="s">
        <v>27</v>
      </c>
      <c r="AD755" s="122" t="s">
        <v>793</v>
      </c>
      <c r="AE755" s="127">
        <v>1</v>
      </c>
      <c r="DA755" s="122" t="s">
        <v>300</v>
      </c>
      <c r="DB755" s="122" t="s">
        <v>2272</v>
      </c>
      <c r="DC755" s="122" t="s">
        <v>2272</v>
      </c>
      <c r="DD755" s="127">
        <v>7</v>
      </c>
      <c r="DE755" s="127">
        <v>7</v>
      </c>
      <c r="DG755" s="405" t="s">
        <v>300</v>
      </c>
      <c r="DH755" s="406" t="s">
        <v>2272</v>
      </c>
      <c r="DI755" s="406" t="str">
        <f t="shared" si="43"/>
        <v>CE, Parambu</v>
      </c>
      <c r="DJ755" s="406">
        <v>-6.2110000000000003</v>
      </c>
      <c r="DK755" s="80">
        <v>-40.694000000000003</v>
      </c>
      <c r="DL755" s="80">
        <v>478</v>
      </c>
      <c r="DM755" s="64">
        <v>7</v>
      </c>
      <c r="DN755" s="406" t="s">
        <v>6413</v>
      </c>
      <c r="DO755" s="406">
        <v>-6.02</v>
      </c>
      <c r="DP755" s="80">
        <v>415</v>
      </c>
    </row>
    <row r="756" spans="29:120" x14ac:dyDescent="0.25">
      <c r="AC756" s="122" t="s">
        <v>27</v>
      </c>
      <c r="AD756" s="122" t="s">
        <v>1155</v>
      </c>
      <c r="AE756" s="127">
        <v>3</v>
      </c>
      <c r="DA756" s="122" t="s">
        <v>300</v>
      </c>
      <c r="DB756" s="122" t="s">
        <v>4353</v>
      </c>
      <c r="DC756" s="122" t="s">
        <v>4353</v>
      </c>
      <c r="DD756" s="127">
        <v>8</v>
      </c>
      <c r="DE756" s="127">
        <v>8</v>
      </c>
      <c r="DG756" s="405" t="s">
        <v>300</v>
      </c>
      <c r="DH756" s="406" t="s">
        <v>4353</v>
      </c>
      <c r="DI756" s="406" t="str">
        <f t="shared" si="43"/>
        <v>CE, Paramoti</v>
      </c>
      <c r="DJ756" s="406">
        <v>-4.0970000000000004</v>
      </c>
      <c r="DK756" s="80">
        <v>-39.238999999999997</v>
      </c>
      <c r="DL756" s="80">
        <v>90</v>
      </c>
      <c r="DM756" s="64">
        <v>8</v>
      </c>
      <c r="DN756" s="406" t="s">
        <v>6402</v>
      </c>
      <c r="DO756" s="406">
        <v>-4.26</v>
      </c>
      <c r="DP756" s="80">
        <v>38</v>
      </c>
    </row>
    <row r="757" spans="29:120" x14ac:dyDescent="0.25">
      <c r="AC757" s="122" t="s">
        <v>27</v>
      </c>
      <c r="AD757" s="122" t="s">
        <v>1156</v>
      </c>
      <c r="AE757" s="127">
        <v>2</v>
      </c>
      <c r="DA757" s="122" t="s">
        <v>300</v>
      </c>
      <c r="DB757" s="122" t="s">
        <v>6437</v>
      </c>
      <c r="DC757" s="122" t="s">
        <v>5199</v>
      </c>
      <c r="DD757" s="127">
        <v>7</v>
      </c>
      <c r="DE757" s="127">
        <v>7</v>
      </c>
      <c r="DG757" s="405" t="s">
        <v>300</v>
      </c>
      <c r="DH757" s="406" t="s">
        <v>5199</v>
      </c>
      <c r="DI757" s="406" t="str">
        <f t="shared" si="43"/>
        <v>CE, Pedra Branca</v>
      </c>
      <c r="DJ757" s="406">
        <v>-5.4539999999999997</v>
      </c>
      <c r="DK757" s="80">
        <v>-39.716999999999999</v>
      </c>
      <c r="DL757" s="80">
        <v>500</v>
      </c>
      <c r="DM757" s="64">
        <v>7</v>
      </c>
      <c r="DN757" s="406" t="s">
        <v>6415</v>
      </c>
      <c r="DO757" s="406">
        <v>-5.2</v>
      </c>
      <c r="DP757" s="80">
        <v>80</v>
      </c>
    </row>
    <row r="758" spans="29:120" x14ac:dyDescent="0.25">
      <c r="AC758" s="122" t="s">
        <v>27</v>
      </c>
      <c r="AD758" s="122" t="s">
        <v>1157</v>
      </c>
      <c r="AE758" s="127">
        <v>1</v>
      </c>
      <c r="DA758" s="122" t="s">
        <v>300</v>
      </c>
      <c r="DB758" s="122" t="s">
        <v>2580</v>
      </c>
      <c r="DC758" s="122" t="s">
        <v>2580</v>
      </c>
      <c r="DD758" s="127">
        <v>7</v>
      </c>
      <c r="DE758" s="127">
        <v>7</v>
      </c>
      <c r="DG758" s="405" t="s">
        <v>300</v>
      </c>
      <c r="DH758" s="406" t="s">
        <v>2580</v>
      </c>
      <c r="DI758" s="406" t="str">
        <f t="shared" si="43"/>
        <v>CE, Penaforte</v>
      </c>
      <c r="DJ758" s="406">
        <v>-7.8289999999999997</v>
      </c>
      <c r="DK758" s="80">
        <v>-39.076999999999998</v>
      </c>
      <c r="DL758" s="80">
        <v>509</v>
      </c>
      <c r="DM758" s="64">
        <v>7</v>
      </c>
      <c r="DN758" s="406" t="s">
        <v>6401</v>
      </c>
      <c r="DO758" s="406">
        <v>-7.3</v>
      </c>
      <c r="DP758" s="80">
        <v>409</v>
      </c>
    </row>
    <row r="759" spans="29:120" x14ac:dyDescent="0.25">
      <c r="AC759" s="122" t="s">
        <v>236</v>
      </c>
      <c r="AD759" s="122" t="s">
        <v>1158</v>
      </c>
      <c r="AE759" s="127">
        <v>1</v>
      </c>
      <c r="DA759" s="122" t="s">
        <v>300</v>
      </c>
      <c r="DB759" s="122" t="s">
        <v>4959</v>
      </c>
      <c r="DC759" s="122" t="s">
        <v>4959</v>
      </c>
      <c r="DD759" s="127">
        <v>8</v>
      </c>
      <c r="DE759" s="127">
        <v>8</v>
      </c>
      <c r="DG759" s="405" t="s">
        <v>300</v>
      </c>
      <c r="DH759" s="406" t="s">
        <v>4959</v>
      </c>
      <c r="DI759" s="406" t="str">
        <f t="shared" si="43"/>
        <v>CE, Pentecoste</v>
      </c>
      <c r="DJ759" s="406">
        <v>-3.7930000000000001</v>
      </c>
      <c r="DK759" s="80">
        <v>-39.270000000000003</v>
      </c>
      <c r="DL759" s="80">
        <v>45</v>
      </c>
      <c r="DM759" s="64">
        <v>8</v>
      </c>
      <c r="DN759" s="406" t="s">
        <v>6408</v>
      </c>
      <c r="DO759" s="406">
        <v>-3.48</v>
      </c>
      <c r="DP759" s="80">
        <v>102</v>
      </c>
    </row>
    <row r="760" spans="29:120" x14ac:dyDescent="0.25">
      <c r="AC760" s="122" t="s">
        <v>27</v>
      </c>
      <c r="AD760" s="122" t="s">
        <v>1159</v>
      </c>
      <c r="AE760" s="127">
        <v>2</v>
      </c>
      <c r="DA760" s="122" t="s">
        <v>300</v>
      </c>
      <c r="DB760" s="122" t="s">
        <v>5216</v>
      </c>
      <c r="DC760" s="122" t="s">
        <v>5216</v>
      </c>
      <c r="DD760" s="127">
        <v>7</v>
      </c>
      <c r="DE760" s="127">
        <v>7</v>
      </c>
      <c r="DG760" s="405" t="s">
        <v>300</v>
      </c>
      <c r="DH760" s="406" t="s">
        <v>5216</v>
      </c>
      <c r="DI760" s="406" t="str">
        <f t="shared" si="43"/>
        <v>CE, Pereiro</v>
      </c>
      <c r="DJ760" s="406">
        <v>-6.0449999999999999</v>
      </c>
      <c r="DK760" s="80">
        <v>-38.460999999999999</v>
      </c>
      <c r="DL760" s="80">
        <v>560</v>
      </c>
      <c r="DM760" s="64">
        <v>7</v>
      </c>
      <c r="DN760" s="406" t="s">
        <v>6423</v>
      </c>
      <c r="DO760" s="406">
        <v>-5.91</v>
      </c>
      <c r="DP760" s="80">
        <v>184</v>
      </c>
    </row>
    <row r="761" spans="29:120" x14ac:dyDescent="0.25">
      <c r="AC761" s="122" t="s">
        <v>27</v>
      </c>
      <c r="AD761" s="122" t="s">
        <v>1059</v>
      </c>
      <c r="AE761" s="127">
        <v>2</v>
      </c>
      <c r="DA761" s="122" t="s">
        <v>300</v>
      </c>
      <c r="DB761" s="122" t="s">
        <v>4091</v>
      </c>
      <c r="DC761" s="122" t="s">
        <v>4091</v>
      </c>
      <c r="DD761" s="127">
        <v>8</v>
      </c>
      <c r="DE761" s="127">
        <v>8</v>
      </c>
      <c r="DG761" s="405" t="s">
        <v>300</v>
      </c>
      <c r="DH761" s="406" t="s">
        <v>4091</v>
      </c>
      <c r="DI761" s="406" t="str">
        <f t="shared" si="43"/>
        <v>CE, Pindoretama</v>
      </c>
      <c r="DJ761" s="406">
        <v>-4.0279999999999996</v>
      </c>
      <c r="DK761" s="80">
        <v>-38.305999999999997</v>
      </c>
      <c r="DL761" s="80">
        <v>40</v>
      </c>
      <c r="DM761" s="64">
        <v>8</v>
      </c>
      <c r="DN761" s="406" t="s">
        <v>6410</v>
      </c>
      <c r="DO761" s="406">
        <v>-3.8</v>
      </c>
      <c r="DP761" s="80">
        <v>41</v>
      </c>
    </row>
    <row r="762" spans="29:120" x14ac:dyDescent="0.25">
      <c r="AC762" s="122" t="s">
        <v>27</v>
      </c>
      <c r="AD762" s="122" t="s">
        <v>1160</v>
      </c>
      <c r="AE762" s="127">
        <v>1</v>
      </c>
      <c r="DA762" s="122" t="s">
        <v>300</v>
      </c>
      <c r="DB762" s="122" t="s">
        <v>6438</v>
      </c>
      <c r="DC762" s="122" t="s">
        <v>4346</v>
      </c>
      <c r="DD762" s="127">
        <v>7</v>
      </c>
      <c r="DE762" s="127">
        <v>7</v>
      </c>
      <c r="DG762" s="405" t="s">
        <v>300</v>
      </c>
      <c r="DH762" s="406" t="s">
        <v>4346</v>
      </c>
      <c r="DI762" s="406" t="str">
        <f t="shared" si="43"/>
        <v>CE, Piquet Carneiro</v>
      </c>
      <c r="DJ762" s="406">
        <v>-5.8040000000000003</v>
      </c>
      <c r="DK762" s="80">
        <v>-39.417999999999999</v>
      </c>
      <c r="DL762" s="80">
        <v>251</v>
      </c>
      <c r="DM762" s="64">
        <v>7</v>
      </c>
      <c r="DN762" s="406" t="s">
        <v>6404</v>
      </c>
      <c r="DO762" s="406">
        <v>-6.36</v>
      </c>
      <c r="DP762" s="80">
        <v>233</v>
      </c>
    </row>
    <row r="763" spans="29:120" x14ac:dyDescent="0.25">
      <c r="AC763" s="122" t="s">
        <v>236</v>
      </c>
      <c r="AD763" s="122" t="s">
        <v>1161</v>
      </c>
      <c r="AE763" s="127">
        <v>1</v>
      </c>
      <c r="DA763" s="122" t="s">
        <v>300</v>
      </c>
      <c r="DB763" s="122" t="s">
        <v>6439</v>
      </c>
      <c r="DC763" s="122" t="s">
        <v>4619</v>
      </c>
      <c r="DD763" s="127">
        <v>7</v>
      </c>
      <c r="DE763" s="127">
        <v>7</v>
      </c>
      <c r="DG763" s="405" t="s">
        <v>300</v>
      </c>
      <c r="DH763" s="406" t="s">
        <v>4619</v>
      </c>
      <c r="DI763" s="406" t="str">
        <f t="shared" si="43"/>
        <v>CE, Pires Ferreira</v>
      </c>
      <c r="DJ763" s="406">
        <v>-4.2469999999999999</v>
      </c>
      <c r="DK763" s="80">
        <v>-40.645000000000003</v>
      </c>
      <c r="DL763" s="80">
        <v>196</v>
      </c>
      <c r="DM763" s="64">
        <v>7</v>
      </c>
      <c r="DN763" s="406" t="s">
        <v>6412</v>
      </c>
      <c r="DO763" s="406">
        <v>-5.19</v>
      </c>
      <c r="DP763" s="80">
        <v>291</v>
      </c>
    </row>
    <row r="764" spans="29:120" x14ac:dyDescent="0.25">
      <c r="AC764" s="122" t="s">
        <v>236</v>
      </c>
      <c r="AD764" s="122" t="s">
        <v>1162</v>
      </c>
      <c r="AE764" s="127">
        <v>2</v>
      </c>
      <c r="DA764" s="122" t="s">
        <v>300</v>
      </c>
      <c r="DB764" s="122" t="s">
        <v>4704</v>
      </c>
      <c r="DC764" s="122" t="s">
        <v>4704</v>
      </c>
      <c r="DD764" s="127">
        <v>7</v>
      </c>
      <c r="DE764" s="127">
        <v>7</v>
      </c>
      <c r="DG764" s="405" t="s">
        <v>300</v>
      </c>
      <c r="DH764" s="406" t="s">
        <v>4704</v>
      </c>
      <c r="DI764" s="406" t="str">
        <f t="shared" si="43"/>
        <v>CE, Poranga</v>
      </c>
      <c r="DJ764" s="406">
        <v>-4.7450000000000001</v>
      </c>
      <c r="DK764" s="80">
        <v>-40.926000000000002</v>
      </c>
      <c r="DL764" s="80">
        <v>713</v>
      </c>
      <c r="DM764" s="64">
        <v>7</v>
      </c>
      <c r="DN764" s="406" t="s">
        <v>6412</v>
      </c>
      <c r="DO764" s="406">
        <v>-5.19</v>
      </c>
      <c r="DP764" s="80">
        <v>291</v>
      </c>
    </row>
    <row r="765" spans="29:120" x14ac:dyDescent="0.25">
      <c r="AC765" s="122" t="s">
        <v>27</v>
      </c>
      <c r="AD765" s="122" t="s">
        <v>1163</v>
      </c>
      <c r="AE765" s="127">
        <v>1</v>
      </c>
      <c r="DA765" s="122" t="s">
        <v>300</v>
      </c>
      <c r="DB765" s="122" t="s">
        <v>5486</v>
      </c>
      <c r="DC765" s="122" t="s">
        <v>5486</v>
      </c>
      <c r="DD765" s="127">
        <v>7</v>
      </c>
      <c r="DE765" s="127">
        <v>7</v>
      </c>
      <c r="DG765" s="405" t="s">
        <v>300</v>
      </c>
      <c r="DH765" s="406" t="s">
        <v>5486</v>
      </c>
      <c r="DI765" s="406" t="str">
        <f t="shared" si="43"/>
        <v>CE, Porteiras</v>
      </c>
      <c r="DJ765" s="406">
        <v>-7.5350000000000001</v>
      </c>
      <c r="DK765" s="80">
        <v>-39.118000000000002</v>
      </c>
      <c r="DL765" s="80">
        <v>523</v>
      </c>
      <c r="DM765" s="64">
        <v>7</v>
      </c>
      <c r="DN765" s="406" t="s">
        <v>6401</v>
      </c>
      <c r="DO765" s="406">
        <v>-7.3</v>
      </c>
      <c r="DP765" s="80">
        <v>409</v>
      </c>
    </row>
    <row r="766" spans="29:120" x14ac:dyDescent="0.25">
      <c r="AC766" s="122" t="s">
        <v>236</v>
      </c>
      <c r="AD766" s="122" t="s">
        <v>1164</v>
      </c>
      <c r="AE766" s="127">
        <v>1</v>
      </c>
      <c r="DA766" s="122" t="s">
        <v>300</v>
      </c>
      <c r="DB766" s="122" t="s">
        <v>2273</v>
      </c>
      <c r="DC766" s="122" t="s">
        <v>2273</v>
      </c>
      <c r="DD766" s="127">
        <v>7</v>
      </c>
      <c r="DE766" s="127">
        <v>7</v>
      </c>
      <c r="DG766" s="405" t="s">
        <v>300</v>
      </c>
      <c r="DH766" s="406" t="s">
        <v>2273</v>
      </c>
      <c r="DI766" s="406" t="str">
        <f t="shared" si="43"/>
        <v>CE, Potengi</v>
      </c>
      <c r="DJ766" s="406">
        <v>-7.0910000000000002</v>
      </c>
      <c r="DK766" s="80">
        <v>-40.027000000000001</v>
      </c>
      <c r="DL766" s="80">
        <v>560</v>
      </c>
      <c r="DM766" s="64">
        <v>7</v>
      </c>
      <c r="DN766" s="406" t="s">
        <v>6405</v>
      </c>
      <c r="DO766" s="406">
        <v>-7.08</v>
      </c>
      <c r="DP766" s="80">
        <v>572</v>
      </c>
    </row>
    <row r="767" spans="29:120" x14ac:dyDescent="0.25">
      <c r="AC767" s="122" t="s">
        <v>27</v>
      </c>
      <c r="AD767" s="122" t="s">
        <v>1165</v>
      </c>
      <c r="AE767" s="127">
        <v>3</v>
      </c>
      <c r="DA767" s="122" t="s">
        <v>300</v>
      </c>
      <c r="DB767" s="122" t="s">
        <v>5290</v>
      </c>
      <c r="DC767" s="122" t="s">
        <v>5290</v>
      </c>
      <c r="DD767" s="127">
        <v>7</v>
      </c>
      <c r="DE767" s="127">
        <v>7</v>
      </c>
      <c r="DG767" s="405" t="s">
        <v>300</v>
      </c>
      <c r="DH767" s="406" t="s">
        <v>5290</v>
      </c>
      <c r="DI767" s="406" t="str">
        <f t="shared" si="43"/>
        <v>CE, Potiretama</v>
      </c>
      <c r="DJ767" s="406">
        <v>-5.6680000000000001</v>
      </c>
      <c r="DK767" s="80">
        <v>-38.250999999999998</v>
      </c>
      <c r="DL767" s="80">
        <v>150</v>
      </c>
      <c r="DM767" s="64">
        <v>7</v>
      </c>
      <c r="DN767" s="406" t="s">
        <v>6423</v>
      </c>
      <c r="DO767" s="406">
        <v>-5.91</v>
      </c>
      <c r="DP767" s="80">
        <v>184</v>
      </c>
    </row>
    <row r="768" spans="29:120" x14ac:dyDescent="0.25">
      <c r="AC768" s="122" t="s">
        <v>236</v>
      </c>
      <c r="AD768" s="122" t="s">
        <v>1166</v>
      </c>
      <c r="AE768" s="127">
        <v>3</v>
      </c>
      <c r="DA768" s="122" t="s">
        <v>300</v>
      </c>
      <c r="DB768" s="122" t="s">
        <v>5268</v>
      </c>
      <c r="DC768" s="122" t="s">
        <v>5268</v>
      </c>
      <c r="DD768" s="127">
        <v>7</v>
      </c>
      <c r="DE768" s="127">
        <v>7</v>
      </c>
      <c r="DG768" s="405" t="s">
        <v>300</v>
      </c>
      <c r="DH768" s="406" t="s">
        <v>5268</v>
      </c>
      <c r="DI768" s="406" t="str">
        <f t="shared" si="43"/>
        <v>CE, Quiterianópolis</v>
      </c>
      <c r="DJ768" s="406">
        <v>-5.843</v>
      </c>
      <c r="DK768" s="80">
        <v>-40.701000000000001</v>
      </c>
      <c r="DL768" s="80">
        <v>430</v>
      </c>
      <c r="DM768" s="64">
        <v>7</v>
      </c>
      <c r="DN768" s="406" t="s">
        <v>6413</v>
      </c>
      <c r="DO768" s="406">
        <v>-6.02</v>
      </c>
      <c r="DP768" s="80">
        <v>415</v>
      </c>
    </row>
    <row r="769" spans="29:120" x14ac:dyDescent="0.25">
      <c r="AC769" s="122" t="s">
        <v>27</v>
      </c>
      <c r="AD769" s="122" t="s">
        <v>1167</v>
      </c>
      <c r="AE769" s="127">
        <v>3</v>
      </c>
      <c r="DA769" s="122" t="s">
        <v>300</v>
      </c>
      <c r="DB769" s="122" t="s">
        <v>4512</v>
      </c>
      <c r="DC769" s="122" t="s">
        <v>4512</v>
      </c>
      <c r="DD769" s="127">
        <v>7</v>
      </c>
      <c r="DE769" s="127">
        <v>7</v>
      </c>
      <c r="DG769" s="405" t="s">
        <v>300</v>
      </c>
      <c r="DH769" s="406" t="s">
        <v>4512</v>
      </c>
      <c r="DI769" s="406" t="str">
        <f t="shared" si="43"/>
        <v>CE, Quixadá</v>
      </c>
      <c r="DJ769" s="406">
        <v>-4.9710000000000001</v>
      </c>
      <c r="DK769" s="80">
        <v>-39.015000000000001</v>
      </c>
      <c r="DL769" s="80">
        <v>189</v>
      </c>
      <c r="DM769" s="64">
        <v>7</v>
      </c>
      <c r="DN769" s="406" t="s">
        <v>6415</v>
      </c>
      <c r="DO769" s="406">
        <v>-5.2</v>
      </c>
      <c r="DP769" s="80">
        <v>80</v>
      </c>
    </row>
    <row r="770" spans="29:120" x14ac:dyDescent="0.25">
      <c r="AC770" s="122" t="s">
        <v>236</v>
      </c>
      <c r="AD770" s="122" t="s">
        <v>1168</v>
      </c>
      <c r="AE770" s="127">
        <v>1</v>
      </c>
      <c r="DA770" s="122" t="s">
        <v>300</v>
      </c>
      <c r="DB770" s="122" t="s">
        <v>5289</v>
      </c>
      <c r="DC770" s="122" t="s">
        <v>5289</v>
      </c>
      <c r="DD770" s="127">
        <v>7</v>
      </c>
      <c r="DE770" s="127">
        <v>7</v>
      </c>
      <c r="DG770" s="405" t="s">
        <v>300</v>
      </c>
      <c r="DH770" s="406" t="s">
        <v>5289</v>
      </c>
      <c r="DI770" s="406" t="str">
        <f t="shared" si="43"/>
        <v>CE, Quixelô</v>
      </c>
      <c r="DJ770" s="406">
        <v>-6.2539999999999996</v>
      </c>
      <c r="DK770" s="80">
        <v>-39.201999999999998</v>
      </c>
      <c r="DL770" s="80">
        <v>195</v>
      </c>
      <c r="DM770" s="64">
        <v>7</v>
      </c>
      <c r="DN770" s="406" t="s">
        <v>6404</v>
      </c>
      <c r="DO770" s="406">
        <v>-6.36</v>
      </c>
      <c r="DP770" s="80">
        <v>233</v>
      </c>
    </row>
    <row r="771" spans="29:120" x14ac:dyDescent="0.25">
      <c r="AC771" s="122" t="s">
        <v>236</v>
      </c>
      <c r="AD771" s="122" t="s">
        <v>1169</v>
      </c>
      <c r="AE771" s="127">
        <v>1</v>
      </c>
      <c r="DA771" s="122" t="s">
        <v>300</v>
      </c>
      <c r="DB771" s="122" t="s">
        <v>5272</v>
      </c>
      <c r="DC771" s="122" t="s">
        <v>5272</v>
      </c>
      <c r="DD771" s="127">
        <v>7</v>
      </c>
      <c r="DE771" s="127">
        <v>7</v>
      </c>
      <c r="DG771" s="405" t="s">
        <v>300</v>
      </c>
      <c r="DH771" s="406" t="s">
        <v>5272</v>
      </c>
      <c r="DI771" s="406" t="str">
        <f t="shared" ref="DI771:DI834" si="44">CONCATENATE(DG771,", ",DH771)</f>
        <v>CE, Quixeramobim</v>
      </c>
      <c r="DJ771" s="406">
        <v>-5.1989999999999998</v>
      </c>
      <c r="DK771" s="80">
        <v>-39.292999999999999</v>
      </c>
      <c r="DL771" s="80">
        <v>191</v>
      </c>
      <c r="DM771" s="64">
        <v>7</v>
      </c>
      <c r="DN771" s="406" t="s">
        <v>6415</v>
      </c>
      <c r="DO771" s="406">
        <v>-5.2</v>
      </c>
      <c r="DP771" s="80">
        <v>80</v>
      </c>
    </row>
    <row r="772" spans="29:120" x14ac:dyDescent="0.25">
      <c r="AC772" s="122" t="s">
        <v>27</v>
      </c>
      <c r="AD772" s="122" t="s">
        <v>1170</v>
      </c>
      <c r="AE772" s="127">
        <v>3</v>
      </c>
      <c r="DA772" s="122" t="s">
        <v>300</v>
      </c>
      <c r="DB772" s="122" t="s">
        <v>4695</v>
      </c>
      <c r="DC772" s="122" t="s">
        <v>4695</v>
      </c>
      <c r="DD772" s="127">
        <v>8</v>
      </c>
      <c r="DE772" s="127">
        <v>8</v>
      </c>
      <c r="DG772" s="405" t="s">
        <v>300</v>
      </c>
      <c r="DH772" s="406" t="s">
        <v>4695</v>
      </c>
      <c r="DI772" s="406" t="str">
        <f t="shared" si="44"/>
        <v>CE, Quixeré</v>
      </c>
      <c r="DJ772" s="406">
        <v>-5.0739999999999998</v>
      </c>
      <c r="DK772" s="80">
        <v>-37.988999999999997</v>
      </c>
      <c r="DL772" s="80">
        <v>25</v>
      </c>
      <c r="DM772" s="64">
        <v>8</v>
      </c>
      <c r="DN772" s="406" t="s">
        <v>6411</v>
      </c>
      <c r="DO772" s="406">
        <v>-4.79</v>
      </c>
      <c r="DP772" s="80">
        <v>12</v>
      </c>
    </row>
    <row r="773" spans="29:120" x14ac:dyDescent="0.25">
      <c r="AC773" s="122" t="s">
        <v>236</v>
      </c>
      <c r="AD773" s="122" t="s">
        <v>1171</v>
      </c>
      <c r="AE773" s="127">
        <v>1</v>
      </c>
      <c r="DA773" s="122" t="s">
        <v>300</v>
      </c>
      <c r="DB773" s="122" t="s">
        <v>4289</v>
      </c>
      <c r="DC773" s="122" t="s">
        <v>4289</v>
      </c>
      <c r="DD773" s="127">
        <v>8</v>
      </c>
      <c r="DE773" s="127">
        <v>8</v>
      </c>
      <c r="DG773" s="405" t="s">
        <v>300</v>
      </c>
      <c r="DH773" s="406" t="s">
        <v>4289</v>
      </c>
      <c r="DI773" s="406" t="str">
        <f t="shared" si="44"/>
        <v>CE, Redenção</v>
      </c>
      <c r="DJ773" s="406">
        <v>-4.226</v>
      </c>
      <c r="DK773" s="80">
        <v>-38.731000000000002</v>
      </c>
      <c r="DL773" s="80">
        <v>88</v>
      </c>
      <c r="DM773" s="64">
        <v>8</v>
      </c>
      <c r="DN773" s="406" t="s">
        <v>6402</v>
      </c>
      <c r="DO773" s="406">
        <v>-4.26</v>
      </c>
      <c r="DP773" s="80">
        <v>38</v>
      </c>
    </row>
    <row r="774" spans="29:120" x14ac:dyDescent="0.25">
      <c r="AC774" s="122" t="s">
        <v>236</v>
      </c>
      <c r="AD774" s="122" t="s">
        <v>1172</v>
      </c>
      <c r="AE774" s="127">
        <v>1</v>
      </c>
      <c r="DA774" s="122" t="s">
        <v>300</v>
      </c>
      <c r="DB774" s="122" t="s">
        <v>4654</v>
      </c>
      <c r="DC774" s="122" t="s">
        <v>4654</v>
      </c>
      <c r="DD774" s="127">
        <v>7</v>
      </c>
      <c r="DE774" s="127">
        <v>7</v>
      </c>
      <c r="DG774" s="405" t="s">
        <v>300</v>
      </c>
      <c r="DH774" s="406" t="s">
        <v>4654</v>
      </c>
      <c r="DI774" s="406" t="str">
        <f t="shared" si="44"/>
        <v>CE, Reriutaba</v>
      </c>
      <c r="DJ774" s="406">
        <v>-4.1420000000000003</v>
      </c>
      <c r="DK774" s="80">
        <v>-40.582000000000001</v>
      </c>
      <c r="DL774" s="80">
        <v>145</v>
      </c>
      <c r="DM774" s="64">
        <v>7</v>
      </c>
      <c r="DN774" s="406" t="s">
        <v>6412</v>
      </c>
      <c r="DO774" s="406">
        <v>-5.19</v>
      </c>
      <c r="DP774" s="80">
        <v>291</v>
      </c>
    </row>
    <row r="775" spans="29:120" x14ac:dyDescent="0.25">
      <c r="AC775" s="122" t="s">
        <v>27</v>
      </c>
      <c r="AD775" s="122" t="s">
        <v>1173</v>
      </c>
      <c r="AE775" s="127">
        <v>2</v>
      </c>
      <c r="DA775" s="122" t="s">
        <v>300</v>
      </c>
      <c r="DB775" s="122" t="s">
        <v>4613</v>
      </c>
      <c r="DC775" s="122" t="s">
        <v>4613</v>
      </c>
      <c r="DD775" s="127">
        <v>8</v>
      </c>
      <c r="DE775" s="127">
        <v>8</v>
      </c>
      <c r="DG775" s="405" t="s">
        <v>300</v>
      </c>
      <c r="DH775" s="406" t="s">
        <v>4613</v>
      </c>
      <c r="DI775" s="406" t="str">
        <f t="shared" si="44"/>
        <v>CE, Russas</v>
      </c>
      <c r="DJ775" s="406">
        <v>-4.9400000000000004</v>
      </c>
      <c r="DK775" s="80">
        <v>-37.975999999999999</v>
      </c>
      <c r="DL775" s="80">
        <v>20</v>
      </c>
      <c r="DM775" s="64">
        <v>8</v>
      </c>
      <c r="DN775" s="406" t="s">
        <v>6411</v>
      </c>
      <c r="DO775" s="406">
        <v>-4.79</v>
      </c>
      <c r="DP775" s="80">
        <v>12</v>
      </c>
    </row>
    <row r="776" spans="29:120" x14ac:dyDescent="0.25">
      <c r="AC776" s="122" t="s">
        <v>236</v>
      </c>
      <c r="AD776" s="122" t="s">
        <v>1174</v>
      </c>
      <c r="AE776" s="127">
        <v>1</v>
      </c>
      <c r="DA776" s="122" t="s">
        <v>300</v>
      </c>
      <c r="DB776" s="122" t="s">
        <v>4591</v>
      </c>
      <c r="DC776" s="122" t="s">
        <v>4591</v>
      </c>
      <c r="DD776" s="127">
        <v>7</v>
      </c>
      <c r="DE776" s="127">
        <v>7</v>
      </c>
      <c r="DG776" s="405" t="s">
        <v>300</v>
      </c>
      <c r="DH776" s="406" t="s">
        <v>4591</v>
      </c>
      <c r="DI776" s="406" t="str">
        <f t="shared" si="44"/>
        <v>CE, Saboeiro</v>
      </c>
      <c r="DJ776" s="406">
        <v>-6.5419999999999998</v>
      </c>
      <c r="DK776" s="80">
        <v>-39.906999999999996</v>
      </c>
      <c r="DL776" s="80">
        <v>291</v>
      </c>
      <c r="DM776" s="64">
        <v>7</v>
      </c>
      <c r="DN776" s="406" t="s">
        <v>6404</v>
      </c>
      <c r="DO776" s="406">
        <v>-6.36</v>
      </c>
      <c r="DP776" s="80">
        <v>233</v>
      </c>
    </row>
    <row r="777" spans="29:120" x14ac:dyDescent="0.25">
      <c r="AC777" s="122" t="s">
        <v>236</v>
      </c>
      <c r="AD777" s="122" t="s">
        <v>1175</v>
      </c>
      <c r="AE777" s="127">
        <v>1</v>
      </c>
      <c r="DA777" s="122" t="s">
        <v>300</v>
      </c>
      <c r="DB777" s="122" t="s">
        <v>2708</v>
      </c>
      <c r="DC777" s="122" t="s">
        <v>2708</v>
      </c>
      <c r="DD777" s="127">
        <v>7</v>
      </c>
      <c r="DE777" s="127">
        <v>7</v>
      </c>
      <c r="DG777" s="405" t="s">
        <v>300</v>
      </c>
      <c r="DH777" s="406" t="s">
        <v>2708</v>
      </c>
      <c r="DI777" s="406" t="str">
        <f t="shared" si="44"/>
        <v>CE, Salitre</v>
      </c>
      <c r="DJ777" s="406">
        <v>-7.2850000000000001</v>
      </c>
      <c r="DK777" s="80">
        <v>-40.457000000000001</v>
      </c>
      <c r="DL777" s="80">
        <v>680</v>
      </c>
      <c r="DM777" s="64">
        <v>7</v>
      </c>
      <c r="DN777" s="406" t="s">
        <v>6405</v>
      </c>
      <c r="DO777" s="406">
        <v>-7.08</v>
      </c>
      <c r="DP777" s="80">
        <v>572</v>
      </c>
    </row>
    <row r="778" spans="29:120" x14ac:dyDescent="0.25">
      <c r="AC778" s="122" t="s">
        <v>27</v>
      </c>
      <c r="AD778" s="122" t="s">
        <v>1176</v>
      </c>
      <c r="AE778" s="127">
        <v>1</v>
      </c>
      <c r="DA778" s="122" t="s">
        <v>300</v>
      </c>
      <c r="DB778" s="122" t="s">
        <v>6440</v>
      </c>
      <c r="DC778" s="122" t="s">
        <v>4698</v>
      </c>
      <c r="DD778" s="127">
        <v>7</v>
      </c>
      <c r="DE778" s="127">
        <v>7</v>
      </c>
      <c r="DG778" s="405" t="s">
        <v>300</v>
      </c>
      <c r="DH778" s="406" t="s">
        <v>4698</v>
      </c>
      <c r="DI778" s="406" t="str">
        <f t="shared" si="44"/>
        <v>CE, Santa Quitéria</v>
      </c>
      <c r="DJ778" s="406">
        <v>-4.3319999999999999</v>
      </c>
      <c r="DK778" s="80">
        <v>-40.156999999999996</v>
      </c>
      <c r="DL778" s="80">
        <v>197</v>
      </c>
      <c r="DM778" s="64">
        <v>7</v>
      </c>
      <c r="DN778" s="406" t="s">
        <v>6412</v>
      </c>
      <c r="DO778" s="406">
        <v>-5.19</v>
      </c>
      <c r="DP778" s="80">
        <v>291</v>
      </c>
    </row>
    <row r="779" spans="29:120" x14ac:dyDescent="0.25">
      <c r="AC779" s="122" t="s">
        <v>27</v>
      </c>
      <c r="AD779" s="122" t="s">
        <v>1177</v>
      </c>
      <c r="AE779" s="127">
        <v>2</v>
      </c>
      <c r="DA779" s="122" t="s">
        <v>300</v>
      </c>
      <c r="DB779" s="122" t="s">
        <v>6441</v>
      </c>
      <c r="DC779" s="122" t="s">
        <v>4643</v>
      </c>
      <c r="DD779" s="127">
        <v>7</v>
      </c>
      <c r="DE779" s="127">
        <v>7</v>
      </c>
      <c r="DG779" s="405" t="s">
        <v>300</v>
      </c>
      <c r="DH779" s="406" t="s">
        <v>4643</v>
      </c>
      <c r="DI779" s="406" t="str">
        <f t="shared" si="44"/>
        <v>CE, Santana do Acaraú</v>
      </c>
      <c r="DJ779" s="406">
        <v>-3.4609999999999999</v>
      </c>
      <c r="DK779" s="80">
        <v>-40.212000000000003</v>
      </c>
      <c r="DL779" s="80">
        <v>45</v>
      </c>
      <c r="DM779" s="64">
        <v>7</v>
      </c>
      <c r="DN779" s="406" t="s">
        <v>6403</v>
      </c>
      <c r="DO779" s="406">
        <v>-3.12</v>
      </c>
      <c r="DP779" s="80">
        <v>76</v>
      </c>
    </row>
    <row r="780" spans="29:120" x14ac:dyDescent="0.25">
      <c r="AC780" s="122" t="s">
        <v>27</v>
      </c>
      <c r="AD780" s="122" t="s">
        <v>1178</v>
      </c>
      <c r="AE780" s="127">
        <v>2</v>
      </c>
      <c r="DA780" s="122" t="s">
        <v>300</v>
      </c>
      <c r="DB780" s="122" t="s">
        <v>6442</v>
      </c>
      <c r="DC780" s="122" t="s">
        <v>5183</v>
      </c>
      <c r="DD780" s="127">
        <v>7</v>
      </c>
      <c r="DE780" s="127">
        <v>7</v>
      </c>
      <c r="DG780" s="405" t="s">
        <v>300</v>
      </c>
      <c r="DH780" s="406" t="s">
        <v>5183</v>
      </c>
      <c r="DI780" s="406" t="str">
        <f t="shared" si="44"/>
        <v>CE, Santana do Cariri</v>
      </c>
      <c r="DJ780" s="406">
        <v>-7.1879999999999997</v>
      </c>
      <c r="DK780" s="80">
        <v>-39.737000000000002</v>
      </c>
      <c r="DL780" s="80">
        <v>500</v>
      </c>
      <c r="DM780" s="64">
        <v>7</v>
      </c>
      <c r="DN780" s="406" t="s">
        <v>6401</v>
      </c>
      <c r="DO780" s="406">
        <v>-7.3</v>
      </c>
      <c r="DP780" s="80">
        <v>409</v>
      </c>
    </row>
    <row r="781" spans="29:120" x14ac:dyDescent="0.25">
      <c r="AC781" s="122" t="s">
        <v>27</v>
      </c>
      <c r="AD781" s="122" t="s">
        <v>1179</v>
      </c>
      <c r="AE781" s="127">
        <v>2</v>
      </c>
      <c r="DA781" s="122" t="s">
        <v>300</v>
      </c>
      <c r="DB781" s="122" t="s">
        <v>6443</v>
      </c>
      <c r="DC781" s="122" t="s">
        <v>4330</v>
      </c>
      <c r="DD781" s="127">
        <v>7</v>
      </c>
      <c r="DE781" s="127">
        <v>7</v>
      </c>
      <c r="DG781" s="405" t="s">
        <v>300</v>
      </c>
      <c r="DH781" s="406" t="s">
        <v>4330</v>
      </c>
      <c r="DI781" s="406" t="str">
        <f t="shared" si="44"/>
        <v>CE, São Benedito</v>
      </c>
      <c r="DJ781" s="406">
        <v>-4.0490000000000004</v>
      </c>
      <c r="DK781" s="80">
        <v>-40.865000000000002</v>
      </c>
      <c r="DL781" s="80">
        <v>901</v>
      </c>
      <c r="DM781" s="64">
        <v>7</v>
      </c>
      <c r="DN781" s="406" t="s">
        <v>6421</v>
      </c>
      <c r="DO781" s="406">
        <v>-4.2699999999999996</v>
      </c>
      <c r="DP781" s="80">
        <v>161</v>
      </c>
    </row>
    <row r="782" spans="29:120" x14ac:dyDescent="0.25">
      <c r="AC782" s="122" t="s">
        <v>236</v>
      </c>
      <c r="AD782" s="122" t="s">
        <v>1180</v>
      </c>
      <c r="AE782" s="127">
        <v>2</v>
      </c>
      <c r="DA782" s="122" t="s">
        <v>300</v>
      </c>
      <c r="DB782" s="122" t="s">
        <v>6444</v>
      </c>
      <c r="DC782" s="122" t="s">
        <v>4224</v>
      </c>
      <c r="DD782" s="127">
        <v>8</v>
      </c>
      <c r="DE782" s="127">
        <v>8</v>
      </c>
      <c r="DG782" s="405" t="s">
        <v>300</v>
      </c>
      <c r="DH782" s="406" t="s">
        <v>4224</v>
      </c>
      <c r="DI782" s="406" t="str">
        <f t="shared" si="44"/>
        <v>CE, São Gonçalo do Amarante</v>
      </c>
      <c r="DJ782" s="406">
        <v>-3.6059999999999999</v>
      </c>
      <c r="DK782" s="80">
        <v>-38.969000000000001</v>
      </c>
      <c r="DL782" s="80">
        <v>30</v>
      </c>
      <c r="DM782" s="64">
        <v>8</v>
      </c>
      <c r="DN782" s="406" t="s">
        <v>6410</v>
      </c>
      <c r="DO782" s="406">
        <v>-3.8</v>
      </c>
      <c r="DP782" s="80">
        <v>41</v>
      </c>
    </row>
    <row r="783" spans="29:120" x14ac:dyDescent="0.25">
      <c r="AC783" s="122" t="s">
        <v>236</v>
      </c>
      <c r="AD783" s="122" t="s">
        <v>1181</v>
      </c>
      <c r="AE783" s="127">
        <v>2</v>
      </c>
      <c r="DA783" s="122" t="s">
        <v>300</v>
      </c>
      <c r="DB783" s="122" t="s">
        <v>6445</v>
      </c>
      <c r="DC783" s="122" t="s">
        <v>5314</v>
      </c>
      <c r="DD783" s="127">
        <v>7</v>
      </c>
      <c r="DE783" s="127">
        <v>7</v>
      </c>
      <c r="DG783" s="405" t="s">
        <v>300</v>
      </c>
      <c r="DH783" s="406" t="s">
        <v>5314</v>
      </c>
      <c r="DI783" s="406" t="str">
        <f t="shared" si="44"/>
        <v>CE, São João do Jaguaribe</v>
      </c>
      <c r="DJ783" s="406">
        <v>-5.2709999999999999</v>
      </c>
      <c r="DK783" s="80">
        <v>-38.274000000000001</v>
      </c>
      <c r="DL783" s="80">
        <v>51</v>
      </c>
      <c r="DM783" s="64">
        <v>7</v>
      </c>
      <c r="DN783" s="406" t="s">
        <v>6407</v>
      </c>
      <c r="DO783" s="406">
        <v>-5.1100000000000003</v>
      </c>
      <c r="DP783" s="80">
        <v>44</v>
      </c>
    </row>
    <row r="784" spans="29:120" x14ac:dyDescent="0.25">
      <c r="AC784" s="122" t="s">
        <v>236</v>
      </c>
      <c r="AD784" s="122" t="s">
        <v>1182</v>
      </c>
      <c r="AE784" s="127">
        <v>2</v>
      </c>
      <c r="DA784" s="122" t="s">
        <v>300</v>
      </c>
      <c r="DB784" s="122" t="s">
        <v>6446</v>
      </c>
      <c r="DC784" s="122" t="s">
        <v>4358</v>
      </c>
      <c r="DD784" s="127">
        <v>8</v>
      </c>
      <c r="DE784" s="127">
        <v>8</v>
      </c>
      <c r="DG784" s="405" t="s">
        <v>300</v>
      </c>
      <c r="DH784" s="406" t="s">
        <v>4358</v>
      </c>
      <c r="DI784" s="406" t="str">
        <f t="shared" si="44"/>
        <v>CE, São Luís do Curu</v>
      </c>
      <c r="DJ784" s="406">
        <v>-3.67</v>
      </c>
      <c r="DK784" s="80">
        <v>-39.243000000000002</v>
      </c>
      <c r="DL784" s="80">
        <v>38</v>
      </c>
      <c r="DM784" s="64">
        <v>8</v>
      </c>
      <c r="DN784" s="406" t="s">
        <v>6408</v>
      </c>
      <c r="DO784" s="406">
        <v>-3.48</v>
      </c>
      <c r="DP784" s="80">
        <v>102</v>
      </c>
    </row>
    <row r="785" spans="29:120" x14ac:dyDescent="0.25">
      <c r="AC785" s="122" t="s">
        <v>27</v>
      </c>
      <c r="AD785" s="122" t="s">
        <v>1183</v>
      </c>
      <c r="AE785" s="127">
        <v>3</v>
      </c>
      <c r="DA785" s="122" t="s">
        <v>300</v>
      </c>
      <c r="DB785" s="122" t="s">
        <v>6447</v>
      </c>
      <c r="DC785" s="122" t="s">
        <v>4310</v>
      </c>
      <c r="DD785" s="127">
        <v>7</v>
      </c>
      <c r="DE785" s="127">
        <v>7</v>
      </c>
      <c r="DG785" s="405" t="s">
        <v>300</v>
      </c>
      <c r="DH785" s="406" t="s">
        <v>4310</v>
      </c>
      <c r="DI785" s="406" t="str">
        <f t="shared" si="44"/>
        <v>CE, Senador Pompeu</v>
      </c>
      <c r="DJ785" s="406">
        <v>-5.5880000000000001</v>
      </c>
      <c r="DK785" s="80">
        <v>-39.372</v>
      </c>
      <c r="DL785" s="80">
        <v>177</v>
      </c>
      <c r="DM785" s="64">
        <v>7</v>
      </c>
      <c r="DN785" s="406" t="s">
        <v>6415</v>
      </c>
      <c r="DO785" s="406">
        <v>-5.2</v>
      </c>
      <c r="DP785" s="80">
        <v>80</v>
      </c>
    </row>
    <row r="786" spans="29:120" x14ac:dyDescent="0.25">
      <c r="AC786" s="122" t="s">
        <v>236</v>
      </c>
      <c r="AD786" s="122" t="s">
        <v>1184</v>
      </c>
      <c r="AE786" s="127">
        <v>2</v>
      </c>
      <c r="DA786" s="122" t="s">
        <v>300</v>
      </c>
      <c r="DB786" s="122" t="s">
        <v>6448</v>
      </c>
      <c r="DC786" s="122" t="s">
        <v>4637</v>
      </c>
      <c r="DD786" s="127">
        <v>8</v>
      </c>
      <c r="DE786" s="127">
        <v>8</v>
      </c>
      <c r="DG786" s="405" t="s">
        <v>300</v>
      </c>
      <c r="DH786" s="406" t="s">
        <v>4637</v>
      </c>
      <c r="DI786" s="406" t="str">
        <f t="shared" si="44"/>
        <v>CE, Senador Sá</v>
      </c>
      <c r="DJ786" s="406">
        <v>-3.351</v>
      </c>
      <c r="DK786" s="80">
        <v>-40.463000000000001</v>
      </c>
      <c r="DL786" s="80">
        <v>87</v>
      </c>
      <c r="DM786" s="64">
        <v>8</v>
      </c>
      <c r="DN786" s="406" t="s">
        <v>6403</v>
      </c>
      <c r="DO786" s="406">
        <v>-3.12</v>
      </c>
      <c r="DP786" s="80">
        <v>76</v>
      </c>
    </row>
    <row r="787" spans="29:120" x14ac:dyDescent="0.25">
      <c r="AC787" s="122" t="s">
        <v>236</v>
      </c>
      <c r="AD787" s="122" t="s">
        <v>1185</v>
      </c>
      <c r="AE787" s="127">
        <v>1</v>
      </c>
      <c r="DA787" s="122" t="s">
        <v>300</v>
      </c>
      <c r="DB787" s="122" t="s">
        <v>4751</v>
      </c>
      <c r="DC787" s="122" t="s">
        <v>4751</v>
      </c>
      <c r="DD787" s="127">
        <v>7</v>
      </c>
      <c r="DE787" s="127">
        <v>7</v>
      </c>
      <c r="DG787" s="405" t="s">
        <v>300</v>
      </c>
      <c r="DH787" s="406" t="s">
        <v>4751</v>
      </c>
      <c r="DI787" s="406" t="str">
        <f t="shared" si="44"/>
        <v>CE, Sobral</v>
      </c>
      <c r="DJ787" s="406">
        <v>-3.6739999999999999</v>
      </c>
      <c r="DK787" s="80">
        <v>-40.238999999999997</v>
      </c>
      <c r="DL787" s="80">
        <v>69</v>
      </c>
      <c r="DM787" s="64">
        <v>7</v>
      </c>
      <c r="DN787" s="406" t="s">
        <v>6403</v>
      </c>
      <c r="DO787" s="406">
        <v>-3.12</v>
      </c>
      <c r="DP787" s="80">
        <v>76</v>
      </c>
    </row>
    <row r="788" spans="29:120" x14ac:dyDescent="0.25">
      <c r="AC788" s="122" t="s">
        <v>27</v>
      </c>
      <c r="AD788" s="122" t="s">
        <v>1186</v>
      </c>
      <c r="AE788" s="127">
        <v>3</v>
      </c>
      <c r="DA788" s="122" t="s">
        <v>300</v>
      </c>
      <c r="DB788" s="122" t="s">
        <v>5245</v>
      </c>
      <c r="DC788" s="122" t="s">
        <v>5245</v>
      </c>
      <c r="DD788" s="127">
        <v>7</v>
      </c>
      <c r="DE788" s="127">
        <v>7</v>
      </c>
      <c r="DG788" s="405" t="s">
        <v>300</v>
      </c>
      <c r="DH788" s="406" t="s">
        <v>5245</v>
      </c>
      <c r="DI788" s="406" t="str">
        <f t="shared" si="44"/>
        <v>CE, Solonópole</v>
      </c>
      <c r="DJ788" s="406">
        <v>-5.7329999999999997</v>
      </c>
      <c r="DK788" s="80">
        <v>-39.008000000000003</v>
      </c>
      <c r="DL788" s="80">
        <v>155</v>
      </c>
      <c r="DM788" s="64">
        <v>7</v>
      </c>
      <c r="DN788" s="406" t="s">
        <v>6423</v>
      </c>
      <c r="DO788" s="406">
        <v>-5.91</v>
      </c>
      <c r="DP788" s="80">
        <v>184</v>
      </c>
    </row>
    <row r="789" spans="29:120" x14ac:dyDescent="0.25">
      <c r="AC789" s="122" t="s">
        <v>27</v>
      </c>
      <c r="AD789" s="122" t="s">
        <v>1187</v>
      </c>
      <c r="AE789" s="127">
        <v>3</v>
      </c>
      <c r="DA789" s="122" t="s">
        <v>300</v>
      </c>
      <c r="DB789" s="122" t="s">
        <v>6449</v>
      </c>
      <c r="DC789" s="122" t="s">
        <v>4811</v>
      </c>
      <c r="DD789" s="127">
        <v>8</v>
      </c>
      <c r="DE789" s="127">
        <v>8</v>
      </c>
      <c r="DG789" s="405" t="s">
        <v>300</v>
      </c>
      <c r="DH789" s="406" t="s">
        <v>4811</v>
      </c>
      <c r="DI789" s="406" t="str">
        <f t="shared" si="44"/>
        <v>CE, Tabuleiro do Norte</v>
      </c>
      <c r="DJ789" s="406">
        <v>-5.2469999999999999</v>
      </c>
      <c r="DK789" s="80">
        <v>-38.131</v>
      </c>
      <c r="DL789" s="80">
        <v>39</v>
      </c>
      <c r="DM789" s="64">
        <v>8</v>
      </c>
      <c r="DN789" s="406" t="s">
        <v>6407</v>
      </c>
      <c r="DO789" s="406">
        <v>-5.1100000000000003</v>
      </c>
      <c r="DP789" s="80">
        <v>44</v>
      </c>
    </row>
    <row r="790" spans="29:120" x14ac:dyDescent="0.25">
      <c r="AC790" s="122" t="s">
        <v>236</v>
      </c>
      <c r="AD790" s="122" t="s">
        <v>1188</v>
      </c>
      <c r="AE790" s="127">
        <v>1</v>
      </c>
      <c r="DA790" s="122" t="s">
        <v>300</v>
      </c>
      <c r="DB790" s="122" t="s">
        <v>4641</v>
      </c>
      <c r="DC790" s="122" t="s">
        <v>4641</v>
      </c>
      <c r="DD790" s="127">
        <v>7</v>
      </c>
      <c r="DE790" s="127">
        <v>7</v>
      </c>
      <c r="DG790" s="405" t="s">
        <v>300</v>
      </c>
      <c r="DH790" s="406" t="s">
        <v>4641</v>
      </c>
      <c r="DI790" s="406" t="str">
        <f t="shared" si="44"/>
        <v>CE, Tamboril</v>
      </c>
      <c r="DJ790" s="406">
        <v>-4.8319999999999999</v>
      </c>
      <c r="DK790" s="80">
        <v>-40.320999999999998</v>
      </c>
      <c r="DL790" s="80">
        <v>322</v>
      </c>
      <c r="DM790" s="64">
        <v>7</v>
      </c>
      <c r="DN790" s="406" t="s">
        <v>6412</v>
      </c>
      <c r="DO790" s="406">
        <v>-5.19</v>
      </c>
      <c r="DP790" s="80">
        <v>291</v>
      </c>
    </row>
    <row r="791" spans="29:120" x14ac:dyDescent="0.25">
      <c r="AC791" s="122" t="s">
        <v>236</v>
      </c>
      <c r="AD791" s="122" t="s">
        <v>1189</v>
      </c>
      <c r="AE791" s="127">
        <v>2</v>
      </c>
      <c r="DA791" s="122" t="s">
        <v>300</v>
      </c>
      <c r="DB791" s="122" t="s">
        <v>5180</v>
      </c>
      <c r="DC791" s="122" t="s">
        <v>5180</v>
      </c>
      <c r="DD791" s="127">
        <v>7</v>
      </c>
      <c r="DE791" s="127">
        <v>7</v>
      </c>
      <c r="DG791" s="405" t="s">
        <v>300</v>
      </c>
      <c r="DH791" s="406" t="s">
        <v>5180</v>
      </c>
      <c r="DI791" s="406" t="str">
        <f t="shared" si="44"/>
        <v>CE, Tarrafas</v>
      </c>
      <c r="DJ791" s="406">
        <v>-6.6840000000000002</v>
      </c>
      <c r="DK791" s="80">
        <v>-39.761000000000003</v>
      </c>
      <c r="DL791" s="80">
        <v>280</v>
      </c>
      <c r="DM791" s="64">
        <v>7</v>
      </c>
      <c r="DN791" s="406" t="s">
        <v>6404</v>
      </c>
      <c r="DO791" s="406">
        <v>-6.36</v>
      </c>
      <c r="DP791" s="80">
        <v>233</v>
      </c>
    </row>
    <row r="792" spans="29:120" x14ac:dyDescent="0.25">
      <c r="AC792" s="122" t="s">
        <v>236</v>
      </c>
      <c r="AD792" s="122" t="s">
        <v>1190</v>
      </c>
      <c r="AE792" s="127">
        <v>2</v>
      </c>
      <c r="DA792" s="122" t="s">
        <v>300</v>
      </c>
      <c r="DB792" s="122" t="s">
        <v>5297</v>
      </c>
      <c r="DC792" s="122" t="s">
        <v>5297</v>
      </c>
      <c r="DD792" s="127">
        <v>7</v>
      </c>
      <c r="DE792" s="127">
        <v>7</v>
      </c>
      <c r="DG792" s="405" t="s">
        <v>300</v>
      </c>
      <c r="DH792" s="406" t="s">
        <v>5297</v>
      </c>
      <c r="DI792" s="406" t="str">
        <f t="shared" si="44"/>
        <v>CE, Tauá</v>
      </c>
      <c r="DJ792" s="406">
        <v>-6.0030000000000001</v>
      </c>
      <c r="DK792" s="80">
        <v>-40.292999999999999</v>
      </c>
      <c r="DL792" s="80">
        <v>402</v>
      </c>
      <c r="DM792" s="64">
        <v>7</v>
      </c>
      <c r="DN792" s="406" t="s">
        <v>6413</v>
      </c>
      <c r="DO792" s="406">
        <v>-6.02</v>
      </c>
      <c r="DP792" s="80">
        <v>415</v>
      </c>
    </row>
    <row r="793" spans="29:120" x14ac:dyDescent="0.25">
      <c r="AC793" s="122" t="s">
        <v>236</v>
      </c>
      <c r="AD793" s="122" t="s">
        <v>1191</v>
      </c>
      <c r="AE793" s="127">
        <v>2</v>
      </c>
      <c r="DA793" s="122" t="s">
        <v>300</v>
      </c>
      <c r="DB793" s="122" t="s">
        <v>4365</v>
      </c>
      <c r="DC793" s="122" t="s">
        <v>4365</v>
      </c>
      <c r="DD793" s="127">
        <v>8</v>
      </c>
      <c r="DE793" s="127">
        <v>8</v>
      </c>
      <c r="DG793" s="405" t="s">
        <v>300</v>
      </c>
      <c r="DH793" s="406" t="s">
        <v>4365</v>
      </c>
      <c r="DI793" s="406" t="str">
        <f t="shared" si="44"/>
        <v>CE, Tejuçuoca</v>
      </c>
      <c r="DJ793" s="406">
        <v>-3.9889999999999999</v>
      </c>
      <c r="DK793" s="80">
        <v>-39.581000000000003</v>
      </c>
      <c r="DL793" s="80">
        <v>140</v>
      </c>
      <c r="DM793" s="64">
        <v>8</v>
      </c>
      <c r="DN793" s="406" t="s">
        <v>6408</v>
      </c>
      <c r="DO793" s="406">
        <v>-3.48</v>
      </c>
      <c r="DP793" s="80">
        <v>102</v>
      </c>
    </row>
    <row r="794" spans="29:120" x14ac:dyDescent="0.25">
      <c r="AC794" s="122" t="s">
        <v>236</v>
      </c>
      <c r="AD794" s="122" t="s">
        <v>1192</v>
      </c>
      <c r="AE794" s="127">
        <v>2</v>
      </c>
      <c r="DA794" s="122" t="s">
        <v>300</v>
      </c>
      <c r="DB794" s="122" t="s">
        <v>4602</v>
      </c>
      <c r="DC794" s="122" t="s">
        <v>4602</v>
      </c>
      <c r="DD794" s="127">
        <v>7</v>
      </c>
      <c r="DE794" s="127">
        <v>7</v>
      </c>
      <c r="DG794" s="405" t="s">
        <v>300</v>
      </c>
      <c r="DH794" s="406" t="s">
        <v>4602</v>
      </c>
      <c r="DI794" s="406" t="str">
        <f t="shared" si="44"/>
        <v>CE, Tianguá</v>
      </c>
      <c r="DJ794" s="406">
        <v>-3.7320000000000002</v>
      </c>
      <c r="DK794" s="80">
        <v>-40.991999999999997</v>
      </c>
      <c r="DL794" s="80">
        <v>775</v>
      </c>
      <c r="DM794" s="64">
        <v>7</v>
      </c>
      <c r="DN794" s="406" t="s">
        <v>6421</v>
      </c>
      <c r="DO794" s="406">
        <v>-4.2699999999999996</v>
      </c>
      <c r="DP794" s="80">
        <v>161</v>
      </c>
    </row>
    <row r="795" spans="29:120" x14ac:dyDescent="0.25">
      <c r="AC795" s="122" t="s">
        <v>236</v>
      </c>
      <c r="AD795" s="122" t="s">
        <v>1193</v>
      </c>
      <c r="AE795" s="127">
        <v>1</v>
      </c>
      <c r="DA795" s="122" t="s">
        <v>300</v>
      </c>
      <c r="DB795" s="122" t="s">
        <v>4157</v>
      </c>
      <c r="DC795" s="122" t="s">
        <v>4157</v>
      </c>
      <c r="DD795" s="127">
        <v>8</v>
      </c>
      <c r="DE795" s="127">
        <v>8</v>
      </c>
      <c r="DG795" s="405" t="s">
        <v>300</v>
      </c>
      <c r="DH795" s="406" t="s">
        <v>4157</v>
      </c>
      <c r="DI795" s="406" t="str">
        <f t="shared" si="44"/>
        <v>CE, Trairi</v>
      </c>
      <c r="DJ795" s="406">
        <v>-3.278</v>
      </c>
      <c r="DK795" s="80">
        <v>-39.268999999999998</v>
      </c>
      <c r="DL795" s="80">
        <v>9</v>
      </c>
      <c r="DM795" s="64">
        <v>8</v>
      </c>
      <c r="DN795" s="406" t="s">
        <v>6408</v>
      </c>
      <c r="DO795" s="406">
        <v>-3.48</v>
      </c>
      <c r="DP795" s="80">
        <v>102</v>
      </c>
    </row>
    <row r="796" spans="29:120" x14ac:dyDescent="0.25">
      <c r="AC796" s="122" t="s">
        <v>236</v>
      </c>
      <c r="AD796" s="122" t="s">
        <v>1194</v>
      </c>
      <c r="AE796" s="127">
        <v>2</v>
      </c>
      <c r="DA796" s="122" t="s">
        <v>300</v>
      </c>
      <c r="DB796" s="122" t="s">
        <v>4251</v>
      </c>
      <c r="DC796" s="122" t="s">
        <v>4251</v>
      </c>
      <c r="DD796" s="127">
        <v>8</v>
      </c>
      <c r="DE796" s="127">
        <v>8</v>
      </c>
      <c r="DG796" s="405" t="s">
        <v>300</v>
      </c>
      <c r="DH796" s="406" t="s">
        <v>4251</v>
      </c>
      <c r="DI796" s="406" t="str">
        <f t="shared" si="44"/>
        <v>CE, Tururu</v>
      </c>
      <c r="DJ796" s="406">
        <v>-3.581</v>
      </c>
      <c r="DK796" s="80">
        <v>-39.436999999999998</v>
      </c>
      <c r="DL796" s="80">
        <v>103</v>
      </c>
      <c r="DM796" s="64">
        <v>8</v>
      </c>
      <c r="DN796" s="406" t="s">
        <v>6408</v>
      </c>
      <c r="DO796" s="406">
        <v>-3.48</v>
      </c>
      <c r="DP796" s="80">
        <v>102</v>
      </c>
    </row>
    <row r="797" spans="29:120" x14ac:dyDescent="0.25">
      <c r="AC797" s="122" t="s">
        <v>236</v>
      </c>
      <c r="AD797" s="122" t="s">
        <v>1195</v>
      </c>
      <c r="AE797" s="127">
        <v>2</v>
      </c>
      <c r="DA797" s="122" t="s">
        <v>300</v>
      </c>
      <c r="DB797" s="122" t="s">
        <v>4356</v>
      </c>
      <c r="DC797" s="122" t="s">
        <v>4356</v>
      </c>
      <c r="DD797" s="127">
        <v>7</v>
      </c>
      <c r="DE797" s="127">
        <v>7</v>
      </c>
      <c r="DG797" s="405" t="s">
        <v>300</v>
      </c>
      <c r="DH797" s="406" t="s">
        <v>4356</v>
      </c>
      <c r="DI797" s="406" t="str">
        <f t="shared" si="44"/>
        <v>CE, Ubajara</v>
      </c>
      <c r="DJ797" s="406">
        <v>-3.8540000000000001</v>
      </c>
      <c r="DK797" s="80">
        <v>-40.920999999999999</v>
      </c>
      <c r="DL797" s="80">
        <v>847</v>
      </c>
      <c r="DM797" s="64">
        <v>7</v>
      </c>
      <c r="DN797" s="406" t="s">
        <v>6421</v>
      </c>
      <c r="DO797" s="406">
        <v>-4.2699999999999996</v>
      </c>
      <c r="DP797" s="80">
        <v>161</v>
      </c>
    </row>
    <row r="798" spans="29:120" x14ac:dyDescent="0.25">
      <c r="AC798" s="122" t="s">
        <v>27</v>
      </c>
      <c r="AD798" s="122" t="s">
        <v>1196</v>
      </c>
      <c r="AE798" s="127">
        <v>2</v>
      </c>
      <c r="DA798" s="122" t="s">
        <v>300</v>
      </c>
      <c r="DB798" s="122" t="s">
        <v>5446</v>
      </c>
      <c r="DC798" s="122" t="s">
        <v>5446</v>
      </c>
      <c r="DD798" s="127">
        <v>7</v>
      </c>
      <c r="DE798" s="127">
        <v>7</v>
      </c>
      <c r="DG798" s="405" t="s">
        <v>300</v>
      </c>
      <c r="DH798" s="406" t="s">
        <v>5446</v>
      </c>
      <c r="DI798" s="406" t="str">
        <f t="shared" si="44"/>
        <v>CE, Umari</v>
      </c>
      <c r="DJ798" s="406">
        <v>-6.6479999999999997</v>
      </c>
      <c r="DK798" s="80">
        <v>-38.700000000000003</v>
      </c>
      <c r="DL798" s="80">
        <v>272</v>
      </c>
      <c r="DM798" s="64">
        <v>7</v>
      </c>
      <c r="DN798" s="406" t="s">
        <v>6414</v>
      </c>
      <c r="DO798" s="406">
        <v>-6.84</v>
      </c>
      <c r="DP798" s="80">
        <v>234</v>
      </c>
    </row>
    <row r="799" spans="29:120" x14ac:dyDescent="0.25">
      <c r="AC799" s="122" t="s">
        <v>236</v>
      </c>
      <c r="AD799" s="122" t="s">
        <v>1197</v>
      </c>
      <c r="AE799" s="127">
        <v>2</v>
      </c>
      <c r="DA799" s="122" t="s">
        <v>300</v>
      </c>
      <c r="DB799" s="122" t="s">
        <v>4348</v>
      </c>
      <c r="DC799" s="122" t="s">
        <v>4348</v>
      </c>
      <c r="DD799" s="127">
        <v>8</v>
      </c>
      <c r="DE799" s="127">
        <v>8</v>
      </c>
      <c r="DG799" s="405" t="s">
        <v>300</v>
      </c>
      <c r="DH799" s="406" t="s">
        <v>4348</v>
      </c>
      <c r="DI799" s="406" t="str">
        <f t="shared" si="44"/>
        <v>CE, Umirim</v>
      </c>
      <c r="DJ799" s="406">
        <v>-3.677</v>
      </c>
      <c r="DK799" s="80">
        <v>-39.35</v>
      </c>
      <c r="DL799" s="80">
        <v>65</v>
      </c>
      <c r="DM799" s="64">
        <v>8</v>
      </c>
      <c r="DN799" s="406" t="s">
        <v>6408</v>
      </c>
      <c r="DO799" s="406">
        <v>-3.48</v>
      </c>
      <c r="DP799" s="80">
        <v>102</v>
      </c>
    </row>
    <row r="800" spans="29:120" x14ac:dyDescent="0.25">
      <c r="AC800" s="122" t="s">
        <v>27</v>
      </c>
      <c r="AD800" s="122" t="s">
        <v>1198</v>
      </c>
      <c r="AE800" s="127">
        <v>3</v>
      </c>
      <c r="DA800" s="122" t="s">
        <v>300</v>
      </c>
      <c r="DB800" s="122" t="s">
        <v>4281</v>
      </c>
      <c r="DC800" s="122" t="s">
        <v>4281</v>
      </c>
      <c r="DD800" s="127">
        <v>8</v>
      </c>
      <c r="DE800" s="127">
        <v>8</v>
      </c>
      <c r="DG800" s="405" t="s">
        <v>300</v>
      </c>
      <c r="DH800" s="406" t="s">
        <v>4281</v>
      </c>
      <c r="DI800" s="406" t="str">
        <f t="shared" si="44"/>
        <v>CE, Uruburetama</v>
      </c>
      <c r="DJ800" s="406">
        <v>-3.625</v>
      </c>
      <c r="DK800" s="80">
        <v>-39.508000000000003</v>
      </c>
      <c r="DL800" s="80">
        <v>125</v>
      </c>
      <c r="DM800" s="64">
        <v>8</v>
      </c>
      <c r="DN800" s="406" t="s">
        <v>6408</v>
      </c>
      <c r="DO800" s="406">
        <v>-3.48</v>
      </c>
      <c r="DP800" s="80">
        <v>102</v>
      </c>
    </row>
    <row r="801" spans="29:120" x14ac:dyDescent="0.25">
      <c r="AC801" s="122" t="s">
        <v>27</v>
      </c>
      <c r="AD801" s="122" t="s">
        <v>1199</v>
      </c>
      <c r="AE801" s="127">
        <v>3</v>
      </c>
      <c r="DA801" s="122" t="s">
        <v>300</v>
      </c>
      <c r="DB801" s="122" t="s">
        <v>4635</v>
      </c>
      <c r="DC801" s="122" t="s">
        <v>4635</v>
      </c>
      <c r="DD801" s="127">
        <v>8</v>
      </c>
      <c r="DE801" s="127">
        <v>8</v>
      </c>
      <c r="DG801" s="405" t="s">
        <v>300</v>
      </c>
      <c r="DH801" s="406" t="s">
        <v>4635</v>
      </c>
      <c r="DI801" s="406" t="str">
        <f t="shared" si="44"/>
        <v>CE, Uruoca</v>
      </c>
      <c r="DJ801" s="406">
        <v>-3.3140000000000001</v>
      </c>
      <c r="DK801" s="80">
        <v>-40.557000000000002</v>
      </c>
      <c r="DL801" s="80">
        <v>81</v>
      </c>
      <c r="DM801" s="64">
        <v>8</v>
      </c>
      <c r="DN801" s="406" t="s">
        <v>6403</v>
      </c>
      <c r="DO801" s="406">
        <v>-3.12</v>
      </c>
      <c r="DP801" s="80">
        <v>76</v>
      </c>
    </row>
    <row r="802" spans="29:120" x14ac:dyDescent="0.25">
      <c r="AC802" s="122" t="s">
        <v>236</v>
      </c>
      <c r="AD802" s="122" t="s">
        <v>1200</v>
      </c>
      <c r="AE802" s="127">
        <v>2</v>
      </c>
      <c r="DA802" s="122" t="s">
        <v>300</v>
      </c>
      <c r="DB802" s="122" t="s">
        <v>4672</v>
      </c>
      <c r="DC802" s="122" t="s">
        <v>4672</v>
      </c>
      <c r="DD802" s="127">
        <v>7</v>
      </c>
      <c r="DE802" s="127">
        <v>7</v>
      </c>
      <c r="DG802" s="405" t="s">
        <v>300</v>
      </c>
      <c r="DH802" s="406" t="s">
        <v>4672</v>
      </c>
      <c r="DI802" s="406" t="str">
        <f t="shared" si="44"/>
        <v>CE, Varjota</v>
      </c>
      <c r="DJ802" s="406">
        <v>-4.194</v>
      </c>
      <c r="DK802" s="80">
        <v>-40.476999999999997</v>
      </c>
      <c r="DL802" s="80">
        <v>183</v>
      </c>
      <c r="DM802" s="64">
        <v>7</v>
      </c>
      <c r="DN802" s="406" t="s">
        <v>6412</v>
      </c>
      <c r="DO802" s="406">
        <v>-5.19</v>
      </c>
      <c r="DP802" s="80">
        <v>291</v>
      </c>
    </row>
    <row r="803" spans="29:120" x14ac:dyDescent="0.25">
      <c r="AC803" s="122" t="s">
        <v>27</v>
      </c>
      <c r="AD803" s="122" t="s">
        <v>1201</v>
      </c>
      <c r="AE803" s="127">
        <v>1</v>
      </c>
      <c r="DA803" s="122" t="s">
        <v>300</v>
      </c>
      <c r="DB803" s="122" t="s">
        <v>6450</v>
      </c>
      <c r="DC803" s="122" t="s">
        <v>5189</v>
      </c>
      <c r="DD803" s="127">
        <v>7</v>
      </c>
      <c r="DE803" s="127">
        <v>7</v>
      </c>
      <c r="DG803" s="405" t="s">
        <v>300</v>
      </c>
      <c r="DH803" s="406" t="s">
        <v>5189</v>
      </c>
      <c r="DI803" s="406" t="str">
        <f t="shared" si="44"/>
        <v>CE, Várzea Alegre</v>
      </c>
      <c r="DJ803" s="406">
        <v>-6.7889999999999997</v>
      </c>
      <c r="DK803" s="80">
        <v>-39.295999999999999</v>
      </c>
      <c r="DL803" s="80">
        <v>317</v>
      </c>
      <c r="DM803" s="64">
        <v>7</v>
      </c>
      <c r="DN803" s="406" t="s">
        <v>6404</v>
      </c>
      <c r="DO803" s="406">
        <v>-6.36</v>
      </c>
      <c r="DP803" s="80">
        <v>233</v>
      </c>
    </row>
    <row r="804" spans="29:120" x14ac:dyDescent="0.25">
      <c r="AC804" s="122" t="s">
        <v>236</v>
      </c>
      <c r="AD804" s="122" t="s">
        <v>1202</v>
      </c>
      <c r="AE804" s="127">
        <v>3</v>
      </c>
      <c r="DA804" s="122" t="s">
        <v>300</v>
      </c>
      <c r="DB804" s="122" t="s">
        <v>6451</v>
      </c>
      <c r="DC804" s="122" t="s">
        <v>4650</v>
      </c>
      <c r="DD804" s="127">
        <v>7</v>
      </c>
      <c r="DE804" s="127">
        <v>7</v>
      </c>
      <c r="DG804" s="405" t="s">
        <v>300</v>
      </c>
      <c r="DH804" s="406" t="s">
        <v>4650</v>
      </c>
      <c r="DI804" s="406" t="str">
        <f t="shared" si="44"/>
        <v>CE, Viçosa do Ceará</v>
      </c>
      <c r="DJ804" s="406">
        <v>-3.5619999999999998</v>
      </c>
      <c r="DK804" s="80">
        <v>-41.091999999999999</v>
      </c>
      <c r="DL804" s="80">
        <v>717</v>
      </c>
      <c r="DM804" s="64">
        <v>7</v>
      </c>
      <c r="DN804" s="406" t="s">
        <v>6416</v>
      </c>
      <c r="DO804" s="406">
        <v>-2.9</v>
      </c>
      <c r="DP804" s="80">
        <v>80</v>
      </c>
    </row>
    <row r="805" spans="29:120" x14ac:dyDescent="0.25">
      <c r="AC805" s="122" t="s">
        <v>236</v>
      </c>
      <c r="AD805" s="122" t="s">
        <v>1203</v>
      </c>
      <c r="AE805" s="127">
        <v>2</v>
      </c>
      <c r="DA805" s="122" t="s">
        <v>309</v>
      </c>
      <c r="DB805" s="122" t="s">
        <v>2186</v>
      </c>
      <c r="DC805" s="122" t="s">
        <v>2186</v>
      </c>
      <c r="DD805" s="127">
        <v>4</v>
      </c>
      <c r="DE805" s="127">
        <v>4</v>
      </c>
      <c r="DG805" s="405" t="s">
        <v>309</v>
      </c>
      <c r="DH805" s="406" t="s">
        <v>2186</v>
      </c>
      <c r="DI805" s="406" t="str">
        <f t="shared" si="44"/>
        <v>DF, Brasília</v>
      </c>
      <c r="DJ805" s="406">
        <v>-15.78</v>
      </c>
      <c r="DK805" s="80">
        <v>-47.93</v>
      </c>
      <c r="DL805" s="80">
        <v>1171</v>
      </c>
      <c r="DM805" s="64">
        <v>4</v>
      </c>
      <c r="DN805" s="406" t="s">
        <v>6452</v>
      </c>
      <c r="DO805" s="406">
        <v>-15.78</v>
      </c>
      <c r="DP805" s="80">
        <v>1160</v>
      </c>
    </row>
    <row r="806" spans="29:120" x14ac:dyDescent="0.25">
      <c r="AC806" s="122" t="s">
        <v>27</v>
      </c>
      <c r="AD806" s="122" t="s">
        <v>1204</v>
      </c>
      <c r="AE806" s="127">
        <v>3</v>
      </c>
      <c r="DA806" s="122" t="s">
        <v>317</v>
      </c>
      <c r="DB806" s="122" t="s">
        <v>6453</v>
      </c>
      <c r="DC806" s="122" t="s">
        <v>3458</v>
      </c>
      <c r="DD806" s="127">
        <v>5</v>
      </c>
      <c r="DE806" s="127">
        <v>5</v>
      </c>
      <c r="DG806" s="405" t="s">
        <v>317</v>
      </c>
      <c r="DH806" s="406" t="s">
        <v>3458</v>
      </c>
      <c r="DI806" s="406" t="str">
        <f t="shared" si="44"/>
        <v>ES, Afonso Cláudio</v>
      </c>
      <c r="DJ806" s="406">
        <v>-20.074000000000002</v>
      </c>
      <c r="DK806" s="80">
        <v>-41.124000000000002</v>
      </c>
      <c r="DL806" s="80">
        <v>370</v>
      </c>
      <c r="DM806" s="64">
        <v>5</v>
      </c>
      <c r="DN806" s="406" t="s">
        <v>6454</v>
      </c>
      <c r="DO806" s="406">
        <v>-19.989999999999998</v>
      </c>
      <c r="DP806" s="80">
        <v>998</v>
      </c>
    </row>
    <row r="807" spans="29:120" x14ac:dyDescent="0.25">
      <c r="AC807" s="122" t="s">
        <v>236</v>
      </c>
      <c r="AD807" s="122" t="s">
        <v>1205</v>
      </c>
      <c r="AE807" s="127">
        <v>2</v>
      </c>
      <c r="DA807" s="122" t="s">
        <v>317</v>
      </c>
      <c r="DB807" s="122" t="s">
        <v>6455</v>
      </c>
      <c r="DC807" s="122" t="s">
        <v>1867</v>
      </c>
      <c r="DD807" s="127">
        <v>5</v>
      </c>
      <c r="DE807" s="127">
        <v>5</v>
      </c>
      <c r="DG807" s="405" t="s">
        <v>317</v>
      </c>
      <c r="DH807" s="406" t="s">
        <v>1867</v>
      </c>
      <c r="DI807" s="406" t="str">
        <f t="shared" si="44"/>
        <v>ES, Água Doce do Norte</v>
      </c>
      <c r="DJ807" s="406">
        <v>-18.547000000000001</v>
      </c>
      <c r="DK807" s="80">
        <v>-40.978999999999999</v>
      </c>
      <c r="DL807" s="80">
        <v>194</v>
      </c>
      <c r="DM807" s="64">
        <v>5</v>
      </c>
      <c r="DN807" s="406" t="s">
        <v>6456</v>
      </c>
      <c r="DO807" s="406">
        <v>-18.78</v>
      </c>
      <c r="DP807" s="80">
        <v>214</v>
      </c>
    </row>
    <row r="808" spans="29:120" x14ac:dyDescent="0.25">
      <c r="AC808" s="122" t="s">
        <v>236</v>
      </c>
      <c r="AD808" s="122" t="s">
        <v>1206</v>
      </c>
      <c r="AE808" s="127">
        <v>2</v>
      </c>
      <c r="DA808" s="122" t="s">
        <v>317</v>
      </c>
      <c r="DB808" s="122" t="s">
        <v>6457</v>
      </c>
      <c r="DC808" s="122" t="s">
        <v>2412</v>
      </c>
      <c r="DD808" s="127">
        <v>8</v>
      </c>
      <c r="DE808" s="127">
        <v>8</v>
      </c>
      <c r="DG808" s="405" t="s">
        <v>317</v>
      </c>
      <c r="DH808" s="406" t="s">
        <v>2412</v>
      </c>
      <c r="DI808" s="406" t="str">
        <f t="shared" si="44"/>
        <v>ES, Águia Branca</v>
      </c>
      <c r="DJ808" s="406">
        <v>-18.983000000000001</v>
      </c>
      <c r="DK808" s="80">
        <v>-40.74</v>
      </c>
      <c r="DL808" s="80">
        <v>140</v>
      </c>
      <c r="DM808" s="64">
        <v>8</v>
      </c>
      <c r="DN808" s="406" t="s">
        <v>6456</v>
      </c>
      <c r="DO808" s="406">
        <v>-18.78</v>
      </c>
      <c r="DP808" s="80">
        <v>214</v>
      </c>
    </row>
    <row r="809" spans="29:120" x14ac:dyDescent="0.25">
      <c r="AC809" s="122" t="s">
        <v>27</v>
      </c>
      <c r="AD809" s="122" t="s">
        <v>1207</v>
      </c>
      <c r="AE809" s="127">
        <v>3</v>
      </c>
      <c r="DA809" s="122" t="s">
        <v>317</v>
      </c>
      <c r="DB809" s="122" t="s">
        <v>3539</v>
      </c>
      <c r="DC809" s="122" t="s">
        <v>3539</v>
      </c>
      <c r="DD809" s="127">
        <v>5</v>
      </c>
      <c r="DE809" s="127">
        <v>5</v>
      </c>
      <c r="DG809" s="405" t="s">
        <v>317</v>
      </c>
      <c r="DH809" s="406" t="s">
        <v>3539</v>
      </c>
      <c r="DI809" s="406" t="str">
        <f t="shared" si="44"/>
        <v>ES, Alegre</v>
      </c>
      <c r="DJ809" s="406">
        <v>-20.763999999999999</v>
      </c>
      <c r="DK809" s="80">
        <v>-41.533000000000001</v>
      </c>
      <c r="DL809" s="80">
        <v>254</v>
      </c>
      <c r="DM809" s="64">
        <v>5</v>
      </c>
      <c r="DN809" s="406" t="s">
        <v>6458</v>
      </c>
      <c r="DO809" s="406">
        <v>-20.76</v>
      </c>
      <c r="DP809" s="80">
        <v>138</v>
      </c>
    </row>
    <row r="810" spans="29:120" x14ac:dyDescent="0.25">
      <c r="AC810" s="122" t="s">
        <v>236</v>
      </c>
      <c r="AD810" s="122" t="s">
        <v>1208</v>
      </c>
      <c r="AE810" s="127">
        <v>2</v>
      </c>
      <c r="DA810" s="122" t="s">
        <v>317</v>
      </c>
      <c r="DB810" s="122" t="s">
        <v>6459</v>
      </c>
      <c r="DC810" s="122" t="s">
        <v>2012</v>
      </c>
      <c r="DD810" s="127">
        <v>8</v>
      </c>
      <c r="DE810" s="127">
        <v>8</v>
      </c>
      <c r="DG810" s="405" t="s">
        <v>317</v>
      </c>
      <c r="DH810" s="406" t="s">
        <v>2012</v>
      </c>
      <c r="DI810" s="406" t="str">
        <f t="shared" si="44"/>
        <v>ES, Alfredo Chaves</v>
      </c>
      <c r="DJ810" s="406">
        <v>-20.635000000000002</v>
      </c>
      <c r="DK810" s="80">
        <v>-40.75</v>
      </c>
      <c r="DL810" s="80">
        <v>17</v>
      </c>
      <c r="DM810" s="64">
        <v>8</v>
      </c>
      <c r="DN810" s="406" t="s">
        <v>6460</v>
      </c>
      <c r="DO810" s="406">
        <v>-20.64</v>
      </c>
      <c r="DP810" s="80">
        <v>35</v>
      </c>
    </row>
    <row r="811" spans="29:120" x14ac:dyDescent="0.25">
      <c r="AC811" s="122" t="s">
        <v>236</v>
      </c>
      <c r="AD811" s="122" t="s">
        <v>1209</v>
      </c>
      <c r="AE811" s="127">
        <v>2</v>
      </c>
      <c r="DA811" s="122" t="s">
        <v>317</v>
      </c>
      <c r="DB811" s="122" t="s">
        <v>6461</v>
      </c>
      <c r="DC811" s="122" t="s">
        <v>5054</v>
      </c>
      <c r="DD811" s="127">
        <v>5</v>
      </c>
      <c r="DE811" s="127">
        <v>5</v>
      </c>
      <c r="DG811" s="405" t="s">
        <v>317</v>
      </c>
      <c r="DH811" s="406" t="s">
        <v>5054</v>
      </c>
      <c r="DI811" s="406" t="str">
        <f t="shared" si="44"/>
        <v>ES, Alto Rio Novo</v>
      </c>
      <c r="DJ811" s="406">
        <v>-19.056000000000001</v>
      </c>
      <c r="DK811" s="80">
        <v>-41.017000000000003</v>
      </c>
      <c r="DL811" s="80">
        <v>540</v>
      </c>
      <c r="DM811" s="64">
        <v>5</v>
      </c>
      <c r="DN811" s="406" t="s">
        <v>6456</v>
      </c>
      <c r="DO811" s="406">
        <v>-18.78</v>
      </c>
      <c r="DP811" s="80">
        <v>214</v>
      </c>
    </row>
    <row r="812" spans="29:120" x14ac:dyDescent="0.25">
      <c r="AC812" s="122" t="s">
        <v>27</v>
      </c>
      <c r="AD812" s="122" t="s">
        <v>1210</v>
      </c>
      <c r="AE812" s="127">
        <v>5</v>
      </c>
      <c r="DA812" s="122" t="s">
        <v>317</v>
      </c>
      <c r="DB812" s="122" t="s">
        <v>1244</v>
      </c>
      <c r="DC812" s="122" t="s">
        <v>1244</v>
      </c>
      <c r="DD812" s="127">
        <v>8</v>
      </c>
      <c r="DE812" s="127">
        <v>8</v>
      </c>
      <c r="DG812" s="405" t="s">
        <v>317</v>
      </c>
      <c r="DH812" s="406" t="s">
        <v>1244</v>
      </c>
      <c r="DI812" s="406" t="str">
        <f t="shared" si="44"/>
        <v>ES, Anchieta</v>
      </c>
      <c r="DJ812" s="406">
        <v>-20.805</v>
      </c>
      <c r="DK812" s="80">
        <v>-40.645000000000003</v>
      </c>
      <c r="DL812" s="80">
        <v>2</v>
      </c>
      <c r="DM812" s="64">
        <v>8</v>
      </c>
      <c r="DN812" s="406" t="s">
        <v>6460</v>
      </c>
      <c r="DO812" s="406">
        <v>-20.64</v>
      </c>
      <c r="DP812" s="80">
        <v>35</v>
      </c>
    </row>
    <row r="813" spans="29:120" x14ac:dyDescent="0.25">
      <c r="AC813" s="122" t="s">
        <v>236</v>
      </c>
      <c r="AD813" s="122" t="s">
        <v>1211</v>
      </c>
      <c r="AE813" s="127">
        <v>2</v>
      </c>
      <c r="DA813" s="122" t="s">
        <v>317</v>
      </c>
      <c r="DB813" s="122" t="s">
        <v>3310</v>
      </c>
      <c r="DC813" s="122" t="s">
        <v>3310</v>
      </c>
      <c r="DD813" s="127">
        <v>5</v>
      </c>
      <c r="DE813" s="127">
        <v>5</v>
      </c>
      <c r="DG813" s="405" t="s">
        <v>317</v>
      </c>
      <c r="DH813" s="406" t="s">
        <v>3310</v>
      </c>
      <c r="DI813" s="406" t="str">
        <f t="shared" si="44"/>
        <v>ES, Apiacá</v>
      </c>
      <c r="DJ813" s="406">
        <v>-21.154</v>
      </c>
      <c r="DK813" s="80">
        <v>-41.567999999999998</v>
      </c>
      <c r="DL813" s="80">
        <v>70</v>
      </c>
      <c r="DM813" s="64">
        <v>5</v>
      </c>
      <c r="DN813" s="406" t="s">
        <v>6458</v>
      </c>
      <c r="DO813" s="406">
        <v>-20.76</v>
      </c>
      <c r="DP813" s="80">
        <v>138</v>
      </c>
    </row>
    <row r="814" spans="29:120" x14ac:dyDescent="0.25">
      <c r="AC814" s="122" t="s">
        <v>27</v>
      </c>
      <c r="AD814" s="122" t="s">
        <v>1212</v>
      </c>
      <c r="AE814" s="127">
        <v>2</v>
      </c>
      <c r="DA814" s="122" t="s">
        <v>317</v>
      </c>
      <c r="DB814" s="122" t="s">
        <v>1813</v>
      </c>
      <c r="DC814" s="122" t="s">
        <v>1813</v>
      </c>
      <c r="DD814" s="127">
        <v>8</v>
      </c>
      <c r="DE814" s="127">
        <v>8</v>
      </c>
      <c r="DG814" s="405" t="s">
        <v>317</v>
      </c>
      <c r="DH814" s="406" t="s">
        <v>1813</v>
      </c>
      <c r="DI814" s="406" t="str">
        <f t="shared" si="44"/>
        <v>ES, Aracruz</v>
      </c>
      <c r="DJ814" s="406">
        <v>-19.82</v>
      </c>
      <c r="DK814" s="80">
        <v>-40.273000000000003</v>
      </c>
      <c r="DL814" s="80">
        <v>60</v>
      </c>
      <c r="DM814" s="64">
        <v>8</v>
      </c>
      <c r="DN814" s="406" t="s">
        <v>6454</v>
      </c>
      <c r="DO814" s="406">
        <v>-19.989999999999998</v>
      </c>
      <c r="DP814" s="80">
        <v>998</v>
      </c>
    </row>
    <row r="815" spans="29:120" x14ac:dyDescent="0.25">
      <c r="AC815" s="122" t="s">
        <v>236</v>
      </c>
      <c r="AD815" s="122" t="s">
        <v>1213</v>
      </c>
      <c r="AE815" s="127">
        <v>1</v>
      </c>
      <c r="DA815" s="122" t="s">
        <v>317</v>
      </c>
      <c r="DB815" s="122" t="s">
        <v>6462</v>
      </c>
      <c r="DC815" s="122" t="s">
        <v>3177</v>
      </c>
      <c r="DD815" s="127">
        <v>8</v>
      </c>
      <c r="DE815" s="127">
        <v>8</v>
      </c>
      <c r="DG815" s="405" t="s">
        <v>317</v>
      </c>
      <c r="DH815" s="406" t="s">
        <v>5719</v>
      </c>
      <c r="DI815" s="406" t="str">
        <f t="shared" si="44"/>
        <v>ES, Atilio Vivacqua</v>
      </c>
      <c r="DJ815" s="406">
        <v>-20.914000000000001</v>
      </c>
      <c r="DK815" s="80">
        <v>-41.198</v>
      </c>
      <c r="DL815" s="80">
        <v>85</v>
      </c>
      <c r="DM815" s="64">
        <v>8</v>
      </c>
      <c r="DN815" s="406" t="s">
        <v>6463</v>
      </c>
      <c r="DO815" s="406">
        <v>-21.1</v>
      </c>
      <c r="DP815" s="80">
        <v>80</v>
      </c>
    </row>
    <row r="816" spans="29:120" x14ac:dyDescent="0.25">
      <c r="AC816" s="122" t="s">
        <v>236</v>
      </c>
      <c r="AD816" s="122" t="s">
        <v>1214</v>
      </c>
      <c r="AE816" s="127">
        <v>2</v>
      </c>
      <c r="DA816" s="122" t="s">
        <v>317</v>
      </c>
      <c r="DB816" s="122" t="s">
        <v>6464</v>
      </c>
      <c r="DC816" s="122" t="s">
        <v>5071</v>
      </c>
      <c r="DD816" s="127">
        <v>5</v>
      </c>
      <c r="DE816" s="127">
        <v>5</v>
      </c>
      <c r="DG816" s="405" t="s">
        <v>317</v>
      </c>
      <c r="DH816" s="406" t="s">
        <v>5071</v>
      </c>
      <c r="DI816" s="406" t="str">
        <f t="shared" si="44"/>
        <v>ES, Baixo Guandu</v>
      </c>
      <c r="DJ816" s="406">
        <v>-19.518999999999998</v>
      </c>
      <c r="DK816" s="80">
        <v>-41.015999999999998</v>
      </c>
      <c r="DL816" s="80">
        <v>77</v>
      </c>
      <c r="DM816" s="64">
        <v>5</v>
      </c>
      <c r="DN816" s="406" t="s">
        <v>6465</v>
      </c>
      <c r="DO816" s="406">
        <v>-19.5</v>
      </c>
      <c r="DP816" s="80">
        <v>84</v>
      </c>
    </row>
    <row r="817" spans="29:120" x14ac:dyDescent="0.25">
      <c r="AC817" s="122" t="s">
        <v>27</v>
      </c>
      <c r="AD817" s="122" t="s">
        <v>1215</v>
      </c>
      <c r="AE817" s="127">
        <v>3</v>
      </c>
      <c r="DA817" s="122" t="s">
        <v>317</v>
      </c>
      <c r="DB817" s="122" t="s">
        <v>6466</v>
      </c>
      <c r="DC817" s="122" t="s">
        <v>1863</v>
      </c>
      <c r="DD817" s="127">
        <v>5</v>
      </c>
      <c r="DE817" s="127">
        <v>5</v>
      </c>
      <c r="DG817" s="405" t="s">
        <v>317</v>
      </c>
      <c r="DH817" s="406" t="s">
        <v>1863</v>
      </c>
      <c r="DI817" s="406" t="str">
        <f t="shared" si="44"/>
        <v>ES, Barra de São Francisco</v>
      </c>
      <c r="DJ817" s="406">
        <v>-18.754999999999999</v>
      </c>
      <c r="DK817" s="80">
        <v>-40.890999999999998</v>
      </c>
      <c r="DL817" s="80">
        <v>192</v>
      </c>
      <c r="DM817" s="64">
        <v>5</v>
      </c>
      <c r="DN817" s="406" t="s">
        <v>6456</v>
      </c>
      <c r="DO817" s="406">
        <v>-18.78</v>
      </c>
      <c r="DP817" s="80">
        <v>214</v>
      </c>
    </row>
    <row r="818" spans="29:120" x14ac:dyDescent="0.25">
      <c r="AC818" s="122" t="s">
        <v>27</v>
      </c>
      <c r="AD818" s="122" t="s">
        <v>1216</v>
      </c>
      <c r="AE818" s="127">
        <v>3</v>
      </c>
      <c r="DA818" s="122" t="s">
        <v>317</v>
      </c>
      <c r="DB818" s="122" t="s">
        <v>6467</v>
      </c>
      <c r="DC818" s="122" t="s">
        <v>588</v>
      </c>
      <c r="DD818" s="127">
        <v>8</v>
      </c>
      <c r="DE818" s="127">
        <v>8</v>
      </c>
      <c r="DG818" s="405" t="s">
        <v>317</v>
      </c>
      <c r="DH818" s="406" t="s">
        <v>588</v>
      </c>
      <c r="DI818" s="406" t="str">
        <f t="shared" si="44"/>
        <v>ES, Boa Esperança</v>
      </c>
      <c r="DJ818" s="406">
        <v>-18.54</v>
      </c>
      <c r="DK818" s="80">
        <v>-40.295999999999999</v>
      </c>
      <c r="DL818" s="80">
        <v>140</v>
      </c>
      <c r="DM818" s="64">
        <v>8</v>
      </c>
      <c r="DN818" s="406" t="s">
        <v>6468</v>
      </c>
      <c r="DO818" s="406">
        <v>-18.7</v>
      </c>
      <c r="DP818" s="80">
        <v>154</v>
      </c>
    </row>
    <row r="819" spans="29:120" x14ac:dyDescent="0.25">
      <c r="AC819" s="122" t="s">
        <v>236</v>
      </c>
      <c r="AD819" s="122" t="s">
        <v>1217</v>
      </c>
      <c r="AE819" s="127">
        <v>2</v>
      </c>
      <c r="DA819" s="122" t="s">
        <v>317</v>
      </c>
      <c r="DB819" s="122" t="s">
        <v>6469</v>
      </c>
      <c r="DC819" s="122" t="s">
        <v>3368</v>
      </c>
      <c r="DD819" s="127">
        <v>5</v>
      </c>
      <c r="DE819" s="127">
        <v>5</v>
      </c>
      <c r="DG819" s="405" t="s">
        <v>317</v>
      </c>
      <c r="DH819" s="406" t="s">
        <v>3368</v>
      </c>
      <c r="DI819" s="406" t="str">
        <f t="shared" si="44"/>
        <v>ES, Bom Jesus do Norte</v>
      </c>
      <c r="DJ819" s="406">
        <v>-21.114000000000001</v>
      </c>
      <c r="DK819" s="80">
        <v>-41.671999999999997</v>
      </c>
      <c r="DL819" s="80">
        <v>70</v>
      </c>
      <c r="DM819" s="64">
        <v>5</v>
      </c>
      <c r="DN819" s="406" t="s">
        <v>6458</v>
      </c>
      <c r="DO819" s="406">
        <v>-20.76</v>
      </c>
      <c r="DP819" s="80">
        <v>138</v>
      </c>
    </row>
    <row r="820" spans="29:120" x14ac:dyDescent="0.25">
      <c r="AC820" s="122" t="s">
        <v>236</v>
      </c>
      <c r="AD820" s="122" t="s">
        <v>1218</v>
      </c>
      <c r="AE820" s="127">
        <v>2</v>
      </c>
      <c r="DA820" s="122" t="s">
        <v>317</v>
      </c>
      <c r="DB820" s="122" t="s">
        <v>3450</v>
      </c>
      <c r="DC820" s="122" t="s">
        <v>3450</v>
      </c>
      <c r="DD820" s="127">
        <v>5</v>
      </c>
      <c r="DE820" s="127">
        <v>5</v>
      </c>
      <c r="DG820" s="405" t="s">
        <v>317</v>
      </c>
      <c r="DH820" s="406" t="s">
        <v>3450</v>
      </c>
      <c r="DI820" s="406" t="str">
        <f t="shared" si="44"/>
        <v>ES, Brejetuba</v>
      </c>
      <c r="DJ820" s="406">
        <v>-20.146000000000001</v>
      </c>
      <c r="DK820" s="80">
        <v>-41.29</v>
      </c>
      <c r="DL820" s="80">
        <v>780</v>
      </c>
      <c r="DM820" s="64">
        <v>5</v>
      </c>
      <c r="DN820" s="406" t="s">
        <v>6458</v>
      </c>
      <c r="DO820" s="406">
        <v>-20.76</v>
      </c>
      <c r="DP820" s="80">
        <v>138</v>
      </c>
    </row>
    <row r="821" spans="29:120" x14ac:dyDescent="0.25">
      <c r="AC821" s="122" t="s">
        <v>236</v>
      </c>
      <c r="AD821" s="122" t="s">
        <v>1219</v>
      </c>
      <c r="AE821" s="127">
        <v>2</v>
      </c>
      <c r="DA821" s="122" t="s">
        <v>317</v>
      </c>
      <c r="DB821" s="122" t="s">
        <v>6470</v>
      </c>
      <c r="DC821" s="122" t="s">
        <v>3148</v>
      </c>
      <c r="DD821" s="127">
        <v>8</v>
      </c>
      <c r="DE821" s="127">
        <v>8</v>
      </c>
      <c r="DG821" s="405" t="s">
        <v>317</v>
      </c>
      <c r="DH821" s="406" t="s">
        <v>3148</v>
      </c>
      <c r="DI821" s="406" t="str">
        <f t="shared" si="44"/>
        <v>ES, Cachoeiro de Itapemirim</v>
      </c>
      <c r="DJ821" s="406">
        <v>-20.849</v>
      </c>
      <c r="DK821" s="80">
        <v>-41.113</v>
      </c>
      <c r="DL821" s="80">
        <v>36</v>
      </c>
      <c r="DM821" s="64">
        <v>8</v>
      </c>
      <c r="DN821" s="406" t="s">
        <v>6463</v>
      </c>
      <c r="DO821" s="406">
        <v>-21.1</v>
      </c>
      <c r="DP821" s="80">
        <v>80</v>
      </c>
    </row>
    <row r="822" spans="29:120" x14ac:dyDescent="0.25">
      <c r="AC822" s="122" t="s">
        <v>27</v>
      </c>
      <c r="AD822" s="122" t="s">
        <v>1220</v>
      </c>
      <c r="AE822" s="127">
        <v>3</v>
      </c>
      <c r="DA822" s="122" t="s">
        <v>317</v>
      </c>
      <c r="DB822" s="122" t="s">
        <v>1866</v>
      </c>
      <c r="DC822" s="122" t="s">
        <v>1866</v>
      </c>
      <c r="DD822" s="127">
        <v>8</v>
      </c>
      <c r="DE822" s="127">
        <v>8</v>
      </c>
      <c r="DG822" s="405" t="s">
        <v>317</v>
      </c>
      <c r="DH822" s="406" t="s">
        <v>1866</v>
      </c>
      <c r="DI822" s="406" t="str">
        <f t="shared" si="44"/>
        <v>ES, Cariacica</v>
      </c>
      <c r="DJ822" s="406">
        <v>-20.263999999999999</v>
      </c>
      <c r="DK822" s="80">
        <v>-40.42</v>
      </c>
      <c r="DL822" s="80">
        <v>73</v>
      </c>
      <c r="DM822" s="64">
        <v>8</v>
      </c>
      <c r="DN822" s="406" t="s">
        <v>6471</v>
      </c>
      <c r="DO822" s="406">
        <v>-20.32</v>
      </c>
      <c r="DP822" s="80">
        <v>9</v>
      </c>
    </row>
    <row r="823" spans="29:120" x14ac:dyDescent="0.25">
      <c r="AC823" s="122" t="s">
        <v>27</v>
      </c>
      <c r="AD823" s="122" t="s">
        <v>1221</v>
      </c>
      <c r="AE823" s="127">
        <v>3</v>
      </c>
      <c r="DA823" s="122" t="s">
        <v>317</v>
      </c>
      <c r="DB823" s="122" t="s">
        <v>3262</v>
      </c>
      <c r="DC823" s="122" t="s">
        <v>3262</v>
      </c>
      <c r="DD823" s="127">
        <v>8</v>
      </c>
      <c r="DE823" s="127">
        <v>8</v>
      </c>
      <c r="DG823" s="405" t="s">
        <v>317</v>
      </c>
      <c r="DH823" s="406" t="s">
        <v>3262</v>
      </c>
      <c r="DI823" s="406" t="str">
        <f t="shared" si="44"/>
        <v>ES, Castelo</v>
      </c>
      <c r="DJ823" s="406">
        <v>-20.603999999999999</v>
      </c>
      <c r="DK823" s="80">
        <v>-41.185000000000002</v>
      </c>
      <c r="DL823" s="80">
        <v>100</v>
      </c>
      <c r="DM823" s="64">
        <v>8</v>
      </c>
      <c r="DN823" s="406" t="s">
        <v>6458</v>
      </c>
      <c r="DO823" s="406">
        <v>-20.76</v>
      </c>
      <c r="DP823" s="80">
        <v>138</v>
      </c>
    </row>
    <row r="824" spans="29:120" x14ac:dyDescent="0.25">
      <c r="AC824" s="122" t="s">
        <v>236</v>
      </c>
      <c r="AD824" s="122" t="s">
        <v>1222</v>
      </c>
      <c r="AE824" s="127">
        <v>2</v>
      </c>
      <c r="DA824" s="122" t="s">
        <v>317</v>
      </c>
      <c r="DB824" s="122" t="s">
        <v>1812</v>
      </c>
      <c r="DC824" s="122" t="s">
        <v>1812</v>
      </c>
      <c r="DD824" s="127">
        <v>8</v>
      </c>
      <c r="DE824" s="127">
        <v>8</v>
      </c>
      <c r="DG824" s="405" t="s">
        <v>317</v>
      </c>
      <c r="DH824" s="406" t="s">
        <v>1812</v>
      </c>
      <c r="DI824" s="406" t="str">
        <f t="shared" si="44"/>
        <v>ES, Colatina</v>
      </c>
      <c r="DJ824" s="406">
        <v>-19.539000000000001</v>
      </c>
      <c r="DK824" s="80">
        <v>-40.631</v>
      </c>
      <c r="DL824" s="80">
        <v>38</v>
      </c>
      <c r="DM824" s="64">
        <v>8</v>
      </c>
      <c r="DN824" s="406" t="s">
        <v>6465</v>
      </c>
      <c r="DO824" s="406">
        <v>-19.5</v>
      </c>
      <c r="DP824" s="80">
        <v>84</v>
      </c>
    </row>
    <row r="825" spans="29:120" x14ac:dyDescent="0.25">
      <c r="AC825" s="122" t="s">
        <v>27</v>
      </c>
      <c r="AD825" s="122" t="s">
        <v>1223</v>
      </c>
      <c r="AE825" s="127">
        <v>3</v>
      </c>
      <c r="DA825" s="122" t="s">
        <v>317</v>
      </c>
      <c r="DB825" s="122" t="s">
        <v>6472</v>
      </c>
      <c r="DC825" s="122" t="s">
        <v>1809</v>
      </c>
      <c r="DD825" s="127">
        <v>8</v>
      </c>
      <c r="DE825" s="127">
        <v>8</v>
      </c>
      <c r="DG825" s="405" t="s">
        <v>317</v>
      </c>
      <c r="DH825" s="406" t="s">
        <v>1809</v>
      </c>
      <c r="DI825" s="406" t="str">
        <f t="shared" si="44"/>
        <v>ES, Conceição da Barra</v>
      </c>
      <c r="DJ825" s="406">
        <v>-18.593</v>
      </c>
      <c r="DK825" s="80">
        <v>-39.731999999999999</v>
      </c>
      <c r="DL825" s="80">
        <v>2</v>
      </c>
      <c r="DM825" s="64">
        <v>8</v>
      </c>
      <c r="DN825" s="406" t="s">
        <v>6473</v>
      </c>
      <c r="DO825" s="406">
        <v>-18.72</v>
      </c>
      <c r="DP825" s="80">
        <v>39</v>
      </c>
    </row>
    <row r="826" spans="29:120" x14ac:dyDescent="0.25">
      <c r="AC826" s="122" t="s">
        <v>236</v>
      </c>
      <c r="AD826" s="122" t="s">
        <v>1224</v>
      </c>
      <c r="AE826" s="127">
        <v>2</v>
      </c>
      <c r="DA826" s="122" t="s">
        <v>317</v>
      </c>
      <c r="DB826" s="122" t="s">
        <v>6474</v>
      </c>
      <c r="DC826" s="122" t="s">
        <v>570</v>
      </c>
      <c r="DD826" s="127">
        <v>5</v>
      </c>
      <c r="DE826" s="127">
        <v>5</v>
      </c>
      <c r="DG826" s="405" t="s">
        <v>317</v>
      </c>
      <c r="DH826" s="406" t="s">
        <v>570</v>
      </c>
      <c r="DI826" s="406" t="str">
        <f t="shared" si="44"/>
        <v>ES, Conceição do Castelo</v>
      </c>
      <c r="DJ826" s="406">
        <v>-20.367999999999999</v>
      </c>
      <c r="DK826" s="80">
        <v>-41.244</v>
      </c>
      <c r="DL826" s="80">
        <v>610</v>
      </c>
      <c r="DM826" s="64">
        <v>5</v>
      </c>
      <c r="DN826" s="406" t="s">
        <v>6458</v>
      </c>
      <c r="DO826" s="406">
        <v>-20.76</v>
      </c>
      <c r="DP826" s="80">
        <v>138</v>
      </c>
    </row>
    <row r="827" spans="29:120" x14ac:dyDescent="0.25">
      <c r="AC827" s="122" t="s">
        <v>236</v>
      </c>
      <c r="AD827" s="122" t="s">
        <v>1225</v>
      </c>
      <c r="AE827" s="127">
        <v>2</v>
      </c>
      <c r="DA827" s="122" t="s">
        <v>317</v>
      </c>
      <c r="DB827" s="122" t="s">
        <v>6475</v>
      </c>
      <c r="DC827" s="122" t="s">
        <v>3487</v>
      </c>
      <c r="DD827" s="127">
        <v>3</v>
      </c>
      <c r="DE827" s="127">
        <v>3</v>
      </c>
      <c r="DG827" s="405" t="s">
        <v>317</v>
      </c>
      <c r="DH827" s="406" t="s">
        <v>3487</v>
      </c>
      <c r="DI827" s="406" t="str">
        <f t="shared" si="44"/>
        <v>ES, Divino de São Lourenço</v>
      </c>
      <c r="DJ827" s="406">
        <v>-20.62</v>
      </c>
      <c r="DK827" s="80">
        <v>-41.686</v>
      </c>
      <c r="DL827" s="80">
        <v>680</v>
      </c>
      <c r="DM827" s="64">
        <v>3</v>
      </c>
      <c r="DN827" s="406" t="s">
        <v>6458</v>
      </c>
      <c r="DO827" s="406">
        <v>-20.76</v>
      </c>
      <c r="DP827" s="80">
        <v>138</v>
      </c>
    </row>
    <row r="828" spans="29:120" x14ac:dyDescent="0.25">
      <c r="AC828" s="122" t="s">
        <v>236</v>
      </c>
      <c r="AD828" s="122" t="s">
        <v>1226</v>
      </c>
      <c r="AE828" s="127">
        <v>2</v>
      </c>
      <c r="DA828" s="122" t="s">
        <v>317</v>
      </c>
      <c r="DB828" s="122" t="s">
        <v>6476</v>
      </c>
      <c r="DC828" s="122" t="s">
        <v>2461</v>
      </c>
      <c r="DD828" s="127">
        <v>8</v>
      </c>
      <c r="DE828" s="127">
        <v>8</v>
      </c>
      <c r="DG828" s="405" t="s">
        <v>317</v>
      </c>
      <c r="DH828" s="406" t="s">
        <v>2461</v>
      </c>
      <c r="DI828" s="406" t="str">
        <f t="shared" si="44"/>
        <v>ES, Domingos Martins</v>
      </c>
      <c r="DJ828" s="406">
        <v>-20.363</v>
      </c>
      <c r="DK828" s="80">
        <v>-40.658999999999999</v>
      </c>
      <c r="DL828" s="80">
        <v>620</v>
      </c>
      <c r="DM828" s="64">
        <v>8</v>
      </c>
      <c r="DN828" s="406" t="s">
        <v>6460</v>
      </c>
      <c r="DO828" s="406">
        <v>-20.64</v>
      </c>
      <c r="DP828" s="80">
        <v>35</v>
      </c>
    </row>
    <row r="829" spans="29:120" x14ac:dyDescent="0.25">
      <c r="AC829" s="122" t="s">
        <v>236</v>
      </c>
      <c r="AD829" s="122" t="s">
        <v>1227</v>
      </c>
      <c r="AE829" s="127">
        <v>1</v>
      </c>
      <c r="DA829" s="122" t="s">
        <v>317</v>
      </c>
      <c r="DB829" s="122" t="s">
        <v>6477</v>
      </c>
      <c r="DC829" s="122" t="s">
        <v>3493</v>
      </c>
      <c r="DD829" s="127">
        <v>3</v>
      </c>
      <c r="DE829" s="127">
        <v>3</v>
      </c>
      <c r="DG829" s="405" t="s">
        <v>317</v>
      </c>
      <c r="DH829" s="406" t="s">
        <v>3493</v>
      </c>
      <c r="DI829" s="406" t="str">
        <f t="shared" si="44"/>
        <v>ES, Dores do Rio Preto</v>
      </c>
      <c r="DJ829" s="406">
        <v>-20.689</v>
      </c>
      <c r="DK829" s="80">
        <v>-41.844999999999999</v>
      </c>
      <c r="DL829" s="80">
        <v>770</v>
      </c>
      <c r="DM829" s="64">
        <v>3</v>
      </c>
      <c r="DN829" s="406" t="s">
        <v>6478</v>
      </c>
      <c r="DO829" s="406">
        <v>-20.73</v>
      </c>
      <c r="DP829" s="80">
        <v>399</v>
      </c>
    </row>
    <row r="830" spans="29:120" x14ac:dyDescent="0.25">
      <c r="AC830" s="122" t="s">
        <v>236</v>
      </c>
      <c r="AD830" s="122" t="s">
        <v>1228</v>
      </c>
      <c r="AE830" s="127">
        <v>2</v>
      </c>
      <c r="DA830" s="122" t="s">
        <v>317</v>
      </c>
      <c r="DB830" s="122" t="s">
        <v>1911</v>
      </c>
      <c r="DC830" s="122" t="s">
        <v>1911</v>
      </c>
      <c r="DD830" s="127">
        <v>8</v>
      </c>
      <c r="DE830" s="127">
        <v>8</v>
      </c>
      <c r="DG830" s="405" t="s">
        <v>317</v>
      </c>
      <c r="DH830" s="406" t="s">
        <v>1911</v>
      </c>
      <c r="DI830" s="406" t="str">
        <f t="shared" si="44"/>
        <v>ES, Ecoporanga</v>
      </c>
      <c r="DJ830" s="406">
        <v>-18.373000000000001</v>
      </c>
      <c r="DK830" s="80">
        <v>-40.831000000000003</v>
      </c>
      <c r="DL830" s="80">
        <v>260</v>
      </c>
      <c r="DM830" s="64">
        <v>8</v>
      </c>
      <c r="DN830" s="406" t="s">
        <v>6456</v>
      </c>
      <c r="DO830" s="406">
        <v>-18.78</v>
      </c>
      <c r="DP830" s="80">
        <v>214</v>
      </c>
    </row>
    <row r="831" spans="29:120" x14ac:dyDescent="0.25">
      <c r="AC831" s="122" t="s">
        <v>27</v>
      </c>
      <c r="AD831" s="122" t="s">
        <v>1229</v>
      </c>
      <c r="AE831" s="127">
        <v>3</v>
      </c>
      <c r="DA831" s="122" t="s">
        <v>317</v>
      </c>
      <c r="DB831" s="122" t="s">
        <v>1857</v>
      </c>
      <c r="DC831" s="122" t="s">
        <v>1857</v>
      </c>
      <c r="DD831" s="127">
        <v>8</v>
      </c>
      <c r="DE831" s="127">
        <v>8</v>
      </c>
      <c r="DG831" s="405" t="s">
        <v>317</v>
      </c>
      <c r="DH831" s="406" t="s">
        <v>1857</v>
      </c>
      <c r="DI831" s="406" t="str">
        <f t="shared" si="44"/>
        <v>ES, Fundão</v>
      </c>
      <c r="DJ831" s="406">
        <v>-19.933</v>
      </c>
      <c r="DK831" s="80">
        <v>-40.406999999999996</v>
      </c>
      <c r="DL831" s="80">
        <v>63</v>
      </c>
      <c r="DM831" s="64">
        <v>8</v>
      </c>
      <c r="DN831" s="406" t="s">
        <v>6454</v>
      </c>
      <c r="DO831" s="406">
        <v>-19.989999999999998</v>
      </c>
      <c r="DP831" s="80">
        <v>998</v>
      </c>
    </row>
    <row r="832" spans="29:120" x14ac:dyDescent="0.25">
      <c r="AC832" s="122" t="s">
        <v>236</v>
      </c>
      <c r="AD832" s="122" t="s">
        <v>1230</v>
      </c>
      <c r="AE832" s="127">
        <v>2</v>
      </c>
      <c r="DA832" s="122" t="s">
        <v>317</v>
      </c>
      <c r="DB832" s="122" t="s">
        <v>6479</v>
      </c>
      <c r="DC832" s="122" t="s">
        <v>3084</v>
      </c>
      <c r="DD832" s="127">
        <v>8</v>
      </c>
      <c r="DE832" s="127">
        <v>8</v>
      </c>
      <c r="DG832" s="405" t="s">
        <v>317</v>
      </c>
      <c r="DH832" s="406" t="s">
        <v>3084</v>
      </c>
      <c r="DI832" s="406" t="str">
        <f t="shared" si="44"/>
        <v>ES, Governador Lindenberg</v>
      </c>
      <c r="DJ832" s="406">
        <v>-19.251999999999999</v>
      </c>
      <c r="DK832" s="80">
        <v>-40.460999999999999</v>
      </c>
      <c r="DL832" s="80">
        <v>291</v>
      </c>
      <c r="DM832" s="64">
        <v>8</v>
      </c>
      <c r="DN832" s="406" t="s">
        <v>6480</v>
      </c>
      <c r="DO832" s="406">
        <v>-19.39</v>
      </c>
      <c r="DP832" s="80">
        <v>40</v>
      </c>
    </row>
    <row r="833" spans="29:120" x14ac:dyDescent="0.25">
      <c r="AC833" s="122" t="s">
        <v>236</v>
      </c>
      <c r="AD833" s="122" t="s">
        <v>1231</v>
      </c>
      <c r="AE833" s="127">
        <v>2</v>
      </c>
      <c r="DA833" s="122" t="s">
        <v>317</v>
      </c>
      <c r="DB833" s="122" t="s">
        <v>3520</v>
      </c>
      <c r="DC833" s="122" t="s">
        <v>3520</v>
      </c>
      <c r="DD833" s="127">
        <v>3</v>
      </c>
      <c r="DE833" s="127">
        <v>3</v>
      </c>
      <c r="DG833" s="405" t="s">
        <v>317</v>
      </c>
      <c r="DH833" s="406" t="s">
        <v>3520</v>
      </c>
      <c r="DI833" s="406" t="str">
        <f t="shared" si="44"/>
        <v>ES, Guaçuí</v>
      </c>
      <c r="DJ833" s="406">
        <v>-20.776</v>
      </c>
      <c r="DK833" s="80">
        <v>-41.679000000000002</v>
      </c>
      <c r="DL833" s="80">
        <v>590</v>
      </c>
      <c r="DM833" s="64">
        <v>3</v>
      </c>
      <c r="DN833" s="406" t="s">
        <v>6458</v>
      </c>
      <c r="DO833" s="406">
        <v>-20.76</v>
      </c>
      <c r="DP833" s="80">
        <v>138</v>
      </c>
    </row>
    <row r="834" spans="29:120" x14ac:dyDescent="0.25">
      <c r="AC834" s="122" t="s">
        <v>27</v>
      </c>
      <c r="AD834" s="122" t="s">
        <v>1232</v>
      </c>
      <c r="AE834" s="127">
        <v>2</v>
      </c>
      <c r="DA834" s="122" t="s">
        <v>317</v>
      </c>
      <c r="DB834" s="122" t="s">
        <v>1920</v>
      </c>
      <c r="DC834" s="122" t="s">
        <v>1920</v>
      </c>
      <c r="DD834" s="127">
        <v>8</v>
      </c>
      <c r="DE834" s="127">
        <v>8</v>
      </c>
      <c r="DG834" s="405" t="s">
        <v>317</v>
      </c>
      <c r="DH834" s="406" t="s">
        <v>1920</v>
      </c>
      <c r="DI834" s="406" t="str">
        <f t="shared" si="44"/>
        <v>ES, Guarapari</v>
      </c>
      <c r="DJ834" s="406">
        <v>-20.658000000000001</v>
      </c>
      <c r="DK834" s="80">
        <v>-40.511000000000003</v>
      </c>
      <c r="DL834" s="80">
        <v>2</v>
      </c>
      <c r="DM834" s="64">
        <v>8</v>
      </c>
      <c r="DN834" s="406" t="s">
        <v>6460</v>
      </c>
      <c r="DO834" s="406">
        <v>-20.64</v>
      </c>
      <c r="DP834" s="80">
        <v>35</v>
      </c>
    </row>
    <row r="835" spans="29:120" x14ac:dyDescent="0.25">
      <c r="AC835" s="122" t="s">
        <v>236</v>
      </c>
      <c r="AD835" s="122" t="s">
        <v>1233</v>
      </c>
      <c r="AE835" s="127">
        <v>1</v>
      </c>
      <c r="DA835" s="122" t="s">
        <v>317</v>
      </c>
      <c r="DB835" s="122" t="s">
        <v>3420</v>
      </c>
      <c r="DC835" s="122" t="s">
        <v>3420</v>
      </c>
      <c r="DD835" s="127">
        <v>5</v>
      </c>
      <c r="DE835" s="127">
        <v>5</v>
      </c>
      <c r="DG835" s="405" t="s">
        <v>317</v>
      </c>
      <c r="DH835" s="406" t="s">
        <v>3420</v>
      </c>
      <c r="DI835" s="406" t="str">
        <f t="shared" ref="DI835:DI898" si="45">CONCATENATE(DG835,", ",DH835)</f>
        <v>ES, Ibatiba</v>
      </c>
      <c r="DJ835" s="406">
        <v>-20.234000000000002</v>
      </c>
      <c r="DK835" s="80">
        <v>-41.511000000000003</v>
      </c>
      <c r="DL835" s="80">
        <v>740</v>
      </c>
      <c r="DM835" s="64">
        <v>5</v>
      </c>
      <c r="DN835" s="406" t="s">
        <v>6458</v>
      </c>
      <c r="DO835" s="406">
        <v>-20.76</v>
      </c>
      <c r="DP835" s="80">
        <v>138</v>
      </c>
    </row>
    <row r="836" spans="29:120" x14ac:dyDescent="0.25">
      <c r="AC836" s="122" t="s">
        <v>236</v>
      </c>
      <c r="AD836" s="122" t="s">
        <v>1234</v>
      </c>
      <c r="AE836" s="127">
        <v>2</v>
      </c>
      <c r="DA836" s="122" t="s">
        <v>317</v>
      </c>
      <c r="DB836" s="122" t="s">
        <v>1815</v>
      </c>
      <c r="DC836" s="122" t="s">
        <v>1815</v>
      </c>
      <c r="DD836" s="127">
        <v>8</v>
      </c>
      <c r="DE836" s="127">
        <v>8</v>
      </c>
      <c r="DG836" s="405" t="s">
        <v>317</v>
      </c>
      <c r="DH836" s="406" t="s">
        <v>1815</v>
      </c>
      <c r="DI836" s="406" t="str">
        <f t="shared" si="45"/>
        <v>ES, Ibiraçu</v>
      </c>
      <c r="DJ836" s="406">
        <v>-19.832000000000001</v>
      </c>
      <c r="DK836" s="80">
        <v>-40.369999999999997</v>
      </c>
      <c r="DL836" s="80">
        <v>36</v>
      </c>
      <c r="DM836" s="64">
        <v>8</v>
      </c>
      <c r="DN836" s="406" t="s">
        <v>6454</v>
      </c>
      <c r="DO836" s="406">
        <v>-19.989999999999998</v>
      </c>
      <c r="DP836" s="80">
        <v>998</v>
      </c>
    </row>
    <row r="837" spans="29:120" x14ac:dyDescent="0.25">
      <c r="AC837" s="122" t="s">
        <v>311</v>
      </c>
      <c r="AD837" s="122" t="s">
        <v>1235</v>
      </c>
      <c r="AE837" s="127">
        <v>2</v>
      </c>
      <c r="DA837" s="122" t="s">
        <v>317</v>
      </c>
      <c r="DB837" s="122" t="s">
        <v>3483</v>
      </c>
      <c r="DC837" s="122" t="s">
        <v>3483</v>
      </c>
      <c r="DD837" s="127">
        <v>3</v>
      </c>
      <c r="DE837" s="127">
        <v>3</v>
      </c>
      <c r="DG837" s="405" t="s">
        <v>317</v>
      </c>
      <c r="DH837" s="406" t="s">
        <v>3483</v>
      </c>
      <c r="DI837" s="406" t="str">
        <f t="shared" si="45"/>
        <v>ES, Ibitirama</v>
      </c>
      <c r="DJ837" s="406">
        <v>-20.541</v>
      </c>
      <c r="DK837" s="80">
        <v>-41.667000000000002</v>
      </c>
      <c r="DL837" s="80">
        <v>770</v>
      </c>
      <c r="DM837" s="64">
        <v>3</v>
      </c>
      <c r="DN837" s="406" t="s">
        <v>6458</v>
      </c>
      <c r="DO837" s="406">
        <v>-20.76</v>
      </c>
      <c r="DP837" s="80">
        <v>138</v>
      </c>
    </row>
    <row r="838" spans="29:120" x14ac:dyDescent="0.25">
      <c r="AC838" s="122" t="s">
        <v>236</v>
      </c>
      <c r="AD838" s="122" t="s">
        <v>1236</v>
      </c>
      <c r="AE838" s="127">
        <v>2</v>
      </c>
      <c r="DA838" s="122" t="s">
        <v>317</v>
      </c>
      <c r="DB838" s="122" t="s">
        <v>1950</v>
      </c>
      <c r="DC838" s="122" t="s">
        <v>1950</v>
      </c>
      <c r="DD838" s="127">
        <v>8</v>
      </c>
      <c r="DE838" s="127">
        <v>8</v>
      </c>
      <c r="DG838" s="405" t="s">
        <v>317</v>
      </c>
      <c r="DH838" s="406" t="s">
        <v>1950</v>
      </c>
      <c r="DI838" s="406" t="str">
        <f t="shared" si="45"/>
        <v>ES, Iconha</v>
      </c>
      <c r="DJ838" s="406">
        <v>-20.792999999999999</v>
      </c>
      <c r="DK838" s="80">
        <v>-40.811</v>
      </c>
      <c r="DL838" s="80">
        <v>8</v>
      </c>
      <c r="DM838" s="64">
        <v>8</v>
      </c>
      <c r="DN838" s="406" t="s">
        <v>6460</v>
      </c>
      <c r="DO838" s="406">
        <v>-20.64</v>
      </c>
      <c r="DP838" s="80">
        <v>35</v>
      </c>
    </row>
    <row r="839" spans="29:120" x14ac:dyDescent="0.25">
      <c r="AC839" s="122" t="s">
        <v>236</v>
      </c>
      <c r="AD839" s="122" t="s">
        <v>1237</v>
      </c>
      <c r="AE839" s="127">
        <v>2</v>
      </c>
      <c r="DA839" s="122" t="s">
        <v>317</v>
      </c>
      <c r="DB839" s="122" t="s">
        <v>3466</v>
      </c>
      <c r="DC839" s="122" t="s">
        <v>3466</v>
      </c>
      <c r="DD839" s="127">
        <v>3</v>
      </c>
      <c r="DE839" s="127">
        <v>3</v>
      </c>
      <c r="DG839" s="405" t="s">
        <v>317</v>
      </c>
      <c r="DH839" s="406" t="s">
        <v>3466</v>
      </c>
      <c r="DI839" s="406" t="str">
        <f t="shared" si="45"/>
        <v>ES, Irupi</v>
      </c>
      <c r="DJ839" s="406">
        <v>-20.344999999999999</v>
      </c>
      <c r="DK839" s="80">
        <v>-41.640999999999998</v>
      </c>
      <c r="DL839" s="80">
        <v>730</v>
      </c>
      <c r="DM839" s="64">
        <v>3</v>
      </c>
      <c r="DN839" s="406" t="s">
        <v>6458</v>
      </c>
      <c r="DO839" s="406">
        <v>-20.76</v>
      </c>
      <c r="DP839" s="80">
        <v>138</v>
      </c>
    </row>
    <row r="840" spans="29:120" x14ac:dyDescent="0.25">
      <c r="AC840" s="122" t="s">
        <v>27</v>
      </c>
      <c r="AD840" s="122" t="s">
        <v>1238</v>
      </c>
      <c r="AE840" s="127">
        <v>2</v>
      </c>
      <c r="DA840" s="122" t="s">
        <v>317</v>
      </c>
      <c r="DB840" s="122" t="s">
        <v>2542</v>
      </c>
      <c r="DC840" s="122" t="s">
        <v>2542</v>
      </c>
      <c r="DD840" s="127">
        <v>8</v>
      </c>
      <c r="DE840" s="127">
        <v>8</v>
      </c>
      <c r="DG840" s="405" t="s">
        <v>317</v>
      </c>
      <c r="DH840" s="406" t="s">
        <v>2542</v>
      </c>
      <c r="DI840" s="406" t="str">
        <f t="shared" si="45"/>
        <v>ES, Itaguaçu</v>
      </c>
      <c r="DJ840" s="406">
        <v>-19.802</v>
      </c>
      <c r="DK840" s="80">
        <v>-40.856000000000002</v>
      </c>
      <c r="DL840" s="80">
        <v>157</v>
      </c>
      <c r="DM840" s="64">
        <v>8</v>
      </c>
      <c r="DN840" s="406" t="s">
        <v>6454</v>
      </c>
      <c r="DO840" s="406">
        <v>-19.989999999999998</v>
      </c>
      <c r="DP840" s="80">
        <v>998</v>
      </c>
    </row>
    <row r="841" spans="29:120" x14ac:dyDescent="0.25">
      <c r="AC841" s="122" t="s">
        <v>236</v>
      </c>
      <c r="AD841" s="122" t="s">
        <v>1239</v>
      </c>
      <c r="AE841" s="127">
        <v>1</v>
      </c>
      <c r="DA841" s="122" t="s">
        <v>317</v>
      </c>
      <c r="DB841" s="122" t="s">
        <v>1873</v>
      </c>
      <c r="DC841" s="122" t="s">
        <v>1873</v>
      </c>
      <c r="DD841" s="127">
        <v>8</v>
      </c>
      <c r="DE841" s="127">
        <v>8</v>
      </c>
      <c r="DG841" s="405" t="s">
        <v>317</v>
      </c>
      <c r="DH841" s="406" t="s">
        <v>1873</v>
      </c>
      <c r="DI841" s="406" t="str">
        <f t="shared" si="45"/>
        <v>ES, Itapemirim</v>
      </c>
      <c r="DJ841" s="406">
        <v>-21.010999999999999</v>
      </c>
      <c r="DK841" s="80">
        <v>-40.834000000000003</v>
      </c>
      <c r="DL841" s="80">
        <v>20</v>
      </c>
      <c r="DM841" s="64">
        <v>8</v>
      </c>
      <c r="DN841" s="406" t="s">
        <v>6463</v>
      </c>
      <c r="DO841" s="406">
        <v>-21.1</v>
      </c>
      <c r="DP841" s="80">
        <v>80</v>
      </c>
    </row>
    <row r="842" spans="29:120" x14ac:dyDescent="0.25">
      <c r="AC842" s="122" t="s">
        <v>236</v>
      </c>
      <c r="AD842" s="122" t="s">
        <v>1240</v>
      </c>
      <c r="AE842" s="127">
        <v>1</v>
      </c>
      <c r="DA842" s="122" t="s">
        <v>317</v>
      </c>
      <c r="DB842" s="122" t="s">
        <v>3663</v>
      </c>
      <c r="DC842" s="122" t="s">
        <v>3663</v>
      </c>
      <c r="DD842" s="127">
        <v>8</v>
      </c>
      <c r="DE842" s="127">
        <v>8</v>
      </c>
      <c r="DG842" s="405" t="s">
        <v>317</v>
      </c>
      <c r="DH842" s="406" t="s">
        <v>3663</v>
      </c>
      <c r="DI842" s="406" t="str">
        <f t="shared" si="45"/>
        <v>ES, Itarana</v>
      </c>
      <c r="DJ842" s="406">
        <v>-19.873999999999999</v>
      </c>
      <c r="DK842" s="80">
        <v>-40.875</v>
      </c>
      <c r="DL842" s="80">
        <v>150</v>
      </c>
      <c r="DM842" s="64">
        <v>8</v>
      </c>
      <c r="DN842" s="406" t="s">
        <v>6454</v>
      </c>
      <c r="DO842" s="406">
        <v>-19.989999999999998</v>
      </c>
      <c r="DP842" s="80">
        <v>998</v>
      </c>
    </row>
    <row r="843" spans="29:120" x14ac:dyDescent="0.25">
      <c r="AC843" s="122" t="s">
        <v>236</v>
      </c>
      <c r="AD843" s="122" t="s">
        <v>1241</v>
      </c>
      <c r="AE843" s="127">
        <v>2</v>
      </c>
      <c r="DA843" s="122" t="s">
        <v>317</v>
      </c>
      <c r="DB843" s="122" t="s">
        <v>3403</v>
      </c>
      <c r="DC843" s="122" t="s">
        <v>3403</v>
      </c>
      <c r="DD843" s="127">
        <v>5</v>
      </c>
      <c r="DE843" s="127">
        <v>5</v>
      </c>
      <c r="DG843" s="405" t="s">
        <v>317</v>
      </c>
      <c r="DH843" s="406" t="s">
        <v>3403</v>
      </c>
      <c r="DI843" s="406" t="str">
        <f t="shared" si="45"/>
        <v>ES, Iúna</v>
      </c>
      <c r="DJ843" s="406">
        <v>-20.346</v>
      </c>
      <c r="DK843" s="80">
        <v>-41.536000000000001</v>
      </c>
      <c r="DL843" s="80">
        <v>661</v>
      </c>
      <c r="DM843" s="64">
        <v>5</v>
      </c>
      <c r="DN843" s="406" t="s">
        <v>6458</v>
      </c>
      <c r="DO843" s="406">
        <v>-20.76</v>
      </c>
      <c r="DP843" s="80">
        <v>138</v>
      </c>
    </row>
    <row r="844" spans="29:120" x14ac:dyDescent="0.25">
      <c r="AC844" s="122" t="s">
        <v>236</v>
      </c>
      <c r="AD844" s="122" t="s">
        <v>1242</v>
      </c>
      <c r="AE844" s="127">
        <v>2</v>
      </c>
      <c r="DA844" s="122" t="s">
        <v>317</v>
      </c>
      <c r="DB844" s="122" t="s">
        <v>1868</v>
      </c>
      <c r="DC844" s="122" t="s">
        <v>1868</v>
      </c>
      <c r="DD844" s="127">
        <v>8</v>
      </c>
      <c r="DE844" s="127">
        <v>8</v>
      </c>
      <c r="DG844" s="405" t="s">
        <v>317</v>
      </c>
      <c r="DH844" s="406" t="s">
        <v>1868</v>
      </c>
      <c r="DI844" s="406" t="str">
        <f t="shared" si="45"/>
        <v>ES, Jaguaré</v>
      </c>
      <c r="DJ844" s="406">
        <v>-18.905999999999999</v>
      </c>
      <c r="DK844" s="80">
        <v>-40.076000000000001</v>
      </c>
      <c r="DL844" s="80">
        <v>80</v>
      </c>
      <c r="DM844" s="64">
        <v>8</v>
      </c>
      <c r="DN844" s="406" t="s">
        <v>6473</v>
      </c>
      <c r="DO844" s="406">
        <v>-18.72</v>
      </c>
      <c r="DP844" s="80">
        <v>39</v>
      </c>
    </row>
    <row r="845" spans="29:120" x14ac:dyDescent="0.25">
      <c r="AC845" s="122" t="s">
        <v>236</v>
      </c>
      <c r="AD845" s="122" t="s">
        <v>1243</v>
      </c>
      <c r="AE845" s="127">
        <v>1</v>
      </c>
      <c r="DA845" s="122" t="s">
        <v>317</v>
      </c>
      <c r="DB845" s="122" t="s">
        <v>6481</v>
      </c>
      <c r="DC845" s="122" t="s">
        <v>3415</v>
      </c>
      <c r="DD845" s="127">
        <v>5</v>
      </c>
      <c r="DE845" s="127">
        <v>5</v>
      </c>
      <c r="DG845" s="405" t="s">
        <v>317</v>
      </c>
      <c r="DH845" s="406" t="s">
        <v>3415</v>
      </c>
      <c r="DI845" s="406" t="str">
        <f t="shared" si="45"/>
        <v>ES, Jerônimo Monteiro</v>
      </c>
      <c r="DJ845" s="406">
        <v>-20.789000000000001</v>
      </c>
      <c r="DK845" s="80">
        <v>-41.395000000000003</v>
      </c>
      <c r="DL845" s="80">
        <v>110</v>
      </c>
      <c r="DM845" s="64">
        <v>5</v>
      </c>
      <c r="DN845" s="406" t="s">
        <v>6458</v>
      </c>
      <c r="DO845" s="406">
        <v>-20.76</v>
      </c>
      <c r="DP845" s="80">
        <v>138</v>
      </c>
    </row>
    <row r="846" spans="29:120" x14ac:dyDescent="0.25">
      <c r="AC846" s="122" t="s">
        <v>27</v>
      </c>
      <c r="AD846" s="122" t="s">
        <v>1244</v>
      </c>
      <c r="AE846" s="127">
        <v>2</v>
      </c>
      <c r="DA846" s="122" t="s">
        <v>317</v>
      </c>
      <c r="DB846" s="122" t="s">
        <v>6482</v>
      </c>
      <c r="DC846" s="122" t="s">
        <v>1803</v>
      </c>
      <c r="DD846" s="127">
        <v>8</v>
      </c>
      <c r="DE846" s="127">
        <v>8</v>
      </c>
      <c r="DG846" s="405" t="s">
        <v>317</v>
      </c>
      <c r="DH846" s="406" t="s">
        <v>1803</v>
      </c>
      <c r="DI846" s="406" t="str">
        <f t="shared" si="45"/>
        <v>ES, João Neiva</v>
      </c>
      <c r="DJ846" s="406">
        <v>-19.757999999999999</v>
      </c>
      <c r="DK846" s="80">
        <v>-40.386000000000003</v>
      </c>
      <c r="DL846" s="80">
        <v>56</v>
      </c>
      <c r="DM846" s="64">
        <v>8</v>
      </c>
      <c r="DN846" s="406" t="s">
        <v>6454</v>
      </c>
      <c r="DO846" s="406">
        <v>-19.989999999999998</v>
      </c>
      <c r="DP846" s="80">
        <v>998</v>
      </c>
    </row>
    <row r="847" spans="29:120" x14ac:dyDescent="0.25">
      <c r="AC847" s="122" t="s">
        <v>27</v>
      </c>
      <c r="AD847" s="122" t="s">
        <v>1245</v>
      </c>
      <c r="AE847" s="127">
        <v>3</v>
      </c>
      <c r="DA847" s="122" t="s">
        <v>317</v>
      </c>
      <c r="DB847" s="122" t="s">
        <v>6483</v>
      </c>
      <c r="DC847" s="122" t="s">
        <v>3642</v>
      </c>
      <c r="DD847" s="127">
        <v>5</v>
      </c>
      <c r="DE847" s="127">
        <v>5</v>
      </c>
      <c r="DG847" s="405" t="s">
        <v>317</v>
      </c>
      <c r="DH847" s="406" t="s">
        <v>3642</v>
      </c>
      <c r="DI847" s="406" t="str">
        <f t="shared" si="45"/>
        <v>ES, Laranja da Terra</v>
      </c>
      <c r="DJ847" s="406">
        <v>-19.899000000000001</v>
      </c>
      <c r="DK847" s="80">
        <v>-41.057000000000002</v>
      </c>
      <c r="DL847" s="80">
        <v>180</v>
      </c>
      <c r="DM847" s="64">
        <v>5</v>
      </c>
      <c r="DN847" s="406" t="s">
        <v>6465</v>
      </c>
      <c r="DO847" s="406">
        <v>-19.5</v>
      </c>
      <c r="DP847" s="80">
        <v>84</v>
      </c>
    </row>
    <row r="848" spans="29:120" x14ac:dyDescent="0.25">
      <c r="AC848" s="122" t="s">
        <v>236</v>
      </c>
      <c r="AD848" s="122" t="s">
        <v>1246</v>
      </c>
      <c r="AE848" s="127">
        <v>1</v>
      </c>
      <c r="DA848" s="122" t="s">
        <v>317</v>
      </c>
      <c r="DB848" s="122" t="s">
        <v>1877</v>
      </c>
      <c r="DC848" s="122" t="s">
        <v>1877</v>
      </c>
      <c r="DD848" s="127">
        <v>8</v>
      </c>
      <c r="DE848" s="127">
        <v>8</v>
      </c>
      <c r="DG848" s="405" t="s">
        <v>317</v>
      </c>
      <c r="DH848" s="406" t="s">
        <v>1877</v>
      </c>
      <c r="DI848" s="406" t="str">
        <f t="shared" si="45"/>
        <v>ES, Linhares</v>
      </c>
      <c r="DJ848" s="406">
        <v>-19.390999999999998</v>
      </c>
      <c r="DK848" s="80">
        <v>-40.072000000000003</v>
      </c>
      <c r="DL848" s="80">
        <v>33</v>
      </c>
      <c r="DM848" s="64">
        <v>8</v>
      </c>
      <c r="DN848" s="406" t="s">
        <v>6480</v>
      </c>
      <c r="DO848" s="406">
        <v>-19.39</v>
      </c>
      <c r="DP848" s="80">
        <v>40</v>
      </c>
    </row>
    <row r="849" spans="29:120" x14ac:dyDescent="0.25">
      <c r="AC849" s="122" t="s">
        <v>236</v>
      </c>
      <c r="AD849" s="122" t="s">
        <v>1247</v>
      </c>
      <c r="AE849" s="127">
        <v>2</v>
      </c>
      <c r="DA849" s="122" t="s">
        <v>317</v>
      </c>
      <c r="DB849" s="122" t="s">
        <v>1909</v>
      </c>
      <c r="DC849" s="122" t="s">
        <v>1909</v>
      </c>
      <c r="DD849" s="127">
        <v>5</v>
      </c>
      <c r="DE849" s="127">
        <v>5</v>
      </c>
      <c r="DG849" s="405" t="s">
        <v>317</v>
      </c>
      <c r="DH849" s="406" t="s">
        <v>1909</v>
      </c>
      <c r="DI849" s="406" t="str">
        <f t="shared" si="45"/>
        <v>ES, Mantenópolis</v>
      </c>
      <c r="DJ849" s="406">
        <v>-18.863</v>
      </c>
      <c r="DK849" s="80">
        <v>-41.122999999999998</v>
      </c>
      <c r="DL849" s="80">
        <v>430</v>
      </c>
      <c r="DM849" s="64">
        <v>5</v>
      </c>
      <c r="DN849" s="406" t="s">
        <v>6456</v>
      </c>
      <c r="DO849" s="406">
        <v>-18.78</v>
      </c>
      <c r="DP849" s="80">
        <v>214</v>
      </c>
    </row>
    <row r="850" spans="29:120" x14ac:dyDescent="0.25">
      <c r="AC850" s="122" t="s">
        <v>236</v>
      </c>
      <c r="AD850" s="122" t="s">
        <v>1248</v>
      </c>
      <c r="AE850" s="127">
        <v>2</v>
      </c>
      <c r="DA850" s="122" t="s">
        <v>317</v>
      </c>
      <c r="DB850" s="122" t="s">
        <v>1880</v>
      </c>
      <c r="DC850" s="122" t="s">
        <v>1880</v>
      </c>
      <c r="DD850" s="127">
        <v>8</v>
      </c>
      <c r="DE850" s="127">
        <v>8</v>
      </c>
      <c r="DG850" s="405" t="s">
        <v>317</v>
      </c>
      <c r="DH850" s="406" t="s">
        <v>5734</v>
      </c>
      <c r="DI850" s="406" t="str">
        <f t="shared" si="45"/>
        <v>ES, Marataízes</v>
      </c>
      <c r="DJ850" s="406">
        <v>-21.042999999999999</v>
      </c>
      <c r="DK850" s="80">
        <v>-40.823999999999998</v>
      </c>
      <c r="DL850" s="80">
        <v>19</v>
      </c>
      <c r="DM850" s="64">
        <v>8</v>
      </c>
      <c r="DN850" s="406" t="s">
        <v>6463</v>
      </c>
      <c r="DO850" s="406">
        <v>-21.1</v>
      </c>
      <c r="DP850" s="80">
        <v>80</v>
      </c>
    </row>
    <row r="851" spans="29:120" x14ac:dyDescent="0.25">
      <c r="AC851" s="122" t="s">
        <v>236</v>
      </c>
      <c r="AD851" s="122" t="s">
        <v>1249</v>
      </c>
      <c r="AE851" s="127">
        <v>1</v>
      </c>
      <c r="DA851" s="122" t="s">
        <v>317</v>
      </c>
      <c r="DB851" s="122" t="s">
        <v>6484</v>
      </c>
      <c r="DC851" s="122" t="s">
        <v>2462</v>
      </c>
      <c r="DD851" s="127">
        <v>8</v>
      </c>
      <c r="DE851" s="127">
        <v>8</v>
      </c>
      <c r="DG851" s="405" t="s">
        <v>317</v>
      </c>
      <c r="DH851" s="406" t="s">
        <v>2462</v>
      </c>
      <c r="DI851" s="406" t="str">
        <f t="shared" si="45"/>
        <v>ES, Marechal Floriano</v>
      </c>
      <c r="DJ851" s="406">
        <v>-20.413</v>
      </c>
      <c r="DK851" s="80">
        <v>-40.683</v>
      </c>
      <c r="DL851" s="80">
        <v>560</v>
      </c>
      <c r="DM851" s="64">
        <v>8</v>
      </c>
      <c r="DN851" s="406" t="s">
        <v>6460</v>
      </c>
      <c r="DO851" s="406">
        <v>-20.64</v>
      </c>
      <c r="DP851" s="80">
        <v>35</v>
      </c>
    </row>
    <row r="852" spans="29:120" x14ac:dyDescent="0.25">
      <c r="AC852" s="122" t="s">
        <v>27</v>
      </c>
      <c r="AD852" s="122" t="s">
        <v>1250</v>
      </c>
      <c r="AE852" s="127">
        <v>3</v>
      </c>
      <c r="DA852" s="122" t="s">
        <v>317</v>
      </c>
      <c r="DB852" s="122" t="s">
        <v>3115</v>
      </c>
      <c r="DC852" s="122" t="s">
        <v>3115</v>
      </c>
      <c r="DD852" s="127">
        <v>8</v>
      </c>
      <c r="DE852" s="127">
        <v>8</v>
      </c>
      <c r="DG852" s="405" t="s">
        <v>317</v>
      </c>
      <c r="DH852" s="406" t="s">
        <v>3115</v>
      </c>
      <c r="DI852" s="406" t="str">
        <f t="shared" si="45"/>
        <v>ES, Marilândia</v>
      </c>
      <c r="DJ852" s="406">
        <v>-19.413</v>
      </c>
      <c r="DK852" s="80">
        <v>-40.542000000000002</v>
      </c>
      <c r="DL852" s="80">
        <v>150</v>
      </c>
      <c r="DM852" s="64">
        <v>8</v>
      </c>
      <c r="DN852" s="406" t="s">
        <v>6480</v>
      </c>
      <c r="DO852" s="406">
        <v>-19.39</v>
      </c>
      <c r="DP852" s="80">
        <v>40</v>
      </c>
    </row>
    <row r="853" spans="29:120" x14ac:dyDescent="0.25">
      <c r="AC853" s="122" t="s">
        <v>27</v>
      </c>
      <c r="AD853" s="122" t="s">
        <v>1251</v>
      </c>
      <c r="AE853" s="127">
        <v>2</v>
      </c>
      <c r="DA853" s="122" t="s">
        <v>317</v>
      </c>
      <c r="DB853" s="122" t="s">
        <v>6485</v>
      </c>
      <c r="DC853" s="122" t="s">
        <v>3305</v>
      </c>
      <c r="DD853" s="127">
        <v>5</v>
      </c>
      <c r="DE853" s="127">
        <v>5</v>
      </c>
      <c r="DG853" s="405" t="s">
        <v>317</v>
      </c>
      <c r="DH853" s="406" t="s">
        <v>3305</v>
      </c>
      <c r="DI853" s="406" t="str">
        <f t="shared" si="45"/>
        <v>ES, Mimoso do Sul</v>
      </c>
      <c r="DJ853" s="406">
        <v>-21.064</v>
      </c>
      <c r="DK853" s="80">
        <v>-41.366</v>
      </c>
      <c r="DL853" s="80">
        <v>70</v>
      </c>
      <c r="DM853" s="64">
        <v>5</v>
      </c>
      <c r="DN853" s="406" t="s">
        <v>6463</v>
      </c>
      <c r="DO853" s="406">
        <v>-21.1</v>
      </c>
      <c r="DP853" s="80">
        <v>80</v>
      </c>
    </row>
    <row r="854" spans="29:120" x14ac:dyDescent="0.25">
      <c r="AC854" s="122" t="s">
        <v>27</v>
      </c>
      <c r="AD854" s="122" t="s">
        <v>1252</v>
      </c>
      <c r="AE854" s="127">
        <v>3</v>
      </c>
      <c r="DA854" s="122" t="s">
        <v>317</v>
      </c>
      <c r="DB854" s="122" t="s">
        <v>2480</v>
      </c>
      <c r="DC854" s="122" t="s">
        <v>2480</v>
      </c>
      <c r="DD854" s="127">
        <v>8</v>
      </c>
      <c r="DE854" s="127">
        <v>8</v>
      </c>
      <c r="DG854" s="405" t="s">
        <v>317</v>
      </c>
      <c r="DH854" s="406" t="s">
        <v>2480</v>
      </c>
      <c r="DI854" s="406" t="str">
        <f t="shared" si="45"/>
        <v>ES, Montanha</v>
      </c>
      <c r="DJ854" s="406">
        <v>-18.126999999999999</v>
      </c>
      <c r="DK854" s="80">
        <v>-40.363</v>
      </c>
      <c r="DL854" s="80">
        <v>150</v>
      </c>
      <c r="DM854" s="64">
        <v>8</v>
      </c>
      <c r="DN854" s="406" t="s">
        <v>6290</v>
      </c>
      <c r="DO854" s="406">
        <v>-17.78</v>
      </c>
      <c r="DP854" s="80">
        <v>208</v>
      </c>
    </row>
    <row r="855" spans="29:120" x14ac:dyDescent="0.25">
      <c r="AC855" s="122" t="s">
        <v>236</v>
      </c>
      <c r="AD855" s="122" t="s">
        <v>1253</v>
      </c>
      <c r="AE855" s="127">
        <v>1</v>
      </c>
      <c r="DA855" s="122" t="s">
        <v>317</v>
      </c>
      <c r="DB855" s="122" t="s">
        <v>2582</v>
      </c>
      <c r="DC855" s="122" t="s">
        <v>2582</v>
      </c>
      <c r="DD855" s="127">
        <v>8</v>
      </c>
      <c r="DE855" s="127">
        <v>8</v>
      </c>
      <c r="DG855" s="405" t="s">
        <v>317</v>
      </c>
      <c r="DH855" s="406" t="s">
        <v>2582</v>
      </c>
      <c r="DI855" s="406" t="str">
        <f t="shared" si="45"/>
        <v>ES, Mucurici</v>
      </c>
      <c r="DJ855" s="406">
        <v>-18.093</v>
      </c>
      <c r="DK855" s="80">
        <v>-40.515999999999998</v>
      </c>
      <c r="DL855" s="80">
        <v>240</v>
      </c>
      <c r="DM855" s="64">
        <v>8</v>
      </c>
      <c r="DN855" s="406" t="s">
        <v>6290</v>
      </c>
      <c r="DO855" s="406">
        <v>-17.78</v>
      </c>
      <c r="DP855" s="80">
        <v>208</v>
      </c>
    </row>
    <row r="856" spans="29:120" x14ac:dyDescent="0.25">
      <c r="AC856" s="122" t="s">
        <v>27</v>
      </c>
      <c r="AD856" s="122" t="s">
        <v>1254</v>
      </c>
      <c r="AE856" s="127">
        <v>2</v>
      </c>
      <c r="DA856" s="122" t="s">
        <v>317</v>
      </c>
      <c r="DB856" s="122" t="s">
        <v>6486</v>
      </c>
      <c r="DC856" s="122" t="s">
        <v>2080</v>
      </c>
      <c r="DD856" s="127">
        <v>5</v>
      </c>
      <c r="DE856" s="127">
        <v>5</v>
      </c>
      <c r="DG856" s="405" t="s">
        <v>317</v>
      </c>
      <c r="DH856" s="406" t="s">
        <v>2080</v>
      </c>
      <c r="DI856" s="406" t="str">
        <f t="shared" si="45"/>
        <v>ES, Muniz Freire</v>
      </c>
      <c r="DJ856" s="406">
        <v>-20.463999999999999</v>
      </c>
      <c r="DK856" s="80">
        <v>-41.412999999999997</v>
      </c>
      <c r="DL856" s="80">
        <v>650</v>
      </c>
      <c r="DM856" s="64">
        <v>5</v>
      </c>
      <c r="DN856" s="406" t="s">
        <v>6458</v>
      </c>
      <c r="DO856" s="406">
        <v>-20.76</v>
      </c>
      <c r="DP856" s="80">
        <v>138</v>
      </c>
    </row>
    <row r="857" spans="29:120" x14ac:dyDescent="0.25">
      <c r="AC857" s="122" t="s">
        <v>236</v>
      </c>
      <c r="AD857" s="122" t="s">
        <v>1255</v>
      </c>
      <c r="AE857" s="127">
        <v>1</v>
      </c>
      <c r="DA857" s="122" t="s">
        <v>317</v>
      </c>
      <c r="DB857" s="122" t="s">
        <v>3302</v>
      </c>
      <c r="DC857" s="122" t="s">
        <v>3302</v>
      </c>
      <c r="DD857" s="127">
        <v>5</v>
      </c>
      <c r="DE857" s="127">
        <v>5</v>
      </c>
      <c r="DG857" s="405" t="s">
        <v>317</v>
      </c>
      <c r="DH857" s="406" t="s">
        <v>3302</v>
      </c>
      <c r="DI857" s="406" t="str">
        <f t="shared" si="45"/>
        <v>ES, Muqui</v>
      </c>
      <c r="DJ857" s="406">
        <v>-20.952000000000002</v>
      </c>
      <c r="DK857" s="80">
        <v>-41.345999999999997</v>
      </c>
      <c r="DL857" s="80">
        <v>250</v>
      </c>
      <c r="DM857" s="64">
        <v>5</v>
      </c>
      <c r="DN857" s="406" t="s">
        <v>6458</v>
      </c>
      <c r="DO857" s="406">
        <v>-20.76</v>
      </c>
      <c r="DP857" s="80">
        <v>138</v>
      </c>
    </row>
    <row r="858" spans="29:120" x14ac:dyDescent="0.25">
      <c r="AC858" s="122" t="s">
        <v>236</v>
      </c>
      <c r="AD858" s="122" t="s">
        <v>1256</v>
      </c>
      <c r="AE858" s="127">
        <v>2</v>
      </c>
      <c r="DA858" s="122" t="s">
        <v>317</v>
      </c>
      <c r="DB858" s="122" t="s">
        <v>6487</v>
      </c>
      <c r="DC858" s="122" t="s">
        <v>5110</v>
      </c>
      <c r="DD858" s="127">
        <v>8</v>
      </c>
      <c r="DE858" s="127">
        <v>8</v>
      </c>
      <c r="DG858" s="405" t="s">
        <v>317</v>
      </c>
      <c r="DH858" s="406" t="s">
        <v>5110</v>
      </c>
      <c r="DI858" s="406" t="str">
        <f t="shared" si="45"/>
        <v>ES, Nova Venécia</v>
      </c>
      <c r="DJ858" s="406">
        <v>-18.710999999999999</v>
      </c>
      <c r="DK858" s="80">
        <v>-40.401000000000003</v>
      </c>
      <c r="DL858" s="80">
        <v>65</v>
      </c>
      <c r="DM858" s="64">
        <v>8</v>
      </c>
      <c r="DN858" s="406" t="s">
        <v>6468</v>
      </c>
      <c r="DO858" s="406">
        <v>-18.7</v>
      </c>
      <c r="DP858" s="80">
        <v>154</v>
      </c>
    </row>
    <row r="859" spans="29:120" x14ac:dyDescent="0.25">
      <c r="AC859" s="122" t="s">
        <v>27</v>
      </c>
      <c r="AD859" s="122" t="s">
        <v>580</v>
      </c>
      <c r="AE859" s="127">
        <v>3</v>
      </c>
      <c r="DA859" s="122" t="s">
        <v>317</v>
      </c>
      <c r="DB859" s="122" t="s">
        <v>5323</v>
      </c>
      <c r="DC859" s="122" t="s">
        <v>5323</v>
      </c>
      <c r="DD859" s="127">
        <v>8</v>
      </c>
      <c r="DE859" s="127">
        <v>8</v>
      </c>
      <c r="DG859" s="405" t="s">
        <v>317</v>
      </c>
      <c r="DH859" s="406" t="s">
        <v>5323</v>
      </c>
      <c r="DI859" s="406" t="str">
        <f t="shared" si="45"/>
        <v>ES, Pancas</v>
      </c>
      <c r="DJ859" s="406">
        <v>-19.225000000000001</v>
      </c>
      <c r="DK859" s="80">
        <v>-40.850999999999999</v>
      </c>
      <c r="DL859" s="80">
        <v>190</v>
      </c>
      <c r="DM859" s="64">
        <v>8</v>
      </c>
      <c r="DN859" s="406" t="s">
        <v>6465</v>
      </c>
      <c r="DO859" s="406">
        <v>-19.5</v>
      </c>
      <c r="DP859" s="80">
        <v>84</v>
      </c>
    </row>
    <row r="860" spans="29:120" x14ac:dyDescent="0.25">
      <c r="AC860" s="122" t="s">
        <v>27</v>
      </c>
      <c r="AD860" s="122" t="s">
        <v>1257</v>
      </c>
      <c r="AE860" s="127">
        <v>2</v>
      </c>
      <c r="DA860" s="122" t="s">
        <v>317</v>
      </c>
      <c r="DB860" s="122" t="s">
        <v>6488</v>
      </c>
      <c r="DC860" s="122" t="s">
        <v>1858</v>
      </c>
      <c r="DD860" s="127">
        <v>8</v>
      </c>
      <c r="DE860" s="127">
        <v>8</v>
      </c>
      <c r="DG860" s="405" t="s">
        <v>317</v>
      </c>
      <c r="DH860" s="406" t="s">
        <v>1858</v>
      </c>
      <c r="DI860" s="406" t="str">
        <f t="shared" si="45"/>
        <v>ES, Pedro Canário</v>
      </c>
      <c r="DJ860" s="406">
        <v>-18.03</v>
      </c>
      <c r="DK860" s="80">
        <v>-40.151000000000003</v>
      </c>
      <c r="DL860" s="80">
        <v>140</v>
      </c>
      <c r="DM860" s="64">
        <v>8</v>
      </c>
      <c r="DN860" s="406" t="s">
        <v>6290</v>
      </c>
      <c r="DO860" s="406">
        <v>-17.78</v>
      </c>
      <c r="DP860" s="80">
        <v>208</v>
      </c>
    </row>
    <row r="861" spans="29:120" x14ac:dyDescent="0.25">
      <c r="AC861" s="122" t="s">
        <v>236</v>
      </c>
      <c r="AD861" s="122" t="s">
        <v>1258</v>
      </c>
      <c r="AE861" s="127">
        <v>2</v>
      </c>
      <c r="DA861" s="122" t="s">
        <v>317</v>
      </c>
      <c r="DB861" s="122" t="s">
        <v>2410</v>
      </c>
      <c r="DC861" s="122" t="s">
        <v>2410</v>
      </c>
      <c r="DD861" s="127">
        <v>8</v>
      </c>
      <c r="DE861" s="127">
        <v>8</v>
      </c>
      <c r="DG861" s="405" t="s">
        <v>317</v>
      </c>
      <c r="DH861" s="406" t="s">
        <v>2410</v>
      </c>
      <c r="DI861" s="406" t="str">
        <f t="shared" si="45"/>
        <v>ES, Pinheiros</v>
      </c>
      <c r="DJ861" s="406">
        <v>-18.411999999999999</v>
      </c>
      <c r="DK861" s="80">
        <v>-40.215000000000003</v>
      </c>
      <c r="DL861" s="80">
        <v>710</v>
      </c>
      <c r="DM861" s="64">
        <v>8</v>
      </c>
      <c r="DN861" s="406" t="s">
        <v>6468</v>
      </c>
      <c r="DO861" s="406">
        <v>-18.7</v>
      </c>
      <c r="DP861" s="80">
        <v>154</v>
      </c>
    </row>
    <row r="862" spans="29:120" x14ac:dyDescent="0.25">
      <c r="AC862" s="122" t="s">
        <v>27</v>
      </c>
      <c r="AD862" s="122" t="s">
        <v>1259</v>
      </c>
      <c r="AE862" s="127">
        <v>2</v>
      </c>
      <c r="DA862" s="122" t="s">
        <v>317</v>
      </c>
      <c r="DB862" s="122" t="s">
        <v>1956</v>
      </c>
      <c r="DC862" s="122" t="s">
        <v>1956</v>
      </c>
      <c r="DD862" s="127">
        <v>8</v>
      </c>
      <c r="DE862" s="127">
        <v>8</v>
      </c>
      <c r="DG862" s="405" t="s">
        <v>317</v>
      </c>
      <c r="DH862" s="406" t="s">
        <v>1956</v>
      </c>
      <c r="DI862" s="406" t="str">
        <f t="shared" si="45"/>
        <v>ES, Piúma</v>
      </c>
      <c r="DJ862" s="406">
        <v>-20.835000000000001</v>
      </c>
      <c r="DK862" s="80">
        <v>-40.728999999999999</v>
      </c>
      <c r="DL862" s="80">
        <v>2</v>
      </c>
      <c r="DM862" s="64">
        <v>8</v>
      </c>
      <c r="DN862" s="406" t="s">
        <v>6460</v>
      </c>
      <c r="DO862" s="406">
        <v>-20.64</v>
      </c>
      <c r="DP862" s="80">
        <v>35</v>
      </c>
    </row>
    <row r="863" spans="29:120" x14ac:dyDescent="0.25">
      <c r="AC863" s="122" t="s">
        <v>236</v>
      </c>
      <c r="AD863" s="122" t="s">
        <v>1260</v>
      </c>
      <c r="AE863" s="127">
        <v>1</v>
      </c>
      <c r="DA863" s="122" t="s">
        <v>317</v>
      </c>
      <c r="DB863" s="122" t="s">
        <v>6489</v>
      </c>
      <c r="DC863" s="122" t="s">
        <v>2526</v>
      </c>
      <c r="DD863" s="127">
        <v>8</v>
      </c>
      <c r="DE863" s="127">
        <v>8</v>
      </c>
      <c r="DG863" s="405" t="s">
        <v>317</v>
      </c>
      <c r="DH863" s="406" t="s">
        <v>2526</v>
      </c>
      <c r="DI863" s="406" t="str">
        <f t="shared" si="45"/>
        <v>ES, Ponto Belo</v>
      </c>
      <c r="DJ863" s="406">
        <v>-18.123999999999999</v>
      </c>
      <c r="DK863" s="80">
        <v>-40.540999999999997</v>
      </c>
      <c r="DL863" s="80">
        <v>290</v>
      </c>
      <c r="DM863" s="64">
        <v>8</v>
      </c>
      <c r="DN863" s="406" t="s">
        <v>6290</v>
      </c>
      <c r="DO863" s="406">
        <v>-17.78</v>
      </c>
      <c r="DP863" s="80">
        <v>208</v>
      </c>
    </row>
    <row r="864" spans="29:120" x14ac:dyDescent="0.25">
      <c r="AC864" s="122" t="s">
        <v>236</v>
      </c>
      <c r="AD864" s="122" t="s">
        <v>1261</v>
      </c>
      <c r="AE864" s="127">
        <v>1</v>
      </c>
      <c r="DA864" s="122" t="s">
        <v>317</v>
      </c>
      <c r="DB864" s="122" t="s">
        <v>6490</v>
      </c>
      <c r="DC864" s="122" t="s">
        <v>3164</v>
      </c>
      <c r="DD864" s="127">
        <v>8</v>
      </c>
      <c r="DE864" s="127">
        <v>8</v>
      </c>
      <c r="DG864" s="405" t="s">
        <v>317</v>
      </c>
      <c r="DH864" s="406" t="s">
        <v>3164</v>
      </c>
      <c r="DI864" s="406" t="str">
        <f t="shared" si="45"/>
        <v>ES, Presidente Kennedy</v>
      </c>
      <c r="DJ864" s="406">
        <v>-21.099</v>
      </c>
      <c r="DK864" s="80">
        <v>-41.046999999999997</v>
      </c>
      <c r="DL864" s="80">
        <v>55</v>
      </c>
      <c r="DM864" s="64">
        <v>8</v>
      </c>
      <c r="DN864" s="406" t="s">
        <v>6463</v>
      </c>
      <c r="DO864" s="406">
        <v>-21.1</v>
      </c>
      <c r="DP864" s="80">
        <v>80</v>
      </c>
    </row>
    <row r="865" spans="29:120" x14ac:dyDescent="0.25">
      <c r="AC865" s="122" t="s">
        <v>236</v>
      </c>
      <c r="AD865" s="122" t="s">
        <v>1262</v>
      </c>
      <c r="AE865" s="127">
        <v>2</v>
      </c>
      <c r="DA865" s="122" t="s">
        <v>317</v>
      </c>
      <c r="DB865" s="122" t="s">
        <v>6491</v>
      </c>
      <c r="DC865" s="122" t="s">
        <v>2409</v>
      </c>
      <c r="DD865" s="127">
        <v>8</v>
      </c>
      <c r="DE865" s="127">
        <v>8</v>
      </c>
      <c r="DG865" s="405" t="s">
        <v>317</v>
      </c>
      <c r="DH865" s="406" t="s">
        <v>2409</v>
      </c>
      <c r="DI865" s="406" t="str">
        <f t="shared" si="45"/>
        <v>ES, Rio Bananal</v>
      </c>
      <c r="DJ865" s="406">
        <v>-19.265000000000001</v>
      </c>
      <c r="DK865" s="80">
        <v>-40.332999999999998</v>
      </c>
      <c r="DL865" s="80">
        <v>95</v>
      </c>
      <c r="DM865" s="64">
        <v>8</v>
      </c>
      <c r="DN865" s="406" t="s">
        <v>6480</v>
      </c>
      <c r="DO865" s="406">
        <v>-19.39</v>
      </c>
      <c r="DP865" s="80">
        <v>40</v>
      </c>
    </row>
    <row r="866" spans="29:120" x14ac:dyDescent="0.25">
      <c r="AC866" s="122" t="s">
        <v>236</v>
      </c>
      <c r="AD866" s="122" t="s">
        <v>1263</v>
      </c>
      <c r="AE866" s="127">
        <v>2</v>
      </c>
      <c r="DA866" s="122" t="s">
        <v>317</v>
      </c>
      <c r="DB866" s="122" t="s">
        <v>6492</v>
      </c>
      <c r="DC866" s="122" t="s">
        <v>1845</v>
      </c>
      <c r="DD866" s="127">
        <v>8</v>
      </c>
      <c r="DE866" s="127">
        <v>8</v>
      </c>
      <c r="DG866" s="405" t="s">
        <v>317</v>
      </c>
      <c r="DH866" s="406" t="s">
        <v>1845</v>
      </c>
      <c r="DI866" s="406" t="str">
        <f t="shared" si="45"/>
        <v>ES, Rio Novo do Sul</v>
      </c>
      <c r="DJ866" s="406">
        <v>-20.863</v>
      </c>
      <c r="DK866" s="80">
        <v>-40.936</v>
      </c>
      <c r="DL866" s="80">
        <v>70</v>
      </c>
      <c r="DM866" s="64">
        <v>8</v>
      </c>
      <c r="DN866" s="406" t="s">
        <v>6463</v>
      </c>
      <c r="DO866" s="406">
        <v>-21.1</v>
      </c>
      <c r="DP866" s="80">
        <v>80</v>
      </c>
    </row>
    <row r="867" spans="29:120" x14ac:dyDescent="0.25">
      <c r="AC867" s="122" t="s">
        <v>236</v>
      </c>
      <c r="AD867" s="122" t="s">
        <v>1264</v>
      </c>
      <c r="AE867" s="127">
        <v>2</v>
      </c>
      <c r="DA867" s="122" t="s">
        <v>317</v>
      </c>
      <c r="DB867" s="122" t="s">
        <v>6493</v>
      </c>
      <c r="DC867" s="122" t="s">
        <v>329</v>
      </c>
      <c r="DD867" s="127">
        <v>8</v>
      </c>
      <c r="DE867" s="127">
        <v>8</v>
      </c>
      <c r="DG867" s="405" t="s">
        <v>317</v>
      </c>
      <c r="DH867" s="406" t="s">
        <v>329</v>
      </c>
      <c r="DI867" s="406" t="str">
        <f t="shared" si="45"/>
        <v>ES, Santa Leopoldina</v>
      </c>
      <c r="DJ867" s="406">
        <v>-20.100999999999999</v>
      </c>
      <c r="DK867" s="80">
        <v>-40.53</v>
      </c>
      <c r="DL867" s="80">
        <v>16</v>
      </c>
      <c r="DM867" s="64">
        <v>8</v>
      </c>
      <c r="DN867" s="406" t="s">
        <v>6454</v>
      </c>
      <c r="DO867" s="406">
        <v>-19.989999999999998</v>
      </c>
      <c r="DP867" s="80">
        <v>998</v>
      </c>
    </row>
    <row r="868" spans="29:120" x14ac:dyDescent="0.25">
      <c r="AC868" s="122" t="s">
        <v>236</v>
      </c>
      <c r="AD868" s="122" t="s">
        <v>1265</v>
      </c>
      <c r="AE868" s="127">
        <v>2</v>
      </c>
      <c r="DA868" s="122" t="s">
        <v>317</v>
      </c>
      <c r="DB868" s="122" t="s">
        <v>6494</v>
      </c>
      <c r="DC868" s="122" t="s">
        <v>334</v>
      </c>
      <c r="DD868" s="127">
        <v>8</v>
      </c>
      <c r="DE868" s="127">
        <v>8</v>
      </c>
      <c r="DG868" s="405" t="s">
        <v>317</v>
      </c>
      <c r="DH868" s="406" t="s">
        <v>334</v>
      </c>
      <c r="DI868" s="406" t="str">
        <f t="shared" si="45"/>
        <v>ES, Santa Maria de Jetibá</v>
      </c>
      <c r="DJ868" s="406">
        <v>-20.041</v>
      </c>
      <c r="DK868" s="80">
        <v>-40.746000000000002</v>
      </c>
      <c r="DL868" s="80">
        <v>700</v>
      </c>
      <c r="DM868" s="64">
        <v>8</v>
      </c>
      <c r="DN868" s="406" t="s">
        <v>6454</v>
      </c>
      <c r="DO868" s="406">
        <v>-19.989999999999998</v>
      </c>
      <c r="DP868" s="80">
        <v>998</v>
      </c>
    </row>
    <row r="869" spans="29:120" x14ac:dyDescent="0.25">
      <c r="AC869" s="122" t="s">
        <v>236</v>
      </c>
      <c r="AD869" s="122" t="s">
        <v>1266</v>
      </c>
      <c r="AE869" s="127">
        <v>1</v>
      </c>
      <c r="DA869" s="122" t="s">
        <v>317</v>
      </c>
      <c r="DB869" s="122" t="s">
        <v>6495</v>
      </c>
      <c r="DC869" s="122" t="s">
        <v>341</v>
      </c>
      <c r="DD869" s="127">
        <v>8</v>
      </c>
      <c r="DE869" s="127">
        <v>8</v>
      </c>
      <c r="DG869" s="405" t="s">
        <v>317</v>
      </c>
      <c r="DH869" s="406" t="s">
        <v>341</v>
      </c>
      <c r="DI869" s="406" t="str">
        <f t="shared" si="45"/>
        <v>ES, Santa Teresa</v>
      </c>
      <c r="DJ869" s="406">
        <v>-19.936</v>
      </c>
      <c r="DK869" s="80">
        <v>-40.6</v>
      </c>
      <c r="DL869" s="80">
        <v>655</v>
      </c>
      <c r="DM869" s="64">
        <v>8</v>
      </c>
      <c r="DN869" s="406" t="s">
        <v>6454</v>
      </c>
      <c r="DO869" s="406">
        <v>-19.989999999999998</v>
      </c>
      <c r="DP869" s="80">
        <v>998</v>
      </c>
    </row>
    <row r="870" spans="29:120" x14ac:dyDescent="0.25">
      <c r="AC870" s="122" t="s">
        <v>236</v>
      </c>
      <c r="AD870" s="122" t="s">
        <v>1267</v>
      </c>
      <c r="AE870" s="127">
        <v>2</v>
      </c>
      <c r="DA870" s="122" t="s">
        <v>317</v>
      </c>
      <c r="DB870" s="122" t="s">
        <v>6496</v>
      </c>
      <c r="DC870" s="122" t="s">
        <v>2419</v>
      </c>
      <c r="DD870" s="127">
        <v>8</v>
      </c>
      <c r="DE870" s="127">
        <v>8</v>
      </c>
      <c r="DG870" s="405" t="s">
        <v>317</v>
      </c>
      <c r="DH870" s="406" t="s">
        <v>2419</v>
      </c>
      <c r="DI870" s="406" t="str">
        <f t="shared" si="45"/>
        <v>ES, São Domingos do Norte</v>
      </c>
      <c r="DJ870" s="406">
        <v>-19.143999999999998</v>
      </c>
      <c r="DK870" s="80">
        <v>-40.624000000000002</v>
      </c>
      <c r="DL870" s="80">
        <v>180</v>
      </c>
      <c r="DM870" s="64">
        <v>8</v>
      </c>
      <c r="DN870" s="406" t="s">
        <v>6468</v>
      </c>
      <c r="DO870" s="406">
        <v>-18.7</v>
      </c>
      <c r="DP870" s="80">
        <v>154</v>
      </c>
    </row>
    <row r="871" spans="29:120" x14ac:dyDescent="0.25">
      <c r="AC871" s="122" t="s">
        <v>236</v>
      </c>
      <c r="AD871" s="122" t="s">
        <v>1268</v>
      </c>
      <c r="AE871" s="127">
        <v>2</v>
      </c>
      <c r="DA871" s="122" t="s">
        <v>317</v>
      </c>
      <c r="DB871" s="122" t="s">
        <v>6497</v>
      </c>
      <c r="DC871" s="122" t="s">
        <v>2416</v>
      </c>
      <c r="DD871" s="127">
        <v>8</v>
      </c>
      <c r="DE871" s="127">
        <v>8</v>
      </c>
      <c r="DG871" s="405" t="s">
        <v>317</v>
      </c>
      <c r="DH871" s="406" t="s">
        <v>2416</v>
      </c>
      <c r="DI871" s="406" t="str">
        <f t="shared" si="45"/>
        <v>ES, São Gabriel da Palha</v>
      </c>
      <c r="DJ871" s="406">
        <v>-19.016999999999999</v>
      </c>
      <c r="DK871" s="80">
        <v>-40.536000000000001</v>
      </c>
      <c r="DL871" s="80">
        <v>140</v>
      </c>
      <c r="DM871" s="64">
        <v>8</v>
      </c>
      <c r="DN871" s="406" t="s">
        <v>6468</v>
      </c>
      <c r="DO871" s="406">
        <v>-18.7</v>
      </c>
      <c r="DP871" s="80">
        <v>154</v>
      </c>
    </row>
    <row r="872" spans="29:120" x14ac:dyDescent="0.25">
      <c r="AC872" s="122" t="s">
        <v>27</v>
      </c>
      <c r="AD872" s="122" t="s">
        <v>1269</v>
      </c>
      <c r="AE872" s="127">
        <v>3</v>
      </c>
      <c r="DA872" s="122" t="s">
        <v>317</v>
      </c>
      <c r="DB872" s="122" t="s">
        <v>6498</v>
      </c>
      <c r="DC872" s="122" t="s">
        <v>3437</v>
      </c>
      <c r="DD872" s="127">
        <v>3</v>
      </c>
      <c r="DE872" s="127">
        <v>3</v>
      </c>
      <c r="DG872" s="405" t="s">
        <v>317</v>
      </c>
      <c r="DH872" s="406" t="s">
        <v>3437</v>
      </c>
      <c r="DI872" s="406" t="str">
        <f t="shared" si="45"/>
        <v>ES, São José do Calçado</v>
      </c>
      <c r="DJ872" s="406">
        <v>-21.024999999999999</v>
      </c>
      <c r="DK872" s="80">
        <v>-41.654000000000003</v>
      </c>
      <c r="DL872" s="80">
        <v>320</v>
      </c>
      <c r="DM872" s="64">
        <v>3</v>
      </c>
      <c r="DN872" s="406" t="s">
        <v>6458</v>
      </c>
      <c r="DO872" s="406">
        <v>-20.76</v>
      </c>
      <c r="DP872" s="80">
        <v>138</v>
      </c>
    </row>
    <row r="873" spans="29:120" x14ac:dyDescent="0.25">
      <c r="AC873" s="122" t="s">
        <v>27</v>
      </c>
      <c r="AD873" s="122" t="s">
        <v>1270</v>
      </c>
      <c r="AE873" s="127">
        <v>3</v>
      </c>
      <c r="DA873" s="122" t="s">
        <v>317</v>
      </c>
      <c r="DB873" s="122" t="s">
        <v>6499</v>
      </c>
      <c r="DC873" s="122" t="s">
        <v>3361</v>
      </c>
      <c r="DD873" s="127">
        <v>8</v>
      </c>
      <c r="DE873" s="127">
        <v>8</v>
      </c>
      <c r="DG873" s="405" t="s">
        <v>317</v>
      </c>
      <c r="DH873" s="406" t="s">
        <v>3361</v>
      </c>
      <c r="DI873" s="406" t="str">
        <f t="shared" si="45"/>
        <v>ES, São Mateus</v>
      </c>
      <c r="DJ873" s="406">
        <v>-18.716000000000001</v>
      </c>
      <c r="DK873" s="80">
        <v>-39.859000000000002</v>
      </c>
      <c r="DL873" s="80">
        <v>36</v>
      </c>
      <c r="DM873" s="64">
        <v>8</v>
      </c>
      <c r="DN873" s="406" t="s">
        <v>6473</v>
      </c>
      <c r="DO873" s="406">
        <v>-18.72</v>
      </c>
      <c r="DP873" s="80">
        <v>39</v>
      </c>
    </row>
    <row r="874" spans="29:120" x14ac:dyDescent="0.25">
      <c r="AC874" s="122" t="s">
        <v>236</v>
      </c>
      <c r="AD874" s="122" t="s">
        <v>1271</v>
      </c>
      <c r="AE874" s="127">
        <v>2</v>
      </c>
      <c r="DA874" s="122" t="s">
        <v>317</v>
      </c>
      <c r="DB874" s="122" t="s">
        <v>6500</v>
      </c>
      <c r="DC874" s="122" t="s">
        <v>1820</v>
      </c>
      <c r="DD874" s="127">
        <v>8</v>
      </c>
      <c r="DE874" s="127">
        <v>8</v>
      </c>
      <c r="DG874" s="405" t="s">
        <v>317</v>
      </c>
      <c r="DH874" s="406" t="s">
        <v>1820</v>
      </c>
      <c r="DI874" s="406" t="str">
        <f t="shared" si="45"/>
        <v>ES, São Roque do Canaã</v>
      </c>
      <c r="DJ874" s="406">
        <v>-19.739000000000001</v>
      </c>
      <c r="DK874" s="80">
        <v>-40.656999999999996</v>
      </c>
      <c r="DL874" s="80">
        <v>120</v>
      </c>
      <c r="DM874" s="64">
        <v>8</v>
      </c>
      <c r="DN874" s="406" t="s">
        <v>6454</v>
      </c>
      <c r="DO874" s="406">
        <v>-19.989999999999998</v>
      </c>
      <c r="DP874" s="80">
        <v>998</v>
      </c>
    </row>
    <row r="875" spans="29:120" x14ac:dyDescent="0.25">
      <c r="AC875" s="122" t="s">
        <v>27</v>
      </c>
      <c r="AD875" s="122" t="s">
        <v>1272</v>
      </c>
      <c r="AE875" s="127">
        <v>2</v>
      </c>
      <c r="DA875" s="122" t="s">
        <v>317</v>
      </c>
      <c r="DB875" s="122" t="s">
        <v>1876</v>
      </c>
      <c r="DC875" s="122" t="s">
        <v>1876</v>
      </c>
      <c r="DD875" s="127">
        <v>8</v>
      </c>
      <c r="DE875" s="127">
        <v>8</v>
      </c>
      <c r="DG875" s="405" t="s">
        <v>317</v>
      </c>
      <c r="DH875" s="406" t="s">
        <v>1876</v>
      </c>
      <c r="DI875" s="406" t="str">
        <f t="shared" si="45"/>
        <v>ES, Serra</v>
      </c>
      <c r="DJ875" s="406">
        <v>-20.129000000000001</v>
      </c>
      <c r="DK875" s="80">
        <v>-40.308</v>
      </c>
      <c r="DL875" s="80">
        <v>70</v>
      </c>
      <c r="DM875" s="64">
        <v>8</v>
      </c>
      <c r="DN875" s="406" t="s">
        <v>6471</v>
      </c>
      <c r="DO875" s="406">
        <v>-20.32</v>
      </c>
      <c r="DP875" s="80">
        <v>9</v>
      </c>
    </row>
    <row r="876" spans="29:120" x14ac:dyDescent="0.25">
      <c r="AC876" s="122" t="s">
        <v>236</v>
      </c>
      <c r="AD876" s="122" t="s">
        <v>1273</v>
      </c>
      <c r="AE876" s="127">
        <v>2</v>
      </c>
      <c r="DA876" s="122" t="s">
        <v>317</v>
      </c>
      <c r="DB876" s="122" t="s">
        <v>1808</v>
      </c>
      <c r="DC876" s="122" t="s">
        <v>1808</v>
      </c>
      <c r="DD876" s="127">
        <v>8</v>
      </c>
      <c r="DE876" s="127">
        <v>8</v>
      </c>
      <c r="DG876" s="405" t="s">
        <v>317</v>
      </c>
      <c r="DH876" s="406" t="s">
        <v>1808</v>
      </c>
      <c r="DI876" s="406" t="str">
        <f t="shared" si="45"/>
        <v>ES, Sooretama</v>
      </c>
      <c r="DJ876" s="406">
        <v>-19.196999999999999</v>
      </c>
      <c r="DK876" s="80">
        <v>-40.097999999999999</v>
      </c>
      <c r="DL876" s="80">
        <v>59</v>
      </c>
      <c r="DM876" s="64">
        <v>8</v>
      </c>
      <c r="DN876" s="406" t="s">
        <v>6480</v>
      </c>
      <c r="DO876" s="406">
        <v>-19.39</v>
      </c>
      <c r="DP876" s="80">
        <v>40</v>
      </c>
    </row>
    <row r="877" spans="29:120" x14ac:dyDescent="0.25">
      <c r="AC877" s="122" t="s">
        <v>236</v>
      </c>
      <c r="AD877" s="122" t="s">
        <v>1274</v>
      </c>
      <c r="AE877" s="127">
        <v>1</v>
      </c>
      <c r="DA877" s="122" t="s">
        <v>317</v>
      </c>
      <c r="DB877" s="122" t="s">
        <v>6501</v>
      </c>
      <c r="DC877" s="122" t="s">
        <v>1936</v>
      </c>
      <c r="DD877" s="127">
        <v>8</v>
      </c>
      <c r="DE877" s="127">
        <v>8</v>
      </c>
      <c r="DG877" s="405" t="s">
        <v>317</v>
      </c>
      <c r="DH877" s="406" t="s">
        <v>1936</v>
      </c>
      <c r="DI877" s="406" t="str">
        <f t="shared" si="45"/>
        <v>ES, Vargem Alta</v>
      </c>
      <c r="DJ877" s="406">
        <v>-20.670999999999999</v>
      </c>
      <c r="DK877" s="80">
        <v>-41.006999999999998</v>
      </c>
      <c r="DL877" s="80">
        <v>650</v>
      </c>
      <c r="DM877" s="64">
        <v>8</v>
      </c>
      <c r="DN877" s="406" t="s">
        <v>6460</v>
      </c>
      <c r="DO877" s="406">
        <v>-20.64</v>
      </c>
      <c r="DP877" s="80">
        <v>35</v>
      </c>
    </row>
    <row r="878" spans="29:120" x14ac:dyDescent="0.25">
      <c r="AC878" s="122" t="s">
        <v>236</v>
      </c>
      <c r="AD878" s="122" t="s">
        <v>1275</v>
      </c>
      <c r="AE878" s="127">
        <v>2</v>
      </c>
      <c r="DA878" s="122" t="s">
        <v>317</v>
      </c>
      <c r="DB878" s="122" t="s">
        <v>6502</v>
      </c>
      <c r="DC878" s="122" t="s">
        <v>893</v>
      </c>
      <c r="DD878" s="127">
        <v>5</v>
      </c>
      <c r="DE878" s="127">
        <v>5</v>
      </c>
      <c r="DG878" s="405" t="s">
        <v>317</v>
      </c>
      <c r="DH878" s="406" t="s">
        <v>893</v>
      </c>
      <c r="DI878" s="406" t="str">
        <f t="shared" si="45"/>
        <v>ES, Venda Nova do Imigrante</v>
      </c>
      <c r="DJ878" s="406">
        <v>-20.34</v>
      </c>
      <c r="DK878" s="80">
        <v>-41.134999999999998</v>
      </c>
      <c r="DL878" s="80">
        <v>630</v>
      </c>
      <c r="DM878" s="64">
        <v>5</v>
      </c>
      <c r="DN878" s="406" t="s">
        <v>6460</v>
      </c>
      <c r="DO878" s="406">
        <v>-20.64</v>
      </c>
      <c r="DP878" s="80">
        <v>35</v>
      </c>
    </row>
    <row r="879" spans="29:120" x14ac:dyDescent="0.25">
      <c r="AC879" s="122" t="s">
        <v>236</v>
      </c>
      <c r="AD879" s="122" t="s">
        <v>1276</v>
      </c>
      <c r="AE879" s="127">
        <v>2</v>
      </c>
      <c r="DA879" s="122" t="s">
        <v>317</v>
      </c>
      <c r="DB879" s="122" t="s">
        <v>3588</v>
      </c>
      <c r="DC879" s="122" t="s">
        <v>3588</v>
      </c>
      <c r="DD879" s="127">
        <v>8</v>
      </c>
      <c r="DE879" s="127">
        <v>8</v>
      </c>
      <c r="DG879" s="405" t="s">
        <v>317</v>
      </c>
      <c r="DH879" s="406" t="s">
        <v>3588</v>
      </c>
      <c r="DI879" s="406" t="str">
        <f t="shared" si="45"/>
        <v>ES, Viana</v>
      </c>
      <c r="DJ879" s="406">
        <v>-20.39</v>
      </c>
      <c r="DK879" s="80">
        <v>-40.496000000000002</v>
      </c>
      <c r="DL879" s="80">
        <v>34</v>
      </c>
      <c r="DM879" s="64">
        <v>8</v>
      </c>
      <c r="DN879" s="406" t="s">
        <v>6471</v>
      </c>
      <c r="DO879" s="406">
        <v>-20.32</v>
      </c>
      <c r="DP879" s="80">
        <v>9</v>
      </c>
    </row>
    <row r="880" spans="29:120" x14ac:dyDescent="0.25">
      <c r="AC880" s="122" t="s">
        <v>236</v>
      </c>
      <c r="AD880" s="122" t="s">
        <v>1277</v>
      </c>
      <c r="AE880" s="127">
        <v>2</v>
      </c>
      <c r="DA880" s="122" t="s">
        <v>317</v>
      </c>
      <c r="DB880" s="122" t="s">
        <v>6503</v>
      </c>
      <c r="DC880" s="122" t="s">
        <v>1854</v>
      </c>
      <c r="DD880" s="127">
        <v>8</v>
      </c>
      <c r="DE880" s="127">
        <v>8</v>
      </c>
      <c r="DG880" s="405" t="s">
        <v>317</v>
      </c>
      <c r="DH880" s="406" t="s">
        <v>1854</v>
      </c>
      <c r="DI880" s="406" t="str">
        <f t="shared" si="45"/>
        <v>ES, Vila Pavão</v>
      </c>
      <c r="DJ880" s="406">
        <v>-18.614999999999998</v>
      </c>
      <c r="DK880" s="80">
        <v>-40.610999999999997</v>
      </c>
      <c r="DL880" s="80">
        <v>195</v>
      </c>
      <c r="DM880" s="64">
        <v>8</v>
      </c>
      <c r="DN880" s="406" t="s">
        <v>6468</v>
      </c>
      <c r="DO880" s="406">
        <v>-18.7</v>
      </c>
      <c r="DP880" s="80">
        <v>154</v>
      </c>
    </row>
    <row r="881" spans="29:120" x14ac:dyDescent="0.25">
      <c r="AC881" s="122" t="s">
        <v>27</v>
      </c>
      <c r="AD881" s="122" t="s">
        <v>1278</v>
      </c>
      <c r="AE881" s="127">
        <v>3</v>
      </c>
      <c r="DA881" s="122" t="s">
        <v>317</v>
      </c>
      <c r="DB881" s="122" t="s">
        <v>6504</v>
      </c>
      <c r="DC881" s="122" t="s">
        <v>2413</v>
      </c>
      <c r="DD881" s="127">
        <v>8</v>
      </c>
      <c r="DE881" s="127">
        <v>8</v>
      </c>
      <c r="DG881" s="405" t="s">
        <v>317</v>
      </c>
      <c r="DH881" s="406" t="s">
        <v>2413</v>
      </c>
      <c r="DI881" s="406" t="str">
        <f t="shared" si="45"/>
        <v>ES, Vila Valério</v>
      </c>
      <c r="DJ881" s="406">
        <v>-18.998000000000001</v>
      </c>
      <c r="DK881" s="80">
        <v>-40.389000000000003</v>
      </c>
      <c r="DL881" s="80">
        <v>140</v>
      </c>
      <c r="DM881" s="64">
        <v>8</v>
      </c>
      <c r="DN881" s="406" t="s">
        <v>6468</v>
      </c>
      <c r="DO881" s="406">
        <v>-18.7</v>
      </c>
      <c r="DP881" s="80">
        <v>154</v>
      </c>
    </row>
    <row r="882" spans="29:120" x14ac:dyDescent="0.25">
      <c r="AC882" s="122" t="s">
        <v>236</v>
      </c>
      <c r="AD882" s="122" t="s">
        <v>1279</v>
      </c>
      <c r="AE882" s="127">
        <v>2</v>
      </c>
      <c r="DA882" s="122" t="s">
        <v>317</v>
      </c>
      <c r="DB882" s="122" t="s">
        <v>6505</v>
      </c>
      <c r="DC882" s="122" t="s">
        <v>2053</v>
      </c>
      <c r="DD882" s="127">
        <v>8</v>
      </c>
      <c r="DE882" s="127">
        <v>8</v>
      </c>
      <c r="DG882" s="405" t="s">
        <v>317</v>
      </c>
      <c r="DH882" s="406" t="s">
        <v>2053</v>
      </c>
      <c r="DI882" s="406" t="str">
        <f t="shared" si="45"/>
        <v>ES, Vila Velha</v>
      </c>
      <c r="DJ882" s="406">
        <v>-20.329999999999998</v>
      </c>
      <c r="DK882" s="80">
        <v>-40.292000000000002</v>
      </c>
      <c r="DL882" s="80">
        <v>5</v>
      </c>
      <c r="DM882" s="64">
        <v>8</v>
      </c>
      <c r="DN882" s="406" t="s">
        <v>6471</v>
      </c>
      <c r="DO882" s="406">
        <v>-20.32</v>
      </c>
      <c r="DP882" s="80">
        <v>9</v>
      </c>
    </row>
    <row r="883" spans="29:120" x14ac:dyDescent="0.25">
      <c r="AC883" s="122" t="s">
        <v>27</v>
      </c>
      <c r="AD883" s="122" t="s">
        <v>1280</v>
      </c>
      <c r="AE883" s="127">
        <v>3</v>
      </c>
      <c r="DA883" s="122" t="s">
        <v>317</v>
      </c>
      <c r="DB883" s="122" t="s">
        <v>3353</v>
      </c>
      <c r="DC883" s="122" t="s">
        <v>3353</v>
      </c>
      <c r="DD883" s="127">
        <v>8</v>
      </c>
      <c r="DE883" s="127">
        <v>8</v>
      </c>
      <c r="DG883" s="405" t="s">
        <v>317</v>
      </c>
      <c r="DH883" s="406" t="s">
        <v>3353</v>
      </c>
      <c r="DI883" s="406" t="str">
        <f t="shared" si="45"/>
        <v>ES, Vitória</v>
      </c>
      <c r="DJ883" s="406">
        <v>-20.318999999999999</v>
      </c>
      <c r="DK883" s="80">
        <v>-40.338000000000001</v>
      </c>
      <c r="DL883" s="80">
        <v>3</v>
      </c>
      <c r="DM883" s="64">
        <v>8</v>
      </c>
      <c r="DN883" s="406" t="s">
        <v>6471</v>
      </c>
      <c r="DO883" s="406">
        <v>-20.32</v>
      </c>
      <c r="DP883" s="80">
        <v>9</v>
      </c>
    </row>
    <row r="884" spans="29:120" x14ac:dyDescent="0.25">
      <c r="AC884" s="122" t="s">
        <v>27</v>
      </c>
      <c r="AD884" s="122" t="s">
        <v>1281</v>
      </c>
      <c r="AE884" s="127">
        <v>2</v>
      </c>
      <c r="DA884" s="122" t="s">
        <v>322</v>
      </c>
      <c r="DB884" s="122" t="s">
        <v>6506</v>
      </c>
      <c r="DC884" s="122" t="s">
        <v>2698</v>
      </c>
      <c r="DD884" s="127">
        <v>6</v>
      </c>
      <c r="DE884" s="127">
        <v>6</v>
      </c>
      <c r="DG884" s="405" t="s">
        <v>322</v>
      </c>
      <c r="DH884" s="406" t="s">
        <v>2698</v>
      </c>
      <c r="DI884" s="406" t="str">
        <f t="shared" si="45"/>
        <v>GO, Abadia de Goiás</v>
      </c>
      <c r="DJ884" s="406">
        <v>-16.757000000000001</v>
      </c>
      <c r="DK884" s="80">
        <v>-49.438000000000002</v>
      </c>
      <c r="DL884" s="80">
        <v>898</v>
      </c>
      <c r="DM884" s="64">
        <v>6</v>
      </c>
      <c r="DN884" s="406" t="s">
        <v>6507</v>
      </c>
      <c r="DO884" s="406">
        <v>-16.96</v>
      </c>
      <c r="DP884" s="80">
        <v>678</v>
      </c>
    </row>
    <row r="885" spans="29:120" x14ac:dyDescent="0.25">
      <c r="AC885" s="122" t="s">
        <v>27</v>
      </c>
      <c r="AD885" s="122" t="s">
        <v>1282</v>
      </c>
      <c r="AE885" s="127">
        <v>3</v>
      </c>
      <c r="DA885" s="122" t="s">
        <v>322</v>
      </c>
      <c r="DB885" s="122" t="s">
        <v>2847</v>
      </c>
      <c r="DC885" s="122" t="s">
        <v>2847</v>
      </c>
      <c r="DD885" s="127">
        <v>6</v>
      </c>
      <c r="DE885" s="127">
        <v>6</v>
      </c>
      <c r="DG885" s="405" t="s">
        <v>322</v>
      </c>
      <c r="DH885" s="406" t="s">
        <v>2847</v>
      </c>
      <c r="DI885" s="406" t="str">
        <f t="shared" si="45"/>
        <v>GO, Abadiânia</v>
      </c>
      <c r="DJ885" s="406">
        <v>-16.204000000000001</v>
      </c>
      <c r="DK885" s="80">
        <v>-48.707000000000001</v>
      </c>
      <c r="DL885" s="80">
        <v>1052</v>
      </c>
      <c r="DM885" s="64">
        <v>6</v>
      </c>
      <c r="DN885" s="406" t="s">
        <v>6508</v>
      </c>
      <c r="DO885" s="406">
        <v>-16.25</v>
      </c>
      <c r="DP885" s="80">
        <v>958</v>
      </c>
    </row>
    <row r="886" spans="29:120" x14ac:dyDescent="0.25">
      <c r="AC886" s="122" t="s">
        <v>236</v>
      </c>
      <c r="AD886" s="122" t="s">
        <v>1283</v>
      </c>
      <c r="AE886" s="127">
        <v>2</v>
      </c>
      <c r="DA886" s="122" t="s">
        <v>322</v>
      </c>
      <c r="DB886" s="122" t="s">
        <v>2904</v>
      </c>
      <c r="DC886" s="122" t="s">
        <v>2904</v>
      </c>
      <c r="DD886" s="127">
        <v>6</v>
      </c>
      <c r="DE886" s="127">
        <v>6</v>
      </c>
      <c r="DG886" s="405" t="s">
        <v>322</v>
      </c>
      <c r="DH886" s="406" t="s">
        <v>2904</v>
      </c>
      <c r="DI886" s="406" t="str">
        <f t="shared" si="45"/>
        <v>GO, Acreúna</v>
      </c>
      <c r="DJ886" s="406">
        <v>-17.396000000000001</v>
      </c>
      <c r="DK886" s="80">
        <v>-50.377000000000002</v>
      </c>
      <c r="DL886" s="80">
        <v>542</v>
      </c>
      <c r="DM886" s="64">
        <v>6</v>
      </c>
      <c r="DN886" s="406" t="s">
        <v>6507</v>
      </c>
      <c r="DO886" s="406">
        <v>-16.96</v>
      </c>
      <c r="DP886" s="80">
        <v>678</v>
      </c>
    </row>
    <row r="887" spans="29:120" x14ac:dyDescent="0.25">
      <c r="AC887" s="122" t="s">
        <v>27</v>
      </c>
      <c r="AD887" s="122" t="s">
        <v>1284</v>
      </c>
      <c r="AE887" s="127">
        <v>2</v>
      </c>
      <c r="DA887" s="122" t="s">
        <v>322</v>
      </c>
      <c r="DB887" s="122" t="s">
        <v>2900</v>
      </c>
      <c r="DC887" s="122" t="s">
        <v>2900</v>
      </c>
      <c r="DD887" s="127">
        <v>6</v>
      </c>
      <c r="DE887" s="127">
        <v>6</v>
      </c>
      <c r="DG887" s="405" t="s">
        <v>322</v>
      </c>
      <c r="DH887" s="406" t="s">
        <v>2900</v>
      </c>
      <c r="DI887" s="406" t="str">
        <f t="shared" si="45"/>
        <v>GO, Adelândia</v>
      </c>
      <c r="DJ887" s="406">
        <v>-16.414999999999999</v>
      </c>
      <c r="DK887" s="80">
        <v>-50.165999999999997</v>
      </c>
      <c r="DL887" s="80">
        <v>649</v>
      </c>
      <c r="DM887" s="64">
        <v>6</v>
      </c>
      <c r="DN887" s="406" t="s">
        <v>6509</v>
      </c>
      <c r="DO887" s="406">
        <v>-15.93</v>
      </c>
      <c r="DP887" s="80">
        <v>512</v>
      </c>
    </row>
    <row r="888" spans="29:120" x14ac:dyDescent="0.25">
      <c r="AC888" s="122" t="s">
        <v>27</v>
      </c>
      <c r="AD888" s="122" t="s">
        <v>1285</v>
      </c>
      <c r="AE888" s="127">
        <v>2</v>
      </c>
      <c r="DA888" s="122" t="s">
        <v>322</v>
      </c>
      <c r="DB888" s="122" t="s">
        <v>6510</v>
      </c>
      <c r="DC888" s="122" t="s">
        <v>2361</v>
      </c>
      <c r="DD888" s="127">
        <v>6</v>
      </c>
      <c r="DE888" s="127">
        <v>6</v>
      </c>
      <c r="DG888" s="405" t="s">
        <v>322</v>
      </c>
      <c r="DH888" s="406" t="s">
        <v>2361</v>
      </c>
      <c r="DI888" s="406" t="str">
        <f t="shared" si="45"/>
        <v>GO, Água Fria de Goiás</v>
      </c>
      <c r="DJ888" s="406">
        <v>-14.986000000000001</v>
      </c>
      <c r="DK888" s="80">
        <v>-47.783999999999999</v>
      </c>
      <c r="DL888" s="80">
        <v>980</v>
      </c>
      <c r="DM888" s="64">
        <v>6</v>
      </c>
      <c r="DN888" s="406" t="s">
        <v>6511</v>
      </c>
      <c r="DO888" s="406">
        <v>-15.53</v>
      </c>
      <c r="DP888" s="80">
        <v>1200</v>
      </c>
    </row>
    <row r="889" spans="29:120" x14ac:dyDescent="0.25">
      <c r="AC889" s="122" t="s">
        <v>236</v>
      </c>
      <c r="AD889" s="122" t="s">
        <v>1286</v>
      </c>
      <c r="AE889" s="127">
        <v>2</v>
      </c>
      <c r="DA889" s="122" t="s">
        <v>322</v>
      </c>
      <c r="DB889" s="122" t="s">
        <v>6512</v>
      </c>
      <c r="DC889" s="122" t="s">
        <v>2807</v>
      </c>
      <c r="DD889" s="127">
        <v>6</v>
      </c>
      <c r="DE889" s="127">
        <v>6</v>
      </c>
      <c r="DG889" s="405" t="s">
        <v>322</v>
      </c>
      <c r="DH889" s="406" t="s">
        <v>2807</v>
      </c>
      <c r="DI889" s="406" t="str">
        <f t="shared" si="45"/>
        <v>GO, Água Limpa</v>
      </c>
      <c r="DJ889" s="406">
        <v>-18.074000000000002</v>
      </c>
      <c r="DK889" s="80">
        <v>-48.762</v>
      </c>
      <c r="DL889" s="80">
        <v>682</v>
      </c>
      <c r="DM889" s="64">
        <v>6</v>
      </c>
      <c r="DN889" s="406" t="s">
        <v>6513</v>
      </c>
      <c r="DO889" s="406">
        <v>-17.73</v>
      </c>
      <c r="DP889" s="80">
        <v>771</v>
      </c>
    </row>
    <row r="890" spans="29:120" x14ac:dyDescent="0.25">
      <c r="AC890" s="122" t="s">
        <v>236</v>
      </c>
      <c r="AD890" s="122" t="s">
        <v>1287</v>
      </c>
      <c r="AE890" s="127">
        <v>3</v>
      </c>
      <c r="DA890" s="122" t="s">
        <v>322</v>
      </c>
      <c r="DB890" s="122" t="s">
        <v>6514</v>
      </c>
      <c r="DC890" s="122" t="s">
        <v>2846</v>
      </c>
      <c r="DD890" s="127">
        <v>6</v>
      </c>
      <c r="DE890" s="127">
        <v>6</v>
      </c>
      <c r="DG890" s="405" t="s">
        <v>322</v>
      </c>
      <c r="DH890" s="406" t="s">
        <v>2846</v>
      </c>
      <c r="DI890" s="406" t="str">
        <f t="shared" si="45"/>
        <v>GO, Águas Lindas de Goiás</v>
      </c>
      <c r="DJ890" s="406">
        <v>-15.762</v>
      </c>
      <c r="DK890" s="80">
        <v>-48.281999999999996</v>
      </c>
      <c r="DL890" s="80">
        <v>1080</v>
      </c>
      <c r="DM890" s="64">
        <v>6</v>
      </c>
      <c r="DN890" s="406" t="s">
        <v>6452</v>
      </c>
      <c r="DO890" s="406">
        <v>-15.78</v>
      </c>
      <c r="DP890" s="80">
        <v>1160</v>
      </c>
    </row>
    <row r="891" spans="29:120" x14ac:dyDescent="0.25">
      <c r="AC891" s="122" t="s">
        <v>27</v>
      </c>
      <c r="AD891" s="122" t="s">
        <v>1288</v>
      </c>
      <c r="AE891" s="127">
        <v>2</v>
      </c>
      <c r="DA891" s="122" t="s">
        <v>322</v>
      </c>
      <c r="DB891" s="122" t="s">
        <v>2882</v>
      </c>
      <c r="DC891" s="122" t="s">
        <v>2882</v>
      </c>
      <c r="DD891" s="127">
        <v>6</v>
      </c>
      <c r="DE891" s="127">
        <v>6</v>
      </c>
      <c r="DG891" s="405" t="s">
        <v>322</v>
      </c>
      <c r="DH891" s="406" t="s">
        <v>2882</v>
      </c>
      <c r="DI891" s="406" t="str">
        <f t="shared" si="45"/>
        <v>GO, Alexânia</v>
      </c>
      <c r="DJ891" s="406">
        <v>-16.082000000000001</v>
      </c>
      <c r="DK891" s="80">
        <v>-48.506999999999998</v>
      </c>
      <c r="DL891" s="80">
        <v>1096</v>
      </c>
      <c r="DM891" s="64">
        <v>6</v>
      </c>
      <c r="DN891" s="406" t="s">
        <v>6508</v>
      </c>
      <c r="DO891" s="406">
        <v>-16.25</v>
      </c>
      <c r="DP891" s="80">
        <v>958</v>
      </c>
    </row>
    <row r="892" spans="29:120" x14ac:dyDescent="0.25">
      <c r="AC892" s="122" t="s">
        <v>27</v>
      </c>
      <c r="AD892" s="122" t="s">
        <v>1289</v>
      </c>
      <c r="AE892" s="127">
        <v>2</v>
      </c>
      <c r="DA892" s="122" t="s">
        <v>322</v>
      </c>
      <c r="DB892" s="122" t="s">
        <v>2845</v>
      </c>
      <c r="DC892" s="122" t="s">
        <v>2845</v>
      </c>
      <c r="DD892" s="127">
        <v>6</v>
      </c>
      <c r="DE892" s="127">
        <v>6</v>
      </c>
      <c r="DG892" s="405" t="s">
        <v>322</v>
      </c>
      <c r="DH892" s="406" t="s">
        <v>2845</v>
      </c>
      <c r="DI892" s="406" t="str">
        <f t="shared" si="45"/>
        <v>GO, Aloândia</v>
      </c>
      <c r="DJ892" s="406">
        <v>-17.728000000000002</v>
      </c>
      <c r="DK892" s="80">
        <v>-49.48</v>
      </c>
      <c r="DL892" s="80">
        <v>672</v>
      </c>
      <c r="DM892" s="64">
        <v>6</v>
      </c>
      <c r="DN892" s="406" t="s">
        <v>6513</v>
      </c>
      <c r="DO892" s="406">
        <v>-17.73</v>
      </c>
      <c r="DP892" s="80">
        <v>771</v>
      </c>
    </row>
    <row r="893" spans="29:120" x14ac:dyDescent="0.25">
      <c r="AC893" s="122" t="s">
        <v>236</v>
      </c>
      <c r="AD893" s="122" t="s">
        <v>1290</v>
      </c>
      <c r="AE893" s="127">
        <v>2</v>
      </c>
      <c r="DA893" s="122" t="s">
        <v>322</v>
      </c>
      <c r="DB893" s="122" t="s">
        <v>6515</v>
      </c>
      <c r="DC893" s="122" t="s">
        <v>2631</v>
      </c>
      <c r="DD893" s="127">
        <v>6</v>
      </c>
      <c r="DE893" s="127">
        <v>6</v>
      </c>
      <c r="DG893" s="405" t="s">
        <v>322</v>
      </c>
      <c r="DH893" s="406" t="s">
        <v>2631</v>
      </c>
      <c r="DI893" s="406" t="str">
        <f t="shared" si="45"/>
        <v>GO, Alto Horizonte</v>
      </c>
      <c r="DJ893" s="406">
        <v>-14.196</v>
      </c>
      <c r="DK893" s="80">
        <v>-49.338999999999999</v>
      </c>
      <c r="DL893" s="80">
        <v>375</v>
      </c>
      <c r="DM893" s="64">
        <v>6</v>
      </c>
      <c r="DN893" s="406" t="s">
        <v>6516</v>
      </c>
      <c r="DO893" s="406">
        <v>-14.95</v>
      </c>
      <c r="DP893" s="80">
        <v>522</v>
      </c>
    </row>
    <row r="894" spans="29:120" x14ac:dyDescent="0.25">
      <c r="AC894" s="122" t="s">
        <v>27</v>
      </c>
      <c r="AD894" s="122" t="s">
        <v>1291</v>
      </c>
      <c r="AE894" s="127">
        <v>2</v>
      </c>
      <c r="DA894" s="122" t="s">
        <v>322</v>
      </c>
      <c r="DB894" s="122" t="s">
        <v>6517</v>
      </c>
      <c r="DC894" s="122" t="s">
        <v>2369</v>
      </c>
      <c r="DD894" s="127">
        <v>6</v>
      </c>
      <c r="DE894" s="127">
        <v>6</v>
      </c>
      <c r="DG894" s="405" t="s">
        <v>322</v>
      </c>
      <c r="DH894" s="406" t="s">
        <v>2369</v>
      </c>
      <c r="DI894" s="406" t="str">
        <f t="shared" si="45"/>
        <v>GO, Alto Paraíso de Goiás</v>
      </c>
      <c r="DJ894" s="406">
        <v>-14.132999999999999</v>
      </c>
      <c r="DK894" s="80">
        <v>-47.51</v>
      </c>
      <c r="DL894" s="80">
        <v>1186</v>
      </c>
      <c r="DM894" s="64">
        <v>6</v>
      </c>
      <c r="DN894" s="406" t="s">
        <v>6518</v>
      </c>
      <c r="DO894" s="406">
        <v>-14.13</v>
      </c>
      <c r="DP894" s="80">
        <v>1260</v>
      </c>
    </row>
    <row r="895" spans="29:120" x14ac:dyDescent="0.25">
      <c r="AC895" s="122" t="s">
        <v>236</v>
      </c>
      <c r="AD895" s="122" t="s">
        <v>1292</v>
      </c>
      <c r="AE895" s="127">
        <v>1</v>
      </c>
      <c r="DA895" s="122" t="s">
        <v>322</v>
      </c>
      <c r="DB895" s="122" t="s">
        <v>6519</v>
      </c>
      <c r="DC895" s="122" t="s">
        <v>2259</v>
      </c>
      <c r="DD895" s="127">
        <v>6</v>
      </c>
      <c r="DE895" s="127">
        <v>6</v>
      </c>
      <c r="DG895" s="405" t="s">
        <v>322</v>
      </c>
      <c r="DH895" s="406" t="s">
        <v>2259</v>
      </c>
      <c r="DI895" s="406" t="str">
        <f t="shared" si="45"/>
        <v>GO, Alvorada do Norte</v>
      </c>
      <c r="DJ895" s="406">
        <v>-14.481</v>
      </c>
      <c r="DK895" s="80">
        <v>-46.491999999999997</v>
      </c>
      <c r="DL895" s="80">
        <v>490</v>
      </c>
      <c r="DM895" s="64">
        <v>6</v>
      </c>
      <c r="DN895" s="406" t="s">
        <v>6520</v>
      </c>
      <c r="DO895" s="406">
        <v>-14.09</v>
      </c>
      <c r="DP895" s="80">
        <v>834</v>
      </c>
    </row>
    <row r="896" spans="29:120" x14ac:dyDescent="0.25">
      <c r="AC896" s="122" t="s">
        <v>236</v>
      </c>
      <c r="AD896" s="122" t="s">
        <v>1293</v>
      </c>
      <c r="AE896" s="127">
        <v>1</v>
      </c>
      <c r="DA896" s="122" t="s">
        <v>322</v>
      </c>
      <c r="DB896" s="122" t="s">
        <v>2579</v>
      </c>
      <c r="DC896" s="122" t="s">
        <v>2579</v>
      </c>
      <c r="DD896" s="127">
        <v>7</v>
      </c>
      <c r="DE896" s="127">
        <v>7</v>
      </c>
      <c r="DG896" s="405" t="s">
        <v>322</v>
      </c>
      <c r="DH896" s="406" t="s">
        <v>2579</v>
      </c>
      <c r="DI896" s="406" t="str">
        <f t="shared" si="45"/>
        <v>GO, Amaralina</v>
      </c>
      <c r="DJ896" s="406">
        <v>-13.926</v>
      </c>
      <c r="DK896" s="80">
        <v>-49.296999999999997</v>
      </c>
      <c r="DL896" s="80">
        <v>55</v>
      </c>
      <c r="DM896" s="64">
        <v>7</v>
      </c>
      <c r="DN896" s="406" t="s">
        <v>6521</v>
      </c>
      <c r="DO896" s="406">
        <v>-14.47</v>
      </c>
      <c r="DP896" s="80">
        <v>583</v>
      </c>
    </row>
    <row r="897" spans="29:120" x14ac:dyDescent="0.25">
      <c r="AC897" s="122" t="s">
        <v>27</v>
      </c>
      <c r="AD897" s="122" t="s">
        <v>1294</v>
      </c>
      <c r="AE897" s="127">
        <v>3</v>
      </c>
      <c r="DA897" s="122" t="s">
        <v>322</v>
      </c>
      <c r="DB897" s="122" t="s">
        <v>6522</v>
      </c>
      <c r="DC897" s="122" t="s">
        <v>2877</v>
      </c>
      <c r="DD897" s="127">
        <v>6</v>
      </c>
      <c r="DE897" s="127">
        <v>6</v>
      </c>
      <c r="DG897" s="405" t="s">
        <v>322</v>
      </c>
      <c r="DH897" s="406" t="s">
        <v>2877</v>
      </c>
      <c r="DI897" s="406" t="str">
        <f t="shared" si="45"/>
        <v>GO, Americano do Brasil</v>
      </c>
      <c r="DJ897" s="406">
        <v>-16.254999999999999</v>
      </c>
      <c r="DK897" s="80">
        <v>-49.982999999999997</v>
      </c>
      <c r="DL897" s="80">
        <v>890</v>
      </c>
      <c r="DM897" s="64">
        <v>6</v>
      </c>
      <c r="DN897" s="406" t="s">
        <v>6509</v>
      </c>
      <c r="DO897" s="406">
        <v>-15.93</v>
      </c>
      <c r="DP897" s="80">
        <v>512</v>
      </c>
    </row>
    <row r="898" spans="29:120" x14ac:dyDescent="0.25">
      <c r="AC898" s="122" t="s">
        <v>236</v>
      </c>
      <c r="AD898" s="122" t="s">
        <v>1295</v>
      </c>
      <c r="AE898" s="127">
        <v>2</v>
      </c>
      <c r="DA898" s="122" t="s">
        <v>322</v>
      </c>
      <c r="DB898" s="122" t="s">
        <v>2976</v>
      </c>
      <c r="DC898" s="122" t="s">
        <v>2976</v>
      </c>
      <c r="DD898" s="127">
        <v>6</v>
      </c>
      <c r="DE898" s="127">
        <v>6</v>
      </c>
      <c r="DG898" s="405" t="s">
        <v>322</v>
      </c>
      <c r="DH898" s="406" t="s">
        <v>2976</v>
      </c>
      <c r="DI898" s="406" t="str">
        <f t="shared" si="45"/>
        <v>GO, Amorinópolis</v>
      </c>
      <c r="DJ898" s="406">
        <v>-16.619</v>
      </c>
      <c r="DK898" s="80">
        <v>-51.094000000000001</v>
      </c>
      <c r="DL898" s="80">
        <v>641</v>
      </c>
      <c r="DM898" s="64">
        <v>6</v>
      </c>
      <c r="DN898" s="406" t="s">
        <v>6507</v>
      </c>
      <c r="DO898" s="406">
        <v>-16.96</v>
      </c>
      <c r="DP898" s="80">
        <v>678</v>
      </c>
    </row>
    <row r="899" spans="29:120" x14ac:dyDescent="0.25">
      <c r="AC899" s="122" t="s">
        <v>27</v>
      </c>
      <c r="AD899" s="122" t="s">
        <v>1296</v>
      </c>
      <c r="AE899" s="127">
        <v>2</v>
      </c>
      <c r="DA899" s="122" t="s">
        <v>322</v>
      </c>
      <c r="DB899" s="122" t="s">
        <v>2696</v>
      </c>
      <c r="DC899" s="122" t="s">
        <v>2696</v>
      </c>
      <c r="DD899" s="127">
        <v>6</v>
      </c>
      <c r="DE899" s="127">
        <v>6</v>
      </c>
      <c r="DG899" s="405" t="s">
        <v>322</v>
      </c>
      <c r="DH899" s="406" t="s">
        <v>2696</v>
      </c>
      <c r="DI899" s="406" t="str">
        <f t="shared" ref="DI899:DI962" si="46">CONCATENATE(DG899,", ",DH899)</f>
        <v>GO, Anápolis</v>
      </c>
      <c r="DJ899" s="406">
        <v>-16.327000000000002</v>
      </c>
      <c r="DK899" s="80">
        <v>-48.953000000000003</v>
      </c>
      <c r="DL899" s="80">
        <v>1017</v>
      </c>
      <c r="DM899" s="64">
        <v>6</v>
      </c>
      <c r="DN899" s="406" t="s">
        <v>6508</v>
      </c>
      <c r="DO899" s="406">
        <v>-16.25</v>
      </c>
      <c r="DP899" s="80">
        <v>958</v>
      </c>
    </row>
    <row r="900" spans="29:120" x14ac:dyDescent="0.25">
      <c r="AC900" s="122" t="s">
        <v>27</v>
      </c>
      <c r="AD900" s="122" t="s">
        <v>1297</v>
      </c>
      <c r="AE900" s="127">
        <v>3</v>
      </c>
      <c r="DA900" s="122" t="s">
        <v>322</v>
      </c>
      <c r="DB900" s="122" t="s">
        <v>2321</v>
      </c>
      <c r="DC900" s="122" t="s">
        <v>2321</v>
      </c>
      <c r="DD900" s="127">
        <v>6</v>
      </c>
      <c r="DE900" s="127">
        <v>6</v>
      </c>
      <c r="DG900" s="405" t="s">
        <v>322</v>
      </c>
      <c r="DH900" s="406" t="s">
        <v>2321</v>
      </c>
      <c r="DI900" s="406" t="str">
        <f t="shared" si="46"/>
        <v>GO, Anhanguera</v>
      </c>
      <c r="DJ900" s="406">
        <v>-18.337</v>
      </c>
      <c r="DK900" s="80">
        <v>-48.219000000000001</v>
      </c>
      <c r="DL900" s="80">
        <v>561</v>
      </c>
      <c r="DM900" s="64">
        <v>6</v>
      </c>
      <c r="DN900" s="406" t="s">
        <v>6523</v>
      </c>
      <c r="DO900" s="406">
        <v>-18.16</v>
      </c>
      <c r="DP900" s="80">
        <v>890</v>
      </c>
    </row>
    <row r="901" spans="29:120" x14ac:dyDescent="0.25">
      <c r="AC901" s="122" t="s">
        <v>236</v>
      </c>
      <c r="AD901" s="122" t="s">
        <v>1298</v>
      </c>
      <c r="AE901" s="127">
        <v>2</v>
      </c>
      <c r="DA901" s="122" t="s">
        <v>322</v>
      </c>
      <c r="DB901" s="122" t="s">
        <v>2865</v>
      </c>
      <c r="DC901" s="122" t="s">
        <v>2865</v>
      </c>
      <c r="DD901" s="127">
        <v>6</v>
      </c>
      <c r="DE901" s="127">
        <v>6</v>
      </c>
      <c r="DG901" s="405" t="s">
        <v>322</v>
      </c>
      <c r="DH901" s="406" t="s">
        <v>2865</v>
      </c>
      <c r="DI901" s="406" t="str">
        <f t="shared" si="46"/>
        <v>GO, Anicuns</v>
      </c>
      <c r="DJ901" s="406">
        <v>-16.460999999999999</v>
      </c>
      <c r="DK901" s="80">
        <v>-49.962000000000003</v>
      </c>
      <c r="DL901" s="80">
        <v>692</v>
      </c>
      <c r="DM901" s="64">
        <v>6</v>
      </c>
      <c r="DN901" s="406" t="s">
        <v>6509</v>
      </c>
      <c r="DO901" s="406">
        <v>-15.93</v>
      </c>
      <c r="DP901" s="80">
        <v>512</v>
      </c>
    </row>
    <row r="902" spans="29:120" x14ac:dyDescent="0.25">
      <c r="AC902" s="122" t="s">
        <v>236</v>
      </c>
      <c r="AD902" s="122" t="s">
        <v>1299</v>
      </c>
      <c r="AE902" s="127">
        <v>1</v>
      </c>
      <c r="DA902" s="122" t="s">
        <v>322</v>
      </c>
      <c r="DB902" s="122" t="s">
        <v>6524</v>
      </c>
      <c r="DC902" s="122" t="s">
        <v>2716</v>
      </c>
      <c r="DD902" s="127">
        <v>6</v>
      </c>
      <c r="DE902" s="127">
        <v>6</v>
      </c>
      <c r="DG902" s="405" t="s">
        <v>322</v>
      </c>
      <c r="DH902" s="406" t="s">
        <v>2716</v>
      </c>
      <c r="DI902" s="406" t="str">
        <f t="shared" si="46"/>
        <v>GO, Aparecida de Goiânia</v>
      </c>
      <c r="DJ902" s="406">
        <v>-16.821999999999999</v>
      </c>
      <c r="DK902" s="80">
        <v>-49.244999999999997</v>
      </c>
      <c r="DL902" s="80">
        <v>808</v>
      </c>
      <c r="DM902" s="64">
        <v>6</v>
      </c>
      <c r="DN902" s="406" t="s">
        <v>6513</v>
      </c>
      <c r="DO902" s="406">
        <v>-17.73</v>
      </c>
      <c r="DP902" s="80">
        <v>771</v>
      </c>
    </row>
    <row r="903" spans="29:120" x14ac:dyDescent="0.25">
      <c r="AC903" s="122" t="s">
        <v>236</v>
      </c>
      <c r="AD903" s="122" t="s">
        <v>1300</v>
      </c>
      <c r="AE903" s="127">
        <v>2</v>
      </c>
      <c r="DA903" s="122" t="s">
        <v>322</v>
      </c>
      <c r="DB903" s="122" t="s">
        <v>6525</v>
      </c>
      <c r="DC903" s="122" t="s">
        <v>3011</v>
      </c>
      <c r="DD903" s="127">
        <v>6</v>
      </c>
      <c r="DE903" s="127">
        <v>6</v>
      </c>
      <c r="DG903" s="405" t="s">
        <v>322</v>
      </c>
      <c r="DH903" s="406" t="s">
        <v>3011</v>
      </c>
      <c r="DI903" s="406" t="str">
        <f t="shared" si="46"/>
        <v>GO, Aparecida do Rio Doce</v>
      </c>
      <c r="DJ903" s="406">
        <v>-18.298999999999999</v>
      </c>
      <c r="DK903" s="80">
        <v>-51.145000000000003</v>
      </c>
      <c r="DL903" s="80">
        <v>594</v>
      </c>
      <c r="DM903" s="64">
        <v>6</v>
      </c>
      <c r="DN903" s="406" t="s">
        <v>6526</v>
      </c>
      <c r="DO903" s="406">
        <v>-17.8</v>
      </c>
      <c r="DP903" s="80">
        <v>782</v>
      </c>
    </row>
    <row r="904" spans="29:120" x14ac:dyDescent="0.25">
      <c r="AC904" s="122" t="s">
        <v>236</v>
      </c>
      <c r="AD904" s="122" t="s">
        <v>1301</v>
      </c>
      <c r="AE904" s="127">
        <v>1</v>
      </c>
      <c r="DA904" s="122" t="s">
        <v>322</v>
      </c>
      <c r="DB904" s="122" t="s">
        <v>3018</v>
      </c>
      <c r="DC904" s="122" t="s">
        <v>3018</v>
      </c>
      <c r="DD904" s="127">
        <v>6</v>
      </c>
      <c r="DE904" s="127">
        <v>6</v>
      </c>
      <c r="DG904" s="405" t="s">
        <v>322</v>
      </c>
      <c r="DH904" s="406" t="s">
        <v>3018</v>
      </c>
      <c r="DI904" s="406" t="str">
        <f t="shared" si="46"/>
        <v>GO, Aporé</v>
      </c>
      <c r="DJ904" s="406">
        <v>-18.965</v>
      </c>
      <c r="DK904" s="80">
        <v>-51.926000000000002</v>
      </c>
      <c r="DL904" s="80">
        <v>538</v>
      </c>
      <c r="DM904" s="64">
        <v>6</v>
      </c>
      <c r="DN904" s="406" t="s">
        <v>6527</v>
      </c>
      <c r="DO904" s="406">
        <v>-18.79</v>
      </c>
      <c r="DP904" s="80">
        <v>818</v>
      </c>
    </row>
    <row r="905" spans="29:120" x14ac:dyDescent="0.25">
      <c r="AC905" s="122" t="s">
        <v>236</v>
      </c>
      <c r="AD905" s="122" t="s">
        <v>1302</v>
      </c>
      <c r="AE905" s="127">
        <v>1</v>
      </c>
      <c r="DA905" s="122" t="s">
        <v>322</v>
      </c>
      <c r="DB905" s="122" t="s">
        <v>2793</v>
      </c>
      <c r="DC905" s="122" t="s">
        <v>2793</v>
      </c>
      <c r="DD905" s="127">
        <v>6</v>
      </c>
      <c r="DE905" s="127">
        <v>6</v>
      </c>
      <c r="DG905" s="405" t="s">
        <v>322</v>
      </c>
      <c r="DH905" s="406" t="s">
        <v>2793</v>
      </c>
      <c r="DI905" s="406" t="str">
        <f t="shared" si="46"/>
        <v>GO, Araçu</v>
      </c>
      <c r="DJ905" s="406">
        <v>-16.358000000000001</v>
      </c>
      <c r="DK905" s="80">
        <v>-49.680999999999997</v>
      </c>
      <c r="DL905" s="80">
        <v>716</v>
      </c>
      <c r="DM905" s="64">
        <v>6</v>
      </c>
      <c r="DN905" s="406" t="s">
        <v>6509</v>
      </c>
      <c r="DO905" s="406">
        <v>-15.93</v>
      </c>
      <c r="DP905" s="80">
        <v>512</v>
      </c>
    </row>
    <row r="906" spans="29:120" x14ac:dyDescent="0.25">
      <c r="AC906" s="122" t="s">
        <v>236</v>
      </c>
      <c r="AD906" s="122" t="s">
        <v>1303</v>
      </c>
      <c r="AE906" s="127">
        <v>2</v>
      </c>
      <c r="DA906" s="122" t="s">
        <v>322</v>
      </c>
      <c r="DB906" s="122" t="s">
        <v>5674</v>
      </c>
      <c r="DC906" s="122" t="s">
        <v>5674</v>
      </c>
      <c r="DD906" s="127">
        <v>6</v>
      </c>
      <c r="DE906" s="127">
        <v>6</v>
      </c>
      <c r="DG906" s="405" t="s">
        <v>322</v>
      </c>
      <c r="DH906" s="406" t="s">
        <v>5674</v>
      </c>
      <c r="DI906" s="406" t="str">
        <f t="shared" si="46"/>
        <v>GO, Aragarças</v>
      </c>
      <c r="DJ906" s="406">
        <v>-15.898</v>
      </c>
      <c r="DK906" s="80">
        <v>-52.250999999999998</v>
      </c>
      <c r="DL906" s="80">
        <v>310</v>
      </c>
      <c r="DM906" s="64">
        <v>6</v>
      </c>
      <c r="DN906" s="406" t="s">
        <v>6528</v>
      </c>
      <c r="DO906" s="406">
        <v>-15.9</v>
      </c>
      <c r="DP906" s="80">
        <v>347</v>
      </c>
    </row>
    <row r="907" spans="29:120" x14ac:dyDescent="0.25">
      <c r="AC907" s="122" t="s">
        <v>27</v>
      </c>
      <c r="AD907" s="122" t="s">
        <v>1304</v>
      </c>
      <c r="AE907" s="127">
        <v>2</v>
      </c>
      <c r="DA907" s="122" t="s">
        <v>322</v>
      </c>
      <c r="DB907" s="122" t="s">
        <v>2648</v>
      </c>
      <c r="DC907" s="122" t="s">
        <v>2648</v>
      </c>
      <c r="DD907" s="127">
        <v>6</v>
      </c>
      <c r="DE907" s="127">
        <v>6</v>
      </c>
      <c r="DG907" s="405" t="s">
        <v>322</v>
      </c>
      <c r="DH907" s="406" t="s">
        <v>2648</v>
      </c>
      <c r="DI907" s="406" t="str">
        <f t="shared" si="46"/>
        <v>GO, Aragoiânia</v>
      </c>
      <c r="DJ907" s="406">
        <v>-16.911999999999999</v>
      </c>
      <c r="DK907" s="80">
        <v>-49.451000000000001</v>
      </c>
      <c r="DL907" s="80">
        <v>859</v>
      </c>
      <c r="DM907" s="64">
        <v>6</v>
      </c>
      <c r="DN907" s="406" t="s">
        <v>6513</v>
      </c>
      <c r="DO907" s="406">
        <v>-17.73</v>
      </c>
      <c r="DP907" s="80">
        <v>771</v>
      </c>
    </row>
    <row r="908" spans="29:120" x14ac:dyDescent="0.25">
      <c r="AC908" s="122" t="s">
        <v>236</v>
      </c>
      <c r="AD908" s="122" t="s">
        <v>1305</v>
      </c>
      <c r="AE908" s="127">
        <v>2</v>
      </c>
      <c r="DA908" s="122" t="s">
        <v>322</v>
      </c>
      <c r="DB908" s="122" t="s">
        <v>2790</v>
      </c>
      <c r="DC908" s="122" t="s">
        <v>2790</v>
      </c>
      <c r="DD908" s="127">
        <v>6</v>
      </c>
      <c r="DE908" s="127">
        <v>6</v>
      </c>
      <c r="DG908" s="405" t="s">
        <v>322</v>
      </c>
      <c r="DH908" s="406" t="s">
        <v>2790</v>
      </c>
      <c r="DI908" s="406" t="str">
        <f t="shared" si="46"/>
        <v>GO, Araguapaz</v>
      </c>
      <c r="DJ908" s="406">
        <v>-15.090999999999999</v>
      </c>
      <c r="DK908" s="80">
        <v>-50.631999999999998</v>
      </c>
      <c r="DL908" s="80">
        <v>304</v>
      </c>
      <c r="DM908" s="64">
        <v>6</v>
      </c>
      <c r="DN908" s="406" t="s">
        <v>6509</v>
      </c>
      <c r="DO908" s="406">
        <v>-15.93</v>
      </c>
      <c r="DP908" s="80">
        <v>512</v>
      </c>
    </row>
    <row r="909" spans="29:120" x14ac:dyDescent="0.25">
      <c r="AC909" s="122" t="s">
        <v>27</v>
      </c>
      <c r="AD909" s="122" t="s">
        <v>1306</v>
      </c>
      <c r="AE909" s="127">
        <v>3</v>
      </c>
      <c r="DA909" s="122" t="s">
        <v>322</v>
      </c>
      <c r="DB909" s="122" t="s">
        <v>3012</v>
      </c>
      <c r="DC909" s="122" t="s">
        <v>3012</v>
      </c>
      <c r="DD909" s="127">
        <v>6</v>
      </c>
      <c r="DE909" s="127">
        <v>6</v>
      </c>
      <c r="DG909" s="405" t="s">
        <v>322</v>
      </c>
      <c r="DH909" s="406" t="s">
        <v>3012</v>
      </c>
      <c r="DI909" s="406" t="str">
        <f t="shared" si="46"/>
        <v>GO, Arenópolis</v>
      </c>
      <c r="DJ909" s="406">
        <v>-16.385999999999999</v>
      </c>
      <c r="DK909" s="80">
        <v>-51.56</v>
      </c>
      <c r="DL909" s="80">
        <v>416</v>
      </c>
      <c r="DM909" s="64">
        <v>6</v>
      </c>
      <c r="DN909" s="406" t="s">
        <v>6529</v>
      </c>
      <c r="DO909" s="406">
        <v>-16.96</v>
      </c>
      <c r="DP909" s="80">
        <v>737</v>
      </c>
    </row>
    <row r="910" spans="29:120" x14ac:dyDescent="0.25">
      <c r="AC910" s="122" t="s">
        <v>236</v>
      </c>
      <c r="AD910" s="122" t="s">
        <v>1307</v>
      </c>
      <c r="AE910" s="127">
        <v>2</v>
      </c>
      <c r="DA910" s="122" t="s">
        <v>322</v>
      </c>
      <c r="DB910" s="122" t="s">
        <v>5636</v>
      </c>
      <c r="DC910" s="122" t="s">
        <v>5636</v>
      </c>
      <c r="DD910" s="127">
        <v>6</v>
      </c>
      <c r="DE910" s="127">
        <v>6</v>
      </c>
      <c r="DG910" s="405" t="s">
        <v>322</v>
      </c>
      <c r="DH910" s="406" t="s">
        <v>5636</v>
      </c>
      <c r="DI910" s="406" t="str">
        <f t="shared" si="46"/>
        <v>GO, Aruanã</v>
      </c>
      <c r="DJ910" s="406">
        <v>-14.92</v>
      </c>
      <c r="DK910" s="80">
        <v>-51.082999999999998</v>
      </c>
      <c r="DL910" s="80">
        <v>250</v>
      </c>
      <c r="DM910" s="64">
        <v>6</v>
      </c>
      <c r="DN910" s="406" t="s">
        <v>6530</v>
      </c>
      <c r="DO910" s="406">
        <v>-14.05</v>
      </c>
      <c r="DP910" s="80">
        <v>432</v>
      </c>
    </row>
    <row r="911" spans="29:120" x14ac:dyDescent="0.25">
      <c r="AC911" s="122" t="s">
        <v>236</v>
      </c>
      <c r="AD911" s="122" t="s">
        <v>1308</v>
      </c>
      <c r="AE911" s="127">
        <v>2</v>
      </c>
      <c r="DA911" s="122" t="s">
        <v>322</v>
      </c>
      <c r="DB911" s="122" t="s">
        <v>2944</v>
      </c>
      <c r="DC911" s="122" t="s">
        <v>2944</v>
      </c>
      <c r="DD911" s="127">
        <v>6</v>
      </c>
      <c r="DE911" s="127">
        <v>6</v>
      </c>
      <c r="DG911" s="405" t="s">
        <v>322</v>
      </c>
      <c r="DH911" s="406" t="s">
        <v>2944</v>
      </c>
      <c r="DI911" s="406" t="str">
        <f t="shared" si="46"/>
        <v>GO, Aurilândia</v>
      </c>
      <c r="DJ911" s="406">
        <v>-16.681999999999999</v>
      </c>
      <c r="DK911" s="80">
        <v>-50.465000000000003</v>
      </c>
      <c r="DL911" s="80">
        <v>520</v>
      </c>
      <c r="DM911" s="64">
        <v>6</v>
      </c>
      <c r="DN911" s="406" t="s">
        <v>6507</v>
      </c>
      <c r="DO911" s="406">
        <v>-16.96</v>
      </c>
      <c r="DP911" s="80">
        <v>678</v>
      </c>
    </row>
    <row r="912" spans="29:120" x14ac:dyDescent="0.25">
      <c r="AC912" s="122" t="s">
        <v>27</v>
      </c>
      <c r="AD912" s="122" t="s">
        <v>1309</v>
      </c>
      <c r="AE912" s="127">
        <v>2</v>
      </c>
      <c r="DA912" s="122" t="s">
        <v>322</v>
      </c>
      <c r="DB912" s="122" t="s">
        <v>2828</v>
      </c>
      <c r="DC912" s="122" t="s">
        <v>2828</v>
      </c>
      <c r="DD912" s="127">
        <v>6</v>
      </c>
      <c r="DE912" s="127">
        <v>6</v>
      </c>
      <c r="DG912" s="405" t="s">
        <v>322</v>
      </c>
      <c r="DH912" s="406" t="s">
        <v>2828</v>
      </c>
      <c r="DI912" s="406" t="str">
        <f t="shared" si="46"/>
        <v>GO, Avelinópolis</v>
      </c>
      <c r="DJ912" s="406">
        <v>-16.466000000000001</v>
      </c>
      <c r="DK912" s="80">
        <v>-49.758000000000003</v>
      </c>
      <c r="DL912" s="80">
        <v>729</v>
      </c>
      <c r="DM912" s="64">
        <v>6</v>
      </c>
      <c r="DN912" s="406" t="s">
        <v>6509</v>
      </c>
      <c r="DO912" s="406">
        <v>-15.93</v>
      </c>
      <c r="DP912" s="80">
        <v>512</v>
      </c>
    </row>
    <row r="913" spans="29:120" x14ac:dyDescent="0.25">
      <c r="AC913" s="122" t="s">
        <v>236</v>
      </c>
      <c r="AD913" s="122" t="s">
        <v>1310</v>
      </c>
      <c r="AE913" s="127">
        <v>2</v>
      </c>
      <c r="DA913" s="122" t="s">
        <v>322</v>
      </c>
      <c r="DB913" s="122" t="s">
        <v>5678</v>
      </c>
      <c r="DC913" s="122" t="s">
        <v>5678</v>
      </c>
      <c r="DD913" s="127">
        <v>6</v>
      </c>
      <c r="DE913" s="127">
        <v>6</v>
      </c>
      <c r="DG913" s="405" t="s">
        <v>322</v>
      </c>
      <c r="DH913" s="406" t="s">
        <v>5678</v>
      </c>
      <c r="DI913" s="406" t="str">
        <f t="shared" si="46"/>
        <v>GO, Baliza</v>
      </c>
      <c r="DJ913" s="406">
        <v>-16.196000000000002</v>
      </c>
      <c r="DK913" s="80">
        <v>-52.545000000000002</v>
      </c>
      <c r="DL913" s="80">
        <v>342</v>
      </c>
      <c r="DM913" s="64">
        <v>6</v>
      </c>
      <c r="DN913" s="406" t="s">
        <v>6528</v>
      </c>
      <c r="DO913" s="406">
        <v>-15.9</v>
      </c>
      <c r="DP913" s="80">
        <v>347</v>
      </c>
    </row>
    <row r="914" spans="29:120" x14ac:dyDescent="0.25">
      <c r="AC914" s="122" t="s">
        <v>27</v>
      </c>
      <c r="AD914" s="122" t="s">
        <v>1311</v>
      </c>
      <c r="AE914" s="127">
        <v>2</v>
      </c>
      <c r="DA914" s="122" t="s">
        <v>322</v>
      </c>
      <c r="DB914" s="122" t="s">
        <v>6225</v>
      </c>
      <c r="DC914" s="122" t="s">
        <v>2502</v>
      </c>
      <c r="DD914" s="127">
        <v>6</v>
      </c>
      <c r="DE914" s="127">
        <v>6</v>
      </c>
      <c r="DG914" s="405" t="s">
        <v>322</v>
      </c>
      <c r="DH914" s="406" t="s">
        <v>2502</v>
      </c>
      <c r="DI914" s="406" t="str">
        <f t="shared" si="46"/>
        <v>GO, Barro Alto</v>
      </c>
      <c r="DJ914" s="406">
        <v>-14.971</v>
      </c>
      <c r="DK914" s="80">
        <v>-48.915999999999997</v>
      </c>
      <c r="DL914" s="80">
        <v>605</v>
      </c>
      <c r="DM914" s="64">
        <v>6</v>
      </c>
      <c r="DN914" s="406" t="s">
        <v>6531</v>
      </c>
      <c r="DO914" s="406">
        <v>-15.32</v>
      </c>
      <c r="DP914" s="80">
        <v>667</v>
      </c>
    </row>
    <row r="915" spans="29:120" x14ac:dyDescent="0.25">
      <c r="AC915" s="122" t="s">
        <v>27</v>
      </c>
      <c r="AD915" s="122" t="s">
        <v>1312</v>
      </c>
      <c r="AE915" s="127">
        <v>2</v>
      </c>
      <c r="DA915" s="122" t="s">
        <v>322</v>
      </c>
      <c r="DB915" s="122" t="s">
        <v>6532</v>
      </c>
      <c r="DC915" s="122" t="s">
        <v>2709</v>
      </c>
      <c r="DD915" s="127">
        <v>6</v>
      </c>
      <c r="DE915" s="127">
        <v>6</v>
      </c>
      <c r="DG915" s="405" t="s">
        <v>322</v>
      </c>
      <c r="DH915" s="406" t="s">
        <v>2709</v>
      </c>
      <c r="DI915" s="406" t="str">
        <f t="shared" si="46"/>
        <v>GO, Bela Vista de Goiás</v>
      </c>
      <c r="DJ915" s="406">
        <v>-16.972999999999999</v>
      </c>
      <c r="DK915" s="80">
        <v>-48.953000000000003</v>
      </c>
      <c r="DL915" s="80">
        <v>803</v>
      </c>
      <c r="DM915" s="64">
        <v>6</v>
      </c>
      <c r="DN915" s="406" t="s">
        <v>6533</v>
      </c>
      <c r="DO915" s="406">
        <v>-17.309999999999999</v>
      </c>
      <c r="DP915" s="80">
        <v>752</v>
      </c>
    </row>
    <row r="916" spans="29:120" x14ac:dyDescent="0.25">
      <c r="AC916" s="122" t="s">
        <v>27</v>
      </c>
      <c r="AD916" s="122" t="s">
        <v>1313</v>
      </c>
      <c r="AE916" s="127">
        <v>2</v>
      </c>
      <c r="DA916" s="122" t="s">
        <v>322</v>
      </c>
      <c r="DB916" s="122" t="s">
        <v>6534</v>
      </c>
      <c r="DC916" s="122" t="s">
        <v>5663</v>
      </c>
      <c r="DD916" s="127">
        <v>6</v>
      </c>
      <c r="DE916" s="127">
        <v>6</v>
      </c>
      <c r="DG916" s="405" t="s">
        <v>322</v>
      </c>
      <c r="DH916" s="406" t="s">
        <v>5663</v>
      </c>
      <c r="DI916" s="406" t="str">
        <f t="shared" si="46"/>
        <v>GO, Bom Jardim de Goiás</v>
      </c>
      <c r="DJ916" s="406">
        <v>-16.21</v>
      </c>
      <c r="DK916" s="80">
        <v>-52.171999999999997</v>
      </c>
      <c r="DL916" s="80">
        <v>386</v>
      </c>
      <c r="DM916" s="64">
        <v>6</v>
      </c>
      <c r="DN916" s="406" t="s">
        <v>6528</v>
      </c>
      <c r="DO916" s="406">
        <v>-15.9</v>
      </c>
      <c r="DP916" s="80">
        <v>347</v>
      </c>
    </row>
    <row r="917" spans="29:120" x14ac:dyDescent="0.25">
      <c r="AC917" s="122" t="s">
        <v>27</v>
      </c>
      <c r="AD917" s="122" t="s">
        <v>1314</v>
      </c>
      <c r="AE917" s="127">
        <v>2</v>
      </c>
      <c r="DA917" s="122" t="s">
        <v>322</v>
      </c>
      <c r="DB917" s="122" t="s">
        <v>6535</v>
      </c>
      <c r="DC917" s="122" t="s">
        <v>3358</v>
      </c>
      <c r="DD917" s="127">
        <v>6</v>
      </c>
      <c r="DE917" s="127">
        <v>6</v>
      </c>
      <c r="DG917" s="405" t="s">
        <v>322</v>
      </c>
      <c r="DH917" s="406" t="s">
        <v>3358</v>
      </c>
      <c r="DI917" s="406" t="str">
        <f t="shared" si="46"/>
        <v>GO, Bom Jesus de Goiás</v>
      </c>
      <c r="DJ917" s="406">
        <v>-18.215</v>
      </c>
      <c r="DK917" s="80">
        <v>-49.741999999999997</v>
      </c>
      <c r="DL917" s="80">
        <v>619</v>
      </c>
      <c r="DM917" s="64">
        <v>6</v>
      </c>
      <c r="DN917" s="406" t="s">
        <v>6536</v>
      </c>
      <c r="DO917" s="406">
        <v>-18.41</v>
      </c>
      <c r="DP917" s="80">
        <v>488</v>
      </c>
    </row>
    <row r="918" spans="29:120" x14ac:dyDescent="0.25">
      <c r="AC918" s="122" t="s">
        <v>236</v>
      </c>
      <c r="AD918" s="122" t="s">
        <v>1315</v>
      </c>
      <c r="AE918" s="127">
        <v>2</v>
      </c>
      <c r="DA918" s="122" t="s">
        <v>322</v>
      </c>
      <c r="DB918" s="122" t="s">
        <v>2758</v>
      </c>
      <c r="DC918" s="122" t="s">
        <v>2758</v>
      </c>
      <c r="DD918" s="127">
        <v>6</v>
      </c>
      <c r="DE918" s="127">
        <v>6</v>
      </c>
      <c r="DG918" s="405" t="s">
        <v>322</v>
      </c>
      <c r="DH918" s="406" t="s">
        <v>2758</v>
      </c>
      <c r="DI918" s="406" t="str">
        <f t="shared" si="46"/>
        <v>GO, Bonfinópolis</v>
      </c>
      <c r="DJ918" s="406">
        <v>-16.617999999999999</v>
      </c>
      <c r="DK918" s="80">
        <v>-48.963000000000001</v>
      </c>
      <c r="DL918" s="80">
        <v>948</v>
      </c>
      <c r="DM918" s="64">
        <v>6</v>
      </c>
      <c r="DN918" s="406" t="s">
        <v>6533</v>
      </c>
      <c r="DO918" s="406">
        <v>-17.309999999999999</v>
      </c>
      <c r="DP918" s="80">
        <v>752</v>
      </c>
    </row>
    <row r="919" spans="29:120" x14ac:dyDescent="0.25">
      <c r="AC919" s="122" t="s">
        <v>27</v>
      </c>
      <c r="AD919" s="122" t="s">
        <v>1316</v>
      </c>
      <c r="AE919" s="127">
        <v>2</v>
      </c>
      <c r="DA919" s="122" t="s">
        <v>322</v>
      </c>
      <c r="DB919" s="122" t="s">
        <v>4470</v>
      </c>
      <c r="DC919" s="122" t="s">
        <v>4470</v>
      </c>
      <c r="DD919" s="127">
        <v>7</v>
      </c>
      <c r="DE919" s="127">
        <v>7</v>
      </c>
      <c r="DG919" s="405" t="s">
        <v>322</v>
      </c>
      <c r="DH919" s="406" t="s">
        <v>4470</v>
      </c>
      <c r="DI919" s="406" t="str">
        <f t="shared" si="46"/>
        <v>GO, Bonópolis</v>
      </c>
      <c r="DJ919" s="406">
        <v>-13.635999999999999</v>
      </c>
      <c r="DK919" s="80">
        <v>-49.81</v>
      </c>
      <c r="DL919" s="80">
        <v>290</v>
      </c>
      <c r="DM919" s="64">
        <v>7</v>
      </c>
      <c r="DN919" s="406" t="s">
        <v>6516</v>
      </c>
      <c r="DO919" s="406">
        <v>-14.95</v>
      </c>
      <c r="DP919" s="80">
        <v>522</v>
      </c>
    </row>
    <row r="920" spans="29:120" x14ac:dyDescent="0.25">
      <c r="AC920" s="122" t="s">
        <v>27</v>
      </c>
      <c r="AD920" s="122" t="s">
        <v>1317</v>
      </c>
      <c r="AE920" s="127">
        <v>3</v>
      </c>
      <c r="DA920" s="122" t="s">
        <v>322</v>
      </c>
      <c r="DB920" s="122" t="s">
        <v>2849</v>
      </c>
      <c r="DC920" s="122" t="s">
        <v>2849</v>
      </c>
      <c r="DD920" s="127">
        <v>6</v>
      </c>
      <c r="DE920" s="127">
        <v>6</v>
      </c>
      <c r="DG920" s="405" t="s">
        <v>322</v>
      </c>
      <c r="DH920" s="406" t="s">
        <v>2849</v>
      </c>
      <c r="DI920" s="406" t="str">
        <f t="shared" si="46"/>
        <v>GO, Brazabrantes</v>
      </c>
      <c r="DJ920" s="406">
        <v>-16.431000000000001</v>
      </c>
      <c r="DK920" s="80">
        <v>-49.389000000000003</v>
      </c>
      <c r="DL920" s="80">
        <v>761</v>
      </c>
      <c r="DM920" s="64">
        <v>6</v>
      </c>
      <c r="DN920" s="406" t="s">
        <v>6509</v>
      </c>
      <c r="DO920" s="406">
        <v>-15.93</v>
      </c>
      <c r="DP920" s="80">
        <v>512</v>
      </c>
    </row>
    <row r="921" spans="29:120" x14ac:dyDescent="0.25">
      <c r="AC921" s="122" t="s">
        <v>236</v>
      </c>
      <c r="AD921" s="122" t="s">
        <v>1318</v>
      </c>
      <c r="AE921" s="127">
        <v>1</v>
      </c>
      <c r="DA921" s="122" t="s">
        <v>322</v>
      </c>
      <c r="DB921" s="122" t="s">
        <v>5647</v>
      </c>
      <c r="DC921" s="122" t="s">
        <v>5647</v>
      </c>
      <c r="DD921" s="127">
        <v>6</v>
      </c>
      <c r="DE921" s="127">
        <v>6</v>
      </c>
      <c r="DG921" s="405" t="s">
        <v>322</v>
      </c>
      <c r="DH921" s="406" t="s">
        <v>5647</v>
      </c>
      <c r="DI921" s="406" t="str">
        <f t="shared" si="46"/>
        <v>GO, Britânia</v>
      </c>
      <c r="DJ921" s="406">
        <v>-15.241</v>
      </c>
      <c r="DK921" s="80">
        <v>-51.161000000000001</v>
      </c>
      <c r="DL921" s="80">
        <v>263</v>
      </c>
      <c r="DM921" s="64">
        <v>6</v>
      </c>
      <c r="DN921" s="406" t="s">
        <v>6509</v>
      </c>
      <c r="DO921" s="406">
        <v>-15.93</v>
      </c>
      <c r="DP921" s="80">
        <v>512</v>
      </c>
    </row>
    <row r="922" spans="29:120" x14ac:dyDescent="0.25">
      <c r="AC922" s="122" t="s">
        <v>236</v>
      </c>
      <c r="AD922" s="122" t="s">
        <v>1319</v>
      </c>
      <c r="AE922" s="127">
        <v>1</v>
      </c>
      <c r="DA922" s="122" t="s">
        <v>322</v>
      </c>
      <c r="DB922" s="122" t="s">
        <v>6537</v>
      </c>
      <c r="DC922" s="122" t="s">
        <v>2899</v>
      </c>
      <c r="DD922" s="127">
        <v>6</v>
      </c>
      <c r="DE922" s="127">
        <v>6</v>
      </c>
      <c r="DG922" s="405" t="s">
        <v>322</v>
      </c>
      <c r="DH922" s="406" t="s">
        <v>2899</v>
      </c>
      <c r="DI922" s="406" t="str">
        <f t="shared" si="46"/>
        <v>GO, Buriti Alegre</v>
      </c>
      <c r="DJ922" s="406">
        <v>-18.143999999999998</v>
      </c>
      <c r="DK922" s="80">
        <v>-49.043999999999997</v>
      </c>
      <c r="DL922" s="80">
        <v>786</v>
      </c>
      <c r="DM922" s="64">
        <v>6</v>
      </c>
      <c r="DN922" s="406" t="s">
        <v>6536</v>
      </c>
      <c r="DO922" s="406">
        <v>-18.41</v>
      </c>
      <c r="DP922" s="80">
        <v>488</v>
      </c>
    </row>
    <row r="923" spans="29:120" x14ac:dyDescent="0.25">
      <c r="AC923" s="122" t="s">
        <v>236</v>
      </c>
      <c r="AD923" s="122" t="s">
        <v>1320</v>
      </c>
      <c r="AE923" s="127">
        <v>3</v>
      </c>
      <c r="DA923" s="122" t="s">
        <v>322</v>
      </c>
      <c r="DB923" s="122" t="s">
        <v>6538</v>
      </c>
      <c r="DC923" s="122" t="s">
        <v>4728</v>
      </c>
      <c r="DD923" s="127">
        <v>6</v>
      </c>
      <c r="DE923" s="127">
        <v>6</v>
      </c>
      <c r="DG923" s="405" t="s">
        <v>322</v>
      </c>
      <c r="DH923" s="406" t="s">
        <v>4728</v>
      </c>
      <c r="DI923" s="406" t="str">
        <f t="shared" si="46"/>
        <v>GO, Buriti de Goiás</v>
      </c>
      <c r="DJ923" s="406">
        <v>-16.181000000000001</v>
      </c>
      <c r="DK923" s="80">
        <v>-50.430999999999997</v>
      </c>
      <c r="DL923" s="80">
        <v>520</v>
      </c>
      <c r="DM923" s="64">
        <v>6</v>
      </c>
      <c r="DN923" s="406" t="s">
        <v>6509</v>
      </c>
      <c r="DO923" s="406">
        <v>-15.93</v>
      </c>
      <c r="DP923" s="80">
        <v>512</v>
      </c>
    </row>
    <row r="924" spans="29:120" x14ac:dyDescent="0.25">
      <c r="AC924" s="122" t="s">
        <v>27</v>
      </c>
      <c r="AD924" s="122" t="s">
        <v>1321</v>
      </c>
      <c r="AE924" s="127">
        <v>2</v>
      </c>
      <c r="DA924" s="122" t="s">
        <v>322</v>
      </c>
      <c r="DB924" s="122" t="s">
        <v>2691</v>
      </c>
      <c r="DC924" s="122" t="s">
        <v>2691</v>
      </c>
      <c r="DD924" s="127">
        <v>6</v>
      </c>
      <c r="DE924" s="127">
        <v>6</v>
      </c>
      <c r="DG924" s="405" t="s">
        <v>322</v>
      </c>
      <c r="DH924" s="406" t="s">
        <v>2691</v>
      </c>
      <c r="DI924" s="406" t="str">
        <f t="shared" si="46"/>
        <v>GO, Buritinópolis</v>
      </c>
      <c r="DJ924" s="406">
        <v>-14.478999999999999</v>
      </c>
      <c r="DK924" s="80">
        <v>-46.408000000000001</v>
      </c>
      <c r="DL924" s="80">
        <v>55</v>
      </c>
      <c r="DM924" s="64">
        <v>6</v>
      </c>
      <c r="DN924" s="406" t="s">
        <v>6520</v>
      </c>
      <c r="DO924" s="406">
        <v>-14.09</v>
      </c>
      <c r="DP924" s="80">
        <v>834</v>
      </c>
    </row>
    <row r="925" spans="29:120" x14ac:dyDescent="0.25">
      <c r="AC925" s="122" t="s">
        <v>236</v>
      </c>
      <c r="AD925" s="122" t="s">
        <v>1322</v>
      </c>
      <c r="AE925" s="127">
        <v>1</v>
      </c>
      <c r="DA925" s="122" t="s">
        <v>322</v>
      </c>
      <c r="DB925" s="122" t="s">
        <v>2356</v>
      </c>
      <c r="DC925" s="122" t="s">
        <v>2356</v>
      </c>
      <c r="DD925" s="127">
        <v>6</v>
      </c>
      <c r="DE925" s="127">
        <v>6</v>
      </c>
      <c r="DG925" s="405" t="s">
        <v>322</v>
      </c>
      <c r="DH925" s="406" t="s">
        <v>2356</v>
      </c>
      <c r="DI925" s="406" t="str">
        <f t="shared" si="46"/>
        <v>GO, Cabeceiras</v>
      </c>
      <c r="DJ925" s="406">
        <v>-15.801</v>
      </c>
      <c r="DK925" s="80">
        <v>-46.927</v>
      </c>
      <c r="DL925" s="80">
        <v>926</v>
      </c>
      <c r="DM925" s="64">
        <v>6</v>
      </c>
      <c r="DN925" s="406" t="s">
        <v>6539</v>
      </c>
      <c r="DO925" s="406">
        <v>-15.62</v>
      </c>
      <c r="DP925" s="80">
        <v>894</v>
      </c>
    </row>
    <row r="926" spans="29:120" x14ac:dyDescent="0.25">
      <c r="AC926" s="122" t="s">
        <v>236</v>
      </c>
      <c r="AD926" s="122" t="s">
        <v>1323</v>
      </c>
      <c r="AE926" s="127">
        <v>2</v>
      </c>
      <c r="DA926" s="122" t="s">
        <v>322</v>
      </c>
      <c r="DB926" s="122" t="s">
        <v>6540</v>
      </c>
      <c r="DC926" s="122" t="s">
        <v>2928</v>
      </c>
      <c r="DD926" s="127">
        <v>6</v>
      </c>
      <c r="DE926" s="127">
        <v>6</v>
      </c>
      <c r="DG926" s="405" t="s">
        <v>322</v>
      </c>
      <c r="DH926" s="406" t="s">
        <v>2928</v>
      </c>
      <c r="DI926" s="406" t="str">
        <f t="shared" si="46"/>
        <v>GO, Cachoeira Alta</v>
      </c>
      <c r="DJ926" s="406">
        <v>-18.763000000000002</v>
      </c>
      <c r="DK926" s="80">
        <v>-50.942</v>
      </c>
      <c r="DL926" s="80">
        <v>483</v>
      </c>
      <c r="DM926" s="64">
        <v>6</v>
      </c>
      <c r="DN926" s="406" t="s">
        <v>6541</v>
      </c>
      <c r="DO926" s="406">
        <v>-18.989999999999998</v>
      </c>
      <c r="DP926" s="80">
        <v>489</v>
      </c>
    </row>
    <row r="927" spans="29:120" x14ac:dyDescent="0.25">
      <c r="AC927" s="122" t="s">
        <v>236</v>
      </c>
      <c r="AD927" s="122" t="s">
        <v>1324</v>
      </c>
      <c r="AE927" s="127">
        <v>2</v>
      </c>
      <c r="DA927" s="122" t="s">
        <v>322</v>
      </c>
      <c r="DB927" s="122" t="s">
        <v>6542</v>
      </c>
      <c r="DC927" s="122" t="s">
        <v>2963</v>
      </c>
      <c r="DD927" s="127">
        <v>6</v>
      </c>
      <c r="DE927" s="127">
        <v>6</v>
      </c>
      <c r="DG927" s="405" t="s">
        <v>322</v>
      </c>
      <c r="DH927" s="406" t="s">
        <v>2963</v>
      </c>
      <c r="DI927" s="406" t="str">
        <f t="shared" si="46"/>
        <v>GO, Cachoeira de Goiás</v>
      </c>
      <c r="DJ927" s="406">
        <v>-16.667999999999999</v>
      </c>
      <c r="DK927" s="80">
        <v>-50.646999999999998</v>
      </c>
      <c r="DL927" s="80">
        <v>764</v>
      </c>
      <c r="DM927" s="64">
        <v>6</v>
      </c>
      <c r="DN927" s="406" t="s">
        <v>6507</v>
      </c>
      <c r="DO927" s="406">
        <v>-16.96</v>
      </c>
      <c r="DP927" s="80">
        <v>678</v>
      </c>
    </row>
    <row r="928" spans="29:120" x14ac:dyDescent="0.25">
      <c r="AC928" s="122" t="s">
        <v>236</v>
      </c>
      <c r="AD928" s="122" t="s">
        <v>1325</v>
      </c>
      <c r="AE928" s="127">
        <v>2</v>
      </c>
      <c r="DA928" s="122" t="s">
        <v>322</v>
      </c>
      <c r="DB928" s="122" t="s">
        <v>6543</v>
      </c>
      <c r="DC928" s="122" t="s">
        <v>2770</v>
      </c>
      <c r="DD928" s="127">
        <v>6</v>
      </c>
      <c r="DE928" s="127">
        <v>6</v>
      </c>
      <c r="DG928" s="405" t="s">
        <v>322</v>
      </c>
      <c r="DH928" s="406" t="s">
        <v>2770</v>
      </c>
      <c r="DI928" s="406" t="str">
        <f t="shared" si="46"/>
        <v>GO, Cachoeira Dourada</v>
      </c>
      <c r="DJ928" s="406">
        <v>-18.492000000000001</v>
      </c>
      <c r="DK928" s="80">
        <v>-49.475000000000001</v>
      </c>
      <c r="DL928" s="80">
        <v>459</v>
      </c>
      <c r="DM928" s="64">
        <v>6</v>
      </c>
      <c r="DN928" s="406" t="s">
        <v>6536</v>
      </c>
      <c r="DO928" s="406">
        <v>-18.41</v>
      </c>
      <c r="DP928" s="80">
        <v>488</v>
      </c>
    </row>
    <row r="929" spans="29:120" x14ac:dyDescent="0.25">
      <c r="AC929" s="122" t="s">
        <v>27</v>
      </c>
      <c r="AD929" s="122" t="s">
        <v>1326</v>
      </c>
      <c r="AE929" s="127">
        <v>2</v>
      </c>
      <c r="DA929" s="122" t="s">
        <v>322</v>
      </c>
      <c r="DB929" s="122" t="s">
        <v>2980</v>
      </c>
      <c r="DC929" s="122" t="s">
        <v>2980</v>
      </c>
      <c r="DD929" s="127">
        <v>6</v>
      </c>
      <c r="DE929" s="127">
        <v>6</v>
      </c>
      <c r="DG929" s="405" t="s">
        <v>322</v>
      </c>
      <c r="DH929" s="406" t="s">
        <v>2980</v>
      </c>
      <c r="DI929" s="406" t="str">
        <f t="shared" si="46"/>
        <v>GO, Caçu</v>
      </c>
      <c r="DJ929" s="406">
        <v>-18.556999999999999</v>
      </c>
      <c r="DK929" s="80">
        <v>-51.131</v>
      </c>
      <c r="DL929" s="80">
        <v>469</v>
      </c>
      <c r="DM929" s="64">
        <v>6</v>
      </c>
      <c r="DN929" s="406" t="s">
        <v>6541</v>
      </c>
      <c r="DO929" s="406">
        <v>-18.989999999999998</v>
      </c>
      <c r="DP929" s="80">
        <v>489</v>
      </c>
    </row>
    <row r="930" spans="29:120" x14ac:dyDescent="0.25">
      <c r="AC930" s="122" t="s">
        <v>27</v>
      </c>
      <c r="AD930" s="122" t="s">
        <v>1327</v>
      </c>
      <c r="AE930" s="127">
        <v>2</v>
      </c>
      <c r="DA930" s="122" t="s">
        <v>322</v>
      </c>
      <c r="DB930" s="122" t="s">
        <v>2406</v>
      </c>
      <c r="DC930" s="122" t="s">
        <v>2406</v>
      </c>
      <c r="DD930" s="127">
        <v>6</v>
      </c>
      <c r="DE930" s="127">
        <v>6</v>
      </c>
      <c r="DG930" s="405" t="s">
        <v>322</v>
      </c>
      <c r="DH930" s="406" t="s">
        <v>2406</v>
      </c>
      <c r="DI930" s="406" t="str">
        <f t="shared" si="46"/>
        <v>GO, Caiapônia</v>
      </c>
      <c r="DJ930" s="406">
        <v>-16.957000000000001</v>
      </c>
      <c r="DK930" s="80">
        <v>-51.81</v>
      </c>
      <c r="DL930" s="80">
        <v>692</v>
      </c>
      <c r="DM930" s="64">
        <v>6</v>
      </c>
      <c r="DN930" s="406" t="s">
        <v>6529</v>
      </c>
      <c r="DO930" s="406">
        <v>-16.96</v>
      </c>
      <c r="DP930" s="80">
        <v>737</v>
      </c>
    </row>
    <row r="931" spans="29:120" x14ac:dyDescent="0.25">
      <c r="AC931" s="122" t="s">
        <v>27</v>
      </c>
      <c r="AD931" s="122" t="s">
        <v>1328</v>
      </c>
      <c r="AE931" s="127">
        <v>3</v>
      </c>
      <c r="DA931" s="122" t="s">
        <v>322</v>
      </c>
      <c r="DB931" s="122" t="s">
        <v>6544</v>
      </c>
      <c r="DC931" s="122" t="s">
        <v>2626</v>
      </c>
      <c r="DD931" s="127">
        <v>4</v>
      </c>
      <c r="DE931" s="127">
        <v>4</v>
      </c>
      <c r="DG931" s="405" t="s">
        <v>322</v>
      </c>
      <c r="DH931" s="406" t="s">
        <v>2626</v>
      </c>
      <c r="DI931" s="406" t="str">
        <f t="shared" si="46"/>
        <v>GO, Caldas Novas</v>
      </c>
      <c r="DJ931" s="406">
        <v>-17.744</v>
      </c>
      <c r="DK931" s="80">
        <v>-48.625999999999998</v>
      </c>
      <c r="DL931" s="80">
        <v>686</v>
      </c>
      <c r="DM931" s="64">
        <v>4</v>
      </c>
      <c r="DN931" s="406" t="s">
        <v>6513</v>
      </c>
      <c r="DO931" s="406">
        <v>-17.73</v>
      </c>
      <c r="DP931" s="80">
        <v>771</v>
      </c>
    </row>
    <row r="932" spans="29:120" x14ac:dyDescent="0.25">
      <c r="AC932" s="122" t="s">
        <v>27</v>
      </c>
      <c r="AD932" s="122" t="s">
        <v>1329</v>
      </c>
      <c r="AE932" s="127">
        <v>2</v>
      </c>
      <c r="DA932" s="122" t="s">
        <v>322</v>
      </c>
      <c r="DB932" s="122" t="s">
        <v>2756</v>
      </c>
      <c r="DC932" s="122" t="s">
        <v>2756</v>
      </c>
      <c r="DD932" s="127">
        <v>6</v>
      </c>
      <c r="DE932" s="127">
        <v>6</v>
      </c>
      <c r="DG932" s="405" t="s">
        <v>322</v>
      </c>
      <c r="DH932" s="406" t="s">
        <v>2756</v>
      </c>
      <c r="DI932" s="406" t="str">
        <f t="shared" si="46"/>
        <v>GO, Caldazinha</v>
      </c>
      <c r="DJ932" s="406">
        <v>-16.713999999999999</v>
      </c>
      <c r="DK932" s="80">
        <v>-49.002000000000002</v>
      </c>
      <c r="DL932" s="80">
        <v>866</v>
      </c>
      <c r="DM932" s="64">
        <v>6</v>
      </c>
      <c r="DN932" s="406" t="s">
        <v>6533</v>
      </c>
      <c r="DO932" s="406">
        <v>-17.309999999999999</v>
      </c>
      <c r="DP932" s="80">
        <v>752</v>
      </c>
    </row>
    <row r="933" spans="29:120" x14ac:dyDescent="0.25">
      <c r="AC933" s="122" t="s">
        <v>236</v>
      </c>
      <c r="AD933" s="122" t="s">
        <v>1330</v>
      </c>
      <c r="AE933" s="127">
        <v>2</v>
      </c>
      <c r="DA933" s="122" t="s">
        <v>322</v>
      </c>
      <c r="DB933" s="122" t="s">
        <v>6545</v>
      </c>
      <c r="DC933" s="122" t="s">
        <v>2761</v>
      </c>
      <c r="DD933" s="127">
        <v>6</v>
      </c>
      <c r="DE933" s="127">
        <v>6</v>
      </c>
      <c r="DG933" s="405" t="s">
        <v>322</v>
      </c>
      <c r="DH933" s="406" t="s">
        <v>2761</v>
      </c>
      <c r="DI933" s="406" t="str">
        <f t="shared" si="46"/>
        <v>GO, Campestre de Goiás</v>
      </c>
      <c r="DJ933" s="406">
        <v>-16.762</v>
      </c>
      <c r="DK933" s="80">
        <v>-49.694000000000003</v>
      </c>
      <c r="DL933" s="80">
        <v>651</v>
      </c>
      <c r="DM933" s="64">
        <v>6</v>
      </c>
      <c r="DN933" s="406" t="s">
        <v>6507</v>
      </c>
      <c r="DO933" s="406">
        <v>-16.96</v>
      </c>
      <c r="DP933" s="80">
        <v>678</v>
      </c>
    </row>
    <row r="934" spans="29:120" x14ac:dyDescent="0.25">
      <c r="AC934" s="122" t="s">
        <v>27</v>
      </c>
      <c r="AD934" s="122" t="s">
        <v>1331</v>
      </c>
      <c r="AE934" s="127">
        <v>2</v>
      </c>
      <c r="DA934" s="122" t="s">
        <v>322</v>
      </c>
      <c r="DB934" s="122" t="s">
        <v>2824</v>
      </c>
      <c r="DC934" s="122" t="s">
        <v>2824</v>
      </c>
      <c r="DD934" s="127">
        <v>7</v>
      </c>
      <c r="DE934" s="127">
        <v>7</v>
      </c>
      <c r="DG934" s="405" t="s">
        <v>322</v>
      </c>
      <c r="DH934" s="406" t="s">
        <v>2824</v>
      </c>
      <c r="DI934" s="406" t="str">
        <f t="shared" si="46"/>
        <v>GO, Campinaçu</v>
      </c>
      <c r="DJ934" s="406">
        <v>-13.79</v>
      </c>
      <c r="DK934" s="80">
        <v>-48.570999999999998</v>
      </c>
      <c r="DL934" s="80">
        <v>690</v>
      </c>
      <c r="DM934" s="64">
        <v>7</v>
      </c>
      <c r="DN934" s="406" t="s">
        <v>6521</v>
      </c>
      <c r="DO934" s="406">
        <v>-14.47</v>
      </c>
      <c r="DP934" s="80">
        <v>583</v>
      </c>
    </row>
    <row r="935" spans="29:120" x14ac:dyDescent="0.25">
      <c r="AC935" s="122" t="s">
        <v>236</v>
      </c>
      <c r="AD935" s="122" t="s">
        <v>1332</v>
      </c>
      <c r="AE935" s="127">
        <v>2</v>
      </c>
      <c r="DA935" s="122" t="s">
        <v>322</v>
      </c>
      <c r="DB935" s="122" t="s">
        <v>2659</v>
      </c>
      <c r="DC935" s="122" t="s">
        <v>2659</v>
      </c>
      <c r="DD935" s="127">
        <v>6</v>
      </c>
      <c r="DE935" s="127">
        <v>6</v>
      </c>
      <c r="DG935" s="405" t="s">
        <v>322</v>
      </c>
      <c r="DH935" s="406" t="s">
        <v>2659</v>
      </c>
      <c r="DI935" s="406" t="str">
        <f t="shared" si="46"/>
        <v>GO, Campinorte</v>
      </c>
      <c r="DJ935" s="406">
        <v>-14.314</v>
      </c>
      <c r="DK935" s="80">
        <v>-49.152000000000001</v>
      </c>
      <c r="DL935" s="80">
        <v>537</v>
      </c>
      <c r="DM935" s="64">
        <v>6</v>
      </c>
      <c r="DN935" s="406" t="s">
        <v>6521</v>
      </c>
      <c r="DO935" s="406">
        <v>-14.47</v>
      </c>
      <c r="DP935" s="80">
        <v>583</v>
      </c>
    </row>
    <row r="936" spans="29:120" x14ac:dyDescent="0.25">
      <c r="AC936" s="122" t="s">
        <v>27</v>
      </c>
      <c r="AD936" s="122" t="s">
        <v>1333</v>
      </c>
      <c r="AE936" s="127">
        <v>2</v>
      </c>
      <c r="DA936" s="122" t="s">
        <v>322</v>
      </c>
      <c r="DB936" s="122" t="s">
        <v>6546</v>
      </c>
      <c r="DC936" s="122" t="s">
        <v>2661</v>
      </c>
      <c r="DD936" s="127">
        <v>6</v>
      </c>
      <c r="DE936" s="127">
        <v>6</v>
      </c>
      <c r="DG936" s="405" t="s">
        <v>322</v>
      </c>
      <c r="DH936" s="406" t="s">
        <v>2661</v>
      </c>
      <c r="DI936" s="406" t="str">
        <f t="shared" si="46"/>
        <v>GO, Campo Alegre de Goiás</v>
      </c>
      <c r="DJ936" s="406">
        <v>-17.638999999999999</v>
      </c>
      <c r="DK936" s="80">
        <v>-47.781999999999996</v>
      </c>
      <c r="DL936" s="80">
        <v>877</v>
      </c>
      <c r="DM936" s="64">
        <v>6</v>
      </c>
      <c r="DN936" s="406" t="s">
        <v>6523</v>
      </c>
      <c r="DO936" s="406">
        <v>-18.16</v>
      </c>
      <c r="DP936" s="80">
        <v>890</v>
      </c>
    </row>
    <row r="937" spans="29:120" x14ac:dyDescent="0.25">
      <c r="AC937" s="122" t="s">
        <v>236</v>
      </c>
      <c r="AD937" s="122" t="s">
        <v>1334</v>
      </c>
      <c r="AE937" s="127">
        <v>2</v>
      </c>
      <c r="DA937" s="122" t="s">
        <v>322</v>
      </c>
      <c r="DB937" s="122" t="s">
        <v>6547</v>
      </c>
      <c r="DC937" s="122" t="s">
        <v>2764</v>
      </c>
      <c r="DD937" s="127">
        <v>6</v>
      </c>
      <c r="DE937" s="127">
        <v>6</v>
      </c>
      <c r="DG937" s="405" t="s">
        <v>322</v>
      </c>
      <c r="DH937" s="406" t="s">
        <v>2764</v>
      </c>
      <c r="DI937" s="406" t="str">
        <f t="shared" si="46"/>
        <v>GO, Campo Limpo de Goiás</v>
      </c>
      <c r="DJ937" s="406">
        <v>-16.297000000000001</v>
      </c>
      <c r="DK937" s="80">
        <v>-49.088000000000001</v>
      </c>
      <c r="DL937" s="80">
        <v>905</v>
      </c>
      <c r="DM937" s="64">
        <v>6</v>
      </c>
      <c r="DN937" s="406" t="s">
        <v>6548</v>
      </c>
      <c r="DO937" s="406">
        <v>-15.37</v>
      </c>
      <c r="DP937" s="80">
        <v>770</v>
      </c>
    </row>
    <row r="938" spans="29:120" x14ac:dyDescent="0.25">
      <c r="AC938" s="122" t="s">
        <v>27</v>
      </c>
      <c r="AD938" s="122" t="s">
        <v>1335</v>
      </c>
      <c r="AE938" s="127">
        <v>2</v>
      </c>
      <c r="DA938" s="122" t="s">
        <v>322</v>
      </c>
      <c r="DB938" s="122" t="s">
        <v>6549</v>
      </c>
      <c r="DC938" s="122" t="s">
        <v>4575</v>
      </c>
      <c r="DD938" s="127">
        <v>7</v>
      </c>
      <c r="DE938" s="127">
        <v>7</v>
      </c>
      <c r="DG938" s="405" t="s">
        <v>322</v>
      </c>
      <c r="DH938" s="406" t="s">
        <v>4575</v>
      </c>
      <c r="DI938" s="406" t="str">
        <f t="shared" si="46"/>
        <v>GO, Campos Belos</v>
      </c>
      <c r="DJ938" s="406">
        <v>-13.037000000000001</v>
      </c>
      <c r="DK938" s="80">
        <v>-46.771999999999998</v>
      </c>
      <c r="DL938" s="80">
        <v>643</v>
      </c>
      <c r="DM938" s="64">
        <v>7</v>
      </c>
      <c r="DN938" s="406" t="s">
        <v>6550</v>
      </c>
      <c r="DO938" s="406">
        <v>-13.5</v>
      </c>
      <c r="DP938" s="80">
        <v>1253</v>
      </c>
    </row>
    <row r="939" spans="29:120" x14ac:dyDescent="0.25">
      <c r="AC939" s="122" t="s">
        <v>236</v>
      </c>
      <c r="AD939" s="122" t="s">
        <v>1336</v>
      </c>
      <c r="AE939" s="127">
        <v>2</v>
      </c>
      <c r="DA939" s="122" t="s">
        <v>322</v>
      </c>
      <c r="DB939" s="122" t="s">
        <v>6551</v>
      </c>
      <c r="DC939" s="122" t="s">
        <v>2593</v>
      </c>
      <c r="DD939" s="127">
        <v>6</v>
      </c>
      <c r="DE939" s="127">
        <v>6</v>
      </c>
      <c r="DG939" s="405" t="s">
        <v>322</v>
      </c>
      <c r="DH939" s="406" t="s">
        <v>2593</v>
      </c>
      <c r="DI939" s="406" t="str">
        <f t="shared" si="46"/>
        <v>GO, Campos Verdes</v>
      </c>
      <c r="DJ939" s="406">
        <v>-14.257999999999999</v>
      </c>
      <c r="DK939" s="80">
        <v>-49.658000000000001</v>
      </c>
      <c r="DL939" s="80">
        <v>420</v>
      </c>
      <c r="DM939" s="64">
        <v>6</v>
      </c>
      <c r="DN939" s="406" t="s">
        <v>6516</v>
      </c>
      <c r="DO939" s="406">
        <v>-14.95</v>
      </c>
      <c r="DP939" s="80">
        <v>522</v>
      </c>
    </row>
    <row r="940" spans="29:120" x14ac:dyDescent="0.25">
      <c r="AC940" s="122" t="s">
        <v>236</v>
      </c>
      <c r="AD940" s="122" t="s">
        <v>1337</v>
      </c>
      <c r="AE940" s="127">
        <v>2</v>
      </c>
      <c r="DA940" s="122" t="s">
        <v>322</v>
      </c>
      <c r="DB940" s="122" t="s">
        <v>6552</v>
      </c>
      <c r="DC940" s="122" t="s">
        <v>4773</v>
      </c>
      <c r="DD940" s="127">
        <v>6</v>
      </c>
      <c r="DE940" s="127">
        <v>6</v>
      </c>
      <c r="DG940" s="405" t="s">
        <v>322</v>
      </c>
      <c r="DH940" s="406" t="s">
        <v>4773</v>
      </c>
      <c r="DI940" s="406" t="str">
        <f t="shared" si="46"/>
        <v>GO, Carmo do Rio Verde</v>
      </c>
      <c r="DJ940" s="406">
        <v>-15.353999999999999</v>
      </c>
      <c r="DK940" s="80">
        <v>-49.707999999999998</v>
      </c>
      <c r="DL940" s="80">
        <v>629</v>
      </c>
      <c r="DM940" s="64">
        <v>6</v>
      </c>
      <c r="DN940" s="406" t="s">
        <v>6516</v>
      </c>
      <c r="DO940" s="406">
        <v>-14.95</v>
      </c>
      <c r="DP940" s="80">
        <v>522</v>
      </c>
    </row>
    <row r="941" spans="29:120" x14ac:dyDescent="0.25">
      <c r="AC941" s="122" t="s">
        <v>236</v>
      </c>
      <c r="AD941" s="122" t="s">
        <v>1338</v>
      </c>
      <c r="AE941" s="127">
        <v>2</v>
      </c>
      <c r="DA941" s="122" t="s">
        <v>322</v>
      </c>
      <c r="DB941" s="122" t="s">
        <v>2684</v>
      </c>
      <c r="DC941" s="122" t="s">
        <v>2684</v>
      </c>
      <c r="DD941" s="127">
        <v>6</v>
      </c>
      <c r="DE941" s="127">
        <v>6</v>
      </c>
      <c r="DG941" s="405" t="s">
        <v>322</v>
      </c>
      <c r="DH941" s="406" t="s">
        <v>2684</v>
      </c>
      <c r="DI941" s="406" t="str">
        <f t="shared" si="46"/>
        <v>GO, Castelândia</v>
      </c>
      <c r="DJ941" s="406">
        <v>-18.091000000000001</v>
      </c>
      <c r="DK941" s="80">
        <v>-50.201000000000001</v>
      </c>
      <c r="DL941" s="80">
        <v>442</v>
      </c>
      <c r="DM941" s="64">
        <v>6</v>
      </c>
      <c r="DN941" s="406" t="s">
        <v>6526</v>
      </c>
      <c r="DO941" s="406">
        <v>-17.8</v>
      </c>
      <c r="DP941" s="80">
        <v>782</v>
      </c>
    </row>
    <row r="942" spans="29:120" x14ac:dyDescent="0.25">
      <c r="AC942" s="122" t="s">
        <v>236</v>
      </c>
      <c r="AD942" s="122" t="s">
        <v>1339</v>
      </c>
      <c r="AE942" s="127">
        <v>2</v>
      </c>
      <c r="DA942" s="122" t="s">
        <v>322</v>
      </c>
      <c r="DB942" s="122" t="s">
        <v>2315</v>
      </c>
      <c r="DC942" s="122" t="s">
        <v>2315</v>
      </c>
      <c r="DD942" s="127">
        <v>6</v>
      </c>
      <c r="DE942" s="127">
        <v>6</v>
      </c>
      <c r="DG942" s="405" t="s">
        <v>322</v>
      </c>
      <c r="DH942" s="406" t="s">
        <v>2315</v>
      </c>
      <c r="DI942" s="406" t="str">
        <f t="shared" si="46"/>
        <v>GO, Catalão</v>
      </c>
      <c r="DJ942" s="406">
        <v>-18.170000000000002</v>
      </c>
      <c r="DK942" s="80">
        <v>-47.942</v>
      </c>
      <c r="DL942" s="80">
        <v>835</v>
      </c>
      <c r="DM942" s="64">
        <v>6</v>
      </c>
      <c r="DN942" s="406" t="s">
        <v>6523</v>
      </c>
      <c r="DO942" s="406">
        <v>-18.16</v>
      </c>
      <c r="DP942" s="80">
        <v>890</v>
      </c>
    </row>
    <row r="943" spans="29:120" x14ac:dyDescent="0.25">
      <c r="AC943" s="122" t="s">
        <v>236</v>
      </c>
      <c r="AD943" s="122" t="s">
        <v>1340</v>
      </c>
      <c r="AE943" s="127">
        <v>2</v>
      </c>
      <c r="DA943" s="122" t="s">
        <v>322</v>
      </c>
      <c r="DB943" s="122" t="s">
        <v>2773</v>
      </c>
      <c r="DC943" s="122" t="s">
        <v>2773</v>
      </c>
      <c r="DD943" s="127">
        <v>6</v>
      </c>
      <c r="DE943" s="127">
        <v>6</v>
      </c>
      <c r="DG943" s="405" t="s">
        <v>322</v>
      </c>
      <c r="DH943" s="406" t="s">
        <v>2773</v>
      </c>
      <c r="DI943" s="406" t="str">
        <f t="shared" si="46"/>
        <v>GO, Caturaí</v>
      </c>
      <c r="DJ943" s="406">
        <v>-16.446999999999999</v>
      </c>
      <c r="DK943" s="80">
        <v>-49.494</v>
      </c>
      <c r="DL943" s="80">
        <v>763</v>
      </c>
      <c r="DM943" s="64">
        <v>6</v>
      </c>
      <c r="DN943" s="406" t="s">
        <v>6509</v>
      </c>
      <c r="DO943" s="406">
        <v>-15.93</v>
      </c>
      <c r="DP943" s="80">
        <v>512</v>
      </c>
    </row>
    <row r="944" spans="29:120" x14ac:dyDescent="0.25">
      <c r="AC944" s="122" t="s">
        <v>27</v>
      </c>
      <c r="AD944" s="122" t="s">
        <v>1341</v>
      </c>
      <c r="AE944" s="127">
        <v>2</v>
      </c>
      <c r="DA944" s="122" t="s">
        <v>322</v>
      </c>
      <c r="DB944" s="122" t="s">
        <v>2375</v>
      </c>
      <c r="DC944" s="122" t="s">
        <v>2375</v>
      </c>
      <c r="DD944" s="127">
        <v>6</v>
      </c>
      <c r="DE944" s="127">
        <v>6</v>
      </c>
      <c r="DG944" s="405" t="s">
        <v>322</v>
      </c>
      <c r="DH944" s="406" t="s">
        <v>2375</v>
      </c>
      <c r="DI944" s="406" t="str">
        <f t="shared" si="46"/>
        <v>GO, Cavalcante</v>
      </c>
      <c r="DJ944" s="406">
        <v>-13.798</v>
      </c>
      <c r="DK944" s="80">
        <v>-47.457999999999998</v>
      </c>
      <c r="DL944" s="80">
        <v>823</v>
      </c>
      <c r="DM944" s="64">
        <v>6</v>
      </c>
      <c r="DN944" s="406" t="s">
        <v>6518</v>
      </c>
      <c r="DO944" s="406">
        <v>-14.13</v>
      </c>
      <c r="DP944" s="80">
        <v>1260</v>
      </c>
    </row>
    <row r="945" spans="29:120" x14ac:dyDescent="0.25">
      <c r="AC945" s="122" t="s">
        <v>236</v>
      </c>
      <c r="AD945" s="122" t="s">
        <v>1342</v>
      </c>
      <c r="AE945" s="127">
        <v>2</v>
      </c>
      <c r="DA945" s="122" t="s">
        <v>322</v>
      </c>
      <c r="DB945" s="122" t="s">
        <v>4771</v>
      </c>
      <c r="DC945" s="122" t="s">
        <v>4771</v>
      </c>
      <c r="DD945" s="127">
        <v>6</v>
      </c>
      <c r="DE945" s="127">
        <v>6</v>
      </c>
      <c r="DG945" s="405" t="s">
        <v>322</v>
      </c>
      <c r="DH945" s="406" t="s">
        <v>4771</v>
      </c>
      <c r="DI945" s="406" t="str">
        <f t="shared" si="46"/>
        <v>GO, Ceres</v>
      </c>
      <c r="DJ945" s="406">
        <v>-15.308</v>
      </c>
      <c r="DK945" s="80">
        <v>-49.597999999999999</v>
      </c>
      <c r="DL945" s="80">
        <v>571</v>
      </c>
      <c r="DM945" s="64">
        <v>6</v>
      </c>
      <c r="DN945" s="406" t="s">
        <v>6548</v>
      </c>
      <c r="DO945" s="406">
        <v>-15.37</v>
      </c>
      <c r="DP945" s="80">
        <v>770</v>
      </c>
    </row>
    <row r="946" spans="29:120" x14ac:dyDescent="0.25">
      <c r="AC946" s="122" t="s">
        <v>236</v>
      </c>
      <c r="AD946" s="122" t="s">
        <v>1343</v>
      </c>
      <c r="AE946" s="127">
        <v>2</v>
      </c>
      <c r="DA946" s="122" t="s">
        <v>322</v>
      </c>
      <c r="DB946" s="122" t="s">
        <v>2788</v>
      </c>
      <c r="DC946" s="122" t="s">
        <v>2788</v>
      </c>
      <c r="DD946" s="127">
        <v>6</v>
      </c>
      <c r="DE946" s="127">
        <v>6</v>
      </c>
      <c r="DG946" s="405" t="s">
        <v>322</v>
      </c>
      <c r="DH946" s="406" t="s">
        <v>2788</v>
      </c>
      <c r="DI946" s="406" t="str">
        <f t="shared" si="46"/>
        <v>GO, Cezarina</v>
      </c>
      <c r="DJ946" s="406">
        <v>-16.972000000000001</v>
      </c>
      <c r="DK946" s="80">
        <v>-49.776000000000003</v>
      </c>
      <c r="DL946" s="80">
        <v>596</v>
      </c>
      <c r="DM946" s="64">
        <v>6</v>
      </c>
      <c r="DN946" s="406" t="s">
        <v>6507</v>
      </c>
      <c r="DO946" s="406">
        <v>-16.96</v>
      </c>
      <c r="DP946" s="80">
        <v>678</v>
      </c>
    </row>
    <row r="947" spans="29:120" x14ac:dyDescent="0.25">
      <c r="AC947" s="122" t="s">
        <v>236</v>
      </c>
      <c r="AD947" s="122" t="s">
        <v>1344</v>
      </c>
      <c r="AE947" s="127">
        <v>2</v>
      </c>
      <c r="DA947" s="122" t="s">
        <v>322</v>
      </c>
      <c r="DB947" s="122" t="s">
        <v>6553</v>
      </c>
      <c r="DC947" s="122" t="s">
        <v>2731</v>
      </c>
      <c r="DD947" s="127">
        <v>6</v>
      </c>
      <c r="DE947" s="127">
        <v>6</v>
      </c>
      <c r="DG947" s="405" t="s">
        <v>322</v>
      </c>
      <c r="DH947" s="406" t="s">
        <v>2731</v>
      </c>
      <c r="DI947" s="406" t="str">
        <f t="shared" si="46"/>
        <v>GO, Chapadão do Céu</v>
      </c>
      <c r="DJ947" s="406">
        <v>-18.408000000000001</v>
      </c>
      <c r="DK947" s="80">
        <v>-52.548999999999999</v>
      </c>
      <c r="DL947" s="80">
        <v>725</v>
      </c>
      <c r="DM947" s="64">
        <v>6</v>
      </c>
      <c r="DN947" s="406" t="s">
        <v>6527</v>
      </c>
      <c r="DO947" s="406">
        <v>-18.79</v>
      </c>
      <c r="DP947" s="80">
        <v>818</v>
      </c>
    </row>
    <row r="948" spans="29:120" x14ac:dyDescent="0.25">
      <c r="AC948" s="122" t="s">
        <v>27</v>
      </c>
      <c r="AD948" s="122" t="s">
        <v>1345</v>
      </c>
      <c r="AE948" s="127">
        <v>2</v>
      </c>
      <c r="DA948" s="122" t="s">
        <v>322</v>
      </c>
      <c r="DB948" s="122" t="s">
        <v>6554</v>
      </c>
      <c r="DC948" s="122" t="s">
        <v>2784</v>
      </c>
      <c r="DD948" s="127">
        <v>4</v>
      </c>
      <c r="DE948" s="127">
        <v>4</v>
      </c>
      <c r="DG948" s="405" t="s">
        <v>322</v>
      </c>
      <c r="DH948" s="406" t="s">
        <v>2784</v>
      </c>
      <c r="DI948" s="406" t="str">
        <f t="shared" si="46"/>
        <v>GO, Cidade Ocidental</v>
      </c>
      <c r="DJ948" s="406">
        <v>-16.077000000000002</v>
      </c>
      <c r="DK948" s="80">
        <v>-47.924999999999997</v>
      </c>
      <c r="DL948" s="80">
        <v>1057</v>
      </c>
      <c r="DM948" s="64">
        <v>4</v>
      </c>
      <c r="DN948" s="406" t="s">
        <v>6508</v>
      </c>
      <c r="DO948" s="406">
        <v>-16.25</v>
      </c>
      <c r="DP948" s="80">
        <v>958</v>
      </c>
    </row>
    <row r="949" spans="29:120" x14ac:dyDescent="0.25">
      <c r="AC949" s="122" t="s">
        <v>236</v>
      </c>
      <c r="AD949" s="122" t="s">
        <v>1346</v>
      </c>
      <c r="AE949" s="127">
        <v>2</v>
      </c>
      <c r="DA949" s="122" t="s">
        <v>322</v>
      </c>
      <c r="DB949" s="122" t="s">
        <v>6555</v>
      </c>
      <c r="DC949" s="122" t="s">
        <v>2991</v>
      </c>
      <c r="DD949" s="127">
        <v>6</v>
      </c>
      <c r="DE949" s="127">
        <v>6</v>
      </c>
      <c r="DG949" s="405" t="s">
        <v>322</v>
      </c>
      <c r="DH949" s="406" t="s">
        <v>2991</v>
      </c>
      <c r="DI949" s="406" t="str">
        <f t="shared" si="46"/>
        <v>GO, Cocalzinho de Goiás</v>
      </c>
      <c r="DJ949" s="406">
        <v>-15.794</v>
      </c>
      <c r="DK949" s="80">
        <v>-48.776000000000003</v>
      </c>
      <c r="DL949" s="80">
        <v>1152</v>
      </c>
      <c r="DM949" s="64">
        <v>6</v>
      </c>
      <c r="DN949" s="406" t="s">
        <v>6531</v>
      </c>
      <c r="DO949" s="406">
        <v>-15.32</v>
      </c>
      <c r="DP949" s="80">
        <v>667</v>
      </c>
    </row>
    <row r="950" spans="29:120" x14ac:dyDescent="0.25">
      <c r="AC950" s="122" t="s">
        <v>236</v>
      </c>
      <c r="AD950" s="122" t="s">
        <v>1347</v>
      </c>
      <c r="AE950" s="127">
        <v>2</v>
      </c>
      <c r="DA950" s="122" t="s">
        <v>322</v>
      </c>
      <c r="DB950" s="122" t="s">
        <v>6556</v>
      </c>
      <c r="DC950" s="122" t="s">
        <v>2373</v>
      </c>
      <c r="DD950" s="127">
        <v>6</v>
      </c>
      <c r="DE950" s="127">
        <v>6</v>
      </c>
      <c r="DG950" s="405" t="s">
        <v>322</v>
      </c>
      <c r="DH950" s="406" t="s">
        <v>2373</v>
      </c>
      <c r="DI950" s="406" t="str">
        <f t="shared" si="46"/>
        <v>GO, Colinas do Sul</v>
      </c>
      <c r="DJ950" s="406">
        <v>-14.151</v>
      </c>
      <c r="DK950" s="80">
        <v>-48.078000000000003</v>
      </c>
      <c r="DL950" s="80">
        <v>535</v>
      </c>
      <c r="DM950" s="64">
        <v>6</v>
      </c>
      <c r="DN950" s="406" t="s">
        <v>6521</v>
      </c>
      <c r="DO950" s="406">
        <v>-14.47</v>
      </c>
      <c r="DP950" s="80">
        <v>583</v>
      </c>
    </row>
    <row r="951" spans="29:120" x14ac:dyDescent="0.25">
      <c r="AC951" s="122" t="s">
        <v>27</v>
      </c>
      <c r="AD951" s="122" t="s">
        <v>1348</v>
      </c>
      <c r="AE951" s="127">
        <v>3</v>
      </c>
      <c r="DA951" s="122" t="s">
        <v>322</v>
      </c>
      <c r="DB951" s="122" t="s">
        <v>6557</v>
      </c>
      <c r="DC951" s="122" t="s">
        <v>5549</v>
      </c>
      <c r="DD951" s="127">
        <v>6</v>
      </c>
      <c r="DE951" s="127">
        <v>6</v>
      </c>
      <c r="DG951" s="405" t="s">
        <v>322</v>
      </c>
      <c r="DH951" s="406" t="s">
        <v>5549</v>
      </c>
      <c r="DI951" s="406" t="str">
        <f t="shared" si="46"/>
        <v>GO, Córrego do Ouro</v>
      </c>
      <c r="DJ951" s="406">
        <v>-16.294</v>
      </c>
      <c r="DK951" s="80">
        <v>-50.548000000000002</v>
      </c>
      <c r="DL951" s="80">
        <v>563</v>
      </c>
      <c r="DM951" s="64">
        <v>6</v>
      </c>
      <c r="DN951" s="406" t="s">
        <v>6509</v>
      </c>
      <c r="DO951" s="406">
        <v>-15.93</v>
      </c>
      <c r="DP951" s="80">
        <v>512</v>
      </c>
    </row>
    <row r="952" spans="29:120" x14ac:dyDescent="0.25">
      <c r="AC952" s="122" t="s">
        <v>27</v>
      </c>
      <c r="AD952" s="122" t="s">
        <v>557</v>
      </c>
      <c r="AE952" s="127">
        <v>2</v>
      </c>
      <c r="DA952" s="122" t="s">
        <v>322</v>
      </c>
      <c r="DB952" s="122" t="s">
        <v>6558</v>
      </c>
      <c r="DC952" s="122" t="s">
        <v>2947</v>
      </c>
      <c r="DD952" s="127">
        <v>6</v>
      </c>
      <c r="DE952" s="127">
        <v>6</v>
      </c>
      <c r="DG952" s="405" t="s">
        <v>322</v>
      </c>
      <c r="DH952" s="406" t="s">
        <v>2947</v>
      </c>
      <c r="DI952" s="406" t="str">
        <f t="shared" si="46"/>
        <v>GO, Corumbá de Goiás</v>
      </c>
      <c r="DJ952" s="406">
        <v>-15.923999999999999</v>
      </c>
      <c r="DK952" s="80">
        <v>-48.808999999999997</v>
      </c>
      <c r="DL952" s="80">
        <v>962</v>
      </c>
      <c r="DM952" s="64">
        <v>6</v>
      </c>
      <c r="DN952" s="406" t="s">
        <v>6531</v>
      </c>
      <c r="DO952" s="406">
        <v>-15.32</v>
      </c>
      <c r="DP952" s="80">
        <v>667</v>
      </c>
    </row>
    <row r="953" spans="29:120" x14ac:dyDescent="0.25">
      <c r="AC953" s="122" t="s">
        <v>236</v>
      </c>
      <c r="AD953" s="122" t="s">
        <v>1349</v>
      </c>
      <c r="AE953" s="127">
        <v>2</v>
      </c>
      <c r="DA953" s="122" t="s">
        <v>322</v>
      </c>
      <c r="DB953" s="122" t="s">
        <v>2786</v>
      </c>
      <c r="DC953" s="122" t="s">
        <v>2786</v>
      </c>
      <c r="DD953" s="127">
        <v>6</v>
      </c>
      <c r="DE953" s="127">
        <v>6</v>
      </c>
      <c r="DG953" s="405" t="s">
        <v>322</v>
      </c>
      <c r="DH953" s="406" t="s">
        <v>2786</v>
      </c>
      <c r="DI953" s="406" t="str">
        <f t="shared" si="46"/>
        <v>GO, Corumbaíba</v>
      </c>
      <c r="DJ953" s="406">
        <v>-18.141999999999999</v>
      </c>
      <c r="DK953" s="80">
        <v>-48.561999999999998</v>
      </c>
      <c r="DL953" s="80">
        <v>633</v>
      </c>
      <c r="DM953" s="64">
        <v>6</v>
      </c>
      <c r="DN953" s="406" t="s">
        <v>6523</v>
      </c>
      <c r="DO953" s="406">
        <v>-18.16</v>
      </c>
      <c r="DP953" s="80">
        <v>890</v>
      </c>
    </row>
    <row r="954" spans="29:120" x14ac:dyDescent="0.25">
      <c r="AC954" s="122" t="s">
        <v>236</v>
      </c>
      <c r="AD954" s="122" t="s">
        <v>1350</v>
      </c>
      <c r="AE954" s="127">
        <v>2</v>
      </c>
      <c r="DA954" s="122" t="s">
        <v>322</v>
      </c>
      <c r="DB954" s="122" t="s">
        <v>2002</v>
      </c>
      <c r="DC954" s="122" t="s">
        <v>2002</v>
      </c>
      <c r="DD954" s="127">
        <v>4</v>
      </c>
      <c r="DE954" s="127">
        <v>4</v>
      </c>
      <c r="DG954" s="405" t="s">
        <v>322</v>
      </c>
      <c r="DH954" s="406" t="s">
        <v>2002</v>
      </c>
      <c r="DI954" s="406" t="str">
        <f t="shared" si="46"/>
        <v>GO, Cristalina</v>
      </c>
      <c r="DJ954" s="406">
        <v>-16.768999999999998</v>
      </c>
      <c r="DK954" s="80">
        <v>-47.613999999999997</v>
      </c>
      <c r="DL954" s="80">
        <v>1189</v>
      </c>
      <c r="DM954" s="64">
        <v>4</v>
      </c>
      <c r="DN954" s="406" t="s">
        <v>6559</v>
      </c>
      <c r="DO954" s="406">
        <v>-16.79</v>
      </c>
      <c r="DP954" s="80">
        <v>1202</v>
      </c>
    </row>
    <row r="955" spans="29:120" x14ac:dyDescent="0.25">
      <c r="AC955" s="122" t="s">
        <v>236</v>
      </c>
      <c r="AD955" s="122" t="s">
        <v>1351</v>
      </c>
      <c r="AE955" s="127">
        <v>2</v>
      </c>
      <c r="DA955" s="122" t="s">
        <v>322</v>
      </c>
      <c r="DB955" s="122" t="s">
        <v>2833</v>
      </c>
      <c r="DC955" s="122" t="s">
        <v>2833</v>
      </c>
      <c r="DD955" s="127">
        <v>6</v>
      </c>
      <c r="DE955" s="127">
        <v>6</v>
      </c>
      <c r="DG955" s="405" t="s">
        <v>322</v>
      </c>
      <c r="DH955" s="406" t="s">
        <v>2833</v>
      </c>
      <c r="DI955" s="406" t="str">
        <f t="shared" si="46"/>
        <v>GO, Cristianópolis</v>
      </c>
      <c r="DJ955" s="406">
        <v>-17.199000000000002</v>
      </c>
      <c r="DK955" s="80">
        <v>-48.704000000000001</v>
      </c>
      <c r="DL955" s="80">
        <v>802</v>
      </c>
      <c r="DM955" s="64">
        <v>6</v>
      </c>
      <c r="DN955" s="406" t="s">
        <v>6533</v>
      </c>
      <c r="DO955" s="406">
        <v>-17.309999999999999</v>
      </c>
      <c r="DP955" s="80">
        <v>752</v>
      </c>
    </row>
    <row r="956" spans="29:120" x14ac:dyDescent="0.25">
      <c r="AC956" s="122" t="s">
        <v>236</v>
      </c>
      <c r="AD956" s="122" t="s">
        <v>1352</v>
      </c>
      <c r="AE956" s="127">
        <v>2</v>
      </c>
      <c r="DA956" s="122" t="s">
        <v>322</v>
      </c>
      <c r="DB956" s="122" t="s">
        <v>2508</v>
      </c>
      <c r="DC956" s="122" t="s">
        <v>2508</v>
      </c>
      <c r="DD956" s="127">
        <v>6</v>
      </c>
      <c r="DE956" s="127">
        <v>6</v>
      </c>
      <c r="DG956" s="405" t="s">
        <v>322</v>
      </c>
      <c r="DH956" s="406" t="s">
        <v>2508</v>
      </c>
      <c r="DI956" s="406" t="str">
        <f t="shared" si="46"/>
        <v>GO, Crixás</v>
      </c>
      <c r="DJ956" s="406">
        <v>-14.548999999999999</v>
      </c>
      <c r="DK956" s="80">
        <v>-49.969000000000001</v>
      </c>
      <c r="DL956" s="80">
        <v>389</v>
      </c>
      <c r="DM956" s="64">
        <v>6</v>
      </c>
      <c r="DN956" s="406" t="s">
        <v>6516</v>
      </c>
      <c r="DO956" s="406">
        <v>-14.95</v>
      </c>
      <c r="DP956" s="80">
        <v>522</v>
      </c>
    </row>
    <row r="957" spans="29:120" x14ac:dyDescent="0.25">
      <c r="AC957" s="122" t="s">
        <v>27</v>
      </c>
      <c r="AD957" s="122" t="s">
        <v>1353</v>
      </c>
      <c r="AE957" s="127">
        <v>2</v>
      </c>
      <c r="DA957" s="122" t="s">
        <v>322</v>
      </c>
      <c r="DB957" s="122" t="s">
        <v>2711</v>
      </c>
      <c r="DC957" s="122" t="s">
        <v>2711</v>
      </c>
      <c r="DD957" s="127">
        <v>6</v>
      </c>
      <c r="DE957" s="127">
        <v>6</v>
      </c>
      <c r="DG957" s="405" t="s">
        <v>322</v>
      </c>
      <c r="DH957" s="406" t="s">
        <v>2711</v>
      </c>
      <c r="DI957" s="406" t="str">
        <f t="shared" si="46"/>
        <v>GO, Cromínia</v>
      </c>
      <c r="DJ957" s="406">
        <v>-17.288</v>
      </c>
      <c r="DK957" s="80">
        <v>-49.381</v>
      </c>
      <c r="DL957" s="80">
        <v>694</v>
      </c>
      <c r="DM957" s="64">
        <v>6</v>
      </c>
      <c r="DN957" s="406" t="s">
        <v>6513</v>
      </c>
      <c r="DO957" s="406">
        <v>-17.73</v>
      </c>
      <c r="DP957" s="80">
        <v>771</v>
      </c>
    </row>
    <row r="958" spans="29:120" x14ac:dyDescent="0.25">
      <c r="AC958" s="122" t="s">
        <v>236</v>
      </c>
      <c r="AD958" s="122" t="s">
        <v>1354</v>
      </c>
      <c r="AE958" s="127">
        <v>2</v>
      </c>
      <c r="DA958" s="122" t="s">
        <v>322</v>
      </c>
      <c r="DB958" s="122" t="s">
        <v>2317</v>
      </c>
      <c r="DC958" s="122" t="s">
        <v>2317</v>
      </c>
      <c r="DD958" s="127">
        <v>6</v>
      </c>
      <c r="DE958" s="127">
        <v>6</v>
      </c>
      <c r="DG958" s="405" t="s">
        <v>322</v>
      </c>
      <c r="DH958" s="406" t="s">
        <v>2317</v>
      </c>
      <c r="DI958" s="406" t="str">
        <f t="shared" si="46"/>
        <v>GO, Cumari</v>
      </c>
      <c r="DJ958" s="406">
        <v>-18.263000000000002</v>
      </c>
      <c r="DK958" s="80">
        <v>-48.151000000000003</v>
      </c>
      <c r="DL958" s="80">
        <v>692</v>
      </c>
      <c r="DM958" s="64">
        <v>6</v>
      </c>
      <c r="DN958" s="406" t="s">
        <v>6523</v>
      </c>
      <c r="DO958" s="406">
        <v>-18.16</v>
      </c>
      <c r="DP958" s="80">
        <v>890</v>
      </c>
    </row>
    <row r="959" spans="29:120" x14ac:dyDescent="0.25">
      <c r="AC959" s="122" t="s">
        <v>27</v>
      </c>
      <c r="AD959" s="122" t="s">
        <v>1355</v>
      </c>
      <c r="AE959" s="127">
        <v>3</v>
      </c>
      <c r="DA959" s="122" t="s">
        <v>322</v>
      </c>
      <c r="DB959" s="122" t="s">
        <v>2666</v>
      </c>
      <c r="DC959" s="122" t="s">
        <v>2666</v>
      </c>
      <c r="DD959" s="127">
        <v>6</v>
      </c>
      <c r="DE959" s="127">
        <v>6</v>
      </c>
      <c r="DG959" s="405" t="s">
        <v>322</v>
      </c>
      <c r="DH959" s="406" t="s">
        <v>2666</v>
      </c>
      <c r="DI959" s="406" t="str">
        <f t="shared" si="46"/>
        <v>GO, Damianópolis</v>
      </c>
      <c r="DJ959" s="406">
        <v>-14.564</v>
      </c>
      <c r="DK959" s="80">
        <v>-46.177</v>
      </c>
      <c r="DL959" s="80">
        <v>746</v>
      </c>
      <c r="DM959" s="64">
        <v>6</v>
      </c>
      <c r="DN959" s="406" t="s">
        <v>6520</v>
      </c>
      <c r="DO959" s="406">
        <v>-14.09</v>
      </c>
      <c r="DP959" s="80">
        <v>834</v>
      </c>
    </row>
    <row r="960" spans="29:120" x14ac:dyDescent="0.25">
      <c r="AC960" s="122" t="s">
        <v>236</v>
      </c>
      <c r="AD960" s="122" t="s">
        <v>1356</v>
      </c>
      <c r="AE960" s="127">
        <v>2</v>
      </c>
      <c r="DA960" s="122" t="s">
        <v>322</v>
      </c>
      <c r="DB960" s="122" t="s">
        <v>2789</v>
      </c>
      <c r="DC960" s="122" t="s">
        <v>2789</v>
      </c>
      <c r="DD960" s="127">
        <v>6</v>
      </c>
      <c r="DE960" s="127">
        <v>6</v>
      </c>
      <c r="DG960" s="405" t="s">
        <v>322</v>
      </c>
      <c r="DH960" s="406" t="s">
        <v>2789</v>
      </c>
      <c r="DI960" s="406" t="str">
        <f t="shared" si="46"/>
        <v>GO, Damolândia</v>
      </c>
      <c r="DJ960" s="406">
        <v>-16.253</v>
      </c>
      <c r="DK960" s="80">
        <v>-49.37</v>
      </c>
      <c r="DL960" s="80">
        <v>819</v>
      </c>
      <c r="DM960" s="64">
        <v>6</v>
      </c>
      <c r="DN960" s="406" t="s">
        <v>6509</v>
      </c>
      <c r="DO960" s="406">
        <v>-15.93</v>
      </c>
      <c r="DP960" s="80">
        <v>512</v>
      </c>
    </row>
    <row r="961" spans="29:120" x14ac:dyDescent="0.25">
      <c r="AC961" s="122" t="s">
        <v>236</v>
      </c>
      <c r="AD961" s="122" t="s">
        <v>1357</v>
      </c>
      <c r="AE961" s="127">
        <v>2</v>
      </c>
      <c r="DA961" s="122" t="s">
        <v>322</v>
      </c>
      <c r="DB961" s="122" t="s">
        <v>2581</v>
      </c>
      <c r="DC961" s="122" t="s">
        <v>2581</v>
      </c>
      <c r="DD961" s="127">
        <v>6</v>
      </c>
      <c r="DE961" s="127">
        <v>6</v>
      </c>
      <c r="DG961" s="405" t="s">
        <v>322</v>
      </c>
      <c r="DH961" s="406" t="s">
        <v>2581</v>
      </c>
      <c r="DI961" s="406" t="str">
        <f t="shared" si="46"/>
        <v>GO, Davinópolis</v>
      </c>
      <c r="DJ961" s="406">
        <v>-18.152999999999999</v>
      </c>
      <c r="DK961" s="80">
        <v>-47.561999999999998</v>
      </c>
      <c r="DL961" s="80">
        <v>771</v>
      </c>
      <c r="DM961" s="64">
        <v>6</v>
      </c>
      <c r="DN961" s="406" t="s">
        <v>6523</v>
      </c>
      <c r="DO961" s="406">
        <v>-18.16</v>
      </c>
      <c r="DP961" s="80">
        <v>890</v>
      </c>
    </row>
    <row r="962" spans="29:120" x14ac:dyDescent="0.25">
      <c r="AC962" s="122" t="s">
        <v>236</v>
      </c>
      <c r="AD962" s="122" t="s">
        <v>1358</v>
      </c>
      <c r="AE962" s="127">
        <v>2</v>
      </c>
      <c r="DA962" s="122" t="s">
        <v>322</v>
      </c>
      <c r="DB962" s="122" t="s">
        <v>5614</v>
      </c>
      <c r="DC962" s="122" t="s">
        <v>5614</v>
      </c>
      <c r="DD962" s="127">
        <v>6</v>
      </c>
      <c r="DE962" s="127">
        <v>6</v>
      </c>
      <c r="DG962" s="405" t="s">
        <v>322</v>
      </c>
      <c r="DH962" s="406" t="s">
        <v>5614</v>
      </c>
      <c r="DI962" s="406" t="str">
        <f t="shared" si="46"/>
        <v>GO, Diorama</v>
      </c>
      <c r="DJ962" s="406">
        <v>-16.234000000000002</v>
      </c>
      <c r="DK962" s="80">
        <v>-51.256</v>
      </c>
      <c r="DL962" s="80">
        <v>506</v>
      </c>
      <c r="DM962" s="64">
        <v>6</v>
      </c>
      <c r="DN962" s="406" t="s">
        <v>6529</v>
      </c>
      <c r="DO962" s="406">
        <v>-16.96</v>
      </c>
      <c r="DP962" s="80">
        <v>737</v>
      </c>
    </row>
    <row r="963" spans="29:120" x14ac:dyDescent="0.25">
      <c r="AC963" s="122" t="s">
        <v>236</v>
      </c>
      <c r="AD963" s="122" t="s">
        <v>1359</v>
      </c>
      <c r="AE963" s="127">
        <v>2</v>
      </c>
      <c r="DA963" s="122" t="s">
        <v>322</v>
      </c>
      <c r="DB963" s="122" t="s">
        <v>6560</v>
      </c>
      <c r="DC963" s="122" t="s">
        <v>4233</v>
      </c>
      <c r="DD963" s="127">
        <v>7</v>
      </c>
      <c r="DE963" s="127">
        <v>7</v>
      </c>
      <c r="DG963" s="405" t="s">
        <v>322</v>
      </c>
      <c r="DH963" s="406" t="s">
        <v>4233</v>
      </c>
      <c r="DI963" s="406" t="str">
        <f t="shared" ref="DI963:DI1026" si="47">CONCATENATE(DG963,", ",DH963)</f>
        <v>GO, Divinópolis de Goiás</v>
      </c>
      <c r="DJ963" s="406">
        <v>-13.295</v>
      </c>
      <c r="DK963" s="80">
        <v>-46.393000000000001</v>
      </c>
      <c r="DL963" s="80">
        <v>620</v>
      </c>
      <c r="DM963" s="64">
        <v>7</v>
      </c>
      <c r="DN963" s="406" t="s">
        <v>6550</v>
      </c>
      <c r="DO963" s="406">
        <v>-13.5</v>
      </c>
      <c r="DP963" s="80">
        <v>1253</v>
      </c>
    </row>
    <row r="964" spans="29:120" x14ac:dyDescent="0.25">
      <c r="AC964" s="122" t="s">
        <v>236</v>
      </c>
      <c r="AD964" s="122" t="s">
        <v>1360</v>
      </c>
      <c r="AE964" s="127">
        <v>2</v>
      </c>
      <c r="DA964" s="122" t="s">
        <v>322</v>
      </c>
      <c r="DB964" s="122" t="s">
        <v>3029</v>
      </c>
      <c r="DC964" s="122" t="s">
        <v>3029</v>
      </c>
      <c r="DD964" s="127">
        <v>6</v>
      </c>
      <c r="DE964" s="127">
        <v>6</v>
      </c>
      <c r="DG964" s="405" t="s">
        <v>322</v>
      </c>
      <c r="DH964" s="406" t="s">
        <v>3029</v>
      </c>
      <c r="DI964" s="406" t="str">
        <f t="shared" si="47"/>
        <v>GO, Doverlândia</v>
      </c>
      <c r="DJ964" s="406">
        <v>-16.72</v>
      </c>
      <c r="DK964" s="80">
        <v>-52.319000000000003</v>
      </c>
      <c r="DL964" s="80">
        <v>509</v>
      </c>
      <c r="DM964" s="64">
        <v>6</v>
      </c>
      <c r="DN964" s="406" t="s">
        <v>6529</v>
      </c>
      <c r="DO964" s="406">
        <v>-16.96</v>
      </c>
      <c r="DP964" s="80">
        <v>737</v>
      </c>
    </row>
    <row r="965" spans="29:120" x14ac:dyDescent="0.25">
      <c r="AC965" s="122" t="s">
        <v>236</v>
      </c>
      <c r="AD965" s="122" t="s">
        <v>1361</v>
      </c>
      <c r="AE965" s="127">
        <v>2</v>
      </c>
      <c r="DA965" s="122" t="s">
        <v>322</v>
      </c>
      <c r="DB965" s="122" t="s">
        <v>2762</v>
      </c>
      <c r="DC965" s="122" t="s">
        <v>2762</v>
      </c>
      <c r="DD965" s="127">
        <v>6</v>
      </c>
      <c r="DE965" s="127">
        <v>6</v>
      </c>
      <c r="DG965" s="405" t="s">
        <v>322</v>
      </c>
      <c r="DH965" s="406" t="s">
        <v>2762</v>
      </c>
      <c r="DI965" s="406" t="str">
        <f t="shared" si="47"/>
        <v>GO, Edealina</v>
      </c>
      <c r="DJ965" s="406">
        <v>-17.425999999999998</v>
      </c>
      <c r="DK965" s="80">
        <v>-49.664999999999999</v>
      </c>
      <c r="DL965" s="80">
        <v>578</v>
      </c>
      <c r="DM965" s="64">
        <v>6</v>
      </c>
      <c r="DN965" s="406" t="s">
        <v>6513</v>
      </c>
      <c r="DO965" s="406">
        <v>-17.73</v>
      </c>
      <c r="DP965" s="80">
        <v>771</v>
      </c>
    </row>
    <row r="966" spans="29:120" x14ac:dyDescent="0.25">
      <c r="AC966" s="122" t="s">
        <v>236</v>
      </c>
      <c r="AD966" s="122" t="s">
        <v>1362</v>
      </c>
      <c r="AE966" s="127">
        <v>3</v>
      </c>
      <c r="DA966" s="122" t="s">
        <v>322</v>
      </c>
      <c r="DB966" s="122" t="s">
        <v>2797</v>
      </c>
      <c r="DC966" s="122" t="s">
        <v>2797</v>
      </c>
      <c r="DD966" s="127">
        <v>6</v>
      </c>
      <c r="DE966" s="127">
        <v>6</v>
      </c>
      <c r="DG966" s="405" t="s">
        <v>322</v>
      </c>
      <c r="DH966" s="406" t="s">
        <v>2797</v>
      </c>
      <c r="DI966" s="406" t="str">
        <f t="shared" si="47"/>
        <v>GO, Edéia</v>
      </c>
      <c r="DJ966" s="406">
        <v>-17.338999999999999</v>
      </c>
      <c r="DK966" s="80">
        <v>-49.930999999999997</v>
      </c>
      <c r="DL966" s="80">
        <v>601</v>
      </c>
      <c r="DM966" s="64">
        <v>6</v>
      </c>
      <c r="DN966" s="406" t="s">
        <v>6507</v>
      </c>
      <c r="DO966" s="406">
        <v>-16.96</v>
      </c>
      <c r="DP966" s="80">
        <v>678</v>
      </c>
    </row>
    <row r="967" spans="29:120" x14ac:dyDescent="0.25">
      <c r="AC967" s="122" t="s">
        <v>236</v>
      </c>
      <c r="AD967" s="122" t="s">
        <v>1363</v>
      </c>
      <c r="AE967" s="127">
        <v>2</v>
      </c>
      <c r="DA967" s="122" t="s">
        <v>322</v>
      </c>
      <c r="DB967" s="122" t="s">
        <v>6561</v>
      </c>
      <c r="DC967" s="122" t="s">
        <v>2637</v>
      </c>
      <c r="DD967" s="127">
        <v>6</v>
      </c>
      <c r="DE967" s="127">
        <v>6</v>
      </c>
      <c r="DG967" s="405" t="s">
        <v>322</v>
      </c>
      <c r="DH967" s="406" t="s">
        <v>2637</v>
      </c>
      <c r="DI967" s="406" t="str">
        <f t="shared" si="47"/>
        <v>GO, Estrela do Norte</v>
      </c>
      <c r="DJ967" s="406">
        <v>-13.868</v>
      </c>
      <c r="DK967" s="80">
        <v>-49.073</v>
      </c>
      <c r="DL967" s="80">
        <v>453</v>
      </c>
      <c r="DM967" s="64">
        <v>6</v>
      </c>
      <c r="DN967" s="406" t="s">
        <v>6521</v>
      </c>
      <c r="DO967" s="406">
        <v>-14.47</v>
      </c>
      <c r="DP967" s="80">
        <v>583</v>
      </c>
    </row>
    <row r="968" spans="29:120" x14ac:dyDescent="0.25">
      <c r="AC968" s="122" t="s">
        <v>27</v>
      </c>
      <c r="AD968" s="122" t="s">
        <v>1364</v>
      </c>
      <c r="AE968" s="127">
        <v>3</v>
      </c>
      <c r="DA968" s="122" t="s">
        <v>322</v>
      </c>
      <c r="DB968" s="122" t="s">
        <v>2604</v>
      </c>
      <c r="DC968" s="122" t="s">
        <v>2604</v>
      </c>
      <c r="DD968" s="127">
        <v>6</v>
      </c>
      <c r="DE968" s="127">
        <v>6</v>
      </c>
      <c r="DG968" s="405" t="s">
        <v>322</v>
      </c>
      <c r="DH968" s="406" t="s">
        <v>2604</v>
      </c>
      <c r="DI968" s="406" t="str">
        <f t="shared" si="47"/>
        <v>GO, Faina</v>
      </c>
      <c r="DJ968" s="406">
        <v>-15.446</v>
      </c>
      <c r="DK968" s="80">
        <v>-50.360999999999997</v>
      </c>
      <c r="DL968" s="80">
        <v>360</v>
      </c>
      <c r="DM968" s="64">
        <v>6</v>
      </c>
      <c r="DN968" s="406" t="s">
        <v>6509</v>
      </c>
      <c r="DO968" s="406">
        <v>-15.93</v>
      </c>
      <c r="DP968" s="80">
        <v>512</v>
      </c>
    </row>
    <row r="969" spans="29:120" x14ac:dyDescent="0.25">
      <c r="AC969" s="122" t="s">
        <v>236</v>
      </c>
      <c r="AD969" s="122" t="s">
        <v>1365</v>
      </c>
      <c r="AE969" s="127">
        <v>2</v>
      </c>
      <c r="DA969" s="122" t="s">
        <v>322</v>
      </c>
      <c r="DB969" s="122" t="s">
        <v>6562</v>
      </c>
      <c r="DC969" s="122" t="s">
        <v>5555</v>
      </c>
      <c r="DD969" s="127">
        <v>6</v>
      </c>
      <c r="DE969" s="127">
        <v>6</v>
      </c>
      <c r="DG969" s="405" t="s">
        <v>322</v>
      </c>
      <c r="DH969" s="406" t="s">
        <v>5555</v>
      </c>
      <c r="DI969" s="406" t="str">
        <f t="shared" si="47"/>
        <v>GO, Fazenda Nova</v>
      </c>
      <c r="DJ969" s="406">
        <v>-16.183</v>
      </c>
      <c r="DK969" s="80">
        <v>-50.78</v>
      </c>
      <c r="DL969" s="80">
        <v>476</v>
      </c>
      <c r="DM969" s="64">
        <v>6</v>
      </c>
      <c r="DN969" s="406" t="s">
        <v>6509</v>
      </c>
      <c r="DO969" s="406">
        <v>-15.93</v>
      </c>
      <c r="DP969" s="80">
        <v>512</v>
      </c>
    </row>
    <row r="970" spans="29:120" x14ac:dyDescent="0.25">
      <c r="AC970" s="122" t="s">
        <v>27</v>
      </c>
      <c r="AD970" s="122" t="s">
        <v>1366</v>
      </c>
      <c r="AE970" s="127">
        <v>2</v>
      </c>
      <c r="DA970" s="122" t="s">
        <v>322</v>
      </c>
      <c r="DB970" s="122" t="s">
        <v>2929</v>
      </c>
      <c r="DC970" s="122" t="s">
        <v>2929</v>
      </c>
      <c r="DD970" s="127">
        <v>6</v>
      </c>
      <c r="DE970" s="127">
        <v>6</v>
      </c>
      <c r="DG970" s="405" t="s">
        <v>322</v>
      </c>
      <c r="DH970" s="406" t="s">
        <v>2929</v>
      </c>
      <c r="DI970" s="406" t="str">
        <f t="shared" si="47"/>
        <v>GO, Firminópolis</v>
      </c>
      <c r="DJ970" s="406">
        <v>-16.582000000000001</v>
      </c>
      <c r="DK970" s="80">
        <v>-50.305</v>
      </c>
      <c r="DL970" s="80">
        <v>685</v>
      </c>
      <c r="DM970" s="64">
        <v>6</v>
      </c>
      <c r="DN970" s="406" t="s">
        <v>6507</v>
      </c>
      <c r="DO970" s="406">
        <v>-16.96</v>
      </c>
      <c r="DP970" s="80">
        <v>678</v>
      </c>
    </row>
    <row r="971" spans="29:120" x14ac:dyDescent="0.25">
      <c r="AC971" s="122" t="s">
        <v>311</v>
      </c>
      <c r="AD971" s="122" t="s">
        <v>1367</v>
      </c>
      <c r="AE971" s="127">
        <v>2</v>
      </c>
      <c r="DA971" s="122" t="s">
        <v>322</v>
      </c>
      <c r="DB971" s="122" t="s">
        <v>6563</v>
      </c>
      <c r="DC971" s="122" t="s">
        <v>2327</v>
      </c>
      <c r="DD971" s="127">
        <v>6</v>
      </c>
      <c r="DE971" s="127">
        <v>6</v>
      </c>
      <c r="DG971" s="405" t="s">
        <v>322</v>
      </c>
      <c r="DH971" s="406" t="s">
        <v>2327</v>
      </c>
      <c r="DI971" s="406" t="str">
        <f t="shared" si="47"/>
        <v>GO, Flores de Goiás</v>
      </c>
      <c r="DJ971" s="406">
        <v>-14.449</v>
      </c>
      <c r="DK971" s="80">
        <v>-47.05</v>
      </c>
      <c r="DL971" s="80">
        <v>440</v>
      </c>
      <c r="DM971" s="64">
        <v>6</v>
      </c>
      <c r="DN971" s="406" t="s">
        <v>6518</v>
      </c>
      <c r="DO971" s="406">
        <v>-14.13</v>
      </c>
      <c r="DP971" s="80">
        <v>1260</v>
      </c>
    </row>
    <row r="972" spans="29:120" x14ac:dyDescent="0.25">
      <c r="AC972" s="122" t="s">
        <v>27</v>
      </c>
      <c r="AD972" s="122" t="s">
        <v>1368</v>
      </c>
      <c r="AE972" s="127">
        <v>3</v>
      </c>
      <c r="DA972" s="122" t="s">
        <v>322</v>
      </c>
      <c r="DB972" s="122" t="s">
        <v>2364</v>
      </c>
      <c r="DC972" s="122" t="s">
        <v>2364</v>
      </c>
      <c r="DD972" s="127">
        <v>6</v>
      </c>
      <c r="DE972" s="127">
        <v>6</v>
      </c>
      <c r="DG972" s="405" t="s">
        <v>322</v>
      </c>
      <c r="DH972" s="406" t="s">
        <v>2364</v>
      </c>
      <c r="DI972" s="406" t="str">
        <f t="shared" si="47"/>
        <v>GO, Formosa</v>
      </c>
      <c r="DJ972" s="406">
        <v>-15.537000000000001</v>
      </c>
      <c r="DK972" s="80">
        <v>-47.334000000000003</v>
      </c>
      <c r="DL972" s="80">
        <v>916</v>
      </c>
      <c r="DM972" s="64">
        <v>6</v>
      </c>
      <c r="DN972" s="406" t="s">
        <v>6511</v>
      </c>
      <c r="DO972" s="406">
        <v>-15.53</v>
      </c>
      <c r="DP972" s="80">
        <v>1200</v>
      </c>
    </row>
    <row r="973" spans="29:120" x14ac:dyDescent="0.25">
      <c r="AC973" s="122" t="s">
        <v>236</v>
      </c>
      <c r="AD973" s="122" t="s">
        <v>1369</v>
      </c>
      <c r="AE973" s="127">
        <v>3</v>
      </c>
      <c r="DA973" s="122" t="s">
        <v>322</v>
      </c>
      <c r="DB973" s="122" t="s">
        <v>2834</v>
      </c>
      <c r="DC973" s="122" t="s">
        <v>2834</v>
      </c>
      <c r="DD973" s="127">
        <v>7</v>
      </c>
      <c r="DE973" s="127">
        <v>7</v>
      </c>
      <c r="DG973" s="405" t="s">
        <v>322</v>
      </c>
      <c r="DH973" s="406" t="s">
        <v>2834</v>
      </c>
      <c r="DI973" s="406" t="str">
        <f t="shared" si="47"/>
        <v>GO, Formoso</v>
      </c>
      <c r="DJ973" s="406">
        <v>-13.654</v>
      </c>
      <c r="DK973" s="80">
        <v>-48.881999999999998</v>
      </c>
      <c r="DL973" s="80">
        <v>569</v>
      </c>
      <c r="DM973" s="64">
        <v>7</v>
      </c>
      <c r="DN973" s="406" t="s">
        <v>6521</v>
      </c>
      <c r="DO973" s="406">
        <v>-14.47</v>
      </c>
      <c r="DP973" s="80">
        <v>583</v>
      </c>
    </row>
    <row r="974" spans="29:120" x14ac:dyDescent="0.25">
      <c r="AC974" s="122" t="s">
        <v>27</v>
      </c>
      <c r="AD974" s="122" t="s">
        <v>1370</v>
      </c>
      <c r="AE974" s="127">
        <v>3</v>
      </c>
      <c r="DA974" s="122" t="s">
        <v>322</v>
      </c>
      <c r="DB974" s="122" t="s">
        <v>6564</v>
      </c>
      <c r="DC974" s="122" t="s">
        <v>2915</v>
      </c>
      <c r="DD974" s="127">
        <v>6</v>
      </c>
      <c r="DE974" s="127">
        <v>6</v>
      </c>
      <c r="DG974" s="405" t="s">
        <v>322</v>
      </c>
      <c r="DH974" s="406" t="s">
        <v>2915</v>
      </c>
      <c r="DI974" s="406" t="str">
        <f t="shared" si="47"/>
        <v>GO, Gameleira de Goiás</v>
      </c>
      <c r="DJ974" s="406">
        <v>-16.463999999999999</v>
      </c>
      <c r="DK974" s="80">
        <v>-48.67</v>
      </c>
      <c r="DL974" s="80">
        <v>993</v>
      </c>
      <c r="DM974" s="64">
        <v>6</v>
      </c>
      <c r="DN974" s="406" t="s">
        <v>6508</v>
      </c>
      <c r="DO974" s="406">
        <v>-16.25</v>
      </c>
      <c r="DP974" s="80">
        <v>958</v>
      </c>
    </row>
    <row r="975" spans="29:120" x14ac:dyDescent="0.25">
      <c r="AC975" s="122" t="s">
        <v>27</v>
      </c>
      <c r="AD975" s="122" t="s">
        <v>1371</v>
      </c>
      <c r="AE975" s="127">
        <v>3</v>
      </c>
      <c r="DA975" s="122" t="s">
        <v>322</v>
      </c>
      <c r="DB975" s="122" t="s">
        <v>2707</v>
      </c>
      <c r="DC975" s="122" t="s">
        <v>2707</v>
      </c>
      <c r="DD975" s="127">
        <v>6</v>
      </c>
      <c r="DE975" s="127">
        <v>6</v>
      </c>
      <c r="DG975" s="405" t="s">
        <v>322</v>
      </c>
      <c r="DH975" s="406" t="s">
        <v>2707</v>
      </c>
      <c r="DI975" s="406" t="str">
        <f t="shared" si="47"/>
        <v>GO, Goianápolis</v>
      </c>
      <c r="DJ975" s="406">
        <v>-16.510999999999999</v>
      </c>
      <c r="DK975" s="80">
        <v>-49.024000000000001</v>
      </c>
      <c r="DL975" s="80">
        <v>982</v>
      </c>
      <c r="DM975" s="64">
        <v>6</v>
      </c>
      <c r="DN975" s="406" t="s">
        <v>6508</v>
      </c>
      <c r="DO975" s="406">
        <v>-16.25</v>
      </c>
      <c r="DP975" s="80">
        <v>958</v>
      </c>
    </row>
    <row r="976" spans="29:120" x14ac:dyDescent="0.25">
      <c r="AC976" s="122" t="s">
        <v>27</v>
      </c>
      <c r="AD976" s="122" t="s">
        <v>1372</v>
      </c>
      <c r="AE976" s="127">
        <v>2</v>
      </c>
      <c r="DA976" s="122" t="s">
        <v>322</v>
      </c>
      <c r="DB976" s="122" t="s">
        <v>2332</v>
      </c>
      <c r="DC976" s="122" t="s">
        <v>2332</v>
      </c>
      <c r="DD976" s="127">
        <v>6</v>
      </c>
      <c r="DE976" s="127">
        <v>6</v>
      </c>
      <c r="DG976" s="405" t="s">
        <v>322</v>
      </c>
      <c r="DH976" s="406" t="s">
        <v>2332</v>
      </c>
      <c r="DI976" s="406" t="str">
        <f t="shared" si="47"/>
        <v>GO, Goiandira</v>
      </c>
      <c r="DJ976" s="406">
        <v>-18.132999999999999</v>
      </c>
      <c r="DK976" s="80">
        <v>-48.085000000000001</v>
      </c>
      <c r="DL976" s="80">
        <v>848</v>
      </c>
      <c r="DM976" s="64">
        <v>6</v>
      </c>
      <c r="DN976" s="406" t="s">
        <v>6523</v>
      </c>
      <c r="DO976" s="406">
        <v>-18.16</v>
      </c>
      <c r="DP976" s="80">
        <v>890</v>
      </c>
    </row>
    <row r="977" spans="29:120" x14ac:dyDescent="0.25">
      <c r="AC977" s="122" t="s">
        <v>27</v>
      </c>
      <c r="AD977" s="122" t="s">
        <v>1373</v>
      </c>
      <c r="AE977" s="127">
        <v>3</v>
      </c>
      <c r="DA977" s="122" t="s">
        <v>322</v>
      </c>
      <c r="DB977" s="122" t="s">
        <v>5560</v>
      </c>
      <c r="DC977" s="122" t="s">
        <v>5560</v>
      </c>
      <c r="DD977" s="127">
        <v>6</v>
      </c>
      <c r="DE977" s="127">
        <v>6</v>
      </c>
      <c r="DG977" s="405" t="s">
        <v>322</v>
      </c>
      <c r="DH977" s="406" t="s">
        <v>5560</v>
      </c>
      <c r="DI977" s="406" t="str">
        <f t="shared" si="47"/>
        <v>GO, Goianésia</v>
      </c>
      <c r="DJ977" s="406">
        <v>-15.317</v>
      </c>
      <c r="DK977" s="80">
        <v>-49.116999999999997</v>
      </c>
      <c r="DL977" s="80">
        <v>640</v>
      </c>
      <c r="DM977" s="64">
        <v>6</v>
      </c>
      <c r="DN977" s="406" t="s">
        <v>6531</v>
      </c>
      <c r="DO977" s="406">
        <v>-15.32</v>
      </c>
      <c r="DP977" s="80">
        <v>667</v>
      </c>
    </row>
    <row r="978" spans="29:120" x14ac:dyDescent="0.25">
      <c r="AC978" s="122" t="s">
        <v>27</v>
      </c>
      <c r="AD978" s="122" t="s">
        <v>1374</v>
      </c>
      <c r="AE978" s="127">
        <v>2</v>
      </c>
      <c r="DA978" s="122" t="s">
        <v>322</v>
      </c>
      <c r="DB978" s="122" t="s">
        <v>2787</v>
      </c>
      <c r="DC978" s="122" t="s">
        <v>2787</v>
      </c>
      <c r="DD978" s="127">
        <v>6</v>
      </c>
      <c r="DE978" s="127">
        <v>6</v>
      </c>
      <c r="DG978" s="405" t="s">
        <v>322</v>
      </c>
      <c r="DH978" s="406" t="s">
        <v>2787</v>
      </c>
      <c r="DI978" s="406" t="str">
        <f t="shared" si="47"/>
        <v>GO, Goiânia</v>
      </c>
      <c r="DJ978" s="406">
        <v>-16.678999999999998</v>
      </c>
      <c r="DK978" s="80">
        <v>-49.253999999999998</v>
      </c>
      <c r="DL978" s="80">
        <v>749</v>
      </c>
      <c r="DM978" s="64">
        <v>6</v>
      </c>
      <c r="DN978" s="406" t="s">
        <v>6513</v>
      </c>
      <c r="DO978" s="406">
        <v>-17.73</v>
      </c>
      <c r="DP978" s="80">
        <v>771</v>
      </c>
    </row>
    <row r="979" spans="29:120" x14ac:dyDescent="0.25">
      <c r="AC979" s="122" t="s">
        <v>27</v>
      </c>
      <c r="AD979" s="122" t="s">
        <v>1375</v>
      </c>
      <c r="AE979" s="127">
        <v>3</v>
      </c>
      <c r="DA979" s="122" t="s">
        <v>322</v>
      </c>
      <c r="DB979" s="122" t="s">
        <v>2821</v>
      </c>
      <c r="DC979" s="122" t="s">
        <v>2821</v>
      </c>
      <c r="DD979" s="127">
        <v>6</v>
      </c>
      <c r="DE979" s="127">
        <v>6</v>
      </c>
      <c r="DG979" s="405" t="s">
        <v>322</v>
      </c>
      <c r="DH979" s="406" t="s">
        <v>2821</v>
      </c>
      <c r="DI979" s="406" t="str">
        <f t="shared" si="47"/>
        <v>GO, Goianira</v>
      </c>
      <c r="DJ979" s="406">
        <v>-16.495999999999999</v>
      </c>
      <c r="DK979" s="80">
        <v>-49.426000000000002</v>
      </c>
      <c r="DL979" s="80">
        <v>757</v>
      </c>
      <c r="DM979" s="64">
        <v>6</v>
      </c>
      <c r="DN979" s="406" t="s">
        <v>6509</v>
      </c>
      <c r="DO979" s="406">
        <v>-15.93</v>
      </c>
      <c r="DP979" s="80">
        <v>512</v>
      </c>
    </row>
    <row r="980" spans="29:120" x14ac:dyDescent="0.25">
      <c r="AC980" s="122" t="s">
        <v>236</v>
      </c>
      <c r="AD980" s="122" t="s">
        <v>1376</v>
      </c>
      <c r="AE980" s="127">
        <v>2</v>
      </c>
      <c r="DA980" s="122" t="s">
        <v>322</v>
      </c>
      <c r="DB980" s="122" t="s">
        <v>4702</v>
      </c>
      <c r="DC980" s="122" t="s">
        <v>4702</v>
      </c>
      <c r="DD980" s="127">
        <v>7</v>
      </c>
      <c r="DE980" s="127">
        <v>7</v>
      </c>
      <c r="DG980" s="405" t="s">
        <v>322</v>
      </c>
      <c r="DH980" s="406" t="s">
        <v>4702</v>
      </c>
      <c r="DI980" s="406" t="str">
        <f t="shared" si="47"/>
        <v>GO, Goiás</v>
      </c>
      <c r="DJ980" s="406">
        <v>-15.933999999999999</v>
      </c>
      <c r="DK980" s="80">
        <v>-50.14</v>
      </c>
      <c r="DL980" s="80">
        <v>496</v>
      </c>
      <c r="DM980" s="64">
        <v>7</v>
      </c>
      <c r="DN980" s="406" t="s">
        <v>6509</v>
      </c>
      <c r="DO980" s="406">
        <v>-15.93</v>
      </c>
      <c r="DP980" s="80">
        <v>512</v>
      </c>
    </row>
    <row r="981" spans="29:120" x14ac:dyDescent="0.25">
      <c r="AC981" s="122" t="s">
        <v>27</v>
      </c>
      <c r="AD981" s="122" t="s">
        <v>1377</v>
      </c>
      <c r="AE981" s="127">
        <v>2</v>
      </c>
      <c r="DA981" s="122" t="s">
        <v>322</v>
      </c>
      <c r="DB981" s="122" t="s">
        <v>2703</v>
      </c>
      <c r="DC981" s="122" t="s">
        <v>2703</v>
      </c>
      <c r="DD981" s="127">
        <v>6</v>
      </c>
      <c r="DE981" s="127">
        <v>6</v>
      </c>
      <c r="DG981" s="405" t="s">
        <v>322</v>
      </c>
      <c r="DH981" s="406" t="s">
        <v>2703</v>
      </c>
      <c r="DI981" s="406" t="str">
        <f t="shared" si="47"/>
        <v>GO, Goiatuba</v>
      </c>
      <c r="DJ981" s="406">
        <v>-18.013000000000002</v>
      </c>
      <c r="DK981" s="80">
        <v>-49.356999999999999</v>
      </c>
      <c r="DL981" s="80">
        <v>774</v>
      </c>
      <c r="DM981" s="64">
        <v>6</v>
      </c>
      <c r="DN981" s="406" t="s">
        <v>6513</v>
      </c>
      <c r="DO981" s="406">
        <v>-17.73</v>
      </c>
      <c r="DP981" s="80">
        <v>771</v>
      </c>
    </row>
    <row r="982" spans="29:120" x14ac:dyDescent="0.25">
      <c r="AC982" s="122" t="s">
        <v>236</v>
      </c>
      <c r="AD982" s="122" t="s">
        <v>1378</v>
      </c>
      <c r="AE982" s="127">
        <v>2</v>
      </c>
      <c r="DA982" s="122" t="s">
        <v>322</v>
      </c>
      <c r="DB982" s="122" t="s">
        <v>2704</v>
      </c>
      <c r="DC982" s="122" t="s">
        <v>2704</v>
      </c>
      <c r="DD982" s="127">
        <v>6</v>
      </c>
      <c r="DE982" s="127">
        <v>6</v>
      </c>
      <c r="DG982" s="405" t="s">
        <v>322</v>
      </c>
      <c r="DH982" s="406" t="s">
        <v>2704</v>
      </c>
      <c r="DI982" s="406" t="str">
        <f t="shared" si="47"/>
        <v>GO, Gouvelândia</v>
      </c>
      <c r="DJ982" s="406">
        <v>-18.641999999999999</v>
      </c>
      <c r="DK982" s="80">
        <v>-50.066000000000003</v>
      </c>
      <c r="DL982" s="80">
        <v>395</v>
      </c>
      <c r="DM982" s="64">
        <v>6</v>
      </c>
      <c r="DN982" s="406" t="s">
        <v>6541</v>
      </c>
      <c r="DO982" s="406">
        <v>-18.989999999999998</v>
      </c>
      <c r="DP982" s="80">
        <v>489</v>
      </c>
    </row>
    <row r="983" spans="29:120" x14ac:dyDescent="0.25">
      <c r="AC983" s="122" t="s">
        <v>236</v>
      </c>
      <c r="AD983" s="122" t="s">
        <v>1379</v>
      </c>
      <c r="AE983" s="127">
        <v>2</v>
      </c>
      <c r="DA983" s="122" t="s">
        <v>322</v>
      </c>
      <c r="DB983" s="122" t="s">
        <v>2680</v>
      </c>
      <c r="DC983" s="122" t="s">
        <v>2680</v>
      </c>
      <c r="DD983" s="127">
        <v>6</v>
      </c>
      <c r="DE983" s="127">
        <v>6</v>
      </c>
      <c r="DG983" s="405" t="s">
        <v>322</v>
      </c>
      <c r="DH983" s="406" t="s">
        <v>2680</v>
      </c>
      <c r="DI983" s="406" t="str">
        <f t="shared" si="47"/>
        <v>GO, Guapó</v>
      </c>
      <c r="DJ983" s="406">
        <v>-16.831</v>
      </c>
      <c r="DK983" s="80">
        <v>-49.531999999999996</v>
      </c>
      <c r="DL983" s="80">
        <v>707</v>
      </c>
      <c r="DM983" s="64">
        <v>6</v>
      </c>
      <c r="DN983" s="406" t="s">
        <v>6507</v>
      </c>
      <c r="DO983" s="406">
        <v>-16.96</v>
      </c>
      <c r="DP983" s="80">
        <v>678</v>
      </c>
    </row>
    <row r="984" spans="29:120" x14ac:dyDescent="0.25">
      <c r="AC984" s="122" t="s">
        <v>236</v>
      </c>
      <c r="AD984" s="122" t="s">
        <v>1380</v>
      </c>
      <c r="AE984" s="127">
        <v>2</v>
      </c>
      <c r="DA984" s="122" t="s">
        <v>322</v>
      </c>
      <c r="DB984" s="122" t="s">
        <v>2792</v>
      </c>
      <c r="DC984" s="122" t="s">
        <v>2792</v>
      </c>
      <c r="DD984" s="127">
        <v>7</v>
      </c>
      <c r="DE984" s="127">
        <v>7</v>
      </c>
      <c r="DG984" s="405" t="s">
        <v>322</v>
      </c>
      <c r="DH984" s="406" t="s">
        <v>2792</v>
      </c>
      <c r="DI984" s="406" t="str">
        <f t="shared" si="47"/>
        <v>GO, Guaraíta</v>
      </c>
      <c r="DJ984" s="406">
        <v>-15.614000000000001</v>
      </c>
      <c r="DK984" s="80">
        <v>-50.024000000000001</v>
      </c>
      <c r="DL984" s="80">
        <v>669</v>
      </c>
      <c r="DM984" s="64">
        <v>7</v>
      </c>
      <c r="DN984" s="406" t="s">
        <v>6509</v>
      </c>
      <c r="DO984" s="406">
        <v>-15.93</v>
      </c>
      <c r="DP984" s="80">
        <v>512</v>
      </c>
    </row>
    <row r="985" spans="29:120" x14ac:dyDescent="0.25">
      <c r="AC985" s="122" t="s">
        <v>27</v>
      </c>
      <c r="AD985" s="122" t="s">
        <v>1381</v>
      </c>
      <c r="AE985" s="127">
        <v>2</v>
      </c>
      <c r="DA985" s="122" t="s">
        <v>322</v>
      </c>
      <c r="DB985" s="122" t="s">
        <v>6565</v>
      </c>
      <c r="DC985" s="122" t="s">
        <v>2091</v>
      </c>
      <c r="DD985" s="127">
        <v>6</v>
      </c>
      <c r="DE985" s="127">
        <v>6</v>
      </c>
      <c r="DG985" s="405" t="s">
        <v>322</v>
      </c>
      <c r="DH985" s="406" t="s">
        <v>2091</v>
      </c>
      <c r="DI985" s="406" t="str">
        <f t="shared" si="47"/>
        <v>GO, Guarani de Goiás</v>
      </c>
      <c r="DJ985" s="406">
        <v>-13.936</v>
      </c>
      <c r="DK985" s="80">
        <v>-46.48</v>
      </c>
      <c r="DL985" s="80">
        <v>521</v>
      </c>
      <c r="DM985" s="64">
        <v>6</v>
      </c>
      <c r="DN985" s="406" t="s">
        <v>6520</v>
      </c>
      <c r="DO985" s="406">
        <v>-14.09</v>
      </c>
      <c r="DP985" s="80">
        <v>834</v>
      </c>
    </row>
    <row r="986" spans="29:120" x14ac:dyDescent="0.25">
      <c r="AC986" s="122" t="s">
        <v>27</v>
      </c>
      <c r="AD986" s="122" t="s">
        <v>1382</v>
      </c>
      <c r="AE986" s="127">
        <v>3</v>
      </c>
      <c r="DA986" s="122" t="s">
        <v>322</v>
      </c>
      <c r="DB986" s="122" t="s">
        <v>2992</v>
      </c>
      <c r="DC986" s="122" t="s">
        <v>2992</v>
      </c>
      <c r="DD986" s="127">
        <v>6</v>
      </c>
      <c r="DE986" s="127">
        <v>6</v>
      </c>
      <c r="DG986" s="405" t="s">
        <v>322</v>
      </c>
      <c r="DH986" s="406" t="s">
        <v>2992</v>
      </c>
      <c r="DI986" s="406" t="str">
        <f t="shared" si="47"/>
        <v>GO, Guarinos</v>
      </c>
      <c r="DJ986" s="406">
        <v>-14.731999999999999</v>
      </c>
      <c r="DK986" s="80">
        <v>-49.701999999999998</v>
      </c>
      <c r="DL986" s="80">
        <v>480</v>
      </c>
      <c r="DM986" s="64">
        <v>6</v>
      </c>
      <c r="DN986" s="406" t="s">
        <v>6516</v>
      </c>
      <c r="DO986" s="406">
        <v>-14.95</v>
      </c>
      <c r="DP986" s="80">
        <v>522</v>
      </c>
    </row>
    <row r="987" spans="29:120" x14ac:dyDescent="0.25">
      <c r="AC987" s="122" t="s">
        <v>236</v>
      </c>
      <c r="AD987" s="122" t="s">
        <v>1383</v>
      </c>
      <c r="AE987" s="127">
        <v>2</v>
      </c>
      <c r="DA987" s="122" t="s">
        <v>322</v>
      </c>
      <c r="DB987" s="122" t="s">
        <v>2861</v>
      </c>
      <c r="DC987" s="122" t="s">
        <v>2861</v>
      </c>
      <c r="DD987" s="127">
        <v>6</v>
      </c>
      <c r="DE987" s="127">
        <v>6</v>
      </c>
      <c r="DG987" s="405" t="s">
        <v>322</v>
      </c>
      <c r="DH987" s="406" t="s">
        <v>2861</v>
      </c>
      <c r="DI987" s="406" t="str">
        <f t="shared" si="47"/>
        <v>GO, Heitoraí</v>
      </c>
      <c r="DJ987" s="406">
        <v>-15.718999999999999</v>
      </c>
      <c r="DK987" s="80">
        <v>-49.829000000000001</v>
      </c>
      <c r="DL987" s="80">
        <v>658</v>
      </c>
      <c r="DM987" s="64">
        <v>6</v>
      </c>
      <c r="DN987" s="406" t="s">
        <v>6509</v>
      </c>
      <c r="DO987" s="406">
        <v>-15.93</v>
      </c>
      <c r="DP987" s="80">
        <v>512</v>
      </c>
    </row>
    <row r="988" spans="29:120" x14ac:dyDescent="0.25">
      <c r="AC988" s="122" t="s">
        <v>27</v>
      </c>
      <c r="AD988" s="122" t="s">
        <v>1384</v>
      </c>
      <c r="AE988" s="127">
        <v>3</v>
      </c>
      <c r="DA988" s="122" t="s">
        <v>322</v>
      </c>
      <c r="DB988" s="122" t="s">
        <v>1993</v>
      </c>
      <c r="DC988" s="122" t="s">
        <v>1993</v>
      </c>
      <c r="DD988" s="127">
        <v>6</v>
      </c>
      <c r="DE988" s="127">
        <v>6</v>
      </c>
      <c r="DG988" s="405" t="s">
        <v>322</v>
      </c>
      <c r="DH988" s="406" t="s">
        <v>1993</v>
      </c>
      <c r="DI988" s="406" t="str">
        <f t="shared" si="47"/>
        <v>GO, Hidrolândia</v>
      </c>
      <c r="DJ988" s="406">
        <v>-16.962</v>
      </c>
      <c r="DK988" s="80">
        <v>-49.228999999999999</v>
      </c>
      <c r="DL988" s="80">
        <v>814</v>
      </c>
      <c r="DM988" s="64">
        <v>6</v>
      </c>
      <c r="DN988" s="406" t="s">
        <v>6513</v>
      </c>
      <c r="DO988" s="406">
        <v>-17.73</v>
      </c>
      <c r="DP988" s="80">
        <v>771</v>
      </c>
    </row>
    <row r="989" spans="29:120" x14ac:dyDescent="0.25">
      <c r="AC989" s="122" t="s">
        <v>236</v>
      </c>
      <c r="AD989" s="122" t="s">
        <v>1385</v>
      </c>
      <c r="AE989" s="127">
        <v>2</v>
      </c>
      <c r="DA989" s="122" t="s">
        <v>322</v>
      </c>
      <c r="DB989" s="122" t="s">
        <v>3030</v>
      </c>
      <c r="DC989" s="122" t="s">
        <v>3030</v>
      </c>
      <c r="DD989" s="127">
        <v>6</v>
      </c>
      <c r="DE989" s="127">
        <v>6</v>
      </c>
      <c r="DG989" s="405" t="s">
        <v>322</v>
      </c>
      <c r="DH989" s="406" t="s">
        <v>3030</v>
      </c>
      <c r="DI989" s="406" t="str">
        <f t="shared" si="47"/>
        <v>GO, Hidrolina</v>
      </c>
      <c r="DJ989" s="406">
        <v>-14.724</v>
      </c>
      <c r="DK989" s="80">
        <v>-49.465000000000003</v>
      </c>
      <c r="DL989" s="80">
        <v>603</v>
      </c>
      <c r="DM989" s="64">
        <v>6</v>
      </c>
      <c r="DN989" s="406" t="s">
        <v>6516</v>
      </c>
      <c r="DO989" s="406">
        <v>-14.95</v>
      </c>
      <c r="DP989" s="80">
        <v>522</v>
      </c>
    </row>
    <row r="990" spans="29:120" x14ac:dyDescent="0.25">
      <c r="AC990" s="122" t="s">
        <v>27</v>
      </c>
      <c r="AD990" s="122" t="s">
        <v>1386</v>
      </c>
      <c r="AE990" s="127">
        <v>3</v>
      </c>
      <c r="DA990" s="122" t="s">
        <v>322</v>
      </c>
      <c r="DB990" s="122" t="s">
        <v>2159</v>
      </c>
      <c r="DC990" s="122" t="s">
        <v>2159</v>
      </c>
      <c r="DD990" s="127">
        <v>6</v>
      </c>
      <c r="DE990" s="127">
        <v>6</v>
      </c>
      <c r="DG990" s="405" t="s">
        <v>322</v>
      </c>
      <c r="DH990" s="406" t="s">
        <v>2159</v>
      </c>
      <c r="DI990" s="406" t="str">
        <f t="shared" si="47"/>
        <v>GO, Iaciara</v>
      </c>
      <c r="DJ990" s="406">
        <v>-14.096</v>
      </c>
      <c r="DK990" s="80">
        <v>-46.631999999999998</v>
      </c>
      <c r="DL990" s="80">
        <v>571</v>
      </c>
      <c r="DM990" s="64">
        <v>6</v>
      </c>
      <c r="DN990" s="406" t="s">
        <v>6520</v>
      </c>
      <c r="DO990" s="406">
        <v>-14.09</v>
      </c>
      <c r="DP990" s="80">
        <v>834</v>
      </c>
    </row>
    <row r="991" spans="29:120" x14ac:dyDescent="0.25">
      <c r="AC991" s="122" t="s">
        <v>236</v>
      </c>
      <c r="AD991" s="122" t="s">
        <v>1387</v>
      </c>
      <c r="AE991" s="127">
        <v>2</v>
      </c>
      <c r="DA991" s="122" t="s">
        <v>322</v>
      </c>
      <c r="DB991" s="122" t="s">
        <v>2663</v>
      </c>
      <c r="DC991" s="122" t="s">
        <v>2663</v>
      </c>
      <c r="DD991" s="127">
        <v>6</v>
      </c>
      <c r="DE991" s="127">
        <v>6</v>
      </c>
      <c r="DG991" s="405" t="s">
        <v>322</v>
      </c>
      <c r="DH991" s="406" t="s">
        <v>2663</v>
      </c>
      <c r="DI991" s="406" t="str">
        <f t="shared" si="47"/>
        <v>GO, Inaciolândia</v>
      </c>
      <c r="DJ991" s="406">
        <v>-18.488</v>
      </c>
      <c r="DK991" s="80">
        <v>-49.987000000000002</v>
      </c>
      <c r="DL991" s="80">
        <v>442</v>
      </c>
      <c r="DM991" s="64">
        <v>6</v>
      </c>
      <c r="DN991" s="406" t="s">
        <v>6566</v>
      </c>
      <c r="DO991" s="406">
        <v>-18.97</v>
      </c>
      <c r="DP991" s="80">
        <v>560</v>
      </c>
    </row>
    <row r="992" spans="29:120" x14ac:dyDescent="0.25">
      <c r="AC992" s="122" t="s">
        <v>27</v>
      </c>
      <c r="AD992" s="122" t="s">
        <v>1388</v>
      </c>
      <c r="AE992" s="127">
        <v>2</v>
      </c>
      <c r="DA992" s="122" t="s">
        <v>322</v>
      </c>
      <c r="DB992" s="122" t="s">
        <v>2842</v>
      </c>
      <c r="DC992" s="122" t="s">
        <v>2842</v>
      </c>
      <c r="DD992" s="127">
        <v>6</v>
      </c>
      <c r="DE992" s="127">
        <v>6</v>
      </c>
      <c r="DG992" s="405" t="s">
        <v>322</v>
      </c>
      <c r="DH992" s="406" t="s">
        <v>2842</v>
      </c>
      <c r="DI992" s="406" t="str">
        <f t="shared" si="47"/>
        <v>GO, Indiara</v>
      </c>
      <c r="DJ992" s="406">
        <v>-17.141999999999999</v>
      </c>
      <c r="DK992" s="80">
        <v>-49.987000000000002</v>
      </c>
      <c r="DL992" s="80">
        <v>550</v>
      </c>
      <c r="DM992" s="64">
        <v>6</v>
      </c>
      <c r="DN992" s="406" t="s">
        <v>6507</v>
      </c>
      <c r="DO992" s="406">
        <v>-16.96</v>
      </c>
      <c r="DP992" s="80">
        <v>678</v>
      </c>
    </row>
    <row r="993" spans="29:120" x14ac:dyDescent="0.25">
      <c r="AC993" s="122" t="s">
        <v>27</v>
      </c>
      <c r="AD993" s="122" t="s">
        <v>1389</v>
      </c>
      <c r="AE993" s="127">
        <v>2</v>
      </c>
      <c r="DA993" s="122" t="s">
        <v>322</v>
      </c>
      <c r="DB993" s="122" t="s">
        <v>2727</v>
      </c>
      <c r="DC993" s="122" t="s">
        <v>2727</v>
      </c>
      <c r="DD993" s="127">
        <v>6</v>
      </c>
      <c r="DE993" s="127">
        <v>6</v>
      </c>
      <c r="DG993" s="405" t="s">
        <v>322</v>
      </c>
      <c r="DH993" s="406" t="s">
        <v>2727</v>
      </c>
      <c r="DI993" s="406" t="str">
        <f t="shared" si="47"/>
        <v>GO, Inhumas</v>
      </c>
      <c r="DJ993" s="406">
        <v>-16.358000000000001</v>
      </c>
      <c r="DK993" s="80">
        <v>-49.496000000000002</v>
      </c>
      <c r="DL993" s="80">
        <v>770</v>
      </c>
      <c r="DM993" s="64">
        <v>6</v>
      </c>
      <c r="DN993" s="406" t="s">
        <v>6509</v>
      </c>
      <c r="DO993" s="406">
        <v>-15.93</v>
      </c>
      <c r="DP993" s="80">
        <v>512</v>
      </c>
    </row>
    <row r="994" spans="29:120" x14ac:dyDescent="0.25">
      <c r="AC994" s="122" t="s">
        <v>27</v>
      </c>
      <c r="AD994" s="122" t="s">
        <v>1390</v>
      </c>
      <c r="AE994" s="127">
        <v>2</v>
      </c>
      <c r="DA994" s="122" t="s">
        <v>322</v>
      </c>
      <c r="DB994" s="122" t="s">
        <v>2966</v>
      </c>
      <c r="DC994" s="122" t="s">
        <v>2966</v>
      </c>
      <c r="DD994" s="127">
        <v>4</v>
      </c>
      <c r="DE994" s="127">
        <v>4</v>
      </c>
      <c r="DG994" s="405" t="s">
        <v>322</v>
      </c>
      <c r="DH994" s="406" t="s">
        <v>2966</v>
      </c>
      <c r="DI994" s="406" t="str">
        <f t="shared" si="47"/>
        <v>GO, Ipameri</v>
      </c>
      <c r="DJ994" s="406">
        <v>-17.722000000000001</v>
      </c>
      <c r="DK994" s="80">
        <v>-48.16</v>
      </c>
      <c r="DL994" s="80">
        <v>764</v>
      </c>
      <c r="DM994" s="64">
        <v>4</v>
      </c>
      <c r="DN994" s="406" t="s">
        <v>6533</v>
      </c>
      <c r="DO994" s="406">
        <v>-17.309999999999999</v>
      </c>
      <c r="DP994" s="80">
        <v>752</v>
      </c>
    </row>
    <row r="995" spans="29:120" x14ac:dyDescent="0.25">
      <c r="AC995" s="122" t="s">
        <v>236</v>
      </c>
      <c r="AD995" s="122" t="s">
        <v>1391</v>
      </c>
      <c r="AE995" s="127">
        <v>2</v>
      </c>
      <c r="DA995" s="122" t="s">
        <v>322</v>
      </c>
      <c r="DB995" s="122" t="s">
        <v>6567</v>
      </c>
      <c r="DC995" s="122" t="s">
        <v>3031</v>
      </c>
      <c r="DD995" s="127">
        <v>6</v>
      </c>
      <c r="DE995" s="127">
        <v>6</v>
      </c>
      <c r="DG995" s="405" t="s">
        <v>322</v>
      </c>
      <c r="DH995" s="406" t="s">
        <v>3031</v>
      </c>
      <c r="DI995" s="406" t="str">
        <f t="shared" si="47"/>
        <v>GO, Ipiranga de Goiás</v>
      </c>
      <c r="DJ995" s="406">
        <v>-15.17</v>
      </c>
      <c r="DK995" s="80">
        <v>-49.67</v>
      </c>
      <c r="DL995" s="80">
        <v>584</v>
      </c>
      <c r="DM995" s="64">
        <v>6</v>
      </c>
      <c r="DN995" s="406" t="s">
        <v>6516</v>
      </c>
      <c r="DO995" s="406">
        <v>-14.95</v>
      </c>
      <c r="DP995" s="80">
        <v>522</v>
      </c>
    </row>
    <row r="996" spans="29:120" x14ac:dyDescent="0.25">
      <c r="AC996" s="122" t="s">
        <v>236</v>
      </c>
      <c r="AD996" s="122" t="s">
        <v>1392</v>
      </c>
      <c r="AE996" s="127">
        <v>2</v>
      </c>
      <c r="DA996" s="122" t="s">
        <v>322</v>
      </c>
      <c r="DB996" s="122" t="s">
        <v>2969</v>
      </c>
      <c r="DC996" s="122" t="s">
        <v>2969</v>
      </c>
      <c r="DD996" s="127">
        <v>6</v>
      </c>
      <c r="DE996" s="127">
        <v>6</v>
      </c>
      <c r="DG996" s="405" t="s">
        <v>322</v>
      </c>
      <c r="DH996" s="406" t="s">
        <v>2969</v>
      </c>
      <c r="DI996" s="406" t="str">
        <f t="shared" si="47"/>
        <v>GO, Iporá</v>
      </c>
      <c r="DJ996" s="406">
        <v>-16.442</v>
      </c>
      <c r="DK996" s="80">
        <v>-51.118000000000002</v>
      </c>
      <c r="DL996" s="80">
        <v>584</v>
      </c>
      <c r="DM996" s="64">
        <v>6</v>
      </c>
      <c r="DN996" s="406" t="s">
        <v>6507</v>
      </c>
      <c r="DO996" s="406">
        <v>-16.96</v>
      </c>
      <c r="DP996" s="80">
        <v>678</v>
      </c>
    </row>
    <row r="997" spans="29:120" x14ac:dyDescent="0.25">
      <c r="AC997" s="122" t="s">
        <v>27</v>
      </c>
      <c r="AD997" s="122" t="s">
        <v>1393</v>
      </c>
      <c r="AE997" s="127">
        <v>2</v>
      </c>
      <c r="DA997" s="122" t="s">
        <v>322</v>
      </c>
      <c r="DB997" s="122" t="s">
        <v>5573</v>
      </c>
      <c r="DC997" s="122" t="s">
        <v>5573</v>
      </c>
      <c r="DD997" s="127">
        <v>6</v>
      </c>
      <c r="DE997" s="127">
        <v>6</v>
      </c>
      <c r="DG997" s="405" t="s">
        <v>322</v>
      </c>
      <c r="DH997" s="406" t="s">
        <v>5573</v>
      </c>
      <c r="DI997" s="406" t="str">
        <f t="shared" si="47"/>
        <v>GO, Israelândia</v>
      </c>
      <c r="DJ997" s="406">
        <v>-16.318000000000001</v>
      </c>
      <c r="DK997" s="80">
        <v>-50.908000000000001</v>
      </c>
      <c r="DL997" s="80">
        <v>378</v>
      </c>
      <c r="DM997" s="64">
        <v>6</v>
      </c>
      <c r="DN997" s="406" t="s">
        <v>6507</v>
      </c>
      <c r="DO997" s="406">
        <v>-16.96</v>
      </c>
      <c r="DP997" s="80">
        <v>678</v>
      </c>
    </row>
    <row r="998" spans="29:120" x14ac:dyDescent="0.25">
      <c r="AC998" s="122" t="s">
        <v>27</v>
      </c>
      <c r="AD998" s="122" t="s">
        <v>1394</v>
      </c>
      <c r="AE998" s="127">
        <v>3</v>
      </c>
      <c r="DA998" s="122" t="s">
        <v>322</v>
      </c>
      <c r="DB998" s="122" t="s">
        <v>2934</v>
      </c>
      <c r="DC998" s="122" t="s">
        <v>2934</v>
      </c>
      <c r="DD998" s="127">
        <v>6</v>
      </c>
      <c r="DE998" s="127">
        <v>6</v>
      </c>
      <c r="DG998" s="405" t="s">
        <v>322</v>
      </c>
      <c r="DH998" s="406" t="s">
        <v>2934</v>
      </c>
      <c r="DI998" s="406" t="str">
        <f t="shared" si="47"/>
        <v>GO, Itaberaí</v>
      </c>
      <c r="DJ998" s="406">
        <v>-16.02</v>
      </c>
      <c r="DK998" s="80">
        <v>-49.81</v>
      </c>
      <c r="DL998" s="80">
        <v>701</v>
      </c>
      <c r="DM998" s="64">
        <v>6</v>
      </c>
      <c r="DN998" s="406" t="s">
        <v>6509</v>
      </c>
      <c r="DO998" s="406">
        <v>-15.93</v>
      </c>
      <c r="DP998" s="80">
        <v>512</v>
      </c>
    </row>
    <row r="999" spans="29:120" x14ac:dyDescent="0.25">
      <c r="AC999" s="122" t="s">
        <v>27</v>
      </c>
      <c r="AD999" s="122" t="s">
        <v>1395</v>
      </c>
      <c r="AE999" s="127">
        <v>3</v>
      </c>
      <c r="DA999" s="122" t="s">
        <v>322</v>
      </c>
      <c r="DB999" s="122" t="s">
        <v>2883</v>
      </c>
      <c r="DC999" s="122" t="s">
        <v>2883</v>
      </c>
      <c r="DD999" s="127">
        <v>6</v>
      </c>
      <c r="DE999" s="127">
        <v>6</v>
      </c>
      <c r="DG999" s="405" t="s">
        <v>322</v>
      </c>
      <c r="DH999" s="406" t="s">
        <v>2883</v>
      </c>
      <c r="DI999" s="406" t="str">
        <f t="shared" si="47"/>
        <v>GO, Itaguari</v>
      </c>
      <c r="DJ999" s="406">
        <v>-15.919</v>
      </c>
      <c r="DK999" s="80">
        <v>-49.603999999999999</v>
      </c>
      <c r="DL999" s="80">
        <v>687</v>
      </c>
      <c r="DM999" s="64">
        <v>6</v>
      </c>
      <c r="DN999" s="406" t="s">
        <v>6509</v>
      </c>
      <c r="DO999" s="406">
        <v>-15.93</v>
      </c>
      <c r="DP999" s="80">
        <v>512</v>
      </c>
    </row>
    <row r="1000" spans="29:120" x14ac:dyDescent="0.25">
      <c r="AC1000" s="122" t="s">
        <v>236</v>
      </c>
      <c r="AD1000" s="122" t="s">
        <v>1396</v>
      </c>
      <c r="AE1000" s="127">
        <v>2</v>
      </c>
      <c r="DA1000" s="122" t="s">
        <v>322</v>
      </c>
      <c r="DB1000" s="122" t="s">
        <v>2891</v>
      </c>
      <c r="DC1000" s="122" t="s">
        <v>2891</v>
      </c>
      <c r="DD1000" s="127">
        <v>6</v>
      </c>
      <c r="DE1000" s="127">
        <v>6</v>
      </c>
      <c r="DG1000" s="405" t="s">
        <v>322</v>
      </c>
      <c r="DH1000" s="406" t="s">
        <v>2891</v>
      </c>
      <c r="DI1000" s="406" t="str">
        <f t="shared" si="47"/>
        <v>GO, Itaguaru</v>
      </c>
      <c r="DJ1000" s="406">
        <v>-15.757999999999999</v>
      </c>
      <c r="DK1000" s="80">
        <v>-49.634</v>
      </c>
      <c r="DL1000" s="80">
        <v>770</v>
      </c>
      <c r="DM1000" s="64">
        <v>6</v>
      </c>
      <c r="DN1000" s="406" t="s">
        <v>6509</v>
      </c>
      <c r="DO1000" s="406">
        <v>-15.93</v>
      </c>
      <c r="DP1000" s="80">
        <v>512</v>
      </c>
    </row>
    <row r="1001" spans="29:120" x14ac:dyDescent="0.25">
      <c r="AC1001" s="122" t="s">
        <v>27</v>
      </c>
      <c r="AD1001" s="122" t="s">
        <v>1397</v>
      </c>
      <c r="AE1001" s="127">
        <v>2</v>
      </c>
      <c r="DA1001" s="122" t="s">
        <v>322</v>
      </c>
      <c r="DB1001" s="122" t="s">
        <v>3025</v>
      </c>
      <c r="DC1001" s="122" t="s">
        <v>3025</v>
      </c>
      <c r="DD1001" s="127">
        <v>6</v>
      </c>
      <c r="DE1001" s="127">
        <v>6</v>
      </c>
      <c r="DG1001" s="405" t="s">
        <v>322</v>
      </c>
      <c r="DH1001" s="406" t="s">
        <v>3025</v>
      </c>
      <c r="DI1001" s="406" t="str">
        <f t="shared" si="47"/>
        <v>GO, Itajá</v>
      </c>
      <c r="DJ1001" s="406">
        <v>-19.067</v>
      </c>
      <c r="DK1001" s="80">
        <v>-51.543999999999997</v>
      </c>
      <c r="DL1001" s="80">
        <v>442</v>
      </c>
      <c r="DM1001" s="64">
        <v>6</v>
      </c>
      <c r="DN1001" s="406" t="s">
        <v>6541</v>
      </c>
      <c r="DO1001" s="406">
        <v>-18.989999999999998</v>
      </c>
      <c r="DP1001" s="80">
        <v>489</v>
      </c>
    </row>
    <row r="1002" spans="29:120" x14ac:dyDescent="0.25">
      <c r="AC1002" s="122" t="s">
        <v>236</v>
      </c>
      <c r="AD1002" s="122" t="s">
        <v>1398</v>
      </c>
      <c r="AE1002" s="127">
        <v>2</v>
      </c>
      <c r="DA1002" s="122" t="s">
        <v>322</v>
      </c>
      <c r="DB1002" s="122" t="s">
        <v>3058</v>
      </c>
      <c r="DC1002" s="122" t="s">
        <v>3058</v>
      </c>
      <c r="DD1002" s="127">
        <v>6</v>
      </c>
      <c r="DE1002" s="127">
        <v>6</v>
      </c>
      <c r="DG1002" s="405" t="s">
        <v>322</v>
      </c>
      <c r="DH1002" s="406" t="s">
        <v>3058</v>
      </c>
      <c r="DI1002" s="406" t="str">
        <f t="shared" si="47"/>
        <v>GO, Itapaci</v>
      </c>
      <c r="DJ1002" s="406">
        <v>-14.951000000000001</v>
      </c>
      <c r="DK1002" s="80">
        <v>-49.548999999999999</v>
      </c>
      <c r="DL1002" s="80">
        <v>557</v>
      </c>
      <c r="DM1002" s="64">
        <v>6</v>
      </c>
      <c r="DN1002" s="406" t="s">
        <v>6516</v>
      </c>
      <c r="DO1002" s="406">
        <v>-14.95</v>
      </c>
      <c r="DP1002" s="80">
        <v>522</v>
      </c>
    </row>
    <row r="1003" spans="29:120" x14ac:dyDescent="0.25">
      <c r="AC1003" s="122" t="s">
        <v>27</v>
      </c>
      <c r="AD1003" s="122" t="s">
        <v>1399</v>
      </c>
      <c r="AE1003" s="127">
        <v>2</v>
      </c>
      <c r="DA1003" s="122" t="s">
        <v>322</v>
      </c>
      <c r="DB1003" s="122" t="s">
        <v>5518</v>
      </c>
      <c r="DC1003" s="122" t="s">
        <v>5518</v>
      </c>
      <c r="DD1003" s="127">
        <v>6</v>
      </c>
      <c r="DE1003" s="127">
        <v>6</v>
      </c>
      <c r="DG1003" s="405" t="s">
        <v>322</v>
      </c>
      <c r="DH1003" s="406" t="s">
        <v>5518</v>
      </c>
      <c r="DI1003" s="406" t="str">
        <f t="shared" si="47"/>
        <v>GO, Itapirapuã</v>
      </c>
      <c r="DJ1003" s="406">
        <v>-15.823</v>
      </c>
      <c r="DK1003" s="80">
        <v>-50.613</v>
      </c>
      <c r="DL1003" s="80">
        <v>348</v>
      </c>
      <c r="DM1003" s="64">
        <v>6</v>
      </c>
      <c r="DN1003" s="406" t="s">
        <v>6509</v>
      </c>
      <c r="DO1003" s="406">
        <v>-15.93</v>
      </c>
      <c r="DP1003" s="80">
        <v>512</v>
      </c>
    </row>
    <row r="1004" spans="29:120" x14ac:dyDescent="0.25">
      <c r="AC1004" s="122" t="s">
        <v>311</v>
      </c>
      <c r="AD1004" s="122" t="s">
        <v>1400</v>
      </c>
      <c r="AE1004" s="127">
        <v>2</v>
      </c>
      <c r="DA1004" s="122" t="s">
        <v>322</v>
      </c>
      <c r="DB1004" s="122" t="s">
        <v>2816</v>
      </c>
      <c r="DC1004" s="122" t="s">
        <v>2816</v>
      </c>
      <c r="DD1004" s="127">
        <v>7</v>
      </c>
      <c r="DE1004" s="127">
        <v>7</v>
      </c>
      <c r="DG1004" s="405" t="s">
        <v>322</v>
      </c>
      <c r="DH1004" s="406" t="s">
        <v>2816</v>
      </c>
      <c r="DI1004" s="406" t="str">
        <f t="shared" si="47"/>
        <v>GO, Itapuranga</v>
      </c>
      <c r="DJ1004" s="406">
        <v>-15.561999999999999</v>
      </c>
      <c r="DK1004" s="80">
        <v>-49.948999999999998</v>
      </c>
      <c r="DL1004" s="80">
        <v>651</v>
      </c>
      <c r="DM1004" s="64">
        <v>7</v>
      </c>
      <c r="DN1004" s="406" t="s">
        <v>6509</v>
      </c>
      <c r="DO1004" s="406">
        <v>-15.93</v>
      </c>
      <c r="DP1004" s="80">
        <v>512</v>
      </c>
    </row>
    <row r="1005" spans="29:120" x14ac:dyDescent="0.25">
      <c r="AC1005" s="122" t="s">
        <v>27</v>
      </c>
      <c r="AD1005" s="122" t="s">
        <v>1401</v>
      </c>
      <c r="AE1005" s="127">
        <v>2</v>
      </c>
      <c r="DA1005" s="122" t="s">
        <v>322</v>
      </c>
      <c r="DB1005" s="122" t="s">
        <v>3015</v>
      </c>
      <c r="DC1005" s="122" t="s">
        <v>3015</v>
      </c>
      <c r="DD1005" s="127">
        <v>6</v>
      </c>
      <c r="DE1005" s="127">
        <v>6</v>
      </c>
      <c r="DG1005" s="405" t="s">
        <v>322</v>
      </c>
      <c r="DH1005" s="406" t="s">
        <v>3015</v>
      </c>
      <c r="DI1005" s="406" t="str">
        <f t="shared" si="47"/>
        <v>GO, Itarumã</v>
      </c>
      <c r="DJ1005" s="406">
        <v>-18.768999999999998</v>
      </c>
      <c r="DK1005" s="80">
        <v>-51.347999999999999</v>
      </c>
      <c r="DL1005" s="80">
        <v>474</v>
      </c>
      <c r="DM1005" s="64">
        <v>6</v>
      </c>
      <c r="DN1005" s="406" t="s">
        <v>6541</v>
      </c>
      <c r="DO1005" s="406">
        <v>-18.989999999999998</v>
      </c>
      <c r="DP1005" s="80">
        <v>489</v>
      </c>
    </row>
    <row r="1006" spans="29:120" x14ac:dyDescent="0.25">
      <c r="AC1006" s="122" t="s">
        <v>236</v>
      </c>
      <c r="AD1006" s="122" t="s">
        <v>1402</v>
      </c>
      <c r="AE1006" s="127">
        <v>2</v>
      </c>
      <c r="DA1006" s="122" t="s">
        <v>322</v>
      </c>
      <c r="DB1006" s="122" t="s">
        <v>2798</v>
      </c>
      <c r="DC1006" s="122" t="s">
        <v>2798</v>
      </c>
      <c r="DD1006" s="127">
        <v>6</v>
      </c>
      <c r="DE1006" s="127">
        <v>6</v>
      </c>
      <c r="DG1006" s="405" t="s">
        <v>322</v>
      </c>
      <c r="DH1006" s="406" t="s">
        <v>2798</v>
      </c>
      <c r="DI1006" s="406" t="str">
        <f t="shared" si="47"/>
        <v>GO, Itauçu</v>
      </c>
      <c r="DJ1006" s="406">
        <v>-16.201000000000001</v>
      </c>
      <c r="DK1006" s="80">
        <v>-49.607999999999997</v>
      </c>
      <c r="DL1006" s="80">
        <v>839</v>
      </c>
      <c r="DM1006" s="64">
        <v>6</v>
      </c>
      <c r="DN1006" s="406" t="s">
        <v>6509</v>
      </c>
      <c r="DO1006" s="406">
        <v>-15.93</v>
      </c>
      <c r="DP1006" s="80">
        <v>512</v>
      </c>
    </row>
    <row r="1007" spans="29:120" x14ac:dyDescent="0.25">
      <c r="AC1007" s="122" t="s">
        <v>27</v>
      </c>
      <c r="AD1007" s="122" t="s">
        <v>1403</v>
      </c>
      <c r="AE1007" s="127">
        <v>3</v>
      </c>
      <c r="DA1007" s="122" t="s">
        <v>322</v>
      </c>
      <c r="DB1007" s="122" t="s">
        <v>2943</v>
      </c>
      <c r="DC1007" s="122" t="s">
        <v>2943</v>
      </c>
      <c r="DD1007" s="127">
        <v>6</v>
      </c>
      <c r="DE1007" s="127">
        <v>6</v>
      </c>
      <c r="DG1007" s="405" t="s">
        <v>322</v>
      </c>
      <c r="DH1007" s="406" t="s">
        <v>2943</v>
      </c>
      <c r="DI1007" s="406" t="str">
        <f t="shared" si="47"/>
        <v>GO, Itumbiara</v>
      </c>
      <c r="DJ1007" s="406">
        <v>-18.420000000000002</v>
      </c>
      <c r="DK1007" s="80">
        <v>-49.218000000000004</v>
      </c>
      <c r="DL1007" s="80">
        <v>448</v>
      </c>
      <c r="DM1007" s="64">
        <v>6</v>
      </c>
      <c r="DN1007" s="406" t="s">
        <v>6536</v>
      </c>
      <c r="DO1007" s="406">
        <v>-18.41</v>
      </c>
      <c r="DP1007" s="80">
        <v>488</v>
      </c>
    </row>
    <row r="1008" spans="29:120" x14ac:dyDescent="0.25">
      <c r="AC1008" s="122" t="s">
        <v>27</v>
      </c>
      <c r="AD1008" s="122" t="s">
        <v>1404</v>
      </c>
      <c r="AE1008" s="127">
        <v>2</v>
      </c>
      <c r="DA1008" s="122" t="s">
        <v>322</v>
      </c>
      <c r="DB1008" s="122" t="s">
        <v>2952</v>
      </c>
      <c r="DC1008" s="122" t="s">
        <v>2952</v>
      </c>
      <c r="DD1008" s="127">
        <v>6</v>
      </c>
      <c r="DE1008" s="127">
        <v>6</v>
      </c>
      <c r="DG1008" s="405" t="s">
        <v>322</v>
      </c>
      <c r="DH1008" s="406" t="s">
        <v>2952</v>
      </c>
      <c r="DI1008" s="406" t="str">
        <f t="shared" si="47"/>
        <v>GO, Ivolândia</v>
      </c>
      <c r="DJ1008" s="406">
        <v>-16.602</v>
      </c>
      <c r="DK1008" s="80">
        <v>-50.793999999999997</v>
      </c>
      <c r="DL1008" s="80">
        <v>637</v>
      </c>
      <c r="DM1008" s="64">
        <v>6</v>
      </c>
      <c r="DN1008" s="406" t="s">
        <v>6507</v>
      </c>
      <c r="DO1008" s="406">
        <v>-16.96</v>
      </c>
      <c r="DP1008" s="80">
        <v>678</v>
      </c>
    </row>
    <row r="1009" spans="29:120" x14ac:dyDescent="0.25">
      <c r="AC1009" s="122" t="s">
        <v>236</v>
      </c>
      <c r="AD1009" s="122" t="s">
        <v>1405</v>
      </c>
      <c r="AE1009" s="127">
        <v>2</v>
      </c>
      <c r="DA1009" s="122" t="s">
        <v>322</v>
      </c>
      <c r="DB1009" s="122" t="s">
        <v>2909</v>
      </c>
      <c r="DC1009" s="122" t="s">
        <v>2909</v>
      </c>
      <c r="DD1009" s="127">
        <v>6</v>
      </c>
      <c r="DE1009" s="127">
        <v>6</v>
      </c>
      <c r="DG1009" s="405" t="s">
        <v>322</v>
      </c>
      <c r="DH1009" s="406" t="s">
        <v>2909</v>
      </c>
      <c r="DI1009" s="406" t="str">
        <f t="shared" si="47"/>
        <v>GO, Jandaia</v>
      </c>
      <c r="DJ1009" s="406">
        <v>-17.048999999999999</v>
      </c>
      <c r="DK1009" s="80">
        <v>-50.146000000000001</v>
      </c>
      <c r="DL1009" s="80">
        <v>637</v>
      </c>
      <c r="DM1009" s="64">
        <v>6</v>
      </c>
      <c r="DN1009" s="406" t="s">
        <v>6507</v>
      </c>
      <c r="DO1009" s="406">
        <v>-16.96</v>
      </c>
      <c r="DP1009" s="80">
        <v>678</v>
      </c>
    </row>
    <row r="1010" spans="29:120" x14ac:dyDescent="0.25">
      <c r="AC1010" s="122" t="s">
        <v>236</v>
      </c>
      <c r="AD1010" s="122" t="s">
        <v>1406</v>
      </c>
      <c r="AE1010" s="127">
        <v>3</v>
      </c>
      <c r="DA1010" s="122" t="s">
        <v>322</v>
      </c>
      <c r="DB1010" s="122" t="s">
        <v>2917</v>
      </c>
      <c r="DC1010" s="122" t="s">
        <v>2917</v>
      </c>
      <c r="DD1010" s="127">
        <v>6</v>
      </c>
      <c r="DE1010" s="127">
        <v>6</v>
      </c>
      <c r="DG1010" s="405" t="s">
        <v>322</v>
      </c>
      <c r="DH1010" s="406" t="s">
        <v>2917</v>
      </c>
      <c r="DI1010" s="406" t="str">
        <f t="shared" si="47"/>
        <v>GO, Jaraguá</v>
      </c>
      <c r="DJ1010" s="406">
        <v>-15.757</v>
      </c>
      <c r="DK1010" s="80">
        <v>-49.334000000000003</v>
      </c>
      <c r="DL1010" s="80">
        <v>666</v>
      </c>
      <c r="DM1010" s="64">
        <v>6</v>
      </c>
      <c r="DN1010" s="406" t="s">
        <v>6548</v>
      </c>
      <c r="DO1010" s="406">
        <v>-15.37</v>
      </c>
      <c r="DP1010" s="80">
        <v>770</v>
      </c>
    </row>
    <row r="1011" spans="29:120" x14ac:dyDescent="0.25">
      <c r="AC1011" s="122" t="s">
        <v>27</v>
      </c>
      <c r="AD1011" s="122" t="s">
        <v>1407</v>
      </c>
      <c r="AE1011" s="127">
        <v>3</v>
      </c>
      <c r="DA1011" s="122" t="s">
        <v>322</v>
      </c>
      <c r="DB1011" s="122" t="s">
        <v>3055</v>
      </c>
      <c r="DC1011" s="122" t="s">
        <v>3055</v>
      </c>
      <c r="DD1011" s="127">
        <v>6</v>
      </c>
      <c r="DE1011" s="127">
        <v>6</v>
      </c>
      <c r="DG1011" s="405" t="s">
        <v>322</v>
      </c>
      <c r="DH1011" s="406" t="s">
        <v>3055</v>
      </c>
      <c r="DI1011" s="406" t="str">
        <f t="shared" si="47"/>
        <v>GO, Jataí</v>
      </c>
      <c r="DJ1011" s="406">
        <v>-17.881</v>
      </c>
      <c r="DK1011" s="80">
        <v>-51.713999999999999</v>
      </c>
      <c r="DL1011" s="80">
        <v>696</v>
      </c>
      <c r="DM1011" s="64">
        <v>6</v>
      </c>
      <c r="DN1011" s="406" t="s">
        <v>6568</v>
      </c>
      <c r="DO1011" s="406">
        <v>-17.88</v>
      </c>
      <c r="DP1011" s="80">
        <v>582</v>
      </c>
    </row>
    <row r="1012" spans="29:120" x14ac:dyDescent="0.25">
      <c r="AC1012" s="122" t="s">
        <v>236</v>
      </c>
      <c r="AD1012" s="122" t="s">
        <v>1408</v>
      </c>
      <c r="AE1012" s="127">
        <v>2</v>
      </c>
      <c r="DA1012" s="122" t="s">
        <v>322</v>
      </c>
      <c r="DB1012" s="122" t="s">
        <v>5575</v>
      </c>
      <c r="DC1012" s="122" t="s">
        <v>5575</v>
      </c>
      <c r="DD1012" s="127">
        <v>6</v>
      </c>
      <c r="DE1012" s="127">
        <v>6</v>
      </c>
      <c r="DG1012" s="405" t="s">
        <v>322</v>
      </c>
      <c r="DH1012" s="406" t="s">
        <v>5575</v>
      </c>
      <c r="DI1012" s="406" t="str">
        <f t="shared" si="47"/>
        <v>GO, Jaupaci</v>
      </c>
      <c r="DJ1012" s="406">
        <v>-16.178000000000001</v>
      </c>
      <c r="DK1012" s="80">
        <v>-50.953000000000003</v>
      </c>
      <c r="DL1012" s="80">
        <v>354</v>
      </c>
      <c r="DM1012" s="64">
        <v>6</v>
      </c>
      <c r="DN1012" s="406" t="s">
        <v>6509</v>
      </c>
      <c r="DO1012" s="406">
        <v>-15.93</v>
      </c>
      <c r="DP1012" s="80">
        <v>512</v>
      </c>
    </row>
    <row r="1013" spans="29:120" x14ac:dyDescent="0.25">
      <c r="AC1013" s="122" t="s">
        <v>27</v>
      </c>
      <c r="AD1013" s="122" t="s">
        <v>1409</v>
      </c>
      <c r="AE1013" s="127">
        <v>2</v>
      </c>
      <c r="DA1013" s="122" t="s">
        <v>322</v>
      </c>
      <c r="DB1013" s="122" t="s">
        <v>2886</v>
      </c>
      <c r="DC1013" s="122" t="s">
        <v>2886</v>
      </c>
      <c r="DD1013" s="127">
        <v>6</v>
      </c>
      <c r="DE1013" s="127">
        <v>6</v>
      </c>
      <c r="DG1013" s="405" t="s">
        <v>322</v>
      </c>
      <c r="DH1013" s="406" t="s">
        <v>2886</v>
      </c>
      <c r="DI1013" s="406" t="str">
        <f t="shared" si="47"/>
        <v>GO, Jesúpolis</v>
      </c>
      <c r="DJ1013" s="406">
        <v>-15.951000000000001</v>
      </c>
      <c r="DK1013" s="80">
        <v>-49.374000000000002</v>
      </c>
      <c r="DL1013" s="80">
        <v>706</v>
      </c>
      <c r="DM1013" s="64">
        <v>6</v>
      </c>
      <c r="DN1013" s="406" t="s">
        <v>6548</v>
      </c>
      <c r="DO1013" s="406">
        <v>-15.37</v>
      </c>
      <c r="DP1013" s="80">
        <v>770</v>
      </c>
    </row>
    <row r="1014" spans="29:120" x14ac:dyDescent="0.25">
      <c r="AC1014" s="122" t="s">
        <v>236</v>
      </c>
      <c r="AD1014" s="122" t="s">
        <v>1410</v>
      </c>
      <c r="AE1014" s="127">
        <v>2</v>
      </c>
      <c r="DA1014" s="122" t="s">
        <v>322</v>
      </c>
      <c r="DB1014" s="122" t="s">
        <v>2771</v>
      </c>
      <c r="DC1014" s="122" t="s">
        <v>2771</v>
      </c>
      <c r="DD1014" s="127">
        <v>6</v>
      </c>
      <c r="DE1014" s="127">
        <v>6</v>
      </c>
      <c r="DG1014" s="405" t="s">
        <v>322</v>
      </c>
      <c r="DH1014" s="406" t="s">
        <v>2771</v>
      </c>
      <c r="DI1014" s="406" t="str">
        <f t="shared" si="47"/>
        <v>GO, Joviânia</v>
      </c>
      <c r="DJ1014" s="406">
        <v>-17.805</v>
      </c>
      <c r="DK1014" s="80">
        <v>-49.613999999999997</v>
      </c>
      <c r="DL1014" s="80">
        <v>807</v>
      </c>
      <c r="DM1014" s="64">
        <v>6</v>
      </c>
      <c r="DN1014" s="406" t="s">
        <v>6513</v>
      </c>
      <c r="DO1014" s="406">
        <v>-17.73</v>
      </c>
      <c r="DP1014" s="80">
        <v>771</v>
      </c>
    </row>
    <row r="1015" spans="29:120" x14ac:dyDescent="0.25">
      <c r="AC1015" s="122" t="s">
        <v>236</v>
      </c>
      <c r="AD1015" s="122" t="s">
        <v>1411</v>
      </c>
      <c r="AE1015" s="127">
        <v>2</v>
      </c>
      <c r="DA1015" s="122" t="s">
        <v>322</v>
      </c>
      <c r="DB1015" s="122" t="s">
        <v>2585</v>
      </c>
      <c r="DC1015" s="122" t="s">
        <v>2585</v>
      </c>
      <c r="DD1015" s="127">
        <v>6</v>
      </c>
      <c r="DE1015" s="127">
        <v>6</v>
      </c>
      <c r="DG1015" s="405" t="s">
        <v>322</v>
      </c>
      <c r="DH1015" s="406" t="s">
        <v>2585</v>
      </c>
      <c r="DI1015" s="406" t="str">
        <f t="shared" si="47"/>
        <v>GO, Jussara</v>
      </c>
      <c r="DJ1015" s="406">
        <v>-15.865</v>
      </c>
      <c r="DK1015" s="80">
        <v>-50.868000000000002</v>
      </c>
      <c r="DL1015" s="80">
        <v>317</v>
      </c>
      <c r="DM1015" s="64">
        <v>6</v>
      </c>
      <c r="DN1015" s="406" t="s">
        <v>6509</v>
      </c>
      <c r="DO1015" s="406">
        <v>-15.93</v>
      </c>
      <c r="DP1015" s="80">
        <v>512</v>
      </c>
    </row>
    <row r="1016" spans="29:120" x14ac:dyDescent="0.25">
      <c r="AC1016" s="122" t="s">
        <v>236</v>
      </c>
      <c r="AD1016" s="122" t="s">
        <v>1412</v>
      </c>
      <c r="AE1016" s="127">
        <v>2</v>
      </c>
      <c r="DA1016" s="122" t="s">
        <v>322</v>
      </c>
      <c r="DB1016" s="122" t="s">
        <v>6569</v>
      </c>
      <c r="DC1016" s="122" t="s">
        <v>2192</v>
      </c>
      <c r="DD1016" s="127">
        <v>6</v>
      </c>
      <c r="DE1016" s="127">
        <v>6</v>
      </c>
      <c r="DG1016" s="405" t="s">
        <v>322</v>
      </c>
      <c r="DH1016" s="406" t="s">
        <v>2192</v>
      </c>
      <c r="DI1016" s="406" t="str">
        <f t="shared" si="47"/>
        <v>GO, Lagoa Santa</v>
      </c>
      <c r="DJ1016" s="406">
        <v>-19.183</v>
      </c>
      <c r="DK1016" s="80">
        <v>-51.390999999999998</v>
      </c>
      <c r="DL1016" s="80">
        <v>468</v>
      </c>
      <c r="DM1016" s="64">
        <v>6</v>
      </c>
      <c r="DN1016" s="406" t="s">
        <v>6541</v>
      </c>
      <c r="DO1016" s="406">
        <v>-18.989999999999998</v>
      </c>
      <c r="DP1016" s="80">
        <v>489</v>
      </c>
    </row>
    <row r="1017" spans="29:120" x14ac:dyDescent="0.25">
      <c r="AC1017" s="122" t="s">
        <v>27</v>
      </c>
      <c r="AD1017" s="122" t="s">
        <v>1413</v>
      </c>
      <c r="AE1017" s="127">
        <v>2</v>
      </c>
      <c r="DA1017" s="122" t="s">
        <v>322</v>
      </c>
      <c r="DB1017" s="122" t="s">
        <v>6570</v>
      </c>
      <c r="DC1017" s="122" t="s">
        <v>2972</v>
      </c>
      <c r="DD1017" s="127">
        <v>6</v>
      </c>
      <c r="DE1017" s="127">
        <v>6</v>
      </c>
      <c r="DG1017" s="405" t="s">
        <v>322</v>
      </c>
      <c r="DH1017" s="406" t="s">
        <v>2972</v>
      </c>
      <c r="DI1017" s="406" t="str">
        <f t="shared" si="47"/>
        <v>GO, Leopoldo de Bulhões</v>
      </c>
      <c r="DJ1017" s="406">
        <v>-16.619</v>
      </c>
      <c r="DK1017" s="80">
        <v>-48.744</v>
      </c>
      <c r="DL1017" s="80">
        <v>1030</v>
      </c>
      <c r="DM1017" s="64">
        <v>6</v>
      </c>
      <c r="DN1017" s="406" t="s">
        <v>6533</v>
      </c>
      <c r="DO1017" s="406">
        <v>-17.309999999999999</v>
      </c>
      <c r="DP1017" s="80">
        <v>752</v>
      </c>
    </row>
    <row r="1018" spans="29:120" x14ac:dyDescent="0.25">
      <c r="AC1018" s="122" t="s">
        <v>27</v>
      </c>
      <c r="AD1018" s="122" t="s">
        <v>741</v>
      </c>
      <c r="AE1018" s="127">
        <v>2</v>
      </c>
      <c r="DA1018" s="122" t="s">
        <v>322</v>
      </c>
      <c r="DB1018" s="122" t="s">
        <v>2089</v>
      </c>
      <c r="DC1018" s="122" t="s">
        <v>2089</v>
      </c>
      <c r="DD1018" s="127">
        <v>4</v>
      </c>
      <c r="DE1018" s="127">
        <v>4</v>
      </c>
      <c r="DG1018" s="405" t="s">
        <v>322</v>
      </c>
      <c r="DH1018" s="406" t="s">
        <v>2089</v>
      </c>
      <c r="DI1018" s="406" t="str">
        <f t="shared" si="47"/>
        <v>GO, Luziânia</v>
      </c>
      <c r="DJ1018" s="406">
        <v>-16.253</v>
      </c>
      <c r="DK1018" s="80">
        <v>-47.95</v>
      </c>
      <c r="DL1018" s="80">
        <v>930</v>
      </c>
      <c r="DM1018" s="64">
        <v>4</v>
      </c>
      <c r="DN1018" s="406" t="s">
        <v>6508</v>
      </c>
      <c r="DO1018" s="406">
        <v>-16.25</v>
      </c>
      <c r="DP1018" s="80">
        <v>958</v>
      </c>
    </row>
    <row r="1019" spans="29:120" x14ac:dyDescent="0.25">
      <c r="AC1019" s="122" t="s">
        <v>27</v>
      </c>
      <c r="AD1019" s="122" t="s">
        <v>1414</v>
      </c>
      <c r="AE1019" s="127">
        <v>2</v>
      </c>
      <c r="DA1019" s="122" t="s">
        <v>322</v>
      </c>
      <c r="DB1019" s="122" t="s">
        <v>2710</v>
      </c>
      <c r="DC1019" s="122" t="s">
        <v>2710</v>
      </c>
      <c r="DD1019" s="127">
        <v>6</v>
      </c>
      <c r="DE1019" s="127">
        <v>6</v>
      </c>
      <c r="DG1019" s="405" t="s">
        <v>322</v>
      </c>
      <c r="DH1019" s="406" t="s">
        <v>2710</v>
      </c>
      <c r="DI1019" s="406" t="str">
        <f t="shared" si="47"/>
        <v>GO, Mairipotaba</v>
      </c>
      <c r="DJ1019" s="406">
        <v>-17.298999999999999</v>
      </c>
      <c r="DK1019" s="80">
        <v>-49.491</v>
      </c>
      <c r="DL1019" s="80">
        <v>658</v>
      </c>
      <c r="DM1019" s="64">
        <v>6</v>
      </c>
      <c r="DN1019" s="406" t="s">
        <v>6513</v>
      </c>
      <c r="DO1019" s="406">
        <v>-17.73</v>
      </c>
      <c r="DP1019" s="80">
        <v>771</v>
      </c>
    </row>
    <row r="1020" spans="29:120" x14ac:dyDescent="0.25">
      <c r="AC1020" s="122" t="s">
        <v>236</v>
      </c>
      <c r="AD1020" s="122" t="s">
        <v>1415</v>
      </c>
      <c r="AE1020" s="127">
        <v>2</v>
      </c>
      <c r="DA1020" s="122" t="s">
        <v>322</v>
      </c>
      <c r="DB1020" s="122" t="s">
        <v>2103</v>
      </c>
      <c r="DC1020" s="122" t="s">
        <v>2103</v>
      </c>
      <c r="DD1020" s="127">
        <v>6</v>
      </c>
      <c r="DE1020" s="127">
        <v>6</v>
      </c>
      <c r="DG1020" s="405" t="s">
        <v>322</v>
      </c>
      <c r="DH1020" s="406" t="s">
        <v>2103</v>
      </c>
      <c r="DI1020" s="406" t="str">
        <f t="shared" si="47"/>
        <v>GO, Mambaí</v>
      </c>
      <c r="DJ1020" s="406">
        <v>-14.488</v>
      </c>
      <c r="DK1020" s="80">
        <v>-46.113</v>
      </c>
      <c r="DL1020" s="80">
        <v>709</v>
      </c>
      <c r="DM1020" s="64">
        <v>6</v>
      </c>
      <c r="DN1020" s="406" t="s">
        <v>6520</v>
      </c>
      <c r="DO1020" s="406">
        <v>-14.09</v>
      </c>
      <c r="DP1020" s="80">
        <v>834</v>
      </c>
    </row>
    <row r="1021" spans="29:120" x14ac:dyDescent="0.25">
      <c r="AC1021" s="122" t="s">
        <v>236</v>
      </c>
      <c r="AD1021" s="122" t="s">
        <v>1416</v>
      </c>
      <c r="AE1021" s="127">
        <v>2</v>
      </c>
      <c r="DA1021" s="122" t="s">
        <v>322</v>
      </c>
      <c r="DB1021" s="122" t="s">
        <v>6571</v>
      </c>
      <c r="DC1021" s="122" t="s">
        <v>2623</v>
      </c>
      <c r="DD1021" s="127">
        <v>6</v>
      </c>
      <c r="DE1021" s="127">
        <v>6</v>
      </c>
      <c r="DG1021" s="405" t="s">
        <v>322</v>
      </c>
      <c r="DH1021" s="406" t="s">
        <v>2623</v>
      </c>
      <c r="DI1021" s="406" t="str">
        <f t="shared" si="47"/>
        <v>GO, Mara Rosa</v>
      </c>
      <c r="DJ1021" s="406">
        <v>-14.016999999999999</v>
      </c>
      <c r="DK1021" s="80">
        <v>-49.177999999999997</v>
      </c>
      <c r="DL1021" s="80">
        <v>530</v>
      </c>
      <c r="DM1021" s="64">
        <v>6</v>
      </c>
      <c r="DN1021" s="406" t="s">
        <v>6521</v>
      </c>
      <c r="DO1021" s="406">
        <v>-14.47</v>
      </c>
      <c r="DP1021" s="80">
        <v>583</v>
      </c>
    </row>
    <row r="1022" spans="29:120" x14ac:dyDescent="0.25">
      <c r="AC1022" s="122" t="s">
        <v>27</v>
      </c>
      <c r="AD1022" s="122" t="s">
        <v>1417</v>
      </c>
      <c r="AE1022" s="127">
        <v>2</v>
      </c>
      <c r="DA1022" s="122" t="s">
        <v>322</v>
      </c>
      <c r="DB1022" s="122" t="s">
        <v>2742</v>
      </c>
      <c r="DC1022" s="122" t="s">
        <v>2742</v>
      </c>
      <c r="DD1022" s="127">
        <v>6</v>
      </c>
      <c r="DE1022" s="127">
        <v>6</v>
      </c>
      <c r="DG1022" s="405" t="s">
        <v>322</v>
      </c>
      <c r="DH1022" s="406" t="s">
        <v>2742</v>
      </c>
      <c r="DI1022" s="406" t="str">
        <f t="shared" si="47"/>
        <v>GO, Marzagão</v>
      </c>
      <c r="DJ1022" s="406">
        <v>-17.981000000000002</v>
      </c>
      <c r="DK1022" s="80">
        <v>-48.640999999999998</v>
      </c>
      <c r="DL1022" s="80">
        <v>604</v>
      </c>
      <c r="DM1022" s="64">
        <v>6</v>
      </c>
      <c r="DN1022" s="406" t="s">
        <v>6513</v>
      </c>
      <c r="DO1022" s="406">
        <v>-17.73</v>
      </c>
      <c r="DP1022" s="80">
        <v>771</v>
      </c>
    </row>
    <row r="1023" spans="29:120" x14ac:dyDescent="0.25">
      <c r="AC1023" s="122" t="s">
        <v>27</v>
      </c>
      <c r="AD1023" s="122" t="s">
        <v>1418</v>
      </c>
      <c r="AE1023" s="127">
        <v>3</v>
      </c>
      <c r="DA1023" s="122" t="s">
        <v>322</v>
      </c>
      <c r="DB1023" s="122" t="s">
        <v>2832</v>
      </c>
      <c r="DC1023" s="122" t="s">
        <v>2832</v>
      </c>
      <c r="DD1023" s="127">
        <v>6</v>
      </c>
      <c r="DE1023" s="127">
        <v>6</v>
      </c>
      <c r="DG1023" s="405" t="s">
        <v>322</v>
      </c>
      <c r="DH1023" s="406" t="s">
        <v>2832</v>
      </c>
      <c r="DI1023" s="406" t="str">
        <f t="shared" si="47"/>
        <v>GO, Matrinchã</v>
      </c>
      <c r="DJ1023" s="406">
        <v>-15.444000000000001</v>
      </c>
      <c r="DK1023" s="80">
        <v>-50.746000000000002</v>
      </c>
      <c r="DL1023" s="80">
        <v>315</v>
      </c>
      <c r="DM1023" s="64">
        <v>6</v>
      </c>
      <c r="DN1023" s="406" t="s">
        <v>6509</v>
      </c>
      <c r="DO1023" s="406">
        <v>-15.93</v>
      </c>
      <c r="DP1023" s="80">
        <v>512</v>
      </c>
    </row>
    <row r="1024" spans="29:120" x14ac:dyDescent="0.25">
      <c r="AC1024" s="122" t="s">
        <v>236</v>
      </c>
      <c r="AD1024" s="122" t="s">
        <v>1419</v>
      </c>
      <c r="AE1024" s="127">
        <v>2</v>
      </c>
      <c r="DA1024" s="122" t="s">
        <v>322</v>
      </c>
      <c r="DB1024" s="122" t="s">
        <v>2751</v>
      </c>
      <c r="DC1024" s="122" t="s">
        <v>2751</v>
      </c>
      <c r="DD1024" s="127">
        <v>6</v>
      </c>
      <c r="DE1024" s="127">
        <v>6</v>
      </c>
      <c r="DG1024" s="405" t="s">
        <v>322</v>
      </c>
      <c r="DH1024" s="406" t="s">
        <v>2751</v>
      </c>
      <c r="DI1024" s="406" t="str">
        <f t="shared" si="47"/>
        <v>GO, Maurilândia</v>
      </c>
      <c r="DJ1024" s="406">
        <v>-17.971</v>
      </c>
      <c r="DK1024" s="80">
        <v>-50.338999999999999</v>
      </c>
      <c r="DL1024" s="80">
        <v>450</v>
      </c>
      <c r="DM1024" s="64">
        <v>6</v>
      </c>
      <c r="DN1024" s="406" t="s">
        <v>6526</v>
      </c>
      <c r="DO1024" s="406">
        <v>-17.8</v>
      </c>
      <c r="DP1024" s="80">
        <v>782</v>
      </c>
    </row>
    <row r="1025" spans="29:120" x14ac:dyDescent="0.25">
      <c r="AC1025" s="122" t="s">
        <v>236</v>
      </c>
      <c r="AD1025" s="122" t="s">
        <v>1420</v>
      </c>
      <c r="AE1025" s="127">
        <v>2</v>
      </c>
      <c r="DA1025" s="122" t="s">
        <v>322</v>
      </c>
      <c r="DB1025" s="122" t="s">
        <v>6572</v>
      </c>
      <c r="DC1025" s="122" t="s">
        <v>2890</v>
      </c>
      <c r="DD1025" s="127">
        <v>6</v>
      </c>
      <c r="DE1025" s="127">
        <v>6</v>
      </c>
      <c r="DG1025" s="405" t="s">
        <v>322</v>
      </c>
      <c r="DH1025" s="406" t="s">
        <v>2890</v>
      </c>
      <c r="DI1025" s="406" t="str">
        <f t="shared" si="47"/>
        <v>GO, Mimoso de Goiás</v>
      </c>
      <c r="DJ1025" s="406">
        <v>-15.055999999999999</v>
      </c>
      <c r="DK1025" s="80">
        <v>-48.161000000000001</v>
      </c>
      <c r="DL1025" s="80">
        <v>675</v>
      </c>
      <c r="DM1025" s="64">
        <v>6</v>
      </c>
      <c r="DN1025" s="406" t="s">
        <v>6511</v>
      </c>
      <c r="DO1025" s="406">
        <v>-15.53</v>
      </c>
      <c r="DP1025" s="80">
        <v>1200</v>
      </c>
    </row>
    <row r="1026" spans="29:120" x14ac:dyDescent="0.25">
      <c r="AC1026" s="122" t="s">
        <v>27</v>
      </c>
      <c r="AD1026" s="122" t="s">
        <v>1421</v>
      </c>
      <c r="AE1026" s="127">
        <v>3</v>
      </c>
      <c r="DA1026" s="122" t="s">
        <v>322</v>
      </c>
      <c r="DB1026" s="122" t="s">
        <v>2960</v>
      </c>
      <c r="DC1026" s="122" t="s">
        <v>2960</v>
      </c>
      <c r="DD1026" s="127">
        <v>6</v>
      </c>
      <c r="DE1026" s="127">
        <v>6</v>
      </c>
      <c r="DG1026" s="405" t="s">
        <v>322</v>
      </c>
      <c r="DH1026" s="406" t="s">
        <v>2960</v>
      </c>
      <c r="DI1026" s="406" t="str">
        <f t="shared" si="47"/>
        <v>GO, Minaçu</v>
      </c>
      <c r="DJ1026" s="406">
        <v>-13.532999999999999</v>
      </c>
      <c r="DK1026" s="80">
        <v>-48.22</v>
      </c>
      <c r="DL1026" s="80">
        <v>351</v>
      </c>
      <c r="DM1026" s="64">
        <v>6</v>
      </c>
      <c r="DN1026" s="406" t="s">
        <v>6518</v>
      </c>
      <c r="DO1026" s="406">
        <v>-14.13</v>
      </c>
      <c r="DP1026" s="80">
        <v>1260</v>
      </c>
    </row>
    <row r="1027" spans="29:120" x14ac:dyDescent="0.25">
      <c r="AC1027" s="122" t="s">
        <v>236</v>
      </c>
      <c r="AD1027" s="122" t="s">
        <v>1422</v>
      </c>
      <c r="AE1027" s="127">
        <v>2</v>
      </c>
      <c r="DA1027" s="122" t="s">
        <v>322</v>
      </c>
      <c r="DB1027" s="122" t="s">
        <v>3051</v>
      </c>
      <c r="DC1027" s="122" t="s">
        <v>3051</v>
      </c>
      <c r="DD1027" s="127">
        <v>6</v>
      </c>
      <c r="DE1027" s="127">
        <v>6</v>
      </c>
      <c r="DG1027" s="405" t="s">
        <v>322</v>
      </c>
      <c r="DH1027" s="406" t="s">
        <v>3051</v>
      </c>
      <c r="DI1027" s="406" t="str">
        <f t="shared" ref="DI1027:DI1090" si="48">CONCATENATE(DG1027,", ",DH1027)</f>
        <v>GO, Mineiros</v>
      </c>
      <c r="DJ1027" s="406">
        <v>-17.568999999999999</v>
      </c>
      <c r="DK1027" s="80">
        <v>-52.551000000000002</v>
      </c>
      <c r="DL1027" s="80">
        <v>750</v>
      </c>
      <c r="DM1027" s="64">
        <v>6</v>
      </c>
      <c r="DN1027" s="406" t="s">
        <v>6573</v>
      </c>
      <c r="DO1027" s="406">
        <v>-17.57</v>
      </c>
      <c r="DP1027" s="80">
        <v>706</v>
      </c>
    </row>
    <row r="1028" spans="29:120" x14ac:dyDescent="0.25">
      <c r="AC1028" s="122" t="s">
        <v>27</v>
      </c>
      <c r="AD1028" s="122" t="s">
        <v>1423</v>
      </c>
      <c r="AE1028" s="127">
        <v>2</v>
      </c>
      <c r="DA1028" s="122" t="s">
        <v>322</v>
      </c>
      <c r="DB1028" s="122" t="s">
        <v>2956</v>
      </c>
      <c r="DC1028" s="122" t="s">
        <v>2956</v>
      </c>
      <c r="DD1028" s="127">
        <v>6</v>
      </c>
      <c r="DE1028" s="127">
        <v>6</v>
      </c>
      <c r="DG1028" s="405" t="s">
        <v>322</v>
      </c>
      <c r="DH1028" s="406" t="s">
        <v>2956</v>
      </c>
      <c r="DI1028" s="406" t="str">
        <f t="shared" si="48"/>
        <v>GO, Moiporá</v>
      </c>
      <c r="DJ1028" s="406">
        <v>-16.545999999999999</v>
      </c>
      <c r="DK1028" s="80">
        <v>-50.738999999999997</v>
      </c>
      <c r="DL1028" s="80">
        <v>678</v>
      </c>
      <c r="DM1028" s="64">
        <v>6</v>
      </c>
      <c r="DN1028" s="406" t="s">
        <v>6507</v>
      </c>
      <c r="DO1028" s="406">
        <v>-16.96</v>
      </c>
      <c r="DP1028" s="80">
        <v>678</v>
      </c>
    </row>
    <row r="1029" spans="29:120" x14ac:dyDescent="0.25">
      <c r="AC1029" s="122" t="s">
        <v>27</v>
      </c>
      <c r="AD1029" s="122" t="s">
        <v>1424</v>
      </c>
      <c r="AE1029" s="127">
        <v>2</v>
      </c>
      <c r="DA1029" s="122" t="s">
        <v>322</v>
      </c>
      <c r="DB1029" s="122" t="s">
        <v>6574</v>
      </c>
      <c r="DC1029" s="122" t="s">
        <v>4648</v>
      </c>
      <c r="DD1029" s="127">
        <v>7</v>
      </c>
      <c r="DE1029" s="127">
        <v>7</v>
      </c>
      <c r="DG1029" s="405" t="s">
        <v>322</v>
      </c>
      <c r="DH1029" s="406" t="s">
        <v>4648</v>
      </c>
      <c r="DI1029" s="406" t="str">
        <f t="shared" si="48"/>
        <v>GO, Monte Alegre de Goiás</v>
      </c>
      <c r="DJ1029" s="406">
        <v>-13.256</v>
      </c>
      <c r="DK1029" s="80">
        <v>-46.901000000000003</v>
      </c>
      <c r="DL1029" s="80">
        <v>557</v>
      </c>
      <c r="DM1029" s="64">
        <v>7</v>
      </c>
      <c r="DN1029" s="406" t="s">
        <v>6550</v>
      </c>
      <c r="DO1029" s="406">
        <v>-13.5</v>
      </c>
      <c r="DP1029" s="80">
        <v>1253</v>
      </c>
    </row>
    <row r="1030" spans="29:120" x14ac:dyDescent="0.25">
      <c r="AC1030" s="122" t="s">
        <v>236</v>
      </c>
      <c r="AD1030" s="122" t="s">
        <v>1425</v>
      </c>
      <c r="AE1030" s="127">
        <v>2</v>
      </c>
      <c r="DA1030" s="122" t="s">
        <v>322</v>
      </c>
      <c r="DB1030" s="122" t="s">
        <v>6575</v>
      </c>
      <c r="DC1030" s="122" t="s">
        <v>5632</v>
      </c>
      <c r="DD1030" s="127">
        <v>6</v>
      </c>
      <c r="DE1030" s="127">
        <v>6</v>
      </c>
      <c r="DG1030" s="405" t="s">
        <v>322</v>
      </c>
      <c r="DH1030" s="406" t="s">
        <v>5632</v>
      </c>
      <c r="DI1030" s="406" t="str">
        <f t="shared" si="48"/>
        <v>GO, Montes Claros de Goiás</v>
      </c>
      <c r="DJ1030" s="406">
        <v>-16.007999999999999</v>
      </c>
      <c r="DK1030" s="80">
        <v>-51.396999999999998</v>
      </c>
      <c r="DL1030" s="80">
        <v>472</v>
      </c>
      <c r="DM1030" s="64">
        <v>6</v>
      </c>
      <c r="DN1030" s="406" t="s">
        <v>6528</v>
      </c>
      <c r="DO1030" s="406">
        <v>-15.9</v>
      </c>
      <c r="DP1030" s="80">
        <v>347</v>
      </c>
    </row>
    <row r="1031" spans="29:120" x14ac:dyDescent="0.25">
      <c r="AC1031" s="122" t="s">
        <v>236</v>
      </c>
      <c r="AD1031" s="122" t="s">
        <v>1426</v>
      </c>
      <c r="AE1031" s="127">
        <v>2</v>
      </c>
      <c r="DA1031" s="122" t="s">
        <v>322</v>
      </c>
      <c r="DB1031" s="122" t="s">
        <v>3021</v>
      </c>
      <c r="DC1031" s="122" t="s">
        <v>3021</v>
      </c>
      <c r="DD1031" s="127">
        <v>6</v>
      </c>
      <c r="DE1031" s="127">
        <v>6</v>
      </c>
      <c r="DG1031" s="405" t="s">
        <v>322</v>
      </c>
      <c r="DH1031" s="406" t="s">
        <v>3021</v>
      </c>
      <c r="DI1031" s="406" t="str">
        <f t="shared" si="48"/>
        <v>GO, Montividiu</v>
      </c>
      <c r="DJ1031" s="406">
        <v>-17.443999999999999</v>
      </c>
      <c r="DK1031" s="80">
        <v>-51.174999999999997</v>
      </c>
      <c r="DL1031" s="80">
        <v>821</v>
      </c>
      <c r="DM1031" s="64">
        <v>6</v>
      </c>
      <c r="DN1031" s="406" t="s">
        <v>6526</v>
      </c>
      <c r="DO1031" s="406">
        <v>-17.8</v>
      </c>
      <c r="DP1031" s="80">
        <v>782</v>
      </c>
    </row>
    <row r="1032" spans="29:120" x14ac:dyDescent="0.25">
      <c r="AC1032" s="122" t="s">
        <v>236</v>
      </c>
      <c r="AD1032" s="122" t="s">
        <v>1427</v>
      </c>
      <c r="AE1032" s="127">
        <v>2</v>
      </c>
      <c r="DA1032" s="122" t="s">
        <v>322</v>
      </c>
      <c r="DB1032" s="122" t="s">
        <v>6576</v>
      </c>
      <c r="DC1032" s="122" t="s">
        <v>5621</v>
      </c>
      <c r="DD1032" s="127">
        <v>7</v>
      </c>
      <c r="DE1032" s="127">
        <v>7</v>
      </c>
      <c r="DG1032" s="405" t="s">
        <v>322</v>
      </c>
      <c r="DH1032" s="406" t="s">
        <v>5621</v>
      </c>
      <c r="DI1032" s="406" t="str">
        <f t="shared" si="48"/>
        <v>GO, Montividiu do Norte</v>
      </c>
      <c r="DJ1032" s="406">
        <v>-13.113</v>
      </c>
      <c r="DK1032" s="80">
        <v>-48.606999999999999</v>
      </c>
      <c r="DL1032" s="80">
        <v>435</v>
      </c>
      <c r="DM1032" s="64">
        <v>7</v>
      </c>
      <c r="DN1032" s="406" t="s">
        <v>6577</v>
      </c>
      <c r="DO1032" s="406">
        <v>-12.6</v>
      </c>
      <c r="DP1032" s="80">
        <v>280</v>
      </c>
    </row>
    <row r="1033" spans="29:120" x14ac:dyDescent="0.25">
      <c r="AC1033" s="122" t="s">
        <v>236</v>
      </c>
      <c r="AD1033" s="122" t="s">
        <v>1428</v>
      </c>
      <c r="AE1033" s="127">
        <v>2</v>
      </c>
      <c r="DA1033" s="122" t="s">
        <v>322</v>
      </c>
      <c r="DB1033" s="122" t="s">
        <v>3052</v>
      </c>
      <c r="DC1033" s="122" t="s">
        <v>3052</v>
      </c>
      <c r="DD1033" s="127">
        <v>6</v>
      </c>
      <c r="DE1033" s="127">
        <v>6</v>
      </c>
      <c r="DG1033" s="405" t="s">
        <v>322</v>
      </c>
      <c r="DH1033" s="406" t="s">
        <v>3052</v>
      </c>
      <c r="DI1033" s="406" t="str">
        <f t="shared" si="48"/>
        <v>GO, Morrinhos</v>
      </c>
      <c r="DJ1033" s="406">
        <v>-17.731999999999999</v>
      </c>
      <c r="DK1033" s="80">
        <v>-49.100999999999999</v>
      </c>
      <c r="DL1033" s="80">
        <v>771</v>
      </c>
      <c r="DM1033" s="64">
        <v>6</v>
      </c>
      <c r="DN1033" s="406" t="s">
        <v>6513</v>
      </c>
      <c r="DO1033" s="406">
        <v>-17.73</v>
      </c>
      <c r="DP1033" s="80">
        <v>771</v>
      </c>
    </row>
    <row r="1034" spans="29:120" x14ac:dyDescent="0.25">
      <c r="AC1034" s="122" t="s">
        <v>236</v>
      </c>
      <c r="AD1034" s="122" t="s">
        <v>1429</v>
      </c>
      <c r="AE1034" s="127">
        <v>2</v>
      </c>
      <c r="DA1034" s="122" t="s">
        <v>322</v>
      </c>
      <c r="DB1034" s="122" t="s">
        <v>6578</v>
      </c>
      <c r="DC1034" s="122" t="s">
        <v>2775</v>
      </c>
      <c r="DD1034" s="127">
        <v>6</v>
      </c>
      <c r="DE1034" s="127">
        <v>6</v>
      </c>
      <c r="DG1034" s="405" t="s">
        <v>322</v>
      </c>
      <c r="DH1034" s="406" t="s">
        <v>2775</v>
      </c>
      <c r="DI1034" s="406" t="str">
        <f t="shared" si="48"/>
        <v>GO, Morro Agudo de Goiás</v>
      </c>
      <c r="DJ1034" s="406">
        <v>-15.321</v>
      </c>
      <c r="DK1034" s="80">
        <v>-50.057000000000002</v>
      </c>
      <c r="DL1034" s="80">
        <v>691</v>
      </c>
      <c r="DM1034" s="64">
        <v>6</v>
      </c>
      <c r="DN1034" s="406" t="s">
        <v>6509</v>
      </c>
      <c r="DO1034" s="406">
        <v>-15.93</v>
      </c>
      <c r="DP1034" s="80">
        <v>512</v>
      </c>
    </row>
    <row r="1035" spans="29:120" x14ac:dyDescent="0.25">
      <c r="AC1035" s="122" t="s">
        <v>236</v>
      </c>
      <c r="AD1035" s="122" t="s">
        <v>1430</v>
      </c>
      <c r="AE1035" s="127">
        <v>2</v>
      </c>
      <c r="DA1035" s="122" t="s">
        <v>322</v>
      </c>
      <c r="DB1035" s="122" t="s">
        <v>4714</v>
      </c>
      <c r="DC1035" s="122" t="s">
        <v>4714</v>
      </c>
      <c r="DD1035" s="127">
        <v>6</v>
      </c>
      <c r="DE1035" s="127">
        <v>6</v>
      </c>
      <c r="DG1035" s="405" t="s">
        <v>322</v>
      </c>
      <c r="DH1035" s="406" t="s">
        <v>4714</v>
      </c>
      <c r="DI1035" s="406" t="str">
        <f t="shared" si="48"/>
        <v>GO, Mossâmedes</v>
      </c>
      <c r="DJ1035" s="406">
        <v>-16.126999999999999</v>
      </c>
      <c r="DK1035" s="80">
        <v>-50.215000000000003</v>
      </c>
      <c r="DL1035" s="80">
        <v>615</v>
      </c>
      <c r="DM1035" s="64">
        <v>6</v>
      </c>
      <c r="DN1035" s="406" t="s">
        <v>6509</v>
      </c>
      <c r="DO1035" s="406">
        <v>-15.93</v>
      </c>
      <c r="DP1035" s="80">
        <v>512</v>
      </c>
    </row>
    <row r="1036" spans="29:120" x14ac:dyDescent="0.25">
      <c r="AC1036" s="122" t="s">
        <v>236</v>
      </c>
      <c r="AD1036" s="122" t="s">
        <v>1431</v>
      </c>
      <c r="AE1036" s="127">
        <v>2</v>
      </c>
      <c r="DA1036" s="122" t="s">
        <v>322</v>
      </c>
      <c r="DB1036" s="122" t="s">
        <v>5482</v>
      </c>
      <c r="DC1036" s="122" t="s">
        <v>5482</v>
      </c>
      <c r="DD1036" s="127">
        <v>6</v>
      </c>
      <c r="DE1036" s="127">
        <v>6</v>
      </c>
      <c r="DG1036" s="405" t="s">
        <v>322</v>
      </c>
      <c r="DH1036" s="406" t="s">
        <v>5482</v>
      </c>
      <c r="DI1036" s="406" t="str">
        <f t="shared" si="48"/>
        <v>GO, Mozarlândia</v>
      </c>
      <c r="DJ1036" s="406">
        <v>-14.744999999999999</v>
      </c>
      <c r="DK1036" s="80">
        <v>-50.570999999999998</v>
      </c>
      <c r="DL1036" s="80">
        <v>309</v>
      </c>
      <c r="DM1036" s="64">
        <v>6</v>
      </c>
      <c r="DN1036" s="406" t="s">
        <v>6516</v>
      </c>
      <c r="DO1036" s="406">
        <v>-14.95</v>
      </c>
      <c r="DP1036" s="80">
        <v>522</v>
      </c>
    </row>
    <row r="1037" spans="29:120" x14ac:dyDescent="0.25">
      <c r="AC1037" s="122" t="s">
        <v>236</v>
      </c>
      <c r="AD1037" s="122" t="s">
        <v>1432</v>
      </c>
      <c r="AE1037" s="127">
        <v>2</v>
      </c>
      <c r="DA1037" s="122" t="s">
        <v>322</v>
      </c>
      <c r="DB1037" s="122" t="s">
        <v>6313</v>
      </c>
      <c r="DC1037" s="122" t="s">
        <v>2183</v>
      </c>
      <c r="DD1037" s="127">
        <v>7</v>
      </c>
      <c r="DE1037" s="127">
        <v>7</v>
      </c>
      <c r="DG1037" s="405" t="s">
        <v>322</v>
      </c>
      <c r="DH1037" s="406" t="s">
        <v>2183</v>
      </c>
      <c r="DI1037" s="406" t="str">
        <f t="shared" si="48"/>
        <v>GO, Mundo Novo</v>
      </c>
      <c r="DJ1037" s="406">
        <v>-13.776</v>
      </c>
      <c r="DK1037" s="80">
        <v>-50.280999999999999</v>
      </c>
      <c r="DL1037" s="80">
        <v>263</v>
      </c>
      <c r="DM1037" s="64">
        <v>7</v>
      </c>
      <c r="DN1037" s="406" t="s">
        <v>6516</v>
      </c>
      <c r="DO1037" s="406">
        <v>-14.95</v>
      </c>
      <c r="DP1037" s="80">
        <v>522</v>
      </c>
    </row>
    <row r="1038" spans="29:120" x14ac:dyDescent="0.25">
      <c r="AC1038" s="122" t="s">
        <v>236</v>
      </c>
      <c r="AD1038" s="122" t="s">
        <v>1433</v>
      </c>
      <c r="AE1038" s="127">
        <v>1</v>
      </c>
      <c r="DA1038" s="122" t="s">
        <v>322</v>
      </c>
      <c r="DB1038" s="122" t="s">
        <v>5383</v>
      </c>
      <c r="DC1038" s="122" t="s">
        <v>5383</v>
      </c>
      <c r="DD1038" s="127">
        <v>7</v>
      </c>
      <c r="DE1038" s="127">
        <v>7</v>
      </c>
      <c r="DG1038" s="405" t="s">
        <v>322</v>
      </c>
      <c r="DH1038" s="406" t="s">
        <v>5383</v>
      </c>
      <c r="DI1038" s="406" t="str">
        <f t="shared" si="48"/>
        <v>GO, Mutunópolis</v>
      </c>
      <c r="DJ1038" s="406">
        <v>-13.733000000000001</v>
      </c>
      <c r="DK1038" s="80">
        <v>-49.274999999999999</v>
      </c>
      <c r="DL1038" s="80">
        <v>413</v>
      </c>
      <c r="DM1038" s="64">
        <v>7</v>
      </c>
      <c r="DN1038" s="406" t="s">
        <v>6521</v>
      </c>
      <c r="DO1038" s="406">
        <v>-14.47</v>
      </c>
      <c r="DP1038" s="80">
        <v>583</v>
      </c>
    </row>
    <row r="1039" spans="29:120" x14ac:dyDescent="0.25">
      <c r="AC1039" s="122" t="s">
        <v>236</v>
      </c>
      <c r="AD1039" s="122" t="s">
        <v>1434</v>
      </c>
      <c r="AE1039" s="127">
        <v>2</v>
      </c>
      <c r="DA1039" s="122" t="s">
        <v>322</v>
      </c>
      <c r="DB1039" s="122" t="s">
        <v>2863</v>
      </c>
      <c r="DC1039" s="122" t="s">
        <v>2863</v>
      </c>
      <c r="DD1039" s="127">
        <v>6</v>
      </c>
      <c r="DE1039" s="127">
        <v>6</v>
      </c>
      <c r="DG1039" s="405" t="s">
        <v>322</v>
      </c>
      <c r="DH1039" s="406" t="s">
        <v>2863</v>
      </c>
      <c r="DI1039" s="406" t="str">
        <f t="shared" si="48"/>
        <v>GO, Nazário</v>
      </c>
      <c r="DJ1039" s="406">
        <v>-16.582000000000001</v>
      </c>
      <c r="DK1039" s="80">
        <v>-49.881999999999998</v>
      </c>
      <c r="DL1039" s="80">
        <v>649</v>
      </c>
      <c r="DM1039" s="64">
        <v>6</v>
      </c>
      <c r="DN1039" s="406" t="s">
        <v>6507</v>
      </c>
      <c r="DO1039" s="406">
        <v>-16.96</v>
      </c>
      <c r="DP1039" s="80">
        <v>678</v>
      </c>
    </row>
    <row r="1040" spans="29:120" x14ac:dyDescent="0.25">
      <c r="AC1040" s="122" t="s">
        <v>236</v>
      </c>
      <c r="AD1040" s="122" t="s">
        <v>1435</v>
      </c>
      <c r="AE1040" s="127">
        <v>2</v>
      </c>
      <c r="DA1040" s="122" t="s">
        <v>322</v>
      </c>
      <c r="DB1040" s="122" t="s">
        <v>2810</v>
      </c>
      <c r="DC1040" s="122" t="s">
        <v>2810</v>
      </c>
      <c r="DD1040" s="127">
        <v>6</v>
      </c>
      <c r="DE1040" s="127">
        <v>6</v>
      </c>
      <c r="DG1040" s="405" t="s">
        <v>322</v>
      </c>
      <c r="DH1040" s="406" t="s">
        <v>2810</v>
      </c>
      <c r="DI1040" s="406" t="str">
        <f t="shared" si="48"/>
        <v>GO, Nerópolis</v>
      </c>
      <c r="DJ1040" s="406">
        <v>-16.405999999999999</v>
      </c>
      <c r="DK1040" s="80">
        <v>-49.219000000000001</v>
      </c>
      <c r="DL1040" s="80">
        <v>832</v>
      </c>
      <c r="DM1040" s="64">
        <v>6</v>
      </c>
      <c r="DN1040" s="406" t="s">
        <v>6509</v>
      </c>
      <c r="DO1040" s="406">
        <v>-15.93</v>
      </c>
      <c r="DP1040" s="80">
        <v>512</v>
      </c>
    </row>
    <row r="1041" spans="29:120" x14ac:dyDescent="0.25">
      <c r="AC1041" s="122" t="s">
        <v>236</v>
      </c>
      <c r="AD1041" s="122" t="s">
        <v>1436</v>
      </c>
      <c r="AE1041" s="127">
        <v>2</v>
      </c>
      <c r="DA1041" s="122" t="s">
        <v>322</v>
      </c>
      <c r="DB1041" s="122" t="s">
        <v>2381</v>
      </c>
      <c r="DC1041" s="122" t="s">
        <v>2381</v>
      </c>
      <c r="DD1041" s="127">
        <v>6</v>
      </c>
      <c r="DE1041" s="127">
        <v>6</v>
      </c>
      <c r="DG1041" s="405" t="s">
        <v>322</v>
      </c>
      <c r="DH1041" s="406" t="s">
        <v>2381</v>
      </c>
      <c r="DI1041" s="406" t="str">
        <f t="shared" si="48"/>
        <v>GO, Niquelândia</v>
      </c>
      <c r="DJ1041" s="406">
        <v>-14.474</v>
      </c>
      <c r="DK1041" s="80">
        <v>-48.46</v>
      </c>
      <c r="DL1041" s="80">
        <v>583</v>
      </c>
      <c r="DM1041" s="64">
        <v>6</v>
      </c>
      <c r="DN1041" s="406" t="s">
        <v>6521</v>
      </c>
      <c r="DO1041" s="406">
        <v>-14.47</v>
      </c>
      <c r="DP1041" s="80">
        <v>583</v>
      </c>
    </row>
    <row r="1042" spans="29:120" x14ac:dyDescent="0.25">
      <c r="AC1042" s="122" t="s">
        <v>236</v>
      </c>
      <c r="AD1042" s="122" t="s">
        <v>1437</v>
      </c>
      <c r="AE1042" s="127">
        <v>2</v>
      </c>
      <c r="DA1042" s="122" t="s">
        <v>322</v>
      </c>
      <c r="DB1042" s="122" t="s">
        <v>6579</v>
      </c>
      <c r="DC1042" s="122" t="s">
        <v>2986</v>
      </c>
      <c r="DD1042" s="127">
        <v>6</v>
      </c>
      <c r="DE1042" s="127">
        <v>6</v>
      </c>
      <c r="DG1042" s="405" t="s">
        <v>322</v>
      </c>
      <c r="DH1042" s="406" t="s">
        <v>2986</v>
      </c>
      <c r="DI1042" s="406" t="str">
        <f t="shared" si="48"/>
        <v>GO, Nova América</v>
      </c>
      <c r="DJ1042" s="406">
        <v>-15.022</v>
      </c>
      <c r="DK1042" s="80">
        <v>-49.896000000000001</v>
      </c>
      <c r="DL1042" s="80">
        <v>796</v>
      </c>
      <c r="DM1042" s="64">
        <v>6</v>
      </c>
      <c r="DN1042" s="406" t="s">
        <v>6516</v>
      </c>
      <c r="DO1042" s="406">
        <v>-14.95</v>
      </c>
      <c r="DP1042" s="80">
        <v>522</v>
      </c>
    </row>
    <row r="1043" spans="29:120" x14ac:dyDescent="0.25">
      <c r="AC1043" s="122" t="s">
        <v>236</v>
      </c>
      <c r="AD1043" s="122" t="s">
        <v>1438</v>
      </c>
      <c r="AE1043" s="127">
        <v>2</v>
      </c>
      <c r="DA1043" s="122" t="s">
        <v>322</v>
      </c>
      <c r="DB1043" s="122" t="s">
        <v>6580</v>
      </c>
      <c r="DC1043" s="122" t="s">
        <v>2783</v>
      </c>
      <c r="DD1043" s="127">
        <v>4</v>
      </c>
      <c r="DE1043" s="127">
        <v>4</v>
      </c>
      <c r="DG1043" s="405" t="s">
        <v>322</v>
      </c>
      <c r="DH1043" s="406" t="s">
        <v>2783</v>
      </c>
      <c r="DI1043" s="406" t="str">
        <f t="shared" si="48"/>
        <v>GO, Nova Aurora</v>
      </c>
      <c r="DJ1043" s="406">
        <v>-18.059000000000001</v>
      </c>
      <c r="DK1043" s="80">
        <v>-48.255000000000003</v>
      </c>
      <c r="DL1043" s="80">
        <v>719</v>
      </c>
      <c r="DM1043" s="64">
        <v>4</v>
      </c>
      <c r="DN1043" s="406" t="s">
        <v>6523</v>
      </c>
      <c r="DO1043" s="406">
        <v>-18.16</v>
      </c>
      <c r="DP1043" s="80">
        <v>890</v>
      </c>
    </row>
    <row r="1044" spans="29:120" x14ac:dyDescent="0.25">
      <c r="AC1044" s="122" t="s">
        <v>236</v>
      </c>
      <c r="AD1044" s="122" t="s">
        <v>1439</v>
      </c>
      <c r="AE1044" s="127">
        <v>2</v>
      </c>
      <c r="DA1044" s="122" t="s">
        <v>322</v>
      </c>
      <c r="DB1044" s="122" t="s">
        <v>6581</v>
      </c>
      <c r="DC1044" s="122" t="s">
        <v>4468</v>
      </c>
      <c r="DD1044" s="127">
        <v>7</v>
      </c>
      <c r="DE1044" s="127">
        <v>7</v>
      </c>
      <c r="DG1044" s="405" t="s">
        <v>322</v>
      </c>
      <c r="DH1044" s="406" t="s">
        <v>4468</v>
      </c>
      <c r="DI1044" s="406" t="str">
        <f t="shared" si="48"/>
        <v>GO, Nova Crixás</v>
      </c>
      <c r="DJ1044" s="406">
        <v>-14.099</v>
      </c>
      <c r="DK1044" s="80">
        <v>-50.326999999999998</v>
      </c>
      <c r="DL1044" s="80">
        <v>282</v>
      </c>
      <c r="DM1044" s="64">
        <v>7</v>
      </c>
      <c r="DN1044" s="406" t="s">
        <v>6516</v>
      </c>
      <c r="DO1044" s="406">
        <v>-14.95</v>
      </c>
      <c r="DP1044" s="80">
        <v>522</v>
      </c>
    </row>
    <row r="1045" spans="29:120" x14ac:dyDescent="0.25">
      <c r="AC1045" s="122" t="s">
        <v>236</v>
      </c>
      <c r="AD1045" s="122" t="s">
        <v>1440</v>
      </c>
      <c r="AE1045" s="127">
        <v>2</v>
      </c>
      <c r="DA1045" s="122" t="s">
        <v>322</v>
      </c>
      <c r="DB1045" s="122" t="s">
        <v>6582</v>
      </c>
      <c r="DC1045" s="122" t="s">
        <v>5670</v>
      </c>
      <c r="DD1045" s="127">
        <v>6</v>
      </c>
      <c r="DE1045" s="127">
        <v>6</v>
      </c>
      <c r="DG1045" s="405" t="s">
        <v>322</v>
      </c>
      <c r="DH1045" s="406" t="s">
        <v>5670</v>
      </c>
      <c r="DI1045" s="406" t="str">
        <f t="shared" si="48"/>
        <v>GO, Nova Glória</v>
      </c>
      <c r="DJ1045" s="406">
        <v>-15.143000000000001</v>
      </c>
      <c r="DK1045" s="80">
        <v>-49.570999999999998</v>
      </c>
      <c r="DL1045" s="80">
        <v>562</v>
      </c>
      <c r="DM1045" s="64">
        <v>6</v>
      </c>
      <c r="DN1045" s="406" t="s">
        <v>6516</v>
      </c>
      <c r="DO1045" s="406">
        <v>-14.95</v>
      </c>
      <c r="DP1045" s="80">
        <v>522</v>
      </c>
    </row>
    <row r="1046" spans="29:120" x14ac:dyDescent="0.25">
      <c r="AC1046" s="122" t="s">
        <v>236</v>
      </c>
      <c r="AD1046" s="122" t="s">
        <v>1441</v>
      </c>
      <c r="AE1046" s="127">
        <v>2</v>
      </c>
      <c r="DA1046" s="122" t="s">
        <v>322</v>
      </c>
      <c r="DB1046" s="122" t="s">
        <v>6583</v>
      </c>
      <c r="DC1046" s="122" t="s">
        <v>2655</v>
      </c>
      <c r="DD1046" s="127">
        <v>6</v>
      </c>
      <c r="DE1046" s="127">
        <v>6</v>
      </c>
      <c r="DG1046" s="405" t="s">
        <v>322</v>
      </c>
      <c r="DH1046" s="406" t="s">
        <v>2655</v>
      </c>
      <c r="DI1046" s="406" t="str">
        <f t="shared" si="48"/>
        <v>GO, Nova Iguaçu de Goiás</v>
      </c>
      <c r="DJ1046" s="406">
        <v>-14.289</v>
      </c>
      <c r="DK1046" s="80">
        <v>-49.389000000000003</v>
      </c>
      <c r="DL1046" s="80">
        <v>375</v>
      </c>
      <c r="DM1046" s="64">
        <v>6</v>
      </c>
      <c r="DN1046" s="406" t="s">
        <v>6516</v>
      </c>
      <c r="DO1046" s="406">
        <v>-14.95</v>
      </c>
      <c r="DP1046" s="80">
        <v>522</v>
      </c>
    </row>
    <row r="1047" spans="29:120" x14ac:dyDescent="0.25">
      <c r="AC1047" s="122" t="s">
        <v>236</v>
      </c>
      <c r="AD1047" s="122" t="s">
        <v>1442</v>
      </c>
      <c r="AE1047" s="127">
        <v>2</v>
      </c>
      <c r="DA1047" s="122" t="s">
        <v>322</v>
      </c>
      <c r="DB1047" s="122" t="s">
        <v>6584</v>
      </c>
      <c r="DC1047" s="122" t="s">
        <v>2338</v>
      </c>
      <c r="DD1047" s="127">
        <v>6</v>
      </c>
      <c r="DE1047" s="127">
        <v>6</v>
      </c>
      <c r="DG1047" s="405" t="s">
        <v>322</v>
      </c>
      <c r="DH1047" s="406" t="s">
        <v>2338</v>
      </c>
      <c r="DI1047" s="406" t="str">
        <f t="shared" si="48"/>
        <v>GO, Nova Roma</v>
      </c>
      <c r="DJ1047" s="406">
        <v>-13.742000000000001</v>
      </c>
      <c r="DK1047" s="80">
        <v>-46.88</v>
      </c>
      <c r="DL1047" s="80">
        <v>610</v>
      </c>
      <c r="DM1047" s="64">
        <v>6</v>
      </c>
      <c r="DN1047" s="406" t="s">
        <v>6550</v>
      </c>
      <c r="DO1047" s="406">
        <v>-13.5</v>
      </c>
      <c r="DP1047" s="80">
        <v>1253</v>
      </c>
    </row>
    <row r="1048" spans="29:120" x14ac:dyDescent="0.25">
      <c r="AC1048" s="122" t="s">
        <v>236</v>
      </c>
      <c r="AD1048" s="122" t="s">
        <v>1443</v>
      </c>
      <c r="AE1048" s="127">
        <v>3</v>
      </c>
      <c r="DA1048" s="122" t="s">
        <v>322</v>
      </c>
      <c r="DB1048" s="122" t="s">
        <v>6585</v>
      </c>
      <c r="DC1048" s="122" t="s">
        <v>459</v>
      </c>
      <c r="DD1048" s="127">
        <v>6</v>
      </c>
      <c r="DE1048" s="127">
        <v>6</v>
      </c>
      <c r="DG1048" s="405" t="s">
        <v>322</v>
      </c>
      <c r="DH1048" s="406" t="s">
        <v>459</v>
      </c>
      <c r="DI1048" s="406" t="str">
        <f t="shared" si="48"/>
        <v>GO, Nova Veneza</v>
      </c>
      <c r="DJ1048" s="406">
        <v>-16.370999999999999</v>
      </c>
      <c r="DK1048" s="80">
        <v>-49.323</v>
      </c>
      <c r="DL1048" s="80">
        <v>806</v>
      </c>
      <c r="DM1048" s="64">
        <v>6</v>
      </c>
      <c r="DN1048" s="406" t="s">
        <v>6509</v>
      </c>
      <c r="DO1048" s="406">
        <v>-15.93</v>
      </c>
      <c r="DP1048" s="80">
        <v>512</v>
      </c>
    </row>
    <row r="1049" spans="29:120" x14ac:dyDescent="0.25">
      <c r="AC1049" s="122" t="s">
        <v>236</v>
      </c>
      <c r="AD1049" s="122" t="s">
        <v>1444</v>
      </c>
      <c r="AE1049" s="127">
        <v>3</v>
      </c>
      <c r="DA1049" s="122" t="s">
        <v>322</v>
      </c>
      <c r="DB1049" s="122" t="s">
        <v>6586</v>
      </c>
      <c r="DC1049" s="122" t="s">
        <v>5541</v>
      </c>
      <c r="DD1049" s="127">
        <v>6</v>
      </c>
      <c r="DE1049" s="127">
        <v>6</v>
      </c>
      <c r="DG1049" s="405" t="s">
        <v>322</v>
      </c>
      <c r="DH1049" s="406" t="s">
        <v>5541</v>
      </c>
      <c r="DI1049" s="406" t="str">
        <f t="shared" si="48"/>
        <v>GO, Novo Brasil</v>
      </c>
      <c r="DJ1049" s="406">
        <v>-16.033999999999999</v>
      </c>
      <c r="DK1049" s="80">
        <v>-50.710999999999999</v>
      </c>
      <c r="DL1049" s="80">
        <v>400</v>
      </c>
      <c r="DM1049" s="64">
        <v>6</v>
      </c>
      <c r="DN1049" s="406" t="s">
        <v>6509</v>
      </c>
      <c r="DO1049" s="406">
        <v>-15.93</v>
      </c>
      <c r="DP1049" s="80">
        <v>512</v>
      </c>
    </row>
    <row r="1050" spans="29:120" x14ac:dyDescent="0.25">
      <c r="AC1050" s="122" t="s">
        <v>236</v>
      </c>
      <c r="AD1050" s="122" t="s">
        <v>1445</v>
      </c>
      <c r="AE1050" s="127">
        <v>2</v>
      </c>
      <c r="DA1050" s="122" t="s">
        <v>322</v>
      </c>
      <c r="DB1050" s="122" t="s">
        <v>6587</v>
      </c>
      <c r="DC1050" s="122" t="s">
        <v>2769</v>
      </c>
      <c r="DD1050" s="127">
        <v>4</v>
      </c>
      <c r="DE1050" s="127">
        <v>4</v>
      </c>
      <c r="DG1050" s="405" t="s">
        <v>322</v>
      </c>
      <c r="DH1050" s="406" t="s">
        <v>2769</v>
      </c>
      <c r="DI1050" s="406" t="str">
        <f t="shared" si="48"/>
        <v>GO, Novo Gama</v>
      </c>
      <c r="DJ1050" s="406">
        <v>-16.059000000000001</v>
      </c>
      <c r="DK1050" s="80">
        <v>-48.039000000000001</v>
      </c>
      <c r="DL1050" s="80">
        <v>1100</v>
      </c>
      <c r="DM1050" s="64">
        <v>4</v>
      </c>
      <c r="DN1050" s="406" t="s">
        <v>6508</v>
      </c>
      <c r="DO1050" s="406">
        <v>-16.25</v>
      </c>
      <c r="DP1050" s="80">
        <v>958</v>
      </c>
    </row>
    <row r="1051" spans="29:120" x14ac:dyDescent="0.25">
      <c r="AC1051" s="122" t="s">
        <v>236</v>
      </c>
      <c r="AD1051" s="122" t="s">
        <v>1446</v>
      </c>
      <c r="AE1051" s="127">
        <v>2</v>
      </c>
      <c r="DA1051" s="122" t="s">
        <v>322</v>
      </c>
      <c r="DB1051" s="122" t="s">
        <v>6588</v>
      </c>
      <c r="DC1051" s="122" t="s">
        <v>4492</v>
      </c>
      <c r="DD1051" s="127">
        <v>7</v>
      </c>
      <c r="DE1051" s="127">
        <v>7</v>
      </c>
      <c r="DG1051" s="405" t="s">
        <v>322</v>
      </c>
      <c r="DH1051" s="406" t="s">
        <v>4492</v>
      </c>
      <c r="DI1051" s="406" t="str">
        <f t="shared" si="48"/>
        <v>GO, Novo Planalto</v>
      </c>
      <c r="DJ1051" s="406">
        <v>-13.244</v>
      </c>
      <c r="DK1051" s="80">
        <v>-49.503999999999998</v>
      </c>
      <c r="DL1051" s="80">
        <v>304</v>
      </c>
      <c r="DM1051" s="64">
        <v>7</v>
      </c>
      <c r="DN1051" s="406" t="s">
        <v>6589</v>
      </c>
      <c r="DO1051" s="406">
        <v>-11.78</v>
      </c>
      <c r="DP1051" s="80">
        <v>220</v>
      </c>
    </row>
    <row r="1052" spans="29:120" x14ac:dyDescent="0.25">
      <c r="AC1052" s="122" t="s">
        <v>236</v>
      </c>
      <c r="AD1052" s="122" t="s">
        <v>1447</v>
      </c>
      <c r="AE1052" s="127">
        <v>2</v>
      </c>
      <c r="DA1052" s="122" t="s">
        <v>322</v>
      </c>
      <c r="DB1052" s="122" t="s">
        <v>2910</v>
      </c>
      <c r="DC1052" s="122" t="s">
        <v>2910</v>
      </c>
      <c r="DD1052" s="127">
        <v>6</v>
      </c>
      <c r="DE1052" s="127">
        <v>6</v>
      </c>
      <c r="DG1052" s="405" t="s">
        <v>322</v>
      </c>
      <c r="DH1052" s="406" t="s">
        <v>2910</v>
      </c>
      <c r="DI1052" s="406" t="str">
        <f t="shared" si="48"/>
        <v>GO, Orizona</v>
      </c>
      <c r="DJ1052" s="406">
        <v>-17.030999999999999</v>
      </c>
      <c r="DK1052" s="80">
        <v>-48.295999999999999</v>
      </c>
      <c r="DL1052" s="80">
        <v>806</v>
      </c>
      <c r="DM1052" s="64">
        <v>6</v>
      </c>
      <c r="DN1052" s="406" t="s">
        <v>6533</v>
      </c>
      <c r="DO1052" s="406">
        <v>-17.309999999999999</v>
      </c>
      <c r="DP1052" s="80">
        <v>752</v>
      </c>
    </row>
    <row r="1053" spans="29:120" x14ac:dyDescent="0.25">
      <c r="AC1053" s="122" t="s">
        <v>236</v>
      </c>
      <c r="AD1053" s="122" t="s">
        <v>1448</v>
      </c>
      <c r="AE1053" s="127">
        <v>2</v>
      </c>
      <c r="DA1053" s="122" t="s">
        <v>322</v>
      </c>
      <c r="DB1053" s="122" t="s">
        <v>6590</v>
      </c>
      <c r="DC1053" s="122" t="s">
        <v>2799</v>
      </c>
      <c r="DD1053" s="127">
        <v>6</v>
      </c>
      <c r="DE1053" s="127">
        <v>6</v>
      </c>
      <c r="DG1053" s="405" t="s">
        <v>322</v>
      </c>
      <c r="DH1053" s="406" t="s">
        <v>2799</v>
      </c>
      <c r="DI1053" s="406" t="str">
        <f t="shared" si="48"/>
        <v>GO, Ouro Verde de Goiás</v>
      </c>
      <c r="DJ1053" s="406">
        <v>-16.22</v>
      </c>
      <c r="DK1053" s="80">
        <v>-49.192999999999998</v>
      </c>
      <c r="DL1053" s="80">
        <v>1040</v>
      </c>
      <c r="DM1053" s="64">
        <v>6</v>
      </c>
      <c r="DN1053" s="406" t="s">
        <v>6548</v>
      </c>
      <c r="DO1053" s="406">
        <v>-15.37</v>
      </c>
      <c r="DP1053" s="80">
        <v>770</v>
      </c>
    </row>
    <row r="1054" spans="29:120" x14ac:dyDescent="0.25">
      <c r="AC1054" s="122" t="s">
        <v>236</v>
      </c>
      <c r="AD1054" s="122" t="s">
        <v>1449</v>
      </c>
      <c r="AE1054" s="127">
        <v>2</v>
      </c>
      <c r="DA1054" s="122" t="s">
        <v>322</v>
      </c>
      <c r="DB1054" s="122" t="s">
        <v>2146</v>
      </c>
      <c r="DC1054" s="122" t="s">
        <v>2146</v>
      </c>
      <c r="DD1054" s="127">
        <v>6</v>
      </c>
      <c r="DE1054" s="127">
        <v>6</v>
      </c>
      <c r="DG1054" s="405" t="s">
        <v>322</v>
      </c>
      <c r="DH1054" s="406" t="s">
        <v>2146</v>
      </c>
      <c r="DI1054" s="406" t="str">
        <f t="shared" si="48"/>
        <v>GO, Ouvidor</v>
      </c>
      <c r="DJ1054" s="406">
        <v>-18.234000000000002</v>
      </c>
      <c r="DK1054" s="80">
        <v>-47.838999999999999</v>
      </c>
      <c r="DL1054" s="80">
        <v>810</v>
      </c>
      <c r="DM1054" s="64">
        <v>6</v>
      </c>
      <c r="DN1054" s="406" t="s">
        <v>6523</v>
      </c>
      <c r="DO1054" s="406">
        <v>-18.16</v>
      </c>
      <c r="DP1054" s="80">
        <v>890</v>
      </c>
    </row>
    <row r="1055" spans="29:120" x14ac:dyDescent="0.25">
      <c r="AC1055" s="122" t="s">
        <v>236</v>
      </c>
      <c r="AD1055" s="122" t="s">
        <v>1450</v>
      </c>
      <c r="AE1055" s="127">
        <v>2</v>
      </c>
      <c r="DA1055" s="122" t="s">
        <v>322</v>
      </c>
      <c r="DB1055" s="122" t="s">
        <v>6591</v>
      </c>
      <c r="DC1055" s="122" t="s">
        <v>2920</v>
      </c>
      <c r="DD1055" s="127">
        <v>6</v>
      </c>
      <c r="DE1055" s="127">
        <v>6</v>
      </c>
      <c r="DG1055" s="405" t="s">
        <v>322</v>
      </c>
      <c r="DH1055" s="406" t="s">
        <v>2920</v>
      </c>
      <c r="DI1055" s="406" t="str">
        <f t="shared" si="48"/>
        <v>GO, Padre Bernardo</v>
      </c>
      <c r="DJ1055" s="406">
        <v>-15.16</v>
      </c>
      <c r="DK1055" s="80">
        <v>-48.283999999999999</v>
      </c>
      <c r="DL1055" s="80">
        <v>629</v>
      </c>
      <c r="DM1055" s="64">
        <v>6</v>
      </c>
      <c r="DN1055" s="406" t="s">
        <v>6511</v>
      </c>
      <c r="DO1055" s="406">
        <v>-15.53</v>
      </c>
      <c r="DP1055" s="80">
        <v>1200</v>
      </c>
    </row>
    <row r="1056" spans="29:120" x14ac:dyDescent="0.25">
      <c r="AC1056" s="122" t="s">
        <v>236</v>
      </c>
      <c r="AD1056" s="122" t="s">
        <v>1451</v>
      </c>
      <c r="AE1056" s="127">
        <v>2</v>
      </c>
      <c r="DA1056" s="122" t="s">
        <v>322</v>
      </c>
      <c r="DB1056" s="122" t="s">
        <v>6592</v>
      </c>
      <c r="DC1056" s="122" t="s">
        <v>3009</v>
      </c>
      <c r="DD1056" s="127">
        <v>6</v>
      </c>
      <c r="DE1056" s="127">
        <v>6</v>
      </c>
      <c r="DG1056" s="405" t="s">
        <v>322</v>
      </c>
      <c r="DH1056" s="406" t="s">
        <v>3009</v>
      </c>
      <c r="DI1056" s="406" t="str">
        <f t="shared" si="48"/>
        <v>GO, Palestina de Goiás</v>
      </c>
      <c r="DJ1056" s="406">
        <v>-16.733000000000001</v>
      </c>
      <c r="DK1056" s="80">
        <v>-51.533000000000001</v>
      </c>
      <c r="DL1056" s="80">
        <v>741</v>
      </c>
      <c r="DM1056" s="64">
        <v>6</v>
      </c>
      <c r="DN1056" s="406" t="s">
        <v>6529</v>
      </c>
      <c r="DO1056" s="406">
        <v>-16.96</v>
      </c>
      <c r="DP1056" s="80">
        <v>737</v>
      </c>
    </row>
    <row r="1057" spans="29:120" x14ac:dyDescent="0.25">
      <c r="AC1057" s="122" t="s">
        <v>236</v>
      </c>
      <c r="AD1057" s="122" t="s">
        <v>1452</v>
      </c>
      <c r="AE1057" s="127">
        <v>2</v>
      </c>
      <c r="DA1057" s="122" t="s">
        <v>322</v>
      </c>
      <c r="DB1057" s="122" t="s">
        <v>6593</v>
      </c>
      <c r="DC1057" s="122" t="s">
        <v>2923</v>
      </c>
      <c r="DD1057" s="127">
        <v>6</v>
      </c>
      <c r="DE1057" s="127">
        <v>6</v>
      </c>
      <c r="DG1057" s="405" t="s">
        <v>322</v>
      </c>
      <c r="DH1057" s="406" t="s">
        <v>2923</v>
      </c>
      <c r="DI1057" s="406" t="str">
        <f t="shared" si="48"/>
        <v>GO, Palmeiras de Goiás</v>
      </c>
      <c r="DJ1057" s="406">
        <v>-16.805</v>
      </c>
      <c r="DK1057" s="80">
        <v>-49.926000000000002</v>
      </c>
      <c r="DL1057" s="80">
        <v>596</v>
      </c>
      <c r="DM1057" s="64">
        <v>6</v>
      </c>
      <c r="DN1057" s="406" t="s">
        <v>6507</v>
      </c>
      <c r="DO1057" s="406">
        <v>-16.96</v>
      </c>
      <c r="DP1057" s="80">
        <v>678</v>
      </c>
    </row>
    <row r="1058" spans="29:120" x14ac:dyDescent="0.25">
      <c r="AC1058" s="122" t="s">
        <v>27</v>
      </c>
      <c r="AD1058" s="122" t="s">
        <v>1453</v>
      </c>
      <c r="AE1058" s="127">
        <v>2</v>
      </c>
      <c r="DA1058" s="122" t="s">
        <v>322</v>
      </c>
      <c r="DB1058" s="122" t="s">
        <v>2897</v>
      </c>
      <c r="DC1058" s="122" t="s">
        <v>2897</v>
      </c>
      <c r="DD1058" s="127">
        <v>4</v>
      </c>
      <c r="DE1058" s="127">
        <v>4</v>
      </c>
      <c r="DG1058" s="405" t="s">
        <v>322</v>
      </c>
      <c r="DH1058" s="406" t="s">
        <v>2897</v>
      </c>
      <c r="DI1058" s="406" t="str">
        <f t="shared" si="48"/>
        <v>GO, Palmelo</v>
      </c>
      <c r="DJ1058" s="406">
        <v>-17.324000000000002</v>
      </c>
      <c r="DK1058" s="80">
        <v>-48.423999999999999</v>
      </c>
      <c r="DL1058" s="80">
        <v>754</v>
      </c>
      <c r="DM1058" s="64">
        <v>4</v>
      </c>
      <c r="DN1058" s="406" t="s">
        <v>6533</v>
      </c>
      <c r="DO1058" s="406">
        <v>-17.309999999999999</v>
      </c>
      <c r="DP1058" s="80">
        <v>752</v>
      </c>
    </row>
    <row r="1059" spans="29:120" x14ac:dyDescent="0.25">
      <c r="AC1059" s="122" t="s">
        <v>236</v>
      </c>
      <c r="AD1059" s="122" t="s">
        <v>1454</v>
      </c>
      <c r="AE1059" s="127">
        <v>2</v>
      </c>
      <c r="DA1059" s="122" t="s">
        <v>322</v>
      </c>
      <c r="DB1059" s="122" t="s">
        <v>2933</v>
      </c>
      <c r="DC1059" s="122" t="s">
        <v>2933</v>
      </c>
      <c r="DD1059" s="127">
        <v>6</v>
      </c>
      <c r="DE1059" s="127">
        <v>6</v>
      </c>
      <c r="DG1059" s="405" t="s">
        <v>322</v>
      </c>
      <c r="DH1059" s="406" t="s">
        <v>2933</v>
      </c>
      <c r="DI1059" s="406" t="str">
        <f t="shared" si="48"/>
        <v>GO, Palminópolis</v>
      </c>
      <c r="DJ1059" s="406">
        <v>-16.795999999999999</v>
      </c>
      <c r="DK1059" s="80">
        <v>-50.164999999999999</v>
      </c>
      <c r="DL1059" s="80">
        <v>719</v>
      </c>
      <c r="DM1059" s="64">
        <v>6</v>
      </c>
      <c r="DN1059" s="406" t="s">
        <v>6507</v>
      </c>
      <c r="DO1059" s="406">
        <v>-16.96</v>
      </c>
      <c r="DP1059" s="80">
        <v>678</v>
      </c>
    </row>
    <row r="1060" spans="29:120" x14ac:dyDescent="0.25">
      <c r="AC1060" s="122" t="s">
        <v>27</v>
      </c>
      <c r="AD1060" s="122" t="s">
        <v>1455</v>
      </c>
      <c r="AE1060" s="127">
        <v>2</v>
      </c>
      <c r="DA1060" s="122" t="s">
        <v>322</v>
      </c>
      <c r="DB1060" s="122" t="s">
        <v>2745</v>
      </c>
      <c r="DC1060" s="122" t="s">
        <v>2745</v>
      </c>
      <c r="DD1060" s="127">
        <v>6</v>
      </c>
      <c r="DE1060" s="127">
        <v>6</v>
      </c>
      <c r="DG1060" s="405" t="s">
        <v>322</v>
      </c>
      <c r="DH1060" s="406" t="s">
        <v>2745</v>
      </c>
      <c r="DI1060" s="406" t="str">
        <f t="shared" si="48"/>
        <v>GO, Panamá</v>
      </c>
      <c r="DJ1060" s="406">
        <v>-18.177</v>
      </c>
      <c r="DK1060" s="80">
        <v>-49.353999999999999</v>
      </c>
      <c r="DL1060" s="80">
        <v>733</v>
      </c>
      <c r="DM1060" s="64">
        <v>6</v>
      </c>
      <c r="DN1060" s="406" t="s">
        <v>6536</v>
      </c>
      <c r="DO1060" s="406">
        <v>-18.41</v>
      </c>
      <c r="DP1060" s="80">
        <v>488</v>
      </c>
    </row>
    <row r="1061" spans="29:120" x14ac:dyDescent="0.25">
      <c r="AC1061" s="122" t="s">
        <v>236</v>
      </c>
      <c r="AD1061" s="122" t="s">
        <v>1456</v>
      </c>
      <c r="AE1061" s="127">
        <v>2</v>
      </c>
      <c r="DA1061" s="122" t="s">
        <v>322</v>
      </c>
      <c r="DB1061" s="122" t="s">
        <v>2878</v>
      </c>
      <c r="DC1061" s="122" t="s">
        <v>2878</v>
      </c>
      <c r="DD1061" s="127">
        <v>6</v>
      </c>
      <c r="DE1061" s="127">
        <v>6</v>
      </c>
      <c r="DG1061" s="405" t="s">
        <v>322</v>
      </c>
      <c r="DH1061" s="406" t="s">
        <v>2878</v>
      </c>
      <c r="DI1061" s="406" t="str">
        <f t="shared" si="48"/>
        <v>GO, Paranaiguara</v>
      </c>
      <c r="DJ1061" s="406">
        <v>-18.916</v>
      </c>
      <c r="DK1061" s="80">
        <v>-50.654000000000003</v>
      </c>
      <c r="DL1061" s="80">
        <v>479</v>
      </c>
      <c r="DM1061" s="64">
        <v>6</v>
      </c>
      <c r="DN1061" s="406" t="s">
        <v>6541</v>
      </c>
      <c r="DO1061" s="406">
        <v>-18.989999999999998</v>
      </c>
      <c r="DP1061" s="80">
        <v>489</v>
      </c>
    </row>
    <row r="1062" spans="29:120" x14ac:dyDescent="0.25">
      <c r="AC1062" s="122" t="s">
        <v>236</v>
      </c>
      <c r="AD1062" s="122" t="s">
        <v>1457</v>
      </c>
      <c r="AE1062" s="127">
        <v>2</v>
      </c>
      <c r="DA1062" s="122" t="s">
        <v>322</v>
      </c>
      <c r="DB1062" s="122" t="s">
        <v>2977</v>
      </c>
      <c r="DC1062" s="122" t="s">
        <v>2977</v>
      </c>
      <c r="DD1062" s="127">
        <v>6</v>
      </c>
      <c r="DE1062" s="127">
        <v>6</v>
      </c>
      <c r="DG1062" s="405" t="s">
        <v>322</v>
      </c>
      <c r="DH1062" s="406" t="s">
        <v>2977</v>
      </c>
      <c r="DI1062" s="406" t="str">
        <f t="shared" si="48"/>
        <v>GO, Paraúna</v>
      </c>
      <c r="DJ1062" s="406">
        <v>-16.948</v>
      </c>
      <c r="DK1062" s="80">
        <v>-50.448999999999998</v>
      </c>
      <c r="DL1062" s="80">
        <v>721</v>
      </c>
      <c r="DM1062" s="64">
        <v>6</v>
      </c>
      <c r="DN1062" s="406" t="s">
        <v>6507</v>
      </c>
      <c r="DO1062" s="406">
        <v>-16.96</v>
      </c>
      <c r="DP1062" s="80">
        <v>678</v>
      </c>
    </row>
    <row r="1063" spans="29:120" x14ac:dyDescent="0.25">
      <c r="AC1063" s="122" t="s">
        <v>27</v>
      </c>
      <c r="AD1063" s="122" t="s">
        <v>1458</v>
      </c>
      <c r="AE1063" s="127">
        <v>2</v>
      </c>
      <c r="DA1063" s="122" t="s">
        <v>322</v>
      </c>
      <c r="DB1063" s="122" t="s">
        <v>3050</v>
      </c>
      <c r="DC1063" s="122" t="s">
        <v>3050</v>
      </c>
      <c r="DD1063" s="127">
        <v>6</v>
      </c>
      <c r="DE1063" s="127">
        <v>6</v>
      </c>
      <c r="DG1063" s="405" t="s">
        <v>322</v>
      </c>
      <c r="DH1063" s="406" t="s">
        <v>3050</v>
      </c>
      <c r="DI1063" s="406" t="str">
        <f t="shared" si="48"/>
        <v>GO, Perolândia</v>
      </c>
      <c r="DJ1063" s="406">
        <v>-17.529</v>
      </c>
      <c r="DK1063" s="80">
        <v>-52.064</v>
      </c>
      <c r="DL1063" s="80">
        <v>889</v>
      </c>
      <c r="DM1063" s="64">
        <v>6</v>
      </c>
      <c r="DN1063" s="406" t="s">
        <v>6573</v>
      </c>
      <c r="DO1063" s="406">
        <v>-17.57</v>
      </c>
      <c r="DP1063" s="80">
        <v>706</v>
      </c>
    </row>
    <row r="1064" spans="29:120" x14ac:dyDescent="0.25">
      <c r="AC1064" s="122" t="s">
        <v>236</v>
      </c>
      <c r="AD1064" s="122" t="s">
        <v>1459</v>
      </c>
      <c r="AE1064" s="127">
        <v>2</v>
      </c>
      <c r="DA1064" s="122" t="s">
        <v>322</v>
      </c>
      <c r="DB1064" s="122" t="s">
        <v>6594</v>
      </c>
      <c r="DC1064" s="122" t="s">
        <v>2829</v>
      </c>
      <c r="DD1064" s="127">
        <v>6</v>
      </c>
      <c r="DE1064" s="127">
        <v>6</v>
      </c>
      <c r="DG1064" s="405" t="s">
        <v>322</v>
      </c>
      <c r="DH1064" s="406" t="s">
        <v>2829</v>
      </c>
      <c r="DI1064" s="406" t="str">
        <f t="shared" si="48"/>
        <v>GO, Petrolina de Goiás</v>
      </c>
      <c r="DJ1064" s="406">
        <v>-16.094999999999999</v>
      </c>
      <c r="DK1064" s="80">
        <v>-49.338000000000001</v>
      </c>
      <c r="DL1064" s="80">
        <v>720</v>
      </c>
      <c r="DM1064" s="64">
        <v>6</v>
      </c>
      <c r="DN1064" s="406" t="s">
        <v>6548</v>
      </c>
      <c r="DO1064" s="406">
        <v>-15.37</v>
      </c>
      <c r="DP1064" s="80">
        <v>770</v>
      </c>
    </row>
    <row r="1065" spans="29:120" x14ac:dyDescent="0.25">
      <c r="AC1065" s="122" t="s">
        <v>27</v>
      </c>
      <c r="AD1065" s="122" t="s">
        <v>1460</v>
      </c>
      <c r="AE1065" s="127">
        <v>2</v>
      </c>
      <c r="DA1065" s="122" t="s">
        <v>322</v>
      </c>
      <c r="DB1065" s="122" t="s">
        <v>6595</v>
      </c>
      <c r="DC1065" s="122" t="s">
        <v>3047</v>
      </c>
      <c r="DD1065" s="127">
        <v>6</v>
      </c>
      <c r="DE1065" s="127">
        <v>6</v>
      </c>
      <c r="DG1065" s="405" t="s">
        <v>322</v>
      </c>
      <c r="DH1065" s="406" t="s">
        <v>3047</v>
      </c>
      <c r="DI1065" s="406" t="str">
        <f t="shared" si="48"/>
        <v>GO, Pilar de Goiás</v>
      </c>
      <c r="DJ1065" s="406">
        <v>-14.763999999999999</v>
      </c>
      <c r="DK1065" s="80">
        <v>-49.578000000000003</v>
      </c>
      <c r="DL1065" s="80">
        <v>753</v>
      </c>
      <c r="DM1065" s="64">
        <v>6</v>
      </c>
      <c r="DN1065" s="406" t="s">
        <v>6516</v>
      </c>
      <c r="DO1065" s="406">
        <v>-14.95</v>
      </c>
      <c r="DP1065" s="80">
        <v>522</v>
      </c>
    </row>
    <row r="1066" spans="29:120" x14ac:dyDescent="0.25">
      <c r="AC1066" s="122" t="s">
        <v>236</v>
      </c>
      <c r="AD1066" s="122" t="s">
        <v>1461</v>
      </c>
      <c r="AE1066" s="127">
        <v>2</v>
      </c>
      <c r="DA1066" s="122" t="s">
        <v>322</v>
      </c>
      <c r="DB1066" s="122" t="s">
        <v>2802</v>
      </c>
      <c r="DC1066" s="122" t="s">
        <v>2802</v>
      </c>
      <c r="DD1066" s="127">
        <v>6</v>
      </c>
      <c r="DE1066" s="127">
        <v>6</v>
      </c>
      <c r="DG1066" s="405" t="s">
        <v>322</v>
      </c>
      <c r="DH1066" s="406" t="s">
        <v>2802</v>
      </c>
      <c r="DI1066" s="406" t="str">
        <f t="shared" si="48"/>
        <v>GO, Piracanjuba</v>
      </c>
      <c r="DJ1066" s="406">
        <v>-17.303000000000001</v>
      </c>
      <c r="DK1066" s="80">
        <v>-49.018000000000001</v>
      </c>
      <c r="DL1066" s="80">
        <v>742</v>
      </c>
      <c r="DM1066" s="64">
        <v>6</v>
      </c>
      <c r="DN1066" s="406" t="s">
        <v>6513</v>
      </c>
      <c r="DO1066" s="406">
        <v>-17.73</v>
      </c>
      <c r="DP1066" s="80">
        <v>771</v>
      </c>
    </row>
    <row r="1067" spans="29:120" x14ac:dyDescent="0.25">
      <c r="AC1067" s="122" t="s">
        <v>236</v>
      </c>
      <c r="AD1067" s="122" t="s">
        <v>1462</v>
      </c>
      <c r="AE1067" s="127">
        <v>2</v>
      </c>
      <c r="DA1067" s="122" t="s">
        <v>322</v>
      </c>
      <c r="DB1067" s="122" t="s">
        <v>3020</v>
      </c>
      <c r="DC1067" s="122" t="s">
        <v>3020</v>
      </c>
      <c r="DD1067" s="127">
        <v>6</v>
      </c>
      <c r="DE1067" s="127">
        <v>6</v>
      </c>
      <c r="DG1067" s="405" t="s">
        <v>322</v>
      </c>
      <c r="DH1067" s="406" t="s">
        <v>3020</v>
      </c>
      <c r="DI1067" s="406" t="str">
        <f t="shared" si="48"/>
        <v>GO, Piranhas</v>
      </c>
      <c r="DJ1067" s="406">
        <v>-16.427</v>
      </c>
      <c r="DK1067" s="80">
        <v>-51.822000000000003</v>
      </c>
      <c r="DL1067" s="80">
        <v>389</v>
      </c>
      <c r="DM1067" s="64">
        <v>6</v>
      </c>
      <c r="DN1067" s="406" t="s">
        <v>6529</v>
      </c>
      <c r="DO1067" s="406">
        <v>-16.96</v>
      </c>
      <c r="DP1067" s="80">
        <v>737</v>
      </c>
    </row>
    <row r="1068" spans="29:120" x14ac:dyDescent="0.25">
      <c r="AC1068" s="122" t="s">
        <v>236</v>
      </c>
      <c r="AD1068" s="122" t="s">
        <v>1463</v>
      </c>
      <c r="AE1068" s="127">
        <v>2</v>
      </c>
      <c r="DA1068" s="122" t="s">
        <v>322</v>
      </c>
      <c r="DB1068" s="122" t="s">
        <v>3006</v>
      </c>
      <c r="DC1068" s="122" t="s">
        <v>3006</v>
      </c>
      <c r="DD1068" s="127">
        <v>6</v>
      </c>
      <c r="DE1068" s="127">
        <v>6</v>
      </c>
      <c r="DG1068" s="405" t="s">
        <v>322</v>
      </c>
      <c r="DH1068" s="406" t="s">
        <v>3006</v>
      </c>
      <c r="DI1068" s="406" t="str">
        <f t="shared" si="48"/>
        <v>GO, Pirenópolis</v>
      </c>
      <c r="DJ1068" s="406">
        <v>-15.852</v>
      </c>
      <c r="DK1068" s="80">
        <v>-48.959000000000003</v>
      </c>
      <c r="DL1068" s="80">
        <v>770</v>
      </c>
      <c r="DM1068" s="64">
        <v>6</v>
      </c>
      <c r="DN1068" s="406" t="s">
        <v>6531</v>
      </c>
      <c r="DO1068" s="406">
        <v>-15.32</v>
      </c>
      <c r="DP1068" s="80">
        <v>667</v>
      </c>
    </row>
    <row r="1069" spans="29:120" x14ac:dyDescent="0.25">
      <c r="AC1069" s="122" t="s">
        <v>236</v>
      </c>
      <c r="AD1069" s="122" t="s">
        <v>1464</v>
      </c>
      <c r="AE1069" s="127">
        <v>2</v>
      </c>
      <c r="DA1069" s="122" t="s">
        <v>322</v>
      </c>
      <c r="DB1069" s="122" t="s">
        <v>6596</v>
      </c>
      <c r="DC1069" s="122" t="s">
        <v>2935</v>
      </c>
      <c r="DD1069" s="127">
        <v>4</v>
      </c>
      <c r="DE1069" s="127">
        <v>4</v>
      </c>
      <c r="DG1069" s="405" t="s">
        <v>322</v>
      </c>
      <c r="DH1069" s="406" t="s">
        <v>2935</v>
      </c>
      <c r="DI1069" s="406" t="str">
        <f t="shared" si="48"/>
        <v>GO, Pires do Rio</v>
      </c>
      <c r="DJ1069" s="406">
        <v>-17.300999999999998</v>
      </c>
      <c r="DK1069" s="80">
        <v>-48.28</v>
      </c>
      <c r="DL1069" s="80">
        <v>758</v>
      </c>
      <c r="DM1069" s="64">
        <v>4</v>
      </c>
      <c r="DN1069" s="406" t="s">
        <v>6533</v>
      </c>
      <c r="DO1069" s="406">
        <v>-17.309999999999999</v>
      </c>
      <c r="DP1069" s="80">
        <v>752</v>
      </c>
    </row>
    <row r="1070" spans="29:120" x14ac:dyDescent="0.25">
      <c r="AC1070" s="122" t="s">
        <v>236</v>
      </c>
      <c r="AD1070" s="122" t="s">
        <v>1465</v>
      </c>
      <c r="AE1070" s="127">
        <v>2</v>
      </c>
      <c r="DA1070" s="122" t="s">
        <v>322</v>
      </c>
      <c r="DB1070" s="122" t="s">
        <v>2822</v>
      </c>
      <c r="DC1070" s="122" t="s">
        <v>2822</v>
      </c>
      <c r="DD1070" s="127">
        <v>6</v>
      </c>
      <c r="DE1070" s="127">
        <v>6</v>
      </c>
      <c r="DG1070" s="405" t="s">
        <v>322</v>
      </c>
      <c r="DH1070" s="406" t="s">
        <v>2822</v>
      </c>
      <c r="DI1070" s="406" t="str">
        <f t="shared" si="48"/>
        <v>GO, Planaltina</v>
      </c>
      <c r="DJ1070" s="406">
        <v>-15.452999999999999</v>
      </c>
      <c r="DK1070" s="80">
        <v>-47.613999999999997</v>
      </c>
      <c r="DL1070" s="80">
        <v>944</v>
      </c>
      <c r="DM1070" s="64">
        <v>6</v>
      </c>
      <c r="DN1070" s="406" t="s">
        <v>6511</v>
      </c>
      <c r="DO1070" s="406">
        <v>-15.53</v>
      </c>
      <c r="DP1070" s="80">
        <v>1200</v>
      </c>
    </row>
    <row r="1071" spans="29:120" x14ac:dyDescent="0.25">
      <c r="AC1071" s="122" t="s">
        <v>236</v>
      </c>
      <c r="AD1071" s="122" t="s">
        <v>1466</v>
      </c>
      <c r="AE1071" s="127">
        <v>2</v>
      </c>
      <c r="DA1071" s="122" t="s">
        <v>322</v>
      </c>
      <c r="DB1071" s="122" t="s">
        <v>2855</v>
      </c>
      <c r="DC1071" s="122" t="s">
        <v>2855</v>
      </c>
      <c r="DD1071" s="127">
        <v>6</v>
      </c>
      <c r="DE1071" s="127">
        <v>6</v>
      </c>
      <c r="DG1071" s="405" t="s">
        <v>322</v>
      </c>
      <c r="DH1071" s="406" t="s">
        <v>2855</v>
      </c>
      <c r="DI1071" s="406" t="str">
        <f t="shared" si="48"/>
        <v>GO, Pontalina</v>
      </c>
      <c r="DJ1071" s="406">
        <v>-17.526</v>
      </c>
      <c r="DK1071" s="80">
        <v>-49.448999999999998</v>
      </c>
      <c r="DL1071" s="80">
        <v>610</v>
      </c>
      <c r="DM1071" s="64">
        <v>6</v>
      </c>
      <c r="DN1071" s="406" t="s">
        <v>6513</v>
      </c>
      <c r="DO1071" s="406">
        <v>-17.73</v>
      </c>
      <c r="DP1071" s="80">
        <v>771</v>
      </c>
    </row>
    <row r="1072" spans="29:120" x14ac:dyDescent="0.25">
      <c r="AC1072" s="122" t="s">
        <v>27</v>
      </c>
      <c r="AD1072" s="122" t="s">
        <v>1467</v>
      </c>
      <c r="AE1072" s="127">
        <v>1</v>
      </c>
      <c r="DA1072" s="122" t="s">
        <v>322</v>
      </c>
      <c r="DB1072" s="122" t="s">
        <v>5402</v>
      </c>
      <c r="DC1072" s="122" t="s">
        <v>5402</v>
      </c>
      <c r="DD1072" s="127">
        <v>7</v>
      </c>
      <c r="DE1072" s="127">
        <v>7</v>
      </c>
      <c r="DG1072" s="405" t="s">
        <v>322</v>
      </c>
      <c r="DH1072" s="406" t="s">
        <v>5402</v>
      </c>
      <c r="DI1072" s="406" t="str">
        <f t="shared" si="48"/>
        <v>GO, Porangatu</v>
      </c>
      <c r="DJ1072" s="406">
        <v>-13.441000000000001</v>
      </c>
      <c r="DK1072" s="80">
        <v>-49.149000000000001</v>
      </c>
      <c r="DL1072" s="80">
        <v>396</v>
      </c>
      <c r="DM1072" s="64">
        <v>7</v>
      </c>
      <c r="DN1072" s="406" t="s">
        <v>6521</v>
      </c>
      <c r="DO1072" s="406">
        <v>-14.47</v>
      </c>
      <c r="DP1072" s="80">
        <v>583</v>
      </c>
    </row>
    <row r="1073" spans="29:120" x14ac:dyDescent="0.25">
      <c r="AC1073" s="122" t="s">
        <v>236</v>
      </c>
      <c r="AD1073" s="122" t="s">
        <v>1468</v>
      </c>
      <c r="AE1073" s="127">
        <v>2</v>
      </c>
      <c r="DA1073" s="122" t="s">
        <v>322</v>
      </c>
      <c r="DB1073" s="122" t="s">
        <v>2739</v>
      </c>
      <c r="DC1073" s="122" t="s">
        <v>2739</v>
      </c>
      <c r="DD1073" s="127">
        <v>6</v>
      </c>
      <c r="DE1073" s="127">
        <v>6</v>
      </c>
      <c r="DG1073" s="405" t="s">
        <v>322</v>
      </c>
      <c r="DH1073" s="406" t="s">
        <v>2739</v>
      </c>
      <c r="DI1073" s="406" t="str">
        <f t="shared" si="48"/>
        <v>GO, Porteirão</v>
      </c>
      <c r="DJ1073" s="406">
        <v>-17.815000000000001</v>
      </c>
      <c r="DK1073" s="80">
        <v>-50.164000000000001</v>
      </c>
      <c r="DL1073" s="80">
        <v>470</v>
      </c>
      <c r="DM1073" s="64">
        <v>6</v>
      </c>
      <c r="DN1073" s="406" t="s">
        <v>6526</v>
      </c>
      <c r="DO1073" s="406">
        <v>-17.8</v>
      </c>
      <c r="DP1073" s="80">
        <v>782</v>
      </c>
    </row>
    <row r="1074" spans="29:120" x14ac:dyDescent="0.25">
      <c r="AC1074" s="122" t="s">
        <v>27</v>
      </c>
      <c r="AD1074" s="122" t="s">
        <v>1084</v>
      </c>
      <c r="AE1074" s="127">
        <v>2</v>
      </c>
      <c r="DA1074" s="122" t="s">
        <v>322</v>
      </c>
      <c r="DB1074" s="122" t="s">
        <v>3038</v>
      </c>
      <c r="DC1074" s="122" t="s">
        <v>3038</v>
      </c>
      <c r="DD1074" s="127">
        <v>6</v>
      </c>
      <c r="DE1074" s="127">
        <v>6</v>
      </c>
      <c r="DG1074" s="405" t="s">
        <v>322</v>
      </c>
      <c r="DH1074" s="406" t="s">
        <v>3038</v>
      </c>
      <c r="DI1074" s="406" t="str">
        <f t="shared" si="48"/>
        <v>GO, Portelândia</v>
      </c>
      <c r="DJ1074" s="406">
        <v>-17.353999999999999</v>
      </c>
      <c r="DK1074" s="80">
        <v>-52.679000000000002</v>
      </c>
      <c r="DL1074" s="80">
        <v>858</v>
      </c>
      <c r="DM1074" s="64">
        <v>6</v>
      </c>
      <c r="DN1074" s="406" t="s">
        <v>6573</v>
      </c>
      <c r="DO1074" s="406">
        <v>-17.57</v>
      </c>
      <c r="DP1074" s="80">
        <v>706</v>
      </c>
    </row>
    <row r="1075" spans="29:120" x14ac:dyDescent="0.25">
      <c r="AC1075" s="122" t="s">
        <v>27</v>
      </c>
      <c r="AD1075" s="122" t="s">
        <v>1469</v>
      </c>
      <c r="AE1075" s="127">
        <v>2</v>
      </c>
      <c r="DA1075" s="122" t="s">
        <v>322</v>
      </c>
      <c r="DB1075" s="122" t="s">
        <v>2068</v>
      </c>
      <c r="DC1075" s="122" t="s">
        <v>2068</v>
      </c>
      <c r="DD1075" s="127">
        <v>6</v>
      </c>
      <c r="DE1075" s="127">
        <v>6</v>
      </c>
      <c r="DG1075" s="405" t="s">
        <v>322</v>
      </c>
      <c r="DH1075" s="406" t="s">
        <v>2068</v>
      </c>
      <c r="DI1075" s="406" t="str">
        <f t="shared" si="48"/>
        <v>GO, Posse</v>
      </c>
      <c r="DJ1075" s="406">
        <v>-14.093</v>
      </c>
      <c r="DK1075" s="80">
        <v>-46.369</v>
      </c>
      <c r="DL1075" s="80">
        <v>811</v>
      </c>
      <c r="DM1075" s="64">
        <v>6</v>
      </c>
      <c r="DN1075" s="406" t="s">
        <v>6520</v>
      </c>
      <c r="DO1075" s="406">
        <v>-14.09</v>
      </c>
      <c r="DP1075" s="80">
        <v>834</v>
      </c>
    </row>
    <row r="1076" spans="29:120" x14ac:dyDescent="0.25">
      <c r="AC1076" s="122" t="s">
        <v>236</v>
      </c>
      <c r="AD1076" s="122" t="s">
        <v>1470</v>
      </c>
      <c r="AE1076" s="127">
        <v>2</v>
      </c>
      <c r="DA1076" s="122" t="s">
        <v>322</v>
      </c>
      <c r="DB1076" s="122" t="s">
        <v>6597</v>
      </c>
      <c r="DC1076" s="122" t="s">
        <v>2749</v>
      </c>
      <c r="DD1076" s="127">
        <v>6</v>
      </c>
      <c r="DE1076" s="127">
        <v>6</v>
      </c>
      <c r="DG1076" s="405" t="s">
        <v>322</v>
      </c>
      <c r="DH1076" s="406" t="s">
        <v>2749</v>
      </c>
      <c r="DI1076" s="406" t="str">
        <f t="shared" si="48"/>
        <v>GO, Professor Jamil</v>
      </c>
      <c r="DJ1076" s="406">
        <v>-17.251000000000001</v>
      </c>
      <c r="DK1076" s="80">
        <v>-49.244</v>
      </c>
      <c r="DL1076" s="80">
        <v>748</v>
      </c>
      <c r="DM1076" s="64">
        <v>6</v>
      </c>
      <c r="DN1076" s="406" t="s">
        <v>6513</v>
      </c>
      <c r="DO1076" s="406">
        <v>-17.73</v>
      </c>
      <c r="DP1076" s="80">
        <v>771</v>
      </c>
    </row>
    <row r="1077" spans="29:120" x14ac:dyDescent="0.25">
      <c r="AC1077" s="122" t="s">
        <v>236</v>
      </c>
      <c r="AD1077" s="122" t="s">
        <v>1471</v>
      </c>
      <c r="AE1077" s="127">
        <v>2</v>
      </c>
      <c r="DA1077" s="122" t="s">
        <v>322</v>
      </c>
      <c r="DB1077" s="122" t="s">
        <v>2647</v>
      </c>
      <c r="DC1077" s="122" t="s">
        <v>2647</v>
      </c>
      <c r="DD1077" s="127">
        <v>6</v>
      </c>
      <c r="DE1077" s="127">
        <v>6</v>
      </c>
      <c r="DG1077" s="405" t="s">
        <v>322</v>
      </c>
      <c r="DH1077" s="406" t="s">
        <v>2647</v>
      </c>
      <c r="DI1077" s="406" t="str">
        <f t="shared" si="48"/>
        <v>GO, Quirinópolis</v>
      </c>
      <c r="DJ1077" s="406">
        <v>-18.448</v>
      </c>
      <c r="DK1077" s="80">
        <v>-50.451999999999998</v>
      </c>
      <c r="DL1077" s="80">
        <v>541</v>
      </c>
      <c r="DM1077" s="64">
        <v>6</v>
      </c>
      <c r="DN1077" s="406" t="s">
        <v>6541</v>
      </c>
      <c r="DO1077" s="406">
        <v>-18.989999999999998</v>
      </c>
      <c r="DP1077" s="80">
        <v>489</v>
      </c>
    </row>
    <row r="1078" spans="29:120" x14ac:dyDescent="0.25">
      <c r="AC1078" s="122" t="s">
        <v>236</v>
      </c>
      <c r="AD1078" s="122" t="s">
        <v>1472</v>
      </c>
      <c r="AE1078" s="127">
        <v>2</v>
      </c>
      <c r="DA1078" s="122" t="s">
        <v>322</v>
      </c>
      <c r="DB1078" s="122" t="s">
        <v>4772</v>
      </c>
      <c r="DC1078" s="122" t="s">
        <v>4772</v>
      </c>
      <c r="DD1078" s="127">
        <v>6</v>
      </c>
      <c r="DE1078" s="127">
        <v>6</v>
      </c>
      <c r="DG1078" s="405" t="s">
        <v>322</v>
      </c>
      <c r="DH1078" s="406" t="s">
        <v>4772</v>
      </c>
      <c r="DI1078" s="406" t="str">
        <f t="shared" si="48"/>
        <v>GO, Rialma</v>
      </c>
      <c r="DJ1078" s="406">
        <v>-15.315</v>
      </c>
      <c r="DK1078" s="80">
        <v>-49.584000000000003</v>
      </c>
      <c r="DL1078" s="80">
        <v>582</v>
      </c>
      <c r="DM1078" s="64">
        <v>6</v>
      </c>
      <c r="DN1078" s="406" t="s">
        <v>6548</v>
      </c>
      <c r="DO1078" s="406">
        <v>-15.37</v>
      </c>
      <c r="DP1078" s="80">
        <v>770</v>
      </c>
    </row>
    <row r="1079" spans="29:120" x14ac:dyDescent="0.25">
      <c r="AC1079" s="122" t="s">
        <v>27</v>
      </c>
      <c r="AD1079" s="122" t="s">
        <v>1473</v>
      </c>
      <c r="AE1079" s="127">
        <v>2</v>
      </c>
      <c r="DA1079" s="122" t="s">
        <v>322</v>
      </c>
      <c r="DB1079" s="122" t="s">
        <v>4780</v>
      </c>
      <c r="DC1079" s="122" t="s">
        <v>4780</v>
      </c>
      <c r="DD1079" s="127">
        <v>6</v>
      </c>
      <c r="DE1079" s="127">
        <v>6</v>
      </c>
      <c r="DG1079" s="405" t="s">
        <v>322</v>
      </c>
      <c r="DH1079" s="406" t="s">
        <v>4780</v>
      </c>
      <c r="DI1079" s="406" t="str">
        <f t="shared" si="48"/>
        <v>GO, Rianápolis</v>
      </c>
      <c r="DJ1079" s="406">
        <v>-15.446999999999999</v>
      </c>
      <c r="DK1079" s="80">
        <v>-49.51</v>
      </c>
      <c r="DL1079" s="80">
        <v>589</v>
      </c>
      <c r="DM1079" s="64">
        <v>6</v>
      </c>
      <c r="DN1079" s="406" t="s">
        <v>6548</v>
      </c>
      <c r="DO1079" s="406">
        <v>-15.37</v>
      </c>
      <c r="DP1079" s="80">
        <v>770</v>
      </c>
    </row>
    <row r="1080" spans="29:120" x14ac:dyDescent="0.25">
      <c r="AC1080" s="122" t="s">
        <v>27</v>
      </c>
      <c r="AD1080" s="122" t="s">
        <v>1474</v>
      </c>
      <c r="AE1080" s="127">
        <v>1</v>
      </c>
      <c r="DA1080" s="122" t="s">
        <v>322</v>
      </c>
      <c r="DB1080" s="122" t="s">
        <v>6598</v>
      </c>
      <c r="DC1080" s="122" t="s">
        <v>2692</v>
      </c>
      <c r="DD1080" s="127">
        <v>4</v>
      </c>
      <c r="DE1080" s="127">
        <v>4</v>
      </c>
      <c r="DG1080" s="405" t="s">
        <v>322</v>
      </c>
      <c r="DH1080" s="406" t="s">
        <v>2692</v>
      </c>
      <c r="DI1080" s="406" t="str">
        <f t="shared" si="48"/>
        <v>GO, Rio Quente</v>
      </c>
      <c r="DJ1080" s="406">
        <v>-17.774000000000001</v>
      </c>
      <c r="DK1080" s="80">
        <v>-48.773000000000003</v>
      </c>
      <c r="DL1080" s="80">
        <v>663</v>
      </c>
      <c r="DM1080" s="64">
        <v>4</v>
      </c>
      <c r="DN1080" s="406" t="s">
        <v>6513</v>
      </c>
      <c r="DO1080" s="406">
        <v>-17.73</v>
      </c>
      <c r="DP1080" s="80">
        <v>771</v>
      </c>
    </row>
    <row r="1081" spans="29:120" x14ac:dyDescent="0.25">
      <c r="AC1081" s="122" t="s">
        <v>236</v>
      </c>
      <c r="AD1081" s="122" t="s">
        <v>1475</v>
      </c>
      <c r="AE1081" s="127">
        <v>2</v>
      </c>
      <c r="DA1081" s="122" t="s">
        <v>322</v>
      </c>
      <c r="DB1081" s="122" t="s">
        <v>6599</v>
      </c>
      <c r="DC1081" s="122" t="s">
        <v>2394</v>
      </c>
      <c r="DD1081" s="127">
        <v>6</v>
      </c>
      <c r="DE1081" s="127">
        <v>6</v>
      </c>
      <c r="DG1081" s="405" t="s">
        <v>322</v>
      </c>
      <c r="DH1081" s="406" t="s">
        <v>2394</v>
      </c>
      <c r="DI1081" s="406" t="str">
        <f t="shared" si="48"/>
        <v>GO, Rio Verde</v>
      </c>
      <c r="DJ1081" s="406">
        <v>-17.797999999999998</v>
      </c>
      <c r="DK1081" s="80">
        <v>-50.927999999999997</v>
      </c>
      <c r="DL1081" s="80">
        <v>715</v>
      </c>
      <c r="DM1081" s="64">
        <v>6</v>
      </c>
      <c r="DN1081" s="406" t="s">
        <v>6526</v>
      </c>
      <c r="DO1081" s="406">
        <v>-17.8</v>
      </c>
      <c r="DP1081" s="80">
        <v>782</v>
      </c>
    </row>
    <row r="1082" spans="29:120" x14ac:dyDescent="0.25">
      <c r="AC1082" s="122" t="s">
        <v>27</v>
      </c>
      <c r="AD1082" s="122" t="s">
        <v>1476</v>
      </c>
      <c r="AE1082" s="127">
        <v>2</v>
      </c>
      <c r="DA1082" s="122" t="s">
        <v>322</v>
      </c>
      <c r="DB1082" s="122" t="s">
        <v>3000</v>
      </c>
      <c r="DC1082" s="122" t="s">
        <v>3000</v>
      </c>
      <c r="DD1082" s="127">
        <v>6</v>
      </c>
      <c r="DE1082" s="127">
        <v>6</v>
      </c>
      <c r="DG1082" s="405" t="s">
        <v>322</v>
      </c>
      <c r="DH1082" s="406" t="s">
        <v>3000</v>
      </c>
      <c r="DI1082" s="406" t="str">
        <f t="shared" si="48"/>
        <v>GO, Rubiataba</v>
      </c>
      <c r="DJ1082" s="406">
        <v>-15.164</v>
      </c>
      <c r="DK1082" s="80">
        <v>-49.802999999999997</v>
      </c>
      <c r="DL1082" s="80">
        <v>632</v>
      </c>
      <c r="DM1082" s="64">
        <v>6</v>
      </c>
      <c r="DN1082" s="406" t="s">
        <v>6516</v>
      </c>
      <c r="DO1082" s="406">
        <v>-14.95</v>
      </c>
      <c r="DP1082" s="80">
        <v>522</v>
      </c>
    </row>
    <row r="1083" spans="29:120" x14ac:dyDescent="0.25">
      <c r="AC1083" s="122" t="s">
        <v>236</v>
      </c>
      <c r="AD1083" s="122" t="s">
        <v>1477</v>
      </c>
      <c r="AE1083" s="127">
        <v>3</v>
      </c>
      <c r="DA1083" s="122" t="s">
        <v>322</v>
      </c>
      <c r="DB1083" s="122" t="s">
        <v>4734</v>
      </c>
      <c r="DC1083" s="122" t="s">
        <v>4734</v>
      </c>
      <c r="DD1083" s="127">
        <v>6</v>
      </c>
      <c r="DE1083" s="127">
        <v>6</v>
      </c>
      <c r="DG1083" s="405" t="s">
        <v>322</v>
      </c>
      <c r="DH1083" s="406" t="s">
        <v>4734</v>
      </c>
      <c r="DI1083" s="406" t="str">
        <f t="shared" si="48"/>
        <v>GO, Sanclerlândia</v>
      </c>
      <c r="DJ1083" s="406">
        <v>-16.198</v>
      </c>
      <c r="DK1083" s="80">
        <v>-50.314</v>
      </c>
      <c r="DL1083" s="80">
        <v>607</v>
      </c>
      <c r="DM1083" s="64">
        <v>6</v>
      </c>
      <c r="DN1083" s="406" t="s">
        <v>6509</v>
      </c>
      <c r="DO1083" s="406">
        <v>-15.93</v>
      </c>
      <c r="DP1083" s="80">
        <v>512</v>
      </c>
    </row>
    <row r="1084" spans="29:120" x14ac:dyDescent="0.25">
      <c r="AC1084" s="122" t="s">
        <v>27</v>
      </c>
      <c r="AD1084" s="122" t="s">
        <v>1478</v>
      </c>
      <c r="AE1084" s="127">
        <v>2</v>
      </c>
      <c r="DA1084" s="122" t="s">
        <v>322</v>
      </c>
      <c r="DB1084" s="122" t="s">
        <v>6600</v>
      </c>
      <c r="DC1084" s="122" t="s">
        <v>2785</v>
      </c>
      <c r="DD1084" s="127">
        <v>6</v>
      </c>
      <c r="DE1084" s="127">
        <v>6</v>
      </c>
      <c r="DG1084" s="405" t="s">
        <v>322</v>
      </c>
      <c r="DH1084" s="406" t="s">
        <v>2785</v>
      </c>
      <c r="DI1084" s="406" t="str">
        <f t="shared" si="48"/>
        <v>GO, Santa Bárbara de Goiás</v>
      </c>
      <c r="DJ1084" s="406">
        <v>-16.574000000000002</v>
      </c>
      <c r="DK1084" s="80">
        <v>-49.694000000000003</v>
      </c>
      <c r="DL1084" s="80">
        <v>639</v>
      </c>
      <c r="DM1084" s="64">
        <v>6</v>
      </c>
      <c r="DN1084" s="406" t="s">
        <v>6509</v>
      </c>
      <c r="DO1084" s="406">
        <v>-15.93</v>
      </c>
      <c r="DP1084" s="80">
        <v>512</v>
      </c>
    </row>
    <row r="1085" spans="29:120" x14ac:dyDescent="0.25">
      <c r="AC1085" s="122" t="s">
        <v>236</v>
      </c>
      <c r="AD1085" s="122" t="s">
        <v>1479</v>
      </c>
      <c r="AE1085" s="127">
        <v>2</v>
      </c>
      <c r="DA1085" s="122" t="s">
        <v>322</v>
      </c>
      <c r="DB1085" s="122" t="s">
        <v>6601</v>
      </c>
      <c r="DC1085" s="122" t="s">
        <v>2880</v>
      </c>
      <c r="DD1085" s="127">
        <v>4</v>
      </c>
      <c r="DE1085" s="127">
        <v>4</v>
      </c>
      <c r="DG1085" s="405" t="s">
        <v>322</v>
      </c>
      <c r="DH1085" s="406" t="s">
        <v>2880</v>
      </c>
      <c r="DI1085" s="406" t="str">
        <f t="shared" si="48"/>
        <v>GO, Santa Cruz de Goiás</v>
      </c>
      <c r="DJ1085" s="406">
        <v>-17.315999999999999</v>
      </c>
      <c r="DK1085" s="80">
        <v>-48.481999999999999</v>
      </c>
      <c r="DL1085" s="80">
        <v>754</v>
      </c>
      <c r="DM1085" s="64">
        <v>4</v>
      </c>
      <c r="DN1085" s="406" t="s">
        <v>6533</v>
      </c>
      <c r="DO1085" s="406">
        <v>-17.309999999999999</v>
      </c>
      <c r="DP1085" s="80">
        <v>752</v>
      </c>
    </row>
    <row r="1086" spans="29:120" x14ac:dyDescent="0.25">
      <c r="AC1086" s="122" t="s">
        <v>236</v>
      </c>
      <c r="AD1086" s="122" t="s">
        <v>1480</v>
      </c>
      <c r="AE1086" s="127">
        <v>2</v>
      </c>
      <c r="DA1086" s="122" t="s">
        <v>322</v>
      </c>
      <c r="DB1086" s="122" t="s">
        <v>6602</v>
      </c>
      <c r="DC1086" s="122" t="s">
        <v>5608</v>
      </c>
      <c r="DD1086" s="127">
        <v>6</v>
      </c>
      <c r="DE1086" s="127">
        <v>6</v>
      </c>
      <c r="DG1086" s="405" t="s">
        <v>322</v>
      </c>
      <c r="DH1086" s="406" t="s">
        <v>5608</v>
      </c>
      <c r="DI1086" s="406" t="str">
        <f t="shared" si="48"/>
        <v>GO, Santa Fé de Goiás</v>
      </c>
      <c r="DJ1086" s="406">
        <v>-15.769</v>
      </c>
      <c r="DK1086" s="80">
        <v>-51.106000000000002</v>
      </c>
      <c r="DL1086" s="80">
        <v>362</v>
      </c>
      <c r="DM1086" s="64">
        <v>6</v>
      </c>
      <c r="DN1086" s="406" t="s">
        <v>6509</v>
      </c>
      <c r="DO1086" s="406">
        <v>-15.93</v>
      </c>
      <c r="DP1086" s="80">
        <v>512</v>
      </c>
    </row>
    <row r="1087" spans="29:120" x14ac:dyDescent="0.25">
      <c r="AC1087" s="122" t="s">
        <v>236</v>
      </c>
      <c r="AD1087" s="122" t="s">
        <v>1481</v>
      </c>
      <c r="AE1087" s="127">
        <v>2</v>
      </c>
      <c r="DA1087" s="122" t="s">
        <v>322</v>
      </c>
      <c r="DB1087" s="122" t="s">
        <v>6603</v>
      </c>
      <c r="DC1087" s="122" t="s">
        <v>2871</v>
      </c>
      <c r="DD1087" s="127">
        <v>6</v>
      </c>
      <c r="DE1087" s="127">
        <v>6</v>
      </c>
      <c r="DG1087" s="405" t="s">
        <v>322</v>
      </c>
      <c r="DH1087" s="406" t="s">
        <v>2871</v>
      </c>
      <c r="DI1087" s="406" t="str">
        <f t="shared" si="48"/>
        <v>GO, Santa Helena de Goiás</v>
      </c>
      <c r="DJ1087" s="406">
        <v>-17.814</v>
      </c>
      <c r="DK1087" s="80">
        <v>-50.597000000000001</v>
      </c>
      <c r="DL1087" s="80">
        <v>562</v>
      </c>
      <c r="DM1087" s="64">
        <v>6</v>
      </c>
      <c r="DN1087" s="406" t="s">
        <v>6526</v>
      </c>
      <c r="DO1087" s="406">
        <v>-17.8</v>
      </c>
      <c r="DP1087" s="80">
        <v>782</v>
      </c>
    </row>
    <row r="1088" spans="29:120" x14ac:dyDescent="0.25">
      <c r="AC1088" s="122" t="s">
        <v>236</v>
      </c>
      <c r="AD1088" s="122" t="s">
        <v>1482</v>
      </c>
      <c r="AE1088" s="127">
        <v>2</v>
      </c>
      <c r="DA1088" s="122" t="s">
        <v>322</v>
      </c>
      <c r="DB1088" s="122" t="s">
        <v>6604</v>
      </c>
      <c r="DC1088" s="122" t="s">
        <v>870</v>
      </c>
      <c r="DD1088" s="127">
        <v>6</v>
      </c>
      <c r="DE1088" s="127">
        <v>6</v>
      </c>
      <c r="DG1088" s="405" t="s">
        <v>322</v>
      </c>
      <c r="DH1088" s="406" t="s">
        <v>870</v>
      </c>
      <c r="DI1088" s="406" t="str">
        <f t="shared" si="48"/>
        <v>GO, Santa Isabel</v>
      </c>
      <c r="DJ1088" s="406">
        <v>-15.298</v>
      </c>
      <c r="DK1088" s="80">
        <v>-49.427</v>
      </c>
      <c r="DL1088" s="80">
        <v>611</v>
      </c>
      <c r="DM1088" s="64">
        <v>6</v>
      </c>
      <c r="DN1088" s="406" t="s">
        <v>6548</v>
      </c>
      <c r="DO1088" s="406">
        <v>-15.37</v>
      </c>
      <c r="DP1088" s="80">
        <v>770</v>
      </c>
    </row>
    <row r="1089" spans="29:120" x14ac:dyDescent="0.25">
      <c r="AC1089" s="122" t="s">
        <v>27</v>
      </c>
      <c r="AD1089" s="122" t="s">
        <v>1483</v>
      </c>
      <c r="AE1089" s="127">
        <v>2</v>
      </c>
      <c r="DA1089" s="122" t="s">
        <v>322</v>
      </c>
      <c r="DB1089" s="122" t="s">
        <v>6605</v>
      </c>
      <c r="DC1089" s="122" t="s">
        <v>2535</v>
      </c>
      <c r="DD1089" s="127">
        <v>6</v>
      </c>
      <c r="DE1089" s="127">
        <v>6</v>
      </c>
      <c r="DG1089" s="405" t="s">
        <v>322</v>
      </c>
      <c r="DH1089" s="406" t="s">
        <v>2535</v>
      </c>
      <c r="DI1089" s="406" t="str">
        <f t="shared" si="48"/>
        <v>GO, Santa Rita do Araguaia</v>
      </c>
      <c r="DJ1089" s="406">
        <v>-17.326000000000001</v>
      </c>
      <c r="DK1089" s="80">
        <v>-53.204999999999998</v>
      </c>
      <c r="DL1089" s="80">
        <v>691</v>
      </c>
      <c r="DM1089" s="64">
        <v>6</v>
      </c>
      <c r="DN1089" s="406" t="s">
        <v>6606</v>
      </c>
      <c r="DO1089" s="406">
        <v>-17.82</v>
      </c>
      <c r="DP1089" s="80">
        <v>875</v>
      </c>
    </row>
    <row r="1090" spans="29:120" x14ac:dyDescent="0.25">
      <c r="AC1090" s="122" t="s">
        <v>236</v>
      </c>
      <c r="AD1090" s="122" t="s">
        <v>1484</v>
      </c>
      <c r="AE1090" s="127">
        <v>2</v>
      </c>
      <c r="DA1090" s="122" t="s">
        <v>322</v>
      </c>
      <c r="DB1090" s="122" t="s">
        <v>6607</v>
      </c>
      <c r="DC1090" s="122" t="s">
        <v>3004</v>
      </c>
      <c r="DD1090" s="127">
        <v>6</v>
      </c>
      <c r="DE1090" s="127">
        <v>6</v>
      </c>
      <c r="DG1090" s="405" t="s">
        <v>322</v>
      </c>
      <c r="DH1090" s="406" t="s">
        <v>3004</v>
      </c>
      <c r="DI1090" s="406" t="str">
        <f t="shared" si="48"/>
        <v>GO, Santa Rita do Novo Destino</v>
      </c>
      <c r="DJ1090" s="406">
        <v>-15.135</v>
      </c>
      <c r="DK1090" s="80">
        <v>-49.12</v>
      </c>
      <c r="DL1090" s="80">
        <v>790</v>
      </c>
      <c r="DM1090" s="64">
        <v>6</v>
      </c>
      <c r="DN1090" s="406" t="s">
        <v>6531</v>
      </c>
      <c r="DO1090" s="406">
        <v>-15.32</v>
      </c>
      <c r="DP1090" s="80">
        <v>667</v>
      </c>
    </row>
    <row r="1091" spans="29:120" x14ac:dyDescent="0.25">
      <c r="AC1091" s="122" t="s">
        <v>311</v>
      </c>
      <c r="AD1091" s="122" t="s">
        <v>1485</v>
      </c>
      <c r="AE1091" s="127">
        <v>2</v>
      </c>
      <c r="DA1091" s="122" t="s">
        <v>322</v>
      </c>
      <c r="DB1091" s="122" t="s">
        <v>6608</v>
      </c>
      <c r="DC1091" s="122" t="s">
        <v>2835</v>
      </c>
      <c r="DD1091" s="127">
        <v>6</v>
      </c>
      <c r="DE1091" s="127">
        <v>6</v>
      </c>
      <c r="DG1091" s="405" t="s">
        <v>322</v>
      </c>
      <c r="DH1091" s="406" t="s">
        <v>2835</v>
      </c>
      <c r="DI1091" s="406" t="str">
        <f t="shared" ref="DI1091:DI1154" si="49">CONCATENATE(DG1091,", ",DH1091)</f>
        <v>GO, Santa Rosa de Goiás</v>
      </c>
      <c r="DJ1091" s="406">
        <v>-16.085000000000001</v>
      </c>
      <c r="DK1091" s="80">
        <v>-49.494</v>
      </c>
      <c r="DL1091" s="80">
        <v>837</v>
      </c>
      <c r="DM1091" s="64">
        <v>6</v>
      </c>
      <c r="DN1091" s="406" t="s">
        <v>6509</v>
      </c>
      <c r="DO1091" s="406">
        <v>-15.93</v>
      </c>
      <c r="DP1091" s="80">
        <v>512</v>
      </c>
    </row>
    <row r="1092" spans="29:120" x14ac:dyDescent="0.25">
      <c r="AC1092" s="122" t="s">
        <v>27</v>
      </c>
      <c r="AD1092" s="122" t="s">
        <v>1486</v>
      </c>
      <c r="AE1092" s="127">
        <v>2</v>
      </c>
      <c r="DA1092" s="122" t="s">
        <v>322</v>
      </c>
      <c r="DB1092" s="122" t="s">
        <v>6609</v>
      </c>
      <c r="DC1092" s="122" t="s">
        <v>5453</v>
      </c>
      <c r="DD1092" s="127">
        <v>7</v>
      </c>
      <c r="DE1092" s="127">
        <v>7</v>
      </c>
      <c r="DG1092" s="405" t="s">
        <v>322</v>
      </c>
      <c r="DH1092" s="406" t="s">
        <v>5453</v>
      </c>
      <c r="DI1092" s="406" t="str">
        <f t="shared" si="49"/>
        <v>GO, Santa Tereza de Goiás</v>
      </c>
      <c r="DJ1092" s="406">
        <v>-13.714</v>
      </c>
      <c r="DK1092" s="80">
        <v>-49.015000000000001</v>
      </c>
      <c r="DL1092" s="80">
        <v>409</v>
      </c>
      <c r="DM1092" s="64">
        <v>7</v>
      </c>
      <c r="DN1092" s="406" t="s">
        <v>6521</v>
      </c>
      <c r="DO1092" s="406">
        <v>-14.47</v>
      </c>
      <c r="DP1092" s="80">
        <v>583</v>
      </c>
    </row>
    <row r="1093" spans="29:120" x14ac:dyDescent="0.25">
      <c r="AC1093" s="122" t="s">
        <v>236</v>
      </c>
      <c r="AD1093" s="122" t="s">
        <v>1487</v>
      </c>
      <c r="AE1093" s="127">
        <v>2</v>
      </c>
      <c r="DA1093" s="122" t="s">
        <v>322</v>
      </c>
      <c r="DB1093" s="122" t="s">
        <v>6610</v>
      </c>
      <c r="DC1093" s="122" t="s">
        <v>2672</v>
      </c>
      <c r="DD1093" s="127">
        <v>6</v>
      </c>
      <c r="DE1093" s="127">
        <v>6</v>
      </c>
      <c r="DG1093" s="405" t="s">
        <v>322</v>
      </c>
      <c r="DH1093" s="406" t="s">
        <v>2672</v>
      </c>
      <c r="DI1093" s="406" t="str">
        <f t="shared" si="49"/>
        <v>GO, Santa Terezinha de Goiás</v>
      </c>
      <c r="DJ1093" s="406">
        <v>-14.438000000000001</v>
      </c>
      <c r="DK1093" s="80">
        <v>-49.706000000000003</v>
      </c>
      <c r="DL1093" s="80">
        <v>353</v>
      </c>
      <c r="DM1093" s="64">
        <v>6</v>
      </c>
      <c r="DN1093" s="406" t="s">
        <v>6516</v>
      </c>
      <c r="DO1093" s="406">
        <v>-14.95</v>
      </c>
      <c r="DP1093" s="80">
        <v>522</v>
      </c>
    </row>
    <row r="1094" spans="29:120" x14ac:dyDescent="0.25">
      <c r="AC1094" s="122" t="s">
        <v>27</v>
      </c>
      <c r="AD1094" s="122" t="s">
        <v>1488</v>
      </c>
      <c r="AE1094" s="127">
        <v>2</v>
      </c>
      <c r="DA1094" s="122" t="s">
        <v>322</v>
      </c>
      <c r="DB1094" s="122" t="s">
        <v>6611</v>
      </c>
      <c r="DC1094" s="122" t="s">
        <v>2916</v>
      </c>
      <c r="DD1094" s="127">
        <v>6</v>
      </c>
      <c r="DE1094" s="127">
        <v>6</v>
      </c>
      <c r="DG1094" s="405" t="s">
        <v>322</v>
      </c>
      <c r="DH1094" s="406" t="s">
        <v>2916</v>
      </c>
      <c r="DI1094" s="406" t="str">
        <f t="shared" si="49"/>
        <v>GO, Santo Antônio da Barra</v>
      </c>
      <c r="DJ1094" s="406">
        <v>-17.561</v>
      </c>
      <c r="DK1094" s="80">
        <v>-50.634</v>
      </c>
      <c r="DL1094" s="80">
        <v>578</v>
      </c>
      <c r="DM1094" s="64">
        <v>6</v>
      </c>
      <c r="DN1094" s="406" t="s">
        <v>6526</v>
      </c>
      <c r="DO1094" s="406">
        <v>-17.8</v>
      </c>
      <c r="DP1094" s="80">
        <v>782</v>
      </c>
    </row>
    <row r="1095" spans="29:120" x14ac:dyDescent="0.25">
      <c r="AC1095" s="122" t="s">
        <v>27</v>
      </c>
      <c r="AD1095" s="122" t="s">
        <v>1489</v>
      </c>
      <c r="AE1095" s="127">
        <v>2</v>
      </c>
      <c r="DA1095" s="122" t="s">
        <v>322</v>
      </c>
      <c r="DB1095" s="122" t="s">
        <v>6612</v>
      </c>
      <c r="DC1095" s="122" t="s">
        <v>2921</v>
      </c>
      <c r="DD1095" s="127">
        <v>6</v>
      </c>
      <c r="DE1095" s="127">
        <v>6</v>
      </c>
      <c r="DG1095" s="405" t="s">
        <v>322</v>
      </c>
      <c r="DH1095" s="406" t="s">
        <v>2921</v>
      </c>
      <c r="DI1095" s="406" t="str">
        <f t="shared" si="49"/>
        <v>GO, Santo Antônio de Goiás</v>
      </c>
      <c r="DJ1095" s="406">
        <v>-16.484000000000002</v>
      </c>
      <c r="DK1095" s="80">
        <v>-49.311</v>
      </c>
      <c r="DL1095" s="80">
        <v>745</v>
      </c>
      <c r="DM1095" s="64">
        <v>6</v>
      </c>
      <c r="DN1095" s="406" t="s">
        <v>6509</v>
      </c>
      <c r="DO1095" s="406">
        <v>-15.93</v>
      </c>
      <c r="DP1095" s="80">
        <v>512</v>
      </c>
    </row>
    <row r="1096" spans="29:120" x14ac:dyDescent="0.25">
      <c r="AC1096" s="122" t="s">
        <v>236</v>
      </c>
      <c r="AD1096" s="122" t="s">
        <v>1490</v>
      </c>
      <c r="AE1096" s="127">
        <v>2</v>
      </c>
      <c r="DA1096" s="122" t="s">
        <v>322</v>
      </c>
      <c r="DB1096" s="122" t="s">
        <v>6613</v>
      </c>
      <c r="DC1096" s="122" t="s">
        <v>2826</v>
      </c>
      <c r="DD1096" s="127">
        <v>6</v>
      </c>
      <c r="DE1096" s="127">
        <v>6</v>
      </c>
      <c r="DG1096" s="405" t="s">
        <v>322</v>
      </c>
      <c r="DH1096" s="406" t="s">
        <v>2826</v>
      </c>
      <c r="DI1096" s="406" t="str">
        <f t="shared" si="49"/>
        <v>GO, Santo Antônio do Descoberto</v>
      </c>
      <c r="DJ1096" s="406">
        <v>-15.94</v>
      </c>
      <c r="DK1096" s="80">
        <v>-48.255000000000003</v>
      </c>
      <c r="DL1096" s="80">
        <v>912</v>
      </c>
      <c r="DM1096" s="64">
        <v>6</v>
      </c>
      <c r="DN1096" s="406" t="s">
        <v>6452</v>
      </c>
      <c r="DO1096" s="406">
        <v>-15.78</v>
      </c>
      <c r="DP1096" s="80">
        <v>1160</v>
      </c>
    </row>
    <row r="1097" spans="29:120" x14ac:dyDescent="0.25">
      <c r="AC1097" s="122" t="s">
        <v>236</v>
      </c>
      <c r="AD1097" s="122" t="s">
        <v>1491</v>
      </c>
      <c r="AE1097" s="127">
        <v>1</v>
      </c>
      <c r="DA1097" s="122" t="s">
        <v>322</v>
      </c>
      <c r="DB1097" s="122" t="s">
        <v>6368</v>
      </c>
      <c r="DC1097" s="122" t="s">
        <v>1486</v>
      </c>
      <c r="DD1097" s="127">
        <v>7</v>
      </c>
      <c r="DE1097" s="127">
        <v>7</v>
      </c>
      <c r="DG1097" s="405" t="s">
        <v>322</v>
      </c>
      <c r="DH1097" s="406" t="s">
        <v>1486</v>
      </c>
      <c r="DI1097" s="406" t="str">
        <f t="shared" si="49"/>
        <v>GO, São Domingos</v>
      </c>
      <c r="DJ1097" s="406">
        <v>-13.398</v>
      </c>
      <c r="DK1097" s="80">
        <v>-46.317999999999998</v>
      </c>
      <c r="DL1097" s="80">
        <v>677</v>
      </c>
      <c r="DM1097" s="64">
        <v>7</v>
      </c>
      <c r="DN1097" s="406" t="s">
        <v>6550</v>
      </c>
      <c r="DO1097" s="406">
        <v>-13.5</v>
      </c>
      <c r="DP1097" s="80">
        <v>1253</v>
      </c>
    </row>
    <row r="1098" spans="29:120" x14ac:dyDescent="0.25">
      <c r="AC1098" s="122" t="s">
        <v>236</v>
      </c>
      <c r="AD1098" s="122" t="s">
        <v>1492</v>
      </c>
      <c r="AE1098" s="127">
        <v>1</v>
      </c>
      <c r="DA1098" s="122" t="s">
        <v>322</v>
      </c>
      <c r="DB1098" s="122" t="s">
        <v>6614</v>
      </c>
      <c r="DC1098" s="122" t="s">
        <v>2905</v>
      </c>
      <c r="DD1098" s="127">
        <v>6</v>
      </c>
      <c r="DE1098" s="127">
        <v>6</v>
      </c>
      <c r="DG1098" s="405" t="s">
        <v>322</v>
      </c>
      <c r="DH1098" s="406" t="s">
        <v>2905</v>
      </c>
      <c r="DI1098" s="406" t="str">
        <f t="shared" si="49"/>
        <v>GO, São Francisco de Goiás</v>
      </c>
      <c r="DJ1098" s="406">
        <v>-15.930999999999999</v>
      </c>
      <c r="DK1098" s="80">
        <v>-49.261000000000003</v>
      </c>
      <c r="DL1098" s="80">
        <v>747</v>
      </c>
      <c r="DM1098" s="64">
        <v>6</v>
      </c>
      <c r="DN1098" s="406" t="s">
        <v>6548</v>
      </c>
      <c r="DO1098" s="406">
        <v>-15.37</v>
      </c>
      <c r="DP1098" s="80">
        <v>770</v>
      </c>
    </row>
    <row r="1099" spans="29:120" x14ac:dyDescent="0.25">
      <c r="AC1099" s="122" t="s">
        <v>236</v>
      </c>
      <c r="AD1099" s="122" t="s">
        <v>1493</v>
      </c>
      <c r="AE1099" s="127">
        <v>1</v>
      </c>
      <c r="DA1099" s="122" t="s">
        <v>322</v>
      </c>
      <c r="DB1099" s="122" t="s">
        <v>6615</v>
      </c>
      <c r="DC1099" s="122" t="s">
        <v>2957</v>
      </c>
      <c r="DD1099" s="127">
        <v>6</v>
      </c>
      <c r="DE1099" s="127">
        <v>6</v>
      </c>
      <c r="DG1099" s="405" t="s">
        <v>322</v>
      </c>
      <c r="DH1099" s="406" t="s">
        <v>2957</v>
      </c>
      <c r="DI1099" s="406" t="str">
        <f t="shared" si="49"/>
        <v>GO, São João da Paraúna</v>
      </c>
      <c r="DJ1099" s="406">
        <v>-16.815000000000001</v>
      </c>
      <c r="DK1099" s="80">
        <v>-50.41</v>
      </c>
      <c r="DL1099" s="80">
        <v>640</v>
      </c>
      <c r="DM1099" s="64">
        <v>6</v>
      </c>
      <c r="DN1099" s="406" t="s">
        <v>6507</v>
      </c>
      <c r="DO1099" s="406">
        <v>-16.96</v>
      </c>
      <c r="DP1099" s="80">
        <v>678</v>
      </c>
    </row>
    <row r="1100" spans="29:120" x14ac:dyDescent="0.25">
      <c r="AC1100" s="122" t="s">
        <v>236</v>
      </c>
      <c r="AD1100" s="122" t="s">
        <v>1494</v>
      </c>
      <c r="AE1100" s="127">
        <v>2</v>
      </c>
      <c r="DA1100" s="122" t="s">
        <v>322</v>
      </c>
      <c r="DB1100" s="122" t="s">
        <v>6616</v>
      </c>
      <c r="DC1100" s="122" t="s">
        <v>2352</v>
      </c>
      <c r="DD1100" s="127">
        <v>6</v>
      </c>
      <c r="DE1100" s="127">
        <v>6</v>
      </c>
      <c r="DG1100" s="405" t="s">
        <v>322</v>
      </c>
      <c r="DH1100" s="406" t="s">
        <v>2352</v>
      </c>
      <c r="DI1100" s="406" t="str">
        <f t="shared" si="49"/>
        <v>GO, São João d'Aliança</v>
      </c>
      <c r="DJ1100" s="406">
        <v>-14.706</v>
      </c>
      <c r="DK1100" s="80">
        <v>-47.524999999999999</v>
      </c>
      <c r="DL1100" s="80">
        <v>986</v>
      </c>
      <c r="DM1100" s="64">
        <v>6</v>
      </c>
      <c r="DN1100" s="406" t="s">
        <v>6518</v>
      </c>
      <c r="DO1100" s="406">
        <v>-14.13</v>
      </c>
      <c r="DP1100" s="80">
        <v>1260</v>
      </c>
    </row>
    <row r="1101" spans="29:120" x14ac:dyDescent="0.25">
      <c r="AC1101" s="122" t="s">
        <v>311</v>
      </c>
      <c r="AD1101" s="122" t="s">
        <v>1495</v>
      </c>
      <c r="AE1101" s="127">
        <v>2</v>
      </c>
      <c r="DA1101" s="122" t="s">
        <v>322</v>
      </c>
      <c r="DB1101" s="122" t="s">
        <v>6617</v>
      </c>
      <c r="DC1101" s="122" t="s">
        <v>2927</v>
      </c>
      <c r="DD1101" s="127">
        <v>6</v>
      </c>
      <c r="DE1101" s="127">
        <v>6</v>
      </c>
      <c r="DG1101" s="405" t="s">
        <v>322</v>
      </c>
      <c r="DH1101" s="406" t="s">
        <v>2927</v>
      </c>
      <c r="DI1101" s="406" t="str">
        <f t="shared" si="49"/>
        <v>GO, São Luís de Montes Belos</v>
      </c>
      <c r="DJ1101" s="406">
        <v>-16.524999999999999</v>
      </c>
      <c r="DK1101" s="80">
        <v>-50.372</v>
      </c>
      <c r="DL1101" s="80">
        <v>579</v>
      </c>
      <c r="DM1101" s="64">
        <v>6</v>
      </c>
      <c r="DN1101" s="406" t="s">
        <v>6507</v>
      </c>
      <c r="DO1101" s="406">
        <v>-16.96</v>
      </c>
      <c r="DP1101" s="80">
        <v>678</v>
      </c>
    </row>
    <row r="1102" spans="29:120" x14ac:dyDescent="0.25">
      <c r="AC1102" s="122" t="s">
        <v>236</v>
      </c>
      <c r="AD1102" s="122" t="s">
        <v>1496</v>
      </c>
      <c r="AE1102" s="127">
        <v>2</v>
      </c>
      <c r="DA1102" s="122" t="s">
        <v>322</v>
      </c>
      <c r="DB1102" s="122" t="s">
        <v>6618</v>
      </c>
      <c r="DC1102" s="122" t="s">
        <v>3045</v>
      </c>
      <c r="DD1102" s="127">
        <v>6</v>
      </c>
      <c r="DE1102" s="127">
        <v>6</v>
      </c>
      <c r="DG1102" s="405" t="s">
        <v>322</v>
      </c>
      <c r="DH1102" s="406" t="s">
        <v>3045</v>
      </c>
      <c r="DI1102" s="406" t="str">
        <f t="shared" si="49"/>
        <v>GO, São Luíz do Norte</v>
      </c>
      <c r="DJ1102" s="406">
        <v>-14.863</v>
      </c>
      <c r="DK1102" s="80">
        <v>-49.329000000000001</v>
      </c>
      <c r="DL1102" s="80">
        <v>564</v>
      </c>
      <c r="DM1102" s="64">
        <v>6</v>
      </c>
      <c r="DN1102" s="406" t="s">
        <v>6516</v>
      </c>
      <c r="DO1102" s="406">
        <v>-14.95</v>
      </c>
      <c r="DP1102" s="80">
        <v>522</v>
      </c>
    </row>
    <row r="1103" spans="29:120" x14ac:dyDescent="0.25">
      <c r="AC1103" s="122" t="s">
        <v>236</v>
      </c>
      <c r="AD1103" s="122" t="s">
        <v>1497</v>
      </c>
      <c r="AE1103" s="127">
        <v>2</v>
      </c>
      <c r="DA1103" s="122" t="s">
        <v>322</v>
      </c>
      <c r="DB1103" s="122" t="s">
        <v>6619</v>
      </c>
      <c r="DC1103" s="122" t="s">
        <v>5108</v>
      </c>
      <c r="DD1103" s="127">
        <v>7</v>
      </c>
      <c r="DE1103" s="127">
        <v>7</v>
      </c>
      <c r="DG1103" s="405" t="s">
        <v>322</v>
      </c>
      <c r="DH1103" s="406" t="s">
        <v>5108</v>
      </c>
      <c r="DI1103" s="406" t="str">
        <f t="shared" si="49"/>
        <v>GO, São Miguel do Araguaia</v>
      </c>
      <c r="DJ1103" s="406">
        <v>-13.275</v>
      </c>
      <c r="DK1103" s="80">
        <v>-50.162999999999997</v>
      </c>
      <c r="DL1103" s="80">
        <v>337</v>
      </c>
      <c r="DM1103" s="64">
        <v>7</v>
      </c>
      <c r="DN1103" s="406" t="s">
        <v>6589</v>
      </c>
      <c r="DO1103" s="406">
        <v>-11.78</v>
      </c>
      <c r="DP1103" s="80">
        <v>220</v>
      </c>
    </row>
    <row r="1104" spans="29:120" x14ac:dyDescent="0.25">
      <c r="AC1104" s="122" t="s">
        <v>236</v>
      </c>
      <c r="AD1104" s="122" t="s">
        <v>1498</v>
      </c>
      <c r="AE1104" s="127">
        <v>2</v>
      </c>
      <c r="DA1104" s="122" t="s">
        <v>322</v>
      </c>
      <c r="DB1104" s="122" t="s">
        <v>6620</v>
      </c>
      <c r="DC1104" s="122" t="s">
        <v>2870</v>
      </c>
      <c r="DD1104" s="127">
        <v>6</v>
      </c>
      <c r="DE1104" s="127">
        <v>6</v>
      </c>
      <c r="DG1104" s="405" t="s">
        <v>322</v>
      </c>
      <c r="DH1104" s="406" t="s">
        <v>2870</v>
      </c>
      <c r="DI1104" s="406" t="str">
        <f t="shared" si="49"/>
        <v>GO, São Miguel do Passa Quatro</v>
      </c>
      <c r="DJ1104" s="406">
        <v>-17.059000000000001</v>
      </c>
      <c r="DK1104" s="80">
        <v>-48.662999999999997</v>
      </c>
      <c r="DL1104" s="80">
        <v>801</v>
      </c>
      <c r="DM1104" s="64">
        <v>6</v>
      </c>
      <c r="DN1104" s="406" t="s">
        <v>6533</v>
      </c>
      <c r="DO1104" s="406">
        <v>-17.309999999999999</v>
      </c>
      <c r="DP1104" s="80">
        <v>752</v>
      </c>
    </row>
    <row r="1105" spans="29:120" x14ac:dyDescent="0.25">
      <c r="AC1105" s="122" t="s">
        <v>236</v>
      </c>
      <c r="AD1105" s="122" t="s">
        <v>1499</v>
      </c>
      <c r="AE1105" s="127">
        <v>2</v>
      </c>
      <c r="DA1105" s="122" t="s">
        <v>322</v>
      </c>
      <c r="DB1105" s="122" t="s">
        <v>6621</v>
      </c>
      <c r="DC1105" s="122" t="s">
        <v>2912</v>
      </c>
      <c r="DD1105" s="127">
        <v>6</v>
      </c>
      <c r="DE1105" s="127">
        <v>6</v>
      </c>
      <c r="DG1105" s="405" t="s">
        <v>322</v>
      </c>
      <c r="DH1105" s="406" t="s">
        <v>2912</v>
      </c>
      <c r="DI1105" s="406" t="str">
        <f t="shared" si="49"/>
        <v>GO, São Patrício</v>
      </c>
      <c r="DJ1105" s="406">
        <v>-15.35</v>
      </c>
      <c r="DK1105" s="80">
        <v>-49.817999999999998</v>
      </c>
      <c r="DL1105" s="80">
        <v>560</v>
      </c>
      <c r="DM1105" s="64">
        <v>6</v>
      </c>
      <c r="DN1105" s="406" t="s">
        <v>6516</v>
      </c>
      <c r="DO1105" s="406">
        <v>-14.95</v>
      </c>
      <c r="DP1105" s="80">
        <v>522</v>
      </c>
    </row>
    <row r="1106" spans="29:120" x14ac:dyDescent="0.25">
      <c r="AC1106" s="122" t="s">
        <v>27</v>
      </c>
      <c r="AD1106" s="122" t="s">
        <v>1500</v>
      </c>
      <c r="AE1106" s="127">
        <v>2</v>
      </c>
      <c r="DA1106" s="122" t="s">
        <v>322</v>
      </c>
      <c r="DB1106" s="122" t="s">
        <v>6622</v>
      </c>
      <c r="DC1106" s="122" t="s">
        <v>2893</v>
      </c>
      <c r="DD1106" s="127">
        <v>6</v>
      </c>
      <c r="DE1106" s="127">
        <v>6</v>
      </c>
      <c r="DG1106" s="405" t="s">
        <v>322</v>
      </c>
      <c r="DH1106" s="406" t="s">
        <v>2893</v>
      </c>
      <c r="DI1106" s="406" t="str">
        <f t="shared" si="49"/>
        <v>GO, São Simão</v>
      </c>
      <c r="DJ1106" s="406">
        <v>-18.991</v>
      </c>
      <c r="DK1106" s="80">
        <v>-50.543999999999997</v>
      </c>
      <c r="DL1106" s="80">
        <v>367</v>
      </c>
      <c r="DM1106" s="64">
        <v>6</v>
      </c>
      <c r="DN1106" s="406" t="s">
        <v>6541</v>
      </c>
      <c r="DO1106" s="406">
        <v>-18.989999999999998</v>
      </c>
      <c r="DP1106" s="80">
        <v>489</v>
      </c>
    </row>
    <row r="1107" spans="29:120" x14ac:dyDescent="0.25">
      <c r="AC1107" s="122" t="s">
        <v>236</v>
      </c>
      <c r="AD1107" s="122" t="s">
        <v>1501</v>
      </c>
      <c r="AE1107" s="127">
        <v>2</v>
      </c>
      <c r="DA1107" s="122" t="s">
        <v>322</v>
      </c>
      <c r="DB1107" s="122" t="s">
        <v>6623</v>
      </c>
      <c r="DC1107" s="122" t="s">
        <v>2744</v>
      </c>
      <c r="DD1107" s="127">
        <v>6</v>
      </c>
      <c r="DE1107" s="127">
        <v>6</v>
      </c>
      <c r="DG1107" s="405" t="s">
        <v>322</v>
      </c>
      <c r="DH1107" s="406" t="s">
        <v>2744</v>
      </c>
      <c r="DI1107" s="406" t="str">
        <f t="shared" si="49"/>
        <v>GO, Senador Canedo</v>
      </c>
      <c r="DJ1107" s="406">
        <v>-16.707999999999998</v>
      </c>
      <c r="DK1107" s="80">
        <v>-49.093000000000004</v>
      </c>
      <c r="DL1107" s="80">
        <v>801</v>
      </c>
      <c r="DM1107" s="64">
        <v>6</v>
      </c>
      <c r="DN1107" s="406" t="s">
        <v>6533</v>
      </c>
      <c r="DO1107" s="406">
        <v>-17.309999999999999</v>
      </c>
      <c r="DP1107" s="80">
        <v>752</v>
      </c>
    </row>
    <row r="1108" spans="29:120" x14ac:dyDescent="0.25">
      <c r="AC1108" s="122" t="s">
        <v>236</v>
      </c>
      <c r="AD1108" s="122" t="s">
        <v>1502</v>
      </c>
      <c r="AE1108" s="127">
        <v>1</v>
      </c>
      <c r="DA1108" s="122" t="s">
        <v>322</v>
      </c>
      <c r="DB1108" s="122" t="s">
        <v>3039</v>
      </c>
      <c r="DC1108" s="122" t="s">
        <v>3039</v>
      </c>
      <c r="DD1108" s="127">
        <v>6</v>
      </c>
      <c r="DE1108" s="127">
        <v>6</v>
      </c>
      <c r="DG1108" s="405" t="s">
        <v>322</v>
      </c>
      <c r="DH1108" s="406" t="s">
        <v>3039</v>
      </c>
      <c r="DI1108" s="406" t="str">
        <f t="shared" si="49"/>
        <v>GO, Serranópolis</v>
      </c>
      <c r="DJ1108" s="406">
        <v>-18.306000000000001</v>
      </c>
      <c r="DK1108" s="80">
        <v>-51.962000000000003</v>
      </c>
      <c r="DL1108" s="80">
        <v>742</v>
      </c>
      <c r="DM1108" s="64">
        <v>6</v>
      </c>
      <c r="DN1108" s="406" t="s">
        <v>6568</v>
      </c>
      <c r="DO1108" s="406">
        <v>-17.88</v>
      </c>
      <c r="DP1108" s="80">
        <v>582</v>
      </c>
    </row>
    <row r="1109" spans="29:120" x14ac:dyDescent="0.25">
      <c r="AC1109" s="122" t="s">
        <v>236</v>
      </c>
      <c r="AD1109" s="122" t="s">
        <v>1503</v>
      </c>
      <c r="AE1109" s="127">
        <v>2</v>
      </c>
      <c r="DA1109" s="122" t="s">
        <v>322</v>
      </c>
      <c r="DB1109" s="122" t="s">
        <v>3032</v>
      </c>
      <c r="DC1109" s="122" t="s">
        <v>3032</v>
      </c>
      <c r="DD1109" s="127">
        <v>6</v>
      </c>
      <c r="DE1109" s="127">
        <v>6</v>
      </c>
      <c r="DG1109" s="405" t="s">
        <v>322</v>
      </c>
      <c r="DH1109" s="406" t="s">
        <v>3032</v>
      </c>
      <c r="DI1109" s="406" t="str">
        <f t="shared" si="49"/>
        <v>GO, Silvânia</v>
      </c>
      <c r="DJ1109" s="406">
        <v>-16.658999999999999</v>
      </c>
      <c r="DK1109" s="80">
        <v>-48.607999999999997</v>
      </c>
      <c r="DL1109" s="80">
        <v>898</v>
      </c>
      <c r="DM1109" s="64">
        <v>6</v>
      </c>
      <c r="DN1109" s="406" t="s">
        <v>6533</v>
      </c>
      <c r="DO1109" s="406">
        <v>-17.309999999999999</v>
      </c>
      <c r="DP1109" s="80">
        <v>752</v>
      </c>
    </row>
    <row r="1110" spans="29:120" x14ac:dyDescent="0.25">
      <c r="AC1110" s="122" t="s">
        <v>236</v>
      </c>
      <c r="AD1110" s="122" t="s">
        <v>1504</v>
      </c>
      <c r="AE1110" s="127">
        <v>2</v>
      </c>
      <c r="DA1110" s="122" t="s">
        <v>322</v>
      </c>
      <c r="DB1110" s="122" t="s">
        <v>2260</v>
      </c>
      <c r="DC1110" s="122" t="s">
        <v>2260</v>
      </c>
      <c r="DD1110" s="127">
        <v>6</v>
      </c>
      <c r="DE1110" s="127">
        <v>6</v>
      </c>
      <c r="DG1110" s="405" t="s">
        <v>322</v>
      </c>
      <c r="DH1110" s="406" t="s">
        <v>2260</v>
      </c>
      <c r="DI1110" s="406" t="str">
        <f t="shared" si="49"/>
        <v>GO, Simolândia</v>
      </c>
      <c r="DJ1110" s="406">
        <v>-14.474</v>
      </c>
      <c r="DK1110" s="80">
        <v>-46.482999999999997</v>
      </c>
      <c r="DL1110" s="80">
        <v>500</v>
      </c>
      <c r="DM1110" s="64">
        <v>6</v>
      </c>
      <c r="DN1110" s="406" t="s">
        <v>6520</v>
      </c>
      <c r="DO1110" s="406">
        <v>-14.09</v>
      </c>
      <c r="DP1110" s="80">
        <v>834</v>
      </c>
    </row>
    <row r="1111" spans="29:120" x14ac:dyDescent="0.25">
      <c r="AC1111" s="122" t="s">
        <v>236</v>
      </c>
      <c r="AD1111" s="122" t="s">
        <v>1505</v>
      </c>
      <c r="AE1111" s="127">
        <v>2</v>
      </c>
      <c r="DA1111" s="122" t="s">
        <v>322</v>
      </c>
      <c r="DB1111" s="122" t="s">
        <v>6624</v>
      </c>
      <c r="DC1111" s="122" t="s">
        <v>2780</v>
      </c>
      <c r="DD1111" s="127">
        <v>6</v>
      </c>
      <c r="DE1111" s="127">
        <v>6</v>
      </c>
      <c r="DG1111" s="405" t="s">
        <v>322</v>
      </c>
      <c r="DH1111" s="406" t="s">
        <v>2780</v>
      </c>
      <c r="DI1111" s="406" t="str">
        <f t="shared" si="49"/>
        <v>GO, Sítio d'Abadia</v>
      </c>
      <c r="DJ1111" s="406">
        <v>-14.805</v>
      </c>
      <c r="DK1111" s="80">
        <v>-46.253</v>
      </c>
      <c r="DL1111" s="80">
        <v>748</v>
      </c>
      <c r="DM1111" s="64">
        <v>6</v>
      </c>
      <c r="DN1111" s="406" t="s">
        <v>6520</v>
      </c>
      <c r="DO1111" s="406">
        <v>-14.09</v>
      </c>
      <c r="DP1111" s="80">
        <v>834</v>
      </c>
    </row>
    <row r="1112" spans="29:120" x14ac:dyDescent="0.25">
      <c r="AC1112" s="122" t="s">
        <v>236</v>
      </c>
      <c r="AD1112" s="122" t="s">
        <v>1506</v>
      </c>
      <c r="AE1112" s="127">
        <v>1</v>
      </c>
      <c r="DA1112" s="122" t="s">
        <v>322</v>
      </c>
      <c r="DB1112" s="122" t="s">
        <v>6625</v>
      </c>
      <c r="DC1112" s="122" t="s">
        <v>2862</v>
      </c>
      <c r="DD1112" s="127">
        <v>6</v>
      </c>
      <c r="DE1112" s="127">
        <v>6</v>
      </c>
      <c r="DG1112" s="405" t="s">
        <v>322</v>
      </c>
      <c r="DH1112" s="406" t="s">
        <v>2862</v>
      </c>
      <c r="DI1112" s="406" t="str">
        <f t="shared" si="49"/>
        <v>GO, Taquaral de Goiás</v>
      </c>
      <c r="DJ1112" s="406">
        <v>-16.053999999999998</v>
      </c>
      <c r="DK1112" s="80">
        <v>-49.606000000000002</v>
      </c>
      <c r="DL1112" s="80">
        <v>769</v>
      </c>
      <c r="DM1112" s="64">
        <v>6</v>
      </c>
      <c r="DN1112" s="406" t="s">
        <v>6509</v>
      </c>
      <c r="DO1112" s="406">
        <v>-15.93</v>
      </c>
      <c r="DP1112" s="80">
        <v>512</v>
      </c>
    </row>
    <row r="1113" spans="29:120" x14ac:dyDescent="0.25">
      <c r="AC1113" s="122" t="s">
        <v>236</v>
      </c>
      <c r="AD1113" s="122" t="s">
        <v>1507</v>
      </c>
      <c r="AE1113" s="127">
        <v>2</v>
      </c>
      <c r="DA1113" s="122" t="s">
        <v>322</v>
      </c>
      <c r="DB1113" s="122" t="s">
        <v>6626</v>
      </c>
      <c r="DC1113" s="122" t="s">
        <v>2365</v>
      </c>
      <c r="DD1113" s="127">
        <v>6</v>
      </c>
      <c r="DE1113" s="127">
        <v>6</v>
      </c>
      <c r="DG1113" s="405" t="s">
        <v>322</v>
      </c>
      <c r="DH1113" s="406" t="s">
        <v>2365</v>
      </c>
      <c r="DI1113" s="406" t="str">
        <f t="shared" si="49"/>
        <v>GO, Teresina de Goiás</v>
      </c>
      <c r="DJ1113" s="406">
        <v>-13.776</v>
      </c>
      <c r="DK1113" s="80">
        <v>-47.265000000000001</v>
      </c>
      <c r="DL1113" s="80">
        <v>754</v>
      </c>
      <c r="DM1113" s="64">
        <v>6</v>
      </c>
      <c r="DN1113" s="406" t="s">
        <v>6518</v>
      </c>
      <c r="DO1113" s="406">
        <v>-14.13</v>
      </c>
      <c r="DP1113" s="80">
        <v>1260</v>
      </c>
    </row>
    <row r="1114" spans="29:120" x14ac:dyDescent="0.25">
      <c r="AC1114" s="122" t="s">
        <v>236</v>
      </c>
      <c r="AD1114" s="122" t="s">
        <v>1508</v>
      </c>
      <c r="AE1114" s="127">
        <v>2</v>
      </c>
      <c r="DA1114" s="122" t="s">
        <v>322</v>
      </c>
      <c r="DB1114" s="122" t="s">
        <v>6627</v>
      </c>
      <c r="DC1114" s="122" t="s">
        <v>2721</v>
      </c>
      <c r="DD1114" s="127">
        <v>6</v>
      </c>
      <c r="DE1114" s="127">
        <v>6</v>
      </c>
      <c r="DG1114" s="405" t="s">
        <v>322</v>
      </c>
      <c r="DH1114" s="406" t="s">
        <v>2721</v>
      </c>
      <c r="DI1114" s="406" t="str">
        <f t="shared" si="49"/>
        <v>GO, Terezópolis de Goiás</v>
      </c>
      <c r="DJ1114" s="406">
        <v>-16.395</v>
      </c>
      <c r="DK1114" s="80">
        <v>-49.08</v>
      </c>
      <c r="DL1114" s="80">
        <v>903</v>
      </c>
      <c r="DM1114" s="64">
        <v>6</v>
      </c>
      <c r="DN1114" s="406" t="s">
        <v>6548</v>
      </c>
      <c r="DO1114" s="406">
        <v>-15.37</v>
      </c>
      <c r="DP1114" s="80">
        <v>770</v>
      </c>
    </row>
    <row r="1115" spans="29:120" x14ac:dyDescent="0.25">
      <c r="AC1115" s="122" t="s">
        <v>236</v>
      </c>
      <c r="AD1115" s="122" t="s">
        <v>1509</v>
      </c>
      <c r="AE1115" s="127">
        <v>2</v>
      </c>
      <c r="DA1115" s="122" t="s">
        <v>322</v>
      </c>
      <c r="DB1115" s="122" t="s">
        <v>6628</v>
      </c>
      <c r="DC1115" s="122" t="s">
        <v>2605</v>
      </c>
      <c r="DD1115" s="127">
        <v>6</v>
      </c>
      <c r="DE1115" s="127">
        <v>6</v>
      </c>
      <c r="DG1115" s="405" t="s">
        <v>322</v>
      </c>
      <c r="DH1115" s="406" t="s">
        <v>2605</v>
      </c>
      <c r="DI1115" s="406" t="str">
        <f t="shared" si="49"/>
        <v>GO, Três Ranchos</v>
      </c>
      <c r="DJ1115" s="406">
        <v>-18.353999999999999</v>
      </c>
      <c r="DK1115" s="80">
        <v>-47.783000000000001</v>
      </c>
      <c r="DL1115" s="80">
        <v>687</v>
      </c>
      <c r="DM1115" s="64">
        <v>6</v>
      </c>
      <c r="DN1115" s="406" t="s">
        <v>6523</v>
      </c>
      <c r="DO1115" s="406">
        <v>-18.16</v>
      </c>
      <c r="DP1115" s="80">
        <v>890</v>
      </c>
    </row>
    <row r="1116" spans="29:120" x14ac:dyDescent="0.25">
      <c r="AC1116" s="122" t="s">
        <v>236</v>
      </c>
      <c r="AD1116" s="122" t="s">
        <v>1510</v>
      </c>
      <c r="AE1116" s="127">
        <v>2</v>
      </c>
      <c r="DA1116" s="122" t="s">
        <v>322</v>
      </c>
      <c r="DB1116" s="122" t="s">
        <v>2717</v>
      </c>
      <c r="DC1116" s="122" t="s">
        <v>2717</v>
      </c>
      <c r="DD1116" s="127">
        <v>6</v>
      </c>
      <c r="DE1116" s="127">
        <v>6</v>
      </c>
      <c r="DG1116" s="405" t="s">
        <v>322</v>
      </c>
      <c r="DH1116" s="406" t="s">
        <v>2717</v>
      </c>
      <c r="DI1116" s="406" t="str">
        <f t="shared" si="49"/>
        <v>GO, Trindade</v>
      </c>
      <c r="DJ1116" s="406">
        <v>-16.649000000000001</v>
      </c>
      <c r="DK1116" s="80">
        <v>-49.488999999999997</v>
      </c>
      <c r="DL1116" s="80">
        <v>756</v>
      </c>
      <c r="DM1116" s="64">
        <v>6</v>
      </c>
      <c r="DN1116" s="406" t="s">
        <v>6509</v>
      </c>
      <c r="DO1116" s="406">
        <v>-15.93</v>
      </c>
      <c r="DP1116" s="80">
        <v>512</v>
      </c>
    </row>
    <row r="1117" spans="29:120" x14ac:dyDescent="0.25">
      <c r="AC1117" s="122" t="s">
        <v>27</v>
      </c>
      <c r="AD1117" s="122" t="s">
        <v>1511</v>
      </c>
      <c r="AE1117" s="127">
        <v>2</v>
      </c>
      <c r="DA1117" s="122" t="s">
        <v>322</v>
      </c>
      <c r="DB1117" s="122" t="s">
        <v>5516</v>
      </c>
      <c r="DC1117" s="122" t="s">
        <v>5516</v>
      </c>
      <c r="DD1117" s="127">
        <v>7</v>
      </c>
      <c r="DE1117" s="127">
        <v>7</v>
      </c>
      <c r="DG1117" s="405" t="s">
        <v>322</v>
      </c>
      <c r="DH1117" s="406" t="s">
        <v>5516</v>
      </c>
      <c r="DI1117" s="406" t="str">
        <f t="shared" si="49"/>
        <v>GO, Trombas</v>
      </c>
      <c r="DJ1117" s="406">
        <v>-13.509</v>
      </c>
      <c r="DK1117" s="80">
        <v>-48.74</v>
      </c>
      <c r="DL1117" s="80">
        <v>355</v>
      </c>
      <c r="DM1117" s="64">
        <v>7</v>
      </c>
      <c r="DN1117" s="406" t="s">
        <v>6521</v>
      </c>
      <c r="DO1117" s="406">
        <v>-14.47</v>
      </c>
      <c r="DP1117" s="80">
        <v>583</v>
      </c>
    </row>
    <row r="1118" spans="29:120" x14ac:dyDescent="0.25">
      <c r="AC1118" s="122" t="s">
        <v>236</v>
      </c>
      <c r="AD1118" s="122" t="s">
        <v>1512</v>
      </c>
      <c r="AE1118" s="127">
        <v>2</v>
      </c>
      <c r="DA1118" s="122" t="s">
        <v>322</v>
      </c>
      <c r="DB1118" s="122" t="s">
        <v>2922</v>
      </c>
      <c r="DC1118" s="122" t="s">
        <v>2922</v>
      </c>
      <c r="DD1118" s="127">
        <v>6</v>
      </c>
      <c r="DE1118" s="127">
        <v>6</v>
      </c>
      <c r="DG1118" s="405" t="s">
        <v>322</v>
      </c>
      <c r="DH1118" s="406" t="s">
        <v>2922</v>
      </c>
      <c r="DI1118" s="406" t="str">
        <f t="shared" si="49"/>
        <v>GO, Turvânia</v>
      </c>
      <c r="DJ1118" s="406">
        <v>-16.614000000000001</v>
      </c>
      <c r="DK1118" s="80">
        <v>-50.134</v>
      </c>
      <c r="DL1118" s="80">
        <v>659</v>
      </c>
      <c r="DM1118" s="64">
        <v>6</v>
      </c>
      <c r="DN1118" s="406" t="s">
        <v>6507</v>
      </c>
      <c r="DO1118" s="406">
        <v>-16.96</v>
      </c>
      <c r="DP1118" s="80">
        <v>678</v>
      </c>
    </row>
    <row r="1119" spans="29:120" x14ac:dyDescent="0.25">
      <c r="AC1119" s="122" t="s">
        <v>311</v>
      </c>
      <c r="AD1119" s="122" t="s">
        <v>1513</v>
      </c>
      <c r="AE1119" s="127">
        <v>2</v>
      </c>
      <c r="DA1119" s="122" t="s">
        <v>322</v>
      </c>
      <c r="DB1119" s="122" t="s">
        <v>2772</v>
      </c>
      <c r="DC1119" s="122" t="s">
        <v>2772</v>
      </c>
      <c r="DD1119" s="127">
        <v>6</v>
      </c>
      <c r="DE1119" s="127">
        <v>6</v>
      </c>
      <c r="DG1119" s="405" t="s">
        <v>322</v>
      </c>
      <c r="DH1119" s="406" t="s">
        <v>2772</v>
      </c>
      <c r="DI1119" s="406" t="str">
        <f t="shared" si="49"/>
        <v>GO, Turvelândia</v>
      </c>
      <c r="DJ1119" s="406">
        <v>-17.853000000000002</v>
      </c>
      <c r="DK1119" s="80">
        <v>-50.302</v>
      </c>
      <c r="DL1119" s="80">
        <v>459</v>
      </c>
      <c r="DM1119" s="64">
        <v>6</v>
      </c>
      <c r="DN1119" s="406" t="s">
        <v>6526</v>
      </c>
      <c r="DO1119" s="406">
        <v>-17.8</v>
      </c>
      <c r="DP1119" s="80">
        <v>782</v>
      </c>
    </row>
    <row r="1120" spans="29:120" x14ac:dyDescent="0.25">
      <c r="AC1120" s="122" t="s">
        <v>236</v>
      </c>
      <c r="AD1120" s="122" t="s">
        <v>1514</v>
      </c>
      <c r="AE1120" s="127">
        <v>1</v>
      </c>
      <c r="DA1120" s="122" t="s">
        <v>322</v>
      </c>
      <c r="DB1120" s="122" t="s">
        <v>1916</v>
      </c>
      <c r="DC1120" s="122" t="s">
        <v>1916</v>
      </c>
      <c r="DD1120" s="127">
        <v>6</v>
      </c>
      <c r="DE1120" s="127">
        <v>6</v>
      </c>
      <c r="DG1120" s="405" t="s">
        <v>322</v>
      </c>
      <c r="DH1120" s="406" t="s">
        <v>5775</v>
      </c>
      <c r="DI1120" s="406" t="str">
        <f t="shared" si="49"/>
        <v>GO, Uirapuru</v>
      </c>
      <c r="DJ1120" s="406">
        <v>-14.285</v>
      </c>
      <c r="DK1120" s="80">
        <v>-49.921999999999997</v>
      </c>
      <c r="DL1120" s="80">
        <v>344</v>
      </c>
      <c r="DM1120" s="64">
        <v>6</v>
      </c>
      <c r="DN1120" s="406" t="s">
        <v>6516</v>
      </c>
      <c r="DO1120" s="406">
        <v>-14.95</v>
      </c>
      <c r="DP1120" s="80">
        <v>522</v>
      </c>
    </row>
    <row r="1121" spans="29:120" x14ac:dyDescent="0.25">
      <c r="AC1121" s="122" t="s">
        <v>236</v>
      </c>
      <c r="AD1121" s="122" t="s">
        <v>1515</v>
      </c>
      <c r="AE1121" s="127">
        <v>2</v>
      </c>
      <c r="DA1121" s="122" t="s">
        <v>322</v>
      </c>
      <c r="DB1121" s="122" t="s">
        <v>2695</v>
      </c>
      <c r="DC1121" s="122" t="s">
        <v>2695</v>
      </c>
      <c r="DD1121" s="127">
        <v>6</v>
      </c>
      <c r="DE1121" s="127">
        <v>6</v>
      </c>
      <c r="DG1121" s="405" t="s">
        <v>322</v>
      </c>
      <c r="DH1121" s="406" t="s">
        <v>2695</v>
      </c>
      <c r="DI1121" s="406" t="str">
        <f t="shared" si="49"/>
        <v>GO, Uruaçu</v>
      </c>
      <c r="DJ1121" s="406">
        <v>-14.525</v>
      </c>
      <c r="DK1121" s="80">
        <v>-49.140999999999998</v>
      </c>
      <c r="DL1121" s="80">
        <v>520</v>
      </c>
      <c r="DM1121" s="64">
        <v>6</v>
      </c>
      <c r="DN1121" s="406" t="s">
        <v>6516</v>
      </c>
      <c r="DO1121" s="406">
        <v>-14.95</v>
      </c>
      <c r="DP1121" s="80">
        <v>522</v>
      </c>
    </row>
    <row r="1122" spans="29:120" x14ac:dyDescent="0.25">
      <c r="AC1122" s="122" t="s">
        <v>236</v>
      </c>
      <c r="AD1122" s="122" t="s">
        <v>1516</v>
      </c>
      <c r="AE1122" s="127">
        <v>2</v>
      </c>
      <c r="DA1122" s="122" t="s">
        <v>322</v>
      </c>
      <c r="DB1122" s="122" t="s">
        <v>2889</v>
      </c>
      <c r="DC1122" s="122" t="s">
        <v>2889</v>
      </c>
      <c r="DD1122" s="127">
        <v>6</v>
      </c>
      <c r="DE1122" s="127">
        <v>6</v>
      </c>
      <c r="DG1122" s="405" t="s">
        <v>322</v>
      </c>
      <c r="DH1122" s="406" t="s">
        <v>2889</v>
      </c>
      <c r="DI1122" s="406" t="str">
        <f t="shared" si="49"/>
        <v>GO, Uruana</v>
      </c>
      <c r="DJ1122" s="406">
        <v>-15.497999999999999</v>
      </c>
      <c r="DK1122" s="80">
        <v>-49.688000000000002</v>
      </c>
      <c r="DL1122" s="80">
        <v>586</v>
      </c>
      <c r="DM1122" s="64">
        <v>6</v>
      </c>
      <c r="DN1122" s="406" t="s">
        <v>6548</v>
      </c>
      <c r="DO1122" s="406">
        <v>-15.37</v>
      </c>
      <c r="DP1122" s="80">
        <v>770</v>
      </c>
    </row>
    <row r="1123" spans="29:120" x14ac:dyDescent="0.25">
      <c r="AC1123" s="122" t="s">
        <v>236</v>
      </c>
      <c r="AD1123" s="122" t="s">
        <v>1517</v>
      </c>
      <c r="AE1123" s="127">
        <v>1</v>
      </c>
      <c r="DA1123" s="122" t="s">
        <v>322</v>
      </c>
      <c r="DB1123" s="122" t="s">
        <v>2924</v>
      </c>
      <c r="DC1123" s="122" t="s">
        <v>2924</v>
      </c>
      <c r="DD1123" s="127">
        <v>4</v>
      </c>
      <c r="DE1123" s="127">
        <v>4</v>
      </c>
      <c r="DG1123" s="405" t="s">
        <v>322</v>
      </c>
      <c r="DH1123" s="406" t="s">
        <v>2924</v>
      </c>
      <c r="DI1123" s="406" t="str">
        <f t="shared" si="49"/>
        <v>GO, Urutaí</v>
      </c>
      <c r="DJ1123" s="406">
        <v>-17.463999999999999</v>
      </c>
      <c r="DK1123" s="80">
        <v>-48.203000000000003</v>
      </c>
      <c r="DL1123" s="80">
        <v>807</v>
      </c>
      <c r="DM1123" s="64">
        <v>4</v>
      </c>
      <c r="DN1123" s="406" t="s">
        <v>6533</v>
      </c>
      <c r="DO1123" s="406">
        <v>-17.309999999999999</v>
      </c>
      <c r="DP1123" s="80">
        <v>752</v>
      </c>
    </row>
    <row r="1124" spans="29:120" x14ac:dyDescent="0.25">
      <c r="AC1124" s="122" t="s">
        <v>27</v>
      </c>
      <c r="AD1124" s="122" t="s">
        <v>1518</v>
      </c>
      <c r="AE1124" s="127">
        <v>2</v>
      </c>
      <c r="DA1124" s="122" t="s">
        <v>322</v>
      </c>
      <c r="DB1124" s="122" t="s">
        <v>6629</v>
      </c>
      <c r="DC1124" s="122" t="s">
        <v>2765</v>
      </c>
      <c r="DD1124" s="127">
        <v>4</v>
      </c>
      <c r="DE1124" s="127">
        <v>4</v>
      </c>
      <c r="DG1124" s="405" t="s">
        <v>322</v>
      </c>
      <c r="DH1124" s="406" t="s">
        <v>2765</v>
      </c>
      <c r="DI1124" s="406" t="str">
        <f t="shared" si="49"/>
        <v>GO, Valparaíso de Goiás</v>
      </c>
      <c r="DJ1124" s="406">
        <v>-16.065999999999999</v>
      </c>
      <c r="DK1124" s="80">
        <v>-47.978999999999999</v>
      </c>
      <c r="DL1124" s="80">
        <v>1080</v>
      </c>
      <c r="DM1124" s="64">
        <v>4</v>
      </c>
      <c r="DN1124" s="406" t="s">
        <v>6508</v>
      </c>
      <c r="DO1124" s="406">
        <v>-16.25</v>
      </c>
      <c r="DP1124" s="80">
        <v>958</v>
      </c>
    </row>
    <row r="1125" spans="29:120" x14ac:dyDescent="0.25">
      <c r="AC1125" s="122" t="s">
        <v>236</v>
      </c>
      <c r="AD1125" s="122" t="s">
        <v>1367</v>
      </c>
      <c r="AE1125" s="127">
        <v>2</v>
      </c>
      <c r="DA1125" s="122" t="s">
        <v>322</v>
      </c>
      <c r="DB1125" s="122" t="s">
        <v>3347</v>
      </c>
      <c r="DC1125" s="122" t="s">
        <v>3347</v>
      </c>
      <c r="DD1125" s="127">
        <v>6</v>
      </c>
      <c r="DE1125" s="127">
        <v>6</v>
      </c>
      <c r="DG1125" s="405" t="s">
        <v>322</v>
      </c>
      <c r="DH1125" s="406" t="s">
        <v>3347</v>
      </c>
      <c r="DI1125" s="406" t="str">
        <f t="shared" si="49"/>
        <v>GO, Varjão</v>
      </c>
      <c r="DJ1125" s="406">
        <v>-17.045000000000002</v>
      </c>
      <c r="DK1125" s="80">
        <v>-49.631</v>
      </c>
      <c r="DL1125" s="80">
        <v>609</v>
      </c>
      <c r="DM1125" s="64">
        <v>6</v>
      </c>
      <c r="DN1125" s="406" t="s">
        <v>6507</v>
      </c>
      <c r="DO1125" s="406">
        <v>-16.96</v>
      </c>
      <c r="DP1125" s="80">
        <v>678</v>
      </c>
    </row>
    <row r="1126" spans="29:120" x14ac:dyDescent="0.25">
      <c r="AC1126" s="122" t="s">
        <v>236</v>
      </c>
      <c r="AD1126" s="122" t="s">
        <v>1519</v>
      </c>
      <c r="AE1126" s="127">
        <v>2</v>
      </c>
      <c r="DA1126" s="122" t="s">
        <v>322</v>
      </c>
      <c r="DB1126" s="122" t="s">
        <v>3002</v>
      </c>
      <c r="DC1126" s="122" t="s">
        <v>3002</v>
      </c>
      <c r="DD1126" s="127">
        <v>6</v>
      </c>
      <c r="DE1126" s="127">
        <v>6</v>
      </c>
      <c r="DG1126" s="405" t="s">
        <v>322</v>
      </c>
      <c r="DH1126" s="406" t="s">
        <v>3002</v>
      </c>
      <c r="DI1126" s="406" t="str">
        <f t="shared" si="49"/>
        <v>GO, Vianópolis</v>
      </c>
      <c r="DJ1126" s="406">
        <v>-16.742000000000001</v>
      </c>
      <c r="DK1126" s="80">
        <v>-48.515999999999998</v>
      </c>
      <c r="DL1126" s="80">
        <v>1002</v>
      </c>
      <c r="DM1126" s="64">
        <v>6</v>
      </c>
      <c r="DN1126" s="406" t="s">
        <v>6533</v>
      </c>
      <c r="DO1126" s="406">
        <v>-17.309999999999999</v>
      </c>
      <c r="DP1126" s="80">
        <v>752</v>
      </c>
    </row>
    <row r="1127" spans="29:120" x14ac:dyDescent="0.25">
      <c r="AC1127" s="122" t="s">
        <v>27</v>
      </c>
      <c r="AD1127" s="122" t="s">
        <v>1520</v>
      </c>
      <c r="AE1127" s="127">
        <v>2</v>
      </c>
      <c r="DA1127" s="122" t="s">
        <v>322</v>
      </c>
      <c r="DB1127" s="122" t="s">
        <v>2720</v>
      </c>
      <c r="DC1127" s="122" t="s">
        <v>2720</v>
      </c>
      <c r="DD1127" s="127">
        <v>6</v>
      </c>
      <c r="DE1127" s="127">
        <v>6</v>
      </c>
      <c r="DG1127" s="405" t="s">
        <v>322</v>
      </c>
      <c r="DH1127" s="406" t="s">
        <v>2720</v>
      </c>
      <c r="DI1127" s="406" t="str">
        <f t="shared" si="49"/>
        <v>GO, Vicentinópolis</v>
      </c>
      <c r="DJ1127" s="406">
        <v>-17.734999999999999</v>
      </c>
      <c r="DK1127" s="80">
        <v>-49.805999999999997</v>
      </c>
      <c r="DL1127" s="80">
        <v>646</v>
      </c>
      <c r="DM1127" s="64">
        <v>6</v>
      </c>
      <c r="DN1127" s="406" t="s">
        <v>6513</v>
      </c>
      <c r="DO1127" s="406">
        <v>-17.73</v>
      </c>
      <c r="DP1127" s="80">
        <v>771</v>
      </c>
    </row>
    <row r="1128" spans="29:120" x14ac:dyDescent="0.25">
      <c r="AC1128" s="122" t="s">
        <v>27</v>
      </c>
      <c r="AD1128" s="122" t="s">
        <v>1521</v>
      </c>
      <c r="AE1128" s="127">
        <v>2</v>
      </c>
      <c r="DA1128" s="122" t="s">
        <v>322</v>
      </c>
      <c r="DB1128" s="122" t="s">
        <v>6630</v>
      </c>
      <c r="DC1128" s="122" t="s">
        <v>2333</v>
      </c>
      <c r="DD1128" s="127">
        <v>6</v>
      </c>
      <c r="DE1128" s="127">
        <v>6</v>
      </c>
      <c r="DG1128" s="405" t="s">
        <v>322</v>
      </c>
      <c r="DH1128" s="406" t="s">
        <v>2333</v>
      </c>
      <c r="DI1128" s="406" t="str">
        <f t="shared" si="49"/>
        <v>GO, Vila Boa</v>
      </c>
      <c r="DJ1128" s="406">
        <v>-15.038</v>
      </c>
      <c r="DK1128" s="80">
        <v>-47.058999999999997</v>
      </c>
      <c r="DL1128" s="80">
        <v>509</v>
      </c>
      <c r="DM1128" s="64">
        <v>6</v>
      </c>
      <c r="DN1128" s="406" t="s">
        <v>6539</v>
      </c>
      <c r="DO1128" s="406">
        <v>-15.62</v>
      </c>
      <c r="DP1128" s="80">
        <v>894</v>
      </c>
    </row>
    <row r="1129" spans="29:120" x14ac:dyDescent="0.25">
      <c r="AC1129" s="122" t="s">
        <v>236</v>
      </c>
      <c r="AD1129" s="122" t="s">
        <v>1522</v>
      </c>
      <c r="AE1129" s="127">
        <v>2</v>
      </c>
      <c r="DA1129" s="122" t="s">
        <v>322</v>
      </c>
      <c r="DB1129" s="122" t="s">
        <v>6631</v>
      </c>
      <c r="DC1129" s="122" t="s">
        <v>3019</v>
      </c>
      <c r="DD1129" s="127">
        <v>6</v>
      </c>
      <c r="DE1129" s="127">
        <v>6</v>
      </c>
      <c r="DG1129" s="405" t="s">
        <v>322</v>
      </c>
      <c r="DH1129" s="406" t="s">
        <v>3019</v>
      </c>
      <c r="DI1129" s="406" t="str">
        <f t="shared" si="49"/>
        <v>GO, Vila Propício</v>
      </c>
      <c r="DJ1129" s="406">
        <v>-15.457000000000001</v>
      </c>
      <c r="DK1129" s="80">
        <v>-48.889000000000003</v>
      </c>
      <c r="DL1129" s="80">
        <v>744</v>
      </c>
      <c r="DM1129" s="64">
        <v>6</v>
      </c>
      <c r="DN1129" s="406" t="s">
        <v>6531</v>
      </c>
      <c r="DO1129" s="406">
        <v>-15.32</v>
      </c>
      <c r="DP1129" s="80">
        <v>667</v>
      </c>
    </row>
    <row r="1130" spans="29:120" x14ac:dyDescent="0.25">
      <c r="AC1130" s="122" t="s">
        <v>236</v>
      </c>
      <c r="AD1130" s="122" t="s">
        <v>1523</v>
      </c>
      <c r="AE1130" s="127">
        <v>2</v>
      </c>
      <c r="DA1130" s="122" t="s">
        <v>328</v>
      </c>
      <c r="DB1130" s="122" t="s">
        <v>4412</v>
      </c>
      <c r="DC1130" s="122" t="s">
        <v>4412</v>
      </c>
      <c r="DD1130" s="127">
        <v>8</v>
      </c>
      <c r="DE1130" s="127">
        <v>8</v>
      </c>
      <c r="DG1130" s="405" t="s">
        <v>328</v>
      </c>
      <c r="DH1130" s="406" t="s">
        <v>4412</v>
      </c>
      <c r="DI1130" s="406" t="str">
        <f t="shared" si="49"/>
        <v>MA, Açailândia</v>
      </c>
      <c r="DJ1130" s="406">
        <v>-4.9470000000000001</v>
      </c>
      <c r="DK1130" s="80">
        <v>-47.505000000000003</v>
      </c>
      <c r="DL1130" s="80">
        <v>240</v>
      </c>
      <c r="DM1130" s="64">
        <v>8</v>
      </c>
      <c r="DN1130" s="406" t="s">
        <v>6632</v>
      </c>
      <c r="DO1130" s="406">
        <v>-4.78</v>
      </c>
      <c r="DP1130" s="80">
        <v>221</v>
      </c>
    </row>
    <row r="1131" spans="29:120" x14ac:dyDescent="0.25">
      <c r="AC1131" s="122" t="s">
        <v>236</v>
      </c>
      <c r="AD1131" s="122" t="s">
        <v>1524</v>
      </c>
      <c r="AE1131" s="127">
        <v>2</v>
      </c>
      <c r="DA1131" s="122" t="s">
        <v>328</v>
      </c>
      <c r="DB1131" s="122" t="s">
        <v>6633</v>
      </c>
      <c r="DC1131" s="122" t="s">
        <v>5313</v>
      </c>
      <c r="DD1131" s="127">
        <v>8</v>
      </c>
      <c r="DE1131" s="127">
        <v>8</v>
      </c>
      <c r="DG1131" s="405" t="s">
        <v>328</v>
      </c>
      <c r="DH1131" s="406" t="s">
        <v>5313</v>
      </c>
      <c r="DI1131" s="406" t="str">
        <f t="shared" si="49"/>
        <v>MA, Afonso Cunha</v>
      </c>
      <c r="DJ1131" s="406">
        <v>-4.133</v>
      </c>
      <c r="DK1131" s="80">
        <v>-43.323999999999998</v>
      </c>
      <c r="DL1131" s="80">
        <v>76</v>
      </c>
      <c r="DM1131" s="64">
        <v>8</v>
      </c>
      <c r="DN1131" s="406" t="s">
        <v>6634</v>
      </c>
      <c r="DO1131" s="406">
        <v>-3.74</v>
      </c>
      <c r="DP1131" s="80">
        <v>91</v>
      </c>
    </row>
    <row r="1132" spans="29:120" x14ac:dyDescent="0.25">
      <c r="AC1132" s="122" t="s">
        <v>311</v>
      </c>
      <c r="AD1132" s="122" t="s">
        <v>1525</v>
      </c>
      <c r="AE1132" s="127">
        <v>2</v>
      </c>
      <c r="DA1132" s="122" t="s">
        <v>328</v>
      </c>
      <c r="DB1132" s="122" t="s">
        <v>6635</v>
      </c>
      <c r="DC1132" s="122" t="s">
        <v>4262</v>
      </c>
      <c r="DD1132" s="127">
        <v>8</v>
      </c>
      <c r="DE1132" s="127">
        <v>8</v>
      </c>
      <c r="DG1132" s="405" t="s">
        <v>328</v>
      </c>
      <c r="DH1132" s="406" t="s">
        <v>4262</v>
      </c>
      <c r="DI1132" s="406" t="str">
        <f t="shared" si="49"/>
        <v>MA, Água Doce do Maranhão</v>
      </c>
      <c r="DJ1132" s="406">
        <v>-2.8410000000000002</v>
      </c>
      <c r="DK1132" s="80">
        <v>-42.112000000000002</v>
      </c>
      <c r="DL1132" s="80">
        <v>21</v>
      </c>
      <c r="DM1132" s="64">
        <v>8</v>
      </c>
      <c r="DN1132" s="406" t="s">
        <v>6416</v>
      </c>
      <c r="DO1132" s="406">
        <v>-2.9</v>
      </c>
      <c r="DP1132" s="80">
        <v>80</v>
      </c>
    </row>
    <row r="1133" spans="29:120" x14ac:dyDescent="0.25">
      <c r="AC1133" s="122" t="s">
        <v>311</v>
      </c>
      <c r="AD1133" s="122" t="s">
        <v>1526</v>
      </c>
      <c r="AE1133" s="127">
        <v>2</v>
      </c>
      <c r="DA1133" s="122" t="s">
        <v>328</v>
      </c>
      <c r="DB1133" s="122" t="s">
        <v>4094</v>
      </c>
      <c r="DC1133" s="122" t="s">
        <v>4094</v>
      </c>
      <c r="DD1133" s="127">
        <v>8</v>
      </c>
      <c r="DE1133" s="127">
        <v>8</v>
      </c>
      <c r="DG1133" s="405" t="s">
        <v>328</v>
      </c>
      <c r="DH1133" s="406" t="s">
        <v>4094</v>
      </c>
      <c r="DI1133" s="406" t="str">
        <f t="shared" si="49"/>
        <v>MA, Alcântara</v>
      </c>
      <c r="DJ1133" s="406">
        <v>-2.4089999999999998</v>
      </c>
      <c r="DK1133" s="80">
        <v>-44.414999999999999</v>
      </c>
      <c r="DL1133" s="80">
        <v>32</v>
      </c>
      <c r="DM1133" s="64">
        <v>8</v>
      </c>
      <c r="DN1133" s="406" t="s">
        <v>6636</v>
      </c>
      <c r="DO1133" s="406">
        <v>-2.5299999999999998</v>
      </c>
      <c r="DP1133" s="80">
        <v>56</v>
      </c>
    </row>
    <row r="1134" spans="29:120" x14ac:dyDescent="0.25">
      <c r="AC1134" s="122" t="s">
        <v>236</v>
      </c>
      <c r="AD1134" s="122" t="s">
        <v>1527</v>
      </c>
      <c r="AE1134" s="127">
        <v>1</v>
      </c>
      <c r="DA1134" s="122" t="s">
        <v>328</v>
      </c>
      <c r="DB1134" s="122" t="s">
        <v>6637</v>
      </c>
      <c r="DC1134" s="122" t="s">
        <v>4886</v>
      </c>
      <c r="DD1134" s="127">
        <v>7</v>
      </c>
      <c r="DE1134" s="127">
        <v>7</v>
      </c>
      <c r="DG1134" s="405" t="s">
        <v>328</v>
      </c>
      <c r="DH1134" s="406" t="s">
        <v>4886</v>
      </c>
      <c r="DI1134" s="406" t="str">
        <f t="shared" si="49"/>
        <v>MA, Aldeias Altas</v>
      </c>
      <c r="DJ1134" s="406">
        <v>-4.6280000000000001</v>
      </c>
      <c r="DK1134" s="80">
        <v>-43.470999999999997</v>
      </c>
      <c r="DL1134" s="80">
        <v>94</v>
      </c>
      <c r="DM1134" s="64">
        <v>7</v>
      </c>
      <c r="DN1134" s="406" t="s">
        <v>6638</v>
      </c>
      <c r="DO1134" s="406">
        <v>-4.82</v>
      </c>
      <c r="DP1134" s="80">
        <v>76</v>
      </c>
    </row>
    <row r="1135" spans="29:120" x14ac:dyDescent="0.25">
      <c r="AC1135" s="122" t="s">
        <v>236</v>
      </c>
      <c r="AD1135" s="122" t="s">
        <v>1528</v>
      </c>
      <c r="AE1135" s="127">
        <v>1</v>
      </c>
      <c r="DA1135" s="122" t="s">
        <v>328</v>
      </c>
      <c r="DB1135" s="122" t="s">
        <v>6639</v>
      </c>
      <c r="DC1135" s="122" t="s">
        <v>4721</v>
      </c>
      <c r="DD1135" s="127">
        <v>8</v>
      </c>
      <c r="DE1135" s="127">
        <v>8</v>
      </c>
      <c r="DG1135" s="405" t="s">
        <v>328</v>
      </c>
      <c r="DH1135" s="406" t="s">
        <v>4721</v>
      </c>
      <c r="DI1135" s="406" t="str">
        <f t="shared" si="49"/>
        <v>MA, Altamira do Maranhão</v>
      </c>
      <c r="DJ1135" s="406">
        <v>-4.165</v>
      </c>
      <c r="DK1135" s="80">
        <v>-45.47</v>
      </c>
      <c r="DL1135" s="80">
        <v>43</v>
      </c>
      <c r="DM1135" s="64">
        <v>8</v>
      </c>
      <c r="DN1135" s="406" t="s">
        <v>6640</v>
      </c>
      <c r="DO1135" s="406">
        <v>-4.24</v>
      </c>
      <c r="DP1135" s="80">
        <v>28</v>
      </c>
    </row>
    <row r="1136" spans="29:120" x14ac:dyDescent="0.25">
      <c r="AC1136" s="122" t="s">
        <v>236</v>
      </c>
      <c r="AD1136" s="122" t="s">
        <v>1529</v>
      </c>
      <c r="AE1136" s="127">
        <v>2</v>
      </c>
      <c r="DA1136" s="122" t="s">
        <v>328</v>
      </c>
      <c r="DB1136" s="122" t="s">
        <v>6641</v>
      </c>
      <c r="DC1136" s="122" t="s">
        <v>4843</v>
      </c>
      <c r="DD1136" s="127">
        <v>8</v>
      </c>
      <c r="DE1136" s="127">
        <v>8</v>
      </c>
      <c r="DG1136" s="405" t="s">
        <v>328</v>
      </c>
      <c r="DH1136" s="406" t="s">
        <v>4843</v>
      </c>
      <c r="DI1136" s="406" t="str">
        <f t="shared" si="49"/>
        <v>MA, Alto Alegre do Maranhão</v>
      </c>
      <c r="DJ1136" s="406">
        <v>-4.2130000000000001</v>
      </c>
      <c r="DK1136" s="80">
        <v>-44.445999999999998</v>
      </c>
      <c r="DL1136" s="80">
        <v>50</v>
      </c>
      <c r="DM1136" s="64">
        <v>8</v>
      </c>
      <c r="DN1136" s="406" t="s">
        <v>6640</v>
      </c>
      <c r="DO1136" s="406">
        <v>-4.24</v>
      </c>
      <c r="DP1136" s="80">
        <v>28</v>
      </c>
    </row>
    <row r="1137" spans="29:120" x14ac:dyDescent="0.25">
      <c r="AC1137" s="122" t="s">
        <v>27</v>
      </c>
      <c r="AD1137" s="122" t="s">
        <v>1530</v>
      </c>
      <c r="AE1137" s="127">
        <v>2</v>
      </c>
      <c r="DA1137" s="122" t="s">
        <v>328</v>
      </c>
      <c r="DB1137" s="122" t="s">
        <v>6642</v>
      </c>
      <c r="DC1137" s="122" t="s">
        <v>4642</v>
      </c>
      <c r="DD1137" s="127">
        <v>8</v>
      </c>
      <c r="DE1137" s="127">
        <v>8</v>
      </c>
      <c r="DG1137" s="405" t="s">
        <v>328</v>
      </c>
      <c r="DH1137" s="406" t="s">
        <v>4642</v>
      </c>
      <c r="DI1137" s="406" t="str">
        <f t="shared" si="49"/>
        <v>MA, Alto Alegre do Pindaré</v>
      </c>
      <c r="DJ1137" s="406">
        <v>-3.69</v>
      </c>
      <c r="DK1137" s="80">
        <v>-45.902999999999999</v>
      </c>
      <c r="DL1137" s="80">
        <v>22</v>
      </c>
      <c r="DM1137" s="64">
        <v>8</v>
      </c>
      <c r="DN1137" s="406" t="s">
        <v>6643</v>
      </c>
      <c r="DO1137" s="406">
        <v>-4.32</v>
      </c>
      <c r="DP1137" s="80">
        <v>175</v>
      </c>
    </row>
    <row r="1138" spans="29:120" x14ac:dyDescent="0.25">
      <c r="AC1138" s="122" t="s">
        <v>236</v>
      </c>
      <c r="AD1138" s="122" t="s">
        <v>1531</v>
      </c>
      <c r="AE1138" s="127">
        <v>2</v>
      </c>
      <c r="DA1138" s="122" t="s">
        <v>328</v>
      </c>
      <c r="DB1138" s="122" t="s">
        <v>6644</v>
      </c>
      <c r="DC1138" s="122" t="s">
        <v>4981</v>
      </c>
      <c r="DD1138" s="127">
        <v>7</v>
      </c>
      <c r="DE1138" s="127">
        <v>7</v>
      </c>
      <c r="DG1138" s="405" t="s">
        <v>328</v>
      </c>
      <c r="DH1138" s="406" t="s">
        <v>4981</v>
      </c>
      <c r="DI1138" s="406" t="str">
        <f t="shared" si="49"/>
        <v>MA, Alto Parnaíba</v>
      </c>
      <c r="DJ1138" s="406">
        <v>-9.1110000000000007</v>
      </c>
      <c r="DK1138" s="80">
        <v>-45.93</v>
      </c>
      <c r="DL1138" s="80">
        <v>282</v>
      </c>
      <c r="DM1138" s="64">
        <v>7</v>
      </c>
      <c r="DN1138" s="406" t="s">
        <v>6645</v>
      </c>
      <c r="DO1138" s="406">
        <v>-9.11</v>
      </c>
      <c r="DP1138" s="80">
        <v>281</v>
      </c>
    </row>
    <row r="1139" spans="29:120" x14ac:dyDescent="0.25">
      <c r="AC1139" s="122" t="s">
        <v>236</v>
      </c>
      <c r="AD1139" s="122" t="s">
        <v>1532</v>
      </c>
      <c r="AE1139" s="127">
        <v>2</v>
      </c>
      <c r="DA1139" s="122" t="s">
        <v>328</v>
      </c>
      <c r="DB1139" s="122" t="s">
        <v>6646</v>
      </c>
      <c r="DC1139" s="122" t="s">
        <v>4188</v>
      </c>
      <c r="DD1139" s="127">
        <v>8</v>
      </c>
      <c r="DE1139" s="127">
        <v>8</v>
      </c>
      <c r="DG1139" s="405" t="s">
        <v>328</v>
      </c>
      <c r="DH1139" s="406" t="s">
        <v>4188</v>
      </c>
      <c r="DI1139" s="406" t="str">
        <f t="shared" si="49"/>
        <v>MA, Amapá do Maranhão</v>
      </c>
      <c r="DJ1139" s="406">
        <v>-1.675</v>
      </c>
      <c r="DK1139" s="80">
        <v>-46.002000000000002</v>
      </c>
      <c r="DL1139" s="80">
        <v>48</v>
      </c>
      <c r="DM1139" s="64">
        <v>8</v>
      </c>
      <c r="DN1139" s="406" t="s">
        <v>6647</v>
      </c>
      <c r="DO1139" s="406">
        <v>-1.66</v>
      </c>
      <c r="DP1139" s="80">
        <v>41</v>
      </c>
    </row>
    <row r="1140" spans="29:120" x14ac:dyDescent="0.25">
      <c r="AC1140" s="122" t="s">
        <v>27</v>
      </c>
      <c r="AD1140" s="122" t="s">
        <v>1533</v>
      </c>
      <c r="AE1140" s="127">
        <v>2</v>
      </c>
      <c r="DA1140" s="122" t="s">
        <v>328</v>
      </c>
      <c r="DB1140" s="122" t="s">
        <v>6648</v>
      </c>
      <c r="DC1140" s="122" t="s">
        <v>4447</v>
      </c>
      <c r="DD1140" s="127">
        <v>7</v>
      </c>
      <c r="DE1140" s="127">
        <v>7</v>
      </c>
      <c r="DG1140" s="405" t="s">
        <v>328</v>
      </c>
      <c r="DH1140" s="406" t="s">
        <v>4447</v>
      </c>
      <c r="DI1140" s="406" t="str">
        <f t="shared" si="49"/>
        <v>MA, Amarante do Maranhão</v>
      </c>
      <c r="DJ1140" s="406">
        <v>-5.5670000000000002</v>
      </c>
      <c r="DK1140" s="80">
        <v>-46.741999999999997</v>
      </c>
      <c r="DL1140" s="80">
        <v>249</v>
      </c>
      <c r="DM1140" s="64">
        <v>7</v>
      </c>
      <c r="DN1140" s="406" t="s">
        <v>6649</v>
      </c>
      <c r="DO1140" s="406">
        <v>-5.82</v>
      </c>
      <c r="DP1140" s="80">
        <v>230</v>
      </c>
    </row>
    <row r="1141" spans="29:120" x14ac:dyDescent="0.25">
      <c r="AC1141" s="122" t="s">
        <v>236</v>
      </c>
      <c r="AD1141" s="122" t="s">
        <v>1534</v>
      </c>
      <c r="AE1141" s="127">
        <v>2</v>
      </c>
      <c r="DA1141" s="122" t="s">
        <v>328</v>
      </c>
      <c r="DB1141" s="122" t="s">
        <v>4605</v>
      </c>
      <c r="DC1141" s="122" t="s">
        <v>4605</v>
      </c>
      <c r="DD1141" s="127">
        <v>8</v>
      </c>
      <c r="DE1141" s="127">
        <v>8</v>
      </c>
      <c r="DG1141" s="405" t="s">
        <v>328</v>
      </c>
      <c r="DH1141" s="406" t="s">
        <v>4605</v>
      </c>
      <c r="DI1141" s="406" t="str">
        <f t="shared" si="49"/>
        <v>MA, Anajatuba</v>
      </c>
      <c r="DJ1141" s="406">
        <v>-3.2639999999999998</v>
      </c>
      <c r="DK1141" s="80">
        <v>-44.62</v>
      </c>
      <c r="DL1141" s="80">
        <v>9</v>
      </c>
      <c r="DM1141" s="64">
        <v>8</v>
      </c>
      <c r="DN1141" s="406" t="s">
        <v>6636</v>
      </c>
      <c r="DO1141" s="406">
        <v>-2.5299999999999998</v>
      </c>
      <c r="DP1141" s="80">
        <v>56</v>
      </c>
    </row>
    <row r="1142" spans="29:120" x14ac:dyDescent="0.25">
      <c r="AC1142" s="122" t="s">
        <v>236</v>
      </c>
      <c r="AD1142" s="122" t="s">
        <v>1535</v>
      </c>
      <c r="AE1142" s="127">
        <v>2</v>
      </c>
      <c r="DA1142" s="122" t="s">
        <v>328</v>
      </c>
      <c r="DB1142" s="122" t="s">
        <v>5282</v>
      </c>
      <c r="DC1142" s="122" t="s">
        <v>5282</v>
      </c>
      <c r="DD1142" s="127">
        <v>8</v>
      </c>
      <c r="DE1142" s="127">
        <v>8</v>
      </c>
      <c r="DG1142" s="405" t="s">
        <v>328</v>
      </c>
      <c r="DH1142" s="406" t="s">
        <v>5282</v>
      </c>
      <c r="DI1142" s="406" t="str">
        <f t="shared" si="49"/>
        <v>MA, Anapurus</v>
      </c>
      <c r="DJ1142" s="406">
        <v>-3.6720000000000002</v>
      </c>
      <c r="DK1142" s="80">
        <v>-43.116</v>
      </c>
      <c r="DL1142" s="80">
        <v>82</v>
      </c>
      <c r="DM1142" s="64">
        <v>8</v>
      </c>
      <c r="DN1142" s="406" t="s">
        <v>6634</v>
      </c>
      <c r="DO1142" s="406">
        <v>-3.74</v>
      </c>
      <c r="DP1142" s="80">
        <v>91</v>
      </c>
    </row>
    <row r="1143" spans="29:120" x14ac:dyDescent="0.25">
      <c r="AC1143" s="122" t="s">
        <v>27</v>
      </c>
      <c r="AD1143" s="122" t="s">
        <v>1536</v>
      </c>
      <c r="AE1143" s="127">
        <v>2</v>
      </c>
      <c r="DA1143" s="122" t="s">
        <v>328</v>
      </c>
      <c r="DB1143" s="122" t="s">
        <v>4064</v>
      </c>
      <c r="DC1143" s="122" t="s">
        <v>4064</v>
      </c>
      <c r="DD1143" s="127">
        <v>8</v>
      </c>
      <c r="DE1143" s="127">
        <v>8</v>
      </c>
      <c r="DG1143" s="405" t="s">
        <v>328</v>
      </c>
      <c r="DH1143" s="406" t="s">
        <v>4064</v>
      </c>
      <c r="DI1143" s="406" t="str">
        <f t="shared" si="49"/>
        <v>MA, Apicum-Açu</v>
      </c>
      <c r="DJ1143" s="406">
        <v>-1.4610000000000001</v>
      </c>
      <c r="DK1143" s="80">
        <v>-45.103000000000002</v>
      </c>
      <c r="DL1143" s="80">
        <v>6</v>
      </c>
      <c r="DM1143" s="64">
        <v>8</v>
      </c>
      <c r="DN1143" s="406" t="s">
        <v>6647</v>
      </c>
      <c r="DO1143" s="406">
        <v>-1.66</v>
      </c>
      <c r="DP1143" s="80">
        <v>41</v>
      </c>
    </row>
    <row r="1144" spans="29:120" x14ac:dyDescent="0.25">
      <c r="AC1144" s="122" t="s">
        <v>27</v>
      </c>
      <c r="AD1144" s="122" t="s">
        <v>1537</v>
      </c>
      <c r="AE1144" s="127">
        <v>2</v>
      </c>
      <c r="DA1144" s="122" t="s">
        <v>328</v>
      </c>
      <c r="DB1144" s="122" t="s">
        <v>4594</v>
      </c>
      <c r="DC1144" s="122" t="s">
        <v>4594</v>
      </c>
      <c r="DD1144" s="127">
        <v>8</v>
      </c>
      <c r="DE1144" s="127">
        <v>8</v>
      </c>
      <c r="DG1144" s="405" t="s">
        <v>328</v>
      </c>
      <c r="DH1144" s="406" t="s">
        <v>4594</v>
      </c>
      <c r="DI1144" s="406" t="str">
        <f t="shared" si="49"/>
        <v>MA, Araguanã</v>
      </c>
      <c r="DJ1144" s="406">
        <v>-2.9529999999999998</v>
      </c>
      <c r="DK1144" s="80">
        <v>-45.664999999999999</v>
      </c>
      <c r="DL1144" s="80">
        <v>20</v>
      </c>
      <c r="DM1144" s="64">
        <v>8</v>
      </c>
      <c r="DN1144" s="406" t="s">
        <v>6647</v>
      </c>
      <c r="DO1144" s="406">
        <v>-1.66</v>
      </c>
      <c r="DP1144" s="80">
        <v>41</v>
      </c>
    </row>
    <row r="1145" spans="29:120" x14ac:dyDescent="0.25">
      <c r="AC1145" s="122" t="s">
        <v>27</v>
      </c>
      <c r="AD1145" s="122" t="s">
        <v>1538</v>
      </c>
      <c r="AE1145" s="127">
        <v>2</v>
      </c>
      <c r="DA1145" s="122" t="s">
        <v>328</v>
      </c>
      <c r="DB1145" s="122" t="s">
        <v>4352</v>
      </c>
      <c r="DC1145" s="122" t="s">
        <v>4352</v>
      </c>
      <c r="DD1145" s="127">
        <v>8</v>
      </c>
      <c r="DE1145" s="127">
        <v>8</v>
      </c>
      <c r="DG1145" s="405" t="s">
        <v>328</v>
      </c>
      <c r="DH1145" s="406" t="s">
        <v>4352</v>
      </c>
      <c r="DI1145" s="406" t="str">
        <f t="shared" si="49"/>
        <v>MA, Araioses</v>
      </c>
      <c r="DJ1145" s="406">
        <v>-2.89</v>
      </c>
      <c r="DK1145" s="80">
        <v>-41.902999999999999</v>
      </c>
      <c r="DL1145" s="80">
        <v>6</v>
      </c>
      <c r="DM1145" s="64">
        <v>8</v>
      </c>
      <c r="DN1145" s="406" t="s">
        <v>6416</v>
      </c>
      <c r="DO1145" s="406">
        <v>-2.9</v>
      </c>
      <c r="DP1145" s="80">
        <v>80</v>
      </c>
    </row>
    <row r="1146" spans="29:120" x14ac:dyDescent="0.25">
      <c r="AC1146" s="122" t="s">
        <v>236</v>
      </c>
      <c r="AD1146" s="122" t="s">
        <v>1539</v>
      </c>
      <c r="AE1146" s="127">
        <v>2</v>
      </c>
      <c r="DA1146" s="122" t="s">
        <v>328</v>
      </c>
      <c r="DB1146" s="122" t="s">
        <v>4390</v>
      </c>
      <c r="DC1146" s="122" t="s">
        <v>4390</v>
      </c>
      <c r="DD1146" s="127">
        <v>8</v>
      </c>
      <c r="DE1146" s="127">
        <v>8</v>
      </c>
      <c r="DG1146" s="405" t="s">
        <v>328</v>
      </c>
      <c r="DH1146" s="406" t="s">
        <v>4390</v>
      </c>
      <c r="DI1146" s="406" t="str">
        <f t="shared" si="49"/>
        <v>MA, Arame</v>
      </c>
      <c r="DJ1146" s="406">
        <v>-4.7329999999999997</v>
      </c>
      <c r="DK1146" s="80">
        <v>-45.908000000000001</v>
      </c>
      <c r="DL1146" s="80">
        <v>10</v>
      </c>
      <c r="DM1146" s="64">
        <v>8</v>
      </c>
      <c r="DN1146" s="406" t="s">
        <v>6643</v>
      </c>
      <c r="DO1146" s="406">
        <v>-4.32</v>
      </c>
      <c r="DP1146" s="80">
        <v>175</v>
      </c>
    </row>
    <row r="1147" spans="29:120" x14ac:dyDescent="0.25">
      <c r="AC1147" s="122" t="s">
        <v>27</v>
      </c>
      <c r="AD1147" s="122" t="s">
        <v>1517</v>
      </c>
      <c r="AE1147" s="127">
        <v>2</v>
      </c>
      <c r="DA1147" s="122" t="s">
        <v>328</v>
      </c>
      <c r="DB1147" s="122" t="s">
        <v>4661</v>
      </c>
      <c r="DC1147" s="122" t="s">
        <v>4661</v>
      </c>
      <c r="DD1147" s="127">
        <v>8</v>
      </c>
      <c r="DE1147" s="127">
        <v>8</v>
      </c>
      <c r="DG1147" s="405" t="s">
        <v>328</v>
      </c>
      <c r="DH1147" s="406" t="s">
        <v>4661</v>
      </c>
      <c r="DI1147" s="406" t="str">
        <f t="shared" si="49"/>
        <v>MA, Arari</v>
      </c>
      <c r="DJ1147" s="406">
        <v>-3.4540000000000002</v>
      </c>
      <c r="DK1147" s="80">
        <v>-44.78</v>
      </c>
      <c r="DL1147" s="80">
        <v>7</v>
      </c>
      <c r="DM1147" s="64">
        <v>8</v>
      </c>
      <c r="DN1147" s="406" t="s">
        <v>6640</v>
      </c>
      <c r="DO1147" s="406">
        <v>-4.24</v>
      </c>
      <c r="DP1147" s="80">
        <v>28</v>
      </c>
    </row>
    <row r="1148" spans="29:120" x14ac:dyDescent="0.25">
      <c r="AC1148" s="122" t="s">
        <v>27</v>
      </c>
      <c r="AD1148" s="122" t="s">
        <v>1540</v>
      </c>
      <c r="AE1148" s="127">
        <v>2</v>
      </c>
      <c r="DA1148" s="122" t="s">
        <v>328</v>
      </c>
      <c r="DB1148" s="122" t="s">
        <v>4132</v>
      </c>
      <c r="DC1148" s="122" t="s">
        <v>4132</v>
      </c>
      <c r="DD1148" s="127">
        <v>8</v>
      </c>
      <c r="DE1148" s="127">
        <v>8</v>
      </c>
      <c r="DG1148" s="405" t="s">
        <v>328</v>
      </c>
      <c r="DH1148" s="406" t="s">
        <v>4132</v>
      </c>
      <c r="DI1148" s="406" t="str">
        <f t="shared" si="49"/>
        <v>MA, Axixá</v>
      </c>
      <c r="DJ1148" s="406">
        <v>-2.8370000000000002</v>
      </c>
      <c r="DK1148" s="80">
        <v>-44.052999999999997</v>
      </c>
      <c r="DL1148" s="80">
        <v>27</v>
      </c>
      <c r="DM1148" s="64">
        <v>8</v>
      </c>
      <c r="DN1148" s="406" t="s">
        <v>6636</v>
      </c>
      <c r="DO1148" s="406">
        <v>-2.5299999999999998</v>
      </c>
      <c r="DP1148" s="80">
        <v>56</v>
      </c>
    </row>
    <row r="1149" spans="29:120" x14ac:dyDescent="0.25">
      <c r="AC1149" s="122" t="s">
        <v>236</v>
      </c>
      <c r="AD1149" s="122" t="s">
        <v>1541</v>
      </c>
      <c r="AE1149" s="127">
        <v>2</v>
      </c>
      <c r="DA1149" s="122" t="s">
        <v>328</v>
      </c>
      <c r="DB1149" s="122" t="s">
        <v>4851</v>
      </c>
      <c r="DC1149" s="122" t="s">
        <v>4851</v>
      </c>
      <c r="DD1149" s="127">
        <v>8</v>
      </c>
      <c r="DE1149" s="127">
        <v>8</v>
      </c>
      <c r="DG1149" s="405" t="s">
        <v>328</v>
      </c>
      <c r="DH1149" s="406" t="s">
        <v>4851</v>
      </c>
      <c r="DI1149" s="406" t="str">
        <f t="shared" si="49"/>
        <v>MA, Bacabal</v>
      </c>
      <c r="DJ1149" s="406">
        <v>-4.2249999999999996</v>
      </c>
      <c r="DK1149" s="80">
        <v>-44.78</v>
      </c>
      <c r="DL1149" s="80">
        <v>21</v>
      </c>
      <c r="DM1149" s="64">
        <v>8</v>
      </c>
      <c r="DN1149" s="406" t="s">
        <v>6640</v>
      </c>
      <c r="DO1149" s="406">
        <v>-4.24</v>
      </c>
      <c r="DP1149" s="80">
        <v>28</v>
      </c>
    </row>
    <row r="1150" spans="29:120" x14ac:dyDescent="0.25">
      <c r="AC1150" s="122" t="s">
        <v>236</v>
      </c>
      <c r="AD1150" s="122" t="s">
        <v>1542</v>
      </c>
      <c r="AE1150" s="127">
        <v>2</v>
      </c>
      <c r="DA1150" s="122" t="s">
        <v>328</v>
      </c>
      <c r="DB1150" s="122" t="s">
        <v>4223</v>
      </c>
      <c r="DC1150" s="122" t="s">
        <v>4223</v>
      </c>
      <c r="DD1150" s="127">
        <v>8</v>
      </c>
      <c r="DE1150" s="127">
        <v>8</v>
      </c>
      <c r="DG1150" s="405" t="s">
        <v>328</v>
      </c>
      <c r="DH1150" s="406" t="s">
        <v>4223</v>
      </c>
      <c r="DI1150" s="406" t="str">
        <f t="shared" si="49"/>
        <v>MA, Bacabeira</v>
      </c>
      <c r="DJ1150" s="406">
        <v>-2.9710000000000001</v>
      </c>
      <c r="DK1150" s="80">
        <v>-44.316000000000003</v>
      </c>
      <c r="DL1150" s="80">
        <v>44</v>
      </c>
      <c r="DM1150" s="64">
        <v>8</v>
      </c>
      <c r="DN1150" s="406" t="s">
        <v>6636</v>
      </c>
      <c r="DO1150" s="406">
        <v>-2.5299999999999998</v>
      </c>
      <c r="DP1150" s="80">
        <v>56</v>
      </c>
    </row>
    <row r="1151" spans="29:120" x14ac:dyDescent="0.25">
      <c r="AC1151" s="122" t="s">
        <v>27</v>
      </c>
      <c r="AD1151" s="122" t="s">
        <v>1543</v>
      </c>
      <c r="AE1151" s="127">
        <v>2</v>
      </c>
      <c r="DA1151" s="122" t="s">
        <v>328</v>
      </c>
      <c r="DB1151" s="122" t="s">
        <v>4146</v>
      </c>
      <c r="DC1151" s="122" t="s">
        <v>4146</v>
      </c>
      <c r="DD1151" s="127">
        <v>8</v>
      </c>
      <c r="DE1151" s="127">
        <v>8</v>
      </c>
      <c r="DG1151" s="405" t="s">
        <v>328</v>
      </c>
      <c r="DH1151" s="406" t="s">
        <v>4146</v>
      </c>
      <c r="DI1151" s="406" t="str">
        <f t="shared" si="49"/>
        <v>MA, Bacuri</v>
      </c>
      <c r="DJ1151" s="406">
        <v>-1.7030000000000001</v>
      </c>
      <c r="DK1151" s="80">
        <v>-45.134</v>
      </c>
      <c r="DL1151" s="80">
        <v>15</v>
      </c>
      <c r="DM1151" s="64">
        <v>8</v>
      </c>
      <c r="DN1151" s="406" t="s">
        <v>6647</v>
      </c>
      <c r="DO1151" s="406">
        <v>-1.66</v>
      </c>
      <c r="DP1151" s="80">
        <v>41</v>
      </c>
    </row>
    <row r="1152" spans="29:120" x14ac:dyDescent="0.25">
      <c r="AC1152" s="122" t="s">
        <v>236</v>
      </c>
      <c r="AD1152" s="122" t="s">
        <v>1544</v>
      </c>
      <c r="AE1152" s="127">
        <v>2</v>
      </c>
      <c r="DA1152" s="122" t="s">
        <v>328</v>
      </c>
      <c r="DB1152" s="122" t="s">
        <v>4300</v>
      </c>
      <c r="DC1152" s="122" t="s">
        <v>4300</v>
      </c>
      <c r="DD1152" s="127">
        <v>8</v>
      </c>
      <c r="DE1152" s="127">
        <v>8</v>
      </c>
      <c r="DG1152" s="405" t="s">
        <v>328</v>
      </c>
      <c r="DH1152" s="406" t="s">
        <v>4300</v>
      </c>
      <c r="DI1152" s="406" t="str">
        <f t="shared" si="49"/>
        <v>MA, Bacurituba</v>
      </c>
      <c r="DJ1152" s="406">
        <v>-2.706</v>
      </c>
      <c r="DK1152" s="80">
        <v>-44.738</v>
      </c>
      <c r="DL1152" s="80">
        <v>15</v>
      </c>
      <c r="DM1152" s="64">
        <v>8</v>
      </c>
      <c r="DN1152" s="406" t="s">
        <v>6636</v>
      </c>
      <c r="DO1152" s="406">
        <v>-2.5299999999999998</v>
      </c>
      <c r="DP1152" s="80">
        <v>56</v>
      </c>
    </row>
    <row r="1153" spans="29:120" x14ac:dyDescent="0.25">
      <c r="AC1153" s="122" t="s">
        <v>236</v>
      </c>
      <c r="AD1153" s="122" t="s">
        <v>1545</v>
      </c>
      <c r="AE1153" s="127">
        <v>2</v>
      </c>
      <c r="DA1153" s="122" t="s">
        <v>328</v>
      </c>
      <c r="DB1153" s="122" t="s">
        <v>4912</v>
      </c>
      <c r="DC1153" s="122" t="s">
        <v>4912</v>
      </c>
      <c r="DD1153" s="127">
        <v>7</v>
      </c>
      <c r="DE1153" s="127">
        <v>7</v>
      </c>
      <c r="DG1153" s="405" t="s">
        <v>328</v>
      </c>
      <c r="DH1153" s="406" t="s">
        <v>4912</v>
      </c>
      <c r="DI1153" s="406" t="str">
        <f t="shared" si="49"/>
        <v>MA, Balsas</v>
      </c>
      <c r="DJ1153" s="406">
        <v>-7.5330000000000004</v>
      </c>
      <c r="DK1153" s="80">
        <v>-46.036000000000001</v>
      </c>
      <c r="DL1153" s="80">
        <v>247</v>
      </c>
      <c r="DM1153" s="64">
        <v>7</v>
      </c>
      <c r="DN1153" s="406" t="s">
        <v>6650</v>
      </c>
      <c r="DO1153" s="406">
        <v>-7.46</v>
      </c>
      <c r="DP1153" s="80">
        <v>254</v>
      </c>
    </row>
    <row r="1154" spans="29:120" x14ac:dyDescent="0.25">
      <c r="AC1154" s="122" t="s">
        <v>236</v>
      </c>
      <c r="AD1154" s="122" t="s">
        <v>1546</v>
      </c>
      <c r="AE1154" s="127">
        <v>2</v>
      </c>
      <c r="DA1154" s="122" t="s">
        <v>328</v>
      </c>
      <c r="DB1154" s="122" t="s">
        <v>6651</v>
      </c>
      <c r="DC1154" s="122" t="s">
        <v>5270</v>
      </c>
      <c r="DD1154" s="127">
        <v>7</v>
      </c>
      <c r="DE1154" s="127">
        <v>7</v>
      </c>
      <c r="DG1154" s="405" t="s">
        <v>328</v>
      </c>
      <c r="DH1154" s="406" t="s">
        <v>5270</v>
      </c>
      <c r="DI1154" s="406" t="str">
        <f t="shared" si="49"/>
        <v>MA, Barão de Grajaú</v>
      </c>
      <c r="DJ1154" s="406">
        <v>-6.7560000000000002</v>
      </c>
      <c r="DK1154" s="80">
        <v>-43.024000000000001</v>
      </c>
      <c r="DL1154" s="80">
        <v>108</v>
      </c>
      <c r="DM1154" s="64">
        <v>7</v>
      </c>
      <c r="DN1154" s="406" t="s">
        <v>6652</v>
      </c>
      <c r="DO1154" s="406">
        <v>-6.77</v>
      </c>
      <c r="DP1154" s="80">
        <v>123</v>
      </c>
    </row>
    <row r="1155" spans="29:120" x14ac:dyDescent="0.25">
      <c r="AC1155" s="122" t="s">
        <v>236</v>
      </c>
      <c r="AD1155" s="122" t="s">
        <v>1547</v>
      </c>
      <c r="AE1155" s="127">
        <v>2</v>
      </c>
      <c r="DA1155" s="122" t="s">
        <v>328</v>
      </c>
      <c r="DB1155" s="122" t="s">
        <v>6653</v>
      </c>
      <c r="DC1155" s="122" t="s">
        <v>4803</v>
      </c>
      <c r="DD1155" s="127">
        <v>7</v>
      </c>
      <c r="DE1155" s="127">
        <v>7</v>
      </c>
      <c r="DG1155" s="405" t="s">
        <v>328</v>
      </c>
      <c r="DH1155" s="406" t="s">
        <v>4803</v>
      </c>
      <c r="DI1155" s="406" t="str">
        <f t="shared" ref="DI1155:DI1218" si="50">CONCATENATE(DG1155,", ",DH1155)</f>
        <v>MA, Barra do Corda</v>
      </c>
      <c r="DJ1155" s="406">
        <v>-5.5060000000000002</v>
      </c>
      <c r="DK1155" s="80">
        <v>-45.243000000000002</v>
      </c>
      <c r="DL1155" s="80">
        <v>83</v>
      </c>
      <c r="DM1155" s="64">
        <v>7</v>
      </c>
      <c r="DN1155" s="406" t="s">
        <v>6654</v>
      </c>
      <c r="DO1155" s="406">
        <v>-5.51</v>
      </c>
      <c r="DP1155" s="80">
        <v>153</v>
      </c>
    </row>
    <row r="1156" spans="29:120" x14ac:dyDescent="0.25">
      <c r="AC1156" s="122" t="s">
        <v>236</v>
      </c>
      <c r="AD1156" s="122" t="s">
        <v>1548</v>
      </c>
      <c r="AE1156" s="127">
        <v>2</v>
      </c>
      <c r="DA1156" s="122" t="s">
        <v>328</v>
      </c>
      <c r="DB1156" s="122" t="s">
        <v>4074</v>
      </c>
      <c r="DC1156" s="122" t="s">
        <v>4074</v>
      </c>
      <c r="DD1156" s="127">
        <v>8</v>
      </c>
      <c r="DE1156" s="127">
        <v>8</v>
      </c>
      <c r="DG1156" s="405" t="s">
        <v>328</v>
      </c>
      <c r="DH1156" s="406" t="s">
        <v>4074</v>
      </c>
      <c r="DI1156" s="406" t="str">
        <f t="shared" si="50"/>
        <v>MA, Barreirinhas</v>
      </c>
      <c r="DJ1156" s="406">
        <v>-2.7469999999999999</v>
      </c>
      <c r="DK1156" s="80">
        <v>-42.826000000000001</v>
      </c>
      <c r="DL1156" s="80">
        <v>4</v>
      </c>
      <c r="DM1156" s="64">
        <v>8</v>
      </c>
      <c r="DN1156" s="406" t="s">
        <v>6655</v>
      </c>
      <c r="DO1156" s="406">
        <v>-2.59</v>
      </c>
      <c r="DP1156" s="80">
        <v>0</v>
      </c>
    </row>
    <row r="1157" spans="29:120" x14ac:dyDescent="0.25">
      <c r="AC1157" s="122" t="s">
        <v>27</v>
      </c>
      <c r="AD1157" s="122" t="s">
        <v>1549</v>
      </c>
      <c r="AE1157" s="127">
        <v>2</v>
      </c>
      <c r="DA1157" s="122" t="s">
        <v>328</v>
      </c>
      <c r="DB1157" s="122" t="s">
        <v>6656</v>
      </c>
      <c r="DC1157" s="122" t="s">
        <v>4740</v>
      </c>
      <c r="DD1157" s="127">
        <v>8</v>
      </c>
      <c r="DE1157" s="127">
        <v>8</v>
      </c>
      <c r="DG1157" s="405" t="s">
        <v>328</v>
      </c>
      <c r="DH1157" s="406" t="s">
        <v>4740</v>
      </c>
      <c r="DI1157" s="406" t="str">
        <f t="shared" si="50"/>
        <v>MA, Bela Vista do Maranhão</v>
      </c>
      <c r="DJ1157" s="406">
        <v>-3.7309999999999999</v>
      </c>
      <c r="DK1157" s="80">
        <v>-45.314999999999998</v>
      </c>
      <c r="DL1157" s="80">
        <v>28</v>
      </c>
      <c r="DM1157" s="64">
        <v>8</v>
      </c>
      <c r="DN1157" s="406" t="s">
        <v>6640</v>
      </c>
      <c r="DO1157" s="406">
        <v>-4.24</v>
      </c>
      <c r="DP1157" s="80">
        <v>28</v>
      </c>
    </row>
    <row r="1158" spans="29:120" x14ac:dyDescent="0.25">
      <c r="AC1158" s="122" t="s">
        <v>236</v>
      </c>
      <c r="AD1158" s="122" t="s">
        <v>1550</v>
      </c>
      <c r="AE1158" s="127">
        <v>2</v>
      </c>
      <c r="DA1158" s="122" t="s">
        <v>328</v>
      </c>
      <c r="DB1158" s="122" t="s">
        <v>5385</v>
      </c>
      <c r="DC1158" s="122" t="s">
        <v>5385</v>
      </c>
      <c r="DD1158" s="127">
        <v>8</v>
      </c>
      <c r="DE1158" s="127">
        <v>8</v>
      </c>
      <c r="DG1158" s="405" t="s">
        <v>328</v>
      </c>
      <c r="DH1158" s="406" t="s">
        <v>5385</v>
      </c>
      <c r="DI1158" s="406" t="str">
        <f t="shared" si="50"/>
        <v>MA, Belágua</v>
      </c>
      <c r="DJ1158" s="406">
        <v>-3.1549999999999998</v>
      </c>
      <c r="DK1158" s="80">
        <v>-43.51</v>
      </c>
      <c r="DL1158" s="80">
        <v>92</v>
      </c>
      <c r="DM1158" s="64">
        <v>8</v>
      </c>
      <c r="DN1158" s="406" t="s">
        <v>6634</v>
      </c>
      <c r="DO1158" s="406">
        <v>-3.74</v>
      </c>
      <c r="DP1158" s="80">
        <v>91</v>
      </c>
    </row>
    <row r="1159" spans="29:120" x14ac:dyDescent="0.25">
      <c r="AC1159" s="122" t="s">
        <v>311</v>
      </c>
      <c r="AD1159" s="122" t="s">
        <v>1551</v>
      </c>
      <c r="AE1159" s="127">
        <v>1</v>
      </c>
      <c r="DA1159" s="122" t="s">
        <v>328</v>
      </c>
      <c r="DB1159" s="122" t="s">
        <v>6657</v>
      </c>
      <c r="DC1159" s="122" t="s">
        <v>5229</v>
      </c>
      <c r="DD1159" s="127">
        <v>7</v>
      </c>
      <c r="DE1159" s="127">
        <v>7</v>
      </c>
      <c r="DG1159" s="405" t="s">
        <v>328</v>
      </c>
      <c r="DH1159" s="406" t="s">
        <v>5229</v>
      </c>
      <c r="DI1159" s="406" t="str">
        <f t="shared" si="50"/>
        <v>MA, Benedito Leite</v>
      </c>
      <c r="DJ1159" s="406">
        <v>-7.2229999999999999</v>
      </c>
      <c r="DK1159" s="80">
        <v>-44.558</v>
      </c>
      <c r="DL1159" s="80">
        <v>173</v>
      </c>
      <c r="DM1159" s="64">
        <v>7</v>
      </c>
      <c r="DN1159" s="406" t="s">
        <v>6658</v>
      </c>
      <c r="DO1159" s="406">
        <v>-7.47</v>
      </c>
      <c r="DP1159" s="80">
        <v>393</v>
      </c>
    </row>
    <row r="1160" spans="29:120" x14ac:dyDescent="0.25">
      <c r="AC1160" s="122" t="s">
        <v>236</v>
      </c>
      <c r="AD1160" s="122" t="s">
        <v>1552</v>
      </c>
      <c r="AE1160" s="127">
        <v>2</v>
      </c>
      <c r="DA1160" s="122" t="s">
        <v>328</v>
      </c>
      <c r="DB1160" s="122" t="s">
        <v>4285</v>
      </c>
      <c r="DC1160" s="122" t="s">
        <v>4285</v>
      </c>
      <c r="DD1160" s="127">
        <v>8</v>
      </c>
      <c r="DE1160" s="127">
        <v>8</v>
      </c>
      <c r="DG1160" s="405" t="s">
        <v>328</v>
      </c>
      <c r="DH1160" s="406" t="s">
        <v>4285</v>
      </c>
      <c r="DI1160" s="406" t="str">
        <f t="shared" si="50"/>
        <v>MA, Bequimão</v>
      </c>
      <c r="DJ1160" s="406">
        <v>-2.4489999999999998</v>
      </c>
      <c r="DK1160" s="80">
        <v>-44.783000000000001</v>
      </c>
      <c r="DL1160" s="80">
        <v>17</v>
      </c>
      <c r="DM1160" s="64">
        <v>8</v>
      </c>
      <c r="DN1160" s="406" t="s">
        <v>6636</v>
      </c>
      <c r="DO1160" s="406">
        <v>-2.5299999999999998</v>
      </c>
      <c r="DP1160" s="80">
        <v>56</v>
      </c>
    </row>
    <row r="1161" spans="29:120" x14ac:dyDescent="0.25">
      <c r="AC1161" s="122" t="s">
        <v>236</v>
      </c>
      <c r="AD1161" s="122" t="s">
        <v>1553</v>
      </c>
      <c r="AE1161" s="127">
        <v>2</v>
      </c>
      <c r="DA1161" s="122" t="s">
        <v>328</v>
      </c>
      <c r="DB1161" s="122" t="s">
        <v>6659</v>
      </c>
      <c r="DC1161" s="122" t="s">
        <v>4860</v>
      </c>
      <c r="DD1161" s="127">
        <v>8</v>
      </c>
      <c r="DE1161" s="127">
        <v>8</v>
      </c>
      <c r="DG1161" s="405" t="s">
        <v>328</v>
      </c>
      <c r="DH1161" s="406" t="s">
        <v>4860</v>
      </c>
      <c r="DI1161" s="406" t="str">
        <f t="shared" si="50"/>
        <v>MA, Bernardo do Mearim</v>
      </c>
      <c r="DJ1161" s="406">
        <v>-4.5839999999999996</v>
      </c>
      <c r="DK1161" s="80">
        <v>-44.764000000000003</v>
      </c>
      <c r="DL1161" s="80">
        <v>46</v>
      </c>
      <c r="DM1161" s="64">
        <v>8</v>
      </c>
      <c r="DN1161" s="406" t="s">
        <v>6640</v>
      </c>
      <c r="DO1161" s="406">
        <v>-4.24</v>
      </c>
      <c r="DP1161" s="80">
        <v>28</v>
      </c>
    </row>
    <row r="1162" spans="29:120" x14ac:dyDescent="0.25">
      <c r="AC1162" s="122" t="s">
        <v>236</v>
      </c>
      <c r="AD1162" s="122" t="s">
        <v>1554</v>
      </c>
      <c r="AE1162" s="127">
        <v>2</v>
      </c>
      <c r="DA1162" s="122" t="s">
        <v>328</v>
      </c>
      <c r="DB1162" s="122" t="s">
        <v>6660</v>
      </c>
      <c r="DC1162" s="122" t="s">
        <v>4222</v>
      </c>
      <c r="DD1162" s="127">
        <v>8</v>
      </c>
      <c r="DE1162" s="127">
        <v>8</v>
      </c>
      <c r="DG1162" s="405" t="s">
        <v>328</v>
      </c>
      <c r="DH1162" s="406" t="s">
        <v>4222</v>
      </c>
      <c r="DI1162" s="406" t="str">
        <f t="shared" si="50"/>
        <v>MA, Boa Vista do Gurupi</v>
      </c>
      <c r="DJ1162" s="406">
        <v>-1.788</v>
      </c>
      <c r="DK1162" s="80">
        <v>-46.302999999999997</v>
      </c>
      <c r="DL1162" s="80">
        <v>22</v>
      </c>
      <c r="DM1162" s="64">
        <v>8</v>
      </c>
      <c r="DN1162" s="406" t="s">
        <v>6661</v>
      </c>
      <c r="DO1162" s="406">
        <v>-1.05</v>
      </c>
      <c r="DP1162" s="80">
        <v>33</v>
      </c>
    </row>
    <row r="1163" spans="29:120" x14ac:dyDescent="0.25">
      <c r="AC1163" s="122" t="s">
        <v>27</v>
      </c>
      <c r="AD1163" s="122" t="s">
        <v>1555</v>
      </c>
      <c r="AE1163" s="127">
        <v>2</v>
      </c>
      <c r="DA1163" s="122" t="s">
        <v>328</v>
      </c>
      <c r="DB1163" s="122" t="s">
        <v>6662</v>
      </c>
      <c r="DC1163" s="122" t="s">
        <v>530</v>
      </c>
      <c r="DD1163" s="127">
        <v>8</v>
      </c>
      <c r="DE1163" s="127">
        <v>8</v>
      </c>
      <c r="DG1163" s="405" t="s">
        <v>328</v>
      </c>
      <c r="DH1163" s="406" t="s">
        <v>530</v>
      </c>
      <c r="DI1163" s="406" t="str">
        <f t="shared" si="50"/>
        <v>MA, Bom Jardim</v>
      </c>
      <c r="DJ1163" s="406">
        <v>-3.5649999999999999</v>
      </c>
      <c r="DK1163" s="80">
        <v>-45.994</v>
      </c>
      <c r="DL1163" s="80">
        <v>40</v>
      </c>
      <c r="DM1163" s="64">
        <v>8</v>
      </c>
      <c r="DN1163" s="406" t="s">
        <v>6643</v>
      </c>
      <c r="DO1163" s="406">
        <v>-4.32</v>
      </c>
      <c r="DP1163" s="80">
        <v>175</v>
      </c>
    </row>
    <row r="1164" spans="29:120" x14ac:dyDescent="0.25">
      <c r="AC1164" s="122" t="s">
        <v>27</v>
      </c>
      <c r="AD1164" s="122" t="s">
        <v>1556</v>
      </c>
      <c r="AE1164" s="127">
        <v>2</v>
      </c>
      <c r="DA1164" s="122" t="s">
        <v>328</v>
      </c>
      <c r="DB1164" s="122" t="s">
        <v>6663</v>
      </c>
      <c r="DC1164" s="122" t="s">
        <v>4384</v>
      </c>
      <c r="DD1164" s="127">
        <v>8</v>
      </c>
      <c r="DE1164" s="127">
        <v>8</v>
      </c>
      <c r="DG1164" s="405" t="s">
        <v>328</v>
      </c>
      <c r="DH1164" s="406" t="s">
        <v>4384</v>
      </c>
      <c r="DI1164" s="406" t="str">
        <f t="shared" si="50"/>
        <v>MA, Bom Jesus das Selvas</v>
      </c>
      <c r="DJ1164" s="406">
        <v>-4.42</v>
      </c>
      <c r="DK1164" s="80">
        <v>-46.765000000000001</v>
      </c>
      <c r="DL1164" s="80">
        <v>232</v>
      </c>
      <c r="DM1164" s="64">
        <v>8</v>
      </c>
      <c r="DN1164" s="406" t="s">
        <v>6643</v>
      </c>
      <c r="DO1164" s="406">
        <v>-4.32</v>
      </c>
      <c r="DP1164" s="80">
        <v>175</v>
      </c>
    </row>
    <row r="1165" spans="29:120" x14ac:dyDescent="0.25">
      <c r="AC1165" s="122" t="s">
        <v>27</v>
      </c>
      <c r="AD1165" s="122" t="s">
        <v>737</v>
      </c>
      <c r="AE1165" s="127">
        <v>2</v>
      </c>
      <c r="DA1165" s="122" t="s">
        <v>328</v>
      </c>
      <c r="DB1165" s="122" t="s">
        <v>6664</v>
      </c>
      <c r="DC1165" s="122" t="s">
        <v>4808</v>
      </c>
      <c r="DD1165" s="127">
        <v>8</v>
      </c>
      <c r="DE1165" s="127">
        <v>8</v>
      </c>
      <c r="DG1165" s="405" t="s">
        <v>328</v>
      </c>
      <c r="DH1165" s="406" t="s">
        <v>4808</v>
      </c>
      <c r="DI1165" s="406" t="str">
        <f t="shared" si="50"/>
        <v>MA, Bom Lugar</v>
      </c>
      <c r="DJ1165" s="406">
        <v>-4.22</v>
      </c>
      <c r="DK1165" s="80">
        <v>-45.039000000000001</v>
      </c>
      <c r="DL1165" s="80">
        <v>33</v>
      </c>
      <c r="DM1165" s="64">
        <v>8</v>
      </c>
      <c r="DN1165" s="406" t="s">
        <v>6640</v>
      </c>
      <c r="DO1165" s="406">
        <v>-4.24</v>
      </c>
      <c r="DP1165" s="80">
        <v>28</v>
      </c>
    </row>
    <row r="1166" spans="29:120" x14ac:dyDescent="0.25">
      <c r="AC1166" s="122" t="s">
        <v>236</v>
      </c>
      <c r="AD1166" s="122" t="s">
        <v>1557</v>
      </c>
      <c r="AE1166" s="127">
        <v>2</v>
      </c>
      <c r="DA1166" s="122" t="s">
        <v>328</v>
      </c>
      <c r="DB1166" s="122" t="s">
        <v>5561</v>
      </c>
      <c r="DC1166" s="122" t="s">
        <v>5561</v>
      </c>
      <c r="DD1166" s="127">
        <v>8</v>
      </c>
      <c r="DE1166" s="127">
        <v>8</v>
      </c>
      <c r="DG1166" s="405" t="s">
        <v>328</v>
      </c>
      <c r="DH1166" s="406" t="s">
        <v>5561</v>
      </c>
      <c r="DI1166" s="406" t="str">
        <f t="shared" si="50"/>
        <v>MA, Brejo</v>
      </c>
      <c r="DJ1166" s="406">
        <v>-3.6840000000000002</v>
      </c>
      <c r="DK1166" s="80">
        <v>-42.75</v>
      </c>
      <c r="DL1166" s="80">
        <v>55</v>
      </c>
      <c r="DM1166" s="64">
        <v>8</v>
      </c>
      <c r="DN1166" s="406" t="s">
        <v>6665</v>
      </c>
      <c r="DO1166" s="406">
        <v>-3.9</v>
      </c>
      <c r="DP1166" s="80">
        <v>65</v>
      </c>
    </row>
    <row r="1167" spans="29:120" x14ac:dyDescent="0.25">
      <c r="AC1167" s="122" t="s">
        <v>236</v>
      </c>
      <c r="AD1167" s="122" t="s">
        <v>1558</v>
      </c>
      <c r="AE1167" s="127">
        <v>2</v>
      </c>
      <c r="DA1167" s="122" t="s">
        <v>328</v>
      </c>
      <c r="DB1167" s="122" t="s">
        <v>6666</v>
      </c>
      <c r="DC1167" s="122" t="s">
        <v>4411</v>
      </c>
      <c r="DD1167" s="127">
        <v>8</v>
      </c>
      <c r="DE1167" s="127">
        <v>8</v>
      </c>
      <c r="DG1167" s="405" t="s">
        <v>328</v>
      </c>
      <c r="DH1167" s="406" t="s">
        <v>4411</v>
      </c>
      <c r="DI1167" s="406" t="str">
        <f t="shared" si="50"/>
        <v>MA, Brejo de Areia</v>
      </c>
      <c r="DJ1167" s="406">
        <v>-4.3339999999999996</v>
      </c>
      <c r="DK1167" s="80">
        <v>-45.581000000000003</v>
      </c>
      <c r="DL1167" s="80">
        <v>89</v>
      </c>
      <c r="DM1167" s="64">
        <v>8</v>
      </c>
      <c r="DN1167" s="406" t="s">
        <v>6640</v>
      </c>
      <c r="DO1167" s="406">
        <v>-4.24</v>
      </c>
      <c r="DP1167" s="80">
        <v>28</v>
      </c>
    </row>
    <row r="1168" spans="29:120" x14ac:dyDescent="0.25">
      <c r="AC1168" s="122" t="s">
        <v>236</v>
      </c>
      <c r="AD1168" s="122" t="s">
        <v>1559</v>
      </c>
      <c r="AE1168" s="127">
        <v>2</v>
      </c>
      <c r="DA1168" s="122" t="s">
        <v>328</v>
      </c>
      <c r="DB1168" s="122" t="s">
        <v>5308</v>
      </c>
      <c r="DC1168" s="122" t="s">
        <v>5308</v>
      </c>
      <c r="DD1168" s="127">
        <v>8</v>
      </c>
      <c r="DE1168" s="127">
        <v>8</v>
      </c>
      <c r="DG1168" s="405" t="s">
        <v>328</v>
      </c>
      <c r="DH1168" s="406" t="s">
        <v>5308</v>
      </c>
      <c r="DI1168" s="406" t="str">
        <f t="shared" si="50"/>
        <v>MA, Buriti</v>
      </c>
      <c r="DJ1168" s="406">
        <v>-3.9420000000000002</v>
      </c>
      <c r="DK1168" s="80">
        <v>-42.924999999999997</v>
      </c>
      <c r="DL1168" s="80">
        <v>227</v>
      </c>
      <c r="DM1168" s="64">
        <v>8</v>
      </c>
      <c r="DN1168" s="406" t="s">
        <v>6634</v>
      </c>
      <c r="DO1168" s="406">
        <v>-3.74</v>
      </c>
      <c r="DP1168" s="80">
        <v>91</v>
      </c>
    </row>
    <row r="1169" spans="29:120" x14ac:dyDescent="0.25">
      <c r="AC1169" s="122" t="s">
        <v>236</v>
      </c>
      <c r="AD1169" s="122" t="s">
        <v>1560</v>
      </c>
      <c r="AE1169" s="127">
        <v>2</v>
      </c>
      <c r="DA1169" s="122" t="s">
        <v>328</v>
      </c>
      <c r="DB1169" s="122" t="s">
        <v>6667</v>
      </c>
      <c r="DC1169" s="122" t="s">
        <v>4919</v>
      </c>
      <c r="DD1169" s="127">
        <v>7</v>
      </c>
      <c r="DE1169" s="127">
        <v>7</v>
      </c>
      <c r="DG1169" s="405" t="s">
        <v>328</v>
      </c>
      <c r="DH1169" s="406" t="s">
        <v>4919</v>
      </c>
      <c r="DI1169" s="406" t="str">
        <f t="shared" si="50"/>
        <v>MA, Buriti Bravo</v>
      </c>
      <c r="DJ1169" s="406">
        <v>-5.8369999999999997</v>
      </c>
      <c r="DK1169" s="80">
        <v>-43.834000000000003</v>
      </c>
      <c r="DL1169" s="80">
        <v>227</v>
      </c>
      <c r="DM1169" s="64">
        <v>7</v>
      </c>
      <c r="DN1169" s="406" t="s">
        <v>6668</v>
      </c>
      <c r="DO1169" s="406">
        <v>-6.03</v>
      </c>
      <c r="DP1169" s="80">
        <v>179</v>
      </c>
    </row>
    <row r="1170" spans="29:120" x14ac:dyDescent="0.25">
      <c r="AC1170" s="122" t="s">
        <v>311</v>
      </c>
      <c r="AD1170" s="122" t="s">
        <v>1561</v>
      </c>
      <c r="AE1170" s="127">
        <v>2</v>
      </c>
      <c r="DA1170" s="122" t="s">
        <v>328</v>
      </c>
      <c r="DB1170" s="122" t="s">
        <v>4407</v>
      </c>
      <c r="DC1170" s="122" t="s">
        <v>4407</v>
      </c>
      <c r="DD1170" s="127">
        <v>8</v>
      </c>
      <c r="DE1170" s="127">
        <v>8</v>
      </c>
      <c r="DG1170" s="405" t="s">
        <v>328</v>
      </c>
      <c r="DH1170" s="406" t="s">
        <v>4407</v>
      </c>
      <c r="DI1170" s="406" t="str">
        <f t="shared" si="50"/>
        <v>MA, Buriticupu</v>
      </c>
      <c r="DJ1170" s="406">
        <v>-4.3460000000000001</v>
      </c>
      <c r="DK1170" s="80">
        <v>-46.401000000000003</v>
      </c>
      <c r="DL1170" s="80">
        <v>191</v>
      </c>
      <c r="DM1170" s="64">
        <v>8</v>
      </c>
      <c r="DN1170" s="406" t="s">
        <v>6643</v>
      </c>
      <c r="DO1170" s="406">
        <v>-4.32</v>
      </c>
      <c r="DP1170" s="80">
        <v>175</v>
      </c>
    </row>
    <row r="1171" spans="29:120" x14ac:dyDescent="0.25">
      <c r="AC1171" s="122" t="s">
        <v>236</v>
      </c>
      <c r="AD1171" s="122" t="s">
        <v>1562</v>
      </c>
      <c r="AE1171" s="127">
        <v>2</v>
      </c>
      <c r="DA1171" s="122" t="s">
        <v>328</v>
      </c>
      <c r="DB1171" s="122" t="s">
        <v>4846</v>
      </c>
      <c r="DC1171" s="122" t="s">
        <v>4846</v>
      </c>
      <c r="DD1171" s="127">
        <v>8</v>
      </c>
      <c r="DE1171" s="127">
        <v>8</v>
      </c>
      <c r="DG1171" s="405" t="s">
        <v>328</v>
      </c>
      <c r="DH1171" s="406" t="s">
        <v>4846</v>
      </c>
      <c r="DI1171" s="406" t="str">
        <f t="shared" si="50"/>
        <v>MA, Buritirana</v>
      </c>
      <c r="DJ1171" s="406">
        <v>-5.593</v>
      </c>
      <c r="DK1171" s="80">
        <v>-47.018000000000001</v>
      </c>
      <c r="DL1171" s="80">
        <v>250</v>
      </c>
      <c r="DM1171" s="64">
        <v>8</v>
      </c>
      <c r="DN1171" s="406" t="s">
        <v>6669</v>
      </c>
      <c r="DO1171" s="406">
        <v>-5.56</v>
      </c>
      <c r="DP1171" s="80">
        <v>126</v>
      </c>
    </row>
    <row r="1172" spans="29:120" x14ac:dyDescent="0.25">
      <c r="AC1172" s="122" t="s">
        <v>27</v>
      </c>
      <c r="AD1172" s="122" t="s">
        <v>1563</v>
      </c>
      <c r="AE1172" s="127">
        <v>2</v>
      </c>
      <c r="DA1172" s="122" t="s">
        <v>328</v>
      </c>
      <c r="DB1172" s="122" t="s">
        <v>6670</v>
      </c>
      <c r="DC1172" s="122" t="s">
        <v>4175</v>
      </c>
      <c r="DD1172" s="127">
        <v>8</v>
      </c>
      <c r="DE1172" s="127">
        <v>8</v>
      </c>
      <c r="DG1172" s="405" t="s">
        <v>328</v>
      </c>
      <c r="DH1172" s="406" t="s">
        <v>4175</v>
      </c>
      <c r="DI1172" s="406" t="str">
        <f t="shared" si="50"/>
        <v>MA, Cachoeira Grande</v>
      </c>
      <c r="DJ1172" s="406">
        <v>-2.927</v>
      </c>
      <c r="DK1172" s="80">
        <v>-44.058</v>
      </c>
      <c r="DL1172" s="80">
        <v>48</v>
      </c>
      <c r="DM1172" s="64">
        <v>8</v>
      </c>
      <c r="DN1172" s="406" t="s">
        <v>6636</v>
      </c>
      <c r="DO1172" s="406">
        <v>-2.5299999999999998</v>
      </c>
      <c r="DP1172" s="80">
        <v>56</v>
      </c>
    </row>
    <row r="1173" spans="29:120" x14ac:dyDescent="0.25">
      <c r="AC1173" s="122" t="s">
        <v>27</v>
      </c>
      <c r="AD1173" s="122" t="s">
        <v>1564</v>
      </c>
      <c r="AE1173" s="127">
        <v>2</v>
      </c>
      <c r="DA1173" s="122" t="s">
        <v>328</v>
      </c>
      <c r="DB1173" s="122" t="s">
        <v>4301</v>
      </c>
      <c r="DC1173" s="122" t="s">
        <v>4301</v>
      </c>
      <c r="DD1173" s="127">
        <v>8</v>
      </c>
      <c r="DE1173" s="127">
        <v>8</v>
      </c>
      <c r="DG1173" s="405" t="s">
        <v>328</v>
      </c>
      <c r="DH1173" s="406" t="s">
        <v>4301</v>
      </c>
      <c r="DI1173" s="406" t="str">
        <f t="shared" si="50"/>
        <v>MA, Cajapió</v>
      </c>
      <c r="DJ1173" s="406">
        <v>-2.8809999999999998</v>
      </c>
      <c r="DK1173" s="80">
        <v>-44.674999999999997</v>
      </c>
      <c r="DL1173" s="80">
        <v>18</v>
      </c>
      <c r="DM1173" s="64">
        <v>8</v>
      </c>
      <c r="DN1173" s="406" t="s">
        <v>6636</v>
      </c>
      <c r="DO1173" s="406">
        <v>-2.5299999999999998</v>
      </c>
      <c r="DP1173" s="80">
        <v>56</v>
      </c>
    </row>
    <row r="1174" spans="29:120" x14ac:dyDescent="0.25">
      <c r="AC1174" s="122" t="s">
        <v>27</v>
      </c>
      <c r="AD1174" s="122" t="s">
        <v>1565</v>
      </c>
      <c r="AE1174" s="127">
        <v>2</v>
      </c>
      <c r="DA1174" s="122" t="s">
        <v>328</v>
      </c>
      <c r="DB1174" s="122" t="s">
        <v>4659</v>
      </c>
      <c r="DC1174" s="122" t="s">
        <v>4659</v>
      </c>
      <c r="DD1174" s="127">
        <v>8</v>
      </c>
      <c r="DE1174" s="127">
        <v>8</v>
      </c>
      <c r="DG1174" s="405" t="s">
        <v>328</v>
      </c>
      <c r="DH1174" s="406" t="s">
        <v>4659</v>
      </c>
      <c r="DI1174" s="406" t="str">
        <f t="shared" si="50"/>
        <v>MA, Cajari</v>
      </c>
      <c r="DJ1174" s="406">
        <v>-3.3210000000000002</v>
      </c>
      <c r="DK1174" s="80">
        <v>-45.011000000000003</v>
      </c>
      <c r="DL1174" s="80">
        <v>13</v>
      </c>
      <c r="DM1174" s="64">
        <v>8</v>
      </c>
      <c r="DN1174" s="406" t="s">
        <v>6640</v>
      </c>
      <c r="DO1174" s="406">
        <v>-4.24</v>
      </c>
      <c r="DP1174" s="80">
        <v>28</v>
      </c>
    </row>
    <row r="1175" spans="29:120" x14ac:dyDescent="0.25">
      <c r="AC1175" s="122" t="s">
        <v>27</v>
      </c>
      <c r="AD1175" s="122" t="s">
        <v>1566</v>
      </c>
      <c r="AE1175" s="127">
        <v>2</v>
      </c>
      <c r="DA1175" s="122" t="s">
        <v>328</v>
      </c>
      <c r="DB1175" s="122" t="s">
        <v>6671</v>
      </c>
      <c r="DC1175" s="122" t="s">
        <v>4942</v>
      </c>
      <c r="DD1175" s="127">
        <v>7</v>
      </c>
      <c r="DE1175" s="127">
        <v>7</v>
      </c>
      <c r="DG1175" s="405" t="s">
        <v>328</v>
      </c>
      <c r="DH1175" s="406" t="s">
        <v>4942</v>
      </c>
      <c r="DI1175" s="406" t="str">
        <f t="shared" si="50"/>
        <v>MA, Campestre do Maranhão</v>
      </c>
      <c r="DJ1175" s="406">
        <v>-6.1719999999999997</v>
      </c>
      <c r="DK1175" s="80">
        <v>-47.363999999999997</v>
      </c>
      <c r="DL1175" s="80">
        <v>100</v>
      </c>
      <c r="DM1175" s="64">
        <v>7</v>
      </c>
      <c r="DN1175" s="406" t="s">
        <v>6672</v>
      </c>
      <c r="DO1175" s="406">
        <v>-6.65</v>
      </c>
      <c r="DP1175" s="80">
        <v>180</v>
      </c>
    </row>
    <row r="1176" spans="29:120" x14ac:dyDescent="0.25">
      <c r="AC1176" s="122" t="s">
        <v>27</v>
      </c>
      <c r="AD1176" s="122" t="s">
        <v>1567</v>
      </c>
      <c r="AE1176" s="127">
        <v>3</v>
      </c>
      <c r="DA1176" s="122" t="s">
        <v>328</v>
      </c>
      <c r="DB1176" s="122" t="s">
        <v>6673</v>
      </c>
      <c r="DC1176" s="122" t="s">
        <v>4116</v>
      </c>
      <c r="DD1176" s="127">
        <v>8</v>
      </c>
      <c r="DE1176" s="127">
        <v>8</v>
      </c>
      <c r="DG1176" s="405" t="s">
        <v>328</v>
      </c>
      <c r="DH1176" s="406" t="s">
        <v>4116</v>
      </c>
      <c r="DI1176" s="406" t="str">
        <f t="shared" si="50"/>
        <v>MA, Cândido Mendes</v>
      </c>
      <c r="DJ1176" s="406">
        <v>-1.4470000000000001</v>
      </c>
      <c r="DK1176" s="80">
        <v>-45.716999999999999</v>
      </c>
      <c r="DL1176" s="80">
        <v>10</v>
      </c>
      <c r="DM1176" s="64">
        <v>8</v>
      </c>
      <c r="DN1176" s="406" t="s">
        <v>6647</v>
      </c>
      <c r="DO1176" s="406">
        <v>-1.66</v>
      </c>
      <c r="DP1176" s="80">
        <v>41</v>
      </c>
    </row>
    <row r="1177" spans="29:120" x14ac:dyDescent="0.25">
      <c r="AC1177" s="122" t="s">
        <v>236</v>
      </c>
      <c r="AD1177" s="122" t="s">
        <v>1568</v>
      </c>
      <c r="AE1177" s="127">
        <v>2</v>
      </c>
      <c r="DA1177" s="122" t="s">
        <v>328</v>
      </c>
      <c r="DB1177" s="122" t="s">
        <v>4665</v>
      </c>
      <c r="DC1177" s="122" t="s">
        <v>4665</v>
      </c>
      <c r="DD1177" s="127">
        <v>8</v>
      </c>
      <c r="DE1177" s="127">
        <v>8</v>
      </c>
      <c r="DG1177" s="405" t="s">
        <v>328</v>
      </c>
      <c r="DH1177" s="406" t="s">
        <v>4665</v>
      </c>
      <c r="DI1177" s="406" t="str">
        <f t="shared" si="50"/>
        <v>MA, Cantanhede</v>
      </c>
      <c r="DJ1177" s="406">
        <v>-3.633</v>
      </c>
      <c r="DK1177" s="80">
        <v>-44.377000000000002</v>
      </c>
      <c r="DL1177" s="80">
        <v>25</v>
      </c>
      <c r="DM1177" s="64">
        <v>8</v>
      </c>
      <c r="DN1177" s="406" t="s">
        <v>6640</v>
      </c>
      <c r="DO1177" s="406">
        <v>-4.24</v>
      </c>
      <c r="DP1177" s="80">
        <v>28</v>
      </c>
    </row>
    <row r="1178" spans="29:120" x14ac:dyDescent="0.25">
      <c r="AC1178" s="122" t="s">
        <v>236</v>
      </c>
      <c r="AD1178" s="122" t="s">
        <v>1569</v>
      </c>
      <c r="AE1178" s="127">
        <v>2</v>
      </c>
      <c r="DA1178" s="122" t="s">
        <v>328</v>
      </c>
      <c r="DB1178" s="122" t="s">
        <v>6674</v>
      </c>
      <c r="DC1178" s="122" t="s">
        <v>4895</v>
      </c>
      <c r="DD1178" s="127">
        <v>8</v>
      </c>
      <c r="DE1178" s="127">
        <v>8</v>
      </c>
      <c r="DG1178" s="405" t="s">
        <v>328</v>
      </c>
      <c r="DH1178" s="406" t="s">
        <v>4895</v>
      </c>
      <c r="DI1178" s="406" t="str">
        <f t="shared" si="50"/>
        <v>MA, Capinzal do Norte</v>
      </c>
      <c r="DJ1178" s="406">
        <v>-4.7279999999999998</v>
      </c>
      <c r="DK1178" s="80">
        <v>-44.326999999999998</v>
      </c>
      <c r="DL1178" s="80">
        <v>132</v>
      </c>
      <c r="DM1178" s="64">
        <v>8</v>
      </c>
      <c r="DN1178" s="406" t="s">
        <v>6640</v>
      </c>
      <c r="DO1178" s="406">
        <v>-4.24</v>
      </c>
      <c r="DP1178" s="80">
        <v>28</v>
      </c>
    </row>
    <row r="1179" spans="29:120" x14ac:dyDescent="0.25">
      <c r="AC1179" s="122" t="s">
        <v>27</v>
      </c>
      <c r="AD1179" s="122" t="s">
        <v>1570</v>
      </c>
      <c r="AE1179" s="127">
        <v>3</v>
      </c>
      <c r="DA1179" s="122" t="s">
        <v>328</v>
      </c>
      <c r="DB1179" s="122" t="s">
        <v>4922</v>
      </c>
      <c r="DC1179" s="122" t="s">
        <v>4922</v>
      </c>
      <c r="DD1179" s="127">
        <v>7</v>
      </c>
      <c r="DE1179" s="127">
        <v>7</v>
      </c>
      <c r="DG1179" s="405" t="s">
        <v>328</v>
      </c>
      <c r="DH1179" s="406" t="s">
        <v>4922</v>
      </c>
      <c r="DI1179" s="406" t="str">
        <f t="shared" si="50"/>
        <v>MA, Carolina</v>
      </c>
      <c r="DJ1179" s="406">
        <v>-7.3330000000000002</v>
      </c>
      <c r="DK1179" s="80">
        <v>-47.469000000000001</v>
      </c>
      <c r="DL1179" s="80">
        <v>167</v>
      </c>
      <c r="DM1179" s="64">
        <v>7</v>
      </c>
      <c r="DN1179" s="406" t="s">
        <v>6675</v>
      </c>
      <c r="DO1179" s="406">
        <v>-7.34</v>
      </c>
      <c r="DP1179" s="80">
        <v>192</v>
      </c>
    </row>
    <row r="1180" spans="29:120" x14ac:dyDescent="0.25">
      <c r="AC1180" s="122" t="s">
        <v>311</v>
      </c>
      <c r="AD1180" s="122" t="s">
        <v>1571</v>
      </c>
      <c r="AE1180" s="127">
        <v>2</v>
      </c>
      <c r="DA1180" s="122" t="s">
        <v>328</v>
      </c>
      <c r="DB1180" s="122" t="s">
        <v>4079</v>
      </c>
      <c r="DC1180" s="122" t="s">
        <v>4079</v>
      </c>
      <c r="DD1180" s="127">
        <v>8</v>
      </c>
      <c r="DE1180" s="127">
        <v>8</v>
      </c>
      <c r="DG1180" s="405" t="s">
        <v>328</v>
      </c>
      <c r="DH1180" s="406" t="s">
        <v>4079</v>
      </c>
      <c r="DI1180" s="406" t="str">
        <f t="shared" si="50"/>
        <v>MA, Carutapera</v>
      </c>
      <c r="DJ1180" s="406">
        <v>-1.1950000000000001</v>
      </c>
      <c r="DK1180" s="80">
        <v>-46.02</v>
      </c>
      <c r="DL1180" s="80">
        <v>26</v>
      </c>
      <c r="DM1180" s="64">
        <v>8</v>
      </c>
      <c r="DN1180" s="406" t="s">
        <v>6661</v>
      </c>
      <c r="DO1180" s="406">
        <v>-1.05</v>
      </c>
      <c r="DP1180" s="80">
        <v>33</v>
      </c>
    </row>
    <row r="1181" spans="29:120" x14ac:dyDescent="0.25">
      <c r="AC1181" s="122" t="s">
        <v>236</v>
      </c>
      <c r="AD1181" s="122" t="s">
        <v>1572</v>
      </c>
      <c r="AE1181" s="127">
        <v>2</v>
      </c>
      <c r="DA1181" s="122" t="s">
        <v>328</v>
      </c>
      <c r="DB1181" s="122" t="s">
        <v>4910</v>
      </c>
      <c r="DC1181" s="122" t="s">
        <v>4910</v>
      </c>
      <c r="DD1181" s="127">
        <v>7</v>
      </c>
      <c r="DE1181" s="127">
        <v>7</v>
      </c>
      <c r="DG1181" s="405" t="s">
        <v>328</v>
      </c>
      <c r="DH1181" s="406" t="s">
        <v>4910</v>
      </c>
      <c r="DI1181" s="406" t="str">
        <f t="shared" si="50"/>
        <v>MA, Caxias</v>
      </c>
      <c r="DJ1181" s="406">
        <v>-4.859</v>
      </c>
      <c r="DK1181" s="80">
        <v>-43.356000000000002</v>
      </c>
      <c r="DL1181" s="80">
        <v>66</v>
      </c>
      <c r="DM1181" s="64">
        <v>7</v>
      </c>
      <c r="DN1181" s="406" t="s">
        <v>6638</v>
      </c>
      <c r="DO1181" s="406">
        <v>-4.82</v>
      </c>
      <c r="DP1181" s="80">
        <v>76</v>
      </c>
    </row>
    <row r="1182" spans="29:120" x14ac:dyDescent="0.25">
      <c r="AC1182" s="122" t="s">
        <v>311</v>
      </c>
      <c r="AD1182" s="122" t="s">
        <v>1573</v>
      </c>
      <c r="AE1182" s="127">
        <v>2</v>
      </c>
      <c r="DA1182" s="122" t="s">
        <v>328</v>
      </c>
      <c r="DB1182" s="122" t="s">
        <v>3762</v>
      </c>
      <c r="DC1182" s="122" t="s">
        <v>3762</v>
      </c>
      <c r="DD1182" s="127">
        <v>8</v>
      </c>
      <c r="DE1182" s="127">
        <v>8</v>
      </c>
      <c r="DG1182" s="405" t="s">
        <v>328</v>
      </c>
      <c r="DH1182" s="406" t="s">
        <v>3762</v>
      </c>
      <c r="DI1182" s="406" t="str">
        <f t="shared" si="50"/>
        <v>MA, Cedral</v>
      </c>
      <c r="DJ1182" s="406">
        <v>-2</v>
      </c>
      <c r="DK1182" s="80">
        <v>-44.536000000000001</v>
      </c>
      <c r="DL1182" s="80">
        <v>30</v>
      </c>
      <c r="DM1182" s="64">
        <v>8</v>
      </c>
      <c r="DN1182" s="406" t="s">
        <v>6636</v>
      </c>
      <c r="DO1182" s="406">
        <v>-2.5299999999999998</v>
      </c>
      <c r="DP1182" s="80">
        <v>56</v>
      </c>
    </row>
    <row r="1183" spans="29:120" x14ac:dyDescent="0.25">
      <c r="AC1183" s="122" t="s">
        <v>311</v>
      </c>
      <c r="AD1183" s="122" t="s">
        <v>1574</v>
      </c>
      <c r="AE1183" s="127">
        <v>2</v>
      </c>
      <c r="DA1183" s="122" t="s">
        <v>328</v>
      </c>
      <c r="DB1183" s="122" t="s">
        <v>6676</v>
      </c>
      <c r="DC1183" s="122" t="s">
        <v>4249</v>
      </c>
      <c r="DD1183" s="127">
        <v>8</v>
      </c>
      <c r="DE1183" s="127">
        <v>8</v>
      </c>
      <c r="DG1183" s="405" t="s">
        <v>328</v>
      </c>
      <c r="DH1183" s="406" t="s">
        <v>4249</v>
      </c>
      <c r="DI1183" s="406" t="str">
        <f t="shared" si="50"/>
        <v>MA, Central do Maranhão</v>
      </c>
      <c r="DJ1183" s="406">
        <v>-2.1989999999999998</v>
      </c>
      <c r="DK1183" s="80">
        <v>-44.826000000000001</v>
      </c>
      <c r="DL1183" s="80">
        <v>45</v>
      </c>
      <c r="DM1183" s="64">
        <v>8</v>
      </c>
      <c r="DN1183" s="406" t="s">
        <v>6636</v>
      </c>
      <c r="DO1183" s="406">
        <v>-2.5299999999999998</v>
      </c>
      <c r="DP1183" s="80">
        <v>56</v>
      </c>
    </row>
    <row r="1184" spans="29:120" x14ac:dyDescent="0.25">
      <c r="AC1184" s="122" t="s">
        <v>27</v>
      </c>
      <c r="AD1184" s="122" t="s">
        <v>1575</v>
      </c>
      <c r="AE1184" s="127">
        <v>2</v>
      </c>
      <c r="DA1184" s="122" t="s">
        <v>328</v>
      </c>
      <c r="DB1184" s="122" t="s">
        <v>6677</v>
      </c>
      <c r="DC1184" s="122" t="s">
        <v>4321</v>
      </c>
      <c r="DD1184" s="127">
        <v>8</v>
      </c>
      <c r="DE1184" s="127">
        <v>8</v>
      </c>
      <c r="DG1184" s="405" t="s">
        <v>328</v>
      </c>
      <c r="DH1184" s="406" t="s">
        <v>4321</v>
      </c>
      <c r="DI1184" s="406" t="str">
        <f t="shared" si="50"/>
        <v>MA, Centro do Guilherme</v>
      </c>
      <c r="DJ1184" s="406">
        <v>-2.3690000000000002</v>
      </c>
      <c r="DK1184" s="80">
        <v>-46.002000000000002</v>
      </c>
      <c r="DL1184" s="80">
        <v>41</v>
      </c>
      <c r="DM1184" s="64">
        <v>8</v>
      </c>
      <c r="DN1184" s="406" t="s">
        <v>6647</v>
      </c>
      <c r="DO1184" s="406">
        <v>-1.66</v>
      </c>
      <c r="DP1184" s="80">
        <v>41</v>
      </c>
    </row>
    <row r="1185" spans="29:120" x14ac:dyDescent="0.25">
      <c r="AC1185" s="122" t="s">
        <v>236</v>
      </c>
      <c r="AD1185" s="122" t="s">
        <v>1576</v>
      </c>
      <c r="AE1185" s="127">
        <v>2</v>
      </c>
      <c r="DA1185" s="122" t="s">
        <v>328</v>
      </c>
      <c r="DB1185" s="122" t="s">
        <v>6678</v>
      </c>
      <c r="DC1185" s="122" t="s">
        <v>4279</v>
      </c>
      <c r="DD1185" s="127">
        <v>8</v>
      </c>
      <c r="DE1185" s="127">
        <v>8</v>
      </c>
      <c r="DG1185" s="405" t="s">
        <v>328</v>
      </c>
      <c r="DH1185" s="406" t="s">
        <v>4279</v>
      </c>
      <c r="DI1185" s="406" t="str">
        <f t="shared" si="50"/>
        <v>MA, Centro Novo do Maranhão</v>
      </c>
      <c r="DJ1185" s="406">
        <v>-2.1070000000000002</v>
      </c>
      <c r="DK1185" s="80">
        <v>-46.128</v>
      </c>
      <c r="DL1185" s="80">
        <v>73</v>
      </c>
      <c r="DM1185" s="64">
        <v>8</v>
      </c>
      <c r="DN1185" s="406" t="s">
        <v>6647</v>
      </c>
      <c r="DO1185" s="406">
        <v>-1.66</v>
      </c>
      <c r="DP1185" s="80">
        <v>41</v>
      </c>
    </row>
    <row r="1186" spans="29:120" x14ac:dyDescent="0.25">
      <c r="AC1186" s="122" t="s">
        <v>236</v>
      </c>
      <c r="AD1186" s="122" t="s">
        <v>1577</v>
      </c>
      <c r="AE1186" s="127">
        <v>2</v>
      </c>
      <c r="DA1186" s="122" t="s">
        <v>328</v>
      </c>
      <c r="DB1186" s="122" t="s">
        <v>5303</v>
      </c>
      <c r="DC1186" s="122" t="s">
        <v>5303</v>
      </c>
      <c r="DD1186" s="127">
        <v>8</v>
      </c>
      <c r="DE1186" s="127">
        <v>8</v>
      </c>
      <c r="DG1186" s="405" t="s">
        <v>328</v>
      </c>
      <c r="DH1186" s="406" t="s">
        <v>5303</v>
      </c>
      <c r="DI1186" s="406" t="str">
        <f t="shared" si="50"/>
        <v>MA, Chapadinha</v>
      </c>
      <c r="DJ1186" s="406">
        <v>-3.742</v>
      </c>
      <c r="DK1186" s="80">
        <v>-43.36</v>
      </c>
      <c r="DL1186" s="80">
        <v>105</v>
      </c>
      <c r="DM1186" s="64">
        <v>8</v>
      </c>
      <c r="DN1186" s="406" t="s">
        <v>6634</v>
      </c>
      <c r="DO1186" s="406">
        <v>-3.74</v>
      </c>
      <c r="DP1186" s="80">
        <v>91</v>
      </c>
    </row>
    <row r="1187" spans="29:120" x14ac:dyDescent="0.25">
      <c r="AC1187" s="122" t="s">
        <v>236</v>
      </c>
      <c r="AD1187" s="122" t="s">
        <v>1578</v>
      </c>
      <c r="AE1187" s="127">
        <v>2</v>
      </c>
      <c r="DA1187" s="122" t="s">
        <v>328</v>
      </c>
      <c r="DB1187" s="122" t="s">
        <v>4790</v>
      </c>
      <c r="DC1187" s="122" t="s">
        <v>4790</v>
      </c>
      <c r="DD1187" s="127">
        <v>8</v>
      </c>
      <c r="DE1187" s="127">
        <v>8</v>
      </c>
      <c r="DG1187" s="405" t="s">
        <v>328</v>
      </c>
      <c r="DH1187" s="406" t="s">
        <v>4790</v>
      </c>
      <c r="DI1187" s="406" t="str">
        <f t="shared" si="50"/>
        <v>MA, Cidelândia</v>
      </c>
      <c r="DJ1187" s="406">
        <v>-5.1740000000000004</v>
      </c>
      <c r="DK1187" s="80">
        <v>-47.781999999999996</v>
      </c>
      <c r="DL1187" s="80">
        <v>241</v>
      </c>
      <c r="DM1187" s="64">
        <v>8</v>
      </c>
      <c r="DN1187" s="406" t="s">
        <v>6632</v>
      </c>
      <c r="DO1187" s="406">
        <v>-4.78</v>
      </c>
      <c r="DP1187" s="80">
        <v>221</v>
      </c>
    </row>
    <row r="1188" spans="29:120" x14ac:dyDescent="0.25">
      <c r="AC1188" s="122" t="s">
        <v>236</v>
      </c>
      <c r="AD1188" s="122" t="s">
        <v>1579</v>
      </c>
      <c r="AE1188" s="127">
        <v>2</v>
      </c>
      <c r="DA1188" s="122" t="s">
        <v>328</v>
      </c>
      <c r="DB1188" s="122" t="s">
        <v>4866</v>
      </c>
      <c r="DC1188" s="122" t="s">
        <v>4866</v>
      </c>
      <c r="DD1188" s="127">
        <v>8</v>
      </c>
      <c r="DE1188" s="127">
        <v>8</v>
      </c>
      <c r="DG1188" s="405" t="s">
        <v>328</v>
      </c>
      <c r="DH1188" s="406" t="s">
        <v>4866</v>
      </c>
      <c r="DI1188" s="406" t="str">
        <f t="shared" si="50"/>
        <v>MA, Codó</v>
      </c>
      <c r="DJ1188" s="406">
        <v>-4.4550000000000001</v>
      </c>
      <c r="DK1188" s="80">
        <v>-43.886000000000003</v>
      </c>
      <c r="DL1188" s="80">
        <v>47</v>
      </c>
      <c r="DM1188" s="64">
        <v>8</v>
      </c>
      <c r="DN1188" s="406" t="s">
        <v>6638</v>
      </c>
      <c r="DO1188" s="406">
        <v>-4.82</v>
      </c>
      <c r="DP1188" s="80">
        <v>76</v>
      </c>
    </row>
    <row r="1189" spans="29:120" x14ac:dyDescent="0.25">
      <c r="AC1189" s="122" t="s">
        <v>236</v>
      </c>
      <c r="AD1189" s="122" t="s">
        <v>1580</v>
      </c>
      <c r="AE1189" s="127">
        <v>2</v>
      </c>
      <c r="DA1189" s="122" t="s">
        <v>328</v>
      </c>
      <c r="DB1189" s="122" t="s">
        <v>6679</v>
      </c>
      <c r="DC1189" s="122" t="s">
        <v>5569</v>
      </c>
      <c r="DD1189" s="127">
        <v>8</v>
      </c>
      <c r="DE1189" s="127">
        <v>8</v>
      </c>
      <c r="DG1189" s="405" t="s">
        <v>328</v>
      </c>
      <c r="DH1189" s="406" t="s">
        <v>5569</v>
      </c>
      <c r="DI1189" s="406" t="str">
        <f t="shared" si="50"/>
        <v>MA, Coelho Neto</v>
      </c>
      <c r="DJ1189" s="406">
        <v>-4.2569999999999997</v>
      </c>
      <c r="DK1189" s="80">
        <v>-43.012999999999998</v>
      </c>
      <c r="DL1189" s="80">
        <v>81</v>
      </c>
      <c r="DM1189" s="64">
        <v>8</v>
      </c>
      <c r="DN1189" s="406" t="s">
        <v>6634</v>
      </c>
      <c r="DO1189" s="406">
        <v>-3.74</v>
      </c>
      <c r="DP1189" s="80">
        <v>91</v>
      </c>
    </row>
    <row r="1190" spans="29:120" x14ac:dyDescent="0.25">
      <c r="AC1190" s="122" t="s">
        <v>236</v>
      </c>
      <c r="AD1190" s="122" t="s">
        <v>1581</v>
      </c>
      <c r="AE1190" s="127">
        <v>2</v>
      </c>
      <c r="DA1190" s="122" t="s">
        <v>328</v>
      </c>
      <c r="DB1190" s="122" t="s">
        <v>1438</v>
      </c>
      <c r="DC1190" s="122" t="s">
        <v>1438</v>
      </c>
      <c r="DD1190" s="127">
        <v>7</v>
      </c>
      <c r="DE1190" s="127">
        <v>7</v>
      </c>
      <c r="DG1190" s="405" t="s">
        <v>328</v>
      </c>
      <c r="DH1190" s="406" t="s">
        <v>1438</v>
      </c>
      <c r="DI1190" s="406" t="str">
        <f t="shared" si="50"/>
        <v>MA, Colinas</v>
      </c>
      <c r="DJ1190" s="406">
        <v>-6.0259999999999998</v>
      </c>
      <c r="DK1190" s="80">
        <v>-44.249000000000002</v>
      </c>
      <c r="DL1190" s="80">
        <v>141</v>
      </c>
      <c r="DM1190" s="64">
        <v>7</v>
      </c>
      <c r="DN1190" s="406" t="s">
        <v>6668</v>
      </c>
      <c r="DO1190" s="406">
        <v>-6.03</v>
      </c>
      <c r="DP1190" s="80">
        <v>179</v>
      </c>
    </row>
    <row r="1191" spans="29:120" x14ac:dyDescent="0.25">
      <c r="AC1191" s="122" t="s">
        <v>27</v>
      </c>
      <c r="AD1191" s="122" t="s">
        <v>1582</v>
      </c>
      <c r="AE1191" s="127">
        <v>2</v>
      </c>
      <c r="DA1191" s="122" t="s">
        <v>328</v>
      </c>
      <c r="DB1191" s="122" t="s">
        <v>6680</v>
      </c>
      <c r="DC1191" s="122" t="s">
        <v>4757</v>
      </c>
      <c r="DD1191" s="127">
        <v>8</v>
      </c>
      <c r="DE1191" s="127">
        <v>8</v>
      </c>
      <c r="DG1191" s="405" t="s">
        <v>328</v>
      </c>
      <c r="DH1191" s="406" t="s">
        <v>4757</v>
      </c>
      <c r="DI1191" s="406" t="str">
        <f t="shared" si="50"/>
        <v>MA, Conceição do Lago-Açu</v>
      </c>
      <c r="DJ1191" s="406">
        <v>-3.8340000000000001</v>
      </c>
      <c r="DK1191" s="80">
        <v>-44.893000000000001</v>
      </c>
      <c r="DL1191" s="80">
        <v>21</v>
      </c>
      <c r="DM1191" s="64">
        <v>8</v>
      </c>
      <c r="DN1191" s="406" t="s">
        <v>6640</v>
      </c>
      <c r="DO1191" s="406">
        <v>-4.24</v>
      </c>
      <c r="DP1191" s="80">
        <v>28</v>
      </c>
    </row>
    <row r="1192" spans="29:120" x14ac:dyDescent="0.25">
      <c r="AC1192" s="122" t="s">
        <v>27</v>
      </c>
      <c r="AD1192" s="122" t="s">
        <v>1583</v>
      </c>
      <c r="AE1192" s="127">
        <v>2</v>
      </c>
      <c r="DA1192" s="122" t="s">
        <v>328</v>
      </c>
      <c r="DB1192" s="122" t="s">
        <v>4826</v>
      </c>
      <c r="DC1192" s="122" t="s">
        <v>4826</v>
      </c>
      <c r="DD1192" s="127">
        <v>8</v>
      </c>
      <c r="DE1192" s="127">
        <v>8</v>
      </c>
      <c r="DG1192" s="405" t="s">
        <v>328</v>
      </c>
      <c r="DH1192" s="406" t="s">
        <v>4826</v>
      </c>
      <c r="DI1192" s="406" t="str">
        <f t="shared" si="50"/>
        <v>MA, Coroatá</v>
      </c>
      <c r="DJ1192" s="406">
        <v>-4.13</v>
      </c>
      <c r="DK1192" s="80">
        <v>-44.124000000000002</v>
      </c>
      <c r="DL1192" s="80">
        <v>35</v>
      </c>
      <c r="DM1192" s="64">
        <v>8</v>
      </c>
      <c r="DN1192" s="406" t="s">
        <v>6640</v>
      </c>
      <c r="DO1192" s="406">
        <v>-4.24</v>
      </c>
      <c r="DP1192" s="80">
        <v>28</v>
      </c>
    </row>
    <row r="1193" spans="29:120" x14ac:dyDescent="0.25">
      <c r="AC1193" s="122" t="s">
        <v>236</v>
      </c>
      <c r="AD1193" s="122" t="s">
        <v>1584</v>
      </c>
      <c r="AE1193" s="127">
        <v>2</v>
      </c>
      <c r="DA1193" s="122" t="s">
        <v>328</v>
      </c>
      <c r="DB1193" s="122" t="s">
        <v>4141</v>
      </c>
      <c r="DC1193" s="122" t="s">
        <v>4141</v>
      </c>
      <c r="DD1193" s="127">
        <v>8</v>
      </c>
      <c r="DE1193" s="127">
        <v>8</v>
      </c>
      <c r="DG1193" s="405" t="s">
        <v>328</v>
      </c>
      <c r="DH1193" s="406" t="s">
        <v>4141</v>
      </c>
      <c r="DI1193" s="406" t="str">
        <f t="shared" si="50"/>
        <v>MA, Cururupu</v>
      </c>
      <c r="DJ1193" s="406">
        <v>-1.8280000000000001</v>
      </c>
      <c r="DK1193" s="80">
        <v>-44.868000000000002</v>
      </c>
      <c r="DL1193" s="80">
        <v>12</v>
      </c>
      <c r="DM1193" s="64">
        <v>8</v>
      </c>
      <c r="DN1193" s="406" t="s">
        <v>6647</v>
      </c>
      <c r="DO1193" s="406">
        <v>-1.66</v>
      </c>
      <c r="DP1193" s="80">
        <v>41</v>
      </c>
    </row>
    <row r="1194" spans="29:120" x14ac:dyDescent="0.25">
      <c r="AC1194" s="122" t="s">
        <v>311</v>
      </c>
      <c r="AD1194" s="122" t="s">
        <v>1585</v>
      </c>
      <c r="AE1194" s="127">
        <v>2</v>
      </c>
      <c r="DA1194" s="122" t="s">
        <v>328</v>
      </c>
      <c r="DB1194" s="122" t="s">
        <v>2581</v>
      </c>
      <c r="DC1194" s="122" t="s">
        <v>2581</v>
      </c>
      <c r="DD1194" s="127">
        <v>8</v>
      </c>
      <c r="DE1194" s="127">
        <v>8</v>
      </c>
      <c r="DG1194" s="405" t="s">
        <v>328</v>
      </c>
      <c r="DH1194" s="406" t="s">
        <v>2581</v>
      </c>
      <c r="DI1194" s="406" t="str">
        <f t="shared" si="50"/>
        <v>MA, Davinópolis</v>
      </c>
      <c r="DJ1194" s="406">
        <v>-5.5579999999999998</v>
      </c>
      <c r="DK1194" s="80">
        <v>-47.426000000000002</v>
      </c>
      <c r="DL1194" s="80">
        <v>180</v>
      </c>
      <c r="DM1194" s="64">
        <v>8</v>
      </c>
      <c r="DN1194" s="406" t="s">
        <v>6669</v>
      </c>
      <c r="DO1194" s="406">
        <v>-5.56</v>
      </c>
      <c r="DP1194" s="80">
        <v>126</v>
      </c>
    </row>
    <row r="1195" spans="29:120" x14ac:dyDescent="0.25">
      <c r="AC1195" s="122" t="s">
        <v>236</v>
      </c>
      <c r="AD1195" s="122" t="s">
        <v>1586</v>
      </c>
      <c r="AE1195" s="127">
        <v>2</v>
      </c>
      <c r="DA1195" s="122" t="s">
        <v>328</v>
      </c>
      <c r="DB1195" s="122" t="s">
        <v>6681</v>
      </c>
      <c r="DC1195" s="122" t="s">
        <v>4923</v>
      </c>
      <c r="DD1195" s="127">
        <v>8</v>
      </c>
      <c r="DE1195" s="127">
        <v>8</v>
      </c>
      <c r="DG1195" s="405" t="s">
        <v>328</v>
      </c>
      <c r="DH1195" s="406" t="s">
        <v>4923</v>
      </c>
      <c r="DI1195" s="406" t="str">
        <f t="shared" si="50"/>
        <v>MA, Dom Pedro</v>
      </c>
      <c r="DJ1195" s="406">
        <v>-5.0330000000000004</v>
      </c>
      <c r="DK1195" s="80">
        <v>-44.436</v>
      </c>
      <c r="DL1195" s="80">
        <v>142</v>
      </c>
      <c r="DM1195" s="64">
        <v>8</v>
      </c>
      <c r="DN1195" s="406" t="s">
        <v>6640</v>
      </c>
      <c r="DO1195" s="406">
        <v>-4.24</v>
      </c>
      <c r="DP1195" s="80">
        <v>28</v>
      </c>
    </row>
    <row r="1196" spans="29:120" x14ac:dyDescent="0.25">
      <c r="AC1196" s="122" t="s">
        <v>236</v>
      </c>
      <c r="AD1196" s="122" t="s">
        <v>1587</v>
      </c>
      <c r="AE1196" s="127">
        <v>2</v>
      </c>
      <c r="DA1196" s="122" t="s">
        <v>328</v>
      </c>
      <c r="DB1196" s="122" t="s">
        <v>6682</v>
      </c>
      <c r="DC1196" s="122" t="s">
        <v>5565</v>
      </c>
      <c r="DD1196" s="127">
        <v>8</v>
      </c>
      <c r="DE1196" s="127">
        <v>8</v>
      </c>
      <c r="DG1196" s="405" t="s">
        <v>328</v>
      </c>
      <c r="DH1196" s="406" t="s">
        <v>5565</v>
      </c>
      <c r="DI1196" s="406" t="str">
        <f t="shared" si="50"/>
        <v>MA, Duque Bacelar</v>
      </c>
      <c r="DJ1196" s="406">
        <v>-4.1559999999999997</v>
      </c>
      <c r="DK1196" s="80">
        <v>-42.944000000000003</v>
      </c>
      <c r="DL1196" s="80">
        <v>74</v>
      </c>
      <c r="DM1196" s="64">
        <v>8</v>
      </c>
      <c r="DN1196" s="406" t="s">
        <v>6634</v>
      </c>
      <c r="DO1196" s="406">
        <v>-3.74</v>
      </c>
      <c r="DP1196" s="80">
        <v>91</v>
      </c>
    </row>
    <row r="1197" spans="29:120" x14ac:dyDescent="0.25">
      <c r="AC1197" s="122" t="s">
        <v>27</v>
      </c>
      <c r="AD1197" s="122" t="s">
        <v>1588</v>
      </c>
      <c r="AE1197" s="127">
        <v>2</v>
      </c>
      <c r="DA1197" s="122" t="s">
        <v>328</v>
      </c>
      <c r="DB1197" s="122" t="s">
        <v>4880</v>
      </c>
      <c r="DC1197" s="122" t="s">
        <v>4880</v>
      </c>
      <c r="DD1197" s="127">
        <v>8</v>
      </c>
      <c r="DE1197" s="127">
        <v>8</v>
      </c>
      <c r="DG1197" s="405" t="s">
        <v>328</v>
      </c>
      <c r="DH1197" s="406" t="s">
        <v>4880</v>
      </c>
      <c r="DI1197" s="406" t="str">
        <f t="shared" si="50"/>
        <v>MA, Esperantinópolis</v>
      </c>
      <c r="DJ1197" s="406">
        <v>-4.883</v>
      </c>
      <c r="DK1197" s="80">
        <v>-44.688000000000002</v>
      </c>
      <c r="DL1197" s="80">
        <v>90</v>
      </c>
      <c r="DM1197" s="64">
        <v>8</v>
      </c>
      <c r="DN1197" s="406" t="s">
        <v>6640</v>
      </c>
      <c r="DO1197" s="406">
        <v>-4.24</v>
      </c>
      <c r="DP1197" s="80">
        <v>28</v>
      </c>
    </row>
    <row r="1198" spans="29:120" x14ac:dyDescent="0.25">
      <c r="AC1198" s="122" t="s">
        <v>236</v>
      </c>
      <c r="AD1198" s="122" t="s">
        <v>1589</v>
      </c>
      <c r="AE1198" s="127">
        <v>2</v>
      </c>
      <c r="DA1198" s="122" t="s">
        <v>328</v>
      </c>
      <c r="DB1198" s="122" t="s">
        <v>5000</v>
      </c>
      <c r="DC1198" s="122" t="s">
        <v>5000</v>
      </c>
      <c r="DD1198" s="127">
        <v>7</v>
      </c>
      <c r="DE1198" s="127">
        <v>7</v>
      </c>
      <c r="DG1198" s="405" t="s">
        <v>328</v>
      </c>
      <c r="DH1198" s="406" t="s">
        <v>5000</v>
      </c>
      <c r="DI1198" s="406" t="str">
        <f t="shared" si="50"/>
        <v>MA, Estreito</v>
      </c>
      <c r="DJ1198" s="406">
        <v>-6.5609999999999999</v>
      </c>
      <c r="DK1198" s="80">
        <v>-47.451000000000001</v>
      </c>
      <c r="DL1198" s="80">
        <v>153</v>
      </c>
      <c r="DM1198" s="64">
        <v>7</v>
      </c>
      <c r="DN1198" s="406" t="s">
        <v>6672</v>
      </c>
      <c r="DO1198" s="406">
        <v>-6.65</v>
      </c>
      <c r="DP1198" s="80">
        <v>180</v>
      </c>
    </row>
    <row r="1199" spans="29:120" x14ac:dyDescent="0.25">
      <c r="AC1199" s="122" t="s">
        <v>27</v>
      </c>
      <c r="AD1199" s="122" t="s">
        <v>1590</v>
      </c>
      <c r="AE1199" s="127">
        <v>2</v>
      </c>
      <c r="DA1199" s="122" t="s">
        <v>328</v>
      </c>
      <c r="DB1199" s="122" t="s">
        <v>6683</v>
      </c>
      <c r="DC1199" s="122" t="s">
        <v>4952</v>
      </c>
      <c r="DD1199" s="127">
        <v>7</v>
      </c>
      <c r="DE1199" s="127">
        <v>7</v>
      </c>
      <c r="DG1199" s="405" t="s">
        <v>328</v>
      </c>
      <c r="DH1199" s="406" t="s">
        <v>4952</v>
      </c>
      <c r="DI1199" s="406" t="str">
        <f t="shared" si="50"/>
        <v>MA, Feira Nova do Maranhão</v>
      </c>
      <c r="DJ1199" s="406">
        <v>-6.96</v>
      </c>
      <c r="DK1199" s="80">
        <v>-46.686</v>
      </c>
      <c r="DL1199" s="80">
        <v>331</v>
      </c>
      <c r="DM1199" s="64">
        <v>7</v>
      </c>
      <c r="DN1199" s="406" t="s">
        <v>6650</v>
      </c>
      <c r="DO1199" s="406">
        <v>-7.46</v>
      </c>
      <c r="DP1199" s="80">
        <v>254</v>
      </c>
    </row>
    <row r="1200" spans="29:120" x14ac:dyDescent="0.25">
      <c r="AC1200" s="122" t="s">
        <v>236</v>
      </c>
      <c r="AD1200" s="122" t="s">
        <v>1591</v>
      </c>
      <c r="AE1200" s="127">
        <v>2</v>
      </c>
      <c r="DA1200" s="122" t="s">
        <v>328</v>
      </c>
      <c r="DB1200" s="122" t="s">
        <v>6684</v>
      </c>
      <c r="DC1200" s="122" t="s">
        <v>4810</v>
      </c>
      <c r="DD1200" s="127">
        <v>7</v>
      </c>
      <c r="DE1200" s="127">
        <v>7</v>
      </c>
      <c r="DG1200" s="405" t="s">
        <v>328</v>
      </c>
      <c r="DH1200" s="406" t="s">
        <v>4810</v>
      </c>
      <c r="DI1200" s="406" t="str">
        <f t="shared" si="50"/>
        <v>MA, Fernando Falcão</v>
      </c>
      <c r="DJ1200" s="406">
        <v>-6.1520000000000001</v>
      </c>
      <c r="DK1200" s="80">
        <v>-44.893000000000001</v>
      </c>
      <c r="DL1200" s="80">
        <v>210</v>
      </c>
      <c r="DM1200" s="64">
        <v>7</v>
      </c>
      <c r="DN1200" s="406" t="s">
        <v>6668</v>
      </c>
      <c r="DO1200" s="406">
        <v>-6.03</v>
      </c>
      <c r="DP1200" s="80">
        <v>179</v>
      </c>
    </row>
    <row r="1201" spans="29:120" x14ac:dyDescent="0.25">
      <c r="AC1201" s="122" t="s">
        <v>236</v>
      </c>
      <c r="AD1201" s="122" t="s">
        <v>1592</v>
      </c>
      <c r="AE1201" s="127">
        <v>2</v>
      </c>
      <c r="DA1201" s="122" t="s">
        <v>328</v>
      </c>
      <c r="DB1201" s="122" t="s">
        <v>6685</v>
      </c>
      <c r="DC1201" s="122" t="s">
        <v>4884</v>
      </c>
      <c r="DD1201" s="127">
        <v>7</v>
      </c>
      <c r="DE1201" s="127">
        <v>7</v>
      </c>
      <c r="DG1201" s="405" t="s">
        <v>328</v>
      </c>
      <c r="DH1201" s="406" t="s">
        <v>4884</v>
      </c>
      <c r="DI1201" s="406" t="str">
        <f t="shared" si="50"/>
        <v>MA, Formosa da Serra Negra</v>
      </c>
      <c r="DJ1201" s="406">
        <v>-6.4349999999999996</v>
      </c>
      <c r="DK1201" s="80">
        <v>-46.191000000000003</v>
      </c>
      <c r="DL1201" s="80">
        <v>288</v>
      </c>
      <c r="DM1201" s="64">
        <v>7</v>
      </c>
      <c r="DN1201" s="406" t="s">
        <v>6649</v>
      </c>
      <c r="DO1201" s="406">
        <v>-5.82</v>
      </c>
      <c r="DP1201" s="80">
        <v>230</v>
      </c>
    </row>
    <row r="1202" spans="29:120" x14ac:dyDescent="0.25">
      <c r="AC1202" s="122" t="s">
        <v>236</v>
      </c>
      <c r="AD1202" s="122" t="s">
        <v>1593</v>
      </c>
      <c r="AE1202" s="127">
        <v>2</v>
      </c>
      <c r="DA1202" s="122" t="s">
        <v>328</v>
      </c>
      <c r="DB1202" s="122" t="s">
        <v>6686</v>
      </c>
      <c r="DC1202" s="122" t="s">
        <v>4907</v>
      </c>
      <c r="DD1202" s="127">
        <v>7</v>
      </c>
      <c r="DE1202" s="127">
        <v>7</v>
      </c>
      <c r="DG1202" s="405" t="s">
        <v>328</v>
      </c>
      <c r="DH1202" s="406" t="s">
        <v>4907</v>
      </c>
      <c r="DI1202" s="406" t="str">
        <f t="shared" si="50"/>
        <v>MA, Fortaleza dos Nogueiras</v>
      </c>
      <c r="DJ1202" s="406">
        <v>-6.9640000000000004</v>
      </c>
      <c r="DK1202" s="80">
        <v>-46.177</v>
      </c>
      <c r="DL1202" s="80">
        <v>430</v>
      </c>
      <c r="DM1202" s="64">
        <v>7</v>
      </c>
      <c r="DN1202" s="406" t="s">
        <v>6650</v>
      </c>
      <c r="DO1202" s="406">
        <v>-7.46</v>
      </c>
      <c r="DP1202" s="80">
        <v>254</v>
      </c>
    </row>
    <row r="1203" spans="29:120" x14ac:dyDescent="0.25">
      <c r="AC1203" s="122" t="s">
        <v>236</v>
      </c>
      <c r="AD1203" s="122" t="s">
        <v>1594</v>
      </c>
      <c r="AE1203" s="127">
        <v>2</v>
      </c>
      <c r="DA1203" s="122" t="s">
        <v>328</v>
      </c>
      <c r="DB1203" s="122" t="s">
        <v>4965</v>
      </c>
      <c r="DC1203" s="122" t="s">
        <v>4965</v>
      </c>
      <c r="DD1203" s="127">
        <v>7</v>
      </c>
      <c r="DE1203" s="127">
        <v>7</v>
      </c>
      <c r="DG1203" s="405" t="s">
        <v>328</v>
      </c>
      <c r="DH1203" s="406" t="s">
        <v>4965</v>
      </c>
      <c r="DI1203" s="406" t="str">
        <f t="shared" si="50"/>
        <v>MA, Fortuna</v>
      </c>
      <c r="DJ1203" s="406">
        <v>-5.7329999999999997</v>
      </c>
      <c r="DK1203" s="80">
        <v>-44.158000000000001</v>
      </c>
      <c r="DL1203" s="80">
        <v>215</v>
      </c>
      <c r="DM1203" s="64">
        <v>7</v>
      </c>
      <c r="DN1203" s="406" t="s">
        <v>6668</v>
      </c>
      <c r="DO1203" s="406">
        <v>-6.03</v>
      </c>
      <c r="DP1203" s="80">
        <v>179</v>
      </c>
    </row>
    <row r="1204" spans="29:120" x14ac:dyDescent="0.25">
      <c r="AC1204" s="122" t="s">
        <v>236</v>
      </c>
      <c r="AD1204" s="122" t="s">
        <v>1595</v>
      </c>
      <c r="AE1204" s="127">
        <v>2</v>
      </c>
      <c r="DA1204" s="122" t="s">
        <v>328</v>
      </c>
      <c r="DB1204" s="122" t="s">
        <v>6687</v>
      </c>
      <c r="DC1204" s="122" t="s">
        <v>4104</v>
      </c>
      <c r="DD1204" s="127">
        <v>8</v>
      </c>
      <c r="DE1204" s="127">
        <v>8</v>
      </c>
      <c r="DG1204" s="405" t="s">
        <v>328</v>
      </c>
      <c r="DH1204" s="406" t="s">
        <v>4104</v>
      </c>
      <c r="DI1204" s="406" t="str">
        <f t="shared" si="50"/>
        <v>MA, Godofredo Viana</v>
      </c>
      <c r="DJ1204" s="406">
        <v>-1.403</v>
      </c>
      <c r="DK1204" s="80">
        <v>-45.78</v>
      </c>
      <c r="DL1204" s="80">
        <v>10</v>
      </c>
      <c r="DM1204" s="64">
        <v>8</v>
      </c>
      <c r="DN1204" s="406" t="s">
        <v>6647</v>
      </c>
      <c r="DO1204" s="406">
        <v>-1.66</v>
      </c>
      <c r="DP1204" s="80">
        <v>41</v>
      </c>
    </row>
    <row r="1205" spans="29:120" x14ac:dyDescent="0.25">
      <c r="AC1205" s="122" t="s">
        <v>27</v>
      </c>
      <c r="AD1205" s="122" t="s">
        <v>1596</v>
      </c>
      <c r="AE1205" s="127">
        <v>2</v>
      </c>
      <c r="DA1205" s="122" t="s">
        <v>328</v>
      </c>
      <c r="DB1205" s="122" t="s">
        <v>6688</v>
      </c>
      <c r="DC1205" s="122" t="s">
        <v>4946</v>
      </c>
      <c r="DD1205" s="127">
        <v>8</v>
      </c>
      <c r="DE1205" s="127">
        <v>8</v>
      </c>
      <c r="DG1205" s="405" t="s">
        <v>328</v>
      </c>
      <c r="DH1205" s="406" t="s">
        <v>4946</v>
      </c>
      <c r="DI1205" s="406" t="str">
        <f t="shared" si="50"/>
        <v>MA, Gonçalves Dias</v>
      </c>
      <c r="DJ1205" s="406">
        <v>-5.1509999999999998</v>
      </c>
      <c r="DK1205" s="80">
        <v>-44.298999999999999</v>
      </c>
      <c r="DL1205" s="80">
        <v>140</v>
      </c>
      <c r="DM1205" s="64">
        <v>8</v>
      </c>
      <c r="DN1205" s="406" t="s">
        <v>6668</v>
      </c>
      <c r="DO1205" s="406">
        <v>-6.03</v>
      </c>
      <c r="DP1205" s="80">
        <v>179</v>
      </c>
    </row>
    <row r="1206" spans="29:120" x14ac:dyDescent="0.25">
      <c r="AC1206" s="122" t="s">
        <v>236</v>
      </c>
      <c r="AD1206" s="122" t="s">
        <v>1597</v>
      </c>
      <c r="AE1206" s="127">
        <v>2</v>
      </c>
      <c r="DA1206" s="122" t="s">
        <v>328</v>
      </c>
      <c r="DB1206" s="122" t="s">
        <v>6689</v>
      </c>
      <c r="DC1206" s="122" t="s">
        <v>4929</v>
      </c>
      <c r="DD1206" s="127">
        <v>8</v>
      </c>
      <c r="DE1206" s="127">
        <v>8</v>
      </c>
      <c r="DG1206" s="405" t="s">
        <v>328</v>
      </c>
      <c r="DH1206" s="406" t="s">
        <v>4929</v>
      </c>
      <c r="DI1206" s="406" t="str">
        <f t="shared" si="50"/>
        <v>MA, Governador Archer</v>
      </c>
      <c r="DJ1206" s="406">
        <v>-5.0220000000000002</v>
      </c>
      <c r="DK1206" s="80">
        <v>-44.271000000000001</v>
      </c>
      <c r="DL1206" s="80">
        <v>145</v>
      </c>
      <c r="DM1206" s="64">
        <v>8</v>
      </c>
      <c r="DN1206" s="406" t="s">
        <v>6640</v>
      </c>
      <c r="DO1206" s="406">
        <v>-4.24</v>
      </c>
      <c r="DP1206" s="80">
        <v>28</v>
      </c>
    </row>
    <row r="1207" spans="29:120" x14ac:dyDescent="0.25">
      <c r="AC1207" s="122" t="s">
        <v>236</v>
      </c>
      <c r="AD1207" s="122" t="s">
        <v>1598</v>
      </c>
      <c r="AE1207" s="127">
        <v>2</v>
      </c>
      <c r="DA1207" s="122" t="s">
        <v>328</v>
      </c>
      <c r="DB1207" s="122" t="s">
        <v>6690</v>
      </c>
      <c r="DC1207" s="122" t="s">
        <v>4903</v>
      </c>
      <c r="DD1207" s="127">
        <v>8</v>
      </c>
      <c r="DE1207" s="127">
        <v>8</v>
      </c>
      <c r="DG1207" s="405" t="s">
        <v>328</v>
      </c>
      <c r="DH1207" s="406" t="s">
        <v>4903</v>
      </c>
      <c r="DI1207" s="406" t="str">
        <f t="shared" si="50"/>
        <v>MA, Governador Edison Lobão</v>
      </c>
      <c r="DJ1207" s="406">
        <v>-5.7489999999999997</v>
      </c>
      <c r="DK1207" s="80">
        <v>-47.360999999999997</v>
      </c>
      <c r="DL1207" s="80">
        <v>208</v>
      </c>
      <c r="DM1207" s="64">
        <v>8</v>
      </c>
      <c r="DN1207" s="406" t="s">
        <v>6669</v>
      </c>
      <c r="DO1207" s="406">
        <v>-5.56</v>
      </c>
      <c r="DP1207" s="80">
        <v>126</v>
      </c>
    </row>
    <row r="1208" spans="29:120" x14ac:dyDescent="0.25">
      <c r="AC1208" s="122" t="s">
        <v>236</v>
      </c>
      <c r="AD1208" s="122" t="s">
        <v>1599</v>
      </c>
      <c r="AE1208" s="127">
        <v>2</v>
      </c>
      <c r="DA1208" s="122" t="s">
        <v>328</v>
      </c>
      <c r="DB1208" s="122" t="s">
        <v>6691</v>
      </c>
      <c r="DC1208" s="122" t="s">
        <v>4962</v>
      </c>
      <c r="DD1208" s="127">
        <v>8</v>
      </c>
      <c r="DE1208" s="127">
        <v>8</v>
      </c>
      <c r="DG1208" s="405" t="s">
        <v>328</v>
      </c>
      <c r="DH1208" s="406" t="s">
        <v>4962</v>
      </c>
      <c r="DI1208" s="406" t="str">
        <f t="shared" si="50"/>
        <v>MA, Governador Eugênio Barros</v>
      </c>
      <c r="DJ1208" s="406">
        <v>-5.3230000000000004</v>
      </c>
      <c r="DK1208" s="80">
        <v>-44.247</v>
      </c>
      <c r="DL1208" s="80">
        <v>145</v>
      </c>
      <c r="DM1208" s="64">
        <v>8</v>
      </c>
      <c r="DN1208" s="406" t="s">
        <v>6668</v>
      </c>
      <c r="DO1208" s="406">
        <v>-6.03</v>
      </c>
      <c r="DP1208" s="80">
        <v>179</v>
      </c>
    </row>
    <row r="1209" spans="29:120" x14ac:dyDescent="0.25">
      <c r="AC1209" s="122" t="s">
        <v>236</v>
      </c>
      <c r="AD1209" s="122" t="s">
        <v>1600</v>
      </c>
      <c r="AE1209" s="127">
        <v>2</v>
      </c>
      <c r="DA1209" s="122" t="s">
        <v>328</v>
      </c>
      <c r="DB1209" s="122" t="s">
        <v>6692</v>
      </c>
      <c r="DC1209" s="122" t="s">
        <v>4953</v>
      </c>
      <c r="DD1209" s="127">
        <v>7</v>
      </c>
      <c r="DE1209" s="127">
        <v>7</v>
      </c>
      <c r="DG1209" s="405" t="s">
        <v>328</v>
      </c>
      <c r="DH1209" s="406" t="s">
        <v>4953</v>
      </c>
      <c r="DI1209" s="406" t="str">
        <f t="shared" si="50"/>
        <v>MA, Governador Luiz Rocha</v>
      </c>
      <c r="DJ1209" s="406">
        <v>-5.4690000000000003</v>
      </c>
      <c r="DK1209" s="80">
        <v>-44.073999999999998</v>
      </c>
      <c r="DL1209" s="80">
        <v>119</v>
      </c>
      <c r="DM1209" s="64">
        <v>7</v>
      </c>
      <c r="DN1209" s="406" t="s">
        <v>6668</v>
      </c>
      <c r="DO1209" s="406">
        <v>-6.03</v>
      </c>
      <c r="DP1209" s="80">
        <v>179</v>
      </c>
    </row>
    <row r="1210" spans="29:120" x14ac:dyDescent="0.25">
      <c r="AC1210" s="122" t="s">
        <v>236</v>
      </c>
      <c r="AD1210" s="122" t="s">
        <v>1601</v>
      </c>
      <c r="AE1210" s="127">
        <v>2</v>
      </c>
      <c r="DA1210" s="122" t="s">
        <v>328</v>
      </c>
      <c r="DB1210" s="122" t="s">
        <v>6693</v>
      </c>
      <c r="DC1210" s="122" t="s">
        <v>4621</v>
      </c>
      <c r="DD1210" s="127">
        <v>8</v>
      </c>
      <c r="DE1210" s="127">
        <v>8</v>
      </c>
      <c r="DG1210" s="405" t="s">
        <v>328</v>
      </c>
      <c r="DH1210" s="406" t="s">
        <v>4621</v>
      </c>
      <c r="DI1210" s="406" t="str">
        <f t="shared" si="50"/>
        <v>MA, Governador Newton Bello</v>
      </c>
      <c r="DJ1210" s="406">
        <v>-3.4260000000000002</v>
      </c>
      <c r="DK1210" s="80">
        <v>-45.676000000000002</v>
      </c>
      <c r="DL1210" s="80">
        <v>49</v>
      </c>
      <c r="DM1210" s="64">
        <v>8</v>
      </c>
      <c r="DN1210" s="406" t="s">
        <v>6643</v>
      </c>
      <c r="DO1210" s="406">
        <v>-4.32</v>
      </c>
      <c r="DP1210" s="80">
        <v>175</v>
      </c>
    </row>
    <row r="1211" spans="29:120" x14ac:dyDescent="0.25">
      <c r="AC1211" s="122" t="s">
        <v>27</v>
      </c>
      <c r="AD1211" s="122" t="s">
        <v>1602</v>
      </c>
      <c r="AE1211" s="127">
        <v>2</v>
      </c>
      <c r="DA1211" s="122" t="s">
        <v>328</v>
      </c>
      <c r="DB1211" s="122" t="s">
        <v>6694</v>
      </c>
      <c r="DC1211" s="122" t="s">
        <v>4275</v>
      </c>
      <c r="DD1211" s="127">
        <v>8</v>
      </c>
      <c r="DE1211" s="127">
        <v>8</v>
      </c>
      <c r="DG1211" s="405" t="s">
        <v>328</v>
      </c>
      <c r="DH1211" s="406" t="s">
        <v>4275</v>
      </c>
      <c r="DI1211" s="406" t="str">
        <f t="shared" si="50"/>
        <v>MA, Governador Nunes Freire</v>
      </c>
      <c r="DJ1211" s="406">
        <v>-2.1259999999999999</v>
      </c>
      <c r="DK1211" s="80">
        <v>-45.884999999999998</v>
      </c>
      <c r="DL1211" s="80">
        <v>42</v>
      </c>
      <c r="DM1211" s="64">
        <v>8</v>
      </c>
      <c r="DN1211" s="406" t="s">
        <v>6647</v>
      </c>
      <c r="DO1211" s="406">
        <v>-1.66</v>
      </c>
      <c r="DP1211" s="80">
        <v>41</v>
      </c>
    </row>
    <row r="1212" spans="29:120" x14ac:dyDescent="0.25">
      <c r="AC1212" s="122" t="s">
        <v>236</v>
      </c>
      <c r="AD1212" s="122" t="s">
        <v>1603</v>
      </c>
      <c r="AE1212" s="127">
        <v>2</v>
      </c>
      <c r="DA1212" s="122" t="s">
        <v>328</v>
      </c>
      <c r="DB1212" s="122" t="s">
        <v>6695</v>
      </c>
      <c r="DC1212" s="122" t="s">
        <v>4970</v>
      </c>
      <c r="DD1212" s="127">
        <v>8</v>
      </c>
      <c r="DE1212" s="127">
        <v>8</v>
      </c>
      <c r="DG1212" s="405" t="s">
        <v>328</v>
      </c>
      <c r="DH1212" s="406" t="s">
        <v>4970</v>
      </c>
      <c r="DI1212" s="406" t="str">
        <f t="shared" si="50"/>
        <v>MA, Graça Aranha</v>
      </c>
      <c r="DJ1212" s="406">
        <v>-5.41</v>
      </c>
      <c r="DK1212" s="80">
        <v>-44.334000000000003</v>
      </c>
      <c r="DL1212" s="80">
        <v>192</v>
      </c>
      <c r="DM1212" s="64">
        <v>8</v>
      </c>
      <c r="DN1212" s="406" t="s">
        <v>6668</v>
      </c>
      <c r="DO1212" s="406">
        <v>-6.03</v>
      </c>
      <c r="DP1212" s="80">
        <v>179</v>
      </c>
    </row>
    <row r="1213" spans="29:120" x14ac:dyDescent="0.25">
      <c r="AC1213" s="122" t="s">
        <v>311</v>
      </c>
      <c r="AD1213" s="122" t="s">
        <v>1604</v>
      </c>
      <c r="AE1213" s="127">
        <v>1</v>
      </c>
      <c r="DA1213" s="122" t="s">
        <v>328</v>
      </c>
      <c r="DB1213" s="122" t="s">
        <v>4844</v>
      </c>
      <c r="DC1213" s="122" t="s">
        <v>4844</v>
      </c>
      <c r="DD1213" s="127">
        <v>7</v>
      </c>
      <c r="DE1213" s="127">
        <v>7</v>
      </c>
      <c r="DG1213" s="405" t="s">
        <v>328</v>
      </c>
      <c r="DH1213" s="406" t="s">
        <v>4844</v>
      </c>
      <c r="DI1213" s="406" t="str">
        <f t="shared" si="50"/>
        <v>MA, Grajaú</v>
      </c>
      <c r="DJ1213" s="406">
        <v>-5.819</v>
      </c>
      <c r="DK1213" s="80">
        <v>-46.139000000000003</v>
      </c>
      <c r="DL1213" s="80">
        <v>172</v>
      </c>
      <c r="DM1213" s="64">
        <v>7</v>
      </c>
      <c r="DN1213" s="406" t="s">
        <v>6649</v>
      </c>
      <c r="DO1213" s="406">
        <v>-5.82</v>
      </c>
      <c r="DP1213" s="80">
        <v>230</v>
      </c>
    </row>
    <row r="1214" spans="29:120" x14ac:dyDescent="0.25">
      <c r="AC1214" s="122" t="s">
        <v>311</v>
      </c>
      <c r="AD1214" s="122" t="s">
        <v>1605</v>
      </c>
      <c r="AE1214" s="127">
        <v>2</v>
      </c>
      <c r="DA1214" s="122" t="s">
        <v>328</v>
      </c>
      <c r="DB1214" s="122" t="s">
        <v>4138</v>
      </c>
      <c r="DC1214" s="122" t="s">
        <v>4138</v>
      </c>
      <c r="DD1214" s="127">
        <v>8</v>
      </c>
      <c r="DE1214" s="127">
        <v>8</v>
      </c>
      <c r="DG1214" s="405" t="s">
        <v>328</v>
      </c>
      <c r="DH1214" s="406" t="s">
        <v>4138</v>
      </c>
      <c r="DI1214" s="406" t="str">
        <f t="shared" si="50"/>
        <v>MA, Guimarães</v>
      </c>
      <c r="DJ1214" s="406">
        <v>-2.133</v>
      </c>
      <c r="DK1214" s="80">
        <v>-44.600999999999999</v>
      </c>
      <c r="DL1214" s="80">
        <v>41</v>
      </c>
      <c r="DM1214" s="64">
        <v>8</v>
      </c>
      <c r="DN1214" s="406" t="s">
        <v>6636</v>
      </c>
      <c r="DO1214" s="406">
        <v>-2.5299999999999998</v>
      </c>
      <c r="DP1214" s="80">
        <v>56</v>
      </c>
    </row>
    <row r="1215" spans="29:120" x14ac:dyDescent="0.25">
      <c r="AC1215" s="122" t="s">
        <v>236</v>
      </c>
      <c r="AD1215" s="122" t="s">
        <v>1606</v>
      </c>
      <c r="AE1215" s="127">
        <v>2</v>
      </c>
      <c r="DA1215" s="122" t="s">
        <v>328</v>
      </c>
      <c r="DB1215" s="122" t="s">
        <v>6696</v>
      </c>
      <c r="DC1215" s="122" t="s">
        <v>5324</v>
      </c>
      <c r="DD1215" s="127">
        <v>8</v>
      </c>
      <c r="DE1215" s="127">
        <v>8</v>
      </c>
      <c r="DG1215" s="405" t="s">
        <v>328</v>
      </c>
      <c r="DH1215" s="406" t="s">
        <v>5324</v>
      </c>
      <c r="DI1215" s="406" t="str">
        <f t="shared" si="50"/>
        <v>MA, Humberto de Campos</v>
      </c>
      <c r="DJ1215" s="406">
        <v>-2.5979999999999999</v>
      </c>
      <c r="DK1215" s="80">
        <v>-43.460999999999999</v>
      </c>
      <c r="DL1215" s="80">
        <v>17</v>
      </c>
      <c r="DM1215" s="64">
        <v>8</v>
      </c>
      <c r="DN1215" s="406" t="s">
        <v>6697</v>
      </c>
      <c r="DO1215" s="406">
        <v>-2.27</v>
      </c>
      <c r="DP1215" s="80">
        <v>0</v>
      </c>
    </row>
    <row r="1216" spans="29:120" x14ac:dyDescent="0.25">
      <c r="AC1216" s="122" t="s">
        <v>27</v>
      </c>
      <c r="AD1216" s="122" t="s">
        <v>1607</v>
      </c>
      <c r="AE1216" s="127">
        <v>2</v>
      </c>
      <c r="DA1216" s="122" t="s">
        <v>328</v>
      </c>
      <c r="DB1216" s="122" t="s">
        <v>4115</v>
      </c>
      <c r="DC1216" s="122" t="s">
        <v>4115</v>
      </c>
      <c r="DD1216" s="127">
        <v>8</v>
      </c>
      <c r="DE1216" s="127">
        <v>8</v>
      </c>
      <c r="DG1216" s="405" t="s">
        <v>328</v>
      </c>
      <c r="DH1216" s="406" t="s">
        <v>4115</v>
      </c>
      <c r="DI1216" s="406" t="str">
        <f t="shared" si="50"/>
        <v>MA, Icatu</v>
      </c>
      <c r="DJ1216" s="406">
        <v>-2.7759999999999998</v>
      </c>
      <c r="DK1216" s="80">
        <v>-44.066000000000003</v>
      </c>
      <c r="DL1216" s="80">
        <v>12</v>
      </c>
      <c r="DM1216" s="64">
        <v>8</v>
      </c>
      <c r="DN1216" s="406" t="s">
        <v>6636</v>
      </c>
      <c r="DO1216" s="406">
        <v>-2.5299999999999998</v>
      </c>
      <c r="DP1216" s="80">
        <v>56</v>
      </c>
    </row>
    <row r="1217" spans="29:120" x14ac:dyDescent="0.25">
      <c r="AC1217" s="122" t="s">
        <v>236</v>
      </c>
      <c r="AD1217" s="122" t="s">
        <v>1608</v>
      </c>
      <c r="AE1217" s="127">
        <v>2</v>
      </c>
      <c r="DA1217" s="122" t="s">
        <v>328</v>
      </c>
      <c r="DB1217" s="122" t="s">
        <v>6698</v>
      </c>
      <c r="DC1217" s="122" t="s">
        <v>4731</v>
      </c>
      <c r="DD1217" s="127">
        <v>8</v>
      </c>
      <c r="DE1217" s="127">
        <v>8</v>
      </c>
      <c r="DG1217" s="405" t="s">
        <v>328</v>
      </c>
      <c r="DH1217" s="406" t="s">
        <v>4731</v>
      </c>
      <c r="DI1217" s="406" t="str">
        <f t="shared" si="50"/>
        <v>MA, Igarapé do Meio</v>
      </c>
      <c r="DJ1217" s="406">
        <v>-3.661</v>
      </c>
      <c r="DK1217" s="80">
        <v>-45.226999999999997</v>
      </c>
      <c r="DL1217" s="80">
        <v>20</v>
      </c>
      <c r="DM1217" s="64">
        <v>8</v>
      </c>
      <c r="DN1217" s="406" t="s">
        <v>6640</v>
      </c>
      <c r="DO1217" s="406">
        <v>-4.24</v>
      </c>
      <c r="DP1217" s="80">
        <v>28</v>
      </c>
    </row>
    <row r="1218" spans="29:120" x14ac:dyDescent="0.25">
      <c r="AC1218" s="122" t="s">
        <v>27</v>
      </c>
      <c r="AD1218" s="122" t="s">
        <v>1609</v>
      </c>
      <c r="AE1218" s="127">
        <v>2</v>
      </c>
      <c r="DA1218" s="122" t="s">
        <v>328</v>
      </c>
      <c r="DB1218" s="122" t="s">
        <v>6699</v>
      </c>
      <c r="DC1218" s="122" t="s">
        <v>4847</v>
      </c>
      <c r="DD1218" s="127">
        <v>8</v>
      </c>
      <c r="DE1218" s="127">
        <v>8</v>
      </c>
      <c r="DG1218" s="405" t="s">
        <v>328</v>
      </c>
      <c r="DH1218" s="406" t="s">
        <v>4847</v>
      </c>
      <c r="DI1218" s="406" t="str">
        <f t="shared" si="50"/>
        <v>MA, Igarapé Grande</v>
      </c>
      <c r="DJ1218" s="406">
        <v>-4.585</v>
      </c>
      <c r="DK1218" s="80">
        <v>-44.853000000000002</v>
      </c>
      <c r="DL1218" s="80">
        <v>80</v>
      </c>
      <c r="DM1218" s="64">
        <v>8</v>
      </c>
      <c r="DN1218" s="406" t="s">
        <v>6640</v>
      </c>
      <c r="DO1218" s="406">
        <v>-4.24</v>
      </c>
      <c r="DP1218" s="80">
        <v>28</v>
      </c>
    </row>
    <row r="1219" spans="29:120" x14ac:dyDescent="0.25">
      <c r="AC1219" s="122" t="s">
        <v>236</v>
      </c>
      <c r="AD1219" s="122" t="s">
        <v>1610</v>
      </c>
      <c r="AE1219" s="127">
        <v>2</v>
      </c>
      <c r="DA1219" s="122" t="s">
        <v>328</v>
      </c>
      <c r="DB1219" s="122" t="s">
        <v>4891</v>
      </c>
      <c r="DC1219" s="122" t="s">
        <v>4891</v>
      </c>
      <c r="DD1219" s="127">
        <v>7</v>
      </c>
      <c r="DE1219" s="127">
        <v>7</v>
      </c>
      <c r="DG1219" s="405" t="s">
        <v>328</v>
      </c>
      <c r="DH1219" s="406" t="s">
        <v>4891</v>
      </c>
      <c r="DI1219" s="406" t="str">
        <f t="shared" ref="DI1219:DI1282" si="51">CONCATENATE(DG1219,", ",DH1219)</f>
        <v>MA, Imperatriz</v>
      </c>
      <c r="DJ1219" s="406">
        <v>-5.5259999999999998</v>
      </c>
      <c r="DK1219" s="80">
        <v>-47.475999999999999</v>
      </c>
      <c r="DL1219" s="80">
        <v>116</v>
      </c>
      <c r="DM1219" s="64">
        <v>7</v>
      </c>
      <c r="DN1219" s="406" t="s">
        <v>6669</v>
      </c>
      <c r="DO1219" s="406">
        <v>-5.56</v>
      </c>
      <c r="DP1219" s="80">
        <v>126</v>
      </c>
    </row>
    <row r="1220" spans="29:120" x14ac:dyDescent="0.25">
      <c r="AC1220" s="122" t="s">
        <v>236</v>
      </c>
      <c r="AD1220" s="122" t="s">
        <v>1611</v>
      </c>
      <c r="AE1220" s="127">
        <v>2</v>
      </c>
      <c r="DA1220" s="122" t="s">
        <v>328</v>
      </c>
      <c r="DB1220" s="122" t="s">
        <v>6700</v>
      </c>
      <c r="DC1220" s="122" t="s">
        <v>4404</v>
      </c>
      <c r="DD1220" s="127">
        <v>8</v>
      </c>
      <c r="DE1220" s="127">
        <v>8</v>
      </c>
      <c r="DG1220" s="405" t="s">
        <v>328</v>
      </c>
      <c r="DH1220" s="406" t="s">
        <v>4404</v>
      </c>
      <c r="DI1220" s="406" t="str">
        <f t="shared" si="51"/>
        <v>MA, Itaipava do Grajaú</v>
      </c>
      <c r="DJ1220" s="406">
        <v>-5.1449999999999996</v>
      </c>
      <c r="DK1220" s="80">
        <v>-45.790999999999997</v>
      </c>
      <c r="DL1220" s="80">
        <v>110</v>
      </c>
      <c r="DM1220" s="64">
        <v>8</v>
      </c>
      <c r="DN1220" s="406" t="s">
        <v>6654</v>
      </c>
      <c r="DO1220" s="406">
        <v>-5.51</v>
      </c>
      <c r="DP1220" s="80">
        <v>153</v>
      </c>
    </row>
    <row r="1221" spans="29:120" x14ac:dyDescent="0.25">
      <c r="AC1221" s="122" t="s">
        <v>236</v>
      </c>
      <c r="AD1221" s="122" t="s">
        <v>1612</v>
      </c>
      <c r="AE1221" s="127">
        <v>2</v>
      </c>
      <c r="DA1221" s="122" t="s">
        <v>328</v>
      </c>
      <c r="DB1221" s="122" t="s">
        <v>6701</v>
      </c>
      <c r="DC1221" s="122" t="s">
        <v>4600</v>
      </c>
      <c r="DD1221" s="127">
        <v>8</v>
      </c>
      <c r="DE1221" s="127">
        <v>8</v>
      </c>
      <c r="DG1221" s="405" t="s">
        <v>328</v>
      </c>
      <c r="DH1221" s="406" t="s">
        <v>4600</v>
      </c>
      <c r="DI1221" s="406" t="str">
        <f t="shared" si="51"/>
        <v>MA, Itapecuru Mirim</v>
      </c>
      <c r="DJ1221" s="406">
        <v>-3.3929999999999998</v>
      </c>
      <c r="DK1221" s="80">
        <v>-44.359000000000002</v>
      </c>
      <c r="DL1221" s="80">
        <v>20</v>
      </c>
      <c r="DM1221" s="64">
        <v>8</v>
      </c>
      <c r="DN1221" s="406" t="s">
        <v>6636</v>
      </c>
      <c r="DO1221" s="406">
        <v>-2.5299999999999998</v>
      </c>
      <c r="DP1221" s="80">
        <v>56</v>
      </c>
    </row>
    <row r="1222" spans="29:120" x14ac:dyDescent="0.25">
      <c r="AC1222" s="122" t="s">
        <v>236</v>
      </c>
      <c r="AD1222" s="122" t="s">
        <v>1613</v>
      </c>
      <c r="AE1222" s="127">
        <v>2</v>
      </c>
      <c r="DA1222" s="122" t="s">
        <v>328</v>
      </c>
      <c r="DB1222" s="122" t="s">
        <v>6702</v>
      </c>
      <c r="DC1222" s="122" t="s">
        <v>4606</v>
      </c>
      <c r="DD1222" s="127">
        <v>8</v>
      </c>
      <c r="DE1222" s="127">
        <v>8</v>
      </c>
      <c r="DG1222" s="405" t="s">
        <v>328</v>
      </c>
      <c r="DH1222" s="406" t="s">
        <v>4606</v>
      </c>
      <c r="DI1222" s="406" t="str">
        <f t="shared" si="51"/>
        <v>MA, Itinga do Maranhão</v>
      </c>
      <c r="DJ1222" s="406">
        <v>-4.45</v>
      </c>
      <c r="DK1222" s="80">
        <v>-47.526000000000003</v>
      </c>
      <c r="DL1222" s="80">
        <v>200</v>
      </c>
      <c r="DM1222" s="64">
        <v>8</v>
      </c>
      <c r="DN1222" s="406" t="s">
        <v>6632</v>
      </c>
      <c r="DO1222" s="406">
        <v>-4.78</v>
      </c>
      <c r="DP1222" s="80">
        <v>221</v>
      </c>
    </row>
    <row r="1223" spans="29:120" x14ac:dyDescent="0.25">
      <c r="AC1223" s="122" t="s">
        <v>236</v>
      </c>
      <c r="AD1223" s="122" t="s">
        <v>1614</v>
      </c>
      <c r="AE1223" s="127">
        <v>2</v>
      </c>
      <c r="DA1223" s="122" t="s">
        <v>328</v>
      </c>
      <c r="DB1223" s="122" t="s">
        <v>4957</v>
      </c>
      <c r="DC1223" s="122" t="s">
        <v>4957</v>
      </c>
      <c r="DD1223" s="127">
        <v>7</v>
      </c>
      <c r="DE1223" s="127">
        <v>7</v>
      </c>
      <c r="DG1223" s="405" t="s">
        <v>328</v>
      </c>
      <c r="DH1223" s="406" t="s">
        <v>4957</v>
      </c>
      <c r="DI1223" s="406" t="str">
        <f t="shared" si="51"/>
        <v>MA, Jatobá</v>
      </c>
      <c r="DJ1223" s="406">
        <v>-5.8170000000000002</v>
      </c>
      <c r="DK1223" s="80">
        <v>-44.222999999999999</v>
      </c>
      <c r="DL1223" s="80">
        <v>190</v>
      </c>
      <c r="DM1223" s="64">
        <v>7</v>
      </c>
      <c r="DN1223" s="406" t="s">
        <v>6668</v>
      </c>
      <c r="DO1223" s="406">
        <v>-6.03</v>
      </c>
      <c r="DP1223" s="80">
        <v>179</v>
      </c>
    </row>
    <row r="1224" spans="29:120" x14ac:dyDescent="0.25">
      <c r="AC1224" s="122" t="s">
        <v>236</v>
      </c>
      <c r="AD1224" s="122" t="s">
        <v>1615</v>
      </c>
      <c r="AE1224" s="127">
        <v>3</v>
      </c>
      <c r="DA1224" s="122" t="s">
        <v>328</v>
      </c>
      <c r="DB1224" s="122" t="s">
        <v>6703</v>
      </c>
      <c r="DC1224" s="122" t="s">
        <v>4424</v>
      </c>
      <c r="DD1224" s="127">
        <v>8</v>
      </c>
      <c r="DE1224" s="127">
        <v>8</v>
      </c>
      <c r="DG1224" s="405" t="s">
        <v>328</v>
      </c>
      <c r="DH1224" s="406" t="s">
        <v>4424</v>
      </c>
      <c r="DI1224" s="406" t="str">
        <f t="shared" si="51"/>
        <v>MA, Jenipapo dos Vieiras</v>
      </c>
      <c r="DJ1224" s="406">
        <v>-5.3710000000000004</v>
      </c>
      <c r="DK1224" s="80">
        <v>-45.636000000000003</v>
      </c>
      <c r="DL1224" s="80">
        <v>150</v>
      </c>
      <c r="DM1224" s="64">
        <v>8</v>
      </c>
      <c r="DN1224" s="406" t="s">
        <v>6654</v>
      </c>
      <c r="DO1224" s="406">
        <v>-5.51</v>
      </c>
      <c r="DP1224" s="80">
        <v>153</v>
      </c>
    </row>
    <row r="1225" spans="29:120" x14ac:dyDescent="0.25">
      <c r="AC1225" s="122" t="s">
        <v>311</v>
      </c>
      <c r="AD1225" s="122" t="s">
        <v>1105</v>
      </c>
      <c r="AE1225" s="127">
        <v>2</v>
      </c>
      <c r="DA1225" s="122" t="s">
        <v>328</v>
      </c>
      <c r="DB1225" s="122" t="s">
        <v>6704</v>
      </c>
      <c r="DC1225" s="122" t="s">
        <v>4865</v>
      </c>
      <c r="DD1225" s="127">
        <v>8</v>
      </c>
      <c r="DE1225" s="127">
        <v>8</v>
      </c>
      <c r="DG1225" s="405" t="s">
        <v>328</v>
      </c>
      <c r="DH1225" s="406" t="s">
        <v>4865</v>
      </c>
      <c r="DI1225" s="406" t="str">
        <f t="shared" si="51"/>
        <v>MA, João Lisboa</v>
      </c>
      <c r="DJ1225" s="406">
        <v>-5.4480000000000004</v>
      </c>
      <c r="DK1225" s="80">
        <v>-47.401000000000003</v>
      </c>
      <c r="DL1225" s="80">
        <v>291</v>
      </c>
      <c r="DM1225" s="64">
        <v>8</v>
      </c>
      <c r="DN1225" s="406" t="s">
        <v>6669</v>
      </c>
      <c r="DO1225" s="406">
        <v>-5.56</v>
      </c>
      <c r="DP1225" s="80">
        <v>126</v>
      </c>
    </row>
    <row r="1226" spans="29:120" x14ac:dyDescent="0.25">
      <c r="AC1226" s="122" t="s">
        <v>27</v>
      </c>
      <c r="AD1226" s="122" t="s">
        <v>1616</v>
      </c>
      <c r="AE1226" s="127">
        <v>2</v>
      </c>
      <c r="DA1226" s="122" t="s">
        <v>328</v>
      </c>
      <c r="DB1226" s="122" t="s">
        <v>4889</v>
      </c>
      <c r="DC1226" s="122" t="s">
        <v>4889</v>
      </c>
      <c r="DD1226" s="127">
        <v>8</v>
      </c>
      <c r="DE1226" s="127">
        <v>8</v>
      </c>
      <c r="DG1226" s="405" t="s">
        <v>328</v>
      </c>
      <c r="DH1226" s="406" t="s">
        <v>4889</v>
      </c>
      <c r="DI1226" s="406" t="str">
        <f t="shared" si="51"/>
        <v>MA, Joselândia</v>
      </c>
      <c r="DJ1226" s="406">
        <v>-4.9669999999999996</v>
      </c>
      <c r="DK1226" s="80">
        <v>-44.7</v>
      </c>
      <c r="DL1226" s="80">
        <v>60</v>
      </c>
      <c r="DM1226" s="64">
        <v>8</v>
      </c>
      <c r="DN1226" s="406" t="s">
        <v>6640</v>
      </c>
      <c r="DO1226" s="406">
        <v>-4.24</v>
      </c>
      <c r="DP1226" s="80">
        <v>28</v>
      </c>
    </row>
    <row r="1227" spans="29:120" x14ac:dyDescent="0.25">
      <c r="AC1227" s="122" t="s">
        <v>27</v>
      </c>
      <c r="AD1227" s="122" t="s">
        <v>1617</v>
      </c>
      <c r="AE1227" s="127">
        <v>2</v>
      </c>
      <c r="DA1227" s="122" t="s">
        <v>328</v>
      </c>
      <c r="DB1227" s="122" t="s">
        <v>6705</v>
      </c>
      <c r="DC1227" s="122" t="s">
        <v>4227</v>
      </c>
      <c r="DD1227" s="127">
        <v>8</v>
      </c>
      <c r="DE1227" s="127">
        <v>8</v>
      </c>
      <c r="DG1227" s="405" t="s">
        <v>328</v>
      </c>
      <c r="DH1227" s="406" t="s">
        <v>4227</v>
      </c>
      <c r="DI1227" s="406" t="str">
        <f t="shared" si="51"/>
        <v>MA, Junco do Maranhão</v>
      </c>
      <c r="DJ1227" s="406">
        <v>-1.8440000000000001</v>
      </c>
      <c r="DK1227" s="80">
        <v>-46.091999999999999</v>
      </c>
      <c r="DL1227" s="80">
        <v>29</v>
      </c>
      <c r="DM1227" s="64">
        <v>8</v>
      </c>
      <c r="DN1227" s="406" t="s">
        <v>6647</v>
      </c>
      <c r="DO1227" s="406">
        <v>-1.66</v>
      </c>
      <c r="DP1227" s="80">
        <v>41</v>
      </c>
    </row>
    <row r="1228" spans="29:120" x14ac:dyDescent="0.25">
      <c r="AC1228" s="122" t="s">
        <v>236</v>
      </c>
      <c r="AD1228" s="122" t="s">
        <v>1618</v>
      </c>
      <c r="AE1228" s="127">
        <v>2</v>
      </c>
      <c r="DA1228" s="122" t="s">
        <v>328</v>
      </c>
      <c r="DB1228" s="122" t="s">
        <v>6706</v>
      </c>
      <c r="DC1228" s="122" t="s">
        <v>4779</v>
      </c>
      <c r="DD1228" s="127">
        <v>8</v>
      </c>
      <c r="DE1228" s="127">
        <v>8</v>
      </c>
      <c r="DG1228" s="405" t="s">
        <v>328</v>
      </c>
      <c r="DH1228" s="406" t="s">
        <v>4779</v>
      </c>
      <c r="DI1228" s="406" t="str">
        <f t="shared" si="51"/>
        <v>MA, Lago da Pedra</v>
      </c>
      <c r="DJ1228" s="406">
        <v>-4.57</v>
      </c>
      <c r="DK1228" s="80">
        <v>-45.131999999999998</v>
      </c>
      <c r="DL1228" s="80">
        <v>95</v>
      </c>
      <c r="DM1228" s="64">
        <v>8</v>
      </c>
      <c r="DN1228" s="406" t="s">
        <v>6640</v>
      </c>
      <c r="DO1228" s="406">
        <v>-4.24</v>
      </c>
      <c r="DP1228" s="80">
        <v>28</v>
      </c>
    </row>
    <row r="1229" spans="29:120" x14ac:dyDescent="0.25">
      <c r="AC1229" s="122" t="s">
        <v>236</v>
      </c>
      <c r="AD1229" s="122" t="s">
        <v>1619</v>
      </c>
      <c r="AE1229" s="127">
        <v>2</v>
      </c>
      <c r="DA1229" s="122" t="s">
        <v>328</v>
      </c>
      <c r="DB1229" s="122" t="s">
        <v>6707</v>
      </c>
      <c r="DC1229" s="122" t="s">
        <v>4806</v>
      </c>
      <c r="DD1229" s="127">
        <v>8</v>
      </c>
      <c r="DE1229" s="127">
        <v>8</v>
      </c>
      <c r="DG1229" s="405" t="s">
        <v>328</v>
      </c>
      <c r="DH1229" s="406" t="s">
        <v>4806</v>
      </c>
      <c r="DI1229" s="406" t="str">
        <f t="shared" si="51"/>
        <v>MA, Lago do Junco</v>
      </c>
      <c r="DJ1229" s="406">
        <v>-4.609</v>
      </c>
      <c r="DK1229" s="80">
        <v>-45.048999999999999</v>
      </c>
      <c r="DL1229" s="80">
        <v>90</v>
      </c>
      <c r="DM1229" s="64">
        <v>8</v>
      </c>
      <c r="DN1229" s="406" t="s">
        <v>6640</v>
      </c>
      <c r="DO1229" s="406">
        <v>-4.24</v>
      </c>
      <c r="DP1229" s="80">
        <v>28</v>
      </c>
    </row>
    <row r="1230" spans="29:120" x14ac:dyDescent="0.25">
      <c r="AC1230" s="122" t="s">
        <v>236</v>
      </c>
      <c r="AD1230" s="122" t="s">
        <v>1620</v>
      </c>
      <c r="AE1230" s="127">
        <v>2</v>
      </c>
      <c r="DA1230" s="122" t="s">
        <v>328</v>
      </c>
      <c r="DB1230" s="122" t="s">
        <v>6708</v>
      </c>
      <c r="DC1230" s="122" t="s">
        <v>4814</v>
      </c>
      <c r="DD1230" s="127">
        <v>8</v>
      </c>
      <c r="DE1230" s="127">
        <v>8</v>
      </c>
      <c r="DG1230" s="405" t="s">
        <v>328</v>
      </c>
      <c r="DH1230" s="406" t="s">
        <v>4814</v>
      </c>
      <c r="DI1230" s="406" t="str">
        <f t="shared" si="51"/>
        <v>MA, Lago dos Rodrigues</v>
      </c>
      <c r="DJ1230" s="406">
        <v>-4.609</v>
      </c>
      <c r="DK1230" s="80">
        <v>-44.98</v>
      </c>
      <c r="DL1230" s="80">
        <v>71</v>
      </c>
      <c r="DM1230" s="64">
        <v>8</v>
      </c>
      <c r="DN1230" s="406" t="s">
        <v>6640</v>
      </c>
      <c r="DO1230" s="406">
        <v>-4.24</v>
      </c>
      <c r="DP1230" s="80">
        <v>28</v>
      </c>
    </row>
    <row r="1231" spans="29:120" x14ac:dyDescent="0.25">
      <c r="AC1231" s="122" t="s">
        <v>236</v>
      </c>
      <c r="AD1231" s="122" t="s">
        <v>1621</v>
      </c>
      <c r="AE1231" s="127">
        <v>2</v>
      </c>
      <c r="DA1231" s="122" t="s">
        <v>328</v>
      </c>
      <c r="DB1231" s="122" t="s">
        <v>6709</v>
      </c>
      <c r="DC1231" s="122" t="s">
        <v>4786</v>
      </c>
      <c r="DD1231" s="127">
        <v>8</v>
      </c>
      <c r="DE1231" s="127">
        <v>8</v>
      </c>
      <c r="DG1231" s="405" t="s">
        <v>328</v>
      </c>
      <c r="DH1231" s="406" t="s">
        <v>4786</v>
      </c>
      <c r="DI1231" s="406" t="str">
        <f t="shared" si="51"/>
        <v>MA, Lago Verde</v>
      </c>
      <c r="DJ1231" s="406">
        <v>-3.9569999999999999</v>
      </c>
      <c r="DK1231" s="80">
        <v>-44.822000000000003</v>
      </c>
      <c r="DL1231" s="80">
        <v>16</v>
      </c>
      <c r="DM1231" s="64">
        <v>8</v>
      </c>
      <c r="DN1231" s="406" t="s">
        <v>6640</v>
      </c>
      <c r="DO1231" s="406">
        <v>-4.24</v>
      </c>
      <c r="DP1231" s="80">
        <v>28</v>
      </c>
    </row>
    <row r="1232" spans="29:120" x14ac:dyDescent="0.25">
      <c r="AC1232" s="122" t="s">
        <v>236</v>
      </c>
      <c r="AD1232" s="122" t="s">
        <v>1622</v>
      </c>
      <c r="AE1232" s="127">
        <v>2</v>
      </c>
      <c r="DA1232" s="122" t="s">
        <v>328</v>
      </c>
      <c r="DB1232" s="122" t="s">
        <v>6710</v>
      </c>
      <c r="DC1232" s="122" t="s">
        <v>4841</v>
      </c>
      <c r="DD1232" s="127">
        <v>7</v>
      </c>
      <c r="DE1232" s="127">
        <v>7</v>
      </c>
      <c r="DG1232" s="405" t="s">
        <v>328</v>
      </c>
      <c r="DH1232" s="406" t="s">
        <v>4841</v>
      </c>
      <c r="DI1232" s="406" t="str">
        <f t="shared" si="51"/>
        <v>MA, Lagoa do Mato</v>
      </c>
      <c r="DJ1232" s="406">
        <v>-6.0469999999999997</v>
      </c>
      <c r="DK1232" s="80">
        <v>-43.526000000000003</v>
      </c>
      <c r="DL1232" s="80">
        <v>200</v>
      </c>
      <c r="DM1232" s="64">
        <v>7</v>
      </c>
      <c r="DN1232" s="406" t="s">
        <v>6668</v>
      </c>
      <c r="DO1232" s="406">
        <v>-6.03</v>
      </c>
      <c r="DP1232" s="80">
        <v>179</v>
      </c>
    </row>
    <row r="1233" spans="29:120" x14ac:dyDescent="0.25">
      <c r="AC1233" s="122" t="s">
        <v>311</v>
      </c>
      <c r="AD1233" s="122" t="s">
        <v>1623</v>
      </c>
      <c r="AE1233" s="127">
        <v>2</v>
      </c>
      <c r="DA1233" s="122" t="s">
        <v>328</v>
      </c>
      <c r="DB1233" s="122" t="s">
        <v>6711</v>
      </c>
      <c r="DC1233" s="122" t="s">
        <v>4430</v>
      </c>
      <c r="DD1233" s="127">
        <v>8</v>
      </c>
      <c r="DE1233" s="127">
        <v>8</v>
      </c>
      <c r="DG1233" s="405" t="s">
        <v>328</v>
      </c>
      <c r="DH1233" s="406" t="s">
        <v>4430</v>
      </c>
      <c r="DI1233" s="406" t="str">
        <f t="shared" si="51"/>
        <v>MA, Lagoa Grande do Maranhão</v>
      </c>
      <c r="DJ1233" s="406">
        <v>-4.8129999999999997</v>
      </c>
      <c r="DK1233" s="80">
        <v>-45.33</v>
      </c>
      <c r="DL1233" s="80">
        <v>198</v>
      </c>
      <c r="DM1233" s="64">
        <v>8</v>
      </c>
      <c r="DN1233" s="406" t="s">
        <v>6654</v>
      </c>
      <c r="DO1233" s="406">
        <v>-5.51</v>
      </c>
      <c r="DP1233" s="80">
        <v>153</v>
      </c>
    </row>
    <row r="1234" spans="29:120" x14ac:dyDescent="0.25">
      <c r="AC1234" s="122" t="s">
        <v>27</v>
      </c>
      <c r="AD1234" s="122" t="s">
        <v>1624</v>
      </c>
      <c r="AE1234" s="127">
        <v>2</v>
      </c>
      <c r="DA1234" s="122" t="s">
        <v>328</v>
      </c>
      <c r="DB1234" s="122" t="s">
        <v>6712</v>
      </c>
      <c r="DC1234" s="122" t="s">
        <v>4943</v>
      </c>
      <c r="DD1234" s="127">
        <v>7</v>
      </c>
      <c r="DE1234" s="127">
        <v>7</v>
      </c>
      <c r="DG1234" s="405" t="s">
        <v>328</v>
      </c>
      <c r="DH1234" s="406" t="s">
        <v>4943</v>
      </c>
      <c r="DI1234" s="406" t="str">
        <f t="shared" si="51"/>
        <v>MA, Lajeado Novo</v>
      </c>
      <c r="DJ1234" s="406">
        <v>-6.1890000000000001</v>
      </c>
      <c r="DK1234" s="80">
        <v>-47.034999999999997</v>
      </c>
      <c r="DL1234" s="80">
        <v>100</v>
      </c>
      <c r="DM1234" s="64">
        <v>7</v>
      </c>
      <c r="DN1234" s="406" t="s">
        <v>6672</v>
      </c>
      <c r="DO1234" s="406">
        <v>-6.65</v>
      </c>
      <c r="DP1234" s="80">
        <v>180</v>
      </c>
    </row>
    <row r="1235" spans="29:120" x14ac:dyDescent="0.25">
      <c r="AC1235" s="122" t="s">
        <v>236</v>
      </c>
      <c r="AD1235" s="122" t="s">
        <v>1625</v>
      </c>
      <c r="AE1235" s="127">
        <v>2</v>
      </c>
      <c r="DA1235" s="122" t="s">
        <v>328</v>
      </c>
      <c r="DB1235" s="122" t="s">
        <v>6713</v>
      </c>
      <c r="DC1235" s="122" t="s">
        <v>4875</v>
      </c>
      <c r="DD1235" s="127">
        <v>8</v>
      </c>
      <c r="DE1235" s="127">
        <v>8</v>
      </c>
      <c r="DG1235" s="405" t="s">
        <v>328</v>
      </c>
      <c r="DH1235" s="406" t="s">
        <v>4875</v>
      </c>
      <c r="DI1235" s="406" t="str">
        <f t="shared" si="51"/>
        <v>MA, Lima Campos</v>
      </c>
      <c r="DJ1235" s="406">
        <v>-4.5199999999999996</v>
      </c>
      <c r="DK1235" s="80">
        <v>-44.466999999999999</v>
      </c>
      <c r="DL1235" s="80">
        <v>82</v>
      </c>
      <c r="DM1235" s="64">
        <v>8</v>
      </c>
      <c r="DN1235" s="406" t="s">
        <v>6640</v>
      </c>
      <c r="DO1235" s="406">
        <v>-4.24</v>
      </c>
      <c r="DP1235" s="80">
        <v>28</v>
      </c>
    </row>
    <row r="1236" spans="29:120" x14ac:dyDescent="0.25">
      <c r="AC1236" s="122" t="s">
        <v>236</v>
      </c>
      <c r="AD1236" s="122" t="s">
        <v>1626</v>
      </c>
      <c r="AE1236" s="127">
        <v>2</v>
      </c>
      <c r="DA1236" s="122" t="s">
        <v>328</v>
      </c>
      <c r="DB1236" s="122" t="s">
        <v>4314</v>
      </c>
      <c r="DC1236" s="122" t="s">
        <v>4314</v>
      </c>
      <c r="DD1236" s="127">
        <v>7</v>
      </c>
      <c r="DE1236" s="127">
        <v>7</v>
      </c>
      <c r="DG1236" s="405" t="s">
        <v>328</v>
      </c>
      <c r="DH1236" s="406" t="s">
        <v>4314</v>
      </c>
      <c r="DI1236" s="406" t="str">
        <f t="shared" si="51"/>
        <v>MA, Loreto</v>
      </c>
      <c r="DJ1236" s="406">
        <v>-7.0839999999999996</v>
      </c>
      <c r="DK1236" s="80">
        <v>-45.140999999999998</v>
      </c>
      <c r="DL1236" s="80">
        <v>193</v>
      </c>
      <c r="DM1236" s="64">
        <v>7</v>
      </c>
      <c r="DN1236" s="406" t="s">
        <v>6658</v>
      </c>
      <c r="DO1236" s="406">
        <v>-7.47</v>
      </c>
      <c r="DP1236" s="80">
        <v>393</v>
      </c>
    </row>
    <row r="1237" spans="29:120" x14ac:dyDescent="0.25">
      <c r="AC1237" s="122" t="s">
        <v>236</v>
      </c>
      <c r="AD1237" s="122" t="s">
        <v>1627</v>
      </c>
      <c r="AE1237" s="127">
        <v>2</v>
      </c>
      <c r="DA1237" s="122" t="s">
        <v>328</v>
      </c>
      <c r="DB1237" s="122" t="s">
        <v>6714</v>
      </c>
      <c r="DC1237" s="122" t="s">
        <v>4089</v>
      </c>
      <c r="DD1237" s="127">
        <v>8</v>
      </c>
      <c r="DE1237" s="127">
        <v>8</v>
      </c>
      <c r="DG1237" s="405" t="s">
        <v>328</v>
      </c>
      <c r="DH1237" s="406" t="s">
        <v>4089</v>
      </c>
      <c r="DI1237" s="406" t="str">
        <f t="shared" si="51"/>
        <v>MA, Luís Domingues</v>
      </c>
      <c r="DJ1237" s="406">
        <v>-1.268</v>
      </c>
      <c r="DK1237" s="80">
        <v>-45.872999999999998</v>
      </c>
      <c r="DL1237" s="80">
        <v>5</v>
      </c>
      <c r="DM1237" s="64">
        <v>8</v>
      </c>
      <c r="DN1237" s="406" t="s">
        <v>6647</v>
      </c>
      <c r="DO1237" s="406">
        <v>-1.66</v>
      </c>
      <c r="DP1237" s="80">
        <v>41</v>
      </c>
    </row>
    <row r="1238" spans="29:120" x14ac:dyDescent="0.25">
      <c r="AC1238" s="122" t="s">
        <v>236</v>
      </c>
      <c r="AD1238" s="122" t="s">
        <v>1628</v>
      </c>
      <c r="AE1238" s="127">
        <v>2</v>
      </c>
      <c r="DA1238" s="122" t="s">
        <v>328</v>
      </c>
      <c r="DB1238" s="122" t="s">
        <v>6715</v>
      </c>
      <c r="DC1238" s="122" t="s">
        <v>5589</v>
      </c>
      <c r="DD1238" s="127">
        <v>8</v>
      </c>
      <c r="DE1238" s="127">
        <v>8</v>
      </c>
      <c r="DG1238" s="405" t="s">
        <v>328</v>
      </c>
      <c r="DH1238" s="406" t="s">
        <v>5589</v>
      </c>
      <c r="DI1238" s="406" t="str">
        <f t="shared" si="51"/>
        <v>MA, Magalhães de Almeida</v>
      </c>
      <c r="DJ1238" s="406">
        <v>-3.3959999999999999</v>
      </c>
      <c r="DK1238" s="80">
        <v>-42.204000000000001</v>
      </c>
      <c r="DL1238" s="80">
        <v>36</v>
      </c>
      <c r="DM1238" s="64">
        <v>8</v>
      </c>
      <c r="DN1238" s="406" t="s">
        <v>6665</v>
      </c>
      <c r="DO1238" s="406">
        <v>-3.9</v>
      </c>
      <c r="DP1238" s="80">
        <v>65</v>
      </c>
    </row>
    <row r="1239" spans="29:120" x14ac:dyDescent="0.25">
      <c r="AC1239" s="122" t="s">
        <v>27</v>
      </c>
      <c r="AD1239" s="122" t="s">
        <v>1629</v>
      </c>
      <c r="AE1239" s="127">
        <v>2</v>
      </c>
      <c r="DA1239" s="122" t="s">
        <v>328</v>
      </c>
      <c r="DB1239" s="122" t="s">
        <v>4272</v>
      </c>
      <c r="DC1239" s="122" t="s">
        <v>4272</v>
      </c>
      <c r="DD1239" s="127">
        <v>8</v>
      </c>
      <c r="DE1239" s="127">
        <v>8</v>
      </c>
      <c r="DG1239" s="405" t="s">
        <v>328</v>
      </c>
      <c r="DH1239" s="406" t="s">
        <v>4272</v>
      </c>
      <c r="DI1239" s="406" t="str">
        <f t="shared" si="51"/>
        <v>MA, Maracaçumé</v>
      </c>
      <c r="DJ1239" s="406">
        <v>-2.0430000000000001</v>
      </c>
      <c r="DK1239" s="80">
        <v>-45.959000000000003</v>
      </c>
      <c r="DL1239" s="80">
        <v>25</v>
      </c>
      <c r="DM1239" s="64">
        <v>8</v>
      </c>
      <c r="DN1239" s="406" t="s">
        <v>6647</v>
      </c>
      <c r="DO1239" s="406">
        <v>-1.66</v>
      </c>
      <c r="DP1239" s="80">
        <v>41</v>
      </c>
    </row>
    <row r="1240" spans="29:120" x14ac:dyDescent="0.25">
      <c r="AC1240" s="122" t="s">
        <v>236</v>
      </c>
      <c r="AD1240" s="122" t="s">
        <v>1630</v>
      </c>
      <c r="AE1240" s="127">
        <v>2</v>
      </c>
      <c r="DA1240" s="122" t="s">
        <v>328</v>
      </c>
      <c r="DB1240" s="122" t="s">
        <v>6716</v>
      </c>
      <c r="DC1240" s="122" t="s">
        <v>4406</v>
      </c>
      <c r="DD1240" s="127">
        <v>8</v>
      </c>
      <c r="DE1240" s="127">
        <v>8</v>
      </c>
      <c r="DG1240" s="405" t="s">
        <v>328</v>
      </c>
      <c r="DH1240" s="406" t="s">
        <v>4406</v>
      </c>
      <c r="DI1240" s="406" t="str">
        <f t="shared" si="51"/>
        <v>MA, Marajá do Sena</v>
      </c>
      <c r="DJ1240" s="406">
        <v>-4.5990000000000002</v>
      </c>
      <c r="DK1240" s="80">
        <v>-45.576999999999998</v>
      </c>
      <c r="DL1240" s="80">
        <v>252</v>
      </c>
      <c r="DM1240" s="64">
        <v>8</v>
      </c>
      <c r="DN1240" s="406" t="s">
        <v>6643</v>
      </c>
      <c r="DO1240" s="406">
        <v>-4.32</v>
      </c>
      <c r="DP1240" s="80">
        <v>175</v>
      </c>
    </row>
    <row r="1241" spans="29:120" x14ac:dyDescent="0.25">
      <c r="AC1241" s="122" t="s">
        <v>236</v>
      </c>
      <c r="AD1241" s="122" t="s">
        <v>1631</v>
      </c>
      <c r="AE1241" s="127">
        <v>2</v>
      </c>
      <c r="DA1241" s="122" t="s">
        <v>328</v>
      </c>
      <c r="DB1241" s="122" t="s">
        <v>4302</v>
      </c>
      <c r="DC1241" s="122" t="s">
        <v>4302</v>
      </c>
      <c r="DD1241" s="127">
        <v>8</v>
      </c>
      <c r="DE1241" s="127">
        <v>8</v>
      </c>
      <c r="DG1241" s="405" t="s">
        <v>328</v>
      </c>
      <c r="DH1241" s="406" t="s">
        <v>4302</v>
      </c>
      <c r="DI1241" s="406" t="str">
        <f t="shared" si="51"/>
        <v>MA, Maranhãozinho</v>
      </c>
      <c r="DJ1241" s="406">
        <v>-2.2410000000000001</v>
      </c>
      <c r="DK1241" s="80">
        <v>-45.850999999999999</v>
      </c>
      <c r="DL1241" s="80">
        <v>63</v>
      </c>
      <c r="DM1241" s="64">
        <v>8</v>
      </c>
      <c r="DN1241" s="406" t="s">
        <v>6647</v>
      </c>
      <c r="DO1241" s="406">
        <v>-1.66</v>
      </c>
      <c r="DP1241" s="80">
        <v>41</v>
      </c>
    </row>
    <row r="1242" spans="29:120" x14ac:dyDescent="0.25">
      <c r="AC1242" s="122" t="s">
        <v>236</v>
      </c>
      <c r="AD1242" s="122" t="s">
        <v>1632</v>
      </c>
      <c r="AE1242" s="127">
        <v>2</v>
      </c>
      <c r="DA1242" s="122" t="s">
        <v>328</v>
      </c>
      <c r="DB1242" s="122" t="s">
        <v>6717</v>
      </c>
      <c r="DC1242" s="122" t="s">
        <v>5265</v>
      </c>
      <c r="DD1242" s="127">
        <v>8</v>
      </c>
      <c r="DE1242" s="127">
        <v>8</v>
      </c>
      <c r="DG1242" s="405" t="s">
        <v>328</v>
      </c>
      <c r="DH1242" s="406" t="s">
        <v>5265</v>
      </c>
      <c r="DI1242" s="406" t="str">
        <f t="shared" si="51"/>
        <v>MA, Mata Roma</v>
      </c>
      <c r="DJ1242" s="406">
        <v>-3.625</v>
      </c>
      <c r="DK1242" s="80">
        <v>-43.110999999999997</v>
      </c>
      <c r="DL1242" s="80">
        <v>80</v>
      </c>
      <c r="DM1242" s="64">
        <v>8</v>
      </c>
      <c r="DN1242" s="406" t="s">
        <v>6634</v>
      </c>
      <c r="DO1242" s="406">
        <v>-3.74</v>
      </c>
      <c r="DP1242" s="80">
        <v>91</v>
      </c>
    </row>
    <row r="1243" spans="29:120" x14ac:dyDescent="0.25">
      <c r="AC1243" s="122" t="s">
        <v>236</v>
      </c>
      <c r="AD1243" s="122" t="s">
        <v>1633</v>
      </c>
      <c r="AE1243" s="127">
        <v>2</v>
      </c>
      <c r="DA1243" s="122" t="s">
        <v>328</v>
      </c>
      <c r="DB1243" s="122" t="s">
        <v>4625</v>
      </c>
      <c r="DC1243" s="122" t="s">
        <v>4625</v>
      </c>
      <c r="DD1243" s="127">
        <v>8</v>
      </c>
      <c r="DE1243" s="127">
        <v>8</v>
      </c>
      <c r="DG1243" s="405" t="s">
        <v>328</v>
      </c>
      <c r="DH1243" s="406" t="s">
        <v>4625</v>
      </c>
      <c r="DI1243" s="406" t="str">
        <f t="shared" si="51"/>
        <v>MA, Matinha</v>
      </c>
      <c r="DJ1243" s="406">
        <v>-3.101</v>
      </c>
      <c r="DK1243" s="80">
        <v>-45.033999999999999</v>
      </c>
      <c r="DL1243" s="80">
        <v>39</v>
      </c>
      <c r="DM1243" s="64">
        <v>8</v>
      </c>
      <c r="DN1243" s="406" t="s">
        <v>6636</v>
      </c>
      <c r="DO1243" s="406">
        <v>-2.5299999999999998</v>
      </c>
      <c r="DP1243" s="80">
        <v>56</v>
      </c>
    </row>
    <row r="1244" spans="29:120" x14ac:dyDescent="0.25">
      <c r="AC1244" s="122" t="s">
        <v>236</v>
      </c>
      <c r="AD1244" s="122" t="s">
        <v>1634</v>
      </c>
      <c r="AE1244" s="127">
        <v>2</v>
      </c>
      <c r="DA1244" s="122" t="s">
        <v>328</v>
      </c>
      <c r="DB1244" s="122" t="s">
        <v>4883</v>
      </c>
      <c r="DC1244" s="122" t="s">
        <v>4883</v>
      </c>
      <c r="DD1244" s="127">
        <v>7</v>
      </c>
      <c r="DE1244" s="127">
        <v>7</v>
      </c>
      <c r="DG1244" s="405" t="s">
        <v>328</v>
      </c>
      <c r="DH1244" s="406" t="s">
        <v>4883</v>
      </c>
      <c r="DI1244" s="406" t="str">
        <f t="shared" si="51"/>
        <v>MA, Matões</v>
      </c>
      <c r="DJ1244" s="406">
        <v>-5.5190000000000001</v>
      </c>
      <c r="DK1244" s="80">
        <v>-43.198999999999998</v>
      </c>
      <c r="DL1244" s="80">
        <v>38</v>
      </c>
      <c r="DM1244" s="64">
        <v>7</v>
      </c>
      <c r="DN1244" s="406" t="s">
        <v>6718</v>
      </c>
      <c r="DO1244" s="406">
        <v>-5.09</v>
      </c>
      <c r="DP1244" s="80">
        <v>74</v>
      </c>
    </row>
    <row r="1245" spans="29:120" x14ac:dyDescent="0.25">
      <c r="AC1245" s="122" t="s">
        <v>236</v>
      </c>
      <c r="AD1245" s="122" t="s">
        <v>1635</v>
      </c>
      <c r="AE1245" s="127">
        <v>2</v>
      </c>
      <c r="DA1245" s="122" t="s">
        <v>328</v>
      </c>
      <c r="DB1245" s="122" t="s">
        <v>6719</v>
      </c>
      <c r="DC1245" s="122" t="s">
        <v>4686</v>
      </c>
      <c r="DD1245" s="127">
        <v>8</v>
      </c>
      <c r="DE1245" s="127">
        <v>8</v>
      </c>
      <c r="DG1245" s="405" t="s">
        <v>328</v>
      </c>
      <c r="DH1245" s="406" t="s">
        <v>4686</v>
      </c>
      <c r="DI1245" s="406" t="str">
        <f t="shared" si="51"/>
        <v>MA, Matões do Norte</v>
      </c>
      <c r="DJ1245" s="406">
        <v>-3.6320000000000001</v>
      </c>
      <c r="DK1245" s="80">
        <v>-44.555999999999997</v>
      </c>
      <c r="DL1245" s="80">
        <v>30</v>
      </c>
      <c r="DM1245" s="64">
        <v>8</v>
      </c>
      <c r="DN1245" s="406" t="s">
        <v>6640</v>
      </c>
      <c r="DO1245" s="406">
        <v>-4.24</v>
      </c>
      <c r="DP1245" s="80">
        <v>28</v>
      </c>
    </row>
    <row r="1246" spans="29:120" x14ac:dyDescent="0.25">
      <c r="AC1246" s="122" t="s">
        <v>236</v>
      </c>
      <c r="AD1246" s="122" t="s">
        <v>1636</v>
      </c>
      <c r="AE1246" s="127">
        <v>2</v>
      </c>
      <c r="DA1246" s="122" t="s">
        <v>328</v>
      </c>
      <c r="DB1246" s="122" t="s">
        <v>6720</v>
      </c>
      <c r="DC1246" s="122" t="s">
        <v>5579</v>
      </c>
      <c r="DD1246" s="127">
        <v>8</v>
      </c>
      <c r="DE1246" s="127">
        <v>8</v>
      </c>
      <c r="DG1246" s="405" t="s">
        <v>328</v>
      </c>
      <c r="DH1246" s="406" t="s">
        <v>5579</v>
      </c>
      <c r="DI1246" s="406" t="str">
        <f t="shared" si="51"/>
        <v>MA, Milagres do Maranhão</v>
      </c>
      <c r="DJ1246" s="406">
        <v>-3.581</v>
      </c>
      <c r="DK1246" s="80">
        <v>-42.609000000000002</v>
      </c>
      <c r="DL1246" s="80">
        <v>20</v>
      </c>
      <c r="DM1246" s="64">
        <v>8</v>
      </c>
      <c r="DN1246" s="406" t="s">
        <v>6665</v>
      </c>
      <c r="DO1246" s="406">
        <v>-3.9</v>
      </c>
      <c r="DP1246" s="80">
        <v>65</v>
      </c>
    </row>
    <row r="1247" spans="29:120" x14ac:dyDescent="0.25">
      <c r="AC1247" s="122" t="s">
        <v>311</v>
      </c>
      <c r="AD1247" s="122" t="s">
        <v>1637</v>
      </c>
      <c r="AE1247" s="127">
        <v>1</v>
      </c>
      <c r="DA1247" s="122" t="s">
        <v>328</v>
      </c>
      <c r="DB1247" s="122" t="s">
        <v>3189</v>
      </c>
      <c r="DC1247" s="122" t="s">
        <v>3189</v>
      </c>
      <c r="DD1247" s="127">
        <v>7</v>
      </c>
      <c r="DE1247" s="127">
        <v>7</v>
      </c>
      <c r="DG1247" s="405" t="s">
        <v>328</v>
      </c>
      <c r="DH1247" s="406" t="s">
        <v>3189</v>
      </c>
      <c r="DI1247" s="406" t="str">
        <f t="shared" si="51"/>
        <v>MA, Mirador</v>
      </c>
      <c r="DJ1247" s="406">
        <v>-6.3710000000000004</v>
      </c>
      <c r="DK1247" s="80">
        <v>-44.363</v>
      </c>
      <c r="DL1247" s="80">
        <v>186</v>
      </c>
      <c r="DM1247" s="64">
        <v>7</v>
      </c>
      <c r="DN1247" s="406" t="s">
        <v>6668</v>
      </c>
      <c r="DO1247" s="406">
        <v>-6.03</v>
      </c>
      <c r="DP1247" s="80">
        <v>179</v>
      </c>
    </row>
    <row r="1248" spans="29:120" x14ac:dyDescent="0.25">
      <c r="AC1248" s="122" t="s">
        <v>311</v>
      </c>
      <c r="AD1248" s="122" t="s">
        <v>1638</v>
      </c>
      <c r="AE1248" s="127">
        <v>2</v>
      </c>
      <c r="DA1248" s="122" t="s">
        <v>328</v>
      </c>
      <c r="DB1248" s="122" t="s">
        <v>6721</v>
      </c>
      <c r="DC1248" s="122" t="s">
        <v>4675</v>
      </c>
      <c r="DD1248" s="127">
        <v>8</v>
      </c>
      <c r="DE1248" s="127">
        <v>8</v>
      </c>
      <c r="DG1248" s="405" t="s">
        <v>328</v>
      </c>
      <c r="DH1248" s="406" t="s">
        <v>4675</v>
      </c>
      <c r="DI1248" s="406" t="str">
        <f t="shared" si="51"/>
        <v>MA, Miranda do Norte</v>
      </c>
      <c r="DJ1248" s="406">
        <v>-3.569</v>
      </c>
      <c r="DK1248" s="80">
        <v>-44.584000000000003</v>
      </c>
      <c r="DL1248" s="80">
        <v>62</v>
      </c>
      <c r="DM1248" s="64">
        <v>8</v>
      </c>
      <c r="DN1248" s="406" t="s">
        <v>6640</v>
      </c>
      <c r="DO1248" s="406">
        <v>-4.24</v>
      </c>
      <c r="DP1248" s="80">
        <v>28</v>
      </c>
    </row>
    <row r="1249" spans="29:120" x14ac:dyDescent="0.25">
      <c r="AC1249" s="122" t="s">
        <v>236</v>
      </c>
      <c r="AD1249" s="122" t="s">
        <v>1639</v>
      </c>
      <c r="AE1249" s="127">
        <v>2</v>
      </c>
      <c r="DA1249" s="122" t="s">
        <v>328</v>
      </c>
      <c r="DB1249" s="122" t="s">
        <v>4181</v>
      </c>
      <c r="DC1249" s="122" t="s">
        <v>4181</v>
      </c>
      <c r="DD1249" s="127">
        <v>8</v>
      </c>
      <c r="DE1249" s="127">
        <v>8</v>
      </c>
      <c r="DG1249" s="405" t="s">
        <v>328</v>
      </c>
      <c r="DH1249" s="406" t="s">
        <v>4181</v>
      </c>
      <c r="DI1249" s="406" t="str">
        <f t="shared" si="51"/>
        <v>MA, Mirinzal</v>
      </c>
      <c r="DJ1249" s="406">
        <v>-2.0649999999999999</v>
      </c>
      <c r="DK1249" s="80">
        <v>-44.783999999999999</v>
      </c>
      <c r="DL1249" s="80">
        <v>31</v>
      </c>
      <c r="DM1249" s="64">
        <v>8</v>
      </c>
      <c r="DN1249" s="406" t="s">
        <v>6636</v>
      </c>
      <c r="DO1249" s="406">
        <v>-2.5299999999999998</v>
      </c>
      <c r="DP1249" s="80">
        <v>56</v>
      </c>
    </row>
    <row r="1250" spans="29:120" x14ac:dyDescent="0.25">
      <c r="AC1250" s="122" t="s">
        <v>311</v>
      </c>
      <c r="AD1250" s="122" t="s">
        <v>1640</v>
      </c>
      <c r="AE1250" s="127">
        <v>2</v>
      </c>
      <c r="DA1250" s="122" t="s">
        <v>328</v>
      </c>
      <c r="DB1250" s="122" t="s">
        <v>4694</v>
      </c>
      <c r="DC1250" s="122" t="s">
        <v>4694</v>
      </c>
      <c r="DD1250" s="127">
        <v>8</v>
      </c>
      <c r="DE1250" s="127">
        <v>8</v>
      </c>
      <c r="DG1250" s="405" t="s">
        <v>328</v>
      </c>
      <c r="DH1250" s="406" t="s">
        <v>4694</v>
      </c>
      <c r="DI1250" s="406" t="str">
        <f t="shared" si="51"/>
        <v>MA, Monção</v>
      </c>
      <c r="DJ1250" s="406">
        <v>-3.492</v>
      </c>
      <c r="DK1250" s="80">
        <v>-45.250999999999998</v>
      </c>
      <c r="DL1250" s="80">
        <v>14</v>
      </c>
      <c r="DM1250" s="64">
        <v>8</v>
      </c>
      <c r="DN1250" s="406" t="s">
        <v>6640</v>
      </c>
      <c r="DO1250" s="406">
        <v>-4.24</v>
      </c>
      <c r="DP1250" s="80">
        <v>28</v>
      </c>
    </row>
    <row r="1251" spans="29:120" x14ac:dyDescent="0.25">
      <c r="AC1251" s="122" t="s">
        <v>236</v>
      </c>
      <c r="AD1251" s="122" t="s">
        <v>1641</v>
      </c>
      <c r="AE1251" s="127">
        <v>2</v>
      </c>
      <c r="DA1251" s="122" t="s">
        <v>328</v>
      </c>
      <c r="DB1251" s="122" t="s">
        <v>6722</v>
      </c>
      <c r="DC1251" s="122" t="s">
        <v>4890</v>
      </c>
      <c r="DD1251" s="127">
        <v>7</v>
      </c>
      <c r="DE1251" s="127">
        <v>7</v>
      </c>
      <c r="DG1251" s="405" t="s">
        <v>328</v>
      </c>
      <c r="DH1251" s="406" t="s">
        <v>4890</v>
      </c>
      <c r="DI1251" s="406" t="str">
        <f t="shared" si="51"/>
        <v>MA, Montes Altos</v>
      </c>
      <c r="DJ1251" s="406">
        <v>-5.8310000000000004</v>
      </c>
      <c r="DK1251" s="80">
        <v>-47.067</v>
      </c>
      <c r="DL1251" s="80">
        <v>244</v>
      </c>
      <c r="DM1251" s="64">
        <v>7</v>
      </c>
      <c r="DN1251" s="406" t="s">
        <v>6669</v>
      </c>
      <c r="DO1251" s="406">
        <v>-5.56</v>
      </c>
      <c r="DP1251" s="80">
        <v>126</v>
      </c>
    </row>
    <row r="1252" spans="29:120" x14ac:dyDescent="0.25">
      <c r="AC1252" s="122" t="s">
        <v>236</v>
      </c>
      <c r="AD1252" s="122" t="s">
        <v>1642</v>
      </c>
      <c r="AE1252" s="127">
        <v>2</v>
      </c>
      <c r="DA1252" s="122" t="s">
        <v>328</v>
      </c>
      <c r="DB1252" s="122" t="s">
        <v>4160</v>
      </c>
      <c r="DC1252" s="122" t="s">
        <v>4160</v>
      </c>
      <c r="DD1252" s="127">
        <v>8</v>
      </c>
      <c r="DE1252" s="127">
        <v>8</v>
      </c>
      <c r="DG1252" s="405" t="s">
        <v>328</v>
      </c>
      <c r="DH1252" s="406" t="s">
        <v>4160</v>
      </c>
      <c r="DI1252" s="406" t="str">
        <f t="shared" si="51"/>
        <v>MA, Morros</v>
      </c>
      <c r="DJ1252" s="406">
        <v>-2.8639999999999999</v>
      </c>
      <c r="DK1252" s="80">
        <v>-44.039000000000001</v>
      </c>
      <c r="DL1252" s="80">
        <v>38</v>
      </c>
      <c r="DM1252" s="64">
        <v>8</v>
      </c>
      <c r="DN1252" s="406" t="s">
        <v>6636</v>
      </c>
      <c r="DO1252" s="406">
        <v>-2.5299999999999998</v>
      </c>
      <c r="DP1252" s="80">
        <v>56</v>
      </c>
    </row>
    <row r="1253" spans="29:120" x14ac:dyDescent="0.25">
      <c r="AC1253" s="122" t="s">
        <v>236</v>
      </c>
      <c r="AD1253" s="122" t="s">
        <v>1643</v>
      </c>
      <c r="AE1253" s="127">
        <v>2</v>
      </c>
      <c r="DA1253" s="122" t="s">
        <v>328</v>
      </c>
      <c r="DB1253" s="122" t="s">
        <v>6723</v>
      </c>
      <c r="DC1253" s="122" t="s">
        <v>4586</v>
      </c>
      <c r="DD1253" s="127">
        <v>8</v>
      </c>
      <c r="DE1253" s="127">
        <v>8</v>
      </c>
      <c r="DG1253" s="405" t="s">
        <v>328</v>
      </c>
      <c r="DH1253" s="406" t="s">
        <v>4586</v>
      </c>
      <c r="DI1253" s="406" t="str">
        <f t="shared" si="51"/>
        <v>MA, Nina Rodrigues</v>
      </c>
      <c r="DJ1253" s="406">
        <v>-3.4660000000000002</v>
      </c>
      <c r="DK1253" s="80">
        <v>-43.905000000000001</v>
      </c>
      <c r="DL1253" s="80">
        <v>15</v>
      </c>
      <c r="DM1253" s="64">
        <v>8</v>
      </c>
      <c r="DN1253" s="406" t="s">
        <v>6634</v>
      </c>
      <c r="DO1253" s="406">
        <v>-3.74</v>
      </c>
      <c r="DP1253" s="80">
        <v>91</v>
      </c>
    </row>
    <row r="1254" spans="29:120" x14ac:dyDescent="0.25">
      <c r="AC1254" s="122" t="s">
        <v>236</v>
      </c>
      <c r="AD1254" s="122" t="s">
        <v>1644</v>
      </c>
      <c r="AE1254" s="127">
        <v>2</v>
      </c>
      <c r="DA1254" s="122" t="s">
        <v>328</v>
      </c>
      <c r="DB1254" s="122" t="s">
        <v>6724</v>
      </c>
      <c r="DC1254" s="122" t="s">
        <v>4933</v>
      </c>
      <c r="DD1254" s="127">
        <v>7</v>
      </c>
      <c r="DE1254" s="127">
        <v>7</v>
      </c>
      <c r="DG1254" s="405" t="s">
        <v>328</v>
      </c>
      <c r="DH1254" s="406" t="s">
        <v>4933</v>
      </c>
      <c r="DI1254" s="406" t="str">
        <f t="shared" si="51"/>
        <v>MA, Nova Colinas</v>
      </c>
      <c r="DJ1254" s="406">
        <v>-7.1159999999999997</v>
      </c>
      <c r="DK1254" s="80">
        <v>-46.256999999999998</v>
      </c>
      <c r="DL1254" s="80">
        <v>400</v>
      </c>
      <c r="DM1254" s="64">
        <v>7</v>
      </c>
      <c r="DN1254" s="406" t="s">
        <v>6650</v>
      </c>
      <c r="DO1254" s="406">
        <v>-7.46</v>
      </c>
      <c r="DP1254" s="80">
        <v>254</v>
      </c>
    </row>
    <row r="1255" spans="29:120" x14ac:dyDescent="0.25">
      <c r="AC1255" s="122" t="s">
        <v>27</v>
      </c>
      <c r="AD1255" s="122" t="s">
        <v>1645</v>
      </c>
      <c r="AE1255" s="127">
        <v>2</v>
      </c>
      <c r="DA1255" s="122" t="s">
        <v>328</v>
      </c>
      <c r="DB1255" s="122" t="s">
        <v>6725</v>
      </c>
      <c r="DC1255" s="122" t="s">
        <v>4807</v>
      </c>
      <c r="DD1255" s="127">
        <v>7</v>
      </c>
      <c r="DE1255" s="127">
        <v>7</v>
      </c>
      <c r="DG1255" s="405" t="s">
        <v>328</v>
      </c>
      <c r="DH1255" s="406" t="s">
        <v>4807</v>
      </c>
      <c r="DI1255" s="406" t="str">
        <f t="shared" si="51"/>
        <v>MA, Nova Iorque</v>
      </c>
      <c r="DJ1255" s="406">
        <v>-6.734</v>
      </c>
      <c r="DK1255" s="80">
        <v>-44.043999999999997</v>
      </c>
      <c r="DL1255" s="80">
        <v>178</v>
      </c>
      <c r="DM1255" s="64">
        <v>7</v>
      </c>
      <c r="DN1255" s="406" t="s">
        <v>6668</v>
      </c>
      <c r="DO1255" s="406">
        <v>-6.03</v>
      </c>
      <c r="DP1255" s="80">
        <v>179</v>
      </c>
    </row>
    <row r="1256" spans="29:120" x14ac:dyDescent="0.25">
      <c r="AC1256" s="122" t="s">
        <v>236</v>
      </c>
      <c r="AD1256" s="122" t="s">
        <v>1646</v>
      </c>
      <c r="AE1256" s="127">
        <v>2</v>
      </c>
      <c r="DA1256" s="122" t="s">
        <v>328</v>
      </c>
      <c r="DB1256" s="122" t="s">
        <v>6726</v>
      </c>
      <c r="DC1256" s="122" t="s">
        <v>4587</v>
      </c>
      <c r="DD1256" s="127">
        <v>8</v>
      </c>
      <c r="DE1256" s="127">
        <v>8</v>
      </c>
      <c r="DG1256" s="405" t="s">
        <v>328</v>
      </c>
      <c r="DH1256" s="406" t="s">
        <v>4587</v>
      </c>
      <c r="DI1256" s="406" t="str">
        <f t="shared" si="51"/>
        <v>MA, Nova Olinda do Maranhão</v>
      </c>
      <c r="DJ1256" s="406">
        <v>-2.847</v>
      </c>
      <c r="DK1256" s="80">
        <v>-45.695</v>
      </c>
      <c r="DL1256" s="80">
        <v>35</v>
      </c>
      <c r="DM1256" s="64">
        <v>8</v>
      </c>
      <c r="DN1256" s="406" t="s">
        <v>6647</v>
      </c>
      <c r="DO1256" s="406">
        <v>-1.66</v>
      </c>
      <c r="DP1256" s="80">
        <v>41</v>
      </c>
    </row>
    <row r="1257" spans="29:120" x14ac:dyDescent="0.25">
      <c r="AC1257" s="122" t="s">
        <v>236</v>
      </c>
      <c r="AD1257" s="122" t="s">
        <v>1647</v>
      </c>
      <c r="AE1257" s="127">
        <v>2</v>
      </c>
      <c r="DA1257" s="122" t="s">
        <v>328</v>
      </c>
      <c r="DB1257" s="122" t="s">
        <v>6727</v>
      </c>
      <c r="DC1257" s="122" t="s">
        <v>4793</v>
      </c>
      <c r="DD1257" s="127">
        <v>8</v>
      </c>
      <c r="DE1257" s="127">
        <v>8</v>
      </c>
      <c r="DG1257" s="405" t="s">
        <v>328</v>
      </c>
      <c r="DH1257" s="406" t="s">
        <v>4793</v>
      </c>
      <c r="DI1257" s="406" t="str">
        <f t="shared" si="51"/>
        <v>MA, Olho d'Água das Cunhãs</v>
      </c>
      <c r="DJ1257" s="406">
        <v>-4.1390000000000002</v>
      </c>
      <c r="DK1257" s="80">
        <v>-45.12</v>
      </c>
      <c r="DL1257" s="80">
        <v>30</v>
      </c>
      <c r="DM1257" s="64">
        <v>8</v>
      </c>
      <c r="DN1257" s="406" t="s">
        <v>6640</v>
      </c>
      <c r="DO1257" s="406">
        <v>-4.24</v>
      </c>
      <c r="DP1257" s="80">
        <v>28</v>
      </c>
    </row>
    <row r="1258" spans="29:120" x14ac:dyDescent="0.25">
      <c r="AC1258" s="122" t="s">
        <v>236</v>
      </c>
      <c r="AD1258" s="122" t="s">
        <v>1648</v>
      </c>
      <c r="AE1258" s="127">
        <v>2</v>
      </c>
      <c r="DA1258" s="122" t="s">
        <v>328</v>
      </c>
      <c r="DB1258" s="122" t="s">
        <v>6728</v>
      </c>
      <c r="DC1258" s="122" t="s">
        <v>4614</v>
      </c>
      <c r="DD1258" s="127">
        <v>8</v>
      </c>
      <c r="DE1258" s="127">
        <v>8</v>
      </c>
      <c r="DG1258" s="405" t="s">
        <v>328</v>
      </c>
      <c r="DH1258" s="406" t="s">
        <v>4614</v>
      </c>
      <c r="DI1258" s="406" t="str">
        <f t="shared" si="51"/>
        <v>MA, Olinda Nova do Maranhão</v>
      </c>
      <c r="DJ1258" s="406">
        <v>-2.9980000000000002</v>
      </c>
      <c r="DK1258" s="80">
        <v>-44.997</v>
      </c>
      <c r="DL1258" s="80">
        <v>28</v>
      </c>
      <c r="DM1258" s="64">
        <v>8</v>
      </c>
      <c r="DN1258" s="406" t="s">
        <v>6636</v>
      </c>
      <c r="DO1258" s="406">
        <v>-2.5299999999999998</v>
      </c>
      <c r="DP1258" s="80">
        <v>56</v>
      </c>
    </row>
    <row r="1259" spans="29:120" x14ac:dyDescent="0.25">
      <c r="AC1259" s="122" t="s">
        <v>236</v>
      </c>
      <c r="AD1259" s="122" t="s">
        <v>1649</v>
      </c>
      <c r="AE1259" s="127">
        <v>2</v>
      </c>
      <c r="DA1259" s="122" t="s">
        <v>328</v>
      </c>
      <c r="DB1259" s="122" t="s">
        <v>6729</v>
      </c>
      <c r="DC1259" s="122" t="s">
        <v>4073</v>
      </c>
      <c r="DD1259" s="127">
        <v>8</v>
      </c>
      <c r="DE1259" s="127">
        <v>8</v>
      </c>
      <c r="DG1259" s="405" t="s">
        <v>328</v>
      </c>
      <c r="DH1259" s="406" t="s">
        <v>4073</v>
      </c>
      <c r="DI1259" s="406" t="str">
        <f t="shared" si="51"/>
        <v>MA, Paço do Lumiar</v>
      </c>
      <c r="DJ1259" s="406">
        <v>-2.532</v>
      </c>
      <c r="DK1259" s="80">
        <v>-44.107999999999997</v>
      </c>
      <c r="DL1259" s="80">
        <v>16</v>
      </c>
      <c r="DM1259" s="64">
        <v>8</v>
      </c>
      <c r="DN1259" s="406" t="s">
        <v>6636</v>
      </c>
      <c r="DO1259" s="406">
        <v>-2.5299999999999998</v>
      </c>
      <c r="DP1259" s="80">
        <v>56</v>
      </c>
    </row>
    <row r="1260" spans="29:120" x14ac:dyDescent="0.25">
      <c r="AC1260" s="122" t="s">
        <v>236</v>
      </c>
      <c r="AD1260" s="122" t="s">
        <v>1650</v>
      </c>
      <c r="AE1260" s="127">
        <v>2</v>
      </c>
      <c r="DA1260" s="122" t="s">
        <v>328</v>
      </c>
      <c r="DB1260" s="122" t="s">
        <v>4354</v>
      </c>
      <c r="DC1260" s="122" t="s">
        <v>4354</v>
      </c>
      <c r="DD1260" s="127">
        <v>8</v>
      </c>
      <c r="DE1260" s="127">
        <v>8</v>
      </c>
      <c r="DG1260" s="405" t="s">
        <v>328</v>
      </c>
      <c r="DH1260" s="406" t="s">
        <v>4354</v>
      </c>
      <c r="DI1260" s="406" t="str">
        <f t="shared" si="51"/>
        <v>MA, Palmeirândia</v>
      </c>
      <c r="DJ1260" s="406">
        <v>-2.645</v>
      </c>
      <c r="DK1260" s="80">
        <v>-44.895000000000003</v>
      </c>
      <c r="DL1260" s="80">
        <v>20</v>
      </c>
      <c r="DM1260" s="64">
        <v>8</v>
      </c>
      <c r="DN1260" s="406" t="s">
        <v>6636</v>
      </c>
      <c r="DO1260" s="406">
        <v>-2.5299999999999998</v>
      </c>
      <c r="DP1260" s="80">
        <v>56</v>
      </c>
    </row>
    <row r="1261" spans="29:120" x14ac:dyDescent="0.25">
      <c r="AC1261" s="122" t="s">
        <v>236</v>
      </c>
      <c r="AD1261" s="122" t="s">
        <v>1651</v>
      </c>
      <c r="AE1261" s="127">
        <v>2</v>
      </c>
      <c r="DA1261" s="122" t="s">
        <v>328</v>
      </c>
      <c r="DB1261" s="122" t="s">
        <v>4854</v>
      </c>
      <c r="DC1261" s="122" t="s">
        <v>4854</v>
      </c>
      <c r="DD1261" s="127">
        <v>7</v>
      </c>
      <c r="DE1261" s="127">
        <v>7</v>
      </c>
      <c r="DG1261" s="405" t="s">
        <v>328</v>
      </c>
      <c r="DH1261" s="406" t="s">
        <v>4854</v>
      </c>
      <c r="DI1261" s="406" t="str">
        <f t="shared" si="51"/>
        <v>MA, Paraibano</v>
      </c>
      <c r="DJ1261" s="406">
        <v>-6.4329999999999998</v>
      </c>
      <c r="DK1261" s="80">
        <v>-43.984000000000002</v>
      </c>
      <c r="DL1261" s="80">
        <v>282</v>
      </c>
      <c r="DM1261" s="64">
        <v>7</v>
      </c>
      <c r="DN1261" s="406" t="s">
        <v>6668</v>
      </c>
      <c r="DO1261" s="406">
        <v>-6.03</v>
      </c>
      <c r="DP1261" s="80">
        <v>179</v>
      </c>
    </row>
    <row r="1262" spans="29:120" x14ac:dyDescent="0.25">
      <c r="AC1262" s="122" t="s">
        <v>236</v>
      </c>
      <c r="AD1262" s="122" t="s">
        <v>1652</v>
      </c>
      <c r="AE1262" s="127">
        <v>2</v>
      </c>
      <c r="DA1262" s="122" t="s">
        <v>328</v>
      </c>
      <c r="DB1262" s="122" t="s">
        <v>4830</v>
      </c>
      <c r="DC1262" s="122" t="s">
        <v>4830</v>
      </c>
      <c r="DD1262" s="127">
        <v>7</v>
      </c>
      <c r="DE1262" s="127">
        <v>7</v>
      </c>
      <c r="DG1262" s="405" t="s">
        <v>328</v>
      </c>
      <c r="DH1262" s="406" t="s">
        <v>4830</v>
      </c>
      <c r="DI1262" s="406" t="str">
        <f t="shared" si="51"/>
        <v>MA, Parnarama</v>
      </c>
      <c r="DJ1262" s="406">
        <v>-5.6820000000000004</v>
      </c>
      <c r="DK1262" s="80">
        <v>-43.093000000000004</v>
      </c>
      <c r="DL1262" s="80">
        <v>89</v>
      </c>
      <c r="DM1262" s="64">
        <v>7</v>
      </c>
      <c r="DN1262" s="406" t="s">
        <v>6730</v>
      </c>
      <c r="DO1262" s="406">
        <v>-5.91</v>
      </c>
      <c r="DP1262" s="80">
        <v>287</v>
      </c>
    </row>
    <row r="1263" spans="29:120" x14ac:dyDescent="0.25">
      <c r="AC1263" s="122" t="s">
        <v>27</v>
      </c>
      <c r="AD1263" s="122" t="s">
        <v>1653</v>
      </c>
      <c r="AE1263" s="127">
        <v>2</v>
      </c>
      <c r="DA1263" s="122" t="s">
        <v>328</v>
      </c>
      <c r="DB1263" s="122" t="s">
        <v>6731</v>
      </c>
      <c r="DC1263" s="122" t="s">
        <v>4876</v>
      </c>
      <c r="DD1263" s="127">
        <v>7</v>
      </c>
      <c r="DE1263" s="127">
        <v>7</v>
      </c>
      <c r="DG1263" s="405" t="s">
        <v>328</v>
      </c>
      <c r="DH1263" s="406" t="s">
        <v>4876</v>
      </c>
      <c r="DI1263" s="406" t="str">
        <f t="shared" si="51"/>
        <v>MA, Passagem Franca</v>
      </c>
      <c r="DJ1263" s="406">
        <v>-6.18</v>
      </c>
      <c r="DK1263" s="80">
        <v>-43.783999999999999</v>
      </c>
      <c r="DL1263" s="80">
        <v>243</v>
      </c>
      <c r="DM1263" s="64">
        <v>7</v>
      </c>
      <c r="DN1263" s="406" t="s">
        <v>6668</v>
      </c>
      <c r="DO1263" s="406">
        <v>-6.03</v>
      </c>
      <c r="DP1263" s="80">
        <v>179</v>
      </c>
    </row>
    <row r="1264" spans="29:120" x14ac:dyDescent="0.25">
      <c r="AC1264" s="122" t="s">
        <v>236</v>
      </c>
      <c r="AD1264" s="122" t="s">
        <v>1654</v>
      </c>
      <c r="AE1264" s="127">
        <v>2</v>
      </c>
      <c r="DA1264" s="122" t="s">
        <v>328</v>
      </c>
      <c r="DB1264" s="122" t="s">
        <v>6732</v>
      </c>
      <c r="DC1264" s="122" t="s">
        <v>4824</v>
      </c>
      <c r="DD1264" s="127">
        <v>7</v>
      </c>
      <c r="DE1264" s="127">
        <v>7</v>
      </c>
      <c r="DG1264" s="405" t="s">
        <v>328</v>
      </c>
      <c r="DH1264" s="406" t="s">
        <v>4824</v>
      </c>
      <c r="DI1264" s="406" t="str">
        <f t="shared" si="51"/>
        <v>MA, Pastos Bons</v>
      </c>
      <c r="DJ1264" s="406">
        <v>-6.6020000000000003</v>
      </c>
      <c r="DK1264" s="80">
        <v>-44.076999999999998</v>
      </c>
      <c r="DL1264" s="80">
        <v>309</v>
      </c>
      <c r="DM1264" s="64">
        <v>7</v>
      </c>
      <c r="DN1264" s="406" t="s">
        <v>6668</v>
      </c>
      <c r="DO1264" s="406">
        <v>-6.03</v>
      </c>
      <c r="DP1264" s="80">
        <v>179</v>
      </c>
    </row>
    <row r="1265" spans="29:120" x14ac:dyDescent="0.25">
      <c r="AC1265" s="122" t="s">
        <v>27</v>
      </c>
      <c r="AD1265" s="122" t="s">
        <v>1655</v>
      </c>
      <c r="AE1265" s="127">
        <v>2</v>
      </c>
      <c r="DA1265" s="122" t="s">
        <v>328</v>
      </c>
      <c r="DB1265" s="122" t="s">
        <v>6733</v>
      </c>
      <c r="DC1265" s="122" t="s">
        <v>4077</v>
      </c>
      <c r="DD1265" s="127">
        <v>8</v>
      </c>
      <c r="DE1265" s="127">
        <v>8</v>
      </c>
      <c r="DG1265" s="405" t="s">
        <v>328</v>
      </c>
      <c r="DH1265" s="406" t="s">
        <v>4077</v>
      </c>
      <c r="DI1265" s="406" t="str">
        <f t="shared" si="51"/>
        <v>MA, Paulino Neves</v>
      </c>
      <c r="DJ1265" s="406">
        <v>-2.7189999999999999</v>
      </c>
      <c r="DK1265" s="80">
        <v>-42.533000000000001</v>
      </c>
      <c r="DL1265" s="80">
        <v>4</v>
      </c>
      <c r="DM1265" s="64">
        <v>8</v>
      </c>
      <c r="DN1265" s="406" t="s">
        <v>6655</v>
      </c>
      <c r="DO1265" s="406">
        <v>-2.59</v>
      </c>
      <c r="DP1265" s="80">
        <v>0</v>
      </c>
    </row>
    <row r="1266" spans="29:120" x14ac:dyDescent="0.25">
      <c r="AC1266" s="122" t="s">
        <v>27</v>
      </c>
      <c r="AD1266" s="122" t="s">
        <v>1656</v>
      </c>
      <c r="AE1266" s="127">
        <v>2</v>
      </c>
      <c r="DA1266" s="122" t="s">
        <v>328</v>
      </c>
      <c r="DB1266" s="122" t="s">
        <v>6734</v>
      </c>
      <c r="DC1266" s="122" t="s">
        <v>4748</v>
      </c>
      <c r="DD1266" s="127">
        <v>8</v>
      </c>
      <c r="DE1266" s="127">
        <v>8</v>
      </c>
      <c r="DG1266" s="405" t="s">
        <v>328</v>
      </c>
      <c r="DH1266" s="406" t="s">
        <v>4748</v>
      </c>
      <c r="DI1266" s="406" t="str">
        <f t="shared" si="51"/>
        <v>MA, Paulo Ramos</v>
      </c>
      <c r="DJ1266" s="406">
        <v>-4.4450000000000003</v>
      </c>
      <c r="DK1266" s="80">
        <v>-45.238999999999997</v>
      </c>
      <c r="DL1266" s="80">
        <v>70</v>
      </c>
      <c r="DM1266" s="64">
        <v>8</v>
      </c>
      <c r="DN1266" s="406" t="s">
        <v>6640</v>
      </c>
      <c r="DO1266" s="406">
        <v>-4.24</v>
      </c>
      <c r="DP1266" s="80">
        <v>28</v>
      </c>
    </row>
    <row r="1267" spans="29:120" x14ac:dyDescent="0.25">
      <c r="AC1267" s="122" t="s">
        <v>236</v>
      </c>
      <c r="AD1267" s="122" t="s">
        <v>1657</v>
      </c>
      <c r="AE1267" s="127">
        <v>1</v>
      </c>
      <c r="DA1267" s="122" t="s">
        <v>328</v>
      </c>
      <c r="DB1267" s="122" t="s">
        <v>4862</v>
      </c>
      <c r="DC1267" s="122" t="s">
        <v>4862</v>
      </c>
      <c r="DD1267" s="127">
        <v>8</v>
      </c>
      <c r="DE1267" s="127">
        <v>8</v>
      </c>
      <c r="DG1267" s="405" t="s">
        <v>328</v>
      </c>
      <c r="DH1267" s="406" t="s">
        <v>4862</v>
      </c>
      <c r="DI1267" s="406" t="str">
        <f t="shared" si="51"/>
        <v>MA, Pedreiras</v>
      </c>
      <c r="DJ1267" s="406">
        <v>-4.5739999999999998</v>
      </c>
      <c r="DK1267" s="80">
        <v>-44.597000000000001</v>
      </c>
      <c r="DL1267" s="80">
        <v>28</v>
      </c>
      <c r="DM1267" s="64">
        <v>8</v>
      </c>
      <c r="DN1267" s="406" t="s">
        <v>6640</v>
      </c>
      <c r="DO1267" s="406">
        <v>-4.24</v>
      </c>
      <c r="DP1267" s="80">
        <v>28</v>
      </c>
    </row>
    <row r="1268" spans="29:120" x14ac:dyDescent="0.25">
      <c r="AC1268" s="122" t="s">
        <v>236</v>
      </c>
      <c r="AD1268" s="122" t="s">
        <v>1658</v>
      </c>
      <c r="AE1268" s="127">
        <v>2</v>
      </c>
      <c r="DA1268" s="122" t="s">
        <v>328</v>
      </c>
      <c r="DB1268" s="122" t="s">
        <v>6735</v>
      </c>
      <c r="DC1268" s="122" t="s">
        <v>4620</v>
      </c>
      <c r="DD1268" s="127">
        <v>8</v>
      </c>
      <c r="DE1268" s="127">
        <v>8</v>
      </c>
      <c r="DG1268" s="405" t="s">
        <v>328</v>
      </c>
      <c r="DH1268" s="406" t="s">
        <v>4620</v>
      </c>
      <c r="DI1268" s="406" t="str">
        <f t="shared" si="51"/>
        <v>MA, Pedro do Rosário</v>
      </c>
      <c r="DJ1268" s="406">
        <v>-2.9729999999999999</v>
      </c>
      <c r="DK1268" s="80">
        <v>-45.348999999999997</v>
      </c>
      <c r="DL1268" s="80">
        <v>38</v>
      </c>
      <c r="DM1268" s="64">
        <v>8</v>
      </c>
      <c r="DN1268" s="406" t="s">
        <v>6636</v>
      </c>
      <c r="DO1268" s="406">
        <v>-2.5299999999999998</v>
      </c>
      <c r="DP1268" s="80">
        <v>56</v>
      </c>
    </row>
    <row r="1269" spans="29:120" x14ac:dyDescent="0.25">
      <c r="AC1269" s="122" t="s">
        <v>311</v>
      </c>
      <c r="AD1269" s="122" t="s">
        <v>1659</v>
      </c>
      <c r="AE1269" s="127">
        <v>2</v>
      </c>
      <c r="DA1269" s="122" t="s">
        <v>328</v>
      </c>
      <c r="DB1269" s="122" t="s">
        <v>4649</v>
      </c>
      <c r="DC1269" s="122" t="s">
        <v>4649</v>
      </c>
      <c r="DD1269" s="127">
        <v>8</v>
      </c>
      <c r="DE1269" s="127">
        <v>8</v>
      </c>
      <c r="DG1269" s="405" t="s">
        <v>328</v>
      </c>
      <c r="DH1269" s="406" t="s">
        <v>4649</v>
      </c>
      <c r="DI1269" s="406" t="str">
        <f t="shared" si="51"/>
        <v>MA, Penalva</v>
      </c>
      <c r="DJ1269" s="406">
        <v>-3.294</v>
      </c>
      <c r="DK1269" s="80">
        <v>-45.173999999999999</v>
      </c>
      <c r="DL1269" s="80">
        <v>17</v>
      </c>
      <c r="DM1269" s="64">
        <v>8</v>
      </c>
      <c r="DN1269" s="406" t="s">
        <v>6640</v>
      </c>
      <c r="DO1269" s="406">
        <v>-4.24</v>
      </c>
      <c r="DP1269" s="80">
        <v>28</v>
      </c>
    </row>
    <row r="1270" spans="29:120" x14ac:dyDescent="0.25">
      <c r="AC1270" s="122" t="s">
        <v>27</v>
      </c>
      <c r="AD1270" s="122" t="s">
        <v>1660</v>
      </c>
      <c r="AE1270" s="127">
        <v>2</v>
      </c>
      <c r="DA1270" s="122" t="s">
        <v>328</v>
      </c>
      <c r="DB1270" s="122" t="s">
        <v>6736</v>
      </c>
      <c r="DC1270" s="122" t="s">
        <v>4332</v>
      </c>
      <c r="DD1270" s="127">
        <v>8</v>
      </c>
      <c r="DE1270" s="127">
        <v>8</v>
      </c>
      <c r="DG1270" s="405" t="s">
        <v>328</v>
      </c>
      <c r="DH1270" s="406" t="s">
        <v>4332</v>
      </c>
      <c r="DI1270" s="406" t="str">
        <f t="shared" si="51"/>
        <v>MA, Peri Mirim</v>
      </c>
      <c r="DJ1270" s="406">
        <v>-2.5779999999999998</v>
      </c>
      <c r="DK1270" s="80">
        <v>-44.853999999999999</v>
      </c>
      <c r="DL1270" s="80">
        <v>11</v>
      </c>
      <c r="DM1270" s="64">
        <v>8</v>
      </c>
      <c r="DN1270" s="406" t="s">
        <v>6636</v>
      </c>
      <c r="DO1270" s="406">
        <v>-2.5299999999999998</v>
      </c>
      <c r="DP1270" s="80">
        <v>56</v>
      </c>
    </row>
    <row r="1271" spans="29:120" x14ac:dyDescent="0.25">
      <c r="AC1271" s="122" t="s">
        <v>236</v>
      </c>
      <c r="AD1271" s="122" t="s">
        <v>1661</v>
      </c>
      <c r="AE1271" s="127">
        <v>2</v>
      </c>
      <c r="DA1271" s="122" t="s">
        <v>328</v>
      </c>
      <c r="DB1271" s="122" t="s">
        <v>4864</v>
      </c>
      <c r="DC1271" s="122" t="s">
        <v>4864</v>
      </c>
      <c r="DD1271" s="127">
        <v>8</v>
      </c>
      <c r="DE1271" s="127">
        <v>8</v>
      </c>
      <c r="DG1271" s="405" t="s">
        <v>328</v>
      </c>
      <c r="DH1271" s="406" t="s">
        <v>4864</v>
      </c>
      <c r="DI1271" s="406" t="str">
        <f t="shared" si="51"/>
        <v>MA, Peritoró</v>
      </c>
      <c r="DJ1271" s="406">
        <v>-4.383</v>
      </c>
      <c r="DK1271" s="80">
        <v>-44.332999999999998</v>
      </c>
      <c r="DL1271" s="80">
        <v>53</v>
      </c>
      <c r="DM1271" s="64">
        <v>8</v>
      </c>
      <c r="DN1271" s="406" t="s">
        <v>6640</v>
      </c>
      <c r="DO1271" s="406">
        <v>-4.24</v>
      </c>
      <c r="DP1271" s="80">
        <v>28</v>
      </c>
    </row>
    <row r="1272" spans="29:120" x14ac:dyDescent="0.25">
      <c r="AC1272" s="122" t="s">
        <v>236</v>
      </c>
      <c r="AD1272" s="122" t="s">
        <v>1662</v>
      </c>
      <c r="AE1272" s="127">
        <v>2</v>
      </c>
      <c r="DA1272" s="122" t="s">
        <v>328</v>
      </c>
      <c r="DB1272" s="122" t="s">
        <v>4725</v>
      </c>
      <c r="DC1272" s="122" t="s">
        <v>4725</v>
      </c>
      <c r="DD1272" s="127">
        <v>8</v>
      </c>
      <c r="DE1272" s="127">
        <v>8</v>
      </c>
      <c r="DG1272" s="405" t="s">
        <v>328</v>
      </c>
      <c r="DH1272" s="406" t="s">
        <v>4725</v>
      </c>
      <c r="DI1272" s="406" t="str">
        <f t="shared" si="51"/>
        <v>MA, Pindaré-Mirim</v>
      </c>
      <c r="DJ1272" s="406">
        <v>-3.6080000000000001</v>
      </c>
      <c r="DK1272" s="80">
        <v>-45.343000000000004</v>
      </c>
      <c r="DL1272" s="80">
        <v>19</v>
      </c>
      <c r="DM1272" s="64">
        <v>8</v>
      </c>
      <c r="DN1272" s="406" t="s">
        <v>6640</v>
      </c>
      <c r="DO1272" s="406">
        <v>-4.24</v>
      </c>
      <c r="DP1272" s="80">
        <v>28</v>
      </c>
    </row>
    <row r="1273" spans="29:120" x14ac:dyDescent="0.25">
      <c r="AC1273" s="122" t="s">
        <v>236</v>
      </c>
      <c r="AD1273" s="122" t="s">
        <v>1663</v>
      </c>
      <c r="AE1273" s="127">
        <v>2</v>
      </c>
      <c r="DA1273" s="122" t="s">
        <v>328</v>
      </c>
      <c r="DB1273" s="122" t="s">
        <v>4652</v>
      </c>
      <c r="DC1273" s="122" t="s">
        <v>4652</v>
      </c>
      <c r="DD1273" s="127">
        <v>8</v>
      </c>
      <c r="DE1273" s="127">
        <v>8</v>
      </c>
      <c r="DG1273" s="405" t="s">
        <v>328</v>
      </c>
      <c r="DH1273" s="406" t="s">
        <v>4652</v>
      </c>
      <c r="DI1273" s="406" t="str">
        <f t="shared" si="51"/>
        <v>MA, Pinheiro</v>
      </c>
      <c r="DJ1273" s="406">
        <v>-2.5209999999999999</v>
      </c>
      <c r="DK1273" s="80">
        <v>-45.082999999999998</v>
      </c>
      <c r="DL1273" s="80">
        <v>15</v>
      </c>
      <c r="DM1273" s="64">
        <v>8</v>
      </c>
      <c r="DN1273" s="406" t="s">
        <v>6636</v>
      </c>
      <c r="DO1273" s="406">
        <v>-2.5299999999999998</v>
      </c>
      <c r="DP1273" s="80">
        <v>56</v>
      </c>
    </row>
    <row r="1274" spans="29:120" x14ac:dyDescent="0.25">
      <c r="AC1274" s="122" t="s">
        <v>236</v>
      </c>
      <c r="AD1274" s="122" t="s">
        <v>1664</v>
      </c>
      <c r="AE1274" s="127">
        <v>2</v>
      </c>
      <c r="DA1274" s="122" t="s">
        <v>328</v>
      </c>
      <c r="DB1274" s="122" t="s">
        <v>6737</v>
      </c>
      <c r="DC1274" s="122" t="s">
        <v>4761</v>
      </c>
      <c r="DD1274" s="127">
        <v>8</v>
      </c>
      <c r="DE1274" s="127">
        <v>8</v>
      </c>
      <c r="DG1274" s="405" t="s">
        <v>328</v>
      </c>
      <c r="DH1274" s="406" t="s">
        <v>4761</v>
      </c>
      <c r="DI1274" s="406" t="str">
        <f t="shared" si="51"/>
        <v>MA, Pio XII</v>
      </c>
      <c r="DJ1274" s="406">
        <v>-3.8940000000000001</v>
      </c>
      <c r="DK1274" s="80">
        <v>-45.17</v>
      </c>
      <c r="DL1274" s="80">
        <v>33</v>
      </c>
      <c r="DM1274" s="64">
        <v>8</v>
      </c>
      <c r="DN1274" s="406" t="s">
        <v>6640</v>
      </c>
      <c r="DO1274" s="406">
        <v>-4.24</v>
      </c>
      <c r="DP1274" s="80">
        <v>28</v>
      </c>
    </row>
    <row r="1275" spans="29:120" x14ac:dyDescent="0.25">
      <c r="AC1275" s="122" t="s">
        <v>311</v>
      </c>
      <c r="AD1275" s="122" t="s">
        <v>1665</v>
      </c>
      <c r="AE1275" s="127">
        <v>2</v>
      </c>
      <c r="DA1275" s="122" t="s">
        <v>328</v>
      </c>
      <c r="DB1275" s="122" t="s">
        <v>4692</v>
      </c>
      <c r="DC1275" s="122" t="s">
        <v>4692</v>
      </c>
      <c r="DD1275" s="127">
        <v>8</v>
      </c>
      <c r="DE1275" s="127">
        <v>8</v>
      </c>
      <c r="DG1275" s="405" t="s">
        <v>328</v>
      </c>
      <c r="DH1275" s="406" t="s">
        <v>4692</v>
      </c>
      <c r="DI1275" s="406" t="str">
        <f t="shared" si="51"/>
        <v>MA, Pirapemas</v>
      </c>
      <c r="DJ1275" s="406">
        <v>-3.7269999999999999</v>
      </c>
      <c r="DK1275" s="80">
        <v>-44.222999999999999</v>
      </c>
      <c r="DL1275" s="80">
        <v>39</v>
      </c>
      <c r="DM1275" s="64">
        <v>8</v>
      </c>
      <c r="DN1275" s="406" t="s">
        <v>6640</v>
      </c>
      <c r="DO1275" s="406">
        <v>-4.24</v>
      </c>
      <c r="DP1275" s="80">
        <v>28</v>
      </c>
    </row>
    <row r="1276" spans="29:120" x14ac:dyDescent="0.25">
      <c r="AC1276" s="122" t="s">
        <v>27</v>
      </c>
      <c r="AD1276" s="122" t="s">
        <v>1666</v>
      </c>
      <c r="AE1276" s="127">
        <v>2</v>
      </c>
      <c r="DA1276" s="122" t="s">
        <v>328</v>
      </c>
      <c r="DB1276" s="122" t="s">
        <v>6738</v>
      </c>
      <c r="DC1276" s="122" t="s">
        <v>4829</v>
      </c>
      <c r="DD1276" s="127">
        <v>8</v>
      </c>
      <c r="DE1276" s="127">
        <v>8</v>
      </c>
      <c r="DG1276" s="405" t="s">
        <v>328</v>
      </c>
      <c r="DH1276" s="406" t="s">
        <v>4829</v>
      </c>
      <c r="DI1276" s="406" t="str">
        <f t="shared" si="51"/>
        <v>MA, Poção de Pedras</v>
      </c>
      <c r="DJ1276" s="406">
        <v>-4.7460000000000004</v>
      </c>
      <c r="DK1276" s="80">
        <v>-44.942999999999998</v>
      </c>
      <c r="DL1276" s="80">
        <v>90</v>
      </c>
      <c r="DM1276" s="64">
        <v>8</v>
      </c>
      <c r="DN1276" s="406" t="s">
        <v>6640</v>
      </c>
      <c r="DO1276" s="406">
        <v>-4.24</v>
      </c>
      <c r="DP1276" s="80">
        <v>28</v>
      </c>
    </row>
    <row r="1277" spans="29:120" x14ac:dyDescent="0.25">
      <c r="AC1277" s="122" t="s">
        <v>236</v>
      </c>
      <c r="AD1277" s="122" t="s">
        <v>1667</v>
      </c>
      <c r="AE1277" s="127">
        <v>2</v>
      </c>
      <c r="DA1277" s="122" t="s">
        <v>328</v>
      </c>
      <c r="DB1277" s="122" t="s">
        <v>6739</v>
      </c>
      <c r="DC1277" s="122" t="s">
        <v>4960</v>
      </c>
      <c r="DD1277" s="127">
        <v>7</v>
      </c>
      <c r="DE1277" s="127">
        <v>7</v>
      </c>
      <c r="DG1277" s="405" t="s">
        <v>328</v>
      </c>
      <c r="DH1277" s="406" t="s">
        <v>4960</v>
      </c>
      <c r="DI1277" s="406" t="str">
        <f t="shared" si="51"/>
        <v>MA, Porto Franco</v>
      </c>
      <c r="DJ1277" s="406">
        <v>-6.3380000000000001</v>
      </c>
      <c r="DK1277" s="80">
        <v>-47.399000000000001</v>
      </c>
      <c r="DL1277" s="80">
        <v>162</v>
      </c>
      <c r="DM1277" s="64">
        <v>7</v>
      </c>
      <c r="DN1277" s="406" t="s">
        <v>6672</v>
      </c>
      <c r="DO1277" s="406">
        <v>-6.65</v>
      </c>
      <c r="DP1277" s="80">
        <v>180</v>
      </c>
    </row>
    <row r="1278" spans="29:120" x14ac:dyDescent="0.25">
      <c r="AC1278" s="122" t="s">
        <v>236</v>
      </c>
      <c r="AD1278" s="122" t="s">
        <v>1668</v>
      </c>
      <c r="AE1278" s="127">
        <v>2</v>
      </c>
      <c r="DA1278" s="122" t="s">
        <v>328</v>
      </c>
      <c r="DB1278" s="122" t="s">
        <v>6740</v>
      </c>
      <c r="DC1278" s="122" t="s">
        <v>4090</v>
      </c>
      <c r="DD1278" s="127">
        <v>8</v>
      </c>
      <c r="DE1278" s="127">
        <v>8</v>
      </c>
      <c r="DG1278" s="405" t="s">
        <v>328</v>
      </c>
      <c r="DH1278" s="406" t="s">
        <v>4090</v>
      </c>
      <c r="DI1278" s="406" t="str">
        <f t="shared" si="51"/>
        <v>MA, Porto Rico do Maranhão</v>
      </c>
      <c r="DJ1278" s="406">
        <v>-1.893</v>
      </c>
      <c r="DK1278" s="80">
        <v>-44.604999999999997</v>
      </c>
      <c r="DL1278" s="80">
        <v>27</v>
      </c>
      <c r="DM1278" s="64">
        <v>8</v>
      </c>
      <c r="DN1278" s="406" t="s">
        <v>6636</v>
      </c>
      <c r="DO1278" s="406">
        <v>-2.5299999999999998</v>
      </c>
      <c r="DP1278" s="80">
        <v>56</v>
      </c>
    </row>
    <row r="1279" spans="29:120" x14ac:dyDescent="0.25">
      <c r="AC1279" s="122" t="s">
        <v>236</v>
      </c>
      <c r="AD1279" s="122" t="s">
        <v>1669</v>
      </c>
      <c r="AE1279" s="127">
        <v>2</v>
      </c>
      <c r="DA1279" s="122" t="s">
        <v>328</v>
      </c>
      <c r="DB1279" s="122" t="s">
        <v>6338</v>
      </c>
      <c r="DC1279" s="122" t="s">
        <v>2595</v>
      </c>
      <c r="DD1279" s="127">
        <v>8</v>
      </c>
      <c r="DE1279" s="127">
        <v>8</v>
      </c>
      <c r="DG1279" s="405" t="s">
        <v>328</v>
      </c>
      <c r="DH1279" s="406" t="s">
        <v>2595</v>
      </c>
      <c r="DI1279" s="406" t="str">
        <f t="shared" si="51"/>
        <v>MA, Presidente Dutra</v>
      </c>
      <c r="DJ1279" s="406">
        <v>-5.29</v>
      </c>
      <c r="DK1279" s="80">
        <v>-44.49</v>
      </c>
      <c r="DL1279" s="80">
        <v>112</v>
      </c>
      <c r="DM1279" s="64">
        <v>8</v>
      </c>
      <c r="DN1279" s="406" t="s">
        <v>6668</v>
      </c>
      <c r="DO1279" s="406">
        <v>-6.03</v>
      </c>
      <c r="DP1279" s="80">
        <v>179</v>
      </c>
    </row>
    <row r="1280" spans="29:120" x14ac:dyDescent="0.25">
      <c r="AC1280" s="122" t="s">
        <v>236</v>
      </c>
      <c r="AD1280" s="122" t="s">
        <v>1670</v>
      </c>
      <c r="AE1280" s="127">
        <v>3</v>
      </c>
      <c r="DA1280" s="122" t="s">
        <v>328</v>
      </c>
      <c r="DB1280" s="122" t="s">
        <v>6741</v>
      </c>
      <c r="DC1280" s="122" t="s">
        <v>2701</v>
      </c>
      <c r="DD1280" s="127">
        <v>8</v>
      </c>
      <c r="DE1280" s="127">
        <v>8</v>
      </c>
      <c r="DG1280" s="405" t="s">
        <v>328</v>
      </c>
      <c r="DH1280" s="406" t="s">
        <v>2701</v>
      </c>
      <c r="DI1280" s="406" t="str">
        <f t="shared" si="51"/>
        <v>MA, Presidente Juscelino</v>
      </c>
      <c r="DJ1280" s="406">
        <v>-2.9279999999999999</v>
      </c>
      <c r="DK1280" s="80">
        <v>-44.064999999999998</v>
      </c>
      <c r="DL1280" s="80">
        <v>15</v>
      </c>
      <c r="DM1280" s="64">
        <v>8</v>
      </c>
      <c r="DN1280" s="406" t="s">
        <v>6636</v>
      </c>
      <c r="DO1280" s="406">
        <v>-2.5299999999999998</v>
      </c>
      <c r="DP1280" s="80">
        <v>56</v>
      </c>
    </row>
    <row r="1281" spans="29:120" x14ac:dyDescent="0.25">
      <c r="AC1281" s="122" t="s">
        <v>236</v>
      </c>
      <c r="AD1281" s="122" t="s">
        <v>1671</v>
      </c>
      <c r="AE1281" s="127">
        <v>2</v>
      </c>
      <c r="DA1281" s="122" t="s">
        <v>328</v>
      </c>
      <c r="DB1281" s="122" t="s">
        <v>6742</v>
      </c>
      <c r="DC1281" s="122" t="s">
        <v>4329</v>
      </c>
      <c r="DD1281" s="127">
        <v>8</v>
      </c>
      <c r="DE1281" s="127">
        <v>8</v>
      </c>
      <c r="DG1281" s="405" t="s">
        <v>328</v>
      </c>
      <c r="DH1281" s="406" t="s">
        <v>4329</v>
      </c>
      <c r="DI1281" s="406" t="str">
        <f t="shared" si="51"/>
        <v>MA, Presidente Médici</v>
      </c>
      <c r="DJ1281" s="406">
        <v>-2.387</v>
      </c>
      <c r="DK1281" s="80">
        <v>-45.82</v>
      </c>
      <c r="DL1281" s="80">
        <v>40</v>
      </c>
      <c r="DM1281" s="64">
        <v>8</v>
      </c>
      <c r="DN1281" s="406" t="s">
        <v>6647</v>
      </c>
      <c r="DO1281" s="406">
        <v>-1.66</v>
      </c>
      <c r="DP1281" s="80">
        <v>41</v>
      </c>
    </row>
    <row r="1282" spans="29:120" x14ac:dyDescent="0.25">
      <c r="AC1282" s="122" t="s">
        <v>311</v>
      </c>
      <c r="AD1282" s="122" t="s">
        <v>1672</v>
      </c>
      <c r="AE1282" s="127">
        <v>2</v>
      </c>
      <c r="DA1282" s="122" t="s">
        <v>328</v>
      </c>
      <c r="DB1282" s="122" t="s">
        <v>6743</v>
      </c>
      <c r="DC1282" s="122" t="s">
        <v>4617</v>
      </c>
      <c r="DD1282" s="127">
        <v>8</v>
      </c>
      <c r="DE1282" s="127">
        <v>8</v>
      </c>
      <c r="DG1282" s="405" t="s">
        <v>328</v>
      </c>
      <c r="DH1282" s="406" t="s">
        <v>4617</v>
      </c>
      <c r="DI1282" s="406" t="str">
        <f t="shared" si="51"/>
        <v>MA, Presidente Sarney</v>
      </c>
      <c r="DJ1282" s="406">
        <v>-2.5910000000000002</v>
      </c>
      <c r="DK1282" s="80">
        <v>-45.363999999999997</v>
      </c>
      <c r="DL1282" s="80">
        <v>29</v>
      </c>
      <c r="DM1282" s="64">
        <v>8</v>
      </c>
      <c r="DN1282" s="406" t="s">
        <v>6647</v>
      </c>
      <c r="DO1282" s="406">
        <v>-1.66</v>
      </c>
      <c r="DP1282" s="80">
        <v>41</v>
      </c>
    </row>
    <row r="1283" spans="29:120" x14ac:dyDescent="0.25">
      <c r="AC1283" s="122" t="s">
        <v>236</v>
      </c>
      <c r="AD1283" s="122" t="s">
        <v>1673</v>
      </c>
      <c r="AE1283" s="127">
        <v>2</v>
      </c>
      <c r="DA1283" s="122" t="s">
        <v>328</v>
      </c>
      <c r="DB1283" s="122" t="s">
        <v>6744</v>
      </c>
      <c r="DC1283" s="122" t="s">
        <v>4573</v>
      </c>
      <c r="DD1283" s="127">
        <v>8</v>
      </c>
      <c r="DE1283" s="127">
        <v>8</v>
      </c>
      <c r="DG1283" s="405" t="s">
        <v>328</v>
      </c>
      <c r="DH1283" s="406" t="s">
        <v>4573</v>
      </c>
      <c r="DI1283" s="406" t="str">
        <f t="shared" ref="DI1283:DI1346" si="52">CONCATENATE(DG1283,", ",DH1283)</f>
        <v>MA, Presidente Vargas</v>
      </c>
      <c r="DJ1283" s="406">
        <v>-3.407</v>
      </c>
      <c r="DK1283" s="80">
        <v>-44.024000000000001</v>
      </c>
      <c r="DL1283" s="80">
        <v>58</v>
      </c>
      <c r="DM1283" s="64">
        <v>8</v>
      </c>
      <c r="DN1283" s="406" t="s">
        <v>6634</v>
      </c>
      <c r="DO1283" s="406">
        <v>-3.74</v>
      </c>
      <c r="DP1283" s="80">
        <v>91</v>
      </c>
    </row>
    <row r="1284" spans="29:120" x14ac:dyDescent="0.25">
      <c r="AC1284" s="122" t="s">
        <v>236</v>
      </c>
      <c r="AD1284" s="122" t="s">
        <v>1674</v>
      </c>
      <c r="AE1284" s="127">
        <v>2</v>
      </c>
      <c r="DA1284" s="122" t="s">
        <v>328</v>
      </c>
      <c r="DB1284" s="122" t="s">
        <v>6745</v>
      </c>
      <c r="DC1284" s="122" t="s">
        <v>5325</v>
      </c>
      <c r="DD1284" s="127">
        <v>8</v>
      </c>
      <c r="DE1284" s="127">
        <v>8</v>
      </c>
      <c r="DG1284" s="405" t="s">
        <v>328</v>
      </c>
      <c r="DH1284" s="406" t="s">
        <v>5325</v>
      </c>
      <c r="DI1284" s="406" t="str">
        <f t="shared" si="52"/>
        <v>MA, Primeira Cruz</v>
      </c>
      <c r="DJ1284" s="406">
        <v>-2.5099999999999998</v>
      </c>
      <c r="DK1284" s="80">
        <v>-43.438000000000002</v>
      </c>
      <c r="DL1284" s="80">
        <v>16</v>
      </c>
      <c r="DM1284" s="64">
        <v>8</v>
      </c>
      <c r="DN1284" s="406" t="s">
        <v>6697</v>
      </c>
      <c r="DO1284" s="406">
        <v>-2.27</v>
      </c>
      <c r="DP1284" s="80">
        <v>0</v>
      </c>
    </row>
    <row r="1285" spans="29:120" x14ac:dyDescent="0.25">
      <c r="AC1285" s="122" t="s">
        <v>236</v>
      </c>
      <c r="AD1285" s="122" t="s">
        <v>1675</v>
      </c>
      <c r="AE1285" s="127">
        <v>3</v>
      </c>
      <c r="DA1285" s="122" t="s">
        <v>328</v>
      </c>
      <c r="DB1285" s="122" t="s">
        <v>4055</v>
      </c>
      <c r="DC1285" s="122" t="s">
        <v>4055</v>
      </c>
      <c r="DD1285" s="127">
        <v>8</v>
      </c>
      <c r="DE1285" s="127">
        <v>8</v>
      </c>
      <c r="DG1285" s="405" t="s">
        <v>328</v>
      </c>
      <c r="DH1285" s="406" t="s">
        <v>4055</v>
      </c>
      <c r="DI1285" s="406" t="str">
        <f t="shared" si="52"/>
        <v>MA, Raposa</v>
      </c>
      <c r="DJ1285" s="406">
        <v>-2.423</v>
      </c>
      <c r="DK1285" s="80">
        <v>-44.103000000000002</v>
      </c>
      <c r="DL1285" s="80">
        <v>3</v>
      </c>
      <c r="DM1285" s="64">
        <v>8</v>
      </c>
      <c r="DN1285" s="406" t="s">
        <v>6636</v>
      </c>
      <c r="DO1285" s="406">
        <v>-2.5299999999999998</v>
      </c>
      <c r="DP1285" s="80">
        <v>56</v>
      </c>
    </row>
    <row r="1286" spans="29:120" x14ac:dyDescent="0.25">
      <c r="AC1286" s="122" t="s">
        <v>236</v>
      </c>
      <c r="AD1286" s="122" t="s">
        <v>1676</v>
      </c>
      <c r="AE1286" s="127">
        <v>2</v>
      </c>
      <c r="DA1286" s="122" t="s">
        <v>328</v>
      </c>
      <c r="DB1286" s="122" t="s">
        <v>1940</v>
      </c>
      <c r="DC1286" s="122" t="s">
        <v>1940</v>
      </c>
      <c r="DD1286" s="127">
        <v>7</v>
      </c>
      <c r="DE1286" s="127">
        <v>7</v>
      </c>
      <c r="DG1286" s="405" t="s">
        <v>328</v>
      </c>
      <c r="DH1286" s="406" t="s">
        <v>1940</v>
      </c>
      <c r="DI1286" s="406" t="str">
        <f t="shared" si="52"/>
        <v>MA, Riachão</v>
      </c>
      <c r="DJ1286" s="406">
        <v>-7.3620000000000001</v>
      </c>
      <c r="DK1286" s="80">
        <v>-46.616999999999997</v>
      </c>
      <c r="DL1286" s="80">
        <v>383</v>
      </c>
      <c r="DM1286" s="64">
        <v>7</v>
      </c>
      <c r="DN1286" s="406" t="s">
        <v>6650</v>
      </c>
      <c r="DO1286" s="406">
        <v>-7.46</v>
      </c>
      <c r="DP1286" s="80">
        <v>254</v>
      </c>
    </row>
    <row r="1287" spans="29:120" x14ac:dyDescent="0.25">
      <c r="AC1287" s="122" t="s">
        <v>236</v>
      </c>
      <c r="AD1287" s="122" t="s">
        <v>1677</v>
      </c>
      <c r="AE1287" s="127">
        <v>2</v>
      </c>
      <c r="DA1287" s="122" t="s">
        <v>328</v>
      </c>
      <c r="DB1287" s="122" t="s">
        <v>6746</v>
      </c>
      <c r="DC1287" s="122" t="s">
        <v>4920</v>
      </c>
      <c r="DD1287" s="127">
        <v>7</v>
      </c>
      <c r="DE1287" s="127">
        <v>7</v>
      </c>
      <c r="DG1287" s="405" t="s">
        <v>328</v>
      </c>
      <c r="DH1287" s="406" t="s">
        <v>4920</v>
      </c>
      <c r="DI1287" s="406" t="str">
        <f t="shared" si="52"/>
        <v>MA, Ribamar Fiquene</v>
      </c>
      <c r="DJ1287" s="406">
        <v>-5.93</v>
      </c>
      <c r="DK1287" s="80">
        <v>-47.384</v>
      </c>
      <c r="DL1287" s="80">
        <v>156</v>
      </c>
      <c r="DM1287" s="64">
        <v>7</v>
      </c>
      <c r="DN1287" s="406" t="s">
        <v>6669</v>
      </c>
      <c r="DO1287" s="406">
        <v>-5.56</v>
      </c>
      <c r="DP1287" s="80">
        <v>126</v>
      </c>
    </row>
    <row r="1288" spans="29:120" x14ac:dyDescent="0.25">
      <c r="AC1288" s="122" t="s">
        <v>236</v>
      </c>
      <c r="AD1288" s="122" t="s">
        <v>1678</v>
      </c>
      <c r="AE1288" s="127">
        <v>2</v>
      </c>
      <c r="DA1288" s="122" t="s">
        <v>328</v>
      </c>
      <c r="DB1288" s="122" t="s">
        <v>4200</v>
      </c>
      <c r="DC1288" s="122" t="s">
        <v>4200</v>
      </c>
      <c r="DD1288" s="127">
        <v>8</v>
      </c>
      <c r="DE1288" s="127">
        <v>8</v>
      </c>
      <c r="DG1288" s="405" t="s">
        <v>328</v>
      </c>
      <c r="DH1288" s="406" t="s">
        <v>4200</v>
      </c>
      <c r="DI1288" s="406" t="str">
        <f t="shared" si="52"/>
        <v>MA, Rosário</v>
      </c>
      <c r="DJ1288" s="406">
        <v>-2.9340000000000002</v>
      </c>
      <c r="DK1288" s="80">
        <v>-44.234999999999999</v>
      </c>
      <c r="DL1288" s="80">
        <v>14</v>
      </c>
      <c r="DM1288" s="64">
        <v>8</v>
      </c>
      <c r="DN1288" s="406" t="s">
        <v>6636</v>
      </c>
      <c r="DO1288" s="406">
        <v>-2.5299999999999998</v>
      </c>
      <c r="DP1288" s="80">
        <v>56</v>
      </c>
    </row>
    <row r="1289" spans="29:120" x14ac:dyDescent="0.25">
      <c r="AC1289" s="122" t="s">
        <v>236</v>
      </c>
      <c r="AD1289" s="122" t="s">
        <v>1679</v>
      </c>
      <c r="AE1289" s="127">
        <v>2</v>
      </c>
      <c r="DA1289" s="122" t="s">
        <v>328</v>
      </c>
      <c r="DB1289" s="122" t="s">
        <v>4364</v>
      </c>
      <c r="DC1289" s="122" t="s">
        <v>4364</v>
      </c>
      <c r="DD1289" s="127">
        <v>7</v>
      </c>
      <c r="DE1289" s="127">
        <v>7</v>
      </c>
      <c r="DG1289" s="405" t="s">
        <v>328</v>
      </c>
      <c r="DH1289" s="406" t="s">
        <v>4364</v>
      </c>
      <c r="DI1289" s="406" t="str">
        <f t="shared" si="52"/>
        <v>MA, Sambaíba</v>
      </c>
      <c r="DJ1289" s="406">
        <v>-7.14</v>
      </c>
      <c r="DK1289" s="80">
        <v>-45.345999999999997</v>
      </c>
      <c r="DL1289" s="80">
        <v>212</v>
      </c>
      <c r="DM1289" s="64">
        <v>7</v>
      </c>
      <c r="DN1289" s="406" t="s">
        <v>6650</v>
      </c>
      <c r="DO1289" s="406">
        <v>-7.46</v>
      </c>
      <c r="DP1289" s="80">
        <v>254</v>
      </c>
    </row>
    <row r="1290" spans="29:120" x14ac:dyDescent="0.25">
      <c r="AC1290" s="122" t="s">
        <v>236</v>
      </c>
      <c r="AD1290" s="122" t="s">
        <v>1680</v>
      </c>
      <c r="AE1290" s="127">
        <v>2</v>
      </c>
      <c r="DA1290" s="122" t="s">
        <v>328</v>
      </c>
      <c r="DB1290" s="122" t="s">
        <v>6747</v>
      </c>
      <c r="DC1290" s="122" t="s">
        <v>4955</v>
      </c>
      <c r="DD1290" s="127">
        <v>8</v>
      </c>
      <c r="DE1290" s="127">
        <v>8</v>
      </c>
      <c r="DG1290" s="405" t="s">
        <v>328</v>
      </c>
      <c r="DH1290" s="406" t="s">
        <v>4955</v>
      </c>
      <c r="DI1290" s="406" t="str">
        <f t="shared" si="52"/>
        <v>MA, Santa Filomena do Maranhão</v>
      </c>
      <c r="DJ1290" s="406">
        <v>-5.5010000000000003</v>
      </c>
      <c r="DK1290" s="80">
        <v>-44.561</v>
      </c>
      <c r="DL1290" s="80">
        <v>180</v>
      </c>
      <c r="DM1290" s="64">
        <v>8</v>
      </c>
      <c r="DN1290" s="406" t="s">
        <v>6668</v>
      </c>
      <c r="DO1290" s="406">
        <v>-6.03</v>
      </c>
      <c r="DP1290" s="80">
        <v>179</v>
      </c>
    </row>
    <row r="1291" spans="29:120" x14ac:dyDescent="0.25">
      <c r="AC1291" s="122" t="s">
        <v>236</v>
      </c>
      <c r="AD1291" s="122" t="s">
        <v>1681</v>
      </c>
      <c r="AE1291" s="127">
        <v>2</v>
      </c>
      <c r="DA1291" s="122" t="s">
        <v>328</v>
      </c>
      <c r="DB1291" s="122" t="s">
        <v>6748</v>
      </c>
      <c r="DC1291" s="122" t="s">
        <v>1704</v>
      </c>
      <c r="DD1291" s="127">
        <v>8</v>
      </c>
      <c r="DE1291" s="127">
        <v>8</v>
      </c>
      <c r="DG1291" s="405" t="s">
        <v>328</v>
      </c>
      <c r="DH1291" s="406" t="s">
        <v>1704</v>
      </c>
      <c r="DI1291" s="406" t="str">
        <f t="shared" si="52"/>
        <v>MA, Santa Helena</v>
      </c>
      <c r="DJ1291" s="406">
        <v>-2.2309999999999999</v>
      </c>
      <c r="DK1291" s="80">
        <v>-45.3</v>
      </c>
      <c r="DL1291" s="80">
        <v>29</v>
      </c>
      <c r="DM1291" s="64">
        <v>8</v>
      </c>
      <c r="DN1291" s="406" t="s">
        <v>6647</v>
      </c>
      <c r="DO1291" s="406">
        <v>-1.66</v>
      </c>
      <c r="DP1291" s="80">
        <v>41</v>
      </c>
    </row>
    <row r="1292" spans="29:120" x14ac:dyDescent="0.25">
      <c r="AC1292" s="122" t="s">
        <v>27</v>
      </c>
      <c r="AD1292" s="122" t="s">
        <v>1682</v>
      </c>
      <c r="AE1292" s="127">
        <v>2</v>
      </c>
      <c r="DA1292" s="122" t="s">
        <v>328</v>
      </c>
      <c r="DB1292" s="122" t="s">
        <v>6359</v>
      </c>
      <c r="DC1292" s="122" t="s">
        <v>1814</v>
      </c>
      <c r="DD1292" s="127">
        <v>8</v>
      </c>
      <c r="DE1292" s="127">
        <v>8</v>
      </c>
      <c r="DG1292" s="405" t="s">
        <v>328</v>
      </c>
      <c r="DH1292" s="406" t="s">
        <v>1814</v>
      </c>
      <c r="DI1292" s="406" t="str">
        <f t="shared" si="52"/>
        <v>MA, Santa Inês</v>
      </c>
      <c r="DJ1292" s="406">
        <v>-3.6669999999999998</v>
      </c>
      <c r="DK1292" s="80">
        <v>-45.38</v>
      </c>
      <c r="DL1292" s="80">
        <v>24</v>
      </c>
      <c r="DM1292" s="64">
        <v>8</v>
      </c>
      <c r="DN1292" s="406" t="s">
        <v>6640</v>
      </c>
      <c r="DO1292" s="406">
        <v>-4.24</v>
      </c>
      <c r="DP1292" s="80">
        <v>28</v>
      </c>
    </row>
    <row r="1293" spans="29:120" x14ac:dyDescent="0.25">
      <c r="AC1293" s="122" t="s">
        <v>236</v>
      </c>
      <c r="AD1293" s="122" t="s">
        <v>1683</v>
      </c>
      <c r="AE1293" s="127">
        <v>2</v>
      </c>
      <c r="DA1293" s="122" t="s">
        <v>328</v>
      </c>
      <c r="DB1293" s="122" t="s">
        <v>6360</v>
      </c>
      <c r="DC1293" s="122" t="s">
        <v>1864</v>
      </c>
      <c r="DD1293" s="127">
        <v>8</v>
      </c>
      <c r="DE1293" s="127">
        <v>8</v>
      </c>
      <c r="DG1293" s="405" t="s">
        <v>328</v>
      </c>
      <c r="DH1293" s="406" t="s">
        <v>1864</v>
      </c>
      <c r="DI1293" s="406" t="str">
        <f t="shared" si="52"/>
        <v>MA, Santa Luzia</v>
      </c>
      <c r="DJ1293" s="406">
        <v>-4.069</v>
      </c>
      <c r="DK1293" s="80">
        <v>-45.69</v>
      </c>
      <c r="DL1293" s="80">
        <v>60</v>
      </c>
      <c r="DM1293" s="64">
        <v>8</v>
      </c>
      <c r="DN1293" s="406" t="s">
        <v>6643</v>
      </c>
      <c r="DO1293" s="406">
        <v>-4.32</v>
      </c>
      <c r="DP1293" s="80">
        <v>175</v>
      </c>
    </row>
    <row r="1294" spans="29:120" x14ac:dyDescent="0.25">
      <c r="AC1294" s="122" t="s">
        <v>236</v>
      </c>
      <c r="AD1294" s="122" t="s">
        <v>1684</v>
      </c>
      <c r="AE1294" s="127">
        <v>3</v>
      </c>
      <c r="DA1294" s="122" t="s">
        <v>328</v>
      </c>
      <c r="DB1294" s="122" t="s">
        <v>6749</v>
      </c>
      <c r="DC1294" s="122" t="s">
        <v>4350</v>
      </c>
      <c r="DD1294" s="127">
        <v>8</v>
      </c>
      <c r="DE1294" s="127">
        <v>8</v>
      </c>
      <c r="DG1294" s="405" t="s">
        <v>328</v>
      </c>
      <c r="DH1294" s="406" t="s">
        <v>4350</v>
      </c>
      <c r="DI1294" s="406" t="str">
        <f t="shared" si="52"/>
        <v>MA, Santa Luzia do Paruá</v>
      </c>
      <c r="DJ1294" s="406">
        <v>-2.629</v>
      </c>
      <c r="DK1294" s="80">
        <v>-45.773000000000003</v>
      </c>
      <c r="DL1294" s="80">
        <v>52</v>
      </c>
      <c r="DM1294" s="64">
        <v>8</v>
      </c>
      <c r="DN1294" s="406" t="s">
        <v>6647</v>
      </c>
      <c r="DO1294" s="406">
        <v>-1.66</v>
      </c>
      <c r="DP1294" s="80">
        <v>41</v>
      </c>
    </row>
    <row r="1295" spans="29:120" x14ac:dyDescent="0.25">
      <c r="AC1295" s="122" t="s">
        <v>236</v>
      </c>
      <c r="AD1295" s="122" t="s">
        <v>1685</v>
      </c>
      <c r="AE1295" s="127">
        <v>2</v>
      </c>
      <c r="DA1295" s="122" t="s">
        <v>328</v>
      </c>
      <c r="DB1295" s="122" t="s">
        <v>6750</v>
      </c>
      <c r="DC1295" s="122" t="s">
        <v>5572</v>
      </c>
      <c r="DD1295" s="127">
        <v>8</v>
      </c>
      <c r="DE1295" s="127">
        <v>8</v>
      </c>
      <c r="DG1295" s="405" t="s">
        <v>328</v>
      </c>
      <c r="DH1295" s="406" t="s">
        <v>5572</v>
      </c>
      <c r="DI1295" s="406" t="str">
        <f t="shared" si="52"/>
        <v>MA, Santa Quitéria do Maranhão</v>
      </c>
      <c r="DJ1295" s="406">
        <v>-3.516</v>
      </c>
      <c r="DK1295" s="80">
        <v>-42.546999999999997</v>
      </c>
      <c r="DL1295" s="80">
        <v>36</v>
      </c>
      <c r="DM1295" s="64">
        <v>8</v>
      </c>
      <c r="DN1295" s="406" t="s">
        <v>6665</v>
      </c>
      <c r="DO1295" s="406">
        <v>-3.9</v>
      </c>
      <c r="DP1295" s="80">
        <v>65</v>
      </c>
    </row>
    <row r="1296" spans="29:120" x14ac:dyDescent="0.25">
      <c r="AC1296" s="122" t="s">
        <v>236</v>
      </c>
      <c r="AD1296" s="122" t="s">
        <v>1686</v>
      </c>
      <c r="AE1296" s="127">
        <v>2</v>
      </c>
      <c r="DA1296" s="122" t="s">
        <v>328</v>
      </c>
      <c r="DB1296" s="122" t="s">
        <v>6751</v>
      </c>
      <c r="DC1296" s="122" t="s">
        <v>4154</v>
      </c>
      <c r="DD1296" s="127">
        <v>8</v>
      </c>
      <c r="DE1296" s="127">
        <v>8</v>
      </c>
      <c r="DG1296" s="405" t="s">
        <v>328</v>
      </c>
      <c r="DH1296" s="406" t="s">
        <v>4154</v>
      </c>
      <c r="DI1296" s="406" t="str">
        <f t="shared" si="52"/>
        <v>MA, Santa Rita</v>
      </c>
      <c r="DJ1296" s="406">
        <v>-3.1440000000000001</v>
      </c>
      <c r="DK1296" s="80">
        <v>-44.326000000000001</v>
      </c>
      <c r="DL1296" s="80">
        <v>28</v>
      </c>
      <c r="DM1296" s="64">
        <v>8</v>
      </c>
      <c r="DN1296" s="406" t="s">
        <v>6636</v>
      </c>
      <c r="DO1296" s="406">
        <v>-2.5299999999999998</v>
      </c>
      <c r="DP1296" s="80">
        <v>56</v>
      </c>
    </row>
    <row r="1297" spans="29:120" x14ac:dyDescent="0.25">
      <c r="AC1297" s="122" t="s">
        <v>236</v>
      </c>
      <c r="AD1297" s="122" t="s">
        <v>1687</v>
      </c>
      <c r="AE1297" s="127">
        <v>2</v>
      </c>
      <c r="DA1297" s="122" t="s">
        <v>328</v>
      </c>
      <c r="DB1297" s="122" t="s">
        <v>6752</v>
      </c>
      <c r="DC1297" s="122" t="s">
        <v>4577</v>
      </c>
      <c r="DD1297" s="127">
        <v>8</v>
      </c>
      <c r="DE1297" s="127">
        <v>8</v>
      </c>
      <c r="DG1297" s="405" t="s">
        <v>328</v>
      </c>
      <c r="DH1297" s="406" t="s">
        <v>4577</v>
      </c>
      <c r="DI1297" s="406" t="str">
        <f t="shared" si="52"/>
        <v>MA, Santana do Maranhão</v>
      </c>
      <c r="DJ1297" s="406">
        <v>-3.1160000000000001</v>
      </c>
      <c r="DK1297" s="80">
        <v>-42.411999999999999</v>
      </c>
      <c r="DL1297" s="80">
        <v>33</v>
      </c>
      <c r="DM1297" s="64">
        <v>8</v>
      </c>
      <c r="DN1297" s="406" t="s">
        <v>6655</v>
      </c>
      <c r="DO1297" s="406">
        <v>-2.59</v>
      </c>
      <c r="DP1297" s="80">
        <v>0</v>
      </c>
    </row>
    <row r="1298" spans="29:120" x14ac:dyDescent="0.25">
      <c r="AC1298" s="122" t="s">
        <v>236</v>
      </c>
      <c r="AD1298" s="122" t="s">
        <v>1688</v>
      </c>
      <c r="AE1298" s="127">
        <v>2</v>
      </c>
      <c r="DA1298" s="122" t="s">
        <v>328</v>
      </c>
      <c r="DB1298" s="122" t="s">
        <v>6753</v>
      </c>
      <c r="DC1298" s="122" t="s">
        <v>5022</v>
      </c>
      <c r="DD1298" s="127">
        <v>8</v>
      </c>
      <c r="DE1298" s="127">
        <v>8</v>
      </c>
      <c r="DG1298" s="405" t="s">
        <v>328</v>
      </c>
      <c r="DH1298" s="406" t="s">
        <v>5022</v>
      </c>
      <c r="DI1298" s="406" t="str">
        <f t="shared" si="52"/>
        <v>MA, Santo Amaro do Maranhão</v>
      </c>
      <c r="DJ1298" s="406">
        <v>-2.5</v>
      </c>
      <c r="DK1298" s="80">
        <v>-43.253999999999998</v>
      </c>
      <c r="DL1298" s="80">
        <v>10</v>
      </c>
      <c r="DM1298" s="64">
        <v>8</v>
      </c>
      <c r="DN1298" s="406" t="s">
        <v>6697</v>
      </c>
      <c r="DO1298" s="406">
        <v>-2.27</v>
      </c>
      <c r="DP1298" s="80">
        <v>0</v>
      </c>
    </row>
    <row r="1299" spans="29:120" x14ac:dyDescent="0.25">
      <c r="AC1299" s="122" t="s">
        <v>236</v>
      </c>
      <c r="AD1299" s="122" t="s">
        <v>1689</v>
      </c>
      <c r="AE1299" s="127">
        <v>2</v>
      </c>
      <c r="DA1299" s="122" t="s">
        <v>328</v>
      </c>
      <c r="DB1299" s="122" t="s">
        <v>6754</v>
      </c>
      <c r="DC1299" s="122" t="s">
        <v>4909</v>
      </c>
      <c r="DD1299" s="127">
        <v>8</v>
      </c>
      <c r="DE1299" s="127">
        <v>8</v>
      </c>
      <c r="DG1299" s="405" t="s">
        <v>328</v>
      </c>
      <c r="DH1299" s="406" t="s">
        <v>4909</v>
      </c>
      <c r="DI1299" s="406" t="str">
        <f t="shared" si="52"/>
        <v>MA, Santo Antônio dos Lopes</v>
      </c>
      <c r="DJ1299" s="406">
        <v>-4.8689999999999998</v>
      </c>
      <c r="DK1299" s="80">
        <v>-44.36</v>
      </c>
      <c r="DL1299" s="80">
        <v>129</v>
      </c>
      <c r="DM1299" s="64">
        <v>8</v>
      </c>
      <c r="DN1299" s="406" t="s">
        <v>6640</v>
      </c>
      <c r="DO1299" s="406">
        <v>-4.24</v>
      </c>
      <c r="DP1299" s="80">
        <v>28</v>
      </c>
    </row>
    <row r="1300" spans="29:120" x14ac:dyDescent="0.25">
      <c r="AC1300" s="122" t="s">
        <v>236</v>
      </c>
      <c r="AD1300" s="122" t="s">
        <v>1690</v>
      </c>
      <c r="AE1300" s="127">
        <v>2</v>
      </c>
      <c r="DA1300" s="122" t="s">
        <v>328</v>
      </c>
      <c r="DB1300" s="122" t="s">
        <v>6755</v>
      </c>
      <c r="DC1300" s="122" t="s">
        <v>5437</v>
      </c>
      <c r="DD1300" s="127">
        <v>8</v>
      </c>
      <c r="DE1300" s="127">
        <v>8</v>
      </c>
      <c r="DG1300" s="405" t="s">
        <v>328</v>
      </c>
      <c r="DH1300" s="406" t="s">
        <v>5437</v>
      </c>
      <c r="DI1300" s="406" t="str">
        <f t="shared" si="52"/>
        <v>MA, São Benedito do Rio Preto</v>
      </c>
      <c r="DJ1300" s="406">
        <v>-3.3340000000000001</v>
      </c>
      <c r="DK1300" s="80">
        <v>-43.527999999999999</v>
      </c>
      <c r="DL1300" s="80">
        <v>34</v>
      </c>
      <c r="DM1300" s="64">
        <v>8</v>
      </c>
      <c r="DN1300" s="406" t="s">
        <v>6634</v>
      </c>
      <c r="DO1300" s="406">
        <v>-3.74</v>
      </c>
      <c r="DP1300" s="80">
        <v>91</v>
      </c>
    </row>
    <row r="1301" spans="29:120" x14ac:dyDescent="0.25">
      <c r="AC1301" s="122" t="s">
        <v>236</v>
      </c>
      <c r="AD1301" s="122" t="s">
        <v>1691</v>
      </c>
      <c r="AE1301" s="127">
        <v>2</v>
      </c>
      <c r="DA1301" s="122" t="s">
        <v>328</v>
      </c>
      <c r="DB1301" s="122" t="s">
        <v>6756</v>
      </c>
      <c r="DC1301" s="122" t="s">
        <v>4343</v>
      </c>
      <c r="DD1301" s="127">
        <v>8</v>
      </c>
      <c r="DE1301" s="127">
        <v>8</v>
      </c>
      <c r="DG1301" s="405" t="s">
        <v>328</v>
      </c>
      <c r="DH1301" s="406" t="s">
        <v>4343</v>
      </c>
      <c r="DI1301" s="406" t="str">
        <f t="shared" si="52"/>
        <v>MA, São Bento</v>
      </c>
      <c r="DJ1301" s="406">
        <v>-2.6960000000000002</v>
      </c>
      <c r="DK1301" s="80">
        <v>-44.820999999999998</v>
      </c>
      <c r="DL1301" s="80">
        <v>2</v>
      </c>
      <c r="DM1301" s="64">
        <v>8</v>
      </c>
      <c r="DN1301" s="406" t="s">
        <v>6636</v>
      </c>
      <c r="DO1301" s="406">
        <v>-2.5299999999999998</v>
      </c>
      <c r="DP1301" s="80">
        <v>56</v>
      </c>
    </row>
    <row r="1302" spans="29:120" x14ac:dyDescent="0.25">
      <c r="AC1302" s="122" t="s">
        <v>27</v>
      </c>
      <c r="AD1302" s="122" t="s">
        <v>1692</v>
      </c>
      <c r="AE1302" s="127">
        <v>2</v>
      </c>
      <c r="DA1302" s="122" t="s">
        <v>328</v>
      </c>
      <c r="DB1302" s="122" t="s">
        <v>6757</v>
      </c>
      <c r="DC1302" s="122" t="s">
        <v>5539</v>
      </c>
      <c r="DD1302" s="127">
        <v>8</v>
      </c>
      <c r="DE1302" s="127">
        <v>8</v>
      </c>
      <c r="DG1302" s="405" t="s">
        <v>328</v>
      </c>
      <c r="DH1302" s="406" t="s">
        <v>5539</v>
      </c>
      <c r="DI1302" s="406" t="str">
        <f t="shared" si="52"/>
        <v>MA, São Bernardo</v>
      </c>
      <c r="DJ1302" s="406">
        <v>-3.3610000000000002</v>
      </c>
      <c r="DK1302" s="80">
        <v>-42.417999999999999</v>
      </c>
      <c r="DL1302" s="80">
        <v>43</v>
      </c>
      <c r="DM1302" s="64">
        <v>8</v>
      </c>
      <c r="DN1302" s="406" t="s">
        <v>6665</v>
      </c>
      <c r="DO1302" s="406">
        <v>-3.9</v>
      </c>
      <c r="DP1302" s="80">
        <v>65</v>
      </c>
    </row>
    <row r="1303" spans="29:120" x14ac:dyDescent="0.25">
      <c r="AC1303" s="122" t="s">
        <v>236</v>
      </c>
      <c r="AD1303" s="122" t="s">
        <v>1693</v>
      </c>
      <c r="AE1303" s="127">
        <v>2</v>
      </c>
      <c r="DA1303" s="122" t="s">
        <v>328</v>
      </c>
      <c r="DB1303" s="122" t="s">
        <v>6758</v>
      </c>
      <c r="DC1303" s="122" t="s">
        <v>4389</v>
      </c>
      <c r="DD1303" s="127">
        <v>7</v>
      </c>
      <c r="DE1303" s="127">
        <v>7</v>
      </c>
      <c r="DG1303" s="405" t="s">
        <v>328</v>
      </c>
      <c r="DH1303" s="406" t="s">
        <v>4389</v>
      </c>
      <c r="DI1303" s="406" t="str">
        <f t="shared" si="52"/>
        <v>MA, São Domingos do Azeitão</v>
      </c>
      <c r="DJ1303" s="406">
        <v>-6.81</v>
      </c>
      <c r="DK1303" s="80">
        <v>-44.645000000000003</v>
      </c>
      <c r="DL1303" s="80">
        <v>308</v>
      </c>
      <c r="DM1303" s="64">
        <v>7</v>
      </c>
      <c r="DN1303" s="406" t="s">
        <v>6658</v>
      </c>
      <c r="DO1303" s="406">
        <v>-7.47</v>
      </c>
      <c r="DP1303" s="80">
        <v>393</v>
      </c>
    </row>
    <row r="1304" spans="29:120" x14ac:dyDescent="0.25">
      <c r="AC1304" s="122" t="s">
        <v>236</v>
      </c>
      <c r="AD1304" s="122" t="s">
        <v>1694</v>
      </c>
      <c r="AE1304" s="127">
        <v>2</v>
      </c>
      <c r="DA1304" s="122" t="s">
        <v>328</v>
      </c>
      <c r="DB1304" s="122" t="s">
        <v>6759</v>
      </c>
      <c r="DC1304" s="122" t="s">
        <v>4983</v>
      </c>
      <c r="DD1304" s="127">
        <v>7</v>
      </c>
      <c r="DE1304" s="127">
        <v>7</v>
      </c>
      <c r="DG1304" s="405" t="s">
        <v>328</v>
      </c>
      <c r="DH1304" s="406" t="s">
        <v>4983</v>
      </c>
      <c r="DI1304" s="406" t="str">
        <f t="shared" si="52"/>
        <v>MA, São Domingos do Maranhão</v>
      </c>
      <c r="DJ1304" s="406">
        <v>-5.5759999999999996</v>
      </c>
      <c r="DK1304" s="80">
        <v>-44.384999999999998</v>
      </c>
      <c r="DL1304" s="80">
        <v>191</v>
      </c>
      <c r="DM1304" s="64">
        <v>7</v>
      </c>
      <c r="DN1304" s="406" t="s">
        <v>6668</v>
      </c>
      <c r="DO1304" s="406">
        <v>-6.03</v>
      </c>
      <c r="DP1304" s="80">
        <v>179</v>
      </c>
    </row>
    <row r="1305" spans="29:120" x14ac:dyDescent="0.25">
      <c r="AC1305" s="122" t="s">
        <v>236</v>
      </c>
      <c r="AD1305" s="122" t="s">
        <v>1695</v>
      </c>
      <c r="AE1305" s="127">
        <v>2</v>
      </c>
      <c r="DA1305" s="122" t="s">
        <v>328</v>
      </c>
      <c r="DB1305" s="122" t="s">
        <v>6760</v>
      </c>
      <c r="DC1305" s="122" t="s">
        <v>4325</v>
      </c>
      <c r="DD1305" s="127">
        <v>7</v>
      </c>
      <c r="DE1305" s="127">
        <v>7</v>
      </c>
      <c r="DG1305" s="405" t="s">
        <v>328</v>
      </c>
      <c r="DH1305" s="406" t="s">
        <v>4325</v>
      </c>
      <c r="DI1305" s="406" t="str">
        <f t="shared" si="52"/>
        <v>MA, São Félix de Balsas</v>
      </c>
      <c r="DJ1305" s="406">
        <v>-7.0830000000000002</v>
      </c>
      <c r="DK1305" s="80">
        <v>-44.813000000000002</v>
      </c>
      <c r="DL1305" s="80">
        <v>188</v>
      </c>
      <c r="DM1305" s="64">
        <v>7</v>
      </c>
      <c r="DN1305" s="406" t="s">
        <v>6658</v>
      </c>
      <c r="DO1305" s="406">
        <v>-7.47</v>
      </c>
      <c r="DP1305" s="80">
        <v>393</v>
      </c>
    </row>
    <row r="1306" spans="29:120" x14ac:dyDescent="0.25">
      <c r="AC1306" s="122" t="s">
        <v>236</v>
      </c>
      <c r="AD1306" s="122" t="s">
        <v>1696</v>
      </c>
      <c r="AE1306" s="127">
        <v>2</v>
      </c>
      <c r="DA1306" s="122" t="s">
        <v>328</v>
      </c>
      <c r="DB1306" s="122" t="s">
        <v>6761</v>
      </c>
      <c r="DC1306" s="122" t="s">
        <v>4425</v>
      </c>
      <c r="DD1306" s="127">
        <v>8</v>
      </c>
      <c r="DE1306" s="127">
        <v>8</v>
      </c>
      <c r="DG1306" s="405" t="s">
        <v>328</v>
      </c>
      <c r="DH1306" s="406" t="s">
        <v>4425</v>
      </c>
      <c r="DI1306" s="406" t="str">
        <f t="shared" si="52"/>
        <v>MA, São Francisco do Brejão</v>
      </c>
      <c r="DJ1306" s="406">
        <v>-5.1230000000000002</v>
      </c>
      <c r="DK1306" s="80">
        <v>-47.386000000000003</v>
      </c>
      <c r="DL1306" s="80">
        <v>255</v>
      </c>
      <c r="DM1306" s="64">
        <v>8</v>
      </c>
      <c r="DN1306" s="406" t="s">
        <v>6669</v>
      </c>
      <c r="DO1306" s="406">
        <v>-5.56</v>
      </c>
      <c r="DP1306" s="80">
        <v>126</v>
      </c>
    </row>
    <row r="1307" spans="29:120" x14ac:dyDescent="0.25">
      <c r="AC1307" s="122" t="s">
        <v>27</v>
      </c>
      <c r="AD1307" s="122" t="s">
        <v>1697</v>
      </c>
      <c r="AE1307" s="127">
        <v>2</v>
      </c>
      <c r="DA1307" s="122" t="s">
        <v>328</v>
      </c>
      <c r="DB1307" s="122" t="s">
        <v>6762</v>
      </c>
      <c r="DC1307" s="122" t="s">
        <v>4711</v>
      </c>
      <c r="DD1307" s="127">
        <v>7</v>
      </c>
      <c r="DE1307" s="127">
        <v>7</v>
      </c>
      <c r="DG1307" s="405" t="s">
        <v>328</v>
      </c>
      <c r="DH1307" s="406" t="s">
        <v>4711</v>
      </c>
      <c r="DI1307" s="406" t="str">
        <f t="shared" si="52"/>
        <v>MA, São Francisco do Maranhão</v>
      </c>
      <c r="DJ1307" s="406">
        <v>-6.2510000000000003</v>
      </c>
      <c r="DK1307" s="80">
        <v>-42.856999999999999</v>
      </c>
      <c r="DL1307" s="80">
        <v>76</v>
      </c>
      <c r="DM1307" s="64">
        <v>7</v>
      </c>
      <c r="DN1307" s="406" t="s">
        <v>6730</v>
      </c>
      <c r="DO1307" s="406">
        <v>-5.91</v>
      </c>
      <c r="DP1307" s="80">
        <v>287</v>
      </c>
    </row>
    <row r="1308" spans="29:120" x14ac:dyDescent="0.25">
      <c r="AC1308" s="122" t="s">
        <v>27</v>
      </c>
      <c r="AD1308" s="122" t="s">
        <v>1698</v>
      </c>
      <c r="AE1308" s="127">
        <v>2</v>
      </c>
      <c r="DA1308" s="122" t="s">
        <v>328</v>
      </c>
      <c r="DB1308" s="122" t="s">
        <v>6763</v>
      </c>
      <c r="DC1308" s="122" t="s">
        <v>1280</v>
      </c>
      <c r="DD1308" s="127">
        <v>8</v>
      </c>
      <c r="DE1308" s="127">
        <v>8</v>
      </c>
      <c r="DG1308" s="405" t="s">
        <v>328</v>
      </c>
      <c r="DH1308" s="406" t="s">
        <v>1280</v>
      </c>
      <c r="DI1308" s="406" t="str">
        <f t="shared" si="52"/>
        <v>MA, São João Batista</v>
      </c>
      <c r="DJ1308" s="406">
        <v>-2.9550000000000001</v>
      </c>
      <c r="DK1308" s="80">
        <v>-44.807000000000002</v>
      </c>
      <c r="DL1308" s="80">
        <v>29</v>
      </c>
      <c r="DM1308" s="64">
        <v>8</v>
      </c>
      <c r="DN1308" s="406" t="s">
        <v>6636</v>
      </c>
      <c r="DO1308" s="406">
        <v>-2.5299999999999998</v>
      </c>
      <c r="DP1308" s="80">
        <v>56</v>
      </c>
    </row>
    <row r="1309" spans="29:120" x14ac:dyDescent="0.25">
      <c r="AC1309" s="122" t="s">
        <v>27</v>
      </c>
      <c r="AD1309" s="122" t="s">
        <v>1699</v>
      </c>
      <c r="AE1309" s="127">
        <v>2</v>
      </c>
      <c r="DA1309" s="122" t="s">
        <v>328</v>
      </c>
      <c r="DB1309" s="122" t="s">
        <v>6764</v>
      </c>
      <c r="DC1309" s="122" t="s">
        <v>4622</v>
      </c>
      <c r="DD1309" s="127">
        <v>8</v>
      </c>
      <c r="DE1309" s="127">
        <v>8</v>
      </c>
      <c r="DG1309" s="405" t="s">
        <v>328</v>
      </c>
      <c r="DH1309" s="406" t="s">
        <v>4622</v>
      </c>
      <c r="DI1309" s="406" t="str">
        <f t="shared" si="52"/>
        <v>MA, São João do Carú</v>
      </c>
      <c r="DJ1309" s="406">
        <v>-3.5539999999999998</v>
      </c>
      <c r="DK1309" s="80">
        <v>-46.256</v>
      </c>
      <c r="DL1309" s="80">
        <v>50</v>
      </c>
      <c r="DM1309" s="64">
        <v>8</v>
      </c>
      <c r="DN1309" s="406" t="s">
        <v>6643</v>
      </c>
      <c r="DO1309" s="406">
        <v>-4.32</v>
      </c>
      <c r="DP1309" s="80">
        <v>175</v>
      </c>
    </row>
    <row r="1310" spans="29:120" x14ac:dyDescent="0.25">
      <c r="AC1310" s="122" t="s">
        <v>236</v>
      </c>
      <c r="AD1310" s="122" t="s">
        <v>1700</v>
      </c>
      <c r="AE1310" s="127">
        <v>2</v>
      </c>
      <c r="DA1310" s="122" t="s">
        <v>328</v>
      </c>
      <c r="DB1310" s="122" t="s">
        <v>6765</v>
      </c>
      <c r="DC1310" s="122" t="s">
        <v>2001</v>
      </c>
      <c r="DD1310" s="127">
        <v>7</v>
      </c>
      <c r="DE1310" s="127">
        <v>7</v>
      </c>
      <c r="DG1310" s="405" t="s">
        <v>328</v>
      </c>
      <c r="DH1310" s="406" t="s">
        <v>2001</v>
      </c>
      <c r="DI1310" s="406" t="str">
        <f t="shared" si="52"/>
        <v>MA, São João do Paraíso</v>
      </c>
      <c r="DJ1310" s="406">
        <v>-6.4610000000000003</v>
      </c>
      <c r="DK1310" s="80">
        <v>-47.058</v>
      </c>
      <c r="DL1310" s="80">
        <v>230</v>
      </c>
      <c r="DM1310" s="64">
        <v>7</v>
      </c>
      <c r="DN1310" s="406" t="s">
        <v>6672</v>
      </c>
      <c r="DO1310" s="406">
        <v>-6.65</v>
      </c>
      <c r="DP1310" s="80">
        <v>180</v>
      </c>
    </row>
    <row r="1311" spans="29:120" x14ac:dyDescent="0.25">
      <c r="AC1311" s="122" t="s">
        <v>236</v>
      </c>
      <c r="AD1311" s="122" t="s">
        <v>1701</v>
      </c>
      <c r="AE1311" s="127">
        <v>2</v>
      </c>
      <c r="DA1311" s="122" t="s">
        <v>328</v>
      </c>
      <c r="DB1311" s="122" t="s">
        <v>6766</v>
      </c>
      <c r="DC1311" s="122" t="s">
        <v>4926</v>
      </c>
      <c r="DD1311" s="127">
        <v>7</v>
      </c>
      <c r="DE1311" s="127">
        <v>7</v>
      </c>
      <c r="DG1311" s="405" t="s">
        <v>328</v>
      </c>
      <c r="DH1311" s="406" t="s">
        <v>4926</v>
      </c>
      <c r="DI1311" s="406" t="str">
        <f t="shared" si="52"/>
        <v>MA, São João do Soter</v>
      </c>
      <c r="DJ1311" s="406">
        <v>-5.1139999999999999</v>
      </c>
      <c r="DK1311" s="80">
        <v>-43.81</v>
      </c>
      <c r="DL1311" s="80">
        <v>153</v>
      </c>
      <c r="DM1311" s="64">
        <v>7</v>
      </c>
      <c r="DN1311" s="406" t="s">
        <v>6638</v>
      </c>
      <c r="DO1311" s="406">
        <v>-4.82</v>
      </c>
      <c r="DP1311" s="80">
        <v>76</v>
      </c>
    </row>
    <row r="1312" spans="29:120" x14ac:dyDescent="0.25">
      <c r="AC1312" s="122" t="s">
        <v>236</v>
      </c>
      <c r="AD1312" s="122" t="s">
        <v>1702</v>
      </c>
      <c r="AE1312" s="127">
        <v>2</v>
      </c>
      <c r="DA1312" s="122" t="s">
        <v>328</v>
      </c>
      <c r="DB1312" s="122" t="s">
        <v>6767</v>
      </c>
      <c r="DC1312" s="122" t="s">
        <v>4812</v>
      </c>
      <c r="DD1312" s="127">
        <v>7</v>
      </c>
      <c r="DE1312" s="127">
        <v>7</v>
      </c>
      <c r="DG1312" s="405" t="s">
        <v>328</v>
      </c>
      <c r="DH1312" s="406" t="s">
        <v>4812</v>
      </c>
      <c r="DI1312" s="406" t="str">
        <f t="shared" si="52"/>
        <v>MA, São João dos Patos</v>
      </c>
      <c r="DJ1312" s="406">
        <v>-6.4950000000000001</v>
      </c>
      <c r="DK1312" s="80">
        <v>-43.701999999999998</v>
      </c>
      <c r="DL1312" s="80">
        <v>328</v>
      </c>
      <c r="DM1312" s="64">
        <v>7</v>
      </c>
      <c r="DN1312" s="406" t="s">
        <v>6668</v>
      </c>
      <c r="DO1312" s="406">
        <v>-6.03</v>
      </c>
      <c r="DP1312" s="80">
        <v>179</v>
      </c>
    </row>
    <row r="1313" spans="29:120" x14ac:dyDescent="0.25">
      <c r="AC1313" s="122" t="s">
        <v>236</v>
      </c>
      <c r="AD1313" s="122" t="s">
        <v>1703</v>
      </c>
      <c r="AE1313" s="127">
        <v>2</v>
      </c>
      <c r="DA1313" s="122" t="s">
        <v>328</v>
      </c>
      <c r="DB1313" s="122" t="s">
        <v>6768</v>
      </c>
      <c r="DC1313" s="122" t="s">
        <v>4062</v>
      </c>
      <c r="DD1313" s="127">
        <v>8</v>
      </c>
      <c r="DE1313" s="127">
        <v>8</v>
      </c>
      <c r="DG1313" s="405" t="s">
        <v>328</v>
      </c>
      <c r="DH1313" s="406" t="s">
        <v>4062</v>
      </c>
      <c r="DI1313" s="406" t="str">
        <f t="shared" si="52"/>
        <v>MA, São José de Ribamar</v>
      </c>
      <c r="DJ1313" s="406">
        <v>-2.5619999999999998</v>
      </c>
      <c r="DK1313" s="80">
        <v>-44.054000000000002</v>
      </c>
      <c r="DL1313" s="80">
        <v>20</v>
      </c>
      <c r="DM1313" s="64">
        <v>8</v>
      </c>
      <c r="DN1313" s="406" t="s">
        <v>6636</v>
      </c>
      <c r="DO1313" s="406">
        <v>-2.5299999999999998</v>
      </c>
      <c r="DP1313" s="80">
        <v>56</v>
      </c>
    </row>
    <row r="1314" spans="29:120" x14ac:dyDescent="0.25">
      <c r="AC1314" s="122" t="s">
        <v>27</v>
      </c>
      <c r="AD1314" s="122" t="s">
        <v>1704</v>
      </c>
      <c r="AE1314" s="127">
        <v>2</v>
      </c>
      <c r="DA1314" s="122" t="s">
        <v>328</v>
      </c>
      <c r="DB1314" s="122" t="s">
        <v>6769</v>
      </c>
      <c r="DC1314" s="122" t="s">
        <v>4904</v>
      </c>
      <c r="DD1314" s="127">
        <v>8</v>
      </c>
      <c r="DE1314" s="127">
        <v>8</v>
      </c>
      <c r="DG1314" s="405" t="s">
        <v>328</v>
      </c>
      <c r="DH1314" s="406" t="s">
        <v>4904</v>
      </c>
      <c r="DI1314" s="406" t="str">
        <f t="shared" si="52"/>
        <v>MA, São José dos Basílios</v>
      </c>
      <c r="DJ1314" s="406">
        <v>-5.0510000000000002</v>
      </c>
      <c r="DK1314" s="80">
        <v>-44.584000000000003</v>
      </c>
      <c r="DL1314" s="80">
        <v>80</v>
      </c>
      <c r="DM1314" s="64">
        <v>8</v>
      </c>
      <c r="DN1314" s="406" t="s">
        <v>6654</v>
      </c>
      <c r="DO1314" s="406">
        <v>-5.51</v>
      </c>
      <c r="DP1314" s="80">
        <v>153</v>
      </c>
    </row>
    <row r="1315" spans="29:120" x14ac:dyDescent="0.25">
      <c r="AC1315" s="122" t="s">
        <v>236</v>
      </c>
      <c r="AD1315" s="122" t="s">
        <v>1705</v>
      </c>
      <c r="AE1315" s="127">
        <v>2</v>
      </c>
      <c r="DA1315" s="122" t="s">
        <v>328</v>
      </c>
      <c r="DB1315" s="122" t="s">
        <v>6770</v>
      </c>
      <c r="DC1315" s="122" t="s">
        <v>4084</v>
      </c>
      <c r="DD1315" s="127">
        <v>8</v>
      </c>
      <c r="DE1315" s="127">
        <v>8</v>
      </c>
      <c r="DG1315" s="405" t="s">
        <v>328</v>
      </c>
      <c r="DH1315" s="406" t="s">
        <v>4084</v>
      </c>
      <c r="DI1315" s="406" t="str">
        <f t="shared" si="52"/>
        <v>MA, São Luís</v>
      </c>
      <c r="DJ1315" s="406">
        <v>-2.5299999999999998</v>
      </c>
      <c r="DK1315" s="80">
        <v>-44.302999999999997</v>
      </c>
      <c r="DL1315" s="80">
        <v>24</v>
      </c>
      <c r="DM1315" s="64">
        <v>8</v>
      </c>
      <c r="DN1315" s="406" t="s">
        <v>6636</v>
      </c>
      <c r="DO1315" s="406">
        <v>-2.5299999999999998</v>
      </c>
      <c r="DP1315" s="80">
        <v>56</v>
      </c>
    </row>
    <row r="1316" spans="29:120" x14ac:dyDescent="0.25">
      <c r="AC1316" s="122" t="s">
        <v>311</v>
      </c>
      <c r="AD1316" s="122" t="s">
        <v>1706</v>
      </c>
      <c r="AE1316" s="127">
        <v>2</v>
      </c>
      <c r="DA1316" s="122" t="s">
        <v>328</v>
      </c>
      <c r="DB1316" s="122" t="s">
        <v>6771</v>
      </c>
      <c r="DC1316" s="122" t="s">
        <v>4856</v>
      </c>
      <c r="DD1316" s="127">
        <v>8</v>
      </c>
      <c r="DE1316" s="127">
        <v>8</v>
      </c>
      <c r="DG1316" s="405" t="s">
        <v>328</v>
      </c>
      <c r="DH1316" s="406" t="s">
        <v>4856</v>
      </c>
      <c r="DI1316" s="406" t="str">
        <f t="shared" si="52"/>
        <v>MA, São Luís Gonzaga do Maranhão</v>
      </c>
      <c r="DJ1316" s="406">
        <v>-4.38</v>
      </c>
      <c r="DK1316" s="80">
        <v>-44.67</v>
      </c>
      <c r="DL1316" s="80">
        <v>44</v>
      </c>
      <c r="DM1316" s="64">
        <v>8</v>
      </c>
      <c r="DN1316" s="406" t="s">
        <v>6640</v>
      </c>
      <c r="DO1316" s="406">
        <v>-4.24</v>
      </c>
      <c r="DP1316" s="80">
        <v>28</v>
      </c>
    </row>
    <row r="1317" spans="29:120" x14ac:dyDescent="0.25">
      <c r="AC1317" s="122" t="s">
        <v>236</v>
      </c>
      <c r="AD1317" s="122" t="s">
        <v>1009</v>
      </c>
      <c r="AE1317" s="127">
        <v>2</v>
      </c>
      <c r="DA1317" s="122" t="s">
        <v>328</v>
      </c>
      <c r="DB1317" s="122" t="s">
        <v>6772</v>
      </c>
      <c r="DC1317" s="122" t="s">
        <v>4809</v>
      </c>
      <c r="DD1317" s="127">
        <v>8</v>
      </c>
      <c r="DE1317" s="127">
        <v>8</v>
      </c>
      <c r="DG1317" s="405" t="s">
        <v>328</v>
      </c>
      <c r="DH1317" s="406" t="s">
        <v>4809</v>
      </c>
      <c r="DI1317" s="406" t="str">
        <f t="shared" si="52"/>
        <v>MA, São Mateus do Maranhão</v>
      </c>
      <c r="DJ1317" s="406">
        <v>-4.04</v>
      </c>
      <c r="DK1317" s="80">
        <v>-44.47</v>
      </c>
      <c r="DL1317" s="80">
        <v>44</v>
      </c>
      <c r="DM1317" s="64">
        <v>8</v>
      </c>
      <c r="DN1317" s="406" t="s">
        <v>6640</v>
      </c>
      <c r="DO1317" s="406">
        <v>-4.24</v>
      </c>
      <c r="DP1317" s="80">
        <v>28</v>
      </c>
    </row>
    <row r="1318" spans="29:120" x14ac:dyDescent="0.25">
      <c r="AC1318" s="122" t="s">
        <v>236</v>
      </c>
      <c r="AD1318" s="122" t="s">
        <v>1707</v>
      </c>
      <c r="AE1318" s="127">
        <v>2</v>
      </c>
      <c r="DA1318" s="122" t="s">
        <v>328</v>
      </c>
      <c r="DB1318" s="122" t="s">
        <v>6773</v>
      </c>
      <c r="DC1318" s="122" t="s">
        <v>4429</v>
      </c>
      <c r="DD1318" s="127">
        <v>8</v>
      </c>
      <c r="DE1318" s="127">
        <v>8</v>
      </c>
      <c r="DG1318" s="405" t="s">
        <v>328</v>
      </c>
      <c r="DH1318" s="406" t="s">
        <v>4429</v>
      </c>
      <c r="DI1318" s="406" t="str">
        <f t="shared" si="52"/>
        <v>MA, São Pedro da Água Branca</v>
      </c>
      <c r="DJ1318" s="406">
        <v>-5.085</v>
      </c>
      <c r="DK1318" s="80">
        <v>-48.429000000000002</v>
      </c>
      <c r="DL1318" s="80">
        <v>171</v>
      </c>
      <c r="DM1318" s="64">
        <v>8</v>
      </c>
      <c r="DN1318" s="406" t="s">
        <v>6632</v>
      </c>
      <c r="DO1318" s="406">
        <v>-4.78</v>
      </c>
      <c r="DP1318" s="80">
        <v>221</v>
      </c>
    </row>
    <row r="1319" spans="29:120" x14ac:dyDescent="0.25">
      <c r="AC1319" s="122" t="s">
        <v>236</v>
      </c>
      <c r="AD1319" s="122" t="s">
        <v>1708</v>
      </c>
      <c r="AE1319" s="127">
        <v>2</v>
      </c>
      <c r="DA1319" s="122" t="s">
        <v>328</v>
      </c>
      <c r="DB1319" s="122" t="s">
        <v>6774</v>
      </c>
      <c r="DC1319" s="122" t="s">
        <v>4947</v>
      </c>
      <c r="DD1319" s="127">
        <v>7</v>
      </c>
      <c r="DE1319" s="127">
        <v>7</v>
      </c>
      <c r="DG1319" s="405" t="s">
        <v>328</v>
      </c>
      <c r="DH1319" s="406" t="s">
        <v>4947</v>
      </c>
      <c r="DI1319" s="406" t="str">
        <f t="shared" si="52"/>
        <v>MA, São Pedro dos Crentes</v>
      </c>
      <c r="DJ1319" s="406">
        <v>-6.8259999999999996</v>
      </c>
      <c r="DK1319" s="80">
        <v>-46.531999999999996</v>
      </c>
      <c r="DL1319" s="80">
        <v>342</v>
      </c>
      <c r="DM1319" s="64">
        <v>7</v>
      </c>
      <c r="DN1319" s="406" t="s">
        <v>6650</v>
      </c>
      <c r="DO1319" s="406">
        <v>-7.46</v>
      </c>
      <c r="DP1319" s="80">
        <v>254</v>
      </c>
    </row>
    <row r="1320" spans="29:120" x14ac:dyDescent="0.25">
      <c r="AC1320" s="122" t="s">
        <v>236</v>
      </c>
      <c r="AD1320" s="122" t="s">
        <v>1709</v>
      </c>
      <c r="AE1320" s="127">
        <v>2</v>
      </c>
      <c r="DA1320" s="122" t="s">
        <v>328</v>
      </c>
      <c r="DB1320" s="122" t="s">
        <v>6775</v>
      </c>
      <c r="DC1320" s="122" t="s">
        <v>4402</v>
      </c>
      <c r="DD1320" s="127">
        <v>7</v>
      </c>
      <c r="DE1320" s="127">
        <v>7</v>
      </c>
      <c r="DG1320" s="405" t="s">
        <v>328</v>
      </c>
      <c r="DH1320" s="406" t="s">
        <v>4402</v>
      </c>
      <c r="DI1320" s="406" t="str">
        <f t="shared" si="52"/>
        <v>MA, São Raimundo das Mangabeiras</v>
      </c>
      <c r="DJ1320" s="406">
        <v>-7.0220000000000002</v>
      </c>
      <c r="DK1320" s="80">
        <v>-45.481000000000002</v>
      </c>
      <c r="DL1320" s="80">
        <v>225</v>
      </c>
      <c r="DM1320" s="64">
        <v>7</v>
      </c>
      <c r="DN1320" s="406" t="s">
        <v>6650</v>
      </c>
      <c r="DO1320" s="406">
        <v>-7.46</v>
      </c>
      <c r="DP1320" s="80">
        <v>254</v>
      </c>
    </row>
    <row r="1321" spans="29:120" x14ac:dyDescent="0.25">
      <c r="AC1321" s="122" t="s">
        <v>236</v>
      </c>
      <c r="AD1321" s="122" t="s">
        <v>1710</v>
      </c>
      <c r="AE1321" s="127">
        <v>3</v>
      </c>
      <c r="DA1321" s="122" t="s">
        <v>328</v>
      </c>
      <c r="DB1321" s="122" t="s">
        <v>6776</v>
      </c>
      <c r="DC1321" s="122" t="s">
        <v>4833</v>
      </c>
      <c r="DD1321" s="127">
        <v>8</v>
      </c>
      <c r="DE1321" s="127">
        <v>8</v>
      </c>
      <c r="DG1321" s="405" t="s">
        <v>328</v>
      </c>
      <c r="DH1321" s="406" t="s">
        <v>4833</v>
      </c>
      <c r="DI1321" s="406" t="str">
        <f t="shared" si="52"/>
        <v>MA, São Raimundo do Doca Bezerra</v>
      </c>
      <c r="DJ1321" s="406">
        <v>-5.1050000000000004</v>
      </c>
      <c r="DK1321" s="80">
        <v>-45.076999999999998</v>
      </c>
      <c r="DL1321" s="80">
        <v>180</v>
      </c>
      <c r="DM1321" s="64">
        <v>8</v>
      </c>
      <c r="DN1321" s="406" t="s">
        <v>6654</v>
      </c>
      <c r="DO1321" s="406">
        <v>-5.51</v>
      </c>
      <c r="DP1321" s="80">
        <v>153</v>
      </c>
    </row>
    <row r="1322" spans="29:120" x14ac:dyDescent="0.25">
      <c r="AC1322" s="122" t="s">
        <v>236</v>
      </c>
      <c r="AD1322" s="122" t="s">
        <v>1711</v>
      </c>
      <c r="AE1322" s="127">
        <v>2</v>
      </c>
      <c r="DA1322" s="122" t="s">
        <v>328</v>
      </c>
      <c r="DB1322" s="122" t="s">
        <v>6777</v>
      </c>
      <c r="DC1322" s="122" t="s">
        <v>4835</v>
      </c>
      <c r="DD1322" s="127">
        <v>8</v>
      </c>
      <c r="DE1322" s="127">
        <v>8</v>
      </c>
      <c r="DG1322" s="405" t="s">
        <v>328</v>
      </c>
      <c r="DH1322" s="406" t="s">
        <v>4835</v>
      </c>
      <c r="DI1322" s="406" t="str">
        <f t="shared" si="52"/>
        <v>MA, São Roberto</v>
      </c>
      <c r="DJ1322" s="406">
        <v>-5.0209999999999999</v>
      </c>
      <c r="DK1322" s="80">
        <v>-44.991</v>
      </c>
      <c r="DL1322" s="80">
        <v>100</v>
      </c>
      <c r="DM1322" s="64">
        <v>8</v>
      </c>
      <c r="DN1322" s="406" t="s">
        <v>6654</v>
      </c>
      <c r="DO1322" s="406">
        <v>-5.51</v>
      </c>
      <c r="DP1322" s="80">
        <v>153</v>
      </c>
    </row>
    <row r="1323" spans="29:120" x14ac:dyDescent="0.25">
      <c r="AC1323" s="122" t="s">
        <v>236</v>
      </c>
      <c r="AD1323" s="122" t="s">
        <v>1712</v>
      </c>
      <c r="AE1323" s="127">
        <v>2</v>
      </c>
      <c r="DA1323" s="122" t="s">
        <v>328</v>
      </c>
      <c r="DB1323" s="122" t="s">
        <v>6778</v>
      </c>
      <c r="DC1323" s="122" t="s">
        <v>4595</v>
      </c>
      <c r="DD1323" s="127">
        <v>8</v>
      </c>
      <c r="DE1323" s="127">
        <v>8</v>
      </c>
      <c r="DG1323" s="405" t="s">
        <v>328</v>
      </c>
      <c r="DH1323" s="406" t="s">
        <v>4595</v>
      </c>
      <c r="DI1323" s="406" t="str">
        <f t="shared" si="52"/>
        <v>MA, São Vicente Ferrer</v>
      </c>
      <c r="DJ1323" s="406">
        <v>-2.8940000000000001</v>
      </c>
      <c r="DK1323" s="80">
        <v>-44.88</v>
      </c>
      <c r="DL1323" s="80">
        <v>16</v>
      </c>
      <c r="DM1323" s="64">
        <v>8</v>
      </c>
      <c r="DN1323" s="406" t="s">
        <v>6636</v>
      </c>
      <c r="DO1323" s="406">
        <v>-2.5299999999999998</v>
      </c>
      <c r="DP1323" s="80">
        <v>56</v>
      </c>
    </row>
    <row r="1324" spans="29:120" x14ac:dyDescent="0.25">
      <c r="AC1324" s="122" t="s">
        <v>311</v>
      </c>
      <c r="AD1324" s="122" t="s">
        <v>1713</v>
      </c>
      <c r="AE1324" s="127">
        <v>2</v>
      </c>
      <c r="DA1324" s="122" t="s">
        <v>328</v>
      </c>
      <c r="DB1324" s="122" t="s">
        <v>4758</v>
      </c>
      <c r="DC1324" s="122" t="s">
        <v>4758</v>
      </c>
      <c r="DD1324" s="127">
        <v>8</v>
      </c>
      <c r="DE1324" s="127">
        <v>8</v>
      </c>
      <c r="DG1324" s="405" t="s">
        <v>328</v>
      </c>
      <c r="DH1324" s="406" t="s">
        <v>4758</v>
      </c>
      <c r="DI1324" s="406" t="str">
        <f t="shared" si="52"/>
        <v>MA, Satubinha</v>
      </c>
      <c r="DJ1324" s="406">
        <v>-4.0389999999999997</v>
      </c>
      <c r="DK1324" s="80">
        <v>-45.238</v>
      </c>
      <c r="DL1324" s="80">
        <v>38</v>
      </c>
      <c r="DM1324" s="64">
        <v>8</v>
      </c>
      <c r="DN1324" s="406" t="s">
        <v>6640</v>
      </c>
      <c r="DO1324" s="406">
        <v>-4.24</v>
      </c>
      <c r="DP1324" s="80">
        <v>28</v>
      </c>
    </row>
    <row r="1325" spans="29:120" x14ac:dyDescent="0.25">
      <c r="AC1325" s="122" t="s">
        <v>236</v>
      </c>
      <c r="AD1325" s="122" t="s">
        <v>1714</v>
      </c>
      <c r="AE1325" s="127">
        <v>2</v>
      </c>
      <c r="DA1325" s="122" t="s">
        <v>328</v>
      </c>
      <c r="DB1325" s="122" t="s">
        <v>6779</v>
      </c>
      <c r="DC1325" s="122" t="s">
        <v>4950</v>
      </c>
      <c r="DD1325" s="127">
        <v>7</v>
      </c>
      <c r="DE1325" s="127">
        <v>7</v>
      </c>
      <c r="DG1325" s="405" t="s">
        <v>328</v>
      </c>
      <c r="DH1325" s="406" t="s">
        <v>4950</v>
      </c>
      <c r="DI1325" s="406" t="str">
        <f t="shared" si="52"/>
        <v>MA, Senador Alexandre Costa</v>
      </c>
      <c r="DJ1325" s="406">
        <v>-5.2560000000000002</v>
      </c>
      <c r="DK1325" s="80">
        <v>-44.055999999999997</v>
      </c>
      <c r="DL1325" s="80">
        <v>149</v>
      </c>
      <c r="DM1325" s="64">
        <v>7</v>
      </c>
      <c r="DN1325" s="406" t="s">
        <v>6668</v>
      </c>
      <c r="DO1325" s="406">
        <v>-6.03</v>
      </c>
      <c r="DP1325" s="80">
        <v>179</v>
      </c>
    </row>
    <row r="1326" spans="29:120" x14ac:dyDescent="0.25">
      <c r="AC1326" s="122" t="s">
        <v>236</v>
      </c>
      <c r="AD1326" s="122" t="s">
        <v>1104</v>
      </c>
      <c r="AE1326" s="127">
        <v>2</v>
      </c>
      <c r="DA1326" s="122" t="s">
        <v>328</v>
      </c>
      <c r="DB1326" s="122" t="s">
        <v>6780</v>
      </c>
      <c r="DC1326" s="122" t="s">
        <v>4459</v>
      </c>
      <c r="DD1326" s="127">
        <v>8</v>
      </c>
      <c r="DE1326" s="127">
        <v>8</v>
      </c>
      <c r="DG1326" s="405" t="s">
        <v>328</v>
      </c>
      <c r="DH1326" s="406" t="s">
        <v>4459</v>
      </c>
      <c r="DI1326" s="406" t="str">
        <f t="shared" si="52"/>
        <v>MA, Senador La Rocque</v>
      </c>
      <c r="DJ1326" s="406">
        <v>-5.4429999999999996</v>
      </c>
      <c r="DK1326" s="80">
        <v>-47.290999999999997</v>
      </c>
      <c r="DL1326" s="80">
        <v>180</v>
      </c>
      <c r="DM1326" s="64">
        <v>8</v>
      </c>
      <c r="DN1326" s="406" t="s">
        <v>6669</v>
      </c>
      <c r="DO1326" s="406">
        <v>-5.56</v>
      </c>
      <c r="DP1326" s="80">
        <v>126</v>
      </c>
    </row>
    <row r="1327" spans="29:120" x14ac:dyDescent="0.25">
      <c r="AC1327" s="122" t="s">
        <v>236</v>
      </c>
      <c r="AD1327" s="122" t="s">
        <v>1715</v>
      </c>
      <c r="AE1327" s="127">
        <v>2</v>
      </c>
      <c r="DA1327" s="122" t="s">
        <v>328</v>
      </c>
      <c r="DB1327" s="122" t="s">
        <v>6781</v>
      </c>
      <c r="DC1327" s="122" t="s">
        <v>4177</v>
      </c>
      <c r="DD1327" s="127">
        <v>8</v>
      </c>
      <c r="DE1327" s="127">
        <v>8</v>
      </c>
      <c r="DG1327" s="405" t="s">
        <v>328</v>
      </c>
      <c r="DH1327" s="406" t="s">
        <v>4177</v>
      </c>
      <c r="DI1327" s="406" t="str">
        <f t="shared" si="52"/>
        <v>MA, Serrano do Maranhão</v>
      </c>
      <c r="DJ1327" s="406">
        <v>-1.8560000000000001</v>
      </c>
      <c r="DK1327" s="80">
        <v>-45.122999999999998</v>
      </c>
      <c r="DL1327" s="80">
        <v>10</v>
      </c>
      <c r="DM1327" s="64">
        <v>8</v>
      </c>
      <c r="DN1327" s="406" t="s">
        <v>6647</v>
      </c>
      <c r="DO1327" s="406">
        <v>-1.66</v>
      </c>
      <c r="DP1327" s="80">
        <v>41</v>
      </c>
    </row>
    <row r="1328" spans="29:120" x14ac:dyDescent="0.25">
      <c r="AC1328" s="122" t="s">
        <v>311</v>
      </c>
      <c r="AD1328" s="122" t="s">
        <v>1716</v>
      </c>
      <c r="AE1328" s="127">
        <v>2</v>
      </c>
      <c r="DA1328" s="122" t="s">
        <v>328</v>
      </c>
      <c r="DB1328" s="122" t="s">
        <v>6782</v>
      </c>
      <c r="DC1328" s="122" t="s">
        <v>4870</v>
      </c>
      <c r="DD1328" s="127">
        <v>7</v>
      </c>
      <c r="DE1328" s="127">
        <v>7</v>
      </c>
      <c r="DG1328" s="405" t="s">
        <v>328</v>
      </c>
      <c r="DH1328" s="406" t="s">
        <v>4870</v>
      </c>
      <c r="DI1328" s="406" t="str">
        <f t="shared" si="52"/>
        <v>MA, Sítio Novo</v>
      </c>
      <c r="DJ1328" s="406">
        <v>-5.8780000000000001</v>
      </c>
      <c r="DK1328" s="80">
        <v>-46.698999999999998</v>
      </c>
      <c r="DL1328" s="80">
        <v>260</v>
      </c>
      <c r="DM1328" s="64">
        <v>7</v>
      </c>
      <c r="DN1328" s="406" t="s">
        <v>6649</v>
      </c>
      <c r="DO1328" s="406">
        <v>-5.82</v>
      </c>
      <c r="DP1328" s="80">
        <v>230</v>
      </c>
    </row>
    <row r="1329" spans="29:120" x14ac:dyDescent="0.25">
      <c r="AC1329" s="122" t="s">
        <v>236</v>
      </c>
      <c r="AD1329" s="122" t="s">
        <v>1717</v>
      </c>
      <c r="AE1329" s="127">
        <v>2</v>
      </c>
      <c r="DA1329" s="122" t="s">
        <v>328</v>
      </c>
      <c r="DB1329" s="122" t="s">
        <v>6783</v>
      </c>
      <c r="DC1329" s="122" t="s">
        <v>4839</v>
      </c>
      <c r="DD1329" s="127">
        <v>7</v>
      </c>
      <c r="DE1329" s="127">
        <v>7</v>
      </c>
      <c r="DG1329" s="405" t="s">
        <v>328</v>
      </c>
      <c r="DH1329" s="406" t="s">
        <v>4839</v>
      </c>
      <c r="DI1329" s="406" t="str">
        <f t="shared" si="52"/>
        <v>MA, Sucupira do Norte</v>
      </c>
      <c r="DJ1329" s="406">
        <v>-6.4770000000000003</v>
      </c>
      <c r="DK1329" s="80">
        <v>-44.192</v>
      </c>
      <c r="DL1329" s="80">
        <v>485</v>
      </c>
      <c r="DM1329" s="64">
        <v>7</v>
      </c>
      <c r="DN1329" s="406" t="s">
        <v>6668</v>
      </c>
      <c r="DO1329" s="406">
        <v>-6.03</v>
      </c>
      <c r="DP1329" s="80">
        <v>179</v>
      </c>
    </row>
    <row r="1330" spans="29:120" x14ac:dyDescent="0.25">
      <c r="AC1330" s="122" t="s">
        <v>27</v>
      </c>
      <c r="AD1330" s="122" t="s">
        <v>1718</v>
      </c>
      <c r="AE1330" s="127">
        <v>2</v>
      </c>
      <c r="DA1330" s="122" t="s">
        <v>328</v>
      </c>
      <c r="DB1330" s="122" t="s">
        <v>6784</v>
      </c>
      <c r="DC1330" s="122" t="s">
        <v>4802</v>
      </c>
      <c r="DD1330" s="127">
        <v>7</v>
      </c>
      <c r="DE1330" s="127">
        <v>7</v>
      </c>
      <c r="DG1330" s="405" t="s">
        <v>328</v>
      </c>
      <c r="DH1330" s="406" t="s">
        <v>4802</v>
      </c>
      <c r="DI1330" s="406" t="str">
        <f t="shared" si="52"/>
        <v>MA, Sucupira do Riachão</v>
      </c>
      <c r="DJ1330" s="406">
        <v>-6.4109999999999996</v>
      </c>
      <c r="DK1330" s="80">
        <v>-43.545999999999999</v>
      </c>
      <c r="DL1330" s="80">
        <v>290</v>
      </c>
      <c r="DM1330" s="64">
        <v>7</v>
      </c>
      <c r="DN1330" s="406" t="s">
        <v>6652</v>
      </c>
      <c r="DO1330" s="406">
        <v>-6.77</v>
      </c>
      <c r="DP1330" s="80">
        <v>123</v>
      </c>
    </row>
    <row r="1331" spans="29:120" x14ac:dyDescent="0.25">
      <c r="AC1331" s="122" t="s">
        <v>236</v>
      </c>
      <c r="AD1331" s="122" t="s">
        <v>1719</v>
      </c>
      <c r="AE1331" s="127">
        <v>2</v>
      </c>
      <c r="DA1331" s="122" t="s">
        <v>328</v>
      </c>
      <c r="DB1331" s="122" t="s">
        <v>6785</v>
      </c>
      <c r="DC1331" s="122" t="s">
        <v>4777</v>
      </c>
      <c r="DD1331" s="127">
        <v>7</v>
      </c>
      <c r="DE1331" s="127">
        <v>7</v>
      </c>
      <c r="DG1331" s="405" t="s">
        <v>328</v>
      </c>
      <c r="DH1331" s="406" t="s">
        <v>4777</v>
      </c>
      <c r="DI1331" s="406" t="str">
        <f t="shared" si="52"/>
        <v>MA, Tasso Fragoso</v>
      </c>
      <c r="DJ1331" s="406">
        <v>-8.4749999999999996</v>
      </c>
      <c r="DK1331" s="80">
        <v>-45.743000000000002</v>
      </c>
      <c r="DL1331" s="80">
        <v>242</v>
      </c>
      <c r="DM1331" s="64">
        <v>7</v>
      </c>
      <c r="DN1331" s="406" t="s">
        <v>6645</v>
      </c>
      <c r="DO1331" s="406">
        <v>-9.11</v>
      </c>
      <c r="DP1331" s="80">
        <v>281</v>
      </c>
    </row>
    <row r="1332" spans="29:120" x14ac:dyDescent="0.25">
      <c r="AC1332" s="122" t="s">
        <v>236</v>
      </c>
      <c r="AD1332" s="122" t="s">
        <v>1720</v>
      </c>
      <c r="AE1332" s="127">
        <v>2</v>
      </c>
      <c r="DA1332" s="122" t="s">
        <v>328</v>
      </c>
      <c r="DB1332" s="122" t="s">
        <v>4849</v>
      </c>
      <c r="DC1332" s="122" t="s">
        <v>4849</v>
      </c>
      <c r="DD1332" s="127">
        <v>8</v>
      </c>
      <c r="DE1332" s="127">
        <v>8</v>
      </c>
      <c r="DG1332" s="405" t="s">
        <v>328</v>
      </c>
      <c r="DH1332" s="406" t="s">
        <v>4849</v>
      </c>
      <c r="DI1332" s="406" t="str">
        <f t="shared" si="52"/>
        <v>MA, Timbiras</v>
      </c>
      <c r="DJ1332" s="406">
        <v>-4.2549999999999999</v>
      </c>
      <c r="DK1332" s="80">
        <v>-43.941000000000003</v>
      </c>
      <c r="DL1332" s="80">
        <v>49</v>
      </c>
      <c r="DM1332" s="64">
        <v>8</v>
      </c>
      <c r="DN1332" s="406" t="s">
        <v>6634</v>
      </c>
      <c r="DO1332" s="406">
        <v>-3.74</v>
      </c>
      <c r="DP1332" s="80">
        <v>91</v>
      </c>
    </row>
    <row r="1333" spans="29:120" x14ac:dyDescent="0.25">
      <c r="AC1333" s="122" t="s">
        <v>236</v>
      </c>
      <c r="AD1333" s="122" t="s">
        <v>1721</v>
      </c>
      <c r="AE1333" s="127">
        <v>2</v>
      </c>
      <c r="DA1333" s="122" t="s">
        <v>328</v>
      </c>
      <c r="DB1333" s="122" t="s">
        <v>4930</v>
      </c>
      <c r="DC1333" s="122" t="s">
        <v>4930</v>
      </c>
      <c r="DD1333" s="127">
        <v>7</v>
      </c>
      <c r="DE1333" s="127">
        <v>7</v>
      </c>
      <c r="DG1333" s="405" t="s">
        <v>328</v>
      </c>
      <c r="DH1333" s="406" t="s">
        <v>4930</v>
      </c>
      <c r="DI1333" s="406" t="str">
        <f t="shared" si="52"/>
        <v>MA, Timon</v>
      </c>
      <c r="DJ1333" s="406">
        <v>-5.0940000000000003</v>
      </c>
      <c r="DK1333" s="80">
        <v>-42.837000000000003</v>
      </c>
      <c r="DL1333" s="80">
        <v>69</v>
      </c>
      <c r="DM1333" s="64">
        <v>7</v>
      </c>
      <c r="DN1333" s="406" t="s">
        <v>6718</v>
      </c>
      <c r="DO1333" s="406">
        <v>-5.09</v>
      </c>
      <c r="DP1333" s="80">
        <v>74</v>
      </c>
    </row>
    <row r="1334" spans="29:120" x14ac:dyDescent="0.25">
      <c r="AC1334" s="122" t="s">
        <v>236</v>
      </c>
      <c r="AD1334" s="122" t="s">
        <v>1722</v>
      </c>
      <c r="AE1334" s="127">
        <v>2</v>
      </c>
      <c r="DA1334" s="122" t="s">
        <v>328</v>
      </c>
      <c r="DB1334" s="122" t="s">
        <v>6786</v>
      </c>
      <c r="DC1334" s="122" t="s">
        <v>4863</v>
      </c>
      <c r="DD1334" s="127">
        <v>8</v>
      </c>
      <c r="DE1334" s="127">
        <v>8</v>
      </c>
      <c r="DG1334" s="405" t="s">
        <v>328</v>
      </c>
      <c r="DH1334" s="406" t="s">
        <v>4863</v>
      </c>
      <c r="DI1334" s="406" t="str">
        <f t="shared" si="52"/>
        <v>MA, Trizidela do Vale</v>
      </c>
      <c r="DJ1334" s="406">
        <v>-4.5380000000000003</v>
      </c>
      <c r="DK1334" s="80">
        <v>-44.628</v>
      </c>
      <c r="DL1334" s="80">
        <v>28</v>
      </c>
      <c r="DM1334" s="64">
        <v>8</v>
      </c>
      <c r="DN1334" s="406" t="s">
        <v>6640</v>
      </c>
      <c r="DO1334" s="406">
        <v>-4.24</v>
      </c>
      <c r="DP1334" s="80">
        <v>28</v>
      </c>
    </row>
    <row r="1335" spans="29:120" x14ac:dyDescent="0.25">
      <c r="AC1335" s="122" t="s">
        <v>27</v>
      </c>
      <c r="AD1335" s="122" t="s">
        <v>1723</v>
      </c>
      <c r="AE1335" s="127">
        <v>2</v>
      </c>
      <c r="DA1335" s="122" t="s">
        <v>328</v>
      </c>
      <c r="DB1335" s="122" t="s">
        <v>4699</v>
      </c>
      <c r="DC1335" s="122" t="s">
        <v>4699</v>
      </c>
      <c r="DD1335" s="127">
        <v>8</v>
      </c>
      <c r="DE1335" s="127">
        <v>8</v>
      </c>
      <c r="DG1335" s="405" t="s">
        <v>328</v>
      </c>
      <c r="DH1335" s="406" t="s">
        <v>4699</v>
      </c>
      <c r="DI1335" s="406" t="str">
        <f t="shared" si="52"/>
        <v>MA, Tufilândia</v>
      </c>
      <c r="DJ1335" s="406">
        <v>-3.7290000000000001</v>
      </c>
      <c r="DK1335" s="80">
        <v>-45.554000000000002</v>
      </c>
      <c r="DL1335" s="80">
        <v>12</v>
      </c>
      <c r="DM1335" s="64">
        <v>8</v>
      </c>
      <c r="DN1335" s="406" t="s">
        <v>6640</v>
      </c>
      <c r="DO1335" s="406">
        <v>-4.24</v>
      </c>
      <c r="DP1335" s="80">
        <v>28</v>
      </c>
    </row>
    <row r="1336" spans="29:120" x14ac:dyDescent="0.25">
      <c r="AC1336" s="122" t="s">
        <v>236</v>
      </c>
      <c r="AD1336" s="122" t="s">
        <v>1724</v>
      </c>
      <c r="AE1336" s="127">
        <v>2</v>
      </c>
      <c r="DA1336" s="122" t="s">
        <v>328</v>
      </c>
      <c r="DB1336" s="122" t="s">
        <v>4925</v>
      </c>
      <c r="DC1336" s="122" t="s">
        <v>4925</v>
      </c>
      <c r="DD1336" s="127">
        <v>8</v>
      </c>
      <c r="DE1336" s="127">
        <v>8</v>
      </c>
      <c r="DG1336" s="405" t="s">
        <v>328</v>
      </c>
      <c r="DH1336" s="406" t="s">
        <v>4925</v>
      </c>
      <c r="DI1336" s="406" t="str">
        <f t="shared" si="52"/>
        <v>MA, Tuntum</v>
      </c>
      <c r="DJ1336" s="406">
        <v>-5.258</v>
      </c>
      <c r="DK1336" s="80">
        <v>-44.649000000000001</v>
      </c>
      <c r="DL1336" s="80">
        <v>320</v>
      </c>
      <c r="DM1336" s="64">
        <v>8</v>
      </c>
      <c r="DN1336" s="406" t="s">
        <v>6654</v>
      </c>
      <c r="DO1336" s="406">
        <v>-5.51</v>
      </c>
      <c r="DP1336" s="80">
        <v>153</v>
      </c>
    </row>
    <row r="1337" spans="29:120" x14ac:dyDescent="0.25">
      <c r="AC1337" s="122" t="s">
        <v>236</v>
      </c>
      <c r="AD1337" s="122" t="s">
        <v>1725</v>
      </c>
      <c r="AE1337" s="127">
        <v>2</v>
      </c>
      <c r="DA1337" s="122" t="s">
        <v>328</v>
      </c>
      <c r="DB1337" s="122" t="s">
        <v>4165</v>
      </c>
      <c r="DC1337" s="122" t="s">
        <v>4165</v>
      </c>
      <c r="DD1337" s="127">
        <v>8</v>
      </c>
      <c r="DE1337" s="127">
        <v>8</v>
      </c>
      <c r="DG1337" s="405" t="s">
        <v>328</v>
      </c>
      <c r="DH1337" s="406" t="s">
        <v>4165</v>
      </c>
      <c r="DI1337" s="406" t="str">
        <f t="shared" si="52"/>
        <v>MA, Turiaçu</v>
      </c>
      <c r="DJ1337" s="406">
        <v>-1.663</v>
      </c>
      <c r="DK1337" s="80">
        <v>-45.372</v>
      </c>
      <c r="DL1337" s="80">
        <v>5</v>
      </c>
      <c r="DM1337" s="64">
        <v>8</v>
      </c>
      <c r="DN1337" s="406" t="s">
        <v>6647</v>
      </c>
      <c r="DO1337" s="406">
        <v>-1.66</v>
      </c>
      <c r="DP1337" s="80">
        <v>41</v>
      </c>
    </row>
    <row r="1338" spans="29:120" x14ac:dyDescent="0.25">
      <c r="AC1338" s="122" t="s">
        <v>236</v>
      </c>
      <c r="AD1338" s="122" t="s">
        <v>1726</v>
      </c>
      <c r="AE1338" s="127">
        <v>2</v>
      </c>
      <c r="DA1338" s="122" t="s">
        <v>328</v>
      </c>
      <c r="DB1338" s="122" t="s">
        <v>4334</v>
      </c>
      <c r="DC1338" s="122" t="s">
        <v>4334</v>
      </c>
      <c r="DD1338" s="127">
        <v>8</v>
      </c>
      <c r="DE1338" s="127">
        <v>8</v>
      </c>
      <c r="DG1338" s="405" t="s">
        <v>328</v>
      </c>
      <c r="DH1338" s="406" t="s">
        <v>4334</v>
      </c>
      <c r="DI1338" s="406" t="str">
        <f t="shared" si="52"/>
        <v>MA, Turilândia</v>
      </c>
      <c r="DJ1338" s="406">
        <v>-2.2010000000000001</v>
      </c>
      <c r="DK1338" s="80">
        <v>-45.343000000000004</v>
      </c>
      <c r="DL1338" s="80">
        <v>6</v>
      </c>
      <c r="DM1338" s="64">
        <v>8</v>
      </c>
      <c r="DN1338" s="406" t="s">
        <v>6647</v>
      </c>
      <c r="DO1338" s="406">
        <v>-1.66</v>
      </c>
      <c r="DP1338" s="80">
        <v>41</v>
      </c>
    </row>
    <row r="1339" spans="29:120" x14ac:dyDescent="0.25">
      <c r="AC1339" s="122" t="s">
        <v>236</v>
      </c>
      <c r="AD1339" s="122" t="s">
        <v>1727</v>
      </c>
      <c r="AE1339" s="127">
        <v>2</v>
      </c>
      <c r="DA1339" s="122" t="s">
        <v>328</v>
      </c>
      <c r="DB1339" s="122" t="s">
        <v>4172</v>
      </c>
      <c r="DC1339" s="122" t="s">
        <v>4172</v>
      </c>
      <c r="DD1339" s="127">
        <v>8</v>
      </c>
      <c r="DE1339" s="127">
        <v>8</v>
      </c>
      <c r="DG1339" s="405" t="s">
        <v>328</v>
      </c>
      <c r="DH1339" s="406" t="s">
        <v>4172</v>
      </c>
      <c r="DI1339" s="406" t="str">
        <f t="shared" si="52"/>
        <v>MA, Tutóia</v>
      </c>
      <c r="DJ1339" s="406">
        <v>-2.762</v>
      </c>
      <c r="DK1339" s="80">
        <v>-42.274000000000001</v>
      </c>
      <c r="DL1339" s="80">
        <v>20</v>
      </c>
      <c r="DM1339" s="64">
        <v>8</v>
      </c>
      <c r="DN1339" s="406" t="s">
        <v>6416</v>
      </c>
      <c r="DO1339" s="406">
        <v>-2.9</v>
      </c>
      <c r="DP1339" s="80">
        <v>80</v>
      </c>
    </row>
    <row r="1340" spans="29:120" x14ac:dyDescent="0.25">
      <c r="AC1340" s="122" t="s">
        <v>236</v>
      </c>
      <c r="AD1340" s="122" t="s">
        <v>1728</v>
      </c>
      <c r="AE1340" s="127">
        <v>2</v>
      </c>
      <c r="DA1340" s="122" t="s">
        <v>328</v>
      </c>
      <c r="DB1340" s="122" t="s">
        <v>6787</v>
      </c>
      <c r="DC1340" s="122" t="s">
        <v>5396</v>
      </c>
      <c r="DD1340" s="127">
        <v>8</v>
      </c>
      <c r="DE1340" s="127">
        <v>8</v>
      </c>
      <c r="DG1340" s="405" t="s">
        <v>328</v>
      </c>
      <c r="DH1340" s="406" t="s">
        <v>5396</v>
      </c>
      <c r="DI1340" s="406" t="str">
        <f t="shared" si="52"/>
        <v>MA, Urbano Santos</v>
      </c>
      <c r="DJ1340" s="406">
        <v>-3.2080000000000002</v>
      </c>
      <c r="DK1340" s="80">
        <v>-43.404000000000003</v>
      </c>
      <c r="DL1340" s="80">
        <v>41</v>
      </c>
      <c r="DM1340" s="64">
        <v>8</v>
      </c>
      <c r="DN1340" s="406" t="s">
        <v>6634</v>
      </c>
      <c r="DO1340" s="406">
        <v>-3.74</v>
      </c>
      <c r="DP1340" s="80">
        <v>91</v>
      </c>
    </row>
    <row r="1341" spans="29:120" x14ac:dyDescent="0.25">
      <c r="AC1341" s="122" t="s">
        <v>311</v>
      </c>
      <c r="AD1341" s="122" t="s">
        <v>1729</v>
      </c>
      <c r="AE1341" s="127">
        <v>2</v>
      </c>
      <c r="DA1341" s="122" t="s">
        <v>328</v>
      </c>
      <c r="DB1341" s="122" t="s">
        <v>6788</v>
      </c>
      <c r="DC1341" s="122" t="s">
        <v>4616</v>
      </c>
      <c r="DD1341" s="127">
        <v>8</v>
      </c>
      <c r="DE1341" s="127">
        <v>8</v>
      </c>
      <c r="DG1341" s="405" t="s">
        <v>328</v>
      </c>
      <c r="DH1341" s="406" t="s">
        <v>4616</v>
      </c>
      <c r="DI1341" s="406" t="str">
        <f t="shared" si="52"/>
        <v>MA, Vargem Grande</v>
      </c>
      <c r="DJ1341" s="406">
        <v>-3.5430000000000001</v>
      </c>
      <c r="DK1341" s="80">
        <v>-43.915999999999997</v>
      </c>
      <c r="DL1341" s="80">
        <v>43</v>
      </c>
      <c r="DM1341" s="64">
        <v>8</v>
      </c>
      <c r="DN1341" s="406" t="s">
        <v>6634</v>
      </c>
      <c r="DO1341" s="406">
        <v>-3.74</v>
      </c>
      <c r="DP1341" s="80">
        <v>91</v>
      </c>
    </row>
    <row r="1342" spans="29:120" x14ac:dyDescent="0.25">
      <c r="AC1342" s="122" t="s">
        <v>236</v>
      </c>
      <c r="AD1342" s="122" t="s">
        <v>1730</v>
      </c>
      <c r="AE1342" s="127">
        <v>2</v>
      </c>
      <c r="DA1342" s="122" t="s">
        <v>328</v>
      </c>
      <c r="DB1342" s="122" t="s">
        <v>3588</v>
      </c>
      <c r="DC1342" s="122" t="s">
        <v>3588</v>
      </c>
      <c r="DD1342" s="127">
        <v>8</v>
      </c>
      <c r="DE1342" s="127">
        <v>8</v>
      </c>
      <c r="DG1342" s="405" t="s">
        <v>328</v>
      </c>
      <c r="DH1342" s="406" t="s">
        <v>3588</v>
      </c>
      <c r="DI1342" s="406" t="str">
        <f t="shared" si="52"/>
        <v>MA, Viana</v>
      </c>
      <c r="DJ1342" s="406">
        <v>-3.22</v>
      </c>
      <c r="DK1342" s="80">
        <v>-45.003999999999998</v>
      </c>
      <c r="DL1342" s="80">
        <v>22</v>
      </c>
      <c r="DM1342" s="64">
        <v>8</v>
      </c>
      <c r="DN1342" s="406" t="s">
        <v>6636</v>
      </c>
      <c r="DO1342" s="406">
        <v>-2.5299999999999998</v>
      </c>
      <c r="DP1342" s="80">
        <v>56</v>
      </c>
    </row>
    <row r="1343" spans="29:120" x14ac:dyDescent="0.25">
      <c r="AC1343" s="122" t="s">
        <v>236</v>
      </c>
      <c r="AD1343" s="122" t="s">
        <v>1731</v>
      </c>
      <c r="AE1343" s="127">
        <v>2</v>
      </c>
      <c r="DA1343" s="122" t="s">
        <v>328</v>
      </c>
      <c r="DB1343" s="122" t="s">
        <v>6789</v>
      </c>
      <c r="DC1343" s="122" t="s">
        <v>4756</v>
      </c>
      <c r="DD1343" s="127">
        <v>8</v>
      </c>
      <c r="DE1343" s="127">
        <v>8</v>
      </c>
      <c r="DG1343" s="405" t="s">
        <v>328</v>
      </c>
      <c r="DH1343" s="406" t="s">
        <v>4756</v>
      </c>
      <c r="DI1343" s="406" t="str">
        <f t="shared" si="52"/>
        <v>MA, Vila Nova dos Martírios</v>
      </c>
      <c r="DJ1343" s="406">
        <v>-5.1879999999999997</v>
      </c>
      <c r="DK1343" s="80">
        <v>-48.136000000000003</v>
      </c>
      <c r="DL1343" s="80">
        <v>307</v>
      </c>
      <c r="DM1343" s="64">
        <v>8</v>
      </c>
      <c r="DN1343" s="406" t="s">
        <v>6632</v>
      </c>
      <c r="DO1343" s="406">
        <v>-4.78</v>
      </c>
      <c r="DP1343" s="80">
        <v>221</v>
      </c>
    </row>
    <row r="1344" spans="29:120" x14ac:dyDescent="0.25">
      <c r="AC1344" s="122" t="s">
        <v>236</v>
      </c>
      <c r="AD1344" s="122" t="s">
        <v>1732</v>
      </c>
      <c r="AE1344" s="127">
        <v>2</v>
      </c>
      <c r="DA1344" s="122" t="s">
        <v>328</v>
      </c>
      <c r="DB1344" s="122" t="s">
        <v>6790</v>
      </c>
      <c r="DC1344" s="122" t="s">
        <v>4668</v>
      </c>
      <c r="DD1344" s="127">
        <v>8</v>
      </c>
      <c r="DE1344" s="127">
        <v>8</v>
      </c>
      <c r="DG1344" s="405" t="s">
        <v>328</v>
      </c>
      <c r="DH1344" s="406" t="s">
        <v>4668</v>
      </c>
      <c r="DI1344" s="406" t="str">
        <f t="shared" si="52"/>
        <v>MA, Vitória do Mearim</v>
      </c>
      <c r="DJ1344" s="406">
        <v>-3.4620000000000002</v>
      </c>
      <c r="DK1344" s="80">
        <v>-44.871000000000002</v>
      </c>
      <c r="DL1344" s="80">
        <v>13</v>
      </c>
      <c r="DM1344" s="64">
        <v>8</v>
      </c>
      <c r="DN1344" s="406" t="s">
        <v>6640</v>
      </c>
      <c r="DO1344" s="406">
        <v>-4.24</v>
      </c>
      <c r="DP1344" s="80">
        <v>28</v>
      </c>
    </row>
    <row r="1345" spans="29:120" x14ac:dyDescent="0.25">
      <c r="AC1345" s="122" t="s">
        <v>236</v>
      </c>
      <c r="AD1345" s="122" t="s">
        <v>1733</v>
      </c>
      <c r="AE1345" s="127">
        <v>2</v>
      </c>
      <c r="DA1345" s="122" t="s">
        <v>328</v>
      </c>
      <c r="DB1345" s="122" t="s">
        <v>6791</v>
      </c>
      <c r="DC1345" s="122" t="s">
        <v>4744</v>
      </c>
      <c r="DD1345" s="127">
        <v>8</v>
      </c>
      <c r="DE1345" s="127">
        <v>8</v>
      </c>
      <c r="DG1345" s="405" t="s">
        <v>328</v>
      </c>
      <c r="DH1345" s="406" t="s">
        <v>4744</v>
      </c>
      <c r="DI1345" s="406" t="str">
        <f t="shared" si="52"/>
        <v>MA, Vitorino Freire</v>
      </c>
      <c r="DJ1345" s="406">
        <v>-4.282</v>
      </c>
      <c r="DK1345" s="80">
        <v>-45.250999999999998</v>
      </c>
      <c r="DL1345" s="80">
        <v>50</v>
      </c>
      <c r="DM1345" s="64">
        <v>8</v>
      </c>
      <c r="DN1345" s="406" t="s">
        <v>6640</v>
      </c>
      <c r="DO1345" s="406">
        <v>-4.24</v>
      </c>
      <c r="DP1345" s="80">
        <v>28</v>
      </c>
    </row>
    <row r="1346" spans="29:120" x14ac:dyDescent="0.25">
      <c r="AC1346" s="122" t="s">
        <v>236</v>
      </c>
      <c r="AD1346" s="122" t="s">
        <v>1734</v>
      </c>
      <c r="AE1346" s="127">
        <v>2</v>
      </c>
      <c r="DA1346" s="122" t="s">
        <v>328</v>
      </c>
      <c r="DB1346" s="122" t="s">
        <v>6792</v>
      </c>
      <c r="DC1346" s="122" t="s">
        <v>4589</v>
      </c>
      <c r="DD1346" s="127">
        <v>8</v>
      </c>
      <c r="DE1346" s="127">
        <v>8</v>
      </c>
      <c r="DG1346" s="405" t="s">
        <v>328</v>
      </c>
      <c r="DH1346" s="406" t="s">
        <v>4589</v>
      </c>
      <c r="DI1346" s="406" t="str">
        <f t="shared" si="52"/>
        <v>MA, Zé Doca</v>
      </c>
      <c r="DJ1346" s="406">
        <v>-3.2429999999999999</v>
      </c>
      <c r="DK1346" s="80">
        <v>-45.823999999999998</v>
      </c>
      <c r="DL1346" s="80">
        <v>47</v>
      </c>
      <c r="DM1346" s="64">
        <v>8</v>
      </c>
      <c r="DN1346" s="406" t="s">
        <v>6643</v>
      </c>
      <c r="DO1346" s="406">
        <v>-4.32</v>
      </c>
      <c r="DP1346" s="80">
        <v>175</v>
      </c>
    </row>
    <row r="1347" spans="29:120" x14ac:dyDescent="0.25">
      <c r="AC1347" s="122" t="s">
        <v>236</v>
      </c>
      <c r="AD1347" s="122" t="s">
        <v>1735</v>
      </c>
      <c r="AE1347" s="127">
        <v>2</v>
      </c>
      <c r="DA1347" s="122" t="s">
        <v>333</v>
      </c>
      <c r="DB1347" s="122" t="s">
        <v>6793</v>
      </c>
      <c r="DC1347" s="122" t="s">
        <v>3376</v>
      </c>
      <c r="DD1347" s="127">
        <v>6</v>
      </c>
      <c r="DE1347" s="127">
        <v>6</v>
      </c>
      <c r="DG1347" s="405" t="s">
        <v>333</v>
      </c>
      <c r="DH1347" s="406" t="s">
        <v>3376</v>
      </c>
      <c r="DI1347" s="406" t="str">
        <f t="shared" ref="DI1347:DI1410" si="53">CONCATENATE(DG1347,", ",DH1347)</f>
        <v>MG, Abadia dos Dourados</v>
      </c>
      <c r="DJ1347" s="406">
        <v>-18.486000000000001</v>
      </c>
      <c r="DK1347" s="80">
        <v>-47.402999999999999</v>
      </c>
      <c r="DL1347" s="80">
        <v>742</v>
      </c>
      <c r="DM1347" s="64">
        <v>6</v>
      </c>
      <c r="DN1347" s="406" t="s">
        <v>6794</v>
      </c>
      <c r="DO1347" s="406">
        <v>-18.940000000000001</v>
      </c>
      <c r="DP1347" s="80">
        <v>976</v>
      </c>
    </row>
    <row r="1348" spans="29:120" x14ac:dyDescent="0.25">
      <c r="AC1348" s="122" t="s">
        <v>311</v>
      </c>
      <c r="AD1348" s="122" t="s">
        <v>1736</v>
      </c>
      <c r="AE1348" s="127">
        <v>2</v>
      </c>
      <c r="DA1348" s="122" t="s">
        <v>333</v>
      </c>
      <c r="DB1348" s="122" t="s">
        <v>3366</v>
      </c>
      <c r="DC1348" s="122" t="s">
        <v>3366</v>
      </c>
      <c r="DD1348" s="127">
        <v>3</v>
      </c>
      <c r="DE1348" s="127">
        <v>3</v>
      </c>
      <c r="DG1348" s="405" t="s">
        <v>333</v>
      </c>
      <c r="DH1348" s="406" t="s">
        <v>3366</v>
      </c>
      <c r="DI1348" s="406" t="str">
        <f t="shared" si="53"/>
        <v>MG, Abaeté</v>
      </c>
      <c r="DJ1348" s="406">
        <v>-19.16</v>
      </c>
      <c r="DK1348" s="80">
        <v>-45.445999999999998</v>
      </c>
      <c r="DL1348" s="80">
        <v>647</v>
      </c>
      <c r="DM1348" s="64">
        <v>3</v>
      </c>
      <c r="DN1348" s="406" t="s">
        <v>6795</v>
      </c>
      <c r="DO1348" s="406">
        <v>-19.46</v>
      </c>
      <c r="DP1348" s="80">
        <v>722</v>
      </c>
    </row>
    <row r="1349" spans="29:120" x14ac:dyDescent="0.25">
      <c r="AC1349" s="122" t="s">
        <v>236</v>
      </c>
      <c r="AD1349" s="122" t="s">
        <v>1737</v>
      </c>
      <c r="AE1349" s="127">
        <v>2</v>
      </c>
      <c r="DA1349" s="122" t="s">
        <v>333</v>
      </c>
      <c r="DB1349" s="122" t="s">
        <v>6796</v>
      </c>
      <c r="DC1349" s="122" t="s">
        <v>562</v>
      </c>
      <c r="DD1349" s="127">
        <v>3</v>
      </c>
      <c r="DE1349" s="127">
        <v>3</v>
      </c>
      <c r="DG1349" s="405" t="s">
        <v>333</v>
      </c>
      <c r="DH1349" s="406" t="s">
        <v>562</v>
      </c>
      <c r="DI1349" s="406" t="str">
        <f t="shared" si="53"/>
        <v>MG, Abre Campo</v>
      </c>
      <c r="DJ1349" s="406">
        <v>-20.300999999999998</v>
      </c>
      <c r="DK1349" s="80">
        <v>-42.478000000000002</v>
      </c>
      <c r="DL1349" s="80">
        <v>548</v>
      </c>
      <c r="DM1349" s="64">
        <v>3</v>
      </c>
      <c r="DN1349" s="406" t="s">
        <v>6797</v>
      </c>
      <c r="DO1349" s="406">
        <v>-20.75</v>
      </c>
      <c r="DP1349" s="80">
        <v>712</v>
      </c>
    </row>
    <row r="1350" spans="29:120" x14ac:dyDescent="0.25">
      <c r="AC1350" s="122" t="s">
        <v>236</v>
      </c>
      <c r="AD1350" s="122" t="s">
        <v>1738</v>
      </c>
      <c r="AE1350" s="127">
        <v>2</v>
      </c>
      <c r="DA1350" s="122" t="s">
        <v>333</v>
      </c>
      <c r="DB1350" s="122" t="s">
        <v>571</v>
      </c>
      <c r="DC1350" s="122" t="s">
        <v>571</v>
      </c>
      <c r="DD1350" s="127">
        <v>3</v>
      </c>
      <c r="DE1350" s="127">
        <v>3</v>
      </c>
      <c r="DG1350" s="405" t="s">
        <v>333</v>
      </c>
      <c r="DH1350" s="406" t="s">
        <v>571</v>
      </c>
      <c r="DI1350" s="406" t="str">
        <f t="shared" si="53"/>
        <v>MG, Acaiaca</v>
      </c>
      <c r="DJ1350" s="406">
        <v>-20.363</v>
      </c>
      <c r="DK1350" s="80">
        <v>-43.145000000000003</v>
      </c>
      <c r="DL1350" s="80">
        <v>421</v>
      </c>
      <c r="DM1350" s="64">
        <v>3</v>
      </c>
      <c r="DN1350" s="406" t="s">
        <v>6797</v>
      </c>
      <c r="DO1350" s="406">
        <v>-20.75</v>
      </c>
      <c r="DP1350" s="80">
        <v>712</v>
      </c>
    </row>
    <row r="1351" spans="29:120" x14ac:dyDescent="0.25">
      <c r="AC1351" s="122" t="s">
        <v>236</v>
      </c>
      <c r="AD1351" s="122" t="s">
        <v>1739</v>
      </c>
      <c r="AE1351" s="127">
        <v>2</v>
      </c>
      <c r="DA1351" s="122" t="s">
        <v>333</v>
      </c>
      <c r="DB1351" s="122" t="s">
        <v>2575</v>
      </c>
      <c r="DC1351" s="122" t="s">
        <v>2575</v>
      </c>
      <c r="DD1351" s="127">
        <v>5</v>
      </c>
      <c r="DE1351" s="127">
        <v>5</v>
      </c>
      <c r="DG1351" s="405" t="s">
        <v>333</v>
      </c>
      <c r="DH1351" s="406" t="s">
        <v>2575</v>
      </c>
      <c r="DI1351" s="406" t="str">
        <f t="shared" si="53"/>
        <v>MG, Açucena</v>
      </c>
      <c r="DJ1351" s="406">
        <v>-19.073</v>
      </c>
      <c r="DK1351" s="80">
        <v>-42.545999999999999</v>
      </c>
      <c r="DL1351" s="80">
        <v>472</v>
      </c>
      <c r="DM1351" s="64">
        <v>5</v>
      </c>
      <c r="DN1351" s="406" t="s">
        <v>6798</v>
      </c>
      <c r="DO1351" s="406">
        <v>-19.579999999999998</v>
      </c>
      <c r="DP1351" s="80">
        <v>333</v>
      </c>
    </row>
    <row r="1352" spans="29:120" x14ac:dyDescent="0.25">
      <c r="AC1352" s="122" t="s">
        <v>27</v>
      </c>
      <c r="AD1352" s="122" t="s">
        <v>1740</v>
      </c>
      <c r="AE1352" s="127">
        <v>2</v>
      </c>
      <c r="DA1352" s="122" t="s">
        <v>333</v>
      </c>
      <c r="DB1352" s="122" t="s">
        <v>6799</v>
      </c>
      <c r="DC1352" s="122" t="s">
        <v>2075</v>
      </c>
      <c r="DD1352" s="127">
        <v>3</v>
      </c>
      <c r="DE1352" s="127">
        <v>3</v>
      </c>
      <c r="DG1352" s="405" t="s">
        <v>333</v>
      </c>
      <c r="DH1352" s="406" t="s">
        <v>2075</v>
      </c>
      <c r="DI1352" s="406" t="str">
        <f t="shared" si="53"/>
        <v>MG, Água Boa</v>
      </c>
      <c r="DJ1352" s="406">
        <v>-17.995999999999999</v>
      </c>
      <c r="DK1352" s="80">
        <v>-42.389000000000003</v>
      </c>
      <c r="DL1352" s="80">
        <v>407</v>
      </c>
      <c r="DM1352" s="64">
        <v>3</v>
      </c>
      <c r="DN1352" s="406" t="s">
        <v>6800</v>
      </c>
      <c r="DO1352" s="406">
        <v>-17.690000000000001</v>
      </c>
      <c r="DP1352" s="80">
        <v>932</v>
      </c>
    </row>
    <row r="1353" spans="29:120" x14ac:dyDescent="0.25">
      <c r="AC1353" s="122" t="s">
        <v>236</v>
      </c>
      <c r="AD1353" s="122" t="s">
        <v>1741</v>
      </c>
      <c r="AE1353" s="127">
        <v>2</v>
      </c>
      <c r="DA1353" s="122" t="s">
        <v>333</v>
      </c>
      <c r="DB1353" s="122" t="s">
        <v>6801</v>
      </c>
      <c r="DC1353" s="122" t="s">
        <v>2984</v>
      </c>
      <c r="DD1353" s="127">
        <v>4</v>
      </c>
      <c r="DE1353" s="127">
        <v>4</v>
      </c>
      <c r="DG1353" s="405" t="s">
        <v>333</v>
      </c>
      <c r="DH1353" s="406" t="s">
        <v>2984</v>
      </c>
      <c r="DI1353" s="406" t="str">
        <f t="shared" si="53"/>
        <v>MG, Água Comprida</v>
      </c>
      <c r="DJ1353" s="406">
        <v>-20.056000000000001</v>
      </c>
      <c r="DK1353" s="80">
        <v>-48.109000000000002</v>
      </c>
      <c r="DL1353" s="80">
        <v>543</v>
      </c>
      <c r="DM1353" s="64">
        <v>4</v>
      </c>
      <c r="DN1353" s="406" t="s">
        <v>6802</v>
      </c>
      <c r="DO1353" s="406">
        <v>-19.989999999999998</v>
      </c>
      <c r="DP1353" s="80">
        <v>568</v>
      </c>
    </row>
    <row r="1354" spans="29:120" x14ac:dyDescent="0.25">
      <c r="AC1354" s="122" t="s">
        <v>236</v>
      </c>
      <c r="AD1354" s="122" t="s">
        <v>1742</v>
      </c>
      <c r="AE1354" s="127">
        <v>2</v>
      </c>
      <c r="DA1354" s="122" t="s">
        <v>333</v>
      </c>
      <c r="DB1354" s="122" t="s">
        <v>2329</v>
      </c>
      <c r="DC1354" s="122" t="s">
        <v>2329</v>
      </c>
      <c r="DD1354" s="127">
        <v>2</v>
      </c>
      <c r="DE1354" s="127">
        <v>2</v>
      </c>
      <c r="DG1354" s="405" t="s">
        <v>333</v>
      </c>
      <c r="DH1354" s="406" t="s">
        <v>2329</v>
      </c>
      <c r="DI1354" s="406" t="str">
        <f t="shared" si="53"/>
        <v>MG, Aguanil</v>
      </c>
      <c r="DJ1354" s="406">
        <v>-20.943000000000001</v>
      </c>
      <c r="DK1354" s="80">
        <v>-45.393000000000001</v>
      </c>
      <c r="DL1354" s="80">
        <v>823</v>
      </c>
      <c r="DM1354" s="64">
        <v>2</v>
      </c>
      <c r="DN1354" s="406" t="s">
        <v>6803</v>
      </c>
      <c r="DO1354" s="406">
        <v>-20.46</v>
      </c>
      <c r="DP1354" s="80">
        <v>878</v>
      </c>
    </row>
    <row r="1355" spans="29:120" x14ac:dyDescent="0.25">
      <c r="AC1355" s="122" t="s">
        <v>236</v>
      </c>
      <c r="AD1355" s="122" t="s">
        <v>1743</v>
      </c>
      <c r="AE1355" s="127">
        <v>2</v>
      </c>
      <c r="DA1355" s="122" t="s">
        <v>333</v>
      </c>
      <c r="DB1355" s="122" t="s">
        <v>6804</v>
      </c>
      <c r="DC1355" s="122" t="s">
        <v>1907</v>
      </c>
      <c r="DD1355" s="127">
        <v>5</v>
      </c>
      <c r="DE1355" s="127">
        <v>5</v>
      </c>
      <c r="DG1355" s="405" t="s">
        <v>333</v>
      </c>
      <c r="DH1355" s="406" t="s">
        <v>1907</v>
      </c>
      <c r="DI1355" s="406" t="str">
        <f t="shared" si="53"/>
        <v>MG, Águas Formosas</v>
      </c>
      <c r="DJ1355" s="406">
        <v>-17.082000000000001</v>
      </c>
      <c r="DK1355" s="80">
        <v>-40.936</v>
      </c>
      <c r="DL1355" s="80">
        <v>273</v>
      </c>
      <c r="DM1355" s="64">
        <v>5</v>
      </c>
      <c r="DN1355" s="406" t="s">
        <v>6805</v>
      </c>
      <c r="DO1355" s="406">
        <v>-16.34</v>
      </c>
      <c r="DP1355" s="80">
        <v>266</v>
      </c>
    </row>
    <row r="1356" spans="29:120" x14ac:dyDescent="0.25">
      <c r="AC1356" s="122" t="s">
        <v>27</v>
      </c>
      <c r="AD1356" s="122" t="s">
        <v>1744</v>
      </c>
      <c r="AE1356" s="127">
        <v>2</v>
      </c>
      <c r="DA1356" s="122" t="s">
        <v>333</v>
      </c>
      <c r="DB1356" s="122" t="s">
        <v>6806</v>
      </c>
      <c r="DC1356" s="122" t="s">
        <v>2850</v>
      </c>
      <c r="DD1356" s="127">
        <v>5</v>
      </c>
      <c r="DE1356" s="127">
        <v>5</v>
      </c>
      <c r="DG1356" s="405" t="s">
        <v>333</v>
      </c>
      <c r="DH1356" s="406" t="s">
        <v>2850</v>
      </c>
      <c r="DI1356" s="406" t="str">
        <f t="shared" si="53"/>
        <v>MG, Águas Vermelhas</v>
      </c>
      <c r="DJ1356" s="406">
        <v>-15.747</v>
      </c>
      <c r="DK1356" s="80">
        <v>-41.46</v>
      </c>
      <c r="DL1356" s="80">
        <v>758</v>
      </c>
      <c r="DM1356" s="64">
        <v>5</v>
      </c>
      <c r="DN1356" s="406" t="s">
        <v>6252</v>
      </c>
      <c r="DO1356" s="406">
        <v>-15.75</v>
      </c>
      <c r="DP1356" s="80">
        <v>740</v>
      </c>
    </row>
    <row r="1357" spans="29:120" x14ac:dyDescent="0.25">
      <c r="AC1357" s="122" t="s">
        <v>236</v>
      </c>
      <c r="AD1357" s="122" t="s">
        <v>1745</v>
      </c>
      <c r="AE1357" s="127">
        <v>2</v>
      </c>
      <c r="DA1357" s="122" t="s">
        <v>333</v>
      </c>
      <c r="DB1357" s="122" t="s">
        <v>5082</v>
      </c>
      <c r="DC1357" s="122" t="s">
        <v>5082</v>
      </c>
      <c r="DD1357" s="127">
        <v>5</v>
      </c>
      <c r="DE1357" s="127">
        <v>5</v>
      </c>
      <c r="DG1357" s="405" t="s">
        <v>333</v>
      </c>
      <c r="DH1357" s="406" t="s">
        <v>5082</v>
      </c>
      <c r="DI1357" s="406" t="str">
        <f t="shared" si="53"/>
        <v>MG, Aimorés</v>
      </c>
      <c r="DJ1357" s="406">
        <v>-19.495999999999999</v>
      </c>
      <c r="DK1357" s="80">
        <v>-41.064</v>
      </c>
      <c r="DL1357" s="80">
        <v>80</v>
      </c>
      <c r="DM1357" s="64">
        <v>5</v>
      </c>
      <c r="DN1357" s="406" t="s">
        <v>6465</v>
      </c>
      <c r="DO1357" s="406">
        <v>-19.5</v>
      </c>
      <c r="DP1357" s="80">
        <v>84</v>
      </c>
    </row>
    <row r="1358" spans="29:120" x14ac:dyDescent="0.25">
      <c r="AC1358" s="122" t="s">
        <v>236</v>
      </c>
      <c r="AD1358" s="122" t="s">
        <v>1746</v>
      </c>
      <c r="AE1358" s="127">
        <v>2</v>
      </c>
      <c r="DA1358" s="122" t="s">
        <v>333</v>
      </c>
      <c r="DB1358" s="122" t="s">
        <v>572</v>
      </c>
      <c r="DC1358" s="122" t="s">
        <v>572</v>
      </c>
      <c r="DD1358" s="127">
        <v>2</v>
      </c>
      <c r="DE1358" s="127">
        <v>2</v>
      </c>
      <c r="DG1358" s="405" t="s">
        <v>333</v>
      </c>
      <c r="DH1358" s="406" t="s">
        <v>572</v>
      </c>
      <c r="DI1358" s="406" t="str">
        <f t="shared" si="53"/>
        <v>MG, Aiuruoca</v>
      </c>
      <c r="DJ1358" s="406">
        <v>-21.975999999999999</v>
      </c>
      <c r="DK1358" s="80">
        <v>-44.603000000000002</v>
      </c>
      <c r="DL1358" s="80">
        <v>974</v>
      </c>
      <c r="DM1358" s="64">
        <v>2</v>
      </c>
      <c r="DN1358" s="406" t="s">
        <v>6807</v>
      </c>
      <c r="DO1358" s="406">
        <v>-22.47</v>
      </c>
      <c r="DP1358" s="80">
        <v>440</v>
      </c>
    </row>
    <row r="1359" spans="29:120" x14ac:dyDescent="0.25">
      <c r="AC1359" s="122" t="s">
        <v>311</v>
      </c>
      <c r="AD1359" s="122" t="s">
        <v>1747</v>
      </c>
      <c r="AE1359" s="127">
        <v>2</v>
      </c>
      <c r="DA1359" s="122" t="s">
        <v>333</v>
      </c>
      <c r="DB1359" s="122" t="s">
        <v>573</v>
      </c>
      <c r="DC1359" s="122" t="s">
        <v>573</v>
      </c>
      <c r="DD1359" s="127">
        <v>2</v>
      </c>
      <c r="DE1359" s="127">
        <v>2</v>
      </c>
      <c r="DG1359" s="405" t="s">
        <v>333</v>
      </c>
      <c r="DH1359" s="406" t="s">
        <v>573</v>
      </c>
      <c r="DI1359" s="406" t="str">
        <f t="shared" si="53"/>
        <v>MG, Alagoa</v>
      </c>
      <c r="DJ1359" s="406">
        <v>-22.170999999999999</v>
      </c>
      <c r="DK1359" s="80">
        <v>-44.642000000000003</v>
      </c>
      <c r="DL1359" s="80">
        <v>1132</v>
      </c>
      <c r="DM1359" s="64">
        <v>2</v>
      </c>
      <c r="DN1359" s="406" t="s">
        <v>6807</v>
      </c>
      <c r="DO1359" s="406">
        <v>-22.47</v>
      </c>
      <c r="DP1359" s="80">
        <v>440</v>
      </c>
    </row>
    <row r="1360" spans="29:120" x14ac:dyDescent="0.25">
      <c r="AC1360" s="122" t="s">
        <v>236</v>
      </c>
      <c r="AD1360" s="122" t="s">
        <v>1748</v>
      </c>
      <c r="AE1360" s="127">
        <v>2</v>
      </c>
      <c r="DA1360" s="122" t="s">
        <v>333</v>
      </c>
      <c r="DB1360" s="122" t="s">
        <v>1035</v>
      </c>
      <c r="DC1360" s="122" t="s">
        <v>1035</v>
      </c>
      <c r="DD1360" s="127">
        <v>3</v>
      </c>
      <c r="DE1360" s="127">
        <v>3</v>
      </c>
      <c r="DG1360" s="405" t="s">
        <v>333</v>
      </c>
      <c r="DH1360" s="406" t="s">
        <v>1035</v>
      </c>
      <c r="DI1360" s="406" t="str">
        <f t="shared" si="53"/>
        <v>MG, Albertina</v>
      </c>
      <c r="DJ1360" s="406">
        <v>-22.201000000000001</v>
      </c>
      <c r="DK1360" s="80">
        <v>-46.616</v>
      </c>
      <c r="DL1360" s="80">
        <v>1011</v>
      </c>
      <c r="DM1360" s="64">
        <v>3</v>
      </c>
      <c r="DN1360" s="406" t="s">
        <v>6808</v>
      </c>
      <c r="DO1360" s="406">
        <v>-22.42</v>
      </c>
      <c r="DP1360" s="80">
        <v>633</v>
      </c>
    </row>
    <row r="1361" spans="29:120" x14ac:dyDescent="0.25">
      <c r="AC1361" s="122" t="s">
        <v>236</v>
      </c>
      <c r="AD1361" s="122" t="s">
        <v>1749</v>
      </c>
      <c r="AE1361" s="127">
        <v>2</v>
      </c>
      <c r="DA1361" s="122" t="s">
        <v>333</v>
      </c>
      <c r="DB1361" s="122" t="s">
        <v>6809</v>
      </c>
      <c r="DC1361" s="122" t="s">
        <v>3628</v>
      </c>
      <c r="DD1361" s="127">
        <v>3</v>
      </c>
      <c r="DE1361" s="127">
        <v>3</v>
      </c>
      <c r="DG1361" s="405" t="s">
        <v>333</v>
      </c>
      <c r="DH1361" s="406" t="s">
        <v>3628</v>
      </c>
      <c r="DI1361" s="406" t="str">
        <f t="shared" si="53"/>
        <v>MG, Além Paraíba</v>
      </c>
      <c r="DJ1361" s="406">
        <v>-21.888000000000002</v>
      </c>
      <c r="DK1361" s="80">
        <v>-42.704000000000001</v>
      </c>
      <c r="DL1361" s="80">
        <v>140</v>
      </c>
      <c r="DM1361" s="64">
        <v>3</v>
      </c>
      <c r="DN1361" s="406" t="s">
        <v>6810</v>
      </c>
      <c r="DO1361" s="406">
        <v>-22.41</v>
      </c>
      <c r="DP1361" s="80">
        <v>980</v>
      </c>
    </row>
    <row r="1362" spans="29:120" x14ac:dyDescent="0.25">
      <c r="AC1362" s="122" t="s">
        <v>236</v>
      </c>
      <c r="AD1362" s="122" t="s">
        <v>1750</v>
      </c>
      <c r="AE1362" s="127">
        <v>2</v>
      </c>
      <c r="DA1362" s="122" t="s">
        <v>333</v>
      </c>
      <c r="DB1362" s="122" t="s">
        <v>574</v>
      </c>
      <c r="DC1362" s="122" t="s">
        <v>574</v>
      </c>
      <c r="DD1362" s="127">
        <v>4</v>
      </c>
      <c r="DE1362" s="127">
        <v>4</v>
      </c>
      <c r="DG1362" s="405" t="s">
        <v>333</v>
      </c>
      <c r="DH1362" s="406" t="s">
        <v>574</v>
      </c>
      <c r="DI1362" s="406" t="str">
        <f t="shared" si="53"/>
        <v>MG, Alfenas</v>
      </c>
      <c r="DJ1362" s="406">
        <v>-21.428999999999998</v>
      </c>
      <c r="DK1362" s="80">
        <v>-45.947000000000003</v>
      </c>
      <c r="DL1362" s="80">
        <v>881</v>
      </c>
      <c r="DM1362" s="64">
        <v>4</v>
      </c>
      <c r="DN1362" s="406" t="s">
        <v>6811</v>
      </c>
      <c r="DO1362" s="406">
        <v>-21.55</v>
      </c>
      <c r="DP1362" s="80">
        <v>955</v>
      </c>
    </row>
    <row r="1363" spans="29:120" x14ac:dyDescent="0.25">
      <c r="AC1363" s="122" t="s">
        <v>311</v>
      </c>
      <c r="AD1363" s="122" t="s">
        <v>1751</v>
      </c>
      <c r="AE1363" s="127">
        <v>2</v>
      </c>
      <c r="DA1363" s="122" t="s">
        <v>333</v>
      </c>
      <c r="DB1363" s="122" t="s">
        <v>6812</v>
      </c>
      <c r="DC1363" s="122" t="s">
        <v>575</v>
      </c>
      <c r="DD1363" s="127">
        <v>3</v>
      </c>
      <c r="DE1363" s="127">
        <v>3</v>
      </c>
      <c r="DG1363" s="405" t="s">
        <v>333</v>
      </c>
      <c r="DH1363" s="406" t="s">
        <v>575</v>
      </c>
      <c r="DI1363" s="406" t="str">
        <f t="shared" si="53"/>
        <v>MG, Alfredo Vasconcelos</v>
      </c>
      <c r="DJ1363" s="406">
        <v>-21.145</v>
      </c>
      <c r="DK1363" s="80">
        <v>-43.777000000000001</v>
      </c>
      <c r="DL1363" s="80">
        <v>1052</v>
      </c>
      <c r="DM1363" s="64">
        <v>3</v>
      </c>
      <c r="DN1363" s="406" t="s">
        <v>6813</v>
      </c>
      <c r="DO1363" s="406">
        <v>-21.14</v>
      </c>
      <c r="DP1363" s="80">
        <v>991</v>
      </c>
    </row>
    <row r="1364" spans="29:120" x14ac:dyDescent="0.25">
      <c r="AC1364" s="122" t="s">
        <v>236</v>
      </c>
      <c r="AD1364" s="122" t="s">
        <v>1752</v>
      </c>
      <c r="AE1364" s="127">
        <v>2</v>
      </c>
      <c r="DA1364" s="122" t="s">
        <v>333</v>
      </c>
      <c r="DB1364" s="122" t="s">
        <v>5166</v>
      </c>
      <c r="DC1364" s="122" t="s">
        <v>5166</v>
      </c>
      <c r="DD1364" s="127">
        <v>5</v>
      </c>
      <c r="DE1364" s="127">
        <v>5</v>
      </c>
      <c r="DG1364" s="405" t="s">
        <v>333</v>
      </c>
      <c r="DH1364" s="406" t="s">
        <v>5166</v>
      </c>
      <c r="DI1364" s="406" t="str">
        <f t="shared" si="53"/>
        <v>MG, Almenara</v>
      </c>
      <c r="DJ1364" s="406">
        <v>-16.184000000000001</v>
      </c>
      <c r="DK1364" s="80">
        <v>-40.694000000000003</v>
      </c>
      <c r="DL1364" s="80">
        <v>187</v>
      </c>
      <c r="DM1364" s="64">
        <v>5</v>
      </c>
      <c r="DN1364" s="406" t="s">
        <v>6295</v>
      </c>
      <c r="DO1364" s="406">
        <v>-16.18</v>
      </c>
      <c r="DP1364" s="80">
        <v>208</v>
      </c>
    </row>
    <row r="1365" spans="29:120" x14ac:dyDescent="0.25">
      <c r="AC1365" s="122" t="s">
        <v>236</v>
      </c>
      <c r="AD1365" s="122" t="s">
        <v>1753</v>
      </c>
      <c r="AE1365" s="127">
        <v>2</v>
      </c>
      <c r="DA1365" s="122" t="s">
        <v>333</v>
      </c>
      <c r="DB1365" s="122" t="s">
        <v>2583</v>
      </c>
      <c r="DC1365" s="122" t="s">
        <v>2583</v>
      </c>
      <c r="DD1365" s="127">
        <v>5</v>
      </c>
      <c r="DE1365" s="127">
        <v>5</v>
      </c>
      <c r="DG1365" s="405" t="s">
        <v>333</v>
      </c>
      <c r="DH1365" s="406" t="s">
        <v>2583</v>
      </c>
      <c r="DI1365" s="406" t="str">
        <f t="shared" si="53"/>
        <v>MG, Alpercata</v>
      </c>
      <c r="DJ1365" s="406">
        <v>-18.974</v>
      </c>
      <c r="DK1365" s="80">
        <v>-41.97</v>
      </c>
      <c r="DL1365" s="80">
        <v>192</v>
      </c>
      <c r="DM1365" s="64">
        <v>5</v>
      </c>
      <c r="DN1365" s="406" t="s">
        <v>6814</v>
      </c>
      <c r="DO1365" s="406">
        <v>-18.850000000000001</v>
      </c>
      <c r="DP1365" s="80">
        <v>263</v>
      </c>
    </row>
    <row r="1366" spans="29:120" x14ac:dyDescent="0.25">
      <c r="AC1366" s="122" t="s">
        <v>376</v>
      </c>
      <c r="AD1366" s="122" t="s">
        <v>1754</v>
      </c>
      <c r="AE1366" s="127">
        <v>3</v>
      </c>
      <c r="DA1366" s="122" t="s">
        <v>333</v>
      </c>
      <c r="DB1366" s="122" t="s">
        <v>576</v>
      </c>
      <c r="DC1366" s="122" t="s">
        <v>576</v>
      </c>
      <c r="DD1366" s="127">
        <v>4</v>
      </c>
      <c r="DE1366" s="127">
        <v>4</v>
      </c>
      <c r="DG1366" s="405" t="s">
        <v>333</v>
      </c>
      <c r="DH1366" s="406" t="s">
        <v>576</v>
      </c>
      <c r="DI1366" s="406" t="str">
        <f t="shared" si="53"/>
        <v>MG, Alpinópolis</v>
      </c>
      <c r="DJ1366" s="406">
        <v>-20.864000000000001</v>
      </c>
      <c r="DK1366" s="80">
        <v>-46.387999999999998</v>
      </c>
      <c r="DL1366" s="80">
        <v>876</v>
      </c>
      <c r="DM1366" s="64">
        <v>4</v>
      </c>
      <c r="DN1366" s="406" t="s">
        <v>6815</v>
      </c>
      <c r="DO1366" s="406">
        <v>-20.75</v>
      </c>
      <c r="DP1366" s="80">
        <v>875</v>
      </c>
    </row>
    <row r="1367" spans="29:120" x14ac:dyDescent="0.25">
      <c r="AC1367" s="122" t="s">
        <v>236</v>
      </c>
      <c r="AD1367" s="122" t="s">
        <v>1755</v>
      </c>
      <c r="AE1367" s="127">
        <v>2</v>
      </c>
      <c r="DA1367" s="122" t="s">
        <v>333</v>
      </c>
      <c r="DB1367" s="122" t="s">
        <v>577</v>
      </c>
      <c r="DC1367" s="122" t="s">
        <v>577</v>
      </c>
      <c r="DD1367" s="127">
        <v>4</v>
      </c>
      <c r="DE1367" s="127">
        <v>4</v>
      </c>
      <c r="DG1367" s="405" t="s">
        <v>333</v>
      </c>
      <c r="DH1367" s="406" t="s">
        <v>577</v>
      </c>
      <c r="DI1367" s="406" t="str">
        <f t="shared" si="53"/>
        <v>MG, Alterosa</v>
      </c>
      <c r="DJ1367" s="406">
        <v>-21.248999999999999</v>
      </c>
      <c r="DK1367" s="80">
        <v>-46.143000000000001</v>
      </c>
      <c r="DL1367" s="80">
        <v>843</v>
      </c>
      <c r="DM1367" s="64">
        <v>4</v>
      </c>
      <c r="DN1367" s="406" t="s">
        <v>6815</v>
      </c>
      <c r="DO1367" s="406">
        <v>-20.75</v>
      </c>
      <c r="DP1367" s="80">
        <v>875</v>
      </c>
    </row>
    <row r="1368" spans="29:120" x14ac:dyDescent="0.25">
      <c r="AC1368" s="122" t="s">
        <v>376</v>
      </c>
      <c r="AD1368" s="122" t="s">
        <v>1756</v>
      </c>
      <c r="AE1368" s="127">
        <v>3</v>
      </c>
      <c r="DA1368" s="122" t="s">
        <v>333</v>
      </c>
      <c r="DB1368" s="122" t="s">
        <v>6816</v>
      </c>
      <c r="DC1368" s="122" t="s">
        <v>934</v>
      </c>
      <c r="DD1368" s="127">
        <v>3</v>
      </c>
      <c r="DE1368" s="127">
        <v>3</v>
      </c>
      <c r="DG1368" s="405" t="s">
        <v>333</v>
      </c>
      <c r="DH1368" s="406" t="s">
        <v>934</v>
      </c>
      <c r="DI1368" s="406" t="str">
        <f t="shared" si="53"/>
        <v>MG, Alto Caparaó</v>
      </c>
      <c r="DJ1368" s="406">
        <v>-20.434000000000001</v>
      </c>
      <c r="DK1368" s="80">
        <v>-41.868000000000002</v>
      </c>
      <c r="DL1368" s="80">
        <v>1000</v>
      </c>
      <c r="DM1368" s="64">
        <v>3</v>
      </c>
      <c r="DN1368" s="406" t="s">
        <v>6478</v>
      </c>
      <c r="DO1368" s="406">
        <v>-20.73</v>
      </c>
      <c r="DP1368" s="80">
        <v>399</v>
      </c>
    </row>
    <row r="1369" spans="29:120" x14ac:dyDescent="0.25">
      <c r="AC1369" s="122" t="s">
        <v>236</v>
      </c>
      <c r="AD1369" s="122" t="s">
        <v>1757</v>
      </c>
      <c r="AE1369" s="127">
        <v>2</v>
      </c>
      <c r="DA1369" s="122" t="s">
        <v>333</v>
      </c>
      <c r="DB1369" s="122" t="s">
        <v>6817</v>
      </c>
      <c r="DC1369" s="122" t="s">
        <v>927</v>
      </c>
      <c r="DD1369" s="127">
        <v>2</v>
      </c>
      <c r="DE1369" s="127">
        <v>2</v>
      </c>
      <c r="DG1369" s="405" t="s">
        <v>333</v>
      </c>
      <c r="DH1369" s="406" t="s">
        <v>927</v>
      </c>
      <c r="DI1369" s="406" t="str">
        <f t="shared" si="53"/>
        <v>MG, Alto Jequitibá</v>
      </c>
      <c r="DJ1369" s="406">
        <v>-20.423999999999999</v>
      </c>
      <c r="DK1369" s="80">
        <v>-41.966000000000001</v>
      </c>
      <c r="DL1369" s="80">
        <v>645</v>
      </c>
      <c r="DM1369" s="64">
        <v>2</v>
      </c>
      <c r="DN1369" s="406" t="s">
        <v>6478</v>
      </c>
      <c r="DO1369" s="406">
        <v>-20.73</v>
      </c>
      <c r="DP1369" s="80">
        <v>399</v>
      </c>
    </row>
    <row r="1370" spans="29:120" x14ac:dyDescent="0.25">
      <c r="AC1370" s="122" t="s">
        <v>376</v>
      </c>
      <c r="AD1370" s="122" t="s">
        <v>1758</v>
      </c>
      <c r="AE1370" s="127">
        <v>3</v>
      </c>
      <c r="DA1370" s="122" t="s">
        <v>333</v>
      </c>
      <c r="DB1370" s="122" t="s">
        <v>6818</v>
      </c>
      <c r="DC1370" s="122" t="s">
        <v>578</v>
      </c>
      <c r="DD1370" s="127">
        <v>3</v>
      </c>
      <c r="DE1370" s="127">
        <v>3</v>
      </c>
      <c r="DG1370" s="405" t="s">
        <v>333</v>
      </c>
      <c r="DH1370" s="406" t="s">
        <v>578</v>
      </c>
      <c r="DI1370" s="406" t="str">
        <f t="shared" si="53"/>
        <v>MG, Alto Rio Doce</v>
      </c>
      <c r="DJ1370" s="406">
        <v>-21.026</v>
      </c>
      <c r="DK1370" s="80">
        <v>-43.411000000000001</v>
      </c>
      <c r="DL1370" s="80">
        <v>793</v>
      </c>
      <c r="DM1370" s="64">
        <v>3</v>
      </c>
      <c r="DN1370" s="406" t="s">
        <v>6797</v>
      </c>
      <c r="DO1370" s="406">
        <v>-20.75</v>
      </c>
      <c r="DP1370" s="80">
        <v>712</v>
      </c>
    </row>
    <row r="1371" spans="29:120" x14ac:dyDescent="0.25">
      <c r="AC1371" s="122" t="s">
        <v>376</v>
      </c>
      <c r="AD1371" s="122" t="s">
        <v>1759</v>
      </c>
      <c r="AE1371" s="127">
        <v>3</v>
      </c>
      <c r="DA1371" s="122" t="s">
        <v>333</v>
      </c>
      <c r="DB1371" s="122" t="s">
        <v>1997</v>
      </c>
      <c r="DC1371" s="122" t="s">
        <v>1997</v>
      </c>
      <c r="DD1371" s="127">
        <v>5</v>
      </c>
      <c r="DE1371" s="127">
        <v>5</v>
      </c>
      <c r="DG1371" s="405" t="s">
        <v>333</v>
      </c>
      <c r="DH1371" s="406" t="s">
        <v>1997</v>
      </c>
      <c r="DI1371" s="406" t="str">
        <f t="shared" si="53"/>
        <v>MG, Alvarenga</v>
      </c>
      <c r="DJ1371" s="406">
        <v>-19.417000000000002</v>
      </c>
      <c r="DK1371" s="80">
        <v>-41.728999999999999</v>
      </c>
      <c r="DL1371" s="80">
        <v>390</v>
      </c>
      <c r="DM1371" s="64">
        <v>5</v>
      </c>
      <c r="DN1371" s="406" t="s">
        <v>6819</v>
      </c>
      <c r="DO1371" s="406">
        <v>-19.79</v>
      </c>
      <c r="DP1371" s="80">
        <v>615</v>
      </c>
    </row>
    <row r="1372" spans="29:120" x14ac:dyDescent="0.25">
      <c r="AC1372" s="122" t="s">
        <v>376</v>
      </c>
      <c r="AD1372" s="122" t="s">
        <v>1760</v>
      </c>
      <c r="AE1372" s="127">
        <v>2</v>
      </c>
      <c r="DA1372" s="122" t="s">
        <v>333</v>
      </c>
      <c r="DB1372" s="122" t="s">
        <v>495</v>
      </c>
      <c r="DC1372" s="122" t="s">
        <v>495</v>
      </c>
      <c r="DD1372" s="127">
        <v>3</v>
      </c>
      <c r="DE1372" s="127">
        <v>3</v>
      </c>
      <c r="DG1372" s="405" t="s">
        <v>333</v>
      </c>
      <c r="DH1372" s="406" t="s">
        <v>495</v>
      </c>
      <c r="DI1372" s="406" t="str">
        <f t="shared" si="53"/>
        <v>MG, Alvinópolis</v>
      </c>
      <c r="DJ1372" s="406">
        <v>-20.106999999999999</v>
      </c>
      <c r="DK1372" s="80">
        <v>-43.048999999999999</v>
      </c>
      <c r="DL1372" s="80">
        <v>572</v>
      </c>
      <c r="DM1372" s="64">
        <v>3</v>
      </c>
      <c r="DN1372" s="406" t="s">
        <v>6798</v>
      </c>
      <c r="DO1372" s="406">
        <v>-19.579999999999998</v>
      </c>
      <c r="DP1372" s="80">
        <v>333</v>
      </c>
    </row>
    <row r="1373" spans="29:120" x14ac:dyDescent="0.25">
      <c r="AC1373" s="122" t="s">
        <v>376</v>
      </c>
      <c r="AD1373" s="122" t="s">
        <v>1761</v>
      </c>
      <c r="AE1373" s="127">
        <v>3</v>
      </c>
      <c r="DA1373" s="122" t="s">
        <v>333</v>
      </c>
      <c r="DB1373" s="122" t="s">
        <v>6820</v>
      </c>
      <c r="DC1373" s="122" t="s">
        <v>903</v>
      </c>
      <c r="DD1373" s="127">
        <v>3</v>
      </c>
      <c r="DE1373" s="127">
        <v>3</v>
      </c>
      <c r="DG1373" s="405" t="s">
        <v>333</v>
      </c>
      <c r="DH1373" s="406" t="s">
        <v>903</v>
      </c>
      <c r="DI1373" s="406" t="str">
        <f t="shared" si="53"/>
        <v>MG, Alvorada de Minas</v>
      </c>
      <c r="DJ1373" s="406">
        <v>-18.736000000000001</v>
      </c>
      <c r="DK1373" s="80">
        <v>-43.365000000000002</v>
      </c>
      <c r="DL1373" s="80">
        <v>657</v>
      </c>
      <c r="DM1373" s="64">
        <v>3</v>
      </c>
      <c r="DN1373" s="406" t="s">
        <v>6821</v>
      </c>
      <c r="DO1373" s="406">
        <v>-18.23</v>
      </c>
      <c r="DP1373" s="80">
        <v>1356</v>
      </c>
    </row>
    <row r="1374" spans="29:120" x14ac:dyDescent="0.25">
      <c r="AC1374" s="122" t="s">
        <v>236</v>
      </c>
      <c r="AD1374" s="122" t="s">
        <v>1762</v>
      </c>
      <c r="AE1374" s="127">
        <v>2</v>
      </c>
      <c r="DA1374" s="122" t="s">
        <v>333</v>
      </c>
      <c r="DB1374" s="122" t="s">
        <v>6822</v>
      </c>
      <c r="DC1374" s="122" t="s">
        <v>548</v>
      </c>
      <c r="DD1374" s="127">
        <v>3</v>
      </c>
      <c r="DE1374" s="127">
        <v>3</v>
      </c>
      <c r="DG1374" s="405" t="s">
        <v>333</v>
      </c>
      <c r="DH1374" s="406" t="s">
        <v>548</v>
      </c>
      <c r="DI1374" s="406" t="str">
        <f t="shared" si="53"/>
        <v>MG, Amparo do Serra</v>
      </c>
      <c r="DJ1374" s="406">
        <v>-20.507000000000001</v>
      </c>
      <c r="DK1374" s="80">
        <v>-42.802999999999997</v>
      </c>
      <c r="DL1374" s="80">
        <v>580</v>
      </c>
      <c r="DM1374" s="64">
        <v>3</v>
      </c>
      <c r="DN1374" s="406" t="s">
        <v>6797</v>
      </c>
      <c r="DO1374" s="406">
        <v>-20.75</v>
      </c>
      <c r="DP1374" s="80">
        <v>712</v>
      </c>
    </row>
    <row r="1375" spans="29:120" x14ac:dyDescent="0.25">
      <c r="AC1375" s="122" t="s">
        <v>236</v>
      </c>
      <c r="AD1375" s="122" t="s">
        <v>1763</v>
      </c>
      <c r="AE1375" s="127">
        <v>2</v>
      </c>
      <c r="DA1375" s="122" t="s">
        <v>333</v>
      </c>
      <c r="DB1375" s="122" t="s">
        <v>1015</v>
      </c>
      <c r="DC1375" s="122" t="s">
        <v>1015</v>
      </c>
      <c r="DD1375" s="127">
        <v>3</v>
      </c>
      <c r="DE1375" s="127">
        <v>3</v>
      </c>
      <c r="DG1375" s="405" t="s">
        <v>333</v>
      </c>
      <c r="DH1375" s="406" t="s">
        <v>1015</v>
      </c>
      <c r="DI1375" s="406" t="str">
        <f t="shared" si="53"/>
        <v>MG, Andradas</v>
      </c>
      <c r="DJ1375" s="406">
        <v>-22.068000000000001</v>
      </c>
      <c r="DK1375" s="80">
        <v>-46.569000000000003</v>
      </c>
      <c r="DL1375" s="80">
        <v>913</v>
      </c>
      <c r="DM1375" s="64">
        <v>3</v>
      </c>
      <c r="DN1375" s="406" t="s">
        <v>6823</v>
      </c>
      <c r="DO1375" s="406">
        <v>-21.92</v>
      </c>
      <c r="DP1375" s="80">
        <v>1150</v>
      </c>
    </row>
    <row r="1376" spans="29:120" x14ac:dyDescent="0.25">
      <c r="AC1376" s="122" t="s">
        <v>376</v>
      </c>
      <c r="AD1376" s="122" t="s">
        <v>1764</v>
      </c>
      <c r="AE1376" s="127">
        <v>3</v>
      </c>
      <c r="DA1376" s="122" t="s">
        <v>333</v>
      </c>
      <c r="DB1376" s="122" t="s">
        <v>579</v>
      </c>
      <c r="DC1376" s="122" t="s">
        <v>579</v>
      </c>
      <c r="DD1376" s="127">
        <v>3</v>
      </c>
      <c r="DE1376" s="127">
        <v>3</v>
      </c>
      <c r="DG1376" s="405" t="s">
        <v>333</v>
      </c>
      <c r="DH1376" s="406" t="s">
        <v>579</v>
      </c>
      <c r="DI1376" s="406" t="str">
        <f t="shared" si="53"/>
        <v>MG, Andrelândia</v>
      </c>
      <c r="DJ1376" s="406">
        <v>-21.74</v>
      </c>
      <c r="DK1376" s="80">
        <v>-44.308999999999997</v>
      </c>
      <c r="DL1376" s="80">
        <v>998</v>
      </c>
      <c r="DM1376" s="64">
        <v>3</v>
      </c>
      <c r="DN1376" s="406" t="s">
        <v>6813</v>
      </c>
      <c r="DO1376" s="406">
        <v>-21.14</v>
      </c>
      <c r="DP1376" s="80">
        <v>991</v>
      </c>
    </row>
    <row r="1377" spans="29:120" x14ac:dyDescent="0.25">
      <c r="AC1377" s="122" t="s">
        <v>236</v>
      </c>
      <c r="AD1377" s="122" t="s">
        <v>1765</v>
      </c>
      <c r="AE1377" s="127">
        <v>2</v>
      </c>
      <c r="DA1377" s="122" t="s">
        <v>333</v>
      </c>
      <c r="DB1377" s="122" t="s">
        <v>2047</v>
      </c>
      <c r="DC1377" s="122" t="s">
        <v>2047</v>
      </c>
      <c r="DD1377" s="127">
        <v>5</v>
      </c>
      <c r="DE1377" s="127">
        <v>5</v>
      </c>
      <c r="DG1377" s="405" t="s">
        <v>333</v>
      </c>
      <c r="DH1377" s="406" t="s">
        <v>2047</v>
      </c>
      <c r="DI1377" s="406" t="str">
        <f t="shared" si="53"/>
        <v>MG, Angelândia</v>
      </c>
      <c r="DJ1377" s="406">
        <v>-17.73</v>
      </c>
      <c r="DK1377" s="80">
        <v>-42.265000000000001</v>
      </c>
      <c r="DL1377" s="80">
        <v>891</v>
      </c>
      <c r="DM1377" s="64">
        <v>5</v>
      </c>
      <c r="DN1377" s="406" t="s">
        <v>6800</v>
      </c>
      <c r="DO1377" s="406">
        <v>-17.690000000000001</v>
      </c>
      <c r="DP1377" s="80">
        <v>932</v>
      </c>
    </row>
    <row r="1378" spans="29:120" x14ac:dyDescent="0.25">
      <c r="AC1378" s="122" t="s">
        <v>376</v>
      </c>
      <c r="AD1378" s="122" t="s">
        <v>1766</v>
      </c>
      <c r="AE1378" s="127">
        <v>3</v>
      </c>
      <c r="DA1378" s="122" t="s">
        <v>333</v>
      </c>
      <c r="DB1378" s="122" t="s">
        <v>6824</v>
      </c>
      <c r="DC1378" s="122" t="s">
        <v>580</v>
      </c>
      <c r="DD1378" s="127">
        <v>3</v>
      </c>
      <c r="DE1378" s="127">
        <v>3</v>
      </c>
      <c r="DG1378" s="405" t="s">
        <v>333</v>
      </c>
      <c r="DH1378" s="406" t="s">
        <v>580</v>
      </c>
      <c r="DI1378" s="406" t="str">
        <f t="shared" si="53"/>
        <v>MG, Antônio Carlos</v>
      </c>
      <c r="DJ1378" s="406">
        <v>-21.318000000000001</v>
      </c>
      <c r="DK1378" s="80">
        <v>-43.747</v>
      </c>
      <c r="DL1378" s="80">
        <v>1058</v>
      </c>
      <c r="DM1378" s="64">
        <v>3</v>
      </c>
      <c r="DN1378" s="406" t="s">
        <v>6813</v>
      </c>
      <c r="DO1378" s="406">
        <v>-21.14</v>
      </c>
      <c r="DP1378" s="80">
        <v>991</v>
      </c>
    </row>
    <row r="1379" spans="29:120" x14ac:dyDescent="0.25">
      <c r="AC1379" s="122" t="s">
        <v>376</v>
      </c>
      <c r="AD1379" s="122" t="s">
        <v>1767</v>
      </c>
      <c r="AE1379" s="127">
        <v>3</v>
      </c>
      <c r="DA1379" s="122" t="s">
        <v>333</v>
      </c>
      <c r="DB1379" s="122" t="s">
        <v>6825</v>
      </c>
      <c r="DC1379" s="122" t="s">
        <v>1844</v>
      </c>
      <c r="DD1379" s="127">
        <v>3</v>
      </c>
      <c r="DE1379" s="127">
        <v>3</v>
      </c>
      <c r="DG1379" s="405" t="s">
        <v>333</v>
      </c>
      <c r="DH1379" s="406" t="s">
        <v>1844</v>
      </c>
      <c r="DI1379" s="406" t="str">
        <f t="shared" si="53"/>
        <v>MG, Antônio Dias</v>
      </c>
      <c r="DJ1379" s="406">
        <v>-19.652999999999999</v>
      </c>
      <c r="DK1379" s="80">
        <v>-42.872</v>
      </c>
      <c r="DL1379" s="80">
        <v>398</v>
      </c>
      <c r="DM1379" s="64">
        <v>3</v>
      </c>
      <c r="DN1379" s="406" t="s">
        <v>6798</v>
      </c>
      <c r="DO1379" s="406">
        <v>-19.579999999999998</v>
      </c>
      <c r="DP1379" s="80">
        <v>333</v>
      </c>
    </row>
    <row r="1380" spans="29:120" x14ac:dyDescent="0.25">
      <c r="AC1380" s="122" t="s">
        <v>376</v>
      </c>
      <c r="AD1380" s="122" t="s">
        <v>1768</v>
      </c>
      <c r="AE1380" s="127">
        <v>3</v>
      </c>
      <c r="DA1380" s="122" t="s">
        <v>333</v>
      </c>
      <c r="DB1380" s="122" t="s">
        <v>6826</v>
      </c>
      <c r="DC1380" s="122" t="s">
        <v>3295</v>
      </c>
      <c r="DD1380" s="127">
        <v>3</v>
      </c>
      <c r="DE1380" s="127">
        <v>3</v>
      </c>
      <c r="DG1380" s="405" t="s">
        <v>333</v>
      </c>
      <c r="DH1380" s="406" t="s">
        <v>3295</v>
      </c>
      <c r="DI1380" s="406" t="str">
        <f t="shared" si="53"/>
        <v>MG, Antônio Prado de Minas</v>
      </c>
      <c r="DJ1380" s="406">
        <v>-21.015999999999998</v>
      </c>
      <c r="DK1380" s="80">
        <v>-42.109000000000002</v>
      </c>
      <c r="DL1380" s="80">
        <v>312</v>
      </c>
      <c r="DM1380" s="64">
        <v>3</v>
      </c>
      <c r="DN1380" s="406" t="s">
        <v>6827</v>
      </c>
      <c r="DO1380" s="406">
        <v>-21.13</v>
      </c>
      <c r="DP1380" s="80">
        <v>297</v>
      </c>
    </row>
    <row r="1381" spans="29:120" x14ac:dyDescent="0.25">
      <c r="AC1381" s="122" t="s">
        <v>376</v>
      </c>
      <c r="AD1381" s="122" t="s">
        <v>1769</v>
      </c>
      <c r="AE1381" s="127">
        <v>3</v>
      </c>
      <c r="DA1381" s="122" t="s">
        <v>333</v>
      </c>
      <c r="DB1381" s="122" t="s">
        <v>2836</v>
      </c>
      <c r="DC1381" s="122" t="s">
        <v>2836</v>
      </c>
      <c r="DD1381" s="127">
        <v>4</v>
      </c>
      <c r="DE1381" s="127">
        <v>4</v>
      </c>
      <c r="DG1381" s="405" t="s">
        <v>333</v>
      </c>
      <c r="DH1381" s="406" t="s">
        <v>2836</v>
      </c>
      <c r="DI1381" s="406" t="str">
        <f t="shared" si="53"/>
        <v>MG, Araçaí</v>
      </c>
      <c r="DJ1381" s="406">
        <v>-19.199000000000002</v>
      </c>
      <c r="DK1381" s="80">
        <v>-44.247999999999998</v>
      </c>
      <c r="DL1381" s="80">
        <v>739</v>
      </c>
      <c r="DM1381" s="64">
        <v>4</v>
      </c>
      <c r="DN1381" s="406" t="s">
        <v>6828</v>
      </c>
      <c r="DO1381" s="406">
        <v>-18.760000000000002</v>
      </c>
      <c r="DP1381" s="80">
        <v>670</v>
      </c>
    </row>
    <row r="1382" spans="29:120" x14ac:dyDescent="0.25">
      <c r="AC1382" s="122" t="s">
        <v>376</v>
      </c>
      <c r="AD1382" s="122" t="s">
        <v>1770</v>
      </c>
      <c r="AE1382" s="127">
        <v>3</v>
      </c>
      <c r="DA1382" s="122" t="s">
        <v>333</v>
      </c>
      <c r="DB1382" s="122" t="s">
        <v>581</v>
      </c>
      <c r="DC1382" s="122" t="s">
        <v>581</v>
      </c>
      <c r="DD1382" s="127">
        <v>3</v>
      </c>
      <c r="DE1382" s="127">
        <v>3</v>
      </c>
      <c r="DG1382" s="405" t="s">
        <v>333</v>
      </c>
      <c r="DH1382" s="406" t="s">
        <v>581</v>
      </c>
      <c r="DI1382" s="406" t="str">
        <f t="shared" si="53"/>
        <v>MG, Aracitaba</v>
      </c>
      <c r="DJ1382" s="406">
        <v>-21.343</v>
      </c>
      <c r="DK1382" s="80">
        <v>-43.378</v>
      </c>
      <c r="DL1382" s="80">
        <v>573</v>
      </c>
      <c r="DM1382" s="64">
        <v>3</v>
      </c>
      <c r="DN1382" s="406" t="s">
        <v>6829</v>
      </c>
      <c r="DO1382" s="406">
        <v>-21.76</v>
      </c>
      <c r="DP1382" s="80">
        <v>950</v>
      </c>
    </row>
    <row r="1383" spans="29:120" x14ac:dyDescent="0.25">
      <c r="AC1383" s="122" t="s">
        <v>376</v>
      </c>
      <c r="AD1383" s="122" t="s">
        <v>1771</v>
      </c>
      <c r="AE1383" s="127">
        <v>3</v>
      </c>
      <c r="DA1383" s="122" t="s">
        <v>333</v>
      </c>
      <c r="DB1383" s="122" t="s">
        <v>5403</v>
      </c>
      <c r="DC1383" s="122" t="s">
        <v>5403</v>
      </c>
      <c r="DD1383" s="127">
        <v>5</v>
      </c>
      <c r="DE1383" s="127">
        <v>5</v>
      </c>
      <c r="DG1383" s="405" t="s">
        <v>333</v>
      </c>
      <c r="DH1383" s="406" t="s">
        <v>5403</v>
      </c>
      <c r="DI1383" s="406" t="str">
        <f t="shared" si="53"/>
        <v>MG, Araçuaí</v>
      </c>
      <c r="DJ1383" s="406">
        <v>-16.850000000000001</v>
      </c>
      <c r="DK1383" s="80">
        <v>-42.07</v>
      </c>
      <c r="DL1383" s="80">
        <v>307</v>
      </c>
      <c r="DM1383" s="64">
        <v>5</v>
      </c>
      <c r="DN1383" s="406" t="s">
        <v>6830</v>
      </c>
      <c r="DO1383" s="406">
        <v>-16.170000000000002</v>
      </c>
      <c r="DP1383" s="80">
        <v>495</v>
      </c>
    </row>
    <row r="1384" spans="29:120" x14ac:dyDescent="0.25">
      <c r="AC1384" s="122" t="s">
        <v>376</v>
      </c>
      <c r="AD1384" s="122" t="s">
        <v>1772</v>
      </c>
      <c r="AE1384" s="127">
        <v>3</v>
      </c>
      <c r="DA1384" s="122" t="s">
        <v>333</v>
      </c>
      <c r="DB1384" s="122" t="s">
        <v>2324</v>
      </c>
      <c r="DC1384" s="122" t="s">
        <v>2324</v>
      </c>
      <c r="DD1384" s="127">
        <v>6</v>
      </c>
      <c r="DE1384" s="127">
        <v>6</v>
      </c>
      <c r="DG1384" s="405" t="s">
        <v>333</v>
      </c>
      <c r="DH1384" s="406" t="s">
        <v>2324</v>
      </c>
      <c r="DI1384" s="406" t="str">
        <f t="shared" si="53"/>
        <v>MG, Araguari</v>
      </c>
      <c r="DJ1384" s="406">
        <v>-18.649000000000001</v>
      </c>
      <c r="DK1384" s="80">
        <v>-48.186999999999998</v>
      </c>
      <c r="DL1384" s="80">
        <v>921</v>
      </c>
      <c r="DM1384" s="64">
        <v>6</v>
      </c>
      <c r="DN1384" s="406" t="s">
        <v>6831</v>
      </c>
      <c r="DO1384" s="406">
        <v>-18.920000000000002</v>
      </c>
      <c r="DP1384" s="80">
        <v>869</v>
      </c>
    </row>
    <row r="1385" spans="29:120" x14ac:dyDescent="0.25">
      <c r="AC1385" s="122" t="s">
        <v>376</v>
      </c>
      <c r="AD1385" s="122" t="s">
        <v>1773</v>
      </c>
      <c r="AE1385" s="127">
        <v>2</v>
      </c>
      <c r="DA1385" s="122" t="s">
        <v>333</v>
      </c>
      <c r="DB1385" s="122" t="s">
        <v>582</v>
      </c>
      <c r="DC1385" s="122" t="s">
        <v>582</v>
      </c>
      <c r="DD1385" s="127">
        <v>3</v>
      </c>
      <c r="DE1385" s="127">
        <v>3</v>
      </c>
      <c r="DG1385" s="405" t="s">
        <v>333</v>
      </c>
      <c r="DH1385" s="406" t="s">
        <v>582</v>
      </c>
      <c r="DI1385" s="406" t="str">
        <f t="shared" si="53"/>
        <v>MG, Arantina</v>
      </c>
      <c r="DJ1385" s="406">
        <v>-21.911000000000001</v>
      </c>
      <c r="DK1385" s="80">
        <v>-44.256</v>
      </c>
      <c r="DL1385" s="80">
        <v>1049</v>
      </c>
      <c r="DM1385" s="64">
        <v>3</v>
      </c>
      <c r="DN1385" s="406" t="s">
        <v>6807</v>
      </c>
      <c r="DO1385" s="406">
        <v>-22.47</v>
      </c>
      <c r="DP1385" s="80">
        <v>440</v>
      </c>
    </row>
    <row r="1386" spans="29:120" x14ac:dyDescent="0.25">
      <c r="AC1386" s="122" t="s">
        <v>376</v>
      </c>
      <c r="AD1386" s="122" t="s">
        <v>1774</v>
      </c>
      <c r="AE1386" s="127">
        <v>3</v>
      </c>
      <c r="DA1386" s="122" t="s">
        <v>333</v>
      </c>
      <c r="DB1386" s="122" t="s">
        <v>3314</v>
      </c>
      <c r="DC1386" s="122" t="s">
        <v>3314</v>
      </c>
      <c r="DD1386" s="127">
        <v>3</v>
      </c>
      <c r="DE1386" s="127">
        <v>3</v>
      </c>
      <c r="DG1386" s="405" t="s">
        <v>333</v>
      </c>
      <c r="DH1386" s="406" t="s">
        <v>3314</v>
      </c>
      <c r="DI1386" s="406" t="str">
        <f t="shared" si="53"/>
        <v>MG, Araponga</v>
      </c>
      <c r="DJ1386" s="406">
        <v>-20.667000000000002</v>
      </c>
      <c r="DK1386" s="80">
        <v>-42.521000000000001</v>
      </c>
      <c r="DL1386" s="80">
        <v>1040</v>
      </c>
      <c r="DM1386" s="64">
        <v>3</v>
      </c>
      <c r="DN1386" s="406" t="s">
        <v>6797</v>
      </c>
      <c r="DO1386" s="406">
        <v>-20.75</v>
      </c>
      <c r="DP1386" s="80">
        <v>712</v>
      </c>
    </row>
    <row r="1387" spans="29:120" x14ac:dyDescent="0.25">
      <c r="AC1387" s="122" t="s">
        <v>376</v>
      </c>
      <c r="AD1387" s="122" t="s">
        <v>1775</v>
      </c>
      <c r="AE1387" s="127">
        <v>3</v>
      </c>
      <c r="DA1387" s="122" t="s">
        <v>333</v>
      </c>
      <c r="DB1387" s="122" t="s">
        <v>2970</v>
      </c>
      <c r="DC1387" s="122" t="s">
        <v>2970</v>
      </c>
      <c r="DD1387" s="127">
        <v>6</v>
      </c>
      <c r="DE1387" s="127">
        <v>6</v>
      </c>
      <c r="DG1387" s="405" t="s">
        <v>333</v>
      </c>
      <c r="DH1387" s="406" t="s">
        <v>2970</v>
      </c>
      <c r="DI1387" s="406" t="str">
        <f t="shared" si="53"/>
        <v>MG, Araporã</v>
      </c>
      <c r="DJ1387" s="406">
        <v>-18.437000000000001</v>
      </c>
      <c r="DK1387" s="80">
        <v>-49.186999999999998</v>
      </c>
      <c r="DL1387" s="80">
        <v>461</v>
      </c>
      <c r="DM1387" s="64">
        <v>6</v>
      </c>
      <c r="DN1387" s="406" t="s">
        <v>6536</v>
      </c>
      <c r="DO1387" s="406">
        <v>-18.41</v>
      </c>
      <c r="DP1387" s="80">
        <v>488</v>
      </c>
    </row>
    <row r="1388" spans="29:120" x14ac:dyDescent="0.25">
      <c r="AC1388" s="122" t="s">
        <v>376</v>
      </c>
      <c r="AD1388" s="122" t="s">
        <v>1776</v>
      </c>
      <c r="AE1388" s="127">
        <v>3</v>
      </c>
      <c r="DA1388" s="122" t="s">
        <v>333</v>
      </c>
      <c r="DB1388" s="122" t="s">
        <v>2033</v>
      </c>
      <c r="DC1388" s="122" t="s">
        <v>2033</v>
      </c>
      <c r="DD1388" s="127">
        <v>4</v>
      </c>
      <c r="DE1388" s="127">
        <v>4</v>
      </c>
      <c r="DG1388" s="405" t="s">
        <v>333</v>
      </c>
      <c r="DH1388" s="406" t="s">
        <v>2033</v>
      </c>
      <c r="DI1388" s="406" t="str">
        <f t="shared" si="53"/>
        <v>MG, Arapuá</v>
      </c>
      <c r="DJ1388" s="406">
        <v>-19.033999999999999</v>
      </c>
      <c r="DK1388" s="80">
        <v>-46.155999999999999</v>
      </c>
      <c r="DL1388" s="80">
        <v>1031</v>
      </c>
      <c r="DM1388" s="64">
        <v>4</v>
      </c>
      <c r="DN1388" s="406" t="s">
        <v>6795</v>
      </c>
      <c r="DO1388" s="406">
        <v>-19.46</v>
      </c>
      <c r="DP1388" s="80">
        <v>722</v>
      </c>
    </row>
    <row r="1389" spans="29:120" x14ac:dyDescent="0.25">
      <c r="AC1389" s="122" t="s">
        <v>376</v>
      </c>
      <c r="AD1389" s="122" t="s">
        <v>1777</v>
      </c>
      <c r="AE1389" s="127">
        <v>3</v>
      </c>
      <c r="DA1389" s="122" t="s">
        <v>333</v>
      </c>
      <c r="DB1389" s="122" t="s">
        <v>3919</v>
      </c>
      <c r="DC1389" s="122" t="s">
        <v>3919</v>
      </c>
      <c r="DD1389" s="127">
        <v>3</v>
      </c>
      <c r="DE1389" s="127">
        <v>3</v>
      </c>
      <c r="DG1389" s="405" t="s">
        <v>333</v>
      </c>
      <c r="DH1389" s="406" t="s">
        <v>3919</v>
      </c>
      <c r="DI1389" s="406" t="str">
        <f t="shared" si="53"/>
        <v>MG, Araújos</v>
      </c>
      <c r="DJ1389" s="406">
        <v>-19.948</v>
      </c>
      <c r="DK1389" s="80">
        <v>-45.165999999999997</v>
      </c>
      <c r="DL1389" s="80">
        <v>821</v>
      </c>
      <c r="DM1389" s="64">
        <v>3</v>
      </c>
      <c r="DN1389" s="406" t="s">
        <v>6803</v>
      </c>
      <c r="DO1389" s="406">
        <v>-20.46</v>
      </c>
      <c r="DP1389" s="80">
        <v>878</v>
      </c>
    </row>
    <row r="1390" spans="29:120" x14ac:dyDescent="0.25">
      <c r="AC1390" s="122" t="s">
        <v>376</v>
      </c>
      <c r="AD1390" s="122" t="s">
        <v>1778</v>
      </c>
      <c r="AE1390" s="127">
        <v>3</v>
      </c>
      <c r="DA1390" s="122" t="s">
        <v>333</v>
      </c>
      <c r="DB1390" s="122" t="s">
        <v>2202</v>
      </c>
      <c r="DC1390" s="122" t="s">
        <v>2202</v>
      </c>
      <c r="DD1390" s="127">
        <v>3</v>
      </c>
      <c r="DE1390" s="127">
        <v>3</v>
      </c>
      <c r="DG1390" s="405" t="s">
        <v>333</v>
      </c>
      <c r="DH1390" s="406" t="s">
        <v>2202</v>
      </c>
      <c r="DI1390" s="406" t="str">
        <f t="shared" si="53"/>
        <v>MG, Araxá</v>
      </c>
      <c r="DJ1390" s="406">
        <v>-19.593</v>
      </c>
      <c r="DK1390" s="80">
        <v>-46.941000000000003</v>
      </c>
      <c r="DL1390" s="80">
        <v>997</v>
      </c>
      <c r="DM1390" s="64">
        <v>3</v>
      </c>
      <c r="DN1390" s="406" t="s">
        <v>6832</v>
      </c>
      <c r="DO1390" s="406">
        <v>-19.59</v>
      </c>
      <c r="DP1390" s="80">
        <v>1020</v>
      </c>
    </row>
    <row r="1391" spans="29:120" x14ac:dyDescent="0.25">
      <c r="AC1391" s="122" t="s">
        <v>376</v>
      </c>
      <c r="AD1391" s="122" t="s">
        <v>1779</v>
      </c>
      <c r="AE1391" s="127">
        <v>4</v>
      </c>
      <c r="DA1391" s="122" t="s">
        <v>333</v>
      </c>
      <c r="DB1391" s="122" t="s">
        <v>1064</v>
      </c>
      <c r="DC1391" s="122" t="s">
        <v>1064</v>
      </c>
      <c r="DD1391" s="127">
        <v>4</v>
      </c>
      <c r="DE1391" s="127">
        <v>4</v>
      </c>
      <c r="DG1391" s="405" t="s">
        <v>333</v>
      </c>
      <c r="DH1391" s="406" t="s">
        <v>1064</v>
      </c>
      <c r="DI1391" s="406" t="str">
        <f t="shared" si="53"/>
        <v>MG, Arceburgo</v>
      </c>
      <c r="DJ1391" s="406">
        <v>-21.364000000000001</v>
      </c>
      <c r="DK1391" s="80">
        <v>-46.94</v>
      </c>
      <c r="DL1391" s="80">
        <v>693</v>
      </c>
      <c r="DM1391" s="64">
        <v>4</v>
      </c>
      <c r="DN1391" s="406" t="s">
        <v>6833</v>
      </c>
      <c r="DO1391" s="406">
        <v>-21.77</v>
      </c>
      <c r="DP1391" s="80">
        <v>730</v>
      </c>
    </row>
    <row r="1392" spans="29:120" x14ac:dyDescent="0.25">
      <c r="AC1392" s="122" t="s">
        <v>376</v>
      </c>
      <c r="AD1392" s="122" t="s">
        <v>1780</v>
      </c>
      <c r="AE1392" s="127">
        <v>3</v>
      </c>
      <c r="DA1392" s="122" t="s">
        <v>333</v>
      </c>
      <c r="DB1392" s="122" t="s">
        <v>2857</v>
      </c>
      <c r="DC1392" s="122" t="s">
        <v>2857</v>
      </c>
      <c r="DD1392" s="127">
        <v>2</v>
      </c>
      <c r="DE1392" s="127">
        <v>2</v>
      </c>
      <c r="DG1392" s="405" t="s">
        <v>333</v>
      </c>
      <c r="DH1392" s="406" t="s">
        <v>2857</v>
      </c>
      <c r="DI1392" s="406" t="str">
        <f t="shared" si="53"/>
        <v>MG, Arcos</v>
      </c>
      <c r="DJ1392" s="406">
        <v>-20.282</v>
      </c>
      <c r="DK1392" s="80">
        <v>-45.539000000000001</v>
      </c>
      <c r="DL1392" s="80">
        <v>740</v>
      </c>
      <c r="DM1392" s="64">
        <v>2</v>
      </c>
      <c r="DN1392" s="406" t="s">
        <v>6803</v>
      </c>
      <c r="DO1392" s="406">
        <v>-20.46</v>
      </c>
      <c r="DP1392" s="80">
        <v>878</v>
      </c>
    </row>
    <row r="1393" spans="29:120" x14ac:dyDescent="0.25">
      <c r="AC1393" s="122" t="s">
        <v>376</v>
      </c>
      <c r="AD1393" s="122" t="s">
        <v>1781</v>
      </c>
      <c r="AE1393" s="127">
        <v>3</v>
      </c>
      <c r="DA1393" s="122" t="s">
        <v>333</v>
      </c>
      <c r="DB1393" s="122" t="s">
        <v>583</v>
      </c>
      <c r="DC1393" s="122" t="s">
        <v>583</v>
      </c>
      <c r="DD1393" s="127">
        <v>4</v>
      </c>
      <c r="DE1393" s="127">
        <v>4</v>
      </c>
      <c r="DG1393" s="405" t="s">
        <v>333</v>
      </c>
      <c r="DH1393" s="406" t="s">
        <v>583</v>
      </c>
      <c r="DI1393" s="406" t="str">
        <f t="shared" si="53"/>
        <v>MG, Areado</v>
      </c>
      <c r="DJ1393" s="406">
        <v>-21.359000000000002</v>
      </c>
      <c r="DK1393" s="80">
        <v>-46.146000000000001</v>
      </c>
      <c r="DL1393" s="80">
        <v>815</v>
      </c>
      <c r="DM1393" s="64">
        <v>4</v>
      </c>
      <c r="DN1393" s="406" t="s">
        <v>6823</v>
      </c>
      <c r="DO1393" s="406">
        <v>-21.92</v>
      </c>
      <c r="DP1393" s="80">
        <v>1150</v>
      </c>
    </row>
    <row r="1394" spans="29:120" x14ac:dyDescent="0.25">
      <c r="AC1394" s="122" t="s">
        <v>376</v>
      </c>
      <c r="AD1394" s="122" t="s">
        <v>1782</v>
      </c>
      <c r="AE1394" s="127">
        <v>3</v>
      </c>
      <c r="DA1394" s="122" t="s">
        <v>333</v>
      </c>
      <c r="DB1394" s="122" t="s">
        <v>3653</v>
      </c>
      <c r="DC1394" s="122" t="s">
        <v>3653</v>
      </c>
      <c r="DD1394" s="127">
        <v>5</v>
      </c>
      <c r="DE1394" s="127">
        <v>5</v>
      </c>
      <c r="DG1394" s="405" t="s">
        <v>333</v>
      </c>
      <c r="DH1394" s="406" t="s">
        <v>3653</v>
      </c>
      <c r="DI1394" s="406" t="str">
        <f t="shared" si="53"/>
        <v>MG, Argirita</v>
      </c>
      <c r="DJ1394" s="406">
        <v>-21.61</v>
      </c>
      <c r="DK1394" s="80">
        <v>-42.835999999999999</v>
      </c>
      <c r="DL1394" s="80">
        <v>250</v>
      </c>
      <c r="DM1394" s="64">
        <v>5</v>
      </c>
      <c r="DN1394" s="406" t="s">
        <v>6829</v>
      </c>
      <c r="DO1394" s="406">
        <v>-21.76</v>
      </c>
      <c r="DP1394" s="80">
        <v>950</v>
      </c>
    </row>
    <row r="1395" spans="29:120" x14ac:dyDescent="0.25">
      <c r="AC1395" s="122" t="s">
        <v>376</v>
      </c>
      <c r="AD1395" s="122" t="s">
        <v>1783</v>
      </c>
      <c r="AE1395" s="127">
        <v>3</v>
      </c>
      <c r="DA1395" s="122" t="s">
        <v>333</v>
      </c>
      <c r="DB1395" s="122" t="s">
        <v>2081</v>
      </c>
      <c r="DC1395" s="122" t="s">
        <v>2081</v>
      </c>
      <c r="DD1395" s="127">
        <v>3</v>
      </c>
      <c r="DE1395" s="127">
        <v>3</v>
      </c>
      <c r="DG1395" s="405" t="s">
        <v>333</v>
      </c>
      <c r="DH1395" s="406" t="s">
        <v>2081</v>
      </c>
      <c r="DI1395" s="406" t="str">
        <f t="shared" si="53"/>
        <v>MG, Aricanduva</v>
      </c>
      <c r="DJ1395" s="406">
        <v>-17.867000000000001</v>
      </c>
      <c r="DK1395" s="80">
        <v>-42.557000000000002</v>
      </c>
      <c r="DL1395" s="80">
        <v>682</v>
      </c>
      <c r="DM1395" s="64">
        <v>3</v>
      </c>
      <c r="DN1395" s="406" t="s">
        <v>6800</v>
      </c>
      <c r="DO1395" s="406">
        <v>-17.690000000000001</v>
      </c>
      <c r="DP1395" s="80">
        <v>932</v>
      </c>
    </row>
    <row r="1396" spans="29:120" x14ac:dyDescent="0.25">
      <c r="AC1396" s="122" t="s">
        <v>376</v>
      </c>
      <c r="AD1396" s="122" t="s">
        <v>1784</v>
      </c>
      <c r="AE1396" s="127">
        <v>4</v>
      </c>
      <c r="DA1396" s="122" t="s">
        <v>333</v>
      </c>
      <c r="DB1396" s="122" t="s">
        <v>5580</v>
      </c>
      <c r="DC1396" s="122" t="s">
        <v>5580</v>
      </c>
      <c r="DD1396" s="127">
        <v>6</v>
      </c>
      <c r="DE1396" s="127">
        <v>6</v>
      </c>
      <c r="DG1396" s="405" t="s">
        <v>333</v>
      </c>
      <c r="DH1396" s="406" t="s">
        <v>5580</v>
      </c>
      <c r="DI1396" s="406" t="str">
        <f t="shared" si="53"/>
        <v>MG, Arinos</v>
      </c>
      <c r="DJ1396" s="406">
        <v>-15.917</v>
      </c>
      <c r="DK1396" s="80">
        <v>-46.106000000000002</v>
      </c>
      <c r="DL1396" s="80">
        <v>509</v>
      </c>
      <c r="DM1396" s="64">
        <v>6</v>
      </c>
      <c r="DN1396" s="406" t="s">
        <v>6539</v>
      </c>
      <c r="DO1396" s="406">
        <v>-15.62</v>
      </c>
      <c r="DP1396" s="80">
        <v>894</v>
      </c>
    </row>
    <row r="1397" spans="29:120" x14ac:dyDescent="0.25">
      <c r="AC1397" s="122" t="s">
        <v>376</v>
      </c>
      <c r="AD1397" s="122" t="s">
        <v>1785</v>
      </c>
      <c r="AE1397" s="127">
        <v>3</v>
      </c>
      <c r="DA1397" s="122" t="s">
        <v>333</v>
      </c>
      <c r="DB1397" s="122" t="s">
        <v>6834</v>
      </c>
      <c r="DC1397" s="122" t="s">
        <v>3689</v>
      </c>
      <c r="DD1397" s="127">
        <v>5</v>
      </c>
      <c r="DE1397" s="127">
        <v>5</v>
      </c>
      <c r="DG1397" s="405" t="s">
        <v>333</v>
      </c>
      <c r="DH1397" s="406" t="s">
        <v>3689</v>
      </c>
      <c r="DI1397" s="406" t="str">
        <f t="shared" si="53"/>
        <v>MG, Astolfo Dutra</v>
      </c>
      <c r="DJ1397" s="406">
        <v>-21.315000000000001</v>
      </c>
      <c r="DK1397" s="80">
        <v>-42.862000000000002</v>
      </c>
      <c r="DL1397" s="80">
        <v>257</v>
      </c>
      <c r="DM1397" s="64">
        <v>5</v>
      </c>
      <c r="DN1397" s="406" t="s">
        <v>6827</v>
      </c>
      <c r="DO1397" s="406">
        <v>-21.13</v>
      </c>
      <c r="DP1397" s="80">
        <v>297</v>
      </c>
    </row>
    <row r="1398" spans="29:120" x14ac:dyDescent="0.25">
      <c r="AC1398" s="122" t="s">
        <v>376</v>
      </c>
      <c r="AD1398" s="122" t="s">
        <v>1786</v>
      </c>
      <c r="AE1398" s="127">
        <v>3</v>
      </c>
      <c r="DA1398" s="122" t="s">
        <v>333</v>
      </c>
      <c r="DB1398" s="122" t="s">
        <v>1985</v>
      </c>
      <c r="DC1398" s="122" t="s">
        <v>1985</v>
      </c>
      <c r="DD1398" s="127">
        <v>5</v>
      </c>
      <c r="DE1398" s="127">
        <v>5</v>
      </c>
      <c r="DG1398" s="405" t="s">
        <v>333</v>
      </c>
      <c r="DH1398" s="406" t="s">
        <v>1985</v>
      </c>
      <c r="DI1398" s="406" t="str">
        <f t="shared" si="53"/>
        <v>MG, Ataléia</v>
      </c>
      <c r="DJ1398" s="406">
        <v>-18.044</v>
      </c>
      <c r="DK1398" s="80">
        <v>-41.11</v>
      </c>
      <c r="DL1398" s="80">
        <v>240</v>
      </c>
      <c r="DM1398" s="64">
        <v>5</v>
      </c>
      <c r="DN1398" s="406" t="s">
        <v>6835</v>
      </c>
      <c r="DO1398" s="406">
        <v>-17.86</v>
      </c>
      <c r="DP1398" s="80">
        <v>475</v>
      </c>
    </row>
    <row r="1399" spans="29:120" x14ac:dyDescent="0.25">
      <c r="AC1399" s="122" t="s">
        <v>376</v>
      </c>
      <c r="AD1399" s="122" t="s">
        <v>1787</v>
      </c>
      <c r="AE1399" s="127">
        <v>3</v>
      </c>
      <c r="DA1399" s="122" t="s">
        <v>333</v>
      </c>
      <c r="DB1399" s="122" t="s">
        <v>6836</v>
      </c>
      <c r="DC1399" s="122" t="s">
        <v>3373</v>
      </c>
      <c r="DD1399" s="127">
        <v>4</v>
      </c>
      <c r="DE1399" s="127">
        <v>4</v>
      </c>
      <c r="DG1399" s="405" t="s">
        <v>333</v>
      </c>
      <c r="DH1399" s="406" t="s">
        <v>3373</v>
      </c>
      <c r="DI1399" s="406" t="str">
        <f t="shared" si="53"/>
        <v>MG, Augusto de Lima</v>
      </c>
      <c r="DJ1399" s="406">
        <v>-18.109000000000002</v>
      </c>
      <c r="DK1399" s="80">
        <v>-44.267000000000003</v>
      </c>
      <c r="DL1399" s="80">
        <v>534</v>
      </c>
      <c r="DM1399" s="64">
        <v>4</v>
      </c>
      <c r="DN1399" s="406" t="s">
        <v>6821</v>
      </c>
      <c r="DO1399" s="406">
        <v>-18.23</v>
      </c>
      <c r="DP1399" s="80">
        <v>1356</v>
      </c>
    </row>
    <row r="1400" spans="29:120" x14ac:dyDescent="0.25">
      <c r="AC1400" s="122" t="s">
        <v>376</v>
      </c>
      <c r="AD1400" s="122" t="s">
        <v>1788</v>
      </c>
      <c r="AE1400" s="127">
        <v>3</v>
      </c>
      <c r="DA1400" s="122" t="s">
        <v>333</v>
      </c>
      <c r="DB1400" s="122" t="s">
        <v>946</v>
      </c>
      <c r="DC1400" s="122" t="s">
        <v>946</v>
      </c>
      <c r="DD1400" s="127">
        <v>2</v>
      </c>
      <c r="DE1400" s="127">
        <v>2</v>
      </c>
      <c r="DG1400" s="405" t="s">
        <v>333</v>
      </c>
      <c r="DH1400" s="406" t="s">
        <v>946</v>
      </c>
      <c r="DI1400" s="406" t="str">
        <f t="shared" si="53"/>
        <v>MG, Baependi</v>
      </c>
      <c r="DJ1400" s="406">
        <v>-21.959</v>
      </c>
      <c r="DK1400" s="80">
        <v>-44.89</v>
      </c>
      <c r="DL1400" s="80">
        <v>893</v>
      </c>
      <c r="DM1400" s="64">
        <v>2</v>
      </c>
      <c r="DN1400" s="406" t="s">
        <v>6837</v>
      </c>
      <c r="DO1400" s="406">
        <v>-22.39</v>
      </c>
      <c r="DP1400" s="80">
        <v>1040</v>
      </c>
    </row>
    <row r="1401" spans="29:120" x14ac:dyDescent="0.25">
      <c r="AC1401" s="122" t="s">
        <v>376</v>
      </c>
      <c r="AD1401" s="122" t="s">
        <v>1789</v>
      </c>
      <c r="AE1401" s="127">
        <v>3</v>
      </c>
      <c r="DA1401" s="122" t="s">
        <v>333</v>
      </c>
      <c r="DB1401" s="122" t="s">
        <v>2781</v>
      </c>
      <c r="DC1401" s="122" t="s">
        <v>2781</v>
      </c>
      <c r="DD1401" s="127">
        <v>3</v>
      </c>
      <c r="DE1401" s="127">
        <v>3</v>
      </c>
      <c r="DG1401" s="405" t="s">
        <v>333</v>
      </c>
      <c r="DH1401" s="406" t="s">
        <v>2781</v>
      </c>
      <c r="DI1401" s="406" t="str">
        <f t="shared" si="53"/>
        <v>MG, Baldim</v>
      </c>
      <c r="DJ1401" s="406">
        <v>-19.288</v>
      </c>
      <c r="DK1401" s="80">
        <v>-43.957000000000001</v>
      </c>
      <c r="DL1401" s="80">
        <v>603</v>
      </c>
      <c r="DM1401" s="64">
        <v>3</v>
      </c>
      <c r="DN1401" s="406" t="s">
        <v>6838</v>
      </c>
      <c r="DO1401" s="406">
        <v>-19.82</v>
      </c>
      <c r="DP1401" s="80">
        <v>869</v>
      </c>
    </row>
    <row r="1402" spans="29:120" x14ac:dyDescent="0.25">
      <c r="AC1402" s="122" t="s">
        <v>376</v>
      </c>
      <c r="AD1402" s="122" t="s">
        <v>1790</v>
      </c>
      <c r="AE1402" s="127">
        <v>3</v>
      </c>
      <c r="DA1402" s="122" t="s">
        <v>333</v>
      </c>
      <c r="DB1402" s="122" t="s">
        <v>2654</v>
      </c>
      <c r="DC1402" s="122" t="s">
        <v>2654</v>
      </c>
      <c r="DD1402" s="127">
        <v>3</v>
      </c>
      <c r="DE1402" s="127">
        <v>3</v>
      </c>
      <c r="DG1402" s="405" t="s">
        <v>333</v>
      </c>
      <c r="DH1402" s="406" t="s">
        <v>2654</v>
      </c>
      <c r="DI1402" s="406" t="str">
        <f t="shared" si="53"/>
        <v>MG, Bambuí</v>
      </c>
      <c r="DJ1402" s="406">
        <v>-20.006</v>
      </c>
      <c r="DK1402" s="80">
        <v>-45.976999999999997</v>
      </c>
      <c r="DL1402" s="80">
        <v>706</v>
      </c>
      <c r="DM1402" s="64">
        <v>3</v>
      </c>
      <c r="DN1402" s="406" t="s">
        <v>6795</v>
      </c>
      <c r="DO1402" s="406">
        <v>-19.46</v>
      </c>
      <c r="DP1402" s="80">
        <v>722</v>
      </c>
    </row>
    <row r="1403" spans="29:120" x14ac:dyDescent="0.25">
      <c r="AC1403" s="122" t="s">
        <v>376</v>
      </c>
      <c r="AD1403" s="122" t="s">
        <v>1791</v>
      </c>
      <c r="AE1403" s="127">
        <v>3</v>
      </c>
      <c r="DA1403" s="122" t="s">
        <v>333</v>
      </c>
      <c r="DB1403" s="122" t="s">
        <v>5113</v>
      </c>
      <c r="DC1403" s="122" t="s">
        <v>5113</v>
      </c>
      <c r="DD1403" s="127">
        <v>5</v>
      </c>
      <c r="DE1403" s="127">
        <v>5</v>
      </c>
      <c r="DG1403" s="405" t="s">
        <v>333</v>
      </c>
      <c r="DH1403" s="406" t="s">
        <v>5113</v>
      </c>
      <c r="DI1403" s="406" t="str">
        <f t="shared" si="53"/>
        <v>MG, Bandeira</v>
      </c>
      <c r="DJ1403" s="406">
        <v>-15.885</v>
      </c>
      <c r="DK1403" s="80">
        <v>-40.558999999999997</v>
      </c>
      <c r="DL1403" s="80">
        <v>292</v>
      </c>
      <c r="DM1403" s="64">
        <v>5</v>
      </c>
      <c r="DN1403" s="406" t="s">
        <v>6295</v>
      </c>
      <c r="DO1403" s="406">
        <v>-16.18</v>
      </c>
      <c r="DP1403" s="80">
        <v>208</v>
      </c>
    </row>
    <row r="1404" spans="29:120" x14ac:dyDescent="0.25">
      <c r="AC1404" s="122" t="s">
        <v>376</v>
      </c>
      <c r="AD1404" s="122" t="s">
        <v>1792</v>
      </c>
      <c r="AE1404" s="127">
        <v>3</v>
      </c>
      <c r="DA1404" s="122" t="s">
        <v>333</v>
      </c>
      <c r="DB1404" s="122" t="s">
        <v>6839</v>
      </c>
      <c r="DC1404" s="122" t="s">
        <v>584</v>
      </c>
      <c r="DD1404" s="127">
        <v>3</v>
      </c>
      <c r="DE1404" s="127">
        <v>3</v>
      </c>
      <c r="DG1404" s="405" t="s">
        <v>333</v>
      </c>
      <c r="DH1404" s="406" t="s">
        <v>584</v>
      </c>
      <c r="DI1404" s="406" t="str">
        <f t="shared" si="53"/>
        <v>MG, Bandeira do Sul</v>
      </c>
      <c r="DJ1404" s="406">
        <v>-21.728000000000002</v>
      </c>
      <c r="DK1404" s="80">
        <v>-46.386000000000003</v>
      </c>
      <c r="DL1404" s="80">
        <v>962</v>
      </c>
      <c r="DM1404" s="64">
        <v>3</v>
      </c>
      <c r="DN1404" s="406" t="s">
        <v>6823</v>
      </c>
      <c r="DO1404" s="406">
        <v>-21.92</v>
      </c>
      <c r="DP1404" s="80">
        <v>1150</v>
      </c>
    </row>
    <row r="1405" spans="29:120" x14ac:dyDescent="0.25">
      <c r="AC1405" s="122" t="s">
        <v>376</v>
      </c>
      <c r="AD1405" s="122" t="s">
        <v>1793</v>
      </c>
      <c r="AE1405" s="127">
        <v>3</v>
      </c>
      <c r="DA1405" s="122" t="s">
        <v>333</v>
      </c>
      <c r="DB1405" s="122" t="s">
        <v>6840</v>
      </c>
      <c r="DC1405" s="122" t="s">
        <v>2271</v>
      </c>
      <c r="DD1405" s="127">
        <v>3</v>
      </c>
      <c r="DE1405" s="127">
        <v>3</v>
      </c>
      <c r="DG1405" s="405" t="s">
        <v>333</v>
      </c>
      <c r="DH1405" s="406" t="s">
        <v>2271</v>
      </c>
      <c r="DI1405" s="406" t="str">
        <f t="shared" si="53"/>
        <v>MG, Barão de Cocais</v>
      </c>
      <c r="DJ1405" s="406">
        <v>-19.946000000000002</v>
      </c>
      <c r="DK1405" s="80">
        <v>-43.487000000000002</v>
      </c>
      <c r="DL1405" s="80">
        <v>740</v>
      </c>
      <c r="DM1405" s="64">
        <v>3</v>
      </c>
      <c r="DN1405" s="406" t="s">
        <v>6838</v>
      </c>
      <c r="DO1405" s="406">
        <v>-19.82</v>
      </c>
      <c r="DP1405" s="80">
        <v>869</v>
      </c>
    </row>
    <row r="1406" spans="29:120" x14ac:dyDescent="0.25">
      <c r="AC1406" s="122" t="s">
        <v>376</v>
      </c>
      <c r="AD1406" s="122" t="s">
        <v>1794</v>
      </c>
      <c r="AE1406" s="127">
        <v>3</v>
      </c>
      <c r="DA1406" s="122" t="s">
        <v>333</v>
      </c>
      <c r="DB1406" s="122" t="s">
        <v>6841</v>
      </c>
      <c r="DC1406" s="122" t="s">
        <v>3208</v>
      </c>
      <c r="DD1406" s="127">
        <v>5</v>
      </c>
      <c r="DE1406" s="127">
        <v>5</v>
      </c>
      <c r="DG1406" s="405" t="s">
        <v>333</v>
      </c>
      <c r="DH1406" s="406" t="s">
        <v>3208</v>
      </c>
      <c r="DI1406" s="406" t="str">
        <f t="shared" si="53"/>
        <v>MG, Barão de Monte Alto</v>
      </c>
      <c r="DJ1406" s="406">
        <v>-21.245000000000001</v>
      </c>
      <c r="DK1406" s="80">
        <v>-42.238</v>
      </c>
      <c r="DL1406" s="80">
        <v>205</v>
      </c>
      <c r="DM1406" s="64">
        <v>5</v>
      </c>
      <c r="DN1406" s="406" t="s">
        <v>6827</v>
      </c>
      <c r="DO1406" s="406">
        <v>-21.13</v>
      </c>
      <c r="DP1406" s="80">
        <v>297</v>
      </c>
    </row>
    <row r="1407" spans="29:120" x14ac:dyDescent="0.25">
      <c r="AC1407" s="122" t="s">
        <v>376</v>
      </c>
      <c r="AD1407" s="122" t="s">
        <v>1795</v>
      </c>
      <c r="AE1407" s="127">
        <v>3</v>
      </c>
      <c r="DA1407" s="122" t="s">
        <v>333</v>
      </c>
      <c r="DB1407" s="122" t="s">
        <v>585</v>
      </c>
      <c r="DC1407" s="122" t="s">
        <v>585</v>
      </c>
      <c r="DD1407" s="127">
        <v>3</v>
      </c>
      <c r="DE1407" s="127">
        <v>3</v>
      </c>
      <c r="DG1407" s="405" t="s">
        <v>333</v>
      </c>
      <c r="DH1407" s="406" t="s">
        <v>585</v>
      </c>
      <c r="DI1407" s="406" t="str">
        <f t="shared" si="53"/>
        <v>MG, Barbacena</v>
      </c>
      <c r="DJ1407" s="406">
        <v>-21.225999999999999</v>
      </c>
      <c r="DK1407" s="80">
        <v>-43.774000000000001</v>
      </c>
      <c r="DL1407" s="80">
        <v>1164</v>
      </c>
      <c r="DM1407" s="64">
        <v>3</v>
      </c>
      <c r="DN1407" s="406" t="s">
        <v>6813</v>
      </c>
      <c r="DO1407" s="406">
        <v>-21.14</v>
      </c>
      <c r="DP1407" s="80">
        <v>991</v>
      </c>
    </row>
    <row r="1408" spans="29:120" x14ac:dyDescent="0.25">
      <c r="AC1408" s="122" t="s">
        <v>311</v>
      </c>
      <c r="AD1408" s="122" t="s">
        <v>1796</v>
      </c>
      <c r="AE1408" s="127">
        <v>3</v>
      </c>
      <c r="DA1408" s="122" t="s">
        <v>333</v>
      </c>
      <c r="DB1408" s="122" t="s">
        <v>6842</v>
      </c>
      <c r="DC1408" s="122" t="s">
        <v>525</v>
      </c>
      <c r="DD1408" s="127">
        <v>3</v>
      </c>
      <c r="DE1408" s="127">
        <v>3</v>
      </c>
      <c r="DG1408" s="405" t="s">
        <v>333</v>
      </c>
      <c r="DH1408" s="406" t="s">
        <v>525</v>
      </c>
      <c r="DI1408" s="406" t="str">
        <f t="shared" si="53"/>
        <v>MG, Barra Longa</v>
      </c>
      <c r="DJ1408" s="406">
        <v>-20.283000000000001</v>
      </c>
      <c r="DK1408" s="80">
        <v>-43.040999999999997</v>
      </c>
      <c r="DL1408" s="80">
        <v>400</v>
      </c>
      <c r="DM1408" s="64">
        <v>3</v>
      </c>
      <c r="DN1408" s="406" t="s">
        <v>6797</v>
      </c>
      <c r="DO1408" s="406">
        <v>-20.75</v>
      </c>
      <c r="DP1408" s="80">
        <v>712</v>
      </c>
    </row>
    <row r="1409" spans="29:120" x14ac:dyDescent="0.25">
      <c r="AC1409" s="122" t="s">
        <v>376</v>
      </c>
      <c r="AD1409" s="122" t="s">
        <v>1797</v>
      </c>
      <c r="AE1409" s="127">
        <v>4</v>
      </c>
      <c r="DA1409" s="122" t="s">
        <v>333</v>
      </c>
      <c r="DB1409" s="122" t="s">
        <v>586</v>
      </c>
      <c r="DC1409" s="122" t="s">
        <v>586</v>
      </c>
      <c r="DD1409" s="127">
        <v>3</v>
      </c>
      <c r="DE1409" s="127">
        <v>3</v>
      </c>
      <c r="DG1409" s="405" t="s">
        <v>333</v>
      </c>
      <c r="DH1409" s="406" t="s">
        <v>586</v>
      </c>
      <c r="DI1409" s="406" t="str">
        <f t="shared" si="53"/>
        <v>MG, Barroso</v>
      </c>
      <c r="DJ1409" s="406">
        <v>-21.187000000000001</v>
      </c>
      <c r="DK1409" s="80">
        <v>-43.975999999999999</v>
      </c>
      <c r="DL1409" s="80">
        <v>922</v>
      </c>
      <c r="DM1409" s="64">
        <v>3</v>
      </c>
      <c r="DN1409" s="406" t="s">
        <v>6813</v>
      </c>
      <c r="DO1409" s="406">
        <v>-21.14</v>
      </c>
      <c r="DP1409" s="80">
        <v>991</v>
      </c>
    </row>
    <row r="1410" spans="29:120" x14ac:dyDescent="0.25">
      <c r="AC1410" s="122" t="s">
        <v>358</v>
      </c>
      <c r="AD1410" s="122" t="s">
        <v>1798</v>
      </c>
      <c r="AE1410" s="127">
        <v>8</v>
      </c>
      <c r="DA1410" s="122" t="s">
        <v>333</v>
      </c>
      <c r="DB1410" s="122" t="s">
        <v>6843</v>
      </c>
      <c r="DC1410" s="122" t="s">
        <v>420</v>
      </c>
      <c r="DD1410" s="127">
        <v>3</v>
      </c>
      <c r="DE1410" s="127">
        <v>3</v>
      </c>
      <c r="DG1410" s="405" t="s">
        <v>333</v>
      </c>
      <c r="DH1410" s="406" t="s">
        <v>420</v>
      </c>
      <c r="DI1410" s="406" t="str">
        <f t="shared" si="53"/>
        <v>MG, Bela Vista de Minas</v>
      </c>
      <c r="DJ1410" s="406">
        <v>-19.829999999999998</v>
      </c>
      <c r="DK1410" s="80">
        <v>-43.091000000000001</v>
      </c>
      <c r="DL1410" s="80">
        <v>686</v>
      </c>
      <c r="DM1410" s="64">
        <v>3</v>
      </c>
      <c r="DN1410" s="406" t="s">
        <v>6798</v>
      </c>
      <c r="DO1410" s="406">
        <v>-19.579999999999998</v>
      </c>
      <c r="DP1410" s="80">
        <v>333</v>
      </c>
    </row>
    <row r="1411" spans="29:120" x14ac:dyDescent="0.25">
      <c r="AC1411" s="122" t="s">
        <v>358</v>
      </c>
      <c r="AD1411" s="122" t="s">
        <v>1799</v>
      </c>
      <c r="AE1411" s="127">
        <v>3</v>
      </c>
      <c r="DA1411" s="122" t="s">
        <v>333</v>
      </c>
      <c r="DB1411" s="122" t="s">
        <v>6844</v>
      </c>
      <c r="DC1411" s="122" t="s">
        <v>547</v>
      </c>
      <c r="DD1411" s="127">
        <v>3</v>
      </c>
      <c r="DE1411" s="127">
        <v>3</v>
      </c>
      <c r="DG1411" s="405" t="s">
        <v>333</v>
      </c>
      <c r="DH1411" s="406" t="s">
        <v>547</v>
      </c>
      <c r="DI1411" s="406" t="str">
        <f t="shared" ref="DI1411:DI1474" si="54">CONCATENATE(DG1411,", ",DH1411)</f>
        <v>MG, Belmiro Braga</v>
      </c>
      <c r="DJ1411" s="406">
        <v>-21.949000000000002</v>
      </c>
      <c r="DK1411" s="80">
        <v>-43.414999999999999</v>
      </c>
      <c r="DL1411" s="80">
        <v>493</v>
      </c>
      <c r="DM1411" s="64">
        <v>3</v>
      </c>
      <c r="DN1411" s="406" t="s">
        <v>6829</v>
      </c>
      <c r="DO1411" s="406">
        <v>-21.76</v>
      </c>
      <c r="DP1411" s="80">
        <v>950</v>
      </c>
    </row>
    <row r="1412" spans="29:120" x14ac:dyDescent="0.25">
      <c r="AC1412" s="122" t="s">
        <v>289</v>
      </c>
      <c r="AD1412" s="122" t="s">
        <v>1800</v>
      </c>
      <c r="AE1412" s="127">
        <v>8</v>
      </c>
      <c r="DA1412" s="122" t="s">
        <v>333</v>
      </c>
      <c r="DB1412" s="122" t="s">
        <v>6845</v>
      </c>
      <c r="DC1412" s="122" t="s">
        <v>2258</v>
      </c>
      <c r="DD1412" s="127">
        <v>3</v>
      </c>
      <c r="DE1412" s="127">
        <v>3</v>
      </c>
      <c r="DG1412" s="405" t="s">
        <v>333</v>
      </c>
      <c r="DH1412" s="406" t="s">
        <v>2258</v>
      </c>
      <c r="DI1412" s="406" t="str">
        <f t="shared" si="54"/>
        <v>MG, Belo Horizonte</v>
      </c>
      <c r="DJ1412" s="406">
        <v>-19.817</v>
      </c>
      <c r="DK1412" s="80">
        <v>-43.956000000000003</v>
      </c>
      <c r="DL1412" s="80">
        <v>858</v>
      </c>
      <c r="DM1412" s="64">
        <v>3</v>
      </c>
      <c r="DN1412" s="406" t="s">
        <v>6838</v>
      </c>
      <c r="DO1412" s="406">
        <v>-19.82</v>
      </c>
      <c r="DP1412" s="80">
        <v>869</v>
      </c>
    </row>
    <row r="1413" spans="29:120" x14ac:dyDescent="0.25">
      <c r="AC1413" s="122" t="s">
        <v>358</v>
      </c>
      <c r="AD1413" s="122" t="s">
        <v>5718</v>
      </c>
      <c r="AE1413" s="127">
        <v>3</v>
      </c>
      <c r="DA1413" s="122" t="s">
        <v>333</v>
      </c>
      <c r="DB1413" s="122" t="s">
        <v>6846</v>
      </c>
      <c r="DC1413" s="122" t="s">
        <v>2482</v>
      </c>
      <c r="DD1413" s="127">
        <v>3</v>
      </c>
      <c r="DE1413" s="127">
        <v>3</v>
      </c>
      <c r="DG1413" s="405" t="s">
        <v>333</v>
      </c>
      <c r="DH1413" s="406" t="s">
        <v>2482</v>
      </c>
      <c r="DI1413" s="406" t="str">
        <f t="shared" si="54"/>
        <v>MG, Belo Oriente</v>
      </c>
      <c r="DJ1413" s="406">
        <v>-19.22</v>
      </c>
      <c r="DK1413" s="80">
        <v>-42.484000000000002</v>
      </c>
      <c r="DL1413" s="80">
        <v>300</v>
      </c>
      <c r="DM1413" s="64">
        <v>3</v>
      </c>
      <c r="DN1413" s="406" t="s">
        <v>6798</v>
      </c>
      <c r="DO1413" s="406">
        <v>-19.579999999999998</v>
      </c>
      <c r="DP1413" s="80">
        <v>333</v>
      </c>
    </row>
    <row r="1414" spans="29:120" x14ac:dyDescent="0.25">
      <c r="AC1414" s="122" t="s">
        <v>289</v>
      </c>
      <c r="AD1414" s="122" t="s">
        <v>1801</v>
      </c>
      <c r="AE1414" s="127">
        <v>8</v>
      </c>
      <c r="DA1414" s="122" t="s">
        <v>333</v>
      </c>
      <c r="DB1414" s="122" t="s">
        <v>6847</v>
      </c>
      <c r="DC1414" s="122" t="s">
        <v>565</v>
      </c>
      <c r="DD1414" s="127">
        <v>2</v>
      </c>
      <c r="DE1414" s="127">
        <v>2</v>
      </c>
      <c r="DG1414" s="405" t="s">
        <v>333</v>
      </c>
      <c r="DH1414" s="406" t="s">
        <v>565</v>
      </c>
      <c r="DI1414" s="406" t="str">
        <f t="shared" si="54"/>
        <v>MG, Belo Vale</v>
      </c>
      <c r="DJ1414" s="406">
        <v>-20.408000000000001</v>
      </c>
      <c r="DK1414" s="80">
        <v>-44.024000000000001</v>
      </c>
      <c r="DL1414" s="80">
        <v>832</v>
      </c>
      <c r="DM1414" s="64">
        <v>2</v>
      </c>
      <c r="DN1414" s="406" t="s">
        <v>6848</v>
      </c>
      <c r="DO1414" s="406">
        <v>-20.52</v>
      </c>
      <c r="DP1414" s="80">
        <v>1061</v>
      </c>
    </row>
    <row r="1415" spans="29:120" x14ac:dyDescent="0.25">
      <c r="AC1415" s="122" t="s">
        <v>289</v>
      </c>
      <c r="AD1415" s="122" t="s">
        <v>1802</v>
      </c>
      <c r="AE1415" s="127">
        <v>8</v>
      </c>
      <c r="DA1415" s="122" t="s">
        <v>333</v>
      </c>
      <c r="DB1415" s="122" t="s">
        <v>2697</v>
      </c>
      <c r="DC1415" s="122" t="s">
        <v>2697</v>
      </c>
      <c r="DD1415" s="127">
        <v>5</v>
      </c>
      <c r="DE1415" s="127">
        <v>5</v>
      </c>
      <c r="DG1415" s="405" t="s">
        <v>333</v>
      </c>
      <c r="DH1415" s="406" t="s">
        <v>2697</v>
      </c>
      <c r="DI1415" s="406" t="str">
        <f t="shared" si="54"/>
        <v>MG, Berilo</v>
      </c>
      <c r="DJ1415" s="406">
        <v>-16.952000000000002</v>
      </c>
      <c r="DK1415" s="80">
        <v>-42.466000000000001</v>
      </c>
      <c r="DL1415" s="80">
        <v>401</v>
      </c>
      <c r="DM1415" s="64">
        <v>5</v>
      </c>
      <c r="DN1415" s="406" t="s">
        <v>6800</v>
      </c>
      <c r="DO1415" s="406">
        <v>-17.690000000000001</v>
      </c>
      <c r="DP1415" s="80">
        <v>932</v>
      </c>
    </row>
    <row r="1416" spans="29:120" x14ac:dyDescent="0.25">
      <c r="AC1416" s="122" t="s">
        <v>289</v>
      </c>
      <c r="AD1416" s="122" t="s">
        <v>1390</v>
      </c>
      <c r="AE1416" s="127">
        <v>8</v>
      </c>
      <c r="DA1416" s="122" t="s">
        <v>333</v>
      </c>
      <c r="DB1416" s="122" t="s">
        <v>2746</v>
      </c>
      <c r="DC1416" s="122" t="s">
        <v>2746</v>
      </c>
      <c r="DD1416" s="127">
        <v>5</v>
      </c>
      <c r="DE1416" s="127">
        <v>5</v>
      </c>
      <c r="DG1416" s="405" t="s">
        <v>333</v>
      </c>
      <c r="DH1416" s="406" t="s">
        <v>2746</v>
      </c>
      <c r="DI1416" s="406" t="str">
        <f t="shared" si="54"/>
        <v>MG, Berizal</v>
      </c>
      <c r="DJ1416" s="406">
        <v>-15.613</v>
      </c>
      <c r="DK1416" s="80">
        <v>-41.744999999999997</v>
      </c>
      <c r="DL1416" s="80">
        <v>692</v>
      </c>
      <c r="DM1416" s="64">
        <v>5</v>
      </c>
      <c r="DN1416" s="406" t="s">
        <v>6252</v>
      </c>
      <c r="DO1416" s="406">
        <v>-15.75</v>
      </c>
      <c r="DP1416" s="80">
        <v>740</v>
      </c>
    </row>
    <row r="1417" spans="29:120" x14ac:dyDescent="0.25">
      <c r="AC1417" s="122" t="s">
        <v>317</v>
      </c>
      <c r="AD1417" s="122" t="s">
        <v>1803</v>
      </c>
      <c r="AE1417" s="127">
        <v>8</v>
      </c>
      <c r="DA1417" s="122" t="s">
        <v>333</v>
      </c>
      <c r="DB1417" s="122" t="s">
        <v>1840</v>
      </c>
      <c r="DC1417" s="122" t="s">
        <v>1840</v>
      </c>
      <c r="DD1417" s="127">
        <v>5</v>
      </c>
      <c r="DE1417" s="127">
        <v>5</v>
      </c>
      <c r="DG1417" s="405" t="s">
        <v>333</v>
      </c>
      <c r="DH1417" s="406" t="s">
        <v>1840</v>
      </c>
      <c r="DI1417" s="406" t="str">
        <f t="shared" si="54"/>
        <v>MG, Bertópolis</v>
      </c>
      <c r="DJ1417" s="406">
        <v>-17.062999999999999</v>
      </c>
      <c r="DK1417" s="80">
        <v>-40.573999999999998</v>
      </c>
      <c r="DL1417" s="80">
        <v>278</v>
      </c>
      <c r="DM1417" s="64">
        <v>5</v>
      </c>
      <c r="DN1417" s="406" t="s">
        <v>6290</v>
      </c>
      <c r="DO1417" s="406">
        <v>-17.78</v>
      </c>
      <c r="DP1417" s="80">
        <v>208</v>
      </c>
    </row>
    <row r="1418" spans="29:120" x14ac:dyDescent="0.25">
      <c r="AC1418" s="122" t="s">
        <v>289</v>
      </c>
      <c r="AD1418" s="122" t="s">
        <v>1804</v>
      </c>
      <c r="AE1418" s="127">
        <v>8</v>
      </c>
      <c r="DA1418" s="122" t="s">
        <v>333</v>
      </c>
      <c r="DB1418" s="122" t="s">
        <v>3387</v>
      </c>
      <c r="DC1418" s="122" t="s">
        <v>3387</v>
      </c>
      <c r="DD1418" s="127">
        <v>2</v>
      </c>
      <c r="DE1418" s="127">
        <v>2</v>
      </c>
      <c r="DG1418" s="405" t="s">
        <v>333</v>
      </c>
      <c r="DH1418" s="406" t="s">
        <v>3387</v>
      </c>
      <c r="DI1418" s="406" t="str">
        <f t="shared" si="54"/>
        <v>MG, Betim</v>
      </c>
      <c r="DJ1418" s="406">
        <v>-19.968</v>
      </c>
      <c r="DK1418" s="80">
        <v>-44.198</v>
      </c>
      <c r="DL1418" s="80">
        <v>860</v>
      </c>
      <c r="DM1418" s="64">
        <v>2</v>
      </c>
      <c r="DN1418" s="406" t="s">
        <v>6849</v>
      </c>
      <c r="DO1418" s="406">
        <v>-20.03</v>
      </c>
      <c r="DP1418" s="80">
        <v>1208</v>
      </c>
    </row>
    <row r="1419" spans="29:120" x14ac:dyDescent="0.25">
      <c r="AC1419" s="122" t="s">
        <v>289</v>
      </c>
      <c r="AD1419" s="122" t="s">
        <v>1805</v>
      </c>
      <c r="AE1419" s="127">
        <v>8</v>
      </c>
      <c r="DA1419" s="122" t="s">
        <v>333</v>
      </c>
      <c r="DB1419" s="122" t="s">
        <v>6850</v>
      </c>
      <c r="DC1419" s="122" t="s">
        <v>587</v>
      </c>
      <c r="DD1419" s="127">
        <v>3</v>
      </c>
      <c r="DE1419" s="127">
        <v>3</v>
      </c>
      <c r="DG1419" s="405" t="s">
        <v>333</v>
      </c>
      <c r="DH1419" s="406" t="s">
        <v>587</v>
      </c>
      <c r="DI1419" s="406" t="str">
        <f t="shared" si="54"/>
        <v>MG, Bias Fortes</v>
      </c>
      <c r="DJ1419" s="406">
        <v>-21.606000000000002</v>
      </c>
      <c r="DK1419" s="80">
        <v>-43.756999999999998</v>
      </c>
      <c r="DL1419" s="80">
        <v>763</v>
      </c>
      <c r="DM1419" s="64">
        <v>3</v>
      </c>
      <c r="DN1419" s="406" t="s">
        <v>6829</v>
      </c>
      <c r="DO1419" s="406">
        <v>-21.76</v>
      </c>
      <c r="DP1419" s="80">
        <v>950</v>
      </c>
    </row>
    <row r="1420" spans="29:120" x14ac:dyDescent="0.25">
      <c r="AC1420" s="122" t="s">
        <v>333</v>
      </c>
      <c r="AD1420" s="122" t="s">
        <v>1806</v>
      </c>
      <c r="AE1420" s="127">
        <v>3</v>
      </c>
      <c r="DA1420" s="122" t="s">
        <v>333</v>
      </c>
      <c r="DB1420" s="122" t="s">
        <v>3451</v>
      </c>
      <c r="DC1420" s="122" t="s">
        <v>3451</v>
      </c>
      <c r="DD1420" s="127">
        <v>3</v>
      </c>
      <c r="DE1420" s="127">
        <v>3</v>
      </c>
      <c r="DG1420" s="405" t="s">
        <v>333</v>
      </c>
      <c r="DH1420" s="406" t="s">
        <v>3451</v>
      </c>
      <c r="DI1420" s="406" t="str">
        <f t="shared" si="54"/>
        <v>MG, Bicas</v>
      </c>
      <c r="DJ1420" s="406">
        <v>-21.725000000000001</v>
      </c>
      <c r="DK1420" s="80">
        <v>-43.058999999999997</v>
      </c>
      <c r="DL1420" s="80">
        <v>601</v>
      </c>
      <c r="DM1420" s="64">
        <v>3</v>
      </c>
      <c r="DN1420" s="406" t="s">
        <v>6829</v>
      </c>
      <c r="DO1420" s="406">
        <v>-21.76</v>
      </c>
      <c r="DP1420" s="80">
        <v>950</v>
      </c>
    </row>
    <row r="1421" spans="29:120" x14ac:dyDescent="0.25">
      <c r="AC1421" s="122" t="s">
        <v>333</v>
      </c>
      <c r="AD1421" s="122" t="s">
        <v>1807</v>
      </c>
      <c r="AE1421" s="127">
        <v>3</v>
      </c>
      <c r="DA1421" s="122" t="s">
        <v>333</v>
      </c>
      <c r="DB1421" s="122" t="s">
        <v>2609</v>
      </c>
      <c r="DC1421" s="122" t="s">
        <v>2609</v>
      </c>
      <c r="DD1421" s="127">
        <v>4</v>
      </c>
      <c r="DE1421" s="127">
        <v>4</v>
      </c>
      <c r="DG1421" s="405" t="s">
        <v>333</v>
      </c>
      <c r="DH1421" s="406" t="s">
        <v>2609</v>
      </c>
      <c r="DI1421" s="406" t="str">
        <f t="shared" si="54"/>
        <v>MG, Biquinhas</v>
      </c>
      <c r="DJ1421" s="406">
        <v>-18.783000000000001</v>
      </c>
      <c r="DK1421" s="80">
        <v>-45.502000000000002</v>
      </c>
      <c r="DL1421" s="80">
        <v>629</v>
      </c>
      <c r="DM1421" s="64">
        <v>4</v>
      </c>
      <c r="DN1421" s="406" t="s">
        <v>6851</v>
      </c>
      <c r="DO1421" s="406">
        <v>-18.21</v>
      </c>
      <c r="DP1421" s="80">
        <v>921</v>
      </c>
    </row>
    <row r="1422" spans="29:120" x14ac:dyDescent="0.25">
      <c r="AC1422" s="122" t="s">
        <v>317</v>
      </c>
      <c r="AD1422" s="122" t="s">
        <v>1808</v>
      </c>
      <c r="AE1422" s="127">
        <v>8</v>
      </c>
      <c r="DA1422" s="122" t="s">
        <v>333</v>
      </c>
      <c r="DB1422" s="122" t="s">
        <v>6467</v>
      </c>
      <c r="DC1422" s="122" t="s">
        <v>588</v>
      </c>
      <c r="DD1422" s="127">
        <v>2</v>
      </c>
      <c r="DE1422" s="127">
        <v>2</v>
      </c>
      <c r="DG1422" s="405" t="s">
        <v>333</v>
      </c>
      <c r="DH1422" s="406" t="s">
        <v>588</v>
      </c>
      <c r="DI1422" s="406" t="str">
        <f t="shared" si="54"/>
        <v>MG, Boa Esperança</v>
      </c>
      <c r="DJ1422" s="406">
        <v>-21.09</v>
      </c>
      <c r="DK1422" s="80">
        <v>-45.566000000000003</v>
      </c>
      <c r="DL1422" s="80">
        <v>775</v>
      </c>
      <c r="DM1422" s="64">
        <v>2</v>
      </c>
      <c r="DN1422" s="406" t="s">
        <v>6811</v>
      </c>
      <c r="DO1422" s="406">
        <v>-21.55</v>
      </c>
      <c r="DP1422" s="80">
        <v>955</v>
      </c>
    </row>
    <row r="1423" spans="29:120" x14ac:dyDescent="0.25">
      <c r="AC1423" s="122" t="s">
        <v>317</v>
      </c>
      <c r="AD1423" s="122" t="s">
        <v>1809</v>
      </c>
      <c r="AE1423" s="127">
        <v>8</v>
      </c>
      <c r="DA1423" s="122" t="s">
        <v>333</v>
      </c>
      <c r="DB1423" s="122" t="s">
        <v>6852</v>
      </c>
      <c r="DC1423" s="122" t="s">
        <v>589</v>
      </c>
      <c r="DD1423" s="127">
        <v>3</v>
      </c>
      <c r="DE1423" s="127">
        <v>3</v>
      </c>
      <c r="DG1423" s="405" t="s">
        <v>333</v>
      </c>
      <c r="DH1423" s="406" t="s">
        <v>589</v>
      </c>
      <c r="DI1423" s="406" t="str">
        <f t="shared" si="54"/>
        <v>MG, Bocaina de Minas</v>
      </c>
      <c r="DJ1423" s="406">
        <v>-22.167999999999999</v>
      </c>
      <c r="DK1423" s="80">
        <v>-44.395000000000003</v>
      </c>
      <c r="DL1423" s="80">
        <v>1210</v>
      </c>
      <c r="DM1423" s="64">
        <v>3</v>
      </c>
      <c r="DN1423" s="406" t="s">
        <v>6807</v>
      </c>
      <c r="DO1423" s="406">
        <v>-22.47</v>
      </c>
      <c r="DP1423" s="80">
        <v>440</v>
      </c>
    </row>
    <row r="1424" spans="29:120" x14ac:dyDescent="0.25">
      <c r="AC1424" s="122" t="s">
        <v>289</v>
      </c>
      <c r="AD1424" s="122" t="s">
        <v>1810</v>
      </c>
      <c r="AE1424" s="127">
        <v>8</v>
      </c>
      <c r="DA1424" s="122" t="s">
        <v>333</v>
      </c>
      <c r="DB1424" s="122" t="s">
        <v>2157</v>
      </c>
      <c r="DC1424" s="122" t="s">
        <v>2157</v>
      </c>
      <c r="DD1424" s="127">
        <v>4</v>
      </c>
      <c r="DE1424" s="127">
        <v>4</v>
      </c>
      <c r="DG1424" s="405" t="s">
        <v>333</v>
      </c>
      <c r="DH1424" s="406" t="s">
        <v>2157</v>
      </c>
      <c r="DI1424" s="406" t="str">
        <f t="shared" si="54"/>
        <v>MG, Bocaiúva</v>
      </c>
      <c r="DJ1424" s="406">
        <v>-17.108000000000001</v>
      </c>
      <c r="DK1424" s="80">
        <v>-43.814999999999998</v>
      </c>
      <c r="DL1424" s="80">
        <v>698</v>
      </c>
      <c r="DM1424" s="64">
        <v>4</v>
      </c>
      <c r="DN1424" s="406" t="s">
        <v>6853</v>
      </c>
      <c r="DO1424" s="406">
        <v>-16.739999999999998</v>
      </c>
      <c r="DP1424" s="80">
        <v>646</v>
      </c>
    </row>
    <row r="1425" spans="29:120" x14ac:dyDescent="0.25">
      <c r="AC1425" s="122" t="s">
        <v>289</v>
      </c>
      <c r="AD1425" s="122" t="s">
        <v>1811</v>
      </c>
      <c r="AE1425" s="127">
        <v>8</v>
      </c>
      <c r="DA1425" s="122" t="s">
        <v>333</v>
      </c>
      <c r="DB1425" s="122" t="s">
        <v>6854</v>
      </c>
      <c r="DC1425" s="122" t="s">
        <v>3915</v>
      </c>
      <c r="DD1425" s="127">
        <v>3</v>
      </c>
      <c r="DE1425" s="127">
        <v>3</v>
      </c>
      <c r="DG1425" s="405" t="s">
        <v>333</v>
      </c>
      <c r="DH1425" s="406" t="s">
        <v>3915</v>
      </c>
      <c r="DI1425" s="406" t="str">
        <f t="shared" si="54"/>
        <v>MG, Bom Despacho</v>
      </c>
      <c r="DJ1425" s="406">
        <v>-19.736000000000001</v>
      </c>
      <c r="DK1425" s="80">
        <v>-45.252000000000002</v>
      </c>
      <c r="DL1425" s="80">
        <v>769</v>
      </c>
      <c r="DM1425" s="64">
        <v>3</v>
      </c>
      <c r="DN1425" s="406" t="s">
        <v>6795</v>
      </c>
      <c r="DO1425" s="406">
        <v>-19.46</v>
      </c>
      <c r="DP1425" s="80">
        <v>722</v>
      </c>
    </row>
    <row r="1426" spans="29:120" x14ac:dyDescent="0.25">
      <c r="AC1426" s="122" t="s">
        <v>317</v>
      </c>
      <c r="AD1426" s="122" t="s">
        <v>1812</v>
      </c>
      <c r="AE1426" s="127">
        <v>8</v>
      </c>
      <c r="DA1426" s="122" t="s">
        <v>333</v>
      </c>
      <c r="DB1426" s="122" t="s">
        <v>6855</v>
      </c>
      <c r="DC1426" s="122" t="s">
        <v>590</v>
      </c>
      <c r="DD1426" s="127">
        <v>3</v>
      </c>
      <c r="DE1426" s="127">
        <v>3</v>
      </c>
      <c r="DG1426" s="405" t="s">
        <v>333</v>
      </c>
      <c r="DH1426" s="406" t="s">
        <v>590</v>
      </c>
      <c r="DI1426" s="406" t="str">
        <f t="shared" si="54"/>
        <v>MG, Bom Jardim de Minas</v>
      </c>
      <c r="DJ1426" s="406">
        <v>-21.946999999999999</v>
      </c>
      <c r="DK1426" s="80">
        <v>-44.191000000000003</v>
      </c>
      <c r="DL1426" s="80">
        <v>1112</v>
      </c>
      <c r="DM1426" s="64">
        <v>3</v>
      </c>
      <c r="DN1426" s="406" t="s">
        <v>6856</v>
      </c>
      <c r="DO1426" s="406">
        <v>-22.25</v>
      </c>
      <c r="DP1426" s="80">
        <v>367</v>
      </c>
    </row>
    <row r="1427" spans="29:120" x14ac:dyDescent="0.25">
      <c r="AC1427" s="122" t="s">
        <v>317</v>
      </c>
      <c r="AD1427" s="122" t="s">
        <v>1813</v>
      </c>
      <c r="AE1427" s="127">
        <v>8</v>
      </c>
      <c r="DA1427" s="122" t="s">
        <v>333</v>
      </c>
      <c r="DB1427" s="122" t="s">
        <v>6857</v>
      </c>
      <c r="DC1427" s="122" t="s">
        <v>591</v>
      </c>
      <c r="DD1427" s="127">
        <v>4</v>
      </c>
      <c r="DE1427" s="127">
        <v>4</v>
      </c>
      <c r="DG1427" s="405" t="s">
        <v>333</v>
      </c>
      <c r="DH1427" s="406" t="s">
        <v>591</v>
      </c>
      <c r="DI1427" s="406" t="str">
        <f t="shared" si="54"/>
        <v>MG, Bom Jesus da Penha</v>
      </c>
      <c r="DJ1427" s="406">
        <v>-21.016999999999999</v>
      </c>
      <c r="DK1427" s="80">
        <v>-46.523000000000003</v>
      </c>
      <c r="DL1427" s="80">
        <v>990</v>
      </c>
      <c r="DM1427" s="64">
        <v>4</v>
      </c>
      <c r="DN1427" s="406" t="s">
        <v>6815</v>
      </c>
      <c r="DO1427" s="406">
        <v>-20.75</v>
      </c>
      <c r="DP1427" s="80">
        <v>875</v>
      </c>
    </row>
    <row r="1428" spans="29:120" x14ac:dyDescent="0.25">
      <c r="AC1428" s="122" t="s">
        <v>289</v>
      </c>
      <c r="AD1428" s="122" t="s">
        <v>1814</v>
      </c>
      <c r="AE1428" s="127">
        <v>5</v>
      </c>
      <c r="DA1428" s="122" t="s">
        <v>333</v>
      </c>
      <c r="DB1428" s="122" t="s">
        <v>6858</v>
      </c>
      <c r="DC1428" s="122" t="s">
        <v>2681</v>
      </c>
      <c r="DD1428" s="127">
        <v>3</v>
      </c>
      <c r="DE1428" s="127">
        <v>3</v>
      </c>
      <c r="DG1428" s="405" t="s">
        <v>333</v>
      </c>
      <c r="DH1428" s="406" t="s">
        <v>2681</v>
      </c>
      <c r="DI1428" s="406" t="str">
        <f t="shared" si="54"/>
        <v>MG, Bom Jesus do Amparo</v>
      </c>
      <c r="DJ1428" s="406">
        <v>-19.704000000000001</v>
      </c>
      <c r="DK1428" s="80">
        <v>-43.473999999999997</v>
      </c>
      <c r="DL1428" s="80">
        <v>693</v>
      </c>
      <c r="DM1428" s="64">
        <v>3</v>
      </c>
      <c r="DN1428" s="406" t="s">
        <v>6838</v>
      </c>
      <c r="DO1428" s="406">
        <v>-19.82</v>
      </c>
      <c r="DP1428" s="80">
        <v>869</v>
      </c>
    </row>
    <row r="1429" spans="29:120" x14ac:dyDescent="0.25">
      <c r="AC1429" s="122" t="s">
        <v>317</v>
      </c>
      <c r="AD1429" s="122" t="s">
        <v>1815</v>
      </c>
      <c r="AE1429" s="127">
        <v>8</v>
      </c>
      <c r="DA1429" s="122" t="s">
        <v>333</v>
      </c>
      <c r="DB1429" s="122" t="s">
        <v>6859</v>
      </c>
      <c r="DC1429" s="122" t="s">
        <v>2079</v>
      </c>
      <c r="DD1429" s="127">
        <v>3</v>
      </c>
      <c r="DE1429" s="127">
        <v>3</v>
      </c>
      <c r="DG1429" s="405" t="s">
        <v>333</v>
      </c>
      <c r="DH1429" s="406" t="s">
        <v>2079</v>
      </c>
      <c r="DI1429" s="406" t="str">
        <f t="shared" si="54"/>
        <v>MG, Bom Jesus do Galho</v>
      </c>
      <c r="DJ1429" s="406">
        <v>-19.829000000000001</v>
      </c>
      <c r="DK1429" s="80">
        <v>-42.316000000000003</v>
      </c>
      <c r="DL1429" s="80">
        <v>542</v>
      </c>
      <c r="DM1429" s="64">
        <v>3</v>
      </c>
      <c r="DN1429" s="406" t="s">
        <v>6819</v>
      </c>
      <c r="DO1429" s="406">
        <v>-19.79</v>
      </c>
      <c r="DP1429" s="80">
        <v>615</v>
      </c>
    </row>
    <row r="1430" spans="29:120" x14ac:dyDescent="0.25">
      <c r="AC1430" s="122" t="s">
        <v>289</v>
      </c>
      <c r="AD1430" s="122" t="s">
        <v>1816</v>
      </c>
      <c r="AE1430" s="127">
        <v>8</v>
      </c>
      <c r="DA1430" s="122" t="s">
        <v>333</v>
      </c>
      <c r="DB1430" s="122" t="s">
        <v>6860</v>
      </c>
      <c r="DC1430" s="122" t="s">
        <v>890</v>
      </c>
      <c r="DD1430" s="127">
        <v>1</v>
      </c>
      <c r="DE1430" s="127">
        <v>1</v>
      </c>
      <c r="DG1430" s="405" t="s">
        <v>333</v>
      </c>
      <c r="DH1430" s="406" t="s">
        <v>890</v>
      </c>
      <c r="DI1430" s="406" t="str">
        <f t="shared" si="54"/>
        <v>MG, Bom Repouso</v>
      </c>
      <c r="DJ1430" s="406">
        <v>-22.471</v>
      </c>
      <c r="DK1430" s="80">
        <v>-46.145000000000003</v>
      </c>
      <c r="DL1430" s="80">
        <v>1375</v>
      </c>
      <c r="DM1430" s="64">
        <v>1</v>
      </c>
      <c r="DN1430" s="406" t="s">
        <v>6861</v>
      </c>
      <c r="DO1430" s="406">
        <v>-22.86</v>
      </c>
      <c r="DP1430" s="80">
        <v>1500</v>
      </c>
    </row>
    <row r="1431" spans="29:120" x14ac:dyDescent="0.25">
      <c r="AC1431" s="122" t="s">
        <v>289</v>
      </c>
      <c r="AD1431" s="122" t="s">
        <v>1817</v>
      </c>
      <c r="AE1431" s="127">
        <v>8</v>
      </c>
      <c r="DA1431" s="122" t="s">
        <v>333</v>
      </c>
      <c r="DB1431" s="122" t="s">
        <v>6862</v>
      </c>
      <c r="DC1431" s="122" t="s">
        <v>592</v>
      </c>
      <c r="DD1431" s="127">
        <v>2</v>
      </c>
      <c r="DE1431" s="127">
        <v>2</v>
      </c>
      <c r="DG1431" s="405" t="s">
        <v>333</v>
      </c>
      <c r="DH1431" s="406" t="s">
        <v>592</v>
      </c>
      <c r="DI1431" s="406" t="str">
        <f t="shared" si="54"/>
        <v>MG, Bom Sucesso</v>
      </c>
      <c r="DJ1431" s="406">
        <v>-21.033000000000001</v>
      </c>
      <c r="DK1431" s="80">
        <v>-44.758000000000003</v>
      </c>
      <c r="DL1431" s="80">
        <v>952</v>
      </c>
      <c r="DM1431" s="64">
        <v>2</v>
      </c>
      <c r="DN1431" s="406" t="s">
        <v>6813</v>
      </c>
      <c r="DO1431" s="406">
        <v>-21.14</v>
      </c>
      <c r="DP1431" s="80">
        <v>991</v>
      </c>
    </row>
    <row r="1432" spans="29:120" x14ac:dyDescent="0.25">
      <c r="AC1432" s="122" t="s">
        <v>333</v>
      </c>
      <c r="AD1432" s="122" t="s">
        <v>1818</v>
      </c>
      <c r="AE1432" s="127">
        <v>5</v>
      </c>
      <c r="DA1432" s="122" t="s">
        <v>333</v>
      </c>
      <c r="DB1432" s="122" t="s">
        <v>560</v>
      </c>
      <c r="DC1432" s="122" t="s">
        <v>560</v>
      </c>
      <c r="DD1432" s="127">
        <v>2</v>
      </c>
      <c r="DE1432" s="127">
        <v>2</v>
      </c>
      <c r="DG1432" s="405" t="s">
        <v>333</v>
      </c>
      <c r="DH1432" s="406" t="s">
        <v>560</v>
      </c>
      <c r="DI1432" s="406" t="str">
        <f t="shared" si="54"/>
        <v>MG, Bonfim</v>
      </c>
      <c r="DJ1432" s="406">
        <v>-20.327000000000002</v>
      </c>
      <c r="DK1432" s="80">
        <v>-44.238999999999997</v>
      </c>
      <c r="DL1432" s="80">
        <v>930</v>
      </c>
      <c r="DM1432" s="64">
        <v>2</v>
      </c>
      <c r="DN1432" s="406" t="s">
        <v>6849</v>
      </c>
      <c r="DO1432" s="406">
        <v>-20.03</v>
      </c>
      <c r="DP1432" s="80">
        <v>1208</v>
      </c>
    </row>
    <row r="1433" spans="29:120" x14ac:dyDescent="0.25">
      <c r="AC1433" s="122" t="s">
        <v>333</v>
      </c>
      <c r="AD1433" s="122" t="s">
        <v>1819</v>
      </c>
      <c r="AE1433" s="127">
        <v>5</v>
      </c>
      <c r="DA1433" s="122" t="s">
        <v>333</v>
      </c>
      <c r="DB1433" s="122" t="s">
        <v>6863</v>
      </c>
      <c r="DC1433" s="122" t="s">
        <v>2670</v>
      </c>
      <c r="DD1433" s="127">
        <v>6</v>
      </c>
      <c r="DE1433" s="127">
        <v>6</v>
      </c>
      <c r="DG1433" s="405" t="s">
        <v>333</v>
      </c>
      <c r="DH1433" s="406" t="s">
        <v>2670</v>
      </c>
      <c r="DI1433" s="406" t="str">
        <f t="shared" si="54"/>
        <v>MG, Bonfinópolis de Minas</v>
      </c>
      <c r="DJ1433" s="406">
        <v>-16.567</v>
      </c>
      <c r="DK1433" s="80">
        <v>-45.99</v>
      </c>
      <c r="DL1433" s="80">
        <v>651</v>
      </c>
      <c r="DM1433" s="64">
        <v>6</v>
      </c>
      <c r="DN1433" s="406" t="s">
        <v>6864</v>
      </c>
      <c r="DO1433" s="406">
        <v>-16.36</v>
      </c>
      <c r="DP1433" s="80">
        <v>631</v>
      </c>
    </row>
    <row r="1434" spans="29:120" x14ac:dyDescent="0.25">
      <c r="AC1434" s="122" t="s">
        <v>317</v>
      </c>
      <c r="AD1434" s="122" t="s">
        <v>1820</v>
      </c>
      <c r="AE1434" s="127">
        <v>8</v>
      </c>
      <c r="DA1434" s="122" t="s">
        <v>333</v>
      </c>
      <c r="DB1434" s="122" t="s">
        <v>6865</v>
      </c>
      <c r="DC1434" s="122" t="s">
        <v>2734</v>
      </c>
      <c r="DD1434" s="127">
        <v>6</v>
      </c>
      <c r="DE1434" s="127">
        <v>6</v>
      </c>
      <c r="DG1434" s="405" t="s">
        <v>333</v>
      </c>
      <c r="DH1434" s="406" t="s">
        <v>2734</v>
      </c>
      <c r="DI1434" s="406" t="str">
        <f t="shared" si="54"/>
        <v>MG, Bonito de Minas</v>
      </c>
      <c r="DJ1434" s="406">
        <v>-15.323</v>
      </c>
      <c r="DK1434" s="80">
        <v>-44.753999999999998</v>
      </c>
      <c r="DL1434" s="80">
        <v>629</v>
      </c>
      <c r="DM1434" s="64">
        <v>6</v>
      </c>
      <c r="DN1434" s="406" t="s">
        <v>6866</v>
      </c>
      <c r="DO1434" s="406">
        <v>-15.31</v>
      </c>
      <c r="DP1434" s="80">
        <v>880</v>
      </c>
    </row>
    <row r="1435" spans="29:120" x14ac:dyDescent="0.25">
      <c r="AC1435" s="122" t="s">
        <v>323</v>
      </c>
      <c r="AD1435" s="122" t="s">
        <v>1821</v>
      </c>
      <c r="AE1435" s="127">
        <v>8</v>
      </c>
      <c r="DA1435" s="122" t="s">
        <v>333</v>
      </c>
      <c r="DB1435" s="122" t="s">
        <v>6867</v>
      </c>
      <c r="DC1435" s="122" t="s">
        <v>926</v>
      </c>
      <c r="DD1435" s="127">
        <v>2</v>
      </c>
      <c r="DE1435" s="127">
        <v>2</v>
      </c>
      <c r="DG1435" s="405" t="s">
        <v>333</v>
      </c>
      <c r="DH1435" s="406" t="s">
        <v>926</v>
      </c>
      <c r="DI1435" s="406" t="str">
        <f t="shared" si="54"/>
        <v>MG, Borda da Mata</v>
      </c>
      <c r="DJ1435" s="406">
        <v>-22.274000000000001</v>
      </c>
      <c r="DK1435" s="80">
        <v>-46.164999999999999</v>
      </c>
      <c r="DL1435" s="80">
        <v>892</v>
      </c>
      <c r="DM1435" s="64">
        <v>2</v>
      </c>
      <c r="DN1435" s="406" t="s">
        <v>6823</v>
      </c>
      <c r="DO1435" s="406">
        <v>-21.92</v>
      </c>
      <c r="DP1435" s="80">
        <v>1150</v>
      </c>
    </row>
    <row r="1436" spans="29:120" x14ac:dyDescent="0.25">
      <c r="AC1436" s="122" t="s">
        <v>289</v>
      </c>
      <c r="AD1436" s="122" t="s">
        <v>1822</v>
      </c>
      <c r="AE1436" s="127">
        <v>8</v>
      </c>
      <c r="DA1436" s="122" t="s">
        <v>333</v>
      </c>
      <c r="DB1436" s="122" t="s">
        <v>593</v>
      </c>
      <c r="DC1436" s="122" t="s">
        <v>593</v>
      </c>
      <c r="DD1436" s="127">
        <v>3</v>
      </c>
      <c r="DE1436" s="127">
        <v>3</v>
      </c>
      <c r="DG1436" s="405" t="s">
        <v>333</v>
      </c>
      <c r="DH1436" s="406" t="s">
        <v>593</v>
      </c>
      <c r="DI1436" s="406" t="str">
        <f t="shared" si="54"/>
        <v>MG, Botelhos</v>
      </c>
      <c r="DJ1436" s="406">
        <v>-21.632999999999999</v>
      </c>
      <c r="DK1436" s="80">
        <v>-46.395000000000003</v>
      </c>
      <c r="DL1436" s="80">
        <v>1008</v>
      </c>
      <c r="DM1436" s="64">
        <v>3</v>
      </c>
      <c r="DN1436" s="406" t="s">
        <v>6823</v>
      </c>
      <c r="DO1436" s="406">
        <v>-21.92</v>
      </c>
      <c r="DP1436" s="80">
        <v>1150</v>
      </c>
    </row>
    <row r="1437" spans="29:120" x14ac:dyDescent="0.25">
      <c r="AC1437" s="122" t="s">
        <v>289</v>
      </c>
      <c r="AD1437" s="122" t="s">
        <v>1823</v>
      </c>
      <c r="AE1437" s="127">
        <v>8</v>
      </c>
      <c r="DA1437" s="122" t="s">
        <v>333</v>
      </c>
      <c r="DB1437" s="122" t="s">
        <v>2690</v>
      </c>
      <c r="DC1437" s="122" t="s">
        <v>2690</v>
      </c>
      <c r="DD1437" s="127">
        <v>3</v>
      </c>
      <c r="DE1437" s="127">
        <v>3</v>
      </c>
      <c r="DG1437" s="405" t="s">
        <v>333</v>
      </c>
      <c r="DH1437" s="406" t="s">
        <v>2690</v>
      </c>
      <c r="DI1437" s="406" t="str">
        <f t="shared" si="54"/>
        <v>MG, Botumirim</v>
      </c>
      <c r="DJ1437" s="406">
        <v>-16.872</v>
      </c>
      <c r="DK1437" s="80">
        <v>-43.011000000000003</v>
      </c>
      <c r="DL1437" s="80">
        <v>948</v>
      </c>
      <c r="DM1437" s="64">
        <v>3</v>
      </c>
      <c r="DN1437" s="406" t="s">
        <v>6853</v>
      </c>
      <c r="DO1437" s="406">
        <v>-16.739999999999998</v>
      </c>
      <c r="DP1437" s="80">
        <v>646</v>
      </c>
    </row>
    <row r="1438" spans="29:120" x14ac:dyDescent="0.25">
      <c r="AC1438" s="122" t="s">
        <v>323</v>
      </c>
      <c r="AD1438" s="122" t="s">
        <v>1824</v>
      </c>
      <c r="AE1438" s="127">
        <v>8</v>
      </c>
      <c r="DA1438" s="122" t="s">
        <v>333</v>
      </c>
      <c r="DB1438" s="122" t="s">
        <v>6868</v>
      </c>
      <c r="DC1438" s="122" t="s">
        <v>594</v>
      </c>
      <c r="DD1438" s="127">
        <v>3</v>
      </c>
      <c r="DE1438" s="127">
        <v>3</v>
      </c>
      <c r="DG1438" s="405" t="s">
        <v>333</v>
      </c>
      <c r="DH1438" s="406" t="s">
        <v>594</v>
      </c>
      <c r="DI1438" s="406" t="str">
        <f t="shared" si="54"/>
        <v>MG, Brás Pires</v>
      </c>
      <c r="DJ1438" s="406">
        <v>-20.920999999999999</v>
      </c>
      <c r="DK1438" s="80">
        <v>-43.241999999999997</v>
      </c>
      <c r="DL1438" s="80">
        <v>640</v>
      </c>
      <c r="DM1438" s="64">
        <v>3</v>
      </c>
      <c r="DN1438" s="406" t="s">
        <v>6797</v>
      </c>
      <c r="DO1438" s="406">
        <v>-20.75</v>
      </c>
      <c r="DP1438" s="80">
        <v>712</v>
      </c>
    </row>
    <row r="1439" spans="29:120" x14ac:dyDescent="0.25">
      <c r="AC1439" s="122" t="s">
        <v>289</v>
      </c>
      <c r="AD1439" s="122" t="s">
        <v>1825</v>
      </c>
      <c r="AE1439" s="127">
        <v>8</v>
      </c>
      <c r="DA1439" s="122" t="s">
        <v>333</v>
      </c>
      <c r="DB1439" s="122" t="s">
        <v>6869</v>
      </c>
      <c r="DC1439" s="122" t="s">
        <v>1878</v>
      </c>
      <c r="DD1439" s="127">
        <v>6</v>
      </c>
      <c r="DE1439" s="127">
        <v>6</v>
      </c>
      <c r="DG1439" s="405" t="s">
        <v>333</v>
      </c>
      <c r="DH1439" s="406" t="s">
        <v>1878</v>
      </c>
      <c r="DI1439" s="406" t="str">
        <f t="shared" si="54"/>
        <v>MG, Brasilândia de Minas</v>
      </c>
      <c r="DJ1439" s="406">
        <v>-17.010000000000002</v>
      </c>
      <c r="DK1439" s="80">
        <v>-46.009</v>
      </c>
      <c r="DL1439" s="80">
        <v>530</v>
      </c>
      <c r="DM1439" s="64">
        <v>6</v>
      </c>
      <c r="DN1439" s="406" t="s">
        <v>6870</v>
      </c>
      <c r="DO1439" s="406">
        <v>-17.78</v>
      </c>
      <c r="DP1439" s="80">
        <v>870</v>
      </c>
    </row>
    <row r="1440" spans="29:120" x14ac:dyDescent="0.25">
      <c r="AC1440" s="122" t="s">
        <v>358</v>
      </c>
      <c r="AD1440" s="122" t="s">
        <v>1826</v>
      </c>
      <c r="AE1440" s="127">
        <v>3</v>
      </c>
      <c r="DA1440" s="122" t="s">
        <v>333</v>
      </c>
      <c r="DB1440" s="122" t="s">
        <v>6871</v>
      </c>
      <c r="DC1440" s="122" t="s">
        <v>3028</v>
      </c>
      <c r="DD1440" s="127">
        <v>6</v>
      </c>
      <c r="DE1440" s="127">
        <v>6</v>
      </c>
      <c r="DG1440" s="405" t="s">
        <v>333</v>
      </c>
      <c r="DH1440" s="406" t="s">
        <v>3028</v>
      </c>
      <c r="DI1440" s="406" t="str">
        <f t="shared" si="54"/>
        <v>MG, Brasília de Minas</v>
      </c>
      <c r="DJ1440" s="406">
        <v>-16.207999999999998</v>
      </c>
      <c r="DK1440" s="80">
        <v>-44.429000000000002</v>
      </c>
      <c r="DL1440" s="80">
        <v>732</v>
      </c>
      <c r="DM1440" s="64">
        <v>6</v>
      </c>
      <c r="DN1440" s="406" t="s">
        <v>6872</v>
      </c>
      <c r="DO1440" s="406">
        <v>-16.37</v>
      </c>
      <c r="DP1440" s="80">
        <v>460</v>
      </c>
    </row>
    <row r="1441" spans="29:120" x14ac:dyDescent="0.25">
      <c r="AC1441" s="122" t="s">
        <v>289</v>
      </c>
      <c r="AD1441" s="122" t="s">
        <v>1827</v>
      </c>
      <c r="AE1441" s="127">
        <v>8</v>
      </c>
      <c r="DA1441" s="122" t="s">
        <v>333</v>
      </c>
      <c r="DB1441" s="122" t="s">
        <v>892</v>
      </c>
      <c r="DC1441" s="122" t="s">
        <v>892</v>
      </c>
      <c r="DD1441" s="127">
        <v>2</v>
      </c>
      <c r="DE1441" s="127">
        <v>2</v>
      </c>
      <c r="DG1441" s="405" t="s">
        <v>333</v>
      </c>
      <c r="DH1441" s="406" t="s">
        <v>892</v>
      </c>
      <c r="DI1441" s="406" t="str">
        <f t="shared" si="54"/>
        <v>MG, Brasópolis</v>
      </c>
      <c r="DJ1441" s="406">
        <v>-22.474</v>
      </c>
      <c r="DK1441" s="80">
        <v>-45.607999999999997</v>
      </c>
      <c r="DL1441" s="80">
        <v>922</v>
      </c>
      <c r="DM1441" s="64">
        <v>2</v>
      </c>
      <c r="DN1441" s="406" t="s">
        <v>6873</v>
      </c>
      <c r="DO1441" s="406">
        <v>-22.74</v>
      </c>
      <c r="DP1441" s="80">
        <v>1642</v>
      </c>
    </row>
    <row r="1442" spans="29:120" x14ac:dyDescent="0.25">
      <c r="AC1442" s="122" t="s">
        <v>289</v>
      </c>
      <c r="AD1442" s="122" t="s">
        <v>1828</v>
      </c>
      <c r="AE1442" s="127">
        <v>8</v>
      </c>
      <c r="DA1442" s="122" t="s">
        <v>333</v>
      </c>
      <c r="DB1442" s="122" t="s">
        <v>2612</v>
      </c>
      <c r="DC1442" s="122" t="s">
        <v>2612</v>
      </c>
      <c r="DD1442" s="127">
        <v>3</v>
      </c>
      <c r="DE1442" s="127">
        <v>3</v>
      </c>
      <c r="DG1442" s="405" t="s">
        <v>333</v>
      </c>
      <c r="DH1442" s="406" t="s">
        <v>2612</v>
      </c>
      <c r="DI1442" s="406" t="str">
        <f t="shared" si="54"/>
        <v>MG, Braúnas</v>
      </c>
      <c r="DJ1442" s="406">
        <v>-19.056000000000001</v>
      </c>
      <c r="DK1442" s="80">
        <v>-42.716000000000001</v>
      </c>
      <c r="DL1442" s="80">
        <v>425</v>
      </c>
      <c r="DM1442" s="64">
        <v>3</v>
      </c>
      <c r="DN1442" s="406" t="s">
        <v>6798</v>
      </c>
      <c r="DO1442" s="406">
        <v>-19.579999999999998</v>
      </c>
      <c r="DP1442" s="80">
        <v>333</v>
      </c>
    </row>
    <row r="1443" spans="29:120" x14ac:dyDescent="0.25">
      <c r="AC1443" s="122" t="s">
        <v>289</v>
      </c>
      <c r="AD1443" s="122" t="s">
        <v>1829</v>
      </c>
      <c r="AE1443" s="127">
        <v>8</v>
      </c>
      <c r="DA1443" s="122" t="s">
        <v>333</v>
      </c>
      <c r="DB1443" s="122" t="s">
        <v>595</v>
      </c>
      <c r="DC1443" s="122" t="s">
        <v>595</v>
      </c>
      <c r="DD1443" s="127">
        <v>2</v>
      </c>
      <c r="DE1443" s="127">
        <v>2</v>
      </c>
      <c r="DG1443" s="405" t="s">
        <v>333</v>
      </c>
      <c r="DH1443" s="406" t="s">
        <v>595</v>
      </c>
      <c r="DI1443" s="406" t="str">
        <f t="shared" si="54"/>
        <v>MG, Brumadinho</v>
      </c>
      <c r="DJ1443" s="406">
        <v>-20.143000000000001</v>
      </c>
      <c r="DK1443" s="80">
        <v>-44.2</v>
      </c>
      <c r="DL1443" s="80">
        <v>892</v>
      </c>
      <c r="DM1443" s="64">
        <v>2</v>
      </c>
      <c r="DN1443" s="406" t="s">
        <v>6849</v>
      </c>
      <c r="DO1443" s="406">
        <v>-20.03</v>
      </c>
      <c r="DP1443" s="80">
        <v>1208</v>
      </c>
    </row>
    <row r="1444" spans="29:120" x14ac:dyDescent="0.25">
      <c r="AC1444" s="122" t="s">
        <v>289</v>
      </c>
      <c r="AD1444" s="122" t="s">
        <v>1830</v>
      </c>
      <c r="AE1444" s="127">
        <v>8</v>
      </c>
      <c r="DA1444" s="122" t="s">
        <v>333</v>
      </c>
      <c r="DB1444" s="122" t="s">
        <v>6874</v>
      </c>
      <c r="DC1444" s="122" t="s">
        <v>894</v>
      </c>
      <c r="DD1444" s="127">
        <v>2</v>
      </c>
      <c r="DE1444" s="127">
        <v>2</v>
      </c>
      <c r="DG1444" s="405" t="s">
        <v>333</v>
      </c>
      <c r="DH1444" s="406" t="s">
        <v>894</v>
      </c>
      <c r="DI1444" s="406" t="str">
        <f t="shared" si="54"/>
        <v>MG, Bueno Brandão</v>
      </c>
      <c r="DJ1444" s="406">
        <v>-22.440999999999999</v>
      </c>
      <c r="DK1444" s="80">
        <v>-46.350999999999999</v>
      </c>
      <c r="DL1444" s="80">
        <v>1204</v>
      </c>
      <c r="DM1444" s="64">
        <v>2</v>
      </c>
      <c r="DN1444" s="406" t="s">
        <v>6808</v>
      </c>
      <c r="DO1444" s="406">
        <v>-22.42</v>
      </c>
      <c r="DP1444" s="80">
        <v>633</v>
      </c>
    </row>
    <row r="1445" spans="29:120" x14ac:dyDescent="0.25">
      <c r="AC1445" s="122" t="s">
        <v>289</v>
      </c>
      <c r="AD1445" s="122" t="s">
        <v>1831</v>
      </c>
      <c r="AE1445" s="127">
        <v>8</v>
      </c>
      <c r="DA1445" s="122" t="s">
        <v>333</v>
      </c>
      <c r="DB1445" s="122" t="s">
        <v>2061</v>
      </c>
      <c r="DC1445" s="122" t="s">
        <v>2061</v>
      </c>
      <c r="DD1445" s="127">
        <v>3</v>
      </c>
      <c r="DE1445" s="127">
        <v>3</v>
      </c>
      <c r="DG1445" s="405" t="s">
        <v>333</v>
      </c>
      <c r="DH1445" s="406" t="s">
        <v>2061</v>
      </c>
      <c r="DI1445" s="406" t="str">
        <f t="shared" si="54"/>
        <v>MG, Buenópolis</v>
      </c>
      <c r="DJ1445" s="406">
        <v>-17.873000000000001</v>
      </c>
      <c r="DK1445" s="80">
        <v>-44.18</v>
      </c>
      <c r="DL1445" s="80">
        <v>586</v>
      </c>
      <c r="DM1445" s="64">
        <v>3</v>
      </c>
      <c r="DN1445" s="406" t="s">
        <v>6821</v>
      </c>
      <c r="DO1445" s="406">
        <v>-18.23</v>
      </c>
      <c r="DP1445" s="80">
        <v>1356</v>
      </c>
    </row>
    <row r="1446" spans="29:120" x14ac:dyDescent="0.25">
      <c r="AC1446" s="122" t="s">
        <v>358</v>
      </c>
      <c r="AD1446" s="122" t="s">
        <v>1832</v>
      </c>
      <c r="AE1446" s="127">
        <v>5</v>
      </c>
      <c r="DA1446" s="122" t="s">
        <v>333</v>
      </c>
      <c r="DB1446" s="122" t="s">
        <v>2497</v>
      </c>
      <c r="DC1446" s="122" t="s">
        <v>2497</v>
      </c>
      <c r="DD1446" s="127">
        <v>3</v>
      </c>
      <c r="DE1446" s="127">
        <v>3</v>
      </c>
      <c r="DG1446" s="405" t="s">
        <v>333</v>
      </c>
      <c r="DH1446" s="406" t="s">
        <v>2497</v>
      </c>
      <c r="DI1446" s="406" t="str">
        <f t="shared" si="54"/>
        <v>MG, Bugre</v>
      </c>
      <c r="DJ1446" s="406">
        <v>-19.407</v>
      </c>
      <c r="DK1446" s="80">
        <v>-42.265000000000001</v>
      </c>
      <c r="DL1446" s="80">
        <v>410</v>
      </c>
      <c r="DM1446" s="64">
        <v>3</v>
      </c>
      <c r="DN1446" s="406" t="s">
        <v>6798</v>
      </c>
      <c r="DO1446" s="406">
        <v>-19.579999999999998</v>
      </c>
      <c r="DP1446" s="80">
        <v>333</v>
      </c>
    </row>
    <row r="1447" spans="29:120" x14ac:dyDescent="0.25">
      <c r="AC1447" s="122" t="s">
        <v>333</v>
      </c>
      <c r="AD1447" s="122" t="s">
        <v>1833</v>
      </c>
      <c r="AE1447" s="127">
        <v>5</v>
      </c>
      <c r="DA1447" s="122" t="s">
        <v>333</v>
      </c>
      <c r="DB1447" s="122" t="s">
        <v>2243</v>
      </c>
      <c r="DC1447" s="122" t="s">
        <v>2243</v>
      </c>
      <c r="DD1447" s="127">
        <v>6</v>
      </c>
      <c r="DE1447" s="127">
        <v>6</v>
      </c>
      <c r="DG1447" s="405" t="s">
        <v>333</v>
      </c>
      <c r="DH1447" s="406" t="s">
        <v>2243</v>
      </c>
      <c r="DI1447" s="406" t="str">
        <f t="shared" si="54"/>
        <v>MG, Buritis</v>
      </c>
      <c r="DJ1447" s="406">
        <v>-15.618</v>
      </c>
      <c r="DK1447" s="80">
        <v>-46.423000000000002</v>
      </c>
      <c r="DL1447" s="80">
        <v>538</v>
      </c>
      <c r="DM1447" s="64">
        <v>6</v>
      </c>
      <c r="DN1447" s="406" t="s">
        <v>6539</v>
      </c>
      <c r="DO1447" s="406">
        <v>-15.62</v>
      </c>
      <c r="DP1447" s="80">
        <v>894</v>
      </c>
    </row>
    <row r="1448" spans="29:120" x14ac:dyDescent="0.25">
      <c r="AC1448" s="122" t="s">
        <v>323</v>
      </c>
      <c r="AD1448" s="122" t="s">
        <v>1834</v>
      </c>
      <c r="AE1448" s="127">
        <v>8</v>
      </c>
      <c r="DA1448" s="122" t="s">
        <v>333</v>
      </c>
      <c r="DB1448" s="122" t="s">
        <v>2948</v>
      </c>
      <c r="DC1448" s="122" t="s">
        <v>2948</v>
      </c>
      <c r="DD1448" s="127">
        <v>4</v>
      </c>
      <c r="DE1448" s="127">
        <v>4</v>
      </c>
      <c r="DG1448" s="405" t="s">
        <v>333</v>
      </c>
      <c r="DH1448" s="406" t="s">
        <v>2948</v>
      </c>
      <c r="DI1448" s="406" t="str">
        <f t="shared" si="54"/>
        <v>MG, Buritizeiro</v>
      </c>
      <c r="DJ1448" s="406">
        <v>-17.350999999999999</v>
      </c>
      <c r="DK1448" s="80">
        <v>-44.962000000000003</v>
      </c>
      <c r="DL1448" s="80">
        <v>538</v>
      </c>
      <c r="DM1448" s="64">
        <v>4</v>
      </c>
      <c r="DN1448" s="406" t="s">
        <v>6875</v>
      </c>
      <c r="DO1448" s="406">
        <v>-17.34</v>
      </c>
      <c r="DP1448" s="80">
        <v>489</v>
      </c>
    </row>
    <row r="1449" spans="29:120" x14ac:dyDescent="0.25">
      <c r="AC1449" s="122" t="s">
        <v>358</v>
      </c>
      <c r="AD1449" s="122" t="s">
        <v>1835</v>
      </c>
      <c r="AE1449" s="127">
        <v>3</v>
      </c>
      <c r="DA1449" s="122" t="s">
        <v>333</v>
      </c>
      <c r="DB1449" s="122" t="s">
        <v>6876</v>
      </c>
      <c r="DC1449" s="122" t="s">
        <v>2858</v>
      </c>
      <c r="DD1449" s="127">
        <v>6</v>
      </c>
      <c r="DE1449" s="127">
        <v>6</v>
      </c>
      <c r="DG1449" s="405" t="s">
        <v>333</v>
      </c>
      <c r="DH1449" s="406" t="s">
        <v>2858</v>
      </c>
      <c r="DI1449" s="406" t="str">
        <f t="shared" si="54"/>
        <v>MG, Cabeceira Grande</v>
      </c>
      <c r="DJ1449" s="406">
        <v>-16.03</v>
      </c>
      <c r="DK1449" s="80">
        <v>-47.091000000000001</v>
      </c>
      <c r="DL1449" s="80">
        <v>923</v>
      </c>
      <c r="DM1449" s="64">
        <v>6</v>
      </c>
      <c r="DN1449" s="406" t="s">
        <v>6864</v>
      </c>
      <c r="DO1449" s="406">
        <v>-16.36</v>
      </c>
      <c r="DP1449" s="80">
        <v>631</v>
      </c>
    </row>
    <row r="1450" spans="29:120" x14ac:dyDescent="0.25">
      <c r="AC1450" s="122" t="s">
        <v>358</v>
      </c>
      <c r="AD1450" s="122" t="s">
        <v>1836</v>
      </c>
      <c r="AE1450" s="127">
        <v>3</v>
      </c>
      <c r="DA1450" s="122" t="s">
        <v>333</v>
      </c>
      <c r="DB1450" s="122" t="s">
        <v>6877</v>
      </c>
      <c r="DC1450" s="122" t="s">
        <v>891</v>
      </c>
      <c r="DD1450" s="127">
        <v>3</v>
      </c>
      <c r="DE1450" s="127">
        <v>3</v>
      </c>
      <c r="DG1450" s="405" t="s">
        <v>333</v>
      </c>
      <c r="DH1450" s="406" t="s">
        <v>891</v>
      </c>
      <c r="DI1450" s="406" t="str">
        <f t="shared" si="54"/>
        <v>MG, Cabo Verde</v>
      </c>
      <c r="DJ1450" s="406">
        <v>-21.472000000000001</v>
      </c>
      <c r="DK1450" s="80">
        <v>-46.396000000000001</v>
      </c>
      <c r="DL1450" s="80">
        <v>927</v>
      </c>
      <c r="DM1450" s="64">
        <v>3</v>
      </c>
      <c r="DN1450" s="406" t="s">
        <v>6823</v>
      </c>
      <c r="DO1450" s="406">
        <v>-21.92</v>
      </c>
      <c r="DP1450" s="80">
        <v>1150</v>
      </c>
    </row>
    <row r="1451" spans="29:120" x14ac:dyDescent="0.25">
      <c r="AC1451" s="122" t="s">
        <v>289</v>
      </c>
      <c r="AD1451" s="122" t="s">
        <v>1837</v>
      </c>
      <c r="AE1451" s="127">
        <v>8</v>
      </c>
      <c r="DA1451" s="122" t="s">
        <v>333</v>
      </c>
      <c r="DB1451" s="122" t="s">
        <v>6878</v>
      </c>
      <c r="DC1451" s="122" t="s">
        <v>2925</v>
      </c>
      <c r="DD1451" s="127">
        <v>4</v>
      </c>
      <c r="DE1451" s="127">
        <v>4</v>
      </c>
      <c r="DG1451" s="405" t="s">
        <v>333</v>
      </c>
      <c r="DH1451" s="406" t="s">
        <v>2925</v>
      </c>
      <c r="DI1451" s="406" t="str">
        <f t="shared" si="54"/>
        <v>MG, Cachoeira da Prata</v>
      </c>
      <c r="DJ1451" s="406">
        <v>-19.524999999999999</v>
      </c>
      <c r="DK1451" s="80">
        <v>-44.454000000000001</v>
      </c>
      <c r="DL1451" s="80">
        <v>716</v>
      </c>
      <c r="DM1451" s="64">
        <v>4</v>
      </c>
      <c r="DN1451" s="406" t="s">
        <v>6879</v>
      </c>
      <c r="DO1451" s="406">
        <v>-19.89</v>
      </c>
      <c r="DP1451" s="80">
        <v>742</v>
      </c>
    </row>
    <row r="1452" spans="29:120" x14ac:dyDescent="0.25">
      <c r="AC1452" s="122" t="s">
        <v>289</v>
      </c>
      <c r="AD1452" s="122" t="s">
        <v>1838</v>
      </c>
      <c r="AE1452" s="127">
        <v>8</v>
      </c>
      <c r="DA1452" s="122" t="s">
        <v>333</v>
      </c>
      <c r="DB1452" s="122" t="s">
        <v>6880</v>
      </c>
      <c r="DC1452" s="122" t="s">
        <v>938</v>
      </c>
      <c r="DD1452" s="127">
        <v>2</v>
      </c>
      <c r="DE1452" s="127">
        <v>2</v>
      </c>
      <c r="DG1452" s="405" t="s">
        <v>333</v>
      </c>
      <c r="DH1452" s="406" t="s">
        <v>938</v>
      </c>
      <c r="DI1452" s="406" t="str">
        <f t="shared" si="54"/>
        <v>MG, Cachoeira de Minas</v>
      </c>
      <c r="DJ1452" s="406">
        <v>-22.355</v>
      </c>
      <c r="DK1452" s="80">
        <v>-45.779000000000003</v>
      </c>
      <c r="DL1452" s="80">
        <v>849</v>
      </c>
      <c r="DM1452" s="64">
        <v>2</v>
      </c>
      <c r="DN1452" s="406" t="s">
        <v>6881</v>
      </c>
      <c r="DO1452" s="406">
        <v>-22.31</v>
      </c>
      <c r="DP1452" s="80">
        <v>1276</v>
      </c>
    </row>
    <row r="1453" spans="29:120" x14ac:dyDescent="0.25">
      <c r="AC1453" s="122" t="s">
        <v>333</v>
      </c>
      <c r="AD1453" s="122" t="s">
        <v>1839</v>
      </c>
      <c r="AE1453" s="127">
        <v>3</v>
      </c>
      <c r="DA1453" s="122" t="s">
        <v>333</v>
      </c>
      <c r="DB1453" s="122" t="s">
        <v>6882</v>
      </c>
      <c r="DC1453" s="122" t="s">
        <v>2657</v>
      </c>
      <c r="DD1453" s="127">
        <v>5</v>
      </c>
      <c r="DE1453" s="127">
        <v>5</v>
      </c>
      <c r="DG1453" s="405" t="s">
        <v>333</v>
      </c>
      <c r="DH1453" s="406" t="s">
        <v>2657</v>
      </c>
      <c r="DI1453" s="406" t="str">
        <f t="shared" si="54"/>
        <v>MG, Cachoeira de Pajeú</v>
      </c>
      <c r="DJ1453" s="406">
        <v>-15.965999999999999</v>
      </c>
      <c r="DK1453" s="80">
        <v>-41.497999999999998</v>
      </c>
      <c r="DL1453" s="80">
        <v>721</v>
      </c>
      <c r="DM1453" s="64">
        <v>5</v>
      </c>
      <c r="DN1453" s="406" t="s">
        <v>6252</v>
      </c>
      <c r="DO1453" s="406">
        <v>-15.75</v>
      </c>
      <c r="DP1453" s="80">
        <v>740</v>
      </c>
    </row>
    <row r="1454" spans="29:120" x14ac:dyDescent="0.25">
      <c r="AC1454" s="122" t="s">
        <v>333</v>
      </c>
      <c r="AD1454" s="122" t="s">
        <v>1840</v>
      </c>
      <c r="AE1454" s="127">
        <v>5</v>
      </c>
      <c r="DA1454" s="122" t="s">
        <v>333</v>
      </c>
      <c r="DB1454" s="122" t="s">
        <v>6543</v>
      </c>
      <c r="DC1454" s="122" t="s">
        <v>2770</v>
      </c>
      <c r="DD1454" s="127">
        <v>6</v>
      </c>
      <c r="DE1454" s="127">
        <v>6</v>
      </c>
      <c r="DG1454" s="405" t="s">
        <v>333</v>
      </c>
      <c r="DH1454" s="406" t="s">
        <v>2770</v>
      </c>
      <c r="DI1454" s="406" t="str">
        <f t="shared" si="54"/>
        <v>MG, Cachoeira Dourada</v>
      </c>
      <c r="DJ1454" s="406">
        <v>-18.515000000000001</v>
      </c>
      <c r="DK1454" s="80">
        <v>-49.500999999999998</v>
      </c>
      <c r="DL1454" s="80">
        <v>469</v>
      </c>
      <c r="DM1454" s="64">
        <v>6</v>
      </c>
      <c r="DN1454" s="406" t="s">
        <v>6536</v>
      </c>
      <c r="DO1454" s="406">
        <v>-18.41</v>
      </c>
      <c r="DP1454" s="80">
        <v>488</v>
      </c>
    </row>
    <row r="1455" spans="29:120" x14ac:dyDescent="0.25">
      <c r="AC1455" s="122" t="s">
        <v>333</v>
      </c>
      <c r="AD1455" s="122" t="s">
        <v>1841</v>
      </c>
      <c r="AE1455" s="127">
        <v>5</v>
      </c>
      <c r="DA1455" s="122" t="s">
        <v>333</v>
      </c>
      <c r="DB1455" s="122" t="s">
        <v>2879</v>
      </c>
      <c r="DC1455" s="122" t="s">
        <v>2879</v>
      </c>
      <c r="DD1455" s="127">
        <v>4</v>
      </c>
      <c r="DE1455" s="127">
        <v>4</v>
      </c>
      <c r="DG1455" s="405" t="s">
        <v>333</v>
      </c>
      <c r="DH1455" s="406" t="s">
        <v>2879</v>
      </c>
      <c r="DI1455" s="406" t="str">
        <f t="shared" si="54"/>
        <v>MG, Caetanópolis</v>
      </c>
      <c r="DJ1455" s="406">
        <v>-19.295000000000002</v>
      </c>
      <c r="DK1455" s="80">
        <v>-44.418999999999997</v>
      </c>
      <c r="DL1455" s="80">
        <v>742</v>
      </c>
      <c r="DM1455" s="64">
        <v>4</v>
      </c>
      <c r="DN1455" s="406" t="s">
        <v>6828</v>
      </c>
      <c r="DO1455" s="406">
        <v>-18.760000000000002</v>
      </c>
      <c r="DP1455" s="80">
        <v>670</v>
      </c>
    </row>
    <row r="1456" spans="29:120" x14ac:dyDescent="0.25">
      <c r="AC1456" s="122" t="s">
        <v>323</v>
      </c>
      <c r="AD1456" s="122" t="s">
        <v>1842</v>
      </c>
      <c r="AE1456" s="127">
        <v>8</v>
      </c>
      <c r="DA1456" s="122" t="s">
        <v>333</v>
      </c>
      <c r="DB1456" s="122" t="s">
        <v>2144</v>
      </c>
      <c r="DC1456" s="122" t="s">
        <v>2144</v>
      </c>
      <c r="DD1456" s="127">
        <v>2</v>
      </c>
      <c r="DE1456" s="127">
        <v>2</v>
      </c>
      <c r="DG1456" s="405" t="s">
        <v>333</v>
      </c>
      <c r="DH1456" s="406" t="s">
        <v>2144</v>
      </c>
      <c r="DI1456" s="406" t="str">
        <f t="shared" si="54"/>
        <v>MG, Caeté</v>
      </c>
      <c r="DJ1456" s="406">
        <v>-19.88</v>
      </c>
      <c r="DK1456" s="80">
        <v>-43.67</v>
      </c>
      <c r="DL1456" s="80">
        <v>945</v>
      </c>
      <c r="DM1456" s="64">
        <v>2</v>
      </c>
      <c r="DN1456" s="406" t="s">
        <v>6838</v>
      </c>
      <c r="DO1456" s="406">
        <v>-19.82</v>
      </c>
      <c r="DP1456" s="80">
        <v>869</v>
      </c>
    </row>
    <row r="1457" spans="29:120" x14ac:dyDescent="0.25">
      <c r="AC1457" s="122" t="s">
        <v>369</v>
      </c>
      <c r="AD1457" s="122" t="s">
        <v>1843</v>
      </c>
      <c r="AE1457" s="127">
        <v>8</v>
      </c>
      <c r="DA1457" s="122" t="s">
        <v>333</v>
      </c>
      <c r="DB1457" s="122" t="s">
        <v>3461</v>
      </c>
      <c r="DC1457" s="122" t="s">
        <v>3461</v>
      </c>
      <c r="DD1457" s="127">
        <v>2</v>
      </c>
      <c r="DE1457" s="127">
        <v>2</v>
      </c>
      <c r="DG1457" s="405" t="s">
        <v>333</v>
      </c>
      <c r="DH1457" s="406" t="s">
        <v>3461</v>
      </c>
      <c r="DI1457" s="406" t="str">
        <f t="shared" si="54"/>
        <v>MG, Caiana</v>
      </c>
      <c r="DJ1457" s="406">
        <v>-20.696000000000002</v>
      </c>
      <c r="DK1457" s="80">
        <v>-41.924999999999997</v>
      </c>
      <c r="DL1457" s="80">
        <v>750</v>
      </c>
      <c r="DM1457" s="64">
        <v>2</v>
      </c>
      <c r="DN1457" s="406" t="s">
        <v>6478</v>
      </c>
      <c r="DO1457" s="406">
        <v>-20.73</v>
      </c>
      <c r="DP1457" s="80">
        <v>399</v>
      </c>
    </row>
    <row r="1458" spans="29:120" x14ac:dyDescent="0.25">
      <c r="AC1458" s="122" t="s">
        <v>333</v>
      </c>
      <c r="AD1458" s="122" t="s">
        <v>1844</v>
      </c>
      <c r="AE1458" s="127">
        <v>3</v>
      </c>
      <c r="DA1458" s="122" t="s">
        <v>333</v>
      </c>
      <c r="DB1458" s="122" t="s">
        <v>3362</v>
      </c>
      <c r="DC1458" s="122" t="s">
        <v>3362</v>
      </c>
      <c r="DD1458" s="127">
        <v>3</v>
      </c>
      <c r="DE1458" s="127">
        <v>3</v>
      </c>
      <c r="DG1458" s="405" t="s">
        <v>333</v>
      </c>
      <c r="DH1458" s="406" t="s">
        <v>3362</v>
      </c>
      <c r="DI1458" s="406" t="str">
        <f t="shared" si="54"/>
        <v>MG, Cajuri</v>
      </c>
      <c r="DJ1458" s="406">
        <v>-20.791</v>
      </c>
      <c r="DK1458" s="80">
        <v>-42.796999999999997</v>
      </c>
      <c r="DL1458" s="80">
        <v>698</v>
      </c>
      <c r="DM1458" s="64">
        <v>3</v>
      </c>
      <c r="DN1458" s="406" t="s">
        <v>6797</v>
      </c>
      <c r="DO1458" s="406">
        <v>-20.75</v>
      </c>
      <c r="DP1458" s="80">
        <v>712</v>
      </c>
    </row>
    <row r="1459" spans="29:120" x14ac:dyDescent="0.25">
      <c r="AC1459" s="122" t="s">
        <v>317</v>
      </c>
      <c r="AD1459" s="122" t="s">
        <v>1845</v>
      </c>
      <c r="AE1459" s="127">
        <v>8</v>
      </c>
      <c r="DA1459" s="122" t="s">
        <v>333</v>
      </c>
      <c r="DB1459" s="122" t="s">
        <v>1081</v>
      </c>
      <c r="DC1459" s="122" t="s">
        <v>1081</v>
      </c>
      <c r="DD1459" s="127">
        <v>3</v>
      </c>
      <c r="DE1459" s="127">
        <v>3</v>
      </c>
      <c r="DG1459" s="405" t="s">
        <v>333</v>
      </c>
      <c r="DH1459" s="406" t="s">
        <v>1081</v>
      </c>
      <c r="DI1459" s="406" t="str">
        <f t="shared" si="54"/>
        <v>MG, Caldas</v>
      </c>
      <c r="DJ1459" s="406">
        <v>-21.923999999999999</v>
      </c>
      <c r="DK1459" s="80">
        <v>-46.386000000000003</v>
      </c>
      <c r="DL1459" s="80">
        <v>1105</v>
      </c>
      <c r="DM1459" s="64">
        <v>3</v>
      </c>
      <c r="DN1459" s="406" t="s">
        <v>6823</v>
      </c>
      <c r="DO1459" s="406">
        <v>-21.92</v>
      </c>
      <c r="DP1459" s="80">
        <v>1150</v>
      </c>
    </row>
    <row r="1460" spans="29:120" x14ac:dyDescent="0.25">
      <c r="AC1460" s="122" t="s">
        <v>333</v>
      </c>
      <c r="AD1460" s="122" t="s">
        <v>1846</v>
      </c>
      <c r="AE1460" s="127">
        <v>5</v>
      </c>
      <c r="DA1460" s="122" t="s">
        <v>333</v>
      </c>
      <c r="DB1460" s="122" t="s">
        <v>2867</v>
      </c>
      <c r="DC1460" s="122" t="s">
        <v>2867</v>
      </c>
      <c r="DD1460" s="127">
        <v>4</v>
      </c>
      <c r="DE1460" s="127">
        <v>4</v>
      </c>
      <c r="DG1460" s="405" t="s">
        <v>333</v>
      </c>
      <c r="DH1460" s="406" t="s">
        <v>2867</v>
      </c>
      <c r="DI1460" s="406" t="str">
        <f t="shared" si="54"/>
        <v>MG, Camacho</v>
      </c>
      <c r="DJ1460" s="406">
        <v>-20.625</v>
      </c>
      <c r="DK1460" s="80">
        <v>-45.156999999999996</v>
      </c>
      <c r="DL1460" s="80">
        <v>957</v>
      </c>
      <c r="DM1460" s="64">
        <v>4</v>
      </c>
      <c r="DN1460" s="406" t="s">
        <v>6803</v>
      </c>
      <c r="DO1460" s="406">
        <v>-20.46</v>
      </c>
      <c r="DP1460" s="80">
        <v>878</v>
      </c>
    </row>
    <row r="1461" spans="29:120" x14ac:dyDescent="0.25">
      <c r="AC1461" s="122" t="s">
        <v>289</v>
      </c>
      <c r="AD1461" s="122" t="s">
        <v>1847</v>
      </c>
      <c r="AE1461" s="127">
        <v>8</v>
      </c>
      <c r="DA1461" s="122" t="s">
        <v>333</v>
      </c>
      <c r="DB1461" s="122" t="s">
        <v>845</v>
      </c>
      <c r="DC1461" s="122" t="s">
        <v>845</v>
      </c>
      <c r="DD1461" s="127">
        <v>3</v>
      </c>
      <c r="DE1461" s="127">
        <v>3</v>
      </c>
      <c r="DG1461" s="405" t="s">
        <v>333</v>
      </c>
      <c r="DH1461" s="406" t="s">
        <v>845</v>
      </c>
      <c r="DI1461" s="406" t="str">
        <f t="shared" si="54"/>
        <v>MG, Camanducaia</v>
      </c>
      <c r="DJ1461" s="406">
        <v>-22.754999999999999</v>
      </c>
      <c r="DK1461" s="80">
        <v>-46.145000000000003</v>
      </c>
      <c r="DL1461" s="80">
        <v>1048</v>
      </c>
      <c r="DM1461" s="64">
        <v>3</v>
      </c>
      <c r="DN1461" s="406" t="s">
        <v>6861</v>
      </c>
      <c r="DO1461" s="406">
        <v>-22.86</v>
      </c>
      <c r="DP1461" s="80">
        <v>1500</v>
      </c>
    </row>
    <row r="1462" spans="29:120" x14ac:dyDescent="0.25">
      <c r="AC1462" s="122" t="s">
        <v>289</v>
      </c>
      <c r="AD1462" s="122" t="s">
        <v>1848</v>
      </c>
      <c r="AE1462" s="127">
        <v>6</v>
      </c>
      <c r="DA1462" s="122" t="s">
        <v>333</v>
      </c>
      <c r="DB1462" s="122" t="s">
        <v>596</v>
      </c>
      <c r="DC1462" s="122" t="s">
        <v>596</v>
      </c>
      <c r="DD1462" s="127">
        <v>3</v>
      </c>
      <c r="DE1462" s="127">
        <v>3</v>
      </c>
      <c r="DG1462" s="405" t="s">
        <v>333</v>
      </c>
      <c r="DH1462" s="406" t="s">
        <v>596</v>
      </c>
      <c r="DI1462" s="406" t="str">
        <f t="shared" si="54"/>
        <v>MG, Cambuí</v>
      </c>
      <c r="DJ1462" s="406">
        <v>-22.611999999999998</v>
      </c>
      <c r="DK1462" s="80">
        <v>-46.058</v>
      </c>
      <c r="DL1462" s="80">
        <v>907</v>
      </c>
      <c r="DM1462" s="64">
        <v>3</v>
      </c>
      <c r="DN1462" s="406" t="s">
        <v>6861</v>
      </c>
      <c r="DO1462" s="406">
        <v>-22.86</v>
      </c>
      <c r="DP1462" s="80">
        <v>1500</v>
      </c>
    </row>
    <row r="1463" spans="29:120" x14ac:dyDescent="0.25">
      <c r="AC1463" s="122" t="s">
        <v>289</v>
      </c>
      <c r="AD1463" s="122" t="s">
        <v>1849</v>
      </c>
      <c r="AE1463" s="127">
        <v>8</v>
      </c>
      <c r="DA1463" s="122" t="s">
        <v>333</v>
      </c>
      <c r="DB1463" s="122" t="s">
        <v>875</v>
      </c>
      <c r="DC1463" s="122" t="s">
        <v>875</v>
      </c>
      <c r="DD1463" s="127">
        <v>2</v>
      </c>
      <c r="DE1463" s="127">
        <v>2</v>
      </c>
      <c r="DG1463" s="405" t="s">
        <v>333</v>
      </c>
      <c r="DH1463" s="406" t="s">
        <v>875</v>
      </c>
      <c r="DI1463" s="406" t="str">
        <f t="shared" si="54"/>
        <v>MG, Cambuquira</v>
      </c>
      <c r="DJ1463" s="406">
        <v>-21.852</v>
      </c>
      <c r="DK1463" s="80">
        <v>-45.295999999999999</v>
      </c>
      <c r="DL1463" s="80">
        <v>950</v>
      </c>
      <c r="DM1463" s="64">
        <v>2</v>
      </c>
      <c r="DN1463" s="406" t="s">
        <v>6811</v>
      </c>
      <c r="DO1463" s="406">
        <v>-21.55</v>
      </c>
      <c r="DP1463" s="80">
        <v>955</v>
      </c>
    </row>
    <row r="1464" spans="29:120" x14ac:dyDescent="0.25">
      <c r="AC1464" s="122" t="s">
        <v>358</v>
      </c>
      <c r="AD1464" s="122" t="s">
        <v>1850</v>
      </c>
      <c r="AE1464" s="127">
        <v>3</v>
      </c>
      <c r="DA1464" s="122" t="s">
        <v>333</v>
      </c>
      <c r="DB1464" s="122" t="s">
        <v>1937</v>
      </c>
      <c r="DC1464" s="122" t="s">
        <v>1937</v>
      </c>
      <c r="DD1464" s="127">
        <v>5</v>
      </c>
      <c r="DE1464" s="127">
        <v>5</v>
      </c>
      <c r="DG1464" s="405" t="s">
        <v>333</v>
      </c>
      <c r="DH1464" s="406" t="s">
        <v>1937</v>
      </c>
      <c r="DI1464" s="406" t="str">
        <f t="shared" si="54"/>
        <v>MG, Campanário</v>
      </c>
      <c r="DJ1464" s="406">
        <v>-18.239000000000001</v>
      </c>
      <c r="DK1464" s="80">
        <v>-41.747999999999998</v>
      </c>
      <c r="DL1464" s="80">
        <v>268</v>
      </c>
      <c r="DM1464" s="64">
        <v>5</v>
      </c>
      <c r="DN1464" s="406" t="s">
        <v>6835</v>
      </c>
      <c r="DO1464" s="406">
        <v>-17.86</v>
      </c>
      <c r="DP1464" s="80">
        <v>475</v>
      </c>
    </row>
    <row r="1465" spans="29:120" x14ac:dyDescent="0.25">
      <c r="AC1465" s="122" t="s">
        <v>289</v>
      </c>
      <c r="AD1465" s="122" t="s">
        <v>1851</v>
      </c>
      <c r="AE1465" s="127">
        <v>6</v>
      </c>
      <c r="DA1465" s="122" t="s">
        <v>333</v>
      </c>
      <c r="DB1465" s="122" t="s">
        <v>970</v>
      </c>
      <c r="DC1465" s="122" t="s">
        <v>970</v>
      </c>
      <c r="DD1465" s="127">
        <v>2</v>
      </c>
      <c r="DE1465" s="127">
        <v>2</v>
      </c>
      <c r="DG1465" s="405" t="s">
        <v>333</v>
      </c>
      <c r="DH1465" s="406" t="s">
        <v>970</v>
      </c>
      <c r="DI1465" s="406" t="str">
        <f t="shared" si="54"/>
        <v>MG, Campanha</v>
      </c>
      <c r="DJ1465" s="406">
        <v>-21.835999999999999</v>
      </c>
      <c r="DK1465" s="80">
        <v>-45.401000000000003</v>
      </c>
      <c r="DL1465" s="80">
        <v>928</v>
      </c>
      <c r="DM1465" s="64">
        <v>2</v>
      </c>
      <c r="DN1465" s="406" t="s">
        <v>6811</v>
      </c>
      <c r="DO1465" s="406">
        <v>-21.55</v>
      </c>
      <c r="DP1465" s="80">
        <v>955</v>
      </c>
    </row>
    <row r="1466" spans="29:120" x14ac:dyDescent="0.25">
      <c r="AC1466" s="122" t="s">
        <v>289</v>
      </c>
      <c r="AD1466" s="122" t="s">
        <v>1852</v>
      </c>
      <c r="AE1466" s="127">
        <v>5</v>
      </c>
      <c r="DA1466" s="122" t="s">
        <v>333</v>
      </c>
      <c r="DB1466" s="122" t="s">
        <v>1000</v>
      </c>
      <c r="DC1466" s="122" t="s">
        <v>1000</v>
      </c>
      <c r="DD1466" s="127">
        <v>3</v>
      </c>
      <c r="DE1466" s="127">
        <v>3</v>
      </c>
      <c r="DG1466" s="405" t="s">
        <v>333</v>
      </c>
      <c r="DH1466" s="406" t="s">
        <v>1000</v>
      </c>
      <c r="DI1466" s="406" t="str">
        <f t="shared" si="54"/>
        <v>MG, Campestre</v>
      </c>
      <c r="DJ1466" s="406">
        <v>-21.710999999999999</v>
      </c>
      <c r="DK1466" s="80">
        <v>-46.246000000000002</v>
      </c>
      <c r="DL1466" s="80">
        <v>1076</v>
      </c>
      <c r="DM1466" s="64">
        <v>3</v>
      </c>
      <c r="DN1466" s="406" t="s">
        <v>6823</v>
      </c>
      <c r="DO1466" s="406">
        <v>-21.92</v>
      </c>
      <c r="DP1466" s="80">
        <v>1150</v>
      </c>
    </row>
    <row r="1467" spans="29:120" x14ac:dyDescent="0.25">
      <c r="AC1467" s="122" t="s">
        <v>369</v>
      </c>
      <c r="AD1467" s="122" t="s">
        <v>1853</v>
      </c>
      <c r="AE1467" s="127">
        <v>8</v>
      </c>
      <c r="DA1467" s="122" t="s">
        <v>333</v>
      </c>
      <c r="DB1467" s="122" t="s">
        <v>6883</v>
      </c>
      <c r="DC1467" s="122" t="s">
        <v>2993</v>
      </c>
      <c r="DD1467" s="127">
        <v>6</v>
      </c>
      <c r="DE1467" s="127">
        <v>6</v>
      </c>
      <c r="DG1467" s="405" t="s">
        <v>333</v>
      </c>
      <c r="DH1467" s="406" t="s">
        <v>2993</v>
      </c>
      <c r="DI1467" s="406" t="str">
        <f t="shared" si="54"/>
        <v>MG, Campina Verde</v>
      </c>
      <c r="DJ1467" s="406">
        <v>-19.536000000000001</v>
      </c>
      <c r="DK1467" s="80">
        <v>-49.485999999999997</v>
      </c>
      <c r="DL1467" s="80">
        <v>494</v>
      </c>
      <c r="DM1467" s="64">
        <v>6</v>
      </c>
      <c r="DN1467" s="406" t="s">
        <v>6566</v>
      </c>
      <c r="DO1467" s="406">
        <v>-18.97</v>
      </c>
      <c r="DP1467" s="80">
        <v>560</v>
      </c>
    </row>
    <row r="1468" spans="29:120" x14ac:dyDescent="0.25">
      <c r="AC1468" s="122" t="s">
        <v>317</v>
      </c>
      <c r="AD1468" s="122" t="s">
        <v>1854</v>
      </c>
      <c r="AE1468" s="127">
        <v>8</v>
      </c>
      <c r="DA1468" s="122" t="s">
        <v>333</v>
      </c>
      <c r="DB1468" s="122" t="s">
        <v>6884</v>
      </c>
      <c r="DC1468" s="122" t="s">
        <v>3044</v>
      </c>
      <c r="DD1468" s="127">
        <v>4</v>
      </c>
      <c r="DE1468" s="127">
        <v>4</v>
      </c>
      <c r="DG1468" s="405" t="s">
        <v>333</v>
      </c>
      <c r="DH1468" s="406" t="s">
        <v>3044</v>
      </c>
      <c r="DI1468" s="406" t="str">
        <f t="shared" si="54"/>
        <v>MG, Campo Azul</v>
      </c>
      <c r="DJ1468" s="406">
        <v>-16.504000000000001</v>
      </c>
      <c r="DK1468" s="80">
        <v>-44.811</v>
      </c>
      <c r="DL1468" s="80">
        <v>600</v>
      </c>
      <c r="DM1468" s="64">
        <v>4</v>
      </c>
      <c r="DN1468" s="406" t="s">
        <v>6872</v>
      </c>
      <c r="DO1468" s="406">
        <v>-16.37</v>
      </c>
      <c r="DP1468" s="80">
        <v>460</v>
      </c>
    </row>
    <row r="1469" spans="29:120" x14ac:dyDescent="0.25">
      <c r="AC1469" s="122" t="s">
        <v>323</v>
      </c>
      <c r="AD1469" s="122" t="s">
        <v>1855</v>
      </c>
      <c r="AE1469" s="127">
        <v>8</v>
      </c>
      <c r="DA1469" s="122" t="s">
        <v>333</v>
      </c>
      <c r="DB1469" s="122" t="s">
        <v>6885</v>
      </c>
      <c r="DC1469" s="122" t="s">
        <v>2316</v>
      </c>
      <c r="DD1469" s="127">
        <v>2</v>
      </c>
      <c r="DE1469" s="127">
        <v>2</v>
      </c>
      <c r="DG1469" s="405" t="s">
        <v>333</v>
      </c>
      <c r="DH1469" s="406" t="s">
        <v>2316</v>
      </c>
      <c r="DI1469" s="406" t="str">
        <f t="shared" si="54"/>
        <v>MG, Campo Belo</v>
      </c>
      <c r="DJ1469" s="406">
        <v>-20.896999999999998</v>
      </c>
      <c r="DK1469" s="80">
        <v>-45.277000000000001</v>
      </c>
      <c r="DL1469" s="80">
        <v>945</v>
      </c>
      <c r="DM1469" s="64">
        <v>2</v>
      </c>
      <c r="DN1469" s="406" t="s">
        <v>6803</v>
      </c>
      <c r="DO1469" s="406">
        <v>-20.46</v>
      </c>
      <c r="DP1469" s="80">
        <v>878</v>
      </c>
    </row>
    <row r="1470" spans="29:120" x14ac:dyDescent="0.25">
      <c r="AC1470" s="122" t="s">
        <v>323</v>
      </c>
      <c r="AD1470" s="122" t="s">
        <v>1856</v>
      </c>
      <c r="AE1470" s="127">
        <v>8</v>
      </c>
      <c r="DA1470" s="122" t="s">
        <v>333</v>
      </c>
      <c r="DB1470" s="122" t="s">
        <v>6886</v>
      </c>
      <c r="DC1470" s="122" t="s">
        <v>597</v>
      </c>
      <c r="DD1470" s="127">
        <v>2</v>
      </c>
      <c r="DE1470" s="127">
        <v>2</v>
      </c>
      <c r="DG1470" s="405" t="s">
        <v>333</v>
      </c>
      <c r="DH1470" s="406" t="s">
        <v>597</v>
      </c>
      <c r="DI1470" s="406" t="str">
        <f t="shared" si="54"/>
        <v>MG, Campo do Meio</v>
      </c>
      <c r="DJ1470" s="406">
        <v>-21.106999999999999</v>
      </c>
      <c r="DK1470" s="80">
        <v>-45.83</v>
      </c>
      <c r="DL1470" s="80">
        <v>785</v>
      </c>
      <c r="DM1470" s="64">
        <v>2</v>
      </c>
      <c r="DN1470" s="406" t="s">
        <v>6811</v>
      </c>
      <c r="DO1470" s="406">
        <v>-21.55</v>
      </c>
      <c r="DP1470" s="80">
        <v>955</v>
      </c>
    </row>
    <row r="1471" spans="29:120" x14ac:dyDescent="0.25">
      <c r="AC1471" s="122" t="s">
        <v>317</v>
      </c>
      <c r="AD1471" s="122" t="s">
        <v>1857</v>
      </c>
      <c r="AE1471" s="127">
        <v>8</v>
      </c>
      <c r="DA1471" s="122" t="s">
        <v>333</v>
      </c>
      <c r="DB1471" s="122" t="s">
        <v>6887</v>
      </c>
      <c r="DC1471" s="122" t="s">
        <v>2753</v>
      </c>
      <c r="DD1471" s="127">
        <v>6</v>
      </c>
      <c r="DE1471" s="127">
        <v>6</v>
      </c>
      <c r="DG1471" s="405" t="s">
        <v>333</v>
      </c>
      <c r="DH1471" s="406" t="s">
        <v>2753</v>
      </c>
      <c r="DI1471" s="406" t="str">
        <f t="shared" si="54"/>
        <v>MG, Campo Florido</v>
      </c>
      <c r="DJ1471" s="406">
        <v>-19.760999999999999</v>
      </c>
      <c r="DK1471" s="80">
        <v>-48.572000000000003</v>
      </c>
      <c r="DL1471" s="80">
        <v>642</v>
      </c>
      <c r="DM1471" s="64">
        <v>6</v>
      </c>
      <c r="DN1471" s="406" t="s">
        <v>6802</v>
      </c>
      <c r="DO1471" s="406">
        <v>-19.989999999999998</v>
      </c>
      <c r="DP1471" s="80">
        <v>568</v>
      </c>
    </row>
    <row r="1472" spans="29:120" x14ac:dyDescent="0.25">
      <c r="AC1472" s="122" t="s">
        <v>317</v>
      </c>
      <c r="AD1472" s="122" t="s">
        <v>1858</v>
      </c>
      <c r="AE1472" s="127">
        <v>8</v>
      </c>
      <c r="DA1472" s="122" t="s">
        <v>333</v>
      </c>
      <c r="DB1472" s="122" t="s">
        <v>6888</v>
      </c>
      <c r="DC1472" s="122" t="s">
        <v>2131</v>
      </c>
      <c r="DD1472" s="127">
        <v>3</v>
      </c>
      <c r="DE1472" s="127">
        <v>3</v>
      </c>
      <c r="DG1472" s="405" t="s">
        <v>333</v>
      </c>
      <c r="DH1472" s="406" t="s">
        <v>2131</v>
      </c>
      <c r="DI1472" s="406" t="str">
        <f t="shared" si="54"/>
        <v>MG, Campos Altos</v>
      </c>
      <c r="DJ1472" s="406">
        <v>-19.696000000000002</v>
      </c>
      <c r="DK1472" s="80">
        <v>-46.170999999999999</v>
      </c>
      <c r="DL1472" s="80">
        <v>1050</v>
      </c>
      <c r="DM1472" s="64">
        <v>3</v>
      </c>
      <c r="DN1472" s="406" t="s">
        <v>6795</v>
      </c>
      <c r="DO1472" s="406">
        <v>-19.46</v>
      </c>
      <c r="DP1472" s="80">
        <v>722</v>
      </c>
    </row>
    <row r="1473" spans="29:120" x14ac:dyDescent="0.25">
      <c r="AC1473" s="122" t="s">
        <v>298</v>
      </c>
      <c r="AD1473" s="122" t="s">
        <v>1859</v>
      </c>
      <c r="AE1473" s="127">
        <v>8</v>
      </c>
      <c r="DA1473" s="122" t="s">
        <v>333</v>
      </c>
      <c r="DB1473" s="122" t="s">
        <v>6889</v>
      </c>
      <c r="DC1473" s="122" t="s">
        <v>598</v>
      </c>
      <c r="DD1473" s="127">
        <v>2</v>
      </c>
      <c r="DE1473" s="127">
        <v>2</v>
      </c>
      <c r="DG1473" s="405" t="s">
        <v>333</v>
      </c>
      <c r="DH1473" s="406" t="s">
        <v>598</v>
      </c>
      <c r="DI1473" s="406" t="str">
        <f t="shared" si="54"/>
        <v>MG, Campos Gerais</v>
      </c>
      <c r="DJ1473" s="406">
        <v>-21.234999999999999</v>
      </c>
      <c r="DK1473" s="80">
        <v>-45.759</v>
      </c>
      <c r="DL1473" s="80">
        <v>843</v>
      </c>
      <c r="DM1473" s="64">
        <v>2</v>
      </c>
      <c r="DN1473" s="406" t="s">
        <v>6811</v>
      </c>
      <c r="DO1473" s="406">
        <v>-21.55</v>
      </c>
      <c r="DP1473" s="80">
        <v>955</v>
      </c>
    </row>
    <row r="1474" spans="29:120" x14ac:dyDescent="0.25">
      <c r="AC1474" s="122" t="s">
        <v>289</v>
      </c>
      <c r="AD1474" s="122" t="s">
        <v>1860</v>
      </c>
      <c r="AE1474" s="127">
        <v>5</v>
      </c>
      <c r="DA1474" s="122" t="s">
        <v>333</v>
      </c>
      <c r="DB1474" s="122" t="s">
        <v>6890</v>
      </c>
      <c r="DC1474" s="122" t="s">
        <v>2248</v>
      </c>
      <c r="DD1474" s="127">
        <v>3</v>
      </c>
      <c r="DE1474" s="127">
        <v>3</v>
      </c>
      <c r="DG1474" s="405" t="s">
        <v>333</v>
      </c>
      <c r="DH1474" s="406" t="s">
        <v>2248</v>
      </c>
      <c r="DI1474" s="406" t="str">
        <f t="shared" si="54"/>
        <v>MG, Cana Verde</v>
      </c>
      <c r="DJ1474" s="406">
        <v>-21.021000000000001</v>
      </c>
      <c r="DK1474" s="80">
        <v>-45.182000000000002</v>
      </c>
      <c r="DL1474" s="80">
        <v>867</v>
      </c>
      <c r="DM1474" s="64">
        <v>3</v>
      </c>
      <c r="DN1474" s="406" t="s">
        <v>6811</v>
      </c>
      <c r="DO1474" s="406">
        <v>-21.55</v>
      </c>
      <c r="DP1474" s="80">
        <v>955</v>
      </c>
    </row>
    <row r="1475" spans="29:120" x14ac:dyDescent="0.25">
      <c r="AC1475" s="122" t="s">
        <v>333</v>
      </c>
      <c r="AD1475" s="122" t="s">
        <v>1861</v>
      </c>
      <c r="AE1475" s="127">
        <v>5</v>
      </c>
      <c r="DA1475" s="122" t="s">
        <v>333</v>
      </c>
      <c r="DB1475" s="122" t="s">
        <v>3323</v>
      </c>
      <c r="DC1475" s="122" t="s">
        <v>3323</v>
      </c>
      <c r="DD1475" s="127">
        <v>3</v>
      </c>
      <c r="DE1475" s="127">
        <v>3</v>
      </c>
      <c r="DG1475" s="405" t="s">
        <v>333</v>
      </c>
      <c r="DH1475" s="406" t="s">
        <v>3323</v>
      </c>
      <c r="DI1475" s="406" t="str">
        <f t="shared" ref="DI1475:DI1538" si="55">CONCATENATE(DG1475,", ",DH1475)</f>
        <v>MG, Canaã</v>
      </c>
      <c r="DJ1475" s="406">
        <v>-20.686</v>
      </c>
      <c r="DK1475" s="80">
        <v>-42.62</v>
      </c>
      <c r="DL1475" s="80">
        <v>718</v>
      </c>
      <c r="DM1475" s="64">
        <v>3</v>
      </c>
      <c r="DN1475" s="406" t="s">
        <v>6797</v>
      </c>
      <c r="DO1475" s="406">
        <v>-20.75</v>
      </c>
      <c r="DP1475" s="80">
        <v>712</v>
      </c>
    </row>
    <row r="1476" spans="29:120" x14ac:dyDescent="0.25">
      <c r="AC1476" s="122" t="s">
        <v>333</v>
      </c>
      <c r="AD1476" s="122" t="s">
        <v>1862</v>
      </c>
      <c r="AE1476" s="127">
        <v>3</v>
      </c>
      <c r="DA1476" s="122" t="s">
        <v>333</v>
      </c>
      <c r="DB1476" s="122" t="s">
        <v>2994</v>
      </c>
      <c r="DC1476" s="122" t="s">
        <v>2994</v>
      </c>
      <c r="DD1476" s="127">
        <v>6</v>
      </c>
      <c r="DE1476" s="127">
        <v>6</v>
      </c>
      <c r="DG1476" s="405" t="s">
        <v>333</v>
      </c>
      <c r="DH1476" s="406" t="s">
        <v>2994</v>
      </c>
      <c r="DI1476" s="406" t="str">
        <f t="shared" si="55"/>
        <v>MG, Canápolis</v>
      </c>
      <c r="DJ1476" s="406">
        <v>-18.725000000000001</v>
      </c>
      <c r="DK1476" s="80">
        <v>-49.204000000000001</v>
      </c>
      <c r="DL1476" s="80">
        <v>662</v>
      </c>
      <c r="DM1476" s="64">
        <v>6</v>
      </c>
      <c r="DN1476" s="406" t="s">
        <v>6536</v>
      </c>
      <c r="DO1476" s="406">
        <v>-18.41</v>
      </c>
      <c r="DP1476" s="80">
        <v>488</v>
      </c>
    </row>
    <row r="1477" spans="29:120" x14ac:dyDescent="0.25">
      <c r="AC1477" s="122" t="s">
        <v>317</v>
      </c>
      <c r="AD1477" s="122" t="s">
        <v>1863</v>
      </c>
      <c r="AE1477" s="127">
        <v>5</v>
      </c>
      <c r="DA1477" s="122" t="s">
        <v>333</v>
      </c>
      <c r="DB1477" s="122" t="s">
        <v>2353</v>
      </c>
      <c r="DC1477" s="122" t="s">
        <v>2353</v>
      </c>
      <c r="DD1477" s="127">
        <v>2</v>
      </c>
      <c r="DE1477" s="127">
        <v>2</v>
      </c>
      <c r="DG1477" s="405" t="s">
        <v>333</v>
      </c>
      <c r="DH1477" s="406" t="s">
        <v>2353</v>
      </c>
      <c r="DI1477" s="406" t="str">
        <f t="shared" si="55"/>
        <v>MG, Candeias</v>
      </c>
      <c r="DJ1477" s="406">
        <v>-20.766999999999999</v>
      </c>
      <c r="DK1477" s="80">
        <v>-45.276000000000003</v>
      </c>
      <c r="DL1477" s="80">
        <v>967</v>
      </c>
      <c r="DM1477" s="64">
        <v>2</v>
      </c>
      <c r="DN1477" s="406" t="s">
        <v>6803</v>
      </c>
      <c r="DO1477" s="406">
        <v>-20.46</v>
      </c>
      <c r="DP1477" s="80">
        <v>878</v>
      </c>
    </row>
    <row r="1478" spans="29:120" x14ac:dyDescent="0.25">
      <c r="AC1478" s="122" t="s">
        <v>289</v>
      </c>
      <c r="AD1478" s="122" t="s">
        <v>1864</v>
      </c>
      <c r="AE1478" s="127">
        <v>8</v>
      </c>
      <c r="DA1478" s="122" t="s">
        <v>333</v>
      </c>
      <c r="DB1478" s="122" t="s">
        <v>797</v>
      </c>
      <c r="DC1478" s="122" t="s">
        <v>797</v>
      </c>
      <c r="DD1478" s="127">
        <v>3</v>
      </c>
      <c r="DE1478" s="127">
        <v>3</v>
      </c>
      <c r="DG1478" s="405" t="s">
        <v>333</v>
      </c>
      <c r="DH1478" s="406" t="s">
        <v>797</v>
      </c>
      <c r="DI1478" s="406" t="str">
        <f t="shared" si="55"/>
        <v>MG, Cantagalo</v>
      </c>
      <c r="DJ1478" s="406">
        <v>-18.526</v>
      </c>
      <c r="DK1478" s="80">
        <v>-42.627000000000002</v>
      </c>
      <c r="DL1478" s="80">
        <v>650</v>
      </c>
      <c r="DM1478" s="64">
        <v>3</v>
      </c>
      <c r="DN1478" s="406" t="s">
        <v>6814</v>
      </c>
      <c r="DO1478" s="406">
        <v>-18.850000000000001</v>
      </c>
      <c r="DP1478" s="80">
        <v>263</v>
      </c>
    </row>
    <row r="1479" spans="29:120" x14ac:dyDescent="0.25">
      <c r="AC1479" s="122" t="s">
        <v>333</v>
      </c>
      <c r="AD1479" s="122" t="s">
        <v>1865</v>
      </c>
      <c r="AE1479" s="127">
        <v>3</v>
      </c>
      <c r="DA1479" s="122" t="s">
        <v>333</v>
      </c>
      <c r="DB1479" s="122" t="s">
        <v>943</v>
      </c>
      <c r="DC1479" s="122" t="s">
        <v>943</v>
      </c>
      <c r="DD1479" s="127">
        <v>2</v>
      </c>
      <c r="DE1479" s="127">
        <v>2</v>
      </c>
      <c r="DG1479" s="405" t="s">
        <v>333</v>
      </c>
      <c r="DH1479" s="406" t="s">
        <v>943</v>
      </c>
      <c r="DI1479" s="406" t="str">
        <f t="shared" si="55"/>
        <v>MG, Caparaó</v>
      </c>
      <c r="DJ1479" s="406">
        <v>-20.521000000000001</v>
      </c>
      <c r="DK1479" s="80">
        <v>-41.906999999999996</v>
      </c>
      <c r="DL1479" s="80">
        <v>850</v>
      </c>
      <c r="DM1479" s="64">
        <v>2</v>
      </c>
      <c r="DN1479" s="406" t="s">
        <v>6478</v>
      </c>
      <c r="DO1479" s="406">
        <v>-20.73</v>
      </c>
      <c r="DP1479" s="80">
        <v>399</v>
      </c>
    </row>
    <row r="1480" spans="29:120" x14ac:dyDescent="0.25">
      <c r="AC1480" s="122" t="s">
        <v>317</v>
      </c>
      <c r="AD1480" s="122" t="s">
        <v>1866</v>
      </c>
      <c r="AE1480" s="127">
        <v>8</v>
      </c>
      <c r="DA1480" s="122" t="s">
        <v>333</v>
      </c>
      <c r="DB1480" s="122" t="s">
        <v>6891</v>
      </c>
      <c r="DC1480" s="122" t="s">
        <v>599</v>
      </c>
      <c r="DD1480" s="127">
        <v>3</v>
      </c>
      <c r="DE1480" s="127">
        <v>3</v>
      </c>
      <c r="DG1480" s="405" t="s">
        <v>333</v>
      </c>
      <c r="DH1480" s="406" t="s">
        <v>599</v>
      </c>
      <c r="DI1480" s="406" t="str">
        <f t="shared" si="55"/>
        <v>MG, Capela Nova</v>
      </c>
      <c r="DJ1480" s="406">
        <v>-20.922999999999998</v>
      </c>
      <c r="DK1480" s="80">
        <v>-43.618000000000002</v>
      </c>
      <c r="DL1480" s="80">
        <v>825</v>
      </c>
      <c r="DM1480" s="64">
        <v>3</v>
      </c>
      <c r="DN1480" s="406" t="s">
        <v>6848</v>
      </c>
      <c r="DO1480" s="406">
        <v>-20.52</v>
      </c>
      <c r="DP1480" s="80">
        <v>1061</v>
      </c>
    </row>
    <row r="1481" spans="29:120" x14ac:dyDescent="0.25">
      <c r="AC1481" s="122" t="s">
        <v>317</v>
      </c>
      <c r="AD1481" s="122" t="s">
        <v>1867</v>
      </c>
      <c r="AE1481" s="127">
        <v>5</v>
      </c>
      <c r="DA1481" s="122" t="s">
        <v>333</v>
      </c>
      <c r="DB1481" s="122" t="s">
        <v>600</v>
      </c>
      <c r="DC1481" s="122" t="s">
        <v>600</v>
      </c>
      <c r="DD1481" s="127">
        <v>3</v>
      </c>
      <c r="DE1481" s="127">
        <v>3</v>
      </c>
      <c r="DG1481" s="405" t="s">
        <v>333</v>
      </c>
      <c r="DH1481" s="406" t="s">
        <v>600</v>
      </c>
      <c r="DI1481" s="406" t="str">
        <f t="shared" si="55"/>
        <v>MG, Capelinha</v>
      </c>
      <c r="DJ1481" s="406">
        <v>-17.690999999999999</v>
      </c>
      <c r="DK1481" s="80">
        <v>-42.515999999999998</v>
      </c>
      <c r="DL1481" s="80">
        <v>948</v>
      </c>
      <c r="DM1481" s="64">
        <v>3</v>
      </c>
      <c r="DN1481" s="406" t="s">
        <v>6800</v>
      </c>
      <c r="DO1481" s="406">
        <v>-17.690000000000001</v>
      </c>
      <c r="DP1481" s="80">
        <v>932</v>
      </c>
    </row>
    <row r="1482" spans="29:120" x14ac:dyDescent="0.25">
      <c r="AC1482" s="122" t="s">
        <v>317</v>
      </c>
      <c r="AD1482" s="122" t="s">
        <v>1868</v>
      </c>
      <c r="AE1482" s="127">
        <v>8</v>
      </c>
      <c r="DA1482" s="122" t="s">
        <v>333</v>
      </c>
      <c r="DB1482" s="122" t="s">
        <v>2881</v>
      </c>
      <c r="DC1482" s="122" t="s">
        <v>2881</v>
      </c>
      <c r="DD1482" s="127">
        <v>4</v>
      </c>
      <c r="DE1482" s="127">
        <v>4</v>
      </c>
      <c r="DG1482" s="405" t="s">
        <v>333</v>
      </c>
      <c r="DH1482" s="406" t="s">
        <v>2881</v>
      </c>
      <c r="DI1482" s="406" t="str">
        <f t="shared" si="55"/>
        <v>MG, Capetinga</v>
      </c>
      <c r="DJ1482" s="406">
        <v>-20.616</v>
      </c>
      <c r="DK1482" s="80">
        <v>-47.054000000000002</v>
      </c>
      <c r="DL1482" s="80">
        <v>792</v>
      </c>
      <c r="DM1482" s="64">
        <v>4</v>
      </c>
      <c r="DN1482" s="406" t="s">
        <v>6892</v>
      </c>
      <c r="DO1482" s="406">
        <v>-20.54</v>
      </c>
      <c r="DP1482" s="80">
        <v>1026</v>
      </c>
    </row>
    <row r="1483" spans="29:120" x14ac:dyDescent="0.25">
      <c r="AC1483" s="122" t="s">
        <v>375</v>
      </c>
      <c r="AD1483" s="122" t="s">
        <v>1869</v>
      </c>
      <c r="AE1483" s="127">
        <v>8</v>
      </c>
      <c r="DA1483" s="122" t="s">
        <v>333</v>
      </c>
      <c r="DB1483" s="122" t="s">
        <v>6893</v>
      </c>
      <c r="DC1483" s="122" t="s">
        <v>2767</v>
      </c>
      <c r="DD1483" s="127">
        <v>2</v>
      </c>
      <c r="DE1483" s="127">
        <v>2</v>
      </c>
      <c r="DG1483" s="405" t="s">
        <v>333</v>
      </c>
      <c r="DH1483" s="406" t="s">
        <v>2767</v>
      </c>
      <c r="DI1483" s="406" t="str">
        <f t="shared" si="55"/>
        <v>MG, Capim Branco</v>
      </c>
      <c r="DJ1483" s="406">
        <v>-19.548999999999999</v>
      </c>
      <c r="DK1483" s="80">
        <v>-44.116999999999997</v>
      </c>
      <c r="DL1483" s="80">
        <v>830</v>
      </c>
      <c r="DM1483" s="64">
        <v>2</v>
      </c>
      <c r="DN1483" s="406" t="s">
        <v>6838</v>
      </c>
      <c r="DO1483" s="406">
        <v>-19.82</v>
      </c>
      <c r="DP1483" s="80">
        <v>869</v>
      </c>
    </row>
    <row r="1484" spans="29:120" x14ac:dyDescent="0.25">
      <c r="AC1484" s="122" t="s">
        <v>333</v>
      </c>
      <c r="AD1484" s="122" t="s">
        <v>1870</v>
      </c>
      <c r="AE1484" s="127">
        <v>5</v>
      </c>
      <c r="DA1484" s="122" t="s">
        <v>333</v>
      </c>
      <c r="DB1484" s="122" t="s">
        <v>2831</v>
      </c>
      <c r="DC1484" s="122" t="s">
        <v>2831</v>
      </c>
      <c r="DD1484" s="127">
        <v>5</v>
      </c>
      <c r="DE1484" s="127">
        <v>5</v>
      </c>
      <c r="DG1484" s="405" t="s">
        <v>333</v>
      </c>
      <c r="DH1484" s="406" t="s">
        <v>2831</v>
      </c>
      <c r="DI1484" s="406" t="str">
        <f t="shared" si="55"/>
        <v>MG, Capinópolis</v>
      </c>
      <c r="DJ1484" s="406">
        <v>-18.681999999999999</v>
      </c>
      <c r="DK1484" s="80">
        <v>-49.57</v>
      </c>
      <c r="DL1484" s="80">
        <v>564</v>
      </c>
      <c r="DM1484" s="64">
        <v>5</v>
      </c>
      <c r="DN1484" s="406" t="s">
        <v>6566</v>
      </c>
      <c r="DO1484" s="406">
        <v>-18.97</v>
      </c>
      <c r="DP1484" s="80">
        <v>560</v>
      </c>
    </row>
    <row r="1485" spans="29:120" x14ac:dyDescent="0.25">
      <c r="AC1485" s="122" t="s">
        <v>333</v>
      </c>
      <c r="AD1485" s="122" t="s">
        <v>1871</v>
      </c>
      <c r="AE1485" s="127">
        <v>5</v>
      </c>
      <c r="DA1485" s="122" t="s">
        <v>333</v>
      </c>
      <c r="DB1485" s="122" t="s">
        <v>6894</v>
      </c>
      <c r="DC1485" s="122" t="s">
        <v>1991</v>
      </c>
      <c r="DD1485" s="127">
        <v>5</v>
      </c>
      <c r="DE1485" s="127">
        <v>5</v>
      </c>
      <c r="DG1485" s="405" t="s">
        <v>333</v>
      </c>
      <c r="DH1485" s="406" t="s">
        <v>1991</v>
      </c>
      <c r="DI1485" s="406" t="str">
        <f t="shared" si="55"/>
        <v>MG, Capitão Andrade</v>
      </c>
      <c r="DJ1485" s="406">
        <v>-19.067</v>
      </c>
      <c r="DK1485" s="80">
        <v>-41.857999999999997</v>
      </c>
      <c r="DL1485" s="80">
        <v>230</v>
      </c>
      <c r="DM1485" s="64">
        <v>5</v>
      </c>
      <c r="DN1485" s="406" t="s">
        <v>6814</v>
      </c>
      <c r="DO1485" s="406">
        <v>-18.850000000000001</v>
      </c>
      <c r="DP1485" s="80">
        <v>263</v>
      </c>
    </row>
    <row r="1486" spans="29:120" x14ac:dyDescent="0.25">
      <c r="AC1486" s="122" t="s">
        <v>333</v>
      </c>
      <c r="AD1486" s="122" t="s">
        <v>1872</v>
      </c>
      <c r="AE1486" s="127">
        <v>5</v>
      </c>
      <c r="DA1486" s="122" t="s">
        <v>333</v>
      </c>
      <c r="DB1486" s="122" t="s">
        <v>6895</v>
      </c>
      <c r="DC1486" s="122" t="s">
        <v>2805</v>
      </c>
      <c r="DD1486" s="127">
        <v>4</v>
      </c>
      <c r="DE1486" s="127">
        <v>4</v>
      </c>
      <c r="DG1486" s="405" t="s">
        <v>333</v>
      </c>
      <c r="DH1486" s="406" t="s">
        <v>2805</v>
      </c>
      <c r="DI1486" s="406" t="str">
        <f t="shared" si="55"/>
        <v>MG, Capitão Enéas</v>
      </c>
      <c r="DJ1486" s="406">
        <v>-16.324000000000002</v>
      </c>
      <c r="DK1486" s="80">
        <v>-43.710999999999999</v>
      </c>
      <c r="DL1486" s="80">
        <v>571</v>
      </c>
      <c r="DM1486" s="64">
        <v>4</v>
      </c>
      <c r="DN1486" s="406" t="s">
        <v>6853</v>
      </c>
      <c r="DO1486" s="406">
        <v>-16.739999999999998</v>
      </c>
      <c r="DP1486" s="80">
        <v>646</v>
      </c>
    </row>
    <row r="1487" spans="29:120" x14ac:dyDescent="0.25">
      <c r="AC1487" s="122" t="s">
        <v>317</v>
      </c>
      <c r="AD1487" s="122" t="s">
        <v>1873</v>
      </c>
      <c r="AE1487" s="127">
        <v>8</v>
      </c>
      <c r="DA1487" s="122" t="s">
        <v>333</v>
      </c>
      <c r="DB1487" s="122" t="s">
        <v>3448</v>
      </c>
      <c r="DC1487" s="122" t="s">
        <v>3448</v>
      </c>
      <c r="DD1487" s="127">
        <v>2</v>
      </c>
      <c r="DE1487" s="127">
        <v>2</v>
      </c>
      <c r="DG1487" s="405" t="s">
        <v>333</v>
      </c>
      <c r="DH1487" s="406" t="s">
        <v>3448</v>
      </c>
      <c r="DI1487" s="406" t="str">
        <f t="shared" si="55"/>
        <v>MG, Capitólio</v>
      </c>
      <c r="DJ1487" s="406">
        <v>-20.614999999999998</v>
      </c>
      <c r="DK1487" s="80">
        <v>-46.05</v>
      </c>
      <c r="DL1487" s="80">
        <v>766</v>
      </c>
      <c r="DM1487" s="64">
        <v>2</v>
      </c>
      <c r="DN1487" s="406" t="s">
        <v>6815</v>
      </c>
      <c r="DO1487" s="406">
        <v>-20.75</v>
      </c>
      <c r="DP1487" s="80">
        <v>875</v>
      </c>
    </row>
    <row r="1488" spans="29:120" x14ac:dyDescent="0.25">
      <c r="AC1488" s="122" t="s">
        <v>333</v>
      </c>
      <c r="AD1488" s="122" t="s">
        <v>1874</v>
      </c>
      <c r="AE1488" s="127">
        <v>5</v>
      </c>
      <c r="DA1488" s="122" t="s">
        <v>333</v>
      </c>
      <c r="DB1488" s="122" t="s">
        <v>601</v>
      </c>
      <c r="DC1488" s="122" t="s">
        <v>601</v>
      </c>
      <c r="DD1488" s="127">
        <v>3</v>
      </c>
      <c r="DE1488" s="127">
        <v>3</v>
      </c>
      <c r="DG1488" s="405" t="s">
        <v>333</v>
      </c>
      <c r="DH1488" s="406" t="s">
        <v>601</v>
      </c>
      <c r="DI1488" s="406" t="str">
        <f t="shared" si="55"/>
        <v>MG, Caputira</v>
      </c>
      <c r="DJ1488" s="406">
        <v>-20.172000000000001</v>
      </c>
      <c r="DK1488" s="80">
        <v>-42.271000000000001</v>
      </c>
      <c r="DL1488" s="80">
        <v>592</v>
      </c>
      <c r="DM1488" s="64">
        <v>3</v>
      </c>
      <c r="DN1488" s="406" t="s">
        <v>6819</v>
      </c>
      <c r="DO1488" s="406">
        <v>-19.79</v>
      </c>
      <c r="DP1488" s="80">
        <v>615</v>
      </c>
    </row>
    <row r="1489" spans="29:120" x14ac:dyDescent="0.25">
      <c r="AC1489" s="122" t="s">
        <v>323</v>
      </c>
      <c r="AD1489" s="122" t="s">
        <v>1875</v>
      </c>
      <c r="AE1489" s="127">
        <v>8</v>
      </c>
      <c r="DA1489" s="122" t="s">
        <v>333</v>
      </c>
      <c r="DB1489" s="122" t="s">
        <v>2596</v>
      </c>
      <c r="DC1489" s="122" t="s">
        <v>2596</v>
      </c>
      <c r="DD1489" s="127">
        <v>5</v>
      </c>
      <c r="DE1489" s="127">
        <v>5</v>
      </c>
      <c r="DG1489" s="405" t="s">
        <v>333</v>
      </c>
      <c r="DH1489" s="406" t="s">
        <v>2596</v>
      </c>
      <c r="DI1489" s="406" t="str">
        <f t="shared" si="55"/>
        <v>MG, Caraí</v>
      </c>
      <c r="DJ1489" s="406">
        <v>-17.189</v>
      </c>
      <c r="DK1489" s="80">
        <v>-41.695</v>
      </c>
      <c r="DL1489" s="80">
        <v>910</v>
      </c>
      <c r="DM1489" s="64">
        <v>5</v>
      </c>
      <c r="DN1489" s="406" t="s">
        <v>6835</v>
      </c>
      <c r="DO1489" s="406">
        <v>-17.86</v>
      </c>
      <c r="DP1489" s="80">
        <v>475</v>
      </c>
    </row>
    <row r="1490" spans="29:120" x14ac:dyDescent="0.25">
      <c r="AC1490" s="122" t="s">
        <v>317</v>
      </c>
      <c r="AD1490" s="122" t="s">
        <v>1876</v>
      </c>
      <c r="AE1490" s="127">
        <v>8</v>
      </c>
      <c r="DA1490" s="122" t="s">
        <v>333</v>
      </c>
      <c r="DB1490" s="122" t="s">
        <v>602</v>
      </c>
      <c r="DC1490" s="122" t="s">
        <v>602</v>
      </c>
      <c r="DD1490" s="127">
        <v>3</v>
      </c>
      <c r="DE1490" s="127">
        <v>3</v>
      </c>
      <c r="DG1490" s="405" t="s">
        <v>333</v>
      </c>
      <c r="DH1490" s="406" t="s">
        <v>602</v>
      </c>
      <c r="DI1490" s="406" t="str">
        <f t="shared" si="55"/>
        <v>MG, Caranaíba</v>
      </c>
      <c r="DJ1490" s="406">
        <v>-20.876000000000001</v>
      </c>
      <c r="DK1490" s="80">
        <v>-43.738999999999997</v>
      </c>
      <c r="DL1490" s="80">
        <v>822</v>
      </c>
      <c r="DM1490" s="64">
        <v>3</v>
      </c>
      <c r="DN1490" s="406" t="s">
        <v>6848</v>
      </c>
      <c r="DO1490" s="406">
        <v>-20.52</v>
      </c>
      <c r="DP1490" s="80">
        <v>1061</v>
      </c>
    </row>
    <row r="1491" spans="29:120" x14ac:dyDescent="0.25">
      <c r="AC1491" s="122" t="s">
        <v>317</v>
      </c>
      <c r="AD1491" s="122" t="s">
        <v>1877</v>
      </c>
      <c r="AE1491" s="127">
        <v>8</v>
      </c>
      <c r="DA1491" s="122" t="s">
        <v>333</v>
      </c>
      <c r="DB1491" s="122" t="s">
        <v>603</v>
      </c>
      <c r="DC1491" s="122" t="s">
        <v>603</v>
      </c>
      <c r="DD1491" s="127">
        <v>3</v>
      </c>
      <c r="DE1491" s="127">
        <v>3</v>
      </c>
      <c r="DG1491" s="405" t="s">
        <v>333</v>
      </c>
      <c r="DH1491" s="406" t="s">
        <v>603</v>
      </c>
      <c r="DI1491" s="406" t="str">
        <f t="shared" si="55"/>
        <v>MG, Carandaí</v>
      </c>
      <c r="DJ1491" s="406">
        <v>-20.954000000000001</v>
      </c>
      <c r="DK1491" s="80">
        <v>-43.805999999999997</v>
      </c>
      <c r="DL1491" s="80">
        <v>1080</v>
      </c>
      <c r="DM1491" s="64">
        <v>3</v>
      </c>
      <c r="DN1491" s="406" t="s">
        <v>6848</v>
      </c>
      <c r="DO1491" s="406">
        <v>-20.52</v>
      </c>
      <c r="DP1491" s="80">
        <v>1061</v>
      </c>
    </row>
    <row r="1492" spans="29:120" x14ac:dyDescent="0.25">
      <c r="AC1492" s="122" t="s">
        <v>333</v>
      </c>
      <c r="AD1492" s="122" t="s">
        <v>1878</v>
      </c>
      <c r="AE1492" s="127">
        <v>6</v>
      </c>
      <c r="DA1492" s="122" t="s">
        <v>333</v>
      </c>
      <c r="DB1492" s="122" t="s">
        <v>3454</v>
      </c>
      <c r="DC1492" s="122" t="s">
        <v>3454</v>
      </c>
      <c r="DD1492" s="127">
        <v>2</v>
      </c>
      <c r="DE1492" s="127">
        <v>2</v>
      </c>
      <c r="DG1492" s="405" t="s">
        <v>333</v>
      </c>
      <c r="DH1492" s="406" t="s">
        <v>3454</v>
      </c>
      <c r="DI1492" s="406" t="str">
        <f t="shared" si="55"/>
        <v>MG, Carangola</v>
      </c>
      <c r="DJ1492" s="406">
        <v>-20.733000000000001</v>
      </c>
      <c r="DK1492" s="80">
        <v>-42.029000000000003</v>
      </c>
      <c r="DL1492" s="80">
        <v>408</v>
      </c>
      <c r="DM1492" s="64">
        <v>2</v>
      </c>
      <c r="DN1492" s="406" t="s">
        <v>6478</v>
      </c>
      <c r="DO1492" s="406">
        <v>-20.73</v>
      </c>
      <c r="DP1492" s="80">
        <v>399</v>
      </c>
    </row>
    <row r="1493" spans="29:120" x14ac:dyDescent="0.25">
      <c r="AC1493" s="122" t="s">
        <v>333</v>
      </c>
      <c r="AD1493" s="122" t="s">
        <v>1879</v>
      </c>
      <c r="AE1493" s="127">
        <v>5</v>
      </c>
      <c r="DA1493" s="122" t="s">
        <v>333</v>
      </c>
      <c r="DB1493" s="122" t="s">
        <v>2112</v>
      </c>
      <c r="DC1493" s="122" t="s">
        <v>2112</v>
      </c>
      <c r="DD1493" s="127">
        <v>3</v>
      </c>
      <c r="DE1493" s="127">
        <v>3</v>
      </c>
      <c r="DG1493" s="405" t="s">
        <v>333</v>
      </c>
      <c r="DH1493" s="406" t="s">
        <v>2112</v>
      </c>
      <c r="DI1493" s="406" t="str">
        <f t="shared" si="55"/>
        <v>MG, Caratinga</v>
      </c>
      <c r="DJ1493" s="406">
        <v>-19.79</v>
      </c>
      <c r="DK1493" s="80">
        <v>-42.139000000000003</v>
      </c>
      <c r="DL1493" s="80">
        <v>578</v>
      </c>
      <c r="DM1493" s="64">
        <v>3</v>
      </c>
      <c r="DN1493" s="406" t="s">
        <v>6819</v>
      </c>
      <c r="DO1493" s="406">
        <v>-19.79</v>
      </c>
      <c r="DP1493" s="80">
        <v>615</v>
      </c>
    </row>
    <row r="1494" spans="29:120" x14ac:dyDescent="0.25">
      <c r="AC1494" s="122" t="s">
        <v>317</v>
      </c>
      <c r="AD1494" s="122" t="s">
        <v>1880</v>
      </c>
      <c r="AE1494" s="127">
        <v>8</v>
      </c>
      <c r="DA1494" s="122" t="s">
        <v>333</v>
      </c>
      <c r="DB1494" s="122" t="s">
        <v>2840</v>
      </c>
      <c r="DC1494" s="122" t="s">
        <v>2840</v>
      </c>
      <c r="DD1494" s="127">
        <v>3</v>
      </c>
      <c r="DE1494" s="127">
        <v>3</v>
      </c>
      <c r="DG1494" s="405" t="s">
        <v>333</v>
      </c>
      <c r="DH1494" s="406" t="s">
        <v>2840</v>
      </c>
      <c r="DI1494" s="406" t="str">
        <f t="shared" si="55"/>
        <v>MG, Carbonita</v>
      </c>
      <c r="DJ1494" s="406">
        <v>-17.527000000000001</v>
      </c>
      <c r="DK1494" s="80">
        <v>-43.015999999999998</v>
      </c>
      <c r="DL1494" s="80">
        <v>726</v>
      </c>
      <c r="DM1494" s="64">
        <v>3</v>
      </c>
      <c r="DN1494" s="406" t="s">
        <v>6800</v>
      </c>
      <c r="DO1494" s="406">
        <v>-17.690000000000001</v>
      </c>
      <c r="DP1494" s="80">
        <v>932</v>
      </c>
    </row>
    <row r="1495" spans="29:120" x14ac:dyDescent="0.25">
      <c r="AC1495" s="122" t="s">
        <v>333</v>
      </c>
      <c r="AD1495" s="122" t="s">
        <v>1881</v>
      </c>
      <c r="AE1495" s="127">
        <v>5</v>
      </c>
      <c r="DA1495" s="122" t="s">
        <v>333</v>
      </c>
      <c r="DB1495" s="122" t="s">
        <v>981</v>
      </c>
      <c r="DC1495" s="122" t="s">
        <v>981</v>
      </c>
      <c r="DD1495" s="127">
        <v>2</v>
      </c>
      <c r="DE1495" s="127">
        <v>2</v>
      </c>
      <c r="DG1495" s="405" t="s">
        <v>333</v>
      </c>
      <c r="DH1495" s="406" t="s">
        <v>981</v>
      </c>
      <c r="DI1495" s="406" t="str">
        <f t="shared" si="55"/>
        <v>MG, Careaçu</v>
      </c>
      <c r="DJ1495" s="406">
        <v>-22.042999999999999</v>
      </c>
      <c r="DK1495" s="80">
        <v>-45.698999999999998</v>
      </c>
      <c r="DL1495" s="80">
        <v>816</v>
      </c>
      <c r="DM1495" s="64">
        <v>2</v>
      </c>
      <c r="DN1495" s="406" t="s">
        <v>6881</v>
      </c>
      <c r="DO1495" s="406">
        <v>-22.31</v>
      </c>
      <c r="DP1495" s="80">
        <v>1276</v>
      </c>
    </row>
    <row r="1496" spans="29:120" x14ac:dyDescent="0.25">
      <c r="AC1496" s="122" t="s">
        <v>333</v>
      </c>
      <c r="AD1496" s="122" t="s">
        <v>1882</v>
      </c>
      <c r="AE1496" s="127">
        <v>5</v>
      </c>
      <c r="DA1496" s="122" t="s">
        <v>333</v>
      </c>
      <c r="DB1496" s="122" t="s">
        <v>6896</v>
      </c>
      <c r="DC1496" s="122" t="s">
        <v>2459</v>
      </c>
      <c r="DD1496" s="127">
        <v>5</v>
      </c>
      <c r="DE1496" s="127">
        <v>5</v>
      </c>
      <c r="DG1496" s="405" t="s">
        <v>333</v>
      </c>
      <c r="DH1496" s="406" t="s">
        <v>2459</v>
      </c>
      <c r="DI1496" s="406" t="str">
        <f t="shared" si="55"/>
        <v>MG, Carlos Chagas</v>
      </c>
      <c r="DJ1496" s="406">
        <v>-17.702999999999999</v>
      </c>
      <c r="DK1496" s="80">
        <v>-40.765999999999998</v>
      </c>
      <c r="DL1496" s="80">
        <v>159</v>
      </c>
      <c r="DM1496" s="64">
        <v>5</v>
      </c>
      <c r="DN1496" s="406" t="s">
        <v>6290</v>
      </c>
      <c r="DO1496" s="406">
        <v>-17.78</v>
      </c>
      <c r="DP1496" s="80">
        <v>208</v>
      </c>
    </row>
    <row r="1497" spans="29:120" x14ac:dyDescent="0.25">
      <c r="AC1497" s="122" t="s">
        <v>358</v>
      </c>
      <c r="AD1497" s="122" t="s">
        <v>1883</v>
      </c>
      <c r="AE1497" s="127">
        <v>3</v>
      </c>
      <c r="DA1497" s="122" t="s">
        <v>333</v>
      </c>
      <c r="DB1497" s="122" t="s">
        <v>3669</v>
      </c>
      <c r="DC1497" s="122" t="s">
        <v>3669</v>
      </c>
      <c r="DD1497" s="127">
        <v>3</v>
      </c>
      <c r="DE1497" s="127">
        <v>3</v>
      </c>
      <c r="DG1497" s="405" t="s">
        <v>333</v>
      </c>
      <c r="DH1497" s="406" t="s">
        <v>3669</v>
      </c>
      <c r="DI1497" s="406" t="str">
        <f t="shared" si="55"/>
        <v>MG, Carmésia</v>
      </c>
      <c r="DJ1497" s="406">
        <v>-19.088999999999999</v>
      </c>
      <c r="DK1497" s="80">
        <v>-43.142000000000003</v>
      </c>
      <c r="DL1497" s="80">
        <v>551</v>
      </c>
      <c r="DM1497" s="64">
        <v>3</v>
      </c>
      <c r="DN1497" s="406" t="s">
        <v>6798</v>
      </c>
      <c r="DO1497" s="406">
        <v>-19.579999999999998</v>
      </c>
      <c r="DP1497" s="80">
        <v>333</v>
      </c>
    </row>
    <row r="1498" spans="29:120" x14ac:dyDescent="0.25">
      <c r="AC1498" s="122" t="s">
        <v>333</v>
      </c>
      <c r="AD1498" s="122" t="s">
        <v>1884</v>
      </c>
      <c r="AE1498" s="127">
        <v>5</v>
      </c>
      <c r="DA1498" s="122" t="s">
        <v>333</v>
      </c>
      <c r="DB1498" s="122" t="s">
        <v>6897</v>
      </c>
      <c r="DC1498" s="122" t="s">
        <v>604</v>
      </c>
      <c r="DD1498" s="127">
        <v>2</v>
      </c>
      <c r="DE1498" s="127">
        <v>2</v>
      </c>
      <c r="DG1498" s="405" t="s">
        <v>333</v>
      </c>
      <c r="DH1498" s="406" t="s">
        <v>604</v>
      </c>
      <c r="DI1498" s="406" t="str">
        <f t="shared" si="55"/>
        <v>MG, Carmo da Cachoeira</v>
      </c>
      <c r="DJ1498" s="406">
        <v>-21.460999999999999</v>
      </c>
      <c r="DK1498" s="80">
        <v>-45.223999999999997</v>
      </c>
      <c r="DL1498" s="80">
        <v>945</v>
      </c>
      <c r="DM1498" s="64">
        <v>2</v>
      </c>
      <c r="DN1498" s="406" t="s">
        <v>6811</v>
      </c>
      <c r="DO1498" s="406">
        <v>-21.55</v>
      </c>
      <c r="DP1498" s="80">
        <v>955</v>
      </c>
    </row>
    <row r="1499" spans="29:120" x14ac:dyDescent="0.25">
      <c r="AC1499" s="122" t="s">
        <v>289</v>
      </c>
      <c r="AD1499" s="122" t="s">
        <v>1885</v>
      </c>
      <c r="AE1499" s="127">
        <v>8</v>
      </c>
      <c r="DA1499" s="122" t="s">
        <v>333</v>
      </c>
      <c r="DB1499" s="122" t="s">
        <v>6898</v>
      </c>
      <c r="DC1499" s="122" t="s">
        <v>913</v>
      </c>
      <c r="DD1499" s="127">
        <v>4</v>
      </c>
      <c r="DE1499" s="127">
        <v>4</v>
      </c>
      <c r="DG1499" s="405" t="s">
        <v>333</v>
      </c>
      <c r="DH1499" s="406" t="s">
        <v>913</v>
      </c>
      <c r="DI1499" s="406" t="str">
        <f t="shared" si="55"/>
        <v>MG, Carmo da Mata</v>
      </c>
      <c r="DJ1499" s="406">
        <v>-20.558</v>
      </c>
      <c r="DK1499" s="80">
        <v>-44.871000000000002</v>
      </c>
      <c r="DL1499" s="80">
        <v>846</v>
      </c>
      <c r="DM1499" s="64">
        <v>4</v>
      </c>
      <c r="DN1499" s="406" t="s">
        <v>6803</v>
      </c>
      <c r="DO1499" s="406">
        <v>-20.46</v>
      </c>
      <c r="DP1499" s="80">
        <v>878</v>
      </c>
    </row>
    <row r="1500" spans="29:120" x14ac:dyDescent="0.25">
      <c r="AC1500" s="122" t="s">
        <v>375</v>
      </c>
      <c r="AD1500" s="122" t="s">
        <v>1886</v>
      </c>
      <c r="AE1500" s="127">
        <v>8</v>
      </c>
      <c r="DA1500" s="122" t="s">
        <v>333</v>
      </c>
      <c r="DB1500" s="122" t="s">
        <v>6899</v>
      </c>
      <c r="DC1500" s="122" t="s">
        <v>1008</v>
      </c>
      <c r="DD1500" s="127">
        <v>2</v>
      </c>
      <c r="DE1500" s="127">
        <v>2</v>
      </c>
      <c r="DG1500" s="405" t="s">
        <v>333</v>
      </c>
      <c r="DH1500" s="406" t="s">
        <v>1008</v>
      </c>
      <c r="DI1500" s="406" t="str">
        <f t="shared" si="55"/>
        <v>MG, Carmo de Minas</v>
      </c>
      <c r="DJ1500" s="406">
        <v>-22.122</v>
      </c>
      <c r="DK1500" s="80">
        <v>-45.128999999999998</v>
      </c>
      <c r="DL1500" s="80">
        <v>958</v>
      </c>
      <c r="DM1500" s="64">
        <v>2</v>
      </c>
      <c r="DN1500" s="406" t="s">
        <v>6881</v>
      </c>
      <c r="DO1500" s="406">
        <v>-22.31</v>
      </c>
      <c r="DP1500" s="80">
        <v>1276</v>
      </c>
    </row>
    <row r="1501" spans="29:120" x14ac:dyDescent="0.25">
      <c r="AC1501" s="122" t="s">
        <v>333</v>
      </c>
      <c r="AD1501" s="122" t="s">
        <v>1887</v>
      </c>
      <c r="AE1501" s="127">
        <v>5</v>
      </c>
      <c r="DA1501" s="122" t="s">
        <v>333</v>
      </c>
      <c r="DB1501" s="122" t="s">
        <v>6900</v>
      </c>
      <c r="DC1501" s="122" t="s">
        <v>3392</v>
      </c>
      <c r="DD1501" s="127">
        <v>4</v>
      </c>
      <c r="DE1501" s="127">
        <v>4</v>
      </c>
      <c r="DG1501" s="405" t="s">
        <v>333</v>
      </c>
      <c r="DH1501" s="406" t="s">
        <v>3392</v>
      </c>
      <c r="DI1501" s="406" t="str">
        <f t="shared" si="55"/>
        <v>MG, Carmo do Cajuru</v>
      </c>
      <c r="DJ1501" s="406">
        <v>-20.184000000000001</v>
      </c>
      <c r="DK1501" s="80">
        <v>-44.771000000000001</v>
      </c>
      <c r="DL1501" s="80">
        <v>772</v>
      </c>
      <c r="DM1501" s="64">
        <v>4</v>
      </c>
      <c r="DN1501" s="406" t="s">
        <v>6879</v>
      </c>
      <c r="DO1501" s="406">
        <v>-19.89</v>
      </c>
      <c r="DP1501" s="80">
        <v>742</v>
      </c>
    </row>
    <row r="1502" spans="29:120" x14ac:dyDescent="0.25">
      <c r="AC1502" s="122" t="s">
        <v>289</v>
      </c>
      <c r="AD1502" s="122" t="s">
        <v>1888</v>
      </c>
      <c r="AE1502" s="127">
        <v>8</v>
      </c>
      <c r="DA1502" s="122" t="s">
        <v>333</v>
      </c>
      <c r="DB1502" s="122" t="s">
        <v>6901</v>
      </c>
      <c r="DC1502" s="122" t="s">
        <v>2109</v>
      </c>
      <c r="DD1502" s="127">
        <v>4</v>
      </c>
      <c r="DE1502" s="127">
        <v>4</v>
      </c>
      <c r="DG1502" s="405" t="s">
        <v>333</v>
      </c>
      <c r="DH1502" s="406" t="s">
        <v>2109</v>
      </c>
      <c r="DI1502" s="406" t="str">
        <f t="shared" si="55"/>
        <v>MG, Carmo do Paranaíba</v>
      </c>
      <c r="DJ1502" s="406">
        <v>-19.001000000000001</v>
      </c>
      <c r="DK1502" s="80">
        <v>-46.316000000000003</v>
      </c>
      <c r="DL1502" s="80">
        <v>1061</v>
      </c>
      <c r="DM1502" s="64">
        <v>4</v>
      </c>
      <c r="DN1502" s="406" t="s">
        <v>6794</v>
      </c>
      <c r="DO1502" s="406">
        <v>-18.940000000000001</v>
      </c>
      <c r="DP1502" s="80">
        <v>976</v>
      </c>
    </row>
    <row r="1503" spans="29:120" x14ac:dyDescent="0.25">
      <c r="AC1503" s="122" t="s">
        <v>289</v>
      </c>
      <c r="AD1503" s="122" t="s">
        <v>1889</v>
      </c>
      <c r="AE1503" s="127">
        <v>8</v>
      </c>
      <c r="DA1503" s="122" t="s">
        <v>333</v>
      </c>
      <c r="DB1503" s="122" t="s">
        <v>6902</v>
      </c>
      <c r="DC1503" s="122" t="s">
        <v>605</v>
      </c>
      <c r="DD1503" s="127">
        <v>2</v>
      </c>
      <c r="DE1503" s="127">
        <v>2</v>
      </c>
      <c r="DG1503" s="405" t="s">
        <v>333</v>
      </c>
      <c r="DH1503" s="406" t="s">
        <v>605</v>
      </c>
      <c r="DI1503" s="406" t="str">
        <f t="shared" si="55"/>
        <v>MG, Carmo do Rio Claro</v>
      </c>
      <c r="DJ1503" s="406">
        <v>-20.972000000000001</v>
      </c>
      <c r="DK1503" s="80">
        <v>-46.119</v>
      </c>
      <c r="DL1503" s="80">
        <v>830</v>
      </c>
      <c r="DM1503" s="64">
        <v>2</v>
      </c>
      <c r="DN1503" s="406" t="s">
        <v>6815</v>
      </c>
      <c r="DO1503" s="406">
        <v>-20.75</v>
      </c>
      <c r="DP1503" s="80">
        <v>875</v>
      </c>
    </row>
    <row r="1504" spans="29:120" x14ac:dyDescent="0.25">
      <c r="AC1504" s="122" t="s">
        <v>333</v>
      </c>
      <c r="AD1504" s="122" t="s">
        <v>1890</v>
      </c>
      <c r="AE1504" s="127">
        <v>5</v>
      </c>
      <c r="DA1504" s="122" t="s">
        <v>333</v>
      </c>
      <c r="DB1504" s="122" t="s">
        <v>6903</v>
      </c>
      <c r="DC1504" s="122" t="s">
        <v>606</v>
      </c>
      <c r="DD1504" s="127">
        <v>4</v>
      </c>
      <c r="DE1504" s="127">
        <v>4</v>
      </c>
      <c r="DG1504" s="405" t="s">
        <v>333</v>
      </c>
      <c r="DH1504" s="406" t="s">
        <v>606</v>
      </c>
      <c r="DI1504" s="406" t="str">
        <f t="shared" si="55"/>
        <v>MG, Carmópolis de Minas</v>
      </c>
      <c r="DJ1504" s="406">
        <v>-20.541</v>
      </c>
      <c r="DK1504" s="80">
        <v>-44.634999999999998</v>
      </c>
      <c r="DL1504" s="80">
        <v>903</v>
      </c>
      <c r="DM1504" s="64">
        <v>4</v>
      </c>
      <c r="DN1504" s="406" t="s">
        <v>6879</v>
      </c>
      <c r="DO1504" s="406">
        <v>-19.89</v>
      </c>
      <c r="DP1504" s="80">
        <v>742</v>
      </c>
    </row>
    <row r="1505" spans="29:120" x14ac:dyDescent="0.25">
      <c r="AC1505" s="122" t="s">
        <v>333</v>
      </c>
      <c r="AD1505" s="122" t="s">
        <v>1891</v>
      </c>
      <c r="AE1505" s="127">
        <v>5</v>
      </c>
      <c r="DA1505" s="122" t="s">
        <v>333</v>
      </c>
      <c r="DB1505" s="122" t="s">
        <v>2982</v>
      </c>
      <c r="DC1505" s="122" t="s">
        <v>2982</v>
      </c>
      <c r="DD1505" s="127">
        <v>6</v>
      </c>
      <c r="DE1505" s="127">
        <v>6</v>
      </c>
      <c r="DG1505" s="405" t="s">
        <v>333</v>
      </c>
      <c r="DH1505" s="406" t="s">
        <v>2982</v>
      </c>
      <c r="DI1505" s="406" t="str">
        <f t="shared" si="55"/>
        <v>MG, Carneirinho</v>
      </c>
      <c r="DJ1505" s="406">
        <v>-19.698</v>
      </c>
      <c r="DK1505" s="80">
        <v>-50.688000000000002</v>
      </c>
      <c r="DL1505" s="80">
        <v>431</v>
      </c>
      <c r="DM1505" s="64">
        <v>6</v>
      </c>
      <c r="DN1505" s="406" t="s">
        <v>6904</v>
      </c>
      <c r="DO1505" s="406">
        <v>-20.27</v>
      </c>
      <c r="DP1505" s="80">
        <v>457</v>
      </c>
    </row>
    <row r="1506" spans="29:120" x14ac:dyDescent="0.25">
      <c r="AC1506" s="122" t="s">
        <v>369</v>
      </c>
      <c r="AD1506" s="122" t="s">
        <v>1892</v>
      </c>
      <c r="AE1506" s="127">
        <v>8</v>
      </c>
      <c r="DA1506" s="122" t="s">
        <v>333</v>
      </c>
      <c r="DB1506" s="122" t="s">
        <v>607</v>
      </c>
      <c r="DC1506" s="122" t="s">
        <v>607</v>
      </c>
      <c r="DD1506" s="127">
        <v>2</v>
      </c>
      <c r="DE1506" s="127">
        <v>2</v>
      </c>
      <c r="DG1506" s="405" t="s">
        <v>333</v>
      </c>
      <c r="DH1506" s="406" t="s">
        <v>607</v>
      </c>
      <c r="DI1506" s="406" t="str">
        <f t="shared" si="55"/>
        <v>MG, Carrancas</v>
      </c>
      <c r="DJ1506" s="406">
        <v>-21.488</v>
      </c>
      <c r="DK1506" s="80">
        <v>-44.643000000000001</v>
      </c>
      <c r="DL1506" s="80">
        <v>1052</v>
      </c>
      <c r="DM1506" s="64">
        <v>2</v>
      </c>
      <c r="DN1506" s="406" t="s">
        <v>6813</v>
      </c>
      <c r="DO1506" s="406">
        <v>-21.14</v>
      </c>
      <c r="DP1506" s="80">
        <v>991</v>
      </c>
    </row>
    <row r="1507" spans="29:120" x14ac:dyDescent="0.25">
      <c r="AC1507" s="122" t="s">
        <v>247</v>
      </c>
      <c r="AD1507" s="122" t="s">
        <v>1893</v>
      </c>
      <c r="AE1507" s="127">
        <v>8</v>
      </c>
      <c r="DA1507" s="122" t="s">
        <v>333</v>
      </c>
      <c r="DB1507" s="122" t="s">
        <v>979</v>
      </c>
      <c r="DC1507" s="122" t="s">
        <v>979</v>
      </c>
      <c r="DD1507" s="127">
        <v>2</v>
      </c>
      <c r="DE1507" s="127">
        <v>2</v>
      </c>
      <c r="DG1507" s="405" t="s">
        <v>333</v>
      </c>
      <c r="DH1507" s="406" t="s">
        <v>979</v>
      </c>
      <c r="DI1507" s="406" t="str">
        <f t="shared" si="55"/>
        <v>MG, Carvalhópolis</v>
      </c>
      <c r="DJ1507" s="406">
        <v>-21.777999999999999</v>
      </c>
      <c r="DK1507" s="80">
        <v>-45.841000000000001</v>
      </c>
      <c r="DL1507" s="80">
        <v>868</v>
      </c>
      <c r="DM1507" s="64">
        <v>2</v>
      </c>
      <c r="DN1507" s="406" t="s">
        <v>6811</v>
      </c>
      <c r="DO1507" s="406">
        <v>-21.55</v>
      </c>
      <c r="DP1507" s="80">
        <v>955</v>
      </c>
    </row>
    <row r="1508" spans="29:120" x14ac:dyDescent="0.25">
      <c r="AC1508" s="122" t="s">
        <v>333</v>
      </c>
      <c r="AD1508" s="122" t="s">
        <v>1894</v>
      </c>
      <c r="AE1508" s="127">
        <v>5</v>
      </c>
      <c r="DA1508" s="122" t="s">
        <v>333</v>
      </c>
      <c r="DB1508" s="122" t="s">
        <v>608</v>
      </c>
      <c r="DC1508" s="122" t="s">
        <v>608</v>
      </c>
      <c r="DD1508" s="127">
        <v>3</v>
      </c>
      <c r="DE1508" s="127">
        <v>3</v>
      </c>
      <c r="DG1508" s="405" t="s">
        <v>333</v>
      </c>
      <c r="DH1508" s="406" t="s">
        <v>608</v>
      </c>
      <c r="DI1508" s="406" t="str">
        <f t="shared" si="55"/>
        <v>MG, Carvalhos</v>
      </c>
      <c r="DJ1508" s="406">
        <v>-22.001000000000001</v>
      </c>
      <c r="DK1508" s="80">
        <v>-44.460999999999999</v>
      </c>
      <c r="DL1508" s="80">
        <v>1092</v>
      </c>
      <c r="DM1508" s="64">
        <v>3</v>
      </c>
      <c r="DN1508" s="406" t="s">
        <v>6807</v>
      </c>
      <c r="DO1508" s="406">
        <v>-22.47</v>
      </c>
      <c r="DP1508" s="80">
        <v>440</v>
      </c>
    </row>
    <row r="1509" spans="29:120" x14ac:dyDescent="0.25">
      <c r="AC1509" s="122" t="s">
        <v>369</v>
      </c>
      <c r="AD1509" s="122" t="s">
        <v>1895</v>
      </c>
      <c r="AE1509" s="127">
        <v>8</v>
      </c>
      <c r="DA1509" s="122" t="s">
        <v>333</v>
      </c>
      <c r="DB1509" s="122" t="s">
        <v>6905</v>
      </c>
      <c r="DC1509" s="122" t="s">
        <v>609</v>
      </c>
      <c r="DD1509" s="127">
        <v>2</v>
      </c>
      <c r="DE1509" s="127">
        <v>2</v>
      </c>
      <c r="DG1509" s="405" t="s">
        <v>333</v>
      </c>
      <c r="DH1509" s="406" t="s">
        <v>609</v>
      </c>
      <c r="DI1509" s="406" t="str">
        <f t="shared" si="55"/>
        <v>MG, Casa Grande</v>
      </c>
      <c r="DJ1509" s="406">
        <v>-20.792999999999999</v>
      </c>
      <c r="DK1509" s="80">
        <v>-43.93</v>
      </c>
      <c r="DL1509" s="80">
        <v>972</v>
      </c>
      <c r="DM1509" s="64">
        <v>2</v>
      </c>
      <c r="DN1509" s="406" t="s">
        <v>6848</v>
      </c>
      <c r="DO1509" s="406">
        <v>-20.52</v>
      </c>
      <c r="DP1509" s="80">
        <v>1061</v>
      </c>
    </row>
    <row r="1510" spans="29:120" x14ac:dyDescent="0.25">
      <c r="AC1510" s="122" t="s">
        <v>333</v>
      </c>
      <c r="AD1510" s="122" t="s">
        <v>1896</v>
      </c>
      <c r="AE1510" s="127">
        <v>5</v>
      </c>
      <c r="DA1510" s="122" t="s">
        <v>333</v>
      </c>
      <c r="DB1510" s="122" t="s">
        <v>6906</v>
      </c>
      <c r="DC1510" s="122" t="s">
        <v>2671</v>
      </c>
      <c r="DD1510" s="127">
        <v>6</v>
      </c>
      <c r="DE1510" s="127">
        <v>6</v>
      </c>
      <c r="DG1510" s="405" t="s">
        <v>333</v>
      </c>
      <c r="DH1510" s="406" t="s">
        <v>2671</v>
      </c>
      <c r="DI1510" s="406" t="str">
        <f t="shared" si="55"/>
        <v>MG, Cascalho Rico</v>
      </c>
      <c r="DJ1510" s="406">
        <v>-18.576000000000001</v>
      </c>
      <c r="DK1510" s="80">
        <v>-47.877000000000002</v>
      </c>
      <c r="DL1510" s="80">
        <v>709</v>
      </c>
      <c r="DM1510" s="64">
        <v>6</v>
      </c>
      <c r="DN1510" s="406" t="s">
        <v>6523</v>
      </c>
      <c r="DO1510" s="406">
        <v>-18.16</v>
      </c>
      <c r="DP1510" s="80">
        <v>890</v>
      </c>
    </row>
    <row r="1511" spans="29:120" x14ac:dyDescent="0.25">
      <c r="AC1511" s="122" t="s">
        <v>289</v>
      </c>
      <c r="AD1511" s="122" t="s">
        <v>1897</v>
      </c>
      <c r="AE1511" s="127">
        <v>5</v>
      </c>
      <c r="DA1511" s="122" t="s">
        <v>333</v>
      </c>
      <c r="DB1511" s="122" t="s">
        <v>2903</v>
      </c>
      <c r="DC1511" s="122" t="s">
        <v>2903</v>
      </c>
      <c r="DD1511" s="127">
        <v>4</v>
      </c>
      <c r="DE1511" s="127">
        <v>4</v>
      </c>
      <c r="DG1511" s="405" t="s">
        <v>333</v>
      </c>
      <c r="DH1511" s="406" t="s">
        <v>2903</v>
      </c>
      <c r="DI1511" s="406" t="str">
        <f t="shared" si="55"/>
        <v>MG, Cássia</v>
      </c>
      <c r="DJ1511" s="406">
        <v>-20.582999999999998</v>
      </c>
      <c r="DK1511" s="80">
        <v>-46.921999999999997</v>
      </c>
      <c r="DL1511" s="80">
        <v>738</v>
      </c>
      <c r="DM1511" s="64">
        <v>4</v>
      </c>
      <c r="DN1511" s="406" t="s">
        <v>6815</v>
      </c>
      <c r="DO1511" s="406">
        <v>-20.75</v>
      </c>
      <c r="DP1511" s="80">
        <v>875</v>
      </c>
    </row>
    <row r="1512" spans="29:120" x14ac:dyDescent="0.25">
      <c r="AC1512" s="122" t="s">
        <v>375</v>
      </c>
      <c r="AD1512" s="122" t="s">
        <v>1898</v>
      </c>
      <c r="AE1512" s="127">
        <v>8</v>
      </c>
      <c r="DA1512" s="122" t="s">
        <v>333</v>
      </c>
      <c r="DB1512" s="122" t="s">
        <v>3455</v>
      </c>
      <c r="DC1512" s="122" t="s">
        <v>3455</v>
      </c>
      <c r="DD1512" s="127">
        <v>5</v>
      </c>
      <c r="DE1512" s="127">
        <v>5</v>
      </c>
      <c r="DG1512" s="405" t="s">
        <v>333</v>
      </c>
      <c r="DH1512" s="406" t="s">
        <v>3455</v>
      </c>
      <c r="DI1512" s="406" t="str">
        <f t="shared" si="55"/>
        <v>MG, Cataguases</v>
      </c>
      <c r="DJ1512" s="406">
        <v>-21.388999999999999</v>
      </c>
      <c r="DK1512" s="80">
        <v>-42.697000000000003</v>
      </c>
      <c r="DL1512" s="80">
        <v>169</v>
      </c>
      <c r="DM1512" s="64">
        <v>5</v>
      </c>
      <c r="DN1512" s="406" t="s">
        <v>6827</v>
      </c>
      <c r="DO1512" s="406">
        <v>-21.13</v>
      </c>
      <c r="DP1512" s="80">
        <v>297</v>
      </c>
    </row>
    <row r="1513" spans="29:120" x14ac:dyDescent="0.25">
      <c r="AC1513" s="122" t="s">
        <v>289</v>
      </c>
      <c r="AD1513" s="122" t="s">
        <v>1899</v>
      </c>
      <c r="AE1513" s="127">
        <v>6</v>
      </c>
      <c r="DA1513" s="122" t="s">
        <v>333</v>
      </c>
      <c r="DB1513" s="122" t="s">
        <v>6907</v>
      </c>
      <c r="DC1513" s="122" t="s">
        <v>610</v>
      </c>
      <c r="DD1513" s="127">
        <v>3</v>
      </c>
      <c r="DE1513" s="127">
        <v>3</v>
      </c>
      <c r="DG1513" s="405" t="s">
        <v>333</v>
      </c>
      <c r="DH1513" s="406" t="s">
        <v>610</v>
      </c>
      <c r="DI1513" s="406" t="str">
        <f t="shared" si="55"/>
        <v>MG, Catas Altas</v>
      </c>
      <c r="DJ1513" s="406">
        <v>-20.074999999999999</v>
      </c>
      <c r="DK1513" s="80">
        <v>-43.408000000000001</v>
      </c>
      <c r="DL1513" s="80">
        <v>752</v>
      </c>
      <c r="DM1513" s="64">
        <v>3</v>
      </c>
      <c r="DN1513" s="406" t="s">
        <v>6848</v>
      </c>
      <c r="DO1513" s="406">
        <v>-20.52</v>
      </c>
      <c r="DP1513" s="80">
        <v>1061</v>
      </c>
    </row>
    <row r="1514" spans="29:120" x14ac:dyDescent="0.25">
      <c r="AC1514" s="122" t="s">
        <v>289</v>
      </c>
      <c r="AD1514" s="122" t="s">
        <v>1900</v>
      </c>
      <c r="AE1514" s="127">
        <v>5</v>
      </c>
      <c r="DA1514" s="122" t="s">
        <v>333</v>
      </c>
      <c r="DB1514" s="122" t="s">
        <v>6908</v>
      </c>
      <c r="DC1514" s="122" t="s">
        <v>561</v>
      </c>
      <c r="DD1514" s="127">
        <v>3</v>
      </c>
      <c r="DE1514" s="127">
        <v>3</v>
      </c>
      <c r="DG1514" s="405" t="s">
        <v>333</v>
      </c>
      <c r="DH1514" s="406" t="s">
        <v>561</v>
      </c>
      <c r="DI1514" s="406" t="str">
        <f t="shared" si="55"/>
        <v>MG, Catas Altas da Noruega</v>
      </c>
      <c r="DJ1514" s="406">
        <v>-20.69</v>
      </c>
      <c r="DK1514" s="80">
        <v>-43.497999999999998</v>
      </c>
      <c r="DL1514" s="80">
        <v>752</v>
      </c>
      <c r="DM1514" s="64">
        <v>3</v>
      </c>
      <c r="DN1514" s="406" t="s">
        <v>6848</v>
      </c>
      <c r="DO1514" s="406">
        <v>-20.52</v>
      </c>
      <c r="DP1514" s="80">
        <v>1061</v>
      </c>
    </row>
    <row r="1515" spans="29:120" x14ac:dyDescent="0.25">
      <c r="AC1515" s="122" t="s">
        <v>289</v>
      </c>
      <c r="AD1515" s="122" t="s">
        <v>1901</v>
      </c>
      <c r="AE1515" s="127">
        <v>8</v>
      </c>
      <c r="DA1515" s="122" t="s">
        <v>333</v>
      </c>
      <c r="DB1515" s="122" t="s">
        <v>2008</v>
      </c>
      <c r="DC1515" s="122" t="s">
        <v>2008</v>
      </c>
      <c r="DD1515" s="127">
        <v>5</v>
      </c>
      <c r="DE1515" s="127">
        <v>5</v>
      </c>
      <c r="DG1515" s="405" t="s">
        <v>333</v>
      </c>
      <c r="DH1515" s="406" t="s">
        <v>2008</v>
      </c>
      <c r="DI1515" s="406" t="str">
        <f t="shared" si="55"/>
        <v>MG, Catuji</v>
      </c>
      <c r="DJ1515" s="406">
        <v>-17.312000000000001</v>
      </c>
      <c r="DK1515" s="80">
        <v>-41.517000000000003</v>
      </c>
      <c r="DL1515" s="80">
        <v>625</v>
      </c>
      <c r="DM1515" s="64">
        <v>5</v>
      </c>
      <c r="DN1515" s="406" t="s">
        <v>6835</v>
      </c>
      <c r="DO1515" s="406">
        <v>-17.86</v>
      </c>
      <c r="DP1515" s="80">
        <v>475</v>
      </c>
    </row>
    <row r="1516" spans="29:120" x14ac:dyDescent="0.25">
      <c r="AC1516" s="122" t="s">
        <v>333</v>
      </c>
      <c r="AD1516" s="122" t="s">
        <v>1902</v>
      </c>
      <c r="AE1516" s="127">
        <v>5</v>
      </c>
      <c r="DA1516" s="122" t="s">
        <v>333</v>
      </c>
      <c r="DB1516" s="122" t="s">
        <v>5387</v>
      </c>
      <c r="DC1516" s="122" t="s">
        <v>5387</v>
      </c>
      <c r="DD1516" s="127">
        <v>6</v>
      </c>
      <c r="DE1516" s="127">
        <v>6</v>
      </c>
      <c r="DG1516" s="405" t="s">
        <v>333</v>
      </c>
      <c r="DH1516" s="406" t="s">
        <v>5387</v>
      </c>
      <c r="DI1516" s="406" t="str">
        <f t="shared" si="55"/>
        <v>MG, Catuti</v>
      </c>
      <c r="DJ1516" s="406">
        <v>-15.358000000000001</v>
      </c>
      <c r="DK1516" s="80">
        <v>-42.963000000000001</v>
      </c>
      <c r="DL1516" s="80">
        <v>530</v>
      </c>
      <c r="DM1516" s="64">
        <v>6</v>
      </c>
      <c r="DN1516" s="406" t="s">
        <v>6909</v>
      </c>
      <c r="DO1516" s="406">
        <v>-15.09</v>
      </c>
      <c r="DP1516" s="80">
        <v>460</v>
      </c>
    </row>
    <row r="1517" spans="29:120" x14ac:dyDescent="0.25">
      <c r="AC1517" s="122" t="s">
        <v>333</v>
      </c>
      <c r="AD1517" s="122" t="s">
        <v>1903</v>
      </c>
      <c r="AE1517" s="127">
        <v>5</v>
      </c>
      <c r="DA1517" s="122" t="s">
        <v>333</v>
      </c>
      <c r="DB1517" s="122" t="s">
        <v>969</v>
      </c>
      <c r="DC1517" s="122" t="s">
        <v>969</v>
      </c>
      <c r="DD1517" s="127">
        <v>2</v>
      </c>
      <c r="DE1517" s="127">
        <v>2</v>
      </c>
      <c r="DG1517" s="405" t="s">
        <v>333</v>
      </c>
      <c r="DH1517" s="406" t="s">
        <v>969</v>
      </c>
      <c r="DI1517" s="406" t="str">
        <f t="shared" si="55"/>
        <v>MG, Caxambu</v>
      </c>
      <c r="DJ1517" s="406">
        <v>-21.977</v>
      </c>
      <c r="DK1517" s="80">
        <v>-44.933</v>
      </c>
      <c r="DL1517" s="80">
        <v>895</v>
      </c>
      <c r="DM1517" s="64">
        <v>2</v>
      </c>
      <c r="DN1517" s="406" t="s">
        <v>6837</v>
      </c>
      <c r="DO1517" s="406">
        <v>-22.39</v>
      </c>
      <c r="DP1517" s="80">
        <v>1040</v>
      </c>
    </row>
    <row r="1518" spans="29:120" x14ac:dyDescent="0.25">
      <c r="AC1518" s="122" t="s">
        <v>289</v>
      </c>
      <c r="AD1518" s="122" t="s">
        <v>1904</v>
      </c>
      <c r="AE1518" s="127">
        <v>8</v>
      </c>
      <c r="DA1518" s="122" t="s">
        <v>333</v>
      </c>
      <c r="DB1518" s="122" t="s">
        <v>6910</v>
      </c>
      <c r="DC1518" s="122" t="s">
        <v>2719</v>
      </c>
      <c r="DD1518" s="127">
        <v>3</v>
      </c>
      <c r="DE1518" s="127">
        <v>3</v>
      </c>
      <c r="DG1518" s="405" t="s">
        <v>333</v>
      </c>
      <c r="DH1518" s="406" t="s">
        <v>2719</v>
      </c>
      <c r="DI1518" s="406" t="str">
        <f t="shared" si="55"/>
        <v>MG, Cedro do Abaeté</v>
      </c>
      <c r="DJ1518" s="406">
        <v>-19.148</v>
      </c>
      <c r="DK1518" s="80">
        <v>-45.710999999999999</v>
      </c>
      <c r="DL1518" s="80">
        <v>935</v>
      </c>
      <c r="DM1518" s="64">
        <v>3</v>
      </c>
      <c r="DN1518" s="406" t="s">
        <v>6795</v>
      </c>
      <c r="DO1518" s="406">
        <v>-19.46</v>
      </c>
      <c r="DP1518" s="80">
        <v>722</v>
      </c>
    </row>
    <row r="1519" spans="29:120" x14ac:dyDescent="0.25">
      <c r="AC1519" s="122" t="s">
        <v>333</v>
      </c>
      <c r="AD1519" s="122" t="s">
        <v>1905</v>
      </c>
      <c r="AE1519" s="127">
        <v>6</v>
      </c>
      <c r="DA1519" s="122" t="s">
        <v>333</v>
      </c>
      <c r="DB1519" s="122" t="s">
        <v>6911</v>
      </c>
      <c r="DC1519" s="122" t="s">
        <v>1890</v>
      </c>
      <c r="DD1519" s="127">
        <v>5</v>
      </c>
      <c r="DE1519" s="127">
        <v>5</v>
      </c>
      <c r="DG1519" s="405" t="s">
        <v>333</v>
      </c>
      <c r="DH1519" s="406" t="s">
        <v>1890</v>
      </c>
      <c r="DI1519" s="406" t="str">
        <f t="shared" si="55"/>
        <v>MG, Central de Minas</v>
      </c>
      <c r="DJ1519" s="406">
        <v>-18.762</v>
      </c>
      <c r="DK1519" s="80">
        <v>-41.305999999999997</v>
      </c>
      <c r="DL1519" s="80">
        <v>242</v>
      </c>
      <c r="DM1519" s="64">
        <v>5</v>
      </c>
      <c r="DN1519" s="406" t="s">
        <v>6456</v>
      </c>
      <c r="DO1519" s="406">
        <v>-18.78</v>
      </c>
      <c r="DP1519" s="80">
        <v>214</v>
      </c>
    </row>
    <row r="1520" spans="29:120" x14ac:dyDescent="0.25">
      <c r="AC1520" s="122" t="s">
        <v>289</v>
      </c>
      <c r="AD1520" s="122" t="s">
        <v>1906</v>
      </c>
      <c r="AE1520" s="127">
        <v>8</v>
      </c>
      <c r="DA1520" s="122" t="s">
        <v>333</v>
      </c>
      <c r="DB1520" s="122" t="s">
        <v>2974</v>
      </c>
      <c r="DC1520" s="122" t="s">
        <v>2974</v>
      </c>
      <c r="DD1520" s="127">
        <v>6</v>
      </c>
      <c r="DE1520" s="127">
        <v>6</v>
      </c>
      <c r="DG1520" s="405" t="s">
        <v>333</v>
      </c>
      <c r="DH1520" s="406" t="s">
        <v>2974</v>
      </c>
      <c r="DI1520" s="406" t="str">
        <f t="shared" si="55"/>
        <v>MG, Centralina</v>
      </c>
      <c r="DJ1520" s="406">
        <v>-18.584</v>
      </c>
      <c r="DK1520" s="80">
        <v>-49.198999999999998</v>
      </c>
      <c r="DL1520" s="80">
        <v>531</v>
      </c>
      <c r="DM1520" s="64">
        <v>6</v>
      </c>
      <c r="DN1520" s="406" t="s">
        <v>6536</v>
      </c>
      <c r="DO1520" s="406">
        <v>-18.41</v>
      </c>
      <c r="DP1520" s="80">
        <v>488</v>
      </c>
    </row>
    <row r="1521" spans="29:120" x14ac:dyDescent="0.25">
      <c r="AC1521" s="122" t="s">
        <v>333</v>
      </c>
      <c r="AD1521" s="122" t="s">
        <v>1907</v>
      </c>
      <c r="AE1521" s="127">
        <v>5</v>
      </c>
      <c r="DA1521" s="122" t="s">
        <v>333</v>
      </c>
      <c r="DB1521" s="122" t="s">
        <v>3459</v>
      </c>
      <c r="DC1521" s="122" t="s">
        <v>3459</v>
      </c>
      <c r="DD1521" s="127">
        <v>3</v>
      </c>
      <c r="DE1521" s="127">
        <v>3</v>
      </c>
      <c r="DG1521" s="405" t="s">
        <v>333</v>
      </c>
      <c r="DH1521" s="406" t="s">
        <v>3459</v>
      </c>
      <c r="DI1521" s="406" t="str">
        <f t="shared" si="55"/>
        <v>MG, Chácara</v>
      </c>
      <c r="DJ1521" s="406">
        <v>-21.672000000000001</v>
      </c>
      <c r="DK1521" s="80">
        <v>-43.222000000000001</v>
      </c>
      <c r="DL1521" s="80">
        <v>800</v>
      </c>
      <c r="DM1521" s="64">
        <v>3</v>
      </c>
      <c r="DN1521" s="406" t="s">
        <v>6829</v>
      </c>
      <c r="DO1521" s="406">
        <v>-21.76</v>
      </c>
      <c r="DP1521" s="80">
        <v>950</v>
      </c>
    </row>
    <row r="1522" spans="29:120" x14ac:dyDescent="0.25">
      <c r="AC1522" s="122" t="s">
        <v>333</v>
      </c>
      <c r="AD1522" s="122" t="s">
        <v>1908</v>
      </c>
      <c r="AE1522" s="127">
        <v>5</v>
      </c>
      <c r="DA1522" s="122" t="s">
        <v>333</v>
      </c>
      <c r="DB1522" s="122" t="s">
        <v>3438</v>
      </c>
      <c r="DC1522" s="122" t="s">
        <v>3438</v>
      </c>
      <c r="DD1522" s="127">
        <v>3</v>
      </c>
      <c r="DE1522" s="127">
        <v>3</v>
      </c>
      <c r="DG1522" s="405" t="s">
        <v>333</v>
      </c>
      <c r="DH1522" s="406" t="s">
        <v>3438</v>
      </c>
      <c r="DI1522" s="406" t="str">
        <f t="shared" si="55"/>
        <v>MG, Chalé</v>
      </c>
      <c r="DJ1522" s="406">
        <v>-20.044</v>
      </c>
      <c r="DK1522" s="80">
        <v>-41.688000000000002</v>
      </c>
      <c r="DL1522" s="80">
        <v>370</v>
      </c>
      <c r="DM1522" s="64">
        <v>3</v>
      </c>
      <c r="DN1522" s="406" t="s">
        <v>6819</v>
      </c>
      <c r="DO1522" s="406">
        <v>-19.79</v>
      </c>
      <c r="DP1522" s="80">
        <v>615</v>
      </c>
    </row>
    <row r="1523" spans="29:120" x14ac:dyDescent="0.25">
      <c r="AC1523" s="122" t="s">
        <v>317</v>
      </c>
      <c r="AD1523" s="122" t="s">
        <v>1909</v>
      </c>
      <c r="AE1523" s="127">
        <v>5</v>
      </c>
      <c r="DA1523" s="122" t="s">
        <v>333</v>
      </c>
      <c r="DB1523" s="122" t="s">
        <v>6912</v>
      </c>
      <c r="DC1523" s="122" t="s">
        <v>2768</v>
      </c>
      <c r="DD1523" s="127">
        <v>5</v>
      </c>
      <c r="DE1523" s="127">
        <v>5</v>
      </c>
      <c r="DG1523" s="405" t="s">
        <v>333</v>
      </c>
      <c r="DH1523" s="406" t="s">
        <v>2768</v>
      </c>
      <c r="DI1523" s="406" t="str">
        <f t="shared" si="55"/>
        <v>MG, Chapada do Norte</v>
      </c>
      <c r="DJ1523" s="406">
        <v>-17.087</v>
      </c>
      <c r="DK1523" s="80">
        <v>-42.534999999999997</v>
      </c>
      <c r="DL1523" s="80">
        <v>597</v>
      </c>
      <c r="DM1523" s="64">
        <v>5</v>
      </c>
      <c r="DN1523" s="406" t="s">
        <v>6800</v>
      </c>
      <c r="DO1523" s="406">
        <v>-17.690000000000001</v>
      </c>
      <c r="DP1523" s="80">
        <v>932</v>
      </c>
    </row>
    <row r="1524" spans="29:120" x14ac:dyDescent="0.25">
      <c r="AC1524" s="122" t="s">
        <v>333</v>
      </c>
      <c r="AD1524" s="122" t="s">
        <v>1910</v>
      </c>
      <c r="AE1524" s="127">
        <v>5</v>
      </c>
      <c r="DA1524" s="122" t="s">
        <v>333</v>
      </c>
      <c r="DB1524" s="122" t="s">
        <v>6913</v>
      </c>
      <c r="DC1524" s="122" t="s">
        <v>2205</v>
      </c>
      <c r="DD1524" s="127">
        <v>6</v>
      </c>
      <c r="DE1524" s="127">
        <v>6</v>
      </c>
      <c r="DG1524" s="405" t="s">
        <v>333</v>
      </c>
      <c r="DH1524" s="406" t="s">
        <v>2205</v>
      </c>
      <c r="DI1524" s="406" t="str">
        <f t="shared" si="55"/>
        <v>MG, Chapada Gaúcha</v>
      </c>
      <c r="DJ1524" s="406">
        <v>-15.305999999999999</v>
      </c>
      <c r="DK1524" s="80">
        <v>-45.618000000000002</v>
      </c>
      <c r="DL1524" s="80">
        <v>858</v>
      </c>
      <c r="DM1524" s="64">
        <v>6</v>
      </c>
      <c r="DN1524" s="406" t="s">
        <v>6866</v>
      </c>
      <c r="DO1524" s="406">
        <v>-15.31</v>
      </c>
      <c r="DP1524" s="80">
        <v>880</v>
      </c>
    </row>
    <row r="1525" spans="29:120" x14ac:dyDescent="0.25">
      <c r="AC1525" s="122" t="s">
        <v>289</v>
      </c>
      <c r="AD1525" s="122" t="s">
        <v>1177</v>
      </c>
      <c r="AE1525" s="127">
        <v>8</v>
      </c>
      <c r="DA1525" s="122" t="s">
        <v>333</v>
      </c>
      <c r="DB1525" s="122" t="s">
        <v>611</v>
      </c>
      <c r="DC1525" s="122" t="s">
        <v>611</v>
      </c>
      <c r="DD1525" s="127">
        <v>3</v>
      </c>
      <c r="DE1525" s="127">
        <v>3</v>
      </c>
      <c r="DG1525" s="405" t="s">
        <v>333</v>
      </c>
      <c r="DH1525" s="406" t="s">
        <v>611</v>
      </c>
      <c r="DI1525" s="406" t="str">
        <f t="shared" si="55"/>
        <v>MG, Chiador</v>
      </c>
      <c r="DJ1525" s="406">
        <v>-22.003</v>
      </c>
      <c r="DK1525" s="80">
        <v>-43.058</v>
      </c>
      <c r="DL1525" s="80">
        <v>332</v>
      </c>
      <c r="DM1525" s="64">
        <v>3</v>
      </c>
      <c r="DN1525" s="406" t="s">
        <v>6829</v>
      </c>
      <c r="DO1525" s="406">
        <v>-21.76</v>
      </c>
      <c r="DP1525" s="80">
        <v>950</v>
      </c>
    </row>
    <row r="1526" spans="29:120" x14ac:dyDescent="0.25">
      <c r="AC1526" s="122" t="s">
        <v>317</v>
      </c>
      <c r="AD1526" s="122" t="s">
        <v>1911</v>
      </c>
      <c r="AE1526" s="127">
        <v>8</v>
      </c>
      <c r="DA1526" s="122" t="s">
        <v>333</v>
      </c>
      <c r="DB1526" s="122" t="s">
        <v>612</v>
      </c>
      <c r="DC1526" s="122" t="s">
        <v>612</v>
      </c>
      <c r="DD1526" s="127">
        <v>3</v>
      </c>
      <c r="DE1526" s="127">
        <v>3</v>
      </c>
      <c r="DG1526" s="405" t="s">
        <v>333</v>
      </c>
      <c r="DH1526" s="406" t="s">
        <v>612</v>
      </c>
      <c r="DI1526" s="406" t="str">
        <f t="shared" si="55"/>
        <v>MG, Cipotânea</v>
      </c>
      <c r="DJ1526" s="406">
        <v>-20.905000000000001</v>
      </c>
      <c r="DK1526" s="80">
        <v>-43.366</v>
      </c>
      <c r="DL1526" s="80">
        <v>660</v>
      </c>
      <c r="DM1526" s="64">
        <v>3</v>
      </c>
      <c r="DN1526" s="406" t="s">
        <v>6797</v>
      </c>
      <c r="DO1526" s="406">
        <v>-20.75</v>
      </c>
      <c r="DP1526" s="80">
        <v>712</v>
      </c>
    </row>
    <row r="1527" spans="29:120" x14ac:dyDescent="0.25">
      <c r="AC1527" s="122" t="s">
        <v>289</v>
      </c>
      <c r="AD1527" s="122" t="s">
        <v>1912</v>
      </c>
      <c r="AE1527" s="127">
        <v>5</v>
      </c>
      <c r="DA1527" s="122" t="s">
        <v>333</v>
      </c>
      <c r="DB1527" s="122" t="s">
        <v>1056</v>
      </c>
      <c r="DC1527" s="122" t="s">
        <v>1056</v>
      </c>
      <c r="DD1527" s="127">
        <v>4</v>
      </c>
      <c r="DE1527" s="127">
        <v>4</v>
      </c>
      <c r="DG1527" s="405" t="s">
        <v>333</v>
      </c>
      <c r="DH1527" s="406" t="s">
        <v>1056</v>
      </c>
      <c r="DI1527" s="406" t="str">
        <f t="shared" si="55"/>
        <v>MG, Claraval</v>
      </c>
      <c r="DJ1527" s="406">
        <v>-20.399000000000001</v>
      </c>
      <c r="DK1527" s="80">
        <v>-47.267000000000003</v>
      </c>
      <c r="DL1527" s="80">
        <v>749</v>
      </c>
      <c r="DM1527" s="64">
        <v>4</v>
      </c>
      <c r="DN1527" s="406" t="s">
        <v>6892</v>
      </c>
      <c r="DO1527" s="406">
        <v>-20.54</v>
      </c>
      <c r="DP1527" s="80">
        <v>1026</v>
      </c>
    </row>
    <row r="1528" spans="29:120" x14ac:dyDescent="0.25">
      <c r="AC1528" s="122" t="s">
        <v>323</v>
      </c>
      <c r="AD1528" s="122" t="s">
        <v>1913</v>
      </c>
      <c r="AE1528" s="127">
        <v>8</v>
      </c>
      <c r="DA1528" s="122" t="s">
        <v>333</v>
      </c>
      <c r="DB1528" s="122" t="s">
        <v>6914</v>
      </c>
      <c r="DC1528" s="122" t="s">
        <v>2795</v>
      </c>
      <c r="DD1528" s="127">
        <v>6</v>
      </c>
      <c r="DE1528" s="127">
        <v>6</v>
      </c>
      <c r="DG1528" s="405" t="s">
        <v>333</v>
      </c>
      <c r="DH1528" s="406" t="s">
        <v>2795</v>
      </c>
      <c r="DI1528" s="406" t="str">
        <f t="shared" si="55"/>
        <v>MG, Claro dos Poções</v>
      </c>
      <c r="DJ1528" s="406">
        <v>-17.079999999999998</v>
      </c>
      <c r="DK1528" s="80">
        <v>-44.209000000000003</v>
      </c>
      <c r="DL1528" s="80">
        <v>632</v>
      </c>
      <c r="DM1528" s="64">
        <v>6</v>
      </c>
      <c r="DN1528" s="406" t="s">
        <v>6853</v>
      </c>
      <c r="DO1528" s="406">
        <v>-16.739999999999998</v>
      </c>
      <c r="DP1528" s="80">
        <v>646</v>
      </c>
    </row>
    <row r="1529" spans="29:120" x14ac:dyDescent="0.25">
      <c r="AC1529" s="122" t="s">
        <v>289</v>
      </c>
      <c r="AD1529" s="122" t="s">
        <v>1914</v>
      </c>
      <c r="AE1529" s="127">
        <v>8</v>
      </c>
      <c r="DA1529" s="122" t="s">
        <v>333</v>
      </c>
      <c r="DB1529" s="122" t="s">
        <v>2730</v>
      </c>
      <c r="DC1529" s="122" t="s">
        <v>2730</v>
      </c>
      <c r="DD1529" s="127">
        <v>4</v>
      </c>
      <c r="DE1529" s="127">
        <v>4</v>
      </c>
      <c r="DG1529" s="405" t="s">
        <v>333</v>
      </c>
      <c r="DH1529" s="406" t="s">
        <v>2730</v>
      </c>
      <c r="DI1529" s="406" t="str">
        <f t="shared" si="55"/>
        <v>MG, Cláudio</v>
      </c>
      <c r="DJ1529" s="406">
        <v>-20.443000000000001</v>
      </c>
      <c r="DK1529" s="80">
        <v>-44.765999999999998</v>
      </c>
      <c r="DL1529" s="80">
        <v>832</v>
      </c>
      <c r="DM1529" s="64">
        <v>4</v>
      </c>
      <c r="DN1529" s="406" t="s">
        <v>6803</v>
      </c>
      <c r="DO1529" s="406">
        <v>-20.46</v>
      </c>
      <c r="DP1529" s="80">
        <v>878</v>
      </c>
    </row>
    <row r="1530" spans="29:120" x14ac:dyDescent="0.25">
      <c r="AC1530" s="122" t="s">
        <v>333</v>
      </c>
      <c r="AD1530" s="122" t="s">
        <v>1915</v>
      </c>
      <c r="AE1530" s="127">
        <v>5</v>
      </c>
      <c r="DA1530" s="122" t="s">
        <v>333</v>
      </c>
      <c r="DB1530" s="122" t="s">
        <v>3359</v>
      </c>
      <c r="DC1530" s="122" t="s">
        <v>3359</v>
      </c>
      <c r="DD1530" s="127">
        <v>3</v>
      </c>
      <c r="DE1530" s="127">
        <v>3</v>
      </c>
      <c r="DG1530" s="405" t="s">
        <v>333</v>
      </c>
      <c r="DH1530" s="406" t="s">
        <v>3359</v>
      </c>
      <c r="DI1530" s="406" t="str">
        <f t="shared" si="55"/>
        <v>MG, Coimbra</v>
      </c>
      <c r="DJ1530" s="406">
        <v>-20.856999999999999</v>
      </c>
      <c r="DK1530" s="80">
        <v>-42.802999999999997</v>
      </c>
      <c r="DL1530" s="80">
        <v>720</v>
      </c>
      <c r="DM1530" s="64">
        <v>3</v>
      </c>
      <c r="DN1530" s="406" t="s">
        <v>6797</v>
      </c>
      <c r="DO1530" s="406">
        <v>-20.75</v>
      </c>
      <c r="DP1530" s="80">
        <v>712</v>
      </c>
    </row>
    <row r="1531" spans="29:120" x14ac:dyDescent="0.25">
      <c r="AC1531" s="122" t="s">
        <v>322</v>
      </c>
      <c r="AD1531" s="122" t="s">
        <v>1916</v>
      </c>
      <c r="AE1531" s="127">
        <v>6</v>
      </c>
      <c r="DA1531" s="122" t="s">
        <v>333</v>
      </c>
      <c r="DB1531" s="122" t="s">
        <v>3468</v>
      </c>
      <c r="DC1531" s="122" t="s">
        <v>3468</v>
      </c>
      <c r="DD1531" s="127">
        <v>3</v>
      </c>
      <c r="DE1531" s="127">
        <v>3</v>
      </c>
      <c r="DG1531" s="405" t="s">
        <v>333</v>
      </c>
      <c r="DH1531" s="406" t="s">
        <v>3468</v>
      </c>
      <c r="DI1531" s="406" t="str">
        <f t="shared" si="55"/>
        <v>MG, Coluna</v>
      </c>
      <c r="DJ1531" s="406">
        <v>-18.234000000000002</v>
      </c>
      <c r="DK1531" s="80">
        <v>-42.84</v>
      </c>
      <c r="DL1531" s="80">
        <v>691</v>
      </c>
      <c r="DM1531" s="64">
        <v>3</v>
      </c>
      <c r="DN1531" s="406" t="s">
        <v>6800</v>
      </c>
      <c r="DO1531" s="406">
        <v>-17.690000000000001</v>
      </c>
      <c r="DP1531" s="80">
        <v>932</v>
      </c>
    </row>
    <row r="1532" spans="29:120" x14ac:dyDescent="0.25">
      <c r="AC1532" s="122" t="s">
        <v>323</v>
      </c>
      <c r="AD1532" s="122" t="s">
        <v>1917</v>
      </c>
      <c r="AE1532" s="127">
        <v>8</v>
      </c>
      <c r="DA1532" s="122" t="s">
        <v>333</v>
      </c>
      <c r="DB1532" s="122" t="s">
        <v>6915</v>
      </c>
      <c r="DC1532" s="122" t="s">
        <v>2722</v>
      </c>
      <c r="DD1532" s="127">
        <v>6</v>
      </c>
      <c r="DE1532" s="127">
        <v>6</v>
      </c>
      <c r="DG1532" s="405" t="s">
        <v>333</v>
      </c>
      <c r="DH1532" s="406" t="s">
        <v>2722</v>
      </c>
      <c r="DI1532" s="406" t="str">
        <f t="shared" si="55"/>
        <v>MG, Comendador Gomes</v>
      </c>
      <c r="DJ1532" s="406">
        <v>-19.698</v>
      </c>
      <c r="DK1532" s="80">
        <v>-49.081000000000003</v>
      </c>
      <c r="DL1532" s="80">
        <v>557</v>
      </c>
      <c r="DM1532" s="64">
        <v>6</v>
      </c>
      <c r="DN1532" s="406" t="s">
        <v>6802</v>
      </c>
      <c r="DO1532" s="406">
        <v>-19.989999999999998</v>
      </c>
      <c r="DP1532" s="80">
        <v>568</v>
      </c>
    </row>
    <row r="1533" spans="29:120" x14ac:dyDescent="0.25">
      <c r="AC1533" s="122" t="s">
        <v>369</v>
      </c>
      <c r="AD1533" s="122" t="s">
        <v>1918</v>
      </c>
      <c r="AE1533" s="127">
        <v>8</v>
      </c>
      <c r="DA1533" s="122" t="s">
        <v>333</v>
      </c>
      <c r="DB1533" s="122" t="s">
        <v>2675</v>
      </c>
      <c r="DC1533" s="122" t="s">
        <v>2675</v>
      </c>
      <c r="DD1533" s="127">
        <v>5</v>
      </c>
      <c r="DE1533" s="127">
        <v>5</v>
      </c>
      <c r="DG1533" s="405" t="s">
        <v>333</v>
      </c>
      <c r="DH1533" s="406" t="s">
        <v>2675</v>
      </c>
      <c r="DI1533" s="406" t="str">
        <f t="shared" si="55"/>
        <v>MG, Comercinho</v>
      </c>
      <c r="DJ1533" s="406">
        <v>-16.295999999999999</v>
      </c>
      <c r="DK1533" s="80">
        <v>-41.792999999999999</v>
      </c>
      <c r="DL1533" s="80">
        <v>620</v>
      </c>
      <c r="DM1533" s="64">
        <v>5</v>
      </c>
      <c r="DN1533" s="406" t="s">
        <v>6805</v>
      </c>
      <c r="DO1533" s="406">
        <v>-16.34</v>
      </c>
      <c r="DP1533" s="80">
        <v>266</v>
      </c>
    </row>
    <row r="1534" spans="29:120" x14ac:dyDescent="0.25">
      <c r="AC1534" s="122" t="s">
        <v>333</v>
      </c>
      <c r="AD1534" s="122" t="s">
        <v>1919</v>
      </c>
      <c r="AE1534" s="127">
        <v>3</v>
      </c>
      <c r="DA1534" s="122" t="s">
        <v>333</v>
      </c>
      <c r="DB1534" s="122" t="s">
        <v>6916</v>
      </c>
      <c r="DC1534" s="122" t="s">
        <v>613</v>
      </c>
      <c r="DD1534" s="127">
        <v>2</v>
      </c>
      <c r="DE1534" s="127">
        <v>2</v>
      </c>
      <c r="DG1534" s="405" t="s">
        <v>333</v>
      </c>
      <c r="DH1534" s="406" t="s">
        <v>613</v>
      </c>
      <c r="DI1534" s="406" t="str">
        <f t="shared" si="55"/>
        <v>MG, Conceição da Aparecida</v>
      </c>
      <c r="DJ1534" s="406">
        <v>-21.094000000000001</v>
      </c>
      <c r="DK1534" s="80">
        <v>-46.204000000000001</v>
      </c>
      <c r="DL1534" s="80">
        <v>985</v>
      </c>
      <c r="DM1534" s="64">
        <v>2</v>
      </c>
      <c r="DN1534" s="406" t="s">
        <v>6815</v>
      </c>
      <c r="DO1534" s="406">
        <v>-20.75</v>
      </c>
      <c r="DP1534" s="80">
        <v>875</v>
      </c>
    </row>
    <row r="1535" spans="29:120" x14ac:dyDescent="0.25">
      <c r="AC1535" s="122" t="s">
        <v>317</v>
      </c>
      <c r="AD1535" s="122" t="s">
        <v>1920</v>
      </c>
      <c r="AE1535" s="127">
        <v>8</v>
      </c>
      <c r="DA1535" s="122" t="s">
        <v>333</v>
      </c>
      <c r="DB1535" s="122" t="s">
        <v>6917</v>
      </c>
      <c r="DC1535" s="122" t="s">
        <v>614</v>
      </c>
      <c r="DD1535" s="127">
        <v>2</v>
      </c>
      <c r="DE1535" s="127">
        <v>2</v>
      </c>
      <c r="DG1535" s="405" t="s">
        <v>333</v>
      </c>
      <c r="DH1535" s="406" t="s">
        <v>614</v>
      </c>
      <c r="DI1535" s="406" t="str">
        <f t="shared" si="55"/>
        <v>MG, Conceição da Barra de Minas</v>
      </c>
      <c r="DJ1535" s="406">
        <v>-21.129000000000001</v>
      </c>
      <c r="DK1535" s="80">
        <v>-44.472000000000001</v>
      </c>
      <c r="DL1535" s="80">
        <v>928</v>
      </c>
      <c r="DM1535" s="64">
        <v>2</v>
      </c>
      <c r="DN1535" s="406" t="s">
        <v>6813</v>
      </c>
      <c r="DO1535" s="406">
        <v>-21.14</v>
      </c>
      <c r="DP1535" s="80">
        <v>991</v>
      </c>
    </row>
    <row r="1536" spans="29:120" x14ac:dyDescent="0.25">
      <c r="AC1536" s="122" t="s">
        <v>333</v>
      </c>
      <c r="AD1536" s="122" t="s">
        <v>1921</v>
      </c>
      <c r="AE1536" s="127">
        <v>3</v>
      </c>
      <c r="DA1536" s="122" t="s">
        <v>333</v>
      </c>
      <c r="DB1536" s="122" t="s">
        <v>6918</v>
      </c>
      <c r="DC1536" s="122" t="s">
        <v>2930</v>
      </c>
      <c r="DD1536" s="127">
        <v>6</v>
      </c>
      <c r="DE1536" s="127">
        <v>6</v>
      </c>
      <c r="DG1536" s="405" t="s">
        <v>333</v>
      </c>
      <c r="DH1536" s="406" t="s">
        <v>2930</v>
      </c>
      <c r="DI1536" s="406" t="str">
        <f t="shared" si="55"/>
        <v>MG, Conceição das Alagoas</v>
      </c>
      <c r="DJ1536" s="406">
        <v>-19.914999999999999</v>
      </c>
      <c r="DK1536" s="80">
        <v>-48.387999999999998</v>
      </c>
      <c r="DL1536" s="80">
        <v>509</v>
      </c>
      <c r="DM1536" s="64">
        <v>6</v>
      </c>
      <c r="DN1536" s="406" t="s">
        <v>6802</v>
      </c>
      <c r="DO1536" s="406">
        <v>-19.989999999999998</v>
      </c>
      <c r="DP1536" s="80">
        <v>568</v>
      </c>
    </row>
    <row r="1537" spans="29:120" x14ac:dyDescent="0.25">
      <c r="AC1537" s="122" t="s">
        <v>247</v>
      </c>
      <c r="AD1537" s="122" t="s">
        <v>1922</v>
      </c>
      <c r="AE1537" s="127">
        <v>8</v>
      </c>
      <c r="DA1537" s="122" t="s">
        <v>333</v>
      </c>
      <c r="DB1537" s="122" t="s">
        <v>6919</v>
      </c>
      <c r="DC1537" s="122" t="s">
        <v>1010</v>
      </c>
      <c r="DD1537" s="127">
        <v>2</v>
      </c>
      <c r="DE1537" s="127">
        <v>2</v>
      </c>
      <c r="DG1537" s="405" t="s">
        <v>333</v>
      </c>
      <c r="DH1537" s="406" t="s">
        <v>1010</v>
      </c>
      <c r="DI1537" s="406" t="str">
        <f t="shared" si="55"/>
        <v>MG, Conceição das Pedras</v>
      </c>
      <c r="DJ1537" s="406">
        <v>-22.16</v>
      </c>
      <c r="DK1537" s="80">
        <v>-45.454999999999998</v>
      </c>
      <c r="DL1537" s="80">
        <v>1068</v>
      </c>
      <c r="DM1537" s="64">
        <v>2</v>
      </c>
      <c r="DN1537" s="406" t="s">
        <v>6881</v>
      </c>
      <c r="DO1537" s="406">
        <v>-22.31</v>
      </c>
      <c r="DP1537" s="80">
        <v>1276</v>
      </c>
    </row>
    <row r="1538" spans="29:120" x14ac:dyDescent="0.25">
      <c r="AC1538" s="122" t="s">
        <v>289</v>
      </c>
      <c r="AD1538" s="122" t="s">
        <v>1923</v>
      </c>
      <c r="AE1538" s="127">
        <v>8</v>
      </c>
      <c r="DA1538" s="122" t="s">
        <v>333</v>
      </c>
      <c r="DB1538" s="122" t="s">
        <v>6920</v>
      </c>
      <c r="DC1538" s="122" t="s">
        <v>3404</v>
      </c>
      <c r="DD1538" s="127">
        <v>3</v>
      </c>
      <c r="DE1538" s="127">
        <v>3</v>
      </c>
      <c r="DG1538" s="405" t="s">
        <v>333</v>
      </c>
      <c r="DH1538" s="406" t="s">
        <v>3404</v>
      </c>
      <c r="DI1538" s="406" t="str">
        <f t="shared" si="55"/>
        <v>MG, Conceição de Ipanema</v>
      </c>
      <c r="DJ1538" s="406">
        <v>-19.928000000000001</v>
      </c>
      <c r="DK1538" s="80">
        <v>-41.694000000000003</v>
      </c>
      <c r="DL1538" s="80">
        <v>294</v>
      </c>
      <c r="DM1538" s="64">
        <v>3</v>
      </c>
      <c r="DN1538" s="406" t="s">
        <v>6819</v>
      </c>
      <c r="DO1538" s="406">
        <v>-19.79</v>
      </c>
      <c r="DP1538" s="80">
        <v>615</v>
      </c>
    </row>
    <row r="1539" spans="29:120" x14ac:dyDescent="0.25">
      <c r="AC1539" s="122" t="s">
        <v>289</v>
      </c>
      <c r="AD1539" s="122" t="s">
        <v>1924</v>
      </c>
      <c r="AE1539" s="127">
        <v>8</v>
      </c>
      <c r="DA1539" s="122" t="s">
        <v>333</v>
      </c>
      <c r="DB1539" s="122" t="s">
        <v>6921</v>
      </c>
      <c r="DC1539" s="122" t="s">
        <v>3761</v>
      </c>
      <c r="DD1539" s="127">
        <v>3</v>
      </c>
      <c r="DE1539" s="127">
        <v>3</v>
      </c>
      <c r="DG1539" s="405" t="s">
        <v>333</v>
      </c>
      <c r="DH1539" s="406" t="s">
        <v>3761</v>
      </c>
      <c r="DI1539" s="406" t="str">
        <f t="shared" ref="DI1539:DI1602" si="56">CONCATENATE(DG1539,", ",DH1539)</f>
        <v>MG, Conceição do Mato Dentro</v>
      </c>
      <c r="DJ1539" s="406">
        <v>-19.036999999999999</v>
      </c>
      <c r="DK1539" s="80">
        <v>-43.424999999999997</v>
      </c>
      <c r="DL1539" s="80">
        <v>701</v>
      </c>
      <c r="DM1539" s="64">
        <v>3</v>
      </c>
      <c r="DN1539" s="406" t="s">
        <v>6821</v>
      </c>
      <c r="DO1539" s="406">
        <v>-18.23</v>
      </c>
      <c r="DP1539" s="80">
        <v>1356</v>
      </c>
    </row>
    <row r="1540" spans="29:120" x14ac:dyDescent="0.25">
      <c r="AC1540" s="122" t="s">
        <v>333</v>
      </c>
      <c r="AD1540" s="122" t="s">
        <v>1925</v>
      </c>
      <c r="AE1540" s="127">
        <v>5</v>
      </c>
      <c r="DA1540" s="122" t="s">
        <v>333</v>
      </c>
      <c r="DB1540" s="122" t="s">
        <v>6922</v>
      </c>
      <c r="DC1540" s="122" t="s">
        <v>3732</v>
      </c>
      <c r="DD1540" s="127">
        <v>4</v>
      </c>
      <c r="DE1540" s="127">
        <v>4</v>
      </c>
      <c r="DG1540" s="405" t="s">
        <v>333</v>
      </c>
      <c r="DH1540" s="406" t="s">
        <v>3732</v>
      </c>
      <c r="DI1540" s="406" t="str">
        <f t="shared" si="56"/>
        <v>MG, Conceição do Pará</v>
      </c>
      <c r="DJ1540" s="406">
        <v>-19.753</v>
      </c>
      <c r="DK1540" s="80">
        <v>-44.896999999999998</v>
      </c>
      <c r="DL1540" s="80">
        <v>650</v>
      </c>
      <c r="DM1540" s="64">
        <v>4</v>
      </c>
      <c r="DN1540" s="406" t="s">
        <v>6879</v>
      </c>
      <c r="DO1540" s="406">
        <v>-19.89</v>
      </c>
      <c r="DP1540" s="80">
        <v>742</v>
      </c>
    </row>
    <row r="1541" spans="29:120" x14ac:dyDescent="0.25">
      <c r="AC1541" s="122" t="s">
        <v>333</v>
      </c>
      <c r="AD1541" s="122" t="s">
        <v>1926</v>
      </c>
      <c r="AE1541" s="127">
        <v>5</v>
      </c>
      <c r="DA1541" s="122" t="s">
        <v>333</v>
      </c>
      <c r="DB1541" s="122" t="s">
        <v>6923</v>
      </c>
      <c r="DC1541" s="122" t="s">
        <v>952</v>
      </c>
      <c r="DD1541" s="127">
        <v>2</v>
      </c>
      <c r="DE1541" s="127">
        <v>2</v>
      </c>
      <c r="DG1541" s="405" t="s">
        <v>333</v>
      </c>
      <c r="DH1541" s="406" t="s">
        <v>952</v>
      </c>
      <c r="DI1541" s="406" t="str">
        <f t="shared" si="56"/>
        <v>MG, Conceição do Rio Verde</v>
      </c>
      <c r="DJ1541" s="406">
        <v>-21.881</v>
      </c>
      <c r="DK1541" s="80">
        <v>-45.085000000000001</v>
      </c>
      <c r="DL1541" s="80">
        <v>880</v>
      </c>
      <c r="DM1541" s="64">
        <v>2</v>
      </c>
      <c r="DN1541" s="406" t="s">
        <v>6811</v>
      </c>
      <c r="DO1541" s="406">
        <v>-21.55</v>
      </c>
      <c r="DP1541" s="80">
        <v>955</v>
      </c>
    </row>
    <row r="1542" spans="29:120" x14ac:dyDescent="0.25">
      <c r="AC1542" s="122" t="s">
        <v>289</v>
      </c>
      <c r="AD1542" s="122" t="s">
        <v>1927</v>
      </c>
      <c r="AE1542" s="127">
        <v>5</v>
      </c>
      <c r="DA1542" s="122" t="s">
        <v>333</v>
      </c>
      <c r="DB1542" s="122" t="s">
        <v>6924</v>
      </c>
      <c r="DC1542" s="122" t="s">
        <v>928</v>
      </c>
      <c r="DD1542" s="127">
        <v>2</v>
      </c>
      <c r="DE1542" s="127">
        <v>2</v>
      </c>
      <c r="DG1542" s="405" t="s">
        <v>333</v>
      </c>
      <c r="DH1542" s="406" t="s">
        <v>928</v>
      </c>
      <c r="DI1542" s="406" t="str">
        <f t="shared" si="56"/>
        <v>MG, Conceição dos Ouros</v>
      </c>
      <c r="DJ1542" s="406">
        <v>-22.413</v>
      </c>
      <c r="DK1542" s="80">
        <v>-45.798000000000002</v>
      </c>
      <c r="DL1542" s="80">
        <v>863</v>
      </c>
      <c r="DM1542" s="64">
        <v>2</v>
      </c>
      <c r="DN1542" s="406" t="s">
        <v>6873</v>
      </c>
      <c r="DO1542" s="406">
        <v>-22.74</v>
      </c>
      <c r="DP1542" s="80">
        <v>1642</v>
      </c>
    </row>
    <row r="1543" spans="29:120" x14ac:dyDescent="0.25">
      <c r="AC1543" s="122" t="s">
        <v>323</v>
      </c>
      <c r="AD1543" s="122" t="s">
        <v>1928</v>
      </c>
      <c r="AE1543" s="127">
        <v>8</v>
      </c>
      <c r="DA1543" s="122" t="s">
        <v>333</v>
      </c>
      <c r="DB1543" s="122" t="s">
        <v>6925</v>
      </c>
      <c r="DC1543" s="122" t="s">
        <v>2918</v>
      </c>
      <c r="DD1543" s="127">
        <v>6</v>
      </c>
      <c r="DE1543" s="127">
        <v>6</v>
      </c>
      <c r="DG1543" s="405" t="s">
        <v>333</v>
      </c>
      <c r="DH1543" s="406" t="s">
        <v>2918</v>
      </c>
      <c r="DI1543" s="406" t="str">
        <f t="shared" si="56"/>
        <v>MG, Cônego Marinho</v>
      </c>
      <c r="DJ1543" s="406">
        <v>-15.294</v>
      </c>
      <c r="DK1543" s="80">
        <v>-44.417999999999999</v>
      </c>
      <c r="DL1543" s="80">
        <v>637</v>
      </c>
      <c r="DM1543" s="64">
        <v>6</v>
      </c>
      <c r="DN1543" s="406" t="s">
        <v>6258</v>
      </c>
      <c r="DO1543" s="406">
        <v>-14.42</v>
      </c>
      <c r="DP1543" s="80">
        <v>512</v>
      </c>
    </row>
    <row r="1544" spans="29:120" x14ac:dyDescent="0.25">
      <c r="AC1544" s="122" t="s">
        <v>289</v>
      </c>
      <c r="AD1544" s="122" t="s">
        <v>1929</v>
      </c>
      <c r="AE1544" s="127">
        <v>8</v>
      </c>
      <c r="DA1544" s="122" t="s">
        <v>333</v>
      </c>
      <c r="DB1544" s="122" t="s">
        <v>2216</v>
      </c>
      <c r="DC1544" s="122" t="s">
        <v>2216</v>
      </c>
      <c r="DD1544" s="127">
        <v>2</v>
      </c>
      <c r="DE1544" s="127">
        <v>2</v>
      </c>
      <c r="DG1544" s="405" t="s">
        <v>333</v>
      </c>
      <c r="DH1544" s="406" t="s">
        <v>2216</v>
      </c>
      <c r="DI1544" s="406" t="str">
        <f t="shared" si="56"/>
        <v>MG, Confins</v>
      </c>
      <c r="DJ1544" s="406">
        <v>-19.632999999999999</v>
      </c>
      <c r="DK1544" s="80">
        <v>-43.982999999999997</v>
      </c>
      <c r="DL1544" s="80">
        <v>750</v>
      </c>
      <c r="DM1544" s="64">
        <v>2</v>
      </c>
      <c r="DN1544" s="406" t="s">
        <v>6838</v>
      </c>
      <c r="DO1544" s="406">
        <v>-19.82</v>
      </c>
      <c r="DP1544" s="80">
        <v>869</v>
      </c>
    </row>
    <row r="1545" spans="29:120" x14ac:dyDescent="0.25">
      <c r="AC1545" s="122" t="s">
        <v>333</v>
      </c>
      <c r="AD1545" s="122" t="s">
        <v>1930</v>
      </c>
      <c r="AE1545" s="127">
        <v>5</v>
      </c>
      <c r="DA1545" s="122" t="s">
        <v>333</v>
      </c>
      <c r="DB1545" s="122" t="s">
        <v>964</v>
      </c>
      <c r="DC1545" s="122" t="s">
        <v>964</v>
      </c>
      <c r="DD1545" s="127">
        <v>2</v>
      </c>
      <c r="DE1545" s="127">
        <v>2</v>
      </c>
      <c r="DG1545" s="405" t="s">
        <v>333</v>
      </c>
      <c r="DH1545" s="406" t="s">
        <v>964</v>
      </c>
      <c r="DI1545" s="406" t="str">
        <f t="shared" si="56"/>
        <v>MG, Congonhal</v>
      </c>
      <c r="DJ1545" s="406">
        <v>-22.152999999999999</v>
      </c>
      <c r="DK1545" s="80">
        <v>-46.039000000000001</v>
      </c>
      <c r="DL1545" s="80">
        <v>862</v>
      </c>
      <c r="DM1545" s="64">
        <v>2</v>
      </c>
      <c r="DN1545" s="406" t="s">
        <v>6823</v>
      </c>
      <c r="DO1545" s="406">
        <v>-21.92</v>
      </c>
      <c r="DP1545" s="80">
        <v>1150</v>
      </c>
    </row>
    <row r="1546" spans="29:120" x14ac:dyDescent="0.25">
      <c r="AC1546" s="122" t="s">
        <v>333</v>
      </c>
      <c r="AD1546" s="122" t="s">
        <v>1931</v>
      </c>
      <c r="AE1546" s="127">
        <v>6</v>
      </c>
      <c r="DA1546" s="122" t="s">
        <v>333</v>
      </c>
      <c r="DB1546" s="122" t="s">
        <v>563</v>
      </c>
      <c r="DC1546" s="122" t="s">
        <v>563</v>
      </c>
      <c r="DD1546" s="127">
        <v>3</v>
      </c>
      <c r="DE1546" s="127">
        <v>3</v>
      </c>
      <c r="DG1546" s="405" t="s">
        <v>333</v>
      </c>
      <c r="DH1546" s="406" t="s">
        <v>563</v>
      </c>
      <c r="DI1546" s="406" t="str">
        <f t="shared" si="56"/>
        <v>MG, Congonhas</v>
      </c>
      <c r="DJ1546" s="406">
        <v>-20.5</v>
      </c>
      <c r="DK1546" s="80">
        <v>-43.857999999999997</v>
      </c>
      <c r="DL1546" s="80">
        <v>871</v>
      </c>
      <c r="DM1546" s="64">
        <v>3</v>
      </c>
      <c r="DN1546" s="406" t="s">
        <v>6848</v>
      </c>
      <c r="DO1546" s="406">
        <v>-20.52</v>
      </c>
      <c r="DP1546" s="80">
        <v>1061</v>
      </c>
    </row>
    <row r="1547" spans="29:120" x14ac:dyDescent="0.25">
      <c r="AC1547" s="122" t="s">
        <v>289</v>
      </c>
      <c r="AD1547" s="122" t="s">
        <v>1932</v>
      </c>
      <c r="AE1547" s="127">
        <v>8</v>
      </c>
      <c r="DA1547" s="122" t="s">
        <v>333</v>
      </c>
      <c r="DB1547" s="122" t="s">
        <v>6926</v>
      </c>
      <c r="DC1547" s="122" t="s">
        <v>3526</v>
      </c>
      <c r="DD1547" s="127">
        <v>3</v>
      </c>
      <c r="DE1547" s="127">
        <v>3</v>
      </c>
      <c r="DG1547" s="405" t="s">
        <v>333</v>
      </c>
      <c r="DH1547" s="406" t="s">
        <v>3526</v>
      </c>
      <c r="DI1547" s="406" t="str">
        <f t="shared" si="56"/>
        <v>MG, Congonhas do Norte</v>
      </c>
      <c r="DJ1547" s="406">
        <v>-18.806999999999999</v>
      </c>
      <c r="DK1547" s="80">
        <v>-43.680999999999997</v>
      </c>
      <c r="DL1547" s="80">
        <v>1050</v>
      </c>
      <c r="DM1547" s="64">
        <v>3</v>
      </c>
      <c r="DN1547" s="406" t="s">
        <v>6821</v>
      </c>
      <c r="DO1547" s="406">
        <v>-18.23</v>
      </c>
      <c r="DP1547" s="80">
        <v>1356</v>
      </c>
    </row>
    <row r="1548" spans="29:120" x14ac:dyDescent="0.25">
      <c r="AC1548" s="122" t="s">
        <v>289</v>
      </c>
      <c r="AD1548" s="122" t="s">
        <v>1933</v>
      </c>
      <c r="AE1548" s="127">
        <v>5</v>
      </c>
      <c r="DA1548" s="122" t="s">
        <v>333</v>
      </c>
      <c r="DB1548" s="122" t="s">
        <v>2988</v>
      </c>
      <c r="DC1548" s="122" t="s">
        <v>2988</v>
      </c>
      <c r="DD1548" s="127">
        <v>3</v>
      </c>
      <c r="DE1548" s="127">
        <v>3</v>
      </c>
      <c r="DG1548" s="405" t="s">
        <v>333</v>
      </c>
      <c r="DH1548" s="406" t="s">
        <v>2988</v>
      </c>
      <c r="DI1548" s="406" t="str">
        <f t="shared" si="56"/>
        <v>MG, Conquista</v>
      </c>
      <c r="DJ1548" s="406">
        <v>-19.937000000000001</v>
      </c>
      <c r="DK1548" s="80">
        <v>-47.542000000000002</v>
      </c>
      <c r="DL1548" s="80">
        <v>673</v>
      </c>
      <c r="DM1548" s="64">
        <v>3</v>
      </c>
      <c r="DN1548" s="406" t="s">
        <v>6927</v>
      </c>
      <c r="DO1548" s="406">
        <v>-19.86</v>
      </c>
      <c r="DP1548" s="80">
        <v>912</v>
      </c>
    </row>
    <row r="1549" spans="29:120" x14ac:dyDescent="0.25">
      <c r="AC1549" s="122" t="s">
        <v>289</v>
      </c>
      <c r="AD1549" s="122" t="s">
        <v>1934</v>
      </c>
      <c r="AE1549" s="127">
        <v>8</v>
      </c>
      <c r="DA1549" s="122" t="s">
        <v>333</v>
      </c>
      <c r="DB1549" s="122" t="s">
        <v>6928</v>
      </c>
      <c r="DC1549" s="122" t="s">
        <v>615</v>
      </c>
      <c r="DD1549" s="127">
        <v>3</v>
      </c>
      <c r="DE1549" s="127">
        <v>3</v>
      </c>
      <c r="DG1549" s="405" t="s">
        <v>333</v>
      </c>
      <c r="DH1549" s="406" t="s">
        <v>615</v>
      </c>
      <c r="DI1549" s="406" t="str">
        <f t="shared" si="56"/>
        <v>MG, Conselheiro Lafaiete</v>
      </c>
      <c r="DJ1549" s="406">
        <v>-20.66</v>
      </c>
      <c r="DK1549" s="80">
        <v>-43.786000000000001</v>
      </c>
      <c r="DL1549" s="80">
        <v>995</v>
      </c>
      <c r="DM1549" s="64">
        <v>3</v>
      </c>
      <c r="DN1549" s="406" t="s">
        <v>6848</v>
      </c>
      <c r="DO1549" s="406">
        <v>-20.52</v>
      </c>
      <c r="DP1549" s="80">
        <v>1061</v>
      </c>
    </row>
    <row r="1550" spans="29:120" x14ac:dyDescent="0.25">
      <c r="AC1550" s="122" t="s">
        <v>333</v>
      </c>
      <c r="AD1550" s="122" t="s">
        <v>1935</v>
      </c>
      <c r="AE1550" s="127">
        <v>5</v>
      </c>
      <c r="DA1550" s="122" t="s">
        <v>333</v>
      </c>
      <c r="DB1550" s="122" t="s">
        <v>6929</v>
      </c>
      <c r="DC1550" s="122" t="s">
        <v>1938</v>
      </c>
      <c r="DD1550" s="127">
        <v>5</v>
      </c>
      <c r="DE1550" s="127">
        <v>5</v>
      </c>
      <c r="DG1550" s="405" t="s">
        <v>333</v>
      </c>
      <c r="DH1550" s="406" t="s">
        <v>1938</v>
      </c>
      <c r="DI1550" s="406" t="str">
        <f t="shared" si="56"/>
        <v>MG, Conselheiro Pena</v>
      </c>
      <c r="DJ1550" s="406">
        <v>-19.172000000000001</v>
      </c>
      <c r="DK1550" s="80">
        <v>-41.472000000000001</v>
      </c>
      <c r="DL1550" s="80">
        <v>121</v>
      </c>
      <c r="DM1550" s="64">
        <v>5</v>
      </c>
      <c r="DN1550" s="406" t="s">
        <v>6465</v>
      </c>
      <c r="DO1550" s="406">
        <v>-19.5</v>
      </c>
      <c r="DP1550" s="80">
        <v>84</v>
      </c>
    </row>
    <row r="1551" spans="29:120" x14ac:dyDescent="0.25">
      <c r="AC1551" s="122" t="s">
        <v>317</v>
      </c>
      <c r="AD1551" s="122" t="s">
        <v>1936</v>
      </c>
      <c r="AE1551" s="127">
        <v>8</v>
      </c>
      <c r="DA1551" s="122" t="s">
        <v>333</v>
      </c>
      <c r="DB1551" s="122" t="s">
        <v>616</v>
      </c>
      <c r="DC1551" s="122" t="s">
        <v>616</v>
      </c>
      <c r="DD1551" s="127">
        <v>2</v>
      </c>
      <c r="DE1551" s="127">
        <v>2</v>
      </c>
      <c r="DG1551" s="405" t="s">
        <v>333</v>
      </c>
      <c r="DH1551" s="406" t="s">
        <v>616</v>
      </c>
      <c r="DI1551" s="406" t="str">
        <f t="shared" si="56"/>
        <v>MG, Consolação</v>
      </c>
      <c r="DJ1551" s="406">
        <v>-22.550999999999998</v>
      </c>
      <c r="DK1551" s="80">
        <v>-45.920999999999999</v>
      </c>
      <c r="DL1551" s="80">
        <v>1035</v>
      </c>
      <c r="DM1551" s="64">
        <v>2</v>
      </c>
      <c r="DN1551" s="406" t="s">
        <v>6873</v>
      </c>
      <c r="DO1551" s="406">
        <v>-22.74</v>
      </c>
      <c r="DP1551" s="80">
        <v>1642</v>
      </c>
    </row>
    <row r="1552" spans="29:120" x14ac:dyDescent="0.25">
      <c r="AC1552" s="122" t="s">
        <v>333</v>
      </c>
      <c r="AD1552" s="122" t="s">
        <v>1937</v>
      </c>
      <c r="AE1552" s="127">
        <v>5</v>
      </c>
      <c r="DA1552" s="122" t="s">
        <v>333</v>
      </c>
      <c r="DB1552" s="122" t="s">
        <v>482</v>
      </c>
      <c r="DC1552" s="122" t="s">
        <v>482</v>
      </c>
      <c r="DD1552" s="127">
        <v>2</v>
      </c>
      <c r="DE1552" s="127">
        <v>2</v>
      </c>
      <c r="DG1552" s="405" t="s">
        <v>333</v>
      </c>
      <c r="DH1552" s="406" t="s">
        <v>482</v>
      </c>
      <c r="DI1552" s="406" t="str">
        <f t="shared" si="56"/>
        <v>MG, Contagem</v>
      </c>
      <c r="DJ1552" s="406">
        <v>-19.931999999999999</v>
      </c>
      <c r="DK1552" s="80">
        <v>-44.054000000000002</v>
      </c>
      <c r="DL1552" s="80">
        <v>902</v>
      </c>
      <c r="DM1552" s="64">
        <v>2</v>
      </c>
      <c r="DN1552" s="406" t="s">
        <v>6849</v>
      </c>
      <c r="DO1552" s="406">
        <v>-20.03</v>
      </c>
      <c r="DP1552" s="80">
        <v>1208</v>
      </c>
    </row>
    <row r="1553" spans="29:120" x14ac:dyDescent="0.25">
      <c r="AC1553" s="122" t="s">
        <v>333</v>
      </c>
      <c r="AD1553" s="122" t="s">
        <v>1938</v>
      </c>
      <c r="AE1553" s="127">
        <v>5</v>
      </c>
      <c r="DA1553" s="122" t="s">
        <v>333</v>
      </c>
      <c r="DB1553" s="122" t="s">
        <v>617</v>
      </c>
      <c r="DC1553" s="122" t="s">
        <v>617</v>
      </c>
      <c r="DD1553" s="127">
        <v>2</v>
      </c>
      <c r="DE1553" s="127">
        <v>2</v>
      </c>
      <c r="DG1553" s="405" t="s">
        <v>333</v>
      </c>
      <c r="DH1553" s="406" t="s">
        <v>617</v>
      </c>
      <c r="DI1553" s="406" t="str">
        <f t="shared" si="56"/>
        <v>MG, Coqueiral</v>
      </c>
      <c r="DJ1553" s="406">
        <v>-21.189</v>
      </c>
      <c r="DK1553" s="80">
        <v>-45.441000000000003</v>
      </c>
      <c r="DL1553" s="80">
        <v>867</v>
      </c>
      <c r="DM1553" s="64">
        <v>2</v>
      </c>
      <c r="DN1553" s="406" t="s">
        <v>6811</v>
      </c>
      <c r="DO1553" s="406">
        <v>-21.55</v>
      </c>
      <c r="DP1553" s="80">
        <v>955</v>
      </c>
    </row>
    <row r="1554" spans="29:120" x14ac:dyDescent="0.25">
      <c r="AC1554" s="122" t="s">
        <v>348</v>
      </c>
      <c r="AD1554" s="122" t="s">
        <v>1939</v>
      </c>
      <c r="AE1554" s="127">
        <v>8</v>
      </c>
      <c r="DA1554" s="122" t="s">
        <v>333</v>
      </c>
      <c r="DB1554" s="122" t="s">
        <v>6930</v>
      </c>
      <c r="DC1554" s="122" t="s">
        <v>3022</v>
      </c>
      <c r="DD1554" s="127">
        <v>6</v>
      </c>
      <c r="DE1554" s="127">
        <v>6</v>
      </c>
      <c r="DG1554" s="405" t="s">
        <v>333</v>
      </c>
      <c r="DH1554" s="406" t="s">
        <v>3022</v>
      </c>
      <c r="DI1554" s="406" t="str">
        <f t="shared" si="56"/>
        <v>MG, Coração de Jesus</v>
      </c>
      <c r="DJ1554" s="406">
        <v>-16.684999999999999</v>
      </c>
      <c r="DK1554" s="80">
        <v>-44.365000000000002</v>
      </c>
      <c r="DL1554" s="80">
        <v>760</v>
      </c>
      <c r="DM1554" s="64">
        <v>6</v>
      </c>
      <c r="DN1554" s="406" t="s">
        <v>6853</v>
      </c>
      <c r="DO1554" s="406">
        <v>-16.739999999999998</v>
      </c>
      <c r="DP1554" s="80">
        <v>646</v>
      </c>
    </row>
    <row r="1555" spans="29:120" x14ac:dyDescent="0.25">
      <c r="AC1555" s="122" t="s">
        <v>348</v>
      </c>
      <c r="AD1555" s="122" t="s">
        <v>1940</v>
      </c>
      <c r="AE1555" s="127">
        <v>8</v>
      </c>
      <c r="DA1555" s="122" t="s">
        <v>333</v>
      </c>
      <c r="DB1555" s="122" t="s">
        <v>2853</v>
      </c>
      <c r="DC1555" s="122" t="s">
        <v>2853</v>
      </c>
      <c r="DD1555" s="127">
        <v>4</v>
      </c>
      <c r="DE1555" s="127">
        <v>4</v>
      </c>
      <c r="DG1555" s="405" t="s">
        <v>333</v>
      </c>
      <c r="DH1555" s="406" t="s">
        <v>2853</v>
      </c>
      <c r="DI1555" s="406" t="str">
        <f t="shared" si="56"/>
        <v>MG, Cordisburgo</v>
      </c>
      <c r="DJ1555" s="406">
        <v>-19.125</v>
      </c>
      <c r="DK1555" s="80">
        <v>-44.320999999999998</v>
      </c>
      <c r="DL1555" s="80">
        <v>720</v>
      </c>
      <c r="DM1555" s="64">
        <v>4</v>
      </c>
      <c r="DN1555" s="406" t="s">
        <v>6828</v>
      </c>
      <c r="DO1555" s="406">
        <v>-18.760000000000002</v>
      </c>
      <c r="DP1555" s="80">
        <v>670</v>
      </c>
    </row>
    <row r="1556" spans="29:120" x14ac:dyDescent="0.25">
      <c r="AC1556" s="122" t="s">
        <v>323</v>
      </c>
      <c r="AD1556" s="122" t="s">
        <v>1941</v>
      </c>
      <c r="AE1556" s="127">
        <v>8</v>
      </c>
      <c r="DA1556" s="122" t="s">
        <v>333</v>
      </c>
      <c r="DB1556" s="122" t="s">
        <v>980</v>
      </c>
      <c r="DC1556" s="122" t="s">
        <v>980</v>
      </c>
      <c r="DD1556" s="127">
        <v>2</v>
      </c>
      <c r="DE1556" s="127">
        <v>2</v>
      </c>
      <c r="DG1556" s="405" t="s">
        <v>333</v>
      </c>
      <c r="DH1556" s="406" t="s">
        <v>980</v>
      </c>
      <c r="DI1556" s="406" t="str">
        <f t="shared" si="56"/>
        <v>MG, Cordislândia</v>
      </c>
      <c r="DJ1556" s="406">
        <v>-21.792999999999999</v>
      </c>
      <c r="DK1556" s="80">
        <v>-45.701000000000001</v>
      </c>
      <c r="DL1556" s="80">
        <v>819</v>
      </c>
      <c r="DM1556" s="64">
        <v>2</v>
      </c>
      <c r="DN1556" s="406" t="s">
        <v>6811</v>
      </c>
      <c r="DO1556" s="406">
        <v>-21.55</v>
      </c>
      <c r="DP1556" s="80">
        <v>955</v>
      </c>
    </row>
    <row r="1557" spans="29:120" x14ac:dyDescent="0.25">
      <c r="AC1557" s="122" t="s">
        <v>358</v>
      </c>
      <c r="AD1557" s="122" t="s">
        <v>1942</v>
      </c>
      <c r="AE1557" s="127">
        <v>5</v>
      </c>
      <c r="DA1557" s="122" t="s">
        <v>333</v>
      </c>
      <c r="DB1557" s="122" t="s">
        <v>3475</v>
      </c>
      <c r="DC1557" s="122" t="s">
        <v>3475</v>
      </c>
      <c r="DD1557" s="127">
        <v>3</v>
      </c>
      <c r="DE1557" s="127">
        <v>3</v>
      </c>
      <c r="DG1557" s="405" t="s">
        <v>333</v>
      </c>
      <c r="DH1557" s="406" t="s">
        <v>3475</v>
      </c>
      <c r="DI1557" s="406" t="str">
        <f t="shared" si="56"/>
        <v>MG, Corinto</v>
      </c>
      <c r="DJ1557" s="406">
        <v>-18.381</v>
      </c>
      <c r="DK1557" s="80">
        <v>-44.456000000000003</v>
      </c>
      <c r="DL1557" s="80">
        <v>636</v>
      </c>
      <c r="DM1557" s="64">
        <v>3</v>
      </c>
      <c r="DN1557" s="406" t="s">
        <v>6828</v>
      </c>
      <c r="DO1557" s="406">
        <v>-18.760000000000002</v>
      </c>
      <c r="DP1557" s="80">
        <v>670</v>
      </c>
    </row>
    <row r="1558" spans="29:120" x14ac:dyDescent="0.25">
      <c r="AC1558" s="122" t="s">
        <v>289</v>
      </c>
      <c r="AD1558" s="122" t="s">
        <v>1943</v>
      </c>
      <c r="AE1558" s="127">
        <v>6</v>
      </c>
      <c r="DA1558" s="122" t="s">
        <v>333</v>
      </c>
      <c r="DB1558" s="122" t="s">
        <v>2588</v>
      </c>
      <c r="DC1558" s="122" t="s">
        <v>2588</v>
      </c>
      <c r="DD1558" s="127">
        <v>3</v>
      </c>
      <c r="DE1558" s="127">
        <v>3</v>
      </c>
      <c r="DG1558" s="405" t="s">
        <v>333</v>
      </c>
      <c r="DH1558" s="406" t="s">
        <v>2588</v>
      </c>
      <c r="DI1558" s="406" t="str">
        <f t="shared" si="56"/>
        <v>MG, Coroaci</v>
      </c>
      <c r="DJ1558" s="406">
        <v>-18.622</v>
      </c>
      <c r="DK1558" s="80">
        <v>-42.286000000000001</v>
      </c>
      <c r="DL1558" s="80">
        <v>467</v>
      </c>
      <c r="DM1558" s="64">
        <v>3</v>
      </c>
      <c r="DN1558" s="406" t="s">
        <v>6814</v>
      </c>
      <c r="DO1558" s="406">
        <v>-18.850000000000001</v>
      </c>
      <c r="DP1558" s="80">
        <v>263</v>
      </c>
    </row>
    <row r="1559" spans="29:120" x14ac:dyDescent="0.25">
      <c r="AC1559" s="122" t="s">
        <v>289</v>
      </c>
      <c r="AD1559" s="122" t="s">
        <v>1944</v>
      </c>
      <c r="AE1559" s="127">
        <v>8</v>
      </c>
      <c r="DA1559" s="122" t="s">
        <v>333</v>
      </c>
      <c r="DB1559" s="122" t="s">
        <v>1969</v>
      </c>
      <c r="DC1559" s="122" t="s">
        <v>1969</v>
      </c>
      <c r="DD1559" s="127">
        <v>4</v>
      </c>
      <c r="DE1559" s="127">
        <v>4</v>
      </c>
      <c r="DG1559" s="405" t="s">
        <v>333</v>
      </c>
      <c r="DH1559" s="406" t="s">
        <v>1969</v>
      </c>
      <c r="DI1559" s="406" t="str">
        <f t="shared" si="56"/>
        <v>MG, Coromandel</v>
      </c>
      <c r="DJ1559" s="406">
        <v>-18.472999999999999</v>
      </c>
      <c r="DK1559" s="80">
        <v>-47.2</v>
      </c>
      <c r="DL1559" s="80">
        <v>976</v>
      </c>
      <c r="DM1559" s="64">
        <v>4</v>
      </c>
      <c r="DN1559" s="406" t="s">
        <v>6794</v>
      </c>
      <c r="DO1559" s="406">
        <v>-18.940000000000001</v>
      </c>
      <c r="DP1559" s="80">
        <v>976</v>
      </c>
    </row>
    <row r="1560" spans="29:120" x14ac:dyDescent="0.25">
      <c r="AC1560" s="122" t="s">
        <v>289</v>
      </c>
      <c r="AD1560" s="122" t="s">
        <v>1945</v>
      </c>
      <c r="AE1560" s="127">
        <v>8</v>
      </c>
      <c r="DA1560" s="122" t="s">
        <v>333</v>
      </c>
      <c r="DB1560" s="122" t="s">
        <v>6931</v>
      </c>
      <c r="DC1560" s="122" t="s">
        <v>2129</v>
      </c>
      <c r="DD1560" s="127">
        <v>3</v>
      </c>
      <c r="DE1560" s="127">
        <v>3</v>
      </c>
      <c r="DG1560" s="405" t="s">
        <v>333</v>
      </c>
      <c r="DH1560" s="406" t="s">
        <v>2129</v>
      </c>
      <c r="DI1560" s="406" t="str">
        <f t="shared" si="56"/>
        <v>MG, Coronel Fabriciano</v>
      </c>
      <c r="DJ1560" s="406">
        <v>-19.518999999999998</v>
      </c>
      <c r="DK1560" s="80">
        <v>-42.628999999999998</v>
      </c>
      <c r="DL1560" s="80">
        <v>250</v>
      </c>
      <c r="DM1560" s="64">
        <v>3</v>
      </c>
      <c r="DN1560" s="406" t="s">
        <v>6798</v>
      </c>
      <c r="DO1560" s="406">
        <v>-19.579999999999998</v>
      </c>
      <c r="DP1560" s="80">
        <v>333</v>
      </c>
    </row>
    <row r="1561" spans="29:120" x14ac:dyDescent="0.25">
      <c r="AC1561" s="122" t="s">
        <v>289</v>
      </c>
      <c r="AD1561" s="122" t="s">
        <v>1946</v>
      </c>
      <c r="AE1561" s="127">
        <v>8</v>
      </c>
      <c r="DA1561" s="122" t="s">
        <v>333</v>
      </c>
      <c r="DB1561" s="122" t="s">
        <v>6932</v>
      </c>
      <c r="DC1561" s="122" t="s">
        <v>2718</v>
      </c>
      <c r="DD1561" s="127">
        <v>5</v>
      </c>
      <c r="DE1561" s="127">
        <v>5</v>
      </c>
      <c r="DG1561" s="405" t="s">
        <v>333</v>
      </c>
      <c r="DH1561" s="406" t="s">
        <v>2718</v>
      </c>
      <c r="DI1561" s="406" t="str">
        <f t="shared" si="56"/>
        <v>MG, Coronel Murta</v>
      </c>
      <c r="DJ1561" s="406">
        <v>-16.619</v>
      </c>
      <c r="DK1561" s="80">
        <v>-42.182000000000002</v>
      </c>
      <c r="DL1561" s="80">
        <v>322</v>
      </c>
      <c r="DM1561" s="64">
        <v>5</v>
      </c>
      <c r="DN1561" s="406" t="s">
        <v>6830</v>
      </c>
      <c r="DO1561" s="406">
        <v>-16.170000000000002</v>
      </c>
      <c r="DP1561" s="80">
        <v>495</v>
      </c>
    </row>
    <row r="1562" spans="29:120" x14ac:dyDescent="0.25">
      <c r="AC1562" s="122" t="s">
        <v>333</v>
      </c>
      <c r="AD1562" s="122" t="s">
        <v>1947</v>
      </c>
      <c r="AE1562" s="127">
        <v>5</v>
      </c>
      <c r="DA1562" s="122" t="s">
        <v>333</v>
      </c>
      <c r="DB1562" s="122" t="s">
        <v>6933</v>
      </c>
      <c r="DC1562" s="122" t="s">
        <v>3514</v>
      </c>
      <c r="DD1562" s="127">
        <v>3</v>
      </c>
      <c r="DE1562" s="127">
        <v>3</v>
      </c>
      <c r="DG1562" s="405" t="s">
        <v>333</v>
      </c>
      <c r="DH1562" s="406" t="s">
        <v>3514</v>
      </c>
      <c r="DI1562" s="406" t="str">
        <f t="shared" si="56"/>
        <v>MG, Coronel Pacheco</v>
      </c>
      <c r="DJ1562" s="406">
        <v>-21.588000000000001</v>
      </c>
      <c r="DK1562" s="80">
        <v>-43.265999999999998</v>
      </c>
      <c r="DL1562" s="80">
        <v>484</v>
      </c>
      <c r="DM1562" s="64">
        <v>3</v>
      </c>
      <c r="DN1562" s="406" t="s">
        <v>6829</v>
      </c>
      <c r="DO1562" s="406">
        <v>-21.76</v>
      </c>
      <c r="DP1562" s="80">
        <v>950</v>
      </c>
    </row>
    <row r="1563" spans="29:120" x14ac:dyDescent="0.25">
      <c r="AC1563" s="122" t="s">
        <v>311</v>
      </c>
      <c r="AD1563" s="122" t="s">
        <v>1948</v>
      </c>
      <c r="AE1563" s="127">
        <v>3</v>
      </c>
      <c r="DA1563" s="122" t="s">
        <v>333</v>
      </c>
      <c r="DB1563" s="122" t="s">
        <v>6934</v>
      </c>
      <c r="DC1563" s="122" t="s">
        <v>618</v>
      </c>
      <c r="DD1563" s="127">
        <v>2</v>
      </c>
      <c r="DE1563" s="127">
        <v>2</v>
      </c>
      <c r="DG1563" s="405" t="s">
        <v>333</v>
      </c>
      <c r="DH1563" s="406" t="s">
        <v>618</v>
      </c>
      <c r="DI1563" s="406" t="str">
        <f t="shared" si="56"/>
        <v>MG, Coronel Xavier Chaves</v>
      </c>
      <c r="DJ1563" s="406">
        <v>-21.024000000000001</v>
      </c>
      <c r="DK1563" s="80">
        <v>-44.222999999999999</v>
      </c>
      <c r="DL1563" s="80">
        <v>931</v>
      </c>
      <c r="DM1563" s="64">
        <v>2</v>
      </c>
      <c r="DN1563" s="406" t="s">
        <v>6813</v>
      </c>
      <c r="DO1563" s="406">
        <v>-21.14</v>
      </c>
      <c r="DP1563" s="80">
        <v>991</v>
      </c>
    </row>
    <row r="1564" spans="29:120" x14ac:dyDescent="0.25">
      <c r="AC1564" s="122" t="s">
        <v>289</v>
      </c>
      <c r="AD1564" s="122" t="s">
        <v>1949</v>
      </c>
      <c r="AE1564" s="127">
        <v>8</v>
      </c>
      <c r="DA1564" s="122" t="s">
        <v>333</v>
      </c>
      <c r="DB1564" s="122" t="s">
        <v>6935</v>
      </c>
      <c r="DC1564" s="122" t="s">
        <v>2725</v>
      </c>
      <c r="DD1564" s="127">
        <v>3</v>
      </c>
      <c r="DE1564" s="127">
        <v>3</v>
      </c>
      <c r="DG1564" s="405" t="s">
        <v>333</v>
      </c>
      <c r="DH1564" s="406" t="s">
        <v>2725</v>
      </c>
      <c r="DI1564" s="406" t="str">
        <f t="shared" si="56"/>
        <v>MG, Córrego Danta</v>
      </c>
      <c r="DJ1564" s="406">
        <v>-19.824000000000002</v>
      </c>
      <c r="DK1564" s="80">
        <v>-45.904000000000003</v>
      </c>
      <c r="DL1564" s="80">
        <v>648</v>
      </c>
      <c r="DM1564" s="64">
        <v>3</v>
      </c>
      <c r="DN1564" s="406" t="s">
        <v>6795</v>
      </c>
      <c r="DO1564" s="406">
        <v>-19.46</v>
      </c>
      <c r="DP1564" s="80">
        <v>722</v>
      </c>
    </row>
    <row r="1565" spans="29:120" x14ac:dyDescent="0.25">
      <c r="AC1565" s="122" t="s">
        <v>317</v>
      </c>
      <c r="AD1565" s="122" t="s">
        <v>1950</v>
      </c>
      <c r="AE1565" s="127">
        <v>8</v>
      </c>
      <c r="DA1565" s="122" t="s">
        <v>333</v>
      </c>
      <c r="DB1565" s="122" t="s">
        <v>6936</v>
      </c>
      <c r="DC1565" s="122" t="s">
        <v>619</v>
      </c>
      <c r="DD1565" s="127">
        <v>3</v>
      </c>
      <c r="DE1565" s="127">
        <v>3</v>
      </c>
      <c r="DG1565" s="405" t="s">
        <v>333</v>
      </c>
      <c r="DH1565" s="406" t="s">
        <v>619</v>
      </c>
      <c r="DI1565" s="406" t="str">
        <f t="shared" si="56"/>
        <v>MG, Córrego do Bom Jesus</v>
      </c>
      <c r="DJ1565" s="406">
        <v>-22.63</v>
      </c>
      <c r="DK1565" s="80">
        <v>-46.02</v>
      </c>
      <c r="DL1565" s="80">
        <v>911</v>
      </c>
      <c r="DM1565" s="64">
        <v>3</v>
      </c>
      <c r="DN1565" s="406" t="s">
        <v>6861</v>
      </c>
      <c r="DO1565" s="406">
        <v>-22.86</v>
      </c>
      <c r="DP1565" s="80">
        <v>1500</v>
      </c>
    </row>
    <row r="1566" spans="29:120" x14ac:dyDescent="0.25">
      <c r="AC1566" s="122" t="s">
        <v>333</v>
      </c>
      <c r="AD1566" s="122" t="s">
        <v>1951</v>
      </c>
      <c r="AE1566" s="127">
        <v>5</v>
      </c>
      <c r="DA1566" s="122" t="s">
        <v>333</v>
      </c>
      <c r="DB1566" s="122" t="s">
        <v>6937</v>
      </c>
      <c r="DC1566" s="122" t="s">
        <v>2378</v>
      </c>
      <c r="DD1566" s="127">
        <v>2</v>
      </c>
      <c r="DE1566" s="127">
        <v>2</v>
      </c>
      <c r="DG1566" s="405" t="s">
        <v>333</v>
      </c>
      <c r="DH1566" s="406" t="s">
        <v>2378</v>
      </c>
      <c r="DI1566" s="406" t="str">
        <f t="shared" si="56"/>
        <v>MG, Córrego Fundo</v>
      </c>
      <c r="DJ1566" s="406">
        <v>-20.449000000000002</v>
      </c>
      <c r="DK1566" s="80">
        <v>-45.555</v>
      </c>
      <c r="DL1566" s="80">
        <v>844</v>
      </c>
      <c r="DM1566" s="64">
        <v>2</v>
      </c>
      <c r="DN1566" s="406" t="s">
        <v>6803</v>
      </c>
      <c r="DO1566" s="406">
        <v>-20.46</v>
      </c>
      <c r="DP1566" s="80">
        <v>878</v>
      </c>
    </row>
    <row r="1567" spans="29:120" x14ac:dyDescent="0.25">
      <c r="AC1567" s="122" t="s">
        <v>348</v>
      </c>
      <c r="AD1567" s="122" t="s">
        <v>1952</v>
      </c>
      <c r="AE1567" s="127">
        <v>8</v>
      </c>
      <c r="DA1567" s="122" t="s">
        <v>333</v>
      </c>
      <c r="DB1567" s="122" t="s">
        <v>6938</v>
      </c>
      <c r="DC1567" s="122" t="s">
        <v>2038</v>
      </c>
      <c r="DD1567" s="127">
        <v>3</v>
      </c>
      <c r="DE1567" s="127">
        <v>3</v>
      </c>
      <c r="DG1567" s="405" t="s">
        <v>333</v>
      </c>
      <c r="DH1567" s="406" t="s">
        <v>2038</v>
      </c>
      <c r="DI1567" s="406" t="str">
        <f t="shared" si="56"/>
        <v>MG, Córrego Novo</v>
      </c>
      <c r="DJ1567" s="406">
        <v>-19.832000000000001</v>
      </c>
      <c r="DK1567" s="80">
        <v>-42.396000000000001</v>
      </c>
      <c r="DL1567" s="80">
        <v>425</v>
      </c>
      <c r="DM1567" s="64">
        <v>3</v>
      </c>
      <c r="DN1567" s="406" t="s">
        <v>6819</v>
      </c>
      <c r="DO1567" s="406">
        <v>-19.79</v>
      </c>
      <c r="DP1567" s="80">
        <v>615</v>
      </c>
    </row>
    <row r="1568" spans="29:120" x14ac:dyDescent="0.25">
      <c r="AC1568" s="122" t="s">
        <v>27</v>
      </c>
      <c r="AD1568" s="122" t="s">
        <v>1953</v>
      </c>
      <c r="AE1568" s="127">
        <v>5</v>
      </c>
      <c r="DA1568" s="122" t="s">
        <v>333</v>
      </c>
      <c r="DB1568" s="122" t="s">
        <v>6939</v>
      </c>
      <c r="DC1568" s="122" t="s">
        <v>549</v>
      </c>
      <c r="DD1568" s="127">
        <v>3</v>
      </c>
      <c r="DE1568" s="127">
        <v>3</v>
      </c>
      <c r="DG1568" s="405" t="s">
        <v>333</v>
      </c>
      <c r="DH1568" s="406" t="s">
        <v>549</v>
      </c>
      <c r="DI1568" s="406" t="str">
        <f t="shared" si="56"/>
        <v>MG, Couto de Magalhães de Minas</v>
      </c>
      <c r="DJ1568" s="406">
        <v>-18.071000000000002</v>
      </c>
      <c r="DK1568" s="80">
        <v>-43.470999999999997</v>
      </c>
      <c r="DL1568" s="80">
        <v>726</v>
      </c>
      <c r="DM1568" s="64">
        <v>3</v>
      </c>
      <c r="DN1568" s="406" t="s">
        <v>6821</v>
      </c>
      <c r="DO1568" s="406">
        <v>-18.23</v>
      </c>
      <c r="DP1568" s="80">
        <v>1356</v>
      </c>
    </row>
    <row r="1569" spans="29:120" x14ac:dyDescent="0.25">
      <c r="AC1569" s="122" t="s">
        <v>369</v>
      </c>
      <c r="AD1569" s="122" t="s">
        <v>1460</v>
      </c>
      <c r="AE1569" s="127">
        <v>8</v>
      </c>
      <c r="DA1569" s="122" t="s">
        <v>333</v>
      </c>
      <c r="DB1569" s="122" t="s">
        <v>1915</v>
      </c>
      <c r="DC1569" s="122" t="s">
        <v>1915</v>
      </c>
      <c r="DD1569" s="127">
        <v>5</v>
      </c>
      <c r="DE1569" s="127">
        <v>5</v>
      </c>
      <c r="DG1569" s="405" t="s">
        <v>333</v>
      </c>
      <c r="DH1569" s="406" t="s">
        <v>1915</v>
      </c>
      <c r="DI1569" s="406" t="str">
        <f t="shared" si="56"/>
        <v>MG, Crisólita</v>
      </c>
      <c r="DJ1569" s="406">
        <v>-17.236999999999998</v>
      </c>
      <c r="DK1569" s="80">
        <v>-40.911999999999999</v>
      </c>
      <c r="DL1569" s="80">
        <v>282</v>
      </c>
      <c r="DM1569" s="64">
        <v>5</v>
      </c>
      <c r="DN1569" s="406" t="s">
        <v>6290</v>
      </c>
      <c r="DO1569" s="406">
        <v>-17.78</v>
      </c>
      <c r="DP1569" s="80">
        <v>208</v>
      </c>
    </row>
    <row r="1570" spans="29:120" x14ac:dyDescent="0.25">
      <c r="AC1570" s="122" t="s">
        <v>333</v>
      </c>
      <c r="AD1570" s="122" t="s">
        <v>1954</v>
      </c>
      <c r="AE1570" s="127">
        <v>5</v>
      </c>
      <c r="DA1570" s="122" t="s">
        <v>333</v>
      </c>
      <c r="DB1570" s="122" t="s">
        <v>2322</v>
      </c>
      <c r="DC1570" s="122" t="s">
        <v>2322</v>
      </c>
      <c r="DD1570" s="127">
        <v>2</v>
      </c>
      <c r="DE1570" s="127">
        <v>2</v>
      </c>
      <c r="DG1570" s="405" t="s">
        <v>333</v>
      </c>
      <c r="DH1570" s="406" t="s">
        <v>2322</v>
      </c>
      <c r="DI1570" s="406" t="str">
        <f t="shared" si="56"/>
        <v>MG, Cristais</v>
      </c>
      <c r="DJ1570" s="406">
        <v>-20.876000000000001</v>
      </c>
      <c r="DK1570" s="80">
        <v>-45.518999999999998</v>
      </c>
      <c r="DL1570" s="80">
        <v>873</v>
      </c>
      <c r="DM1570" s="64">
        <v>2</v>
      </c>
      <c r="DN1570" s="406" t="s">
        <v>6803</v>
      </c>
      <c r="DO1570" s="406">
        <v>-20.46</v>
      </c>
      <c r="DP1570" s="80">
        <v>878</v>
      </c>
    </row>
    <row r="1571" spans="29:120" x14ac:dyDescent="0.25">
      <c r="AC1571" s="122" t="s">
        <v>247</v>
      </c>
      <c r="AD1571" s="122" t="s">
        <v>1955</v>
      </c>
      <c r="AE1571" s="127">
        <v>8</v>
      </c>
      <c r="DA1571" s="122" t="s">
        <v>333</v>
      </c>
      <c r="DB1571" s="122" t="s">
        <v>2660</v>
      </c>
      <c r="DC1571" s="122" t="s">
        <v>2660</v>
      </c>
      <c r="DD1571" s="127">
        <v>3</v>
      </c>
      <c r="DE1571" s="127">
        <v>3</v>
      </c>
      <c r="DG1571" s="405" t="s">
        <v>333</v>
      </c>
      <c r="DH1571" s="406" t="s">
        <v>2660</v>
      </c>
      <c r="DI1571" s="406" t="str">
        <f t="shared" si="56"/>
        <v>MG, Cristália</v>
      </c>
      <c r="DJ1571" s="406">
        <v>-16.8</v>
      </c>
      <c r="DK1571" s="80">
        <v>-42.862000000000002</v>
      </c>
      <c r="DL1571" s="80">
        <v>728</v>
      </c>
      <c r="DM1571" s="64">
        <v>3</v>
      </c>
      <c r="DN1571" s="406" t="s">
        <v>6830</v>
      </c>
      <c r="DO1571" s="406">
        <v>-16.170000000000002</v>
      </c>
      <c r="DP1571" s="80">
        <v>495</v>
      </c>
    </row>
    <row r="1572" spans="29:120" x14ac:dyDescent="0.25">
      <c r="AC1572" s="122" t="s">
        <v>317</v>
      </c>
      <c r="AD1572" s="122" t="s">
        <v>1956</v>
      </c>
      <c r="AE1572" s="127">
        <v>8</v>
      </c>
      <c r="DA1572" s="122" t="s">
        <v>333</v>
      </c>
      <c r="DB1572" s="122" t="s">
        <v>6940</v>
      </c>
      <c r="DC1572" s="122" t="s">
        <v>620</v>
      </c>
      <c r="DD1572" s="127">
        <v>3</v>
      </c>
      <c r="DE1572" s="127">
        <v>3</v>
      </c>
      <c r="DG1572" s="405" t="s">
        <v>333</v>
      </c>
      <c r="DH1572" s="406" t="s">
        <v>620</v>
      </c>
      <c r="DI1572" s="406" t="str">
        <f t="shared" si="56"/>
        <v>MG, Cristiano Otoni</v>
      </c>
      <c r="DJ1572" s="406">
        <v>-20.832000000000001</v>
      </c>
      <c r="DK1572" s="80">
        <v>-43.805999999999997</v>
      </c>
      <c r="DL1572" s="80">
        <v>1005</v>
      </c>
      <c r="DM1572" s="64">
        <v>3</v>
      </c>
      <c r="DN1572" s="406" t="s">
        <v>6848</v>
      </c>
      <c r="DO1572" s="406">
        <v>-20.52</v>
      </c>
      <c r="DP1572" s="80">
        <v>1061</v>
      </c>
    </row>
    <row r="1573" spans="29:120" x14ac:dyDescent="0.25">
      <c r="AC1573" s="122" t="s">
        <v>289</v>
      </c>
      <c r="AD1573" s="122" t="s">
        <v>1957</v>
      </c>
      <c r="AE1573" s="127">
        <v>8</v>
      </c>
      <c r="DA1573" s="122" t="s">
        <v>333</v>
      </c>
      <c r="DB1573" s="122" t="s">
        <v>1005</v>
      </c>
      <c r="DC1573" s="122" t="s">
        <v>1005</v>
      </c>
      <c r="DD1573" s="127">
        <v>2</v>
      </c>
      <c r="DE1573" s="127">
        <v>2</v>
      </c>
      <c r="DG1573" s="405" t="s">
        <v>333</v>
      </c>
      <c r="DH1573" s="406" t="s">
        <v>1005</v>
      </c>
      <c r="DI1573" s="406" t="str">
        <f t="shared" si="56"/>
        <v>MG, Cristina</v>
      </c>
      <c r="DJ1573" s="406">
        <v>-22.212</v>
      </c>
      <c r="DK1573" s="80">
        <v>-45.264000000000003</v>
      </c>
      <c r="DL1573" s="80">
        <v>1025</v>
      </c>
      <c r="DM1573" s="64">
        <v>2</v>
      </c>
      <c r="DN1573" s="406" t="s">
        <v>6881</v>
      </c>
      <c r="DO1573" s="406">
        <v>-22.31</v>
      </c>
      <c r="DP1573" s="80">
        <v>1276</v>
      </c>
    </row>
    <row r="1574" spans="29:120" x14ac:dyDescent="0.25">
      <c r="AC1574" s="122" t="s">
        <v>333</v>
      </c>
      <c r="AD1574" s="122" t="s">
        <v>1958</v>
      </c>
      <c r="AE1574" s="127">
        <v>5</v>
      </c>
      <c r="DA1574" s="122" t="s">
        <v>333</v>
      </c>
      <c r="DB1574" s="122" t="s">
        <v>621</v>
      </c>
      <c r="DC1574" s="122" t="s">
        <v>621</v>
      </c>
      <c r="DD1574" s="127">
        <v>2</v>
      </c>
      <c r="DE1574" s="127">
        <v>2</v>
      </c>
      <c r="DG1574" s="405" t="s">
        <v>333</v>
      </c>
      <c r="DH1574" s="406" t="s">
        <v>621</v>
      </c>
      <c r="DI1574" s="406" t="str">
        <f t="shared" si="56"/>
        <v>MG, Crucilândia</v>
      </c>
      <c r="DJ1574" s="406">
        <v>-20.384</v>
      </c>
      <c r="DK1574" s="80">
        <v>-44.337000000000003</v>
      </c>
      <c r="DL1574" s="80">
        <v>908</v>
      </c>
      <c r="DM1574" s="64">
        <v>2</v>
      </c>
      <c r="DN1574" s="406" t="s">
        <v>6849</v>
      </c>
      <c r="DO1574" s="406">
        <v>-20.03</v>
      </c>
      <c r="DP1574" s="80">
        <v>1208</v>
      </c>
    </row>
    <row r="1575" spans="29:120" x14ac:dyDescent="0.25">
      <c r="AC1575" s="122" t="s">
        <v>289</v>
      </c>
      <c r="AD1575" s="122" t="s">
        <v>1959</v>
      </c>
      <c r="AE1575" s="127">
        <v>8</v>
      </c>
      <c r="DA1575" s="122" t="s">
        <v>333</v>
      </c>
      <c r="DB1575" s="122" t="s">
        <v>6941</v>
      </c>
      <c r="DC1575" s="122" t="s">
        <v>2815</v>
      </c>
      <c r="DD1575" s="127">
        <v>4</v>
      </c>
      <c r="DE1575" s="127">
        <v>4</v>
      </c>
      <c r="DG1575" s="405" t="s">
        <v>333</v>
      </c>
      <c r="DH1575" s="406" t="s">
        <v>2815</v>
      </c>
      <c r="DI1575" s="406" t="str">
        <f t="shared" si="56"/>
        <v>MG, Cruzeiro da Fortaleza</v>
      </c>
      <c r="DJ1575" s="406">
        <v>-18.946000000000002</v>
      </c>
      <c r="DK1575" s="80">
        <v>-46.673999999999999</v>
      </c>
      <c r="DL1575" s="80">
        <v>859</v>
      </c>
      <c r="DM1575" s="64">
        <v>4</v>
      </c>
      <c r="DN1575" s="406" t="s">
        <v>6794</v>
      </c>
      <c r="DO1575" s="406">
        <v>-18.940000000000001</v>
      </c>
      <c r="DP1575" s="80">
        <v>976</v>
      </c>
    </row>
    <row r="1576" spans="29:120" x14ac:dyDescent="0.25">
      <c r="AC1576" s="122" t="s">
        <v>333</v>
      </c>
      <c r="AD1576" s="122" t="s">
        <v>1960</v>
      </c>
      <c r="AE1576" s="127">
        <v>5</v>
      </c>
      <c r="DA1576" s="122" t="s">
        <v>333</v>
      </c>
      <c r="DB1576" s="122" t="s">
        <v>898</v>
      </c>
      <c r="DC1576" s="122" t="s">
        <v>898</v>
      </c>
      <c r="DD1576" s="127">
        <v>2</v>
      </c>
      <c r="DE1576" s="127">
        <v>2</v>
      </c>
      <c r="DG1576" s="405" t="s">
        <v>333</v>
      </c>
      <c r="DH1576" s="406" t="s">
        <v>898</v>
      </c>
      <c r="DI1576" s="406" t="str">
        <f t="shared" si="56"/>
        <v>MG, Cruzília</v>
      </c>
      <c r="DJ1576" s="406">
        <v>-21.838999999999999</v>
      </c>
      <c r="DK1576" s="80">
        <v>-44.808</v>
      </c>
      <c r="DL1576" s="80">
        <v>1010</v>
      </c>
      <c r="DM1576" s="64">
        <v>2</v>
      </c>
      <c r="DN1576" s="406" t="s">
        <v>6837</v>
      </c>
      <c r="DO1576" s="406">
        <v>-22.39</v>
      </c>
      <c r="DP1576" s="80">
        <v>1040</v>
      </c>
    </row>
    <row r="1577" spans="29:120" x14ac:dyDescent="0.25">
      <c r="AC1577" s="122" t="s">
        <v>289</v>
      </c>
      <c r="AD1577" s="122" t="s">
        <v>1961</v>
      </c>
      <c r="AE1577" s="127">
        <v>8</v>
      </c>
      <c r="DA1577" s="122" t="s">
        <v>333</v>
      </c>
      <c r="DB1577" s="122" t="s">
        <v>1887</v>
      </c>
      <c r="DC1577" s="122" t="s">
        <v>1887</v>
      </c>
      <c r="DD1577" s="127">
        <v>5</v>
      </c>
      <c r="DE1577" s="127">
        <v>5</v>
      </c>
      <c r="DG1577" s="405" t="s">
        <v>333</v>
      </c>
      <c r="DH1577" s="406" t="s">
        <v>1887</v>
      </c>
      <c r="DI1577" s="406" t="str">
        <f t="shared" si="56"/>
        <v>MG, Cuparaque</v>
      </c>
      <c r="DJ1577" s="406">
        <v>-18.969000000000001</v>
      </c>
      <c r="DK1577" s="80">
        <v>-41.098999999999997</v>
      </c>
      <c r="DL1577" s="80">
        <v>180</v>
      </c>
      <c r="DM1577" s="64">
        <v>5</v>
      </c>
      <c r="DN1577" s="406" t="s">
        <v>6456</v>
      </c>
      <c r="DO1577" s="406">
        <v>-18.78</v>
      </c>
      <c r="DP1577" s="80">
        <v>214</v>
      </c>
    </row>
    <row r="1578" spans="29:120" x14ac:dyDescent="0.25">
      <c r="AC1578" s="122" t="s">
        <v>358</v>
      </c>
      <c r="AD1578" s="122" t="s">
        <v>1962</v>
      </c>
      <c r="AE1578" s="127">
        <v>8</v>
      </c>
      <c r="DA1578" s="122" t="s">
        <v>333</v>
      </c>
      <c r="DB1578" s="122" t="s">
        <v>6942</v>
      </c>
      <c r="DC1578" s="122" t="s">
        <v>2741</v>
      </c>
      <c r="DD1578" s="127">
        <v>5</v>
      </c>
      <c r="DE1578" s="127">
        <v>5</v>
      </c>
      <c r="DG1578" s="405" t="s">
        <v>333</v>
      </c>
      <c r="DH1578" s="406" t="s">
        <v>2741</v>
      </c>
      <c r="DI1578" s="406" t="str">
        <f t="shared" si="56"/>
        <v>MG, Curral de Dentro</v>
      </c>
      <c r="DJ1578" s="406">
        <v>-15.938000000000001</v>
      </c>
      <c r="DK1578" s="80">
        <v>-41.844000000000001</v>
      </c>
      <c r="DL1578" s="80">
        <v>890</v>
      </c>
      <c r="DM1578" s="64">
        <v>5</v>
      </c>
      <c r="DN1578" s="406" t="s">
        <v>6252</v>
      </c>
      <c r="DO1578" s="406">
        <v>-15.75</v>
      </c>
      <c r="DP1578" s="80">
        <v>740</v>
      </c>
    </row>
    <row r="1579" spans="29:120" x14ac:dyDescent="0.25">
      <c r="AC1579" s="122" t="s">
        <v>289</v>
      </c>
      <c r="AD1579" s="122" t="s">
        <v>1963</v>
      </c>
      <c r="AE1579" s="127">
        <v>8</v>
      </c>
      <c r="DA1579" s="122" t="s">
        <v>333</v>
      </c>
      <c r="DB1579" s="122" t="s">
        <v>2854</v>
      </c>
      <c r="DC1579" s="122" t="s">
        <v>2854</v>
      </c>
      <c r="DD1579" s="127">
        <v>3</v>
      </c>
      <c r="DE1579" s="127">
        <v>3</v>
      </c>
      <c r="DG1579" s="405" t="s">
        <v>333</v>
      </c>
      <c r="DH1579" s="406" t="s">
        <v>2854</v>
      </c>
      <c r="DI1579" s="406" t="str">
        <f t="shared" si="56"/>
        <v>MG, Curvelo</v>
      </c>
      <c r="DJ1579" s="406">
        <v>-18.756</v>
      </c>
      <c r="DK1579" s="80">
        <v>-44.430999999999997</v>
      </c>
      <c r="DL1579" s="80">
        <v>632</v>
      </c>
      <c r="DM1579" s="64">
        <v>3</v>
      </c>
      <c r="DN1579" s="406" t="s">
        <v>6828</v>
      </c>
      <c r="DO1579" s="406">
        <v>-18.760000000000002</v>
      </c>
      <c r="DP1579" s="80">
        <v>670</v>
      </c>
    </row>
    <row r="1580" spans="29:120" x14ac:dyDescent="0.25">
      <c r="AC1580" s="122" t="s">
        <v>333</v>
      </c>
      <c r="AD1580" s="122" t="s">
        <v>1964</v>
      </c>
      <c r="AE1580" s="127">
        <v>5</v>
      </c>
      <c r="DA1580" s="122" t="s">
        <v>333</v>
      </c>
      <c r="DB1580" s="122" t="s">
        <v>559</v>
      </c>
      <c r="DC1580" s="122" t="s">
        <v>559</v>
      </c>
      <c r="DD1580" s="127">
        <v>3</v>
      </c>
      <c r="DE1580" s="127">
        <v>3</v>
      </c>
      <c r="DG1580" s="405" t="s">
        <v>333</v>
      </c>
      <c r="DH1580" s="406" t="s">
        <v>559</v>
      </c>
      <c r="DI1580" s="406" t="str">
        <f t="shared" si="56"/>
        <v>MG, Datas</v>
      </c>
      <c r="DJ1580" s="406">
        <v>-18.446000000000002</v>
      </c>
      <c r="DK1580" s="80">
        <v>-43.655999999999999</v>
      </c>
      <c r="DL1580" s="80">
        <v>1231</v>
      </c>
      <c r="DM1580" s="64">
        <v>3</v>
      </c>
      <c r="DN1580" s="406" t="s">
        <v>6821</v>
      </c>
      <c r="DO1580" s="406">
        <v>-18.23</v>
      </c>
      <c r="DP1580" s="80">
        <v>1356</v>
      </c>
    </row>
    <row r="1581" spans="29:120" x14ac:dyDescent="0.25">
      <c r="AC1581" s="122" t="s">
        <v>289</v>
      </c>
      <c r="AD1581" s="122" t="s">
        <v>1965</v>
      </c>
      <c r="AE1581" s="127">
        <v>8</v>
      </c>
      <c r="DA1581" s="122" t="s">
        <v>333</v>
      </c>
      <c r="DB1581" s="122" t="s">
        <v>6943</v>
      </c>
      <c r="DC1581" s="122" t="s">
        <v>904</v>
      </c>
      <c r="DD1581" s="127">
        <v>2</v>
      </c>
      <c r="DE1581" s="127">
        <v>2</v>
      </c>
      <c r="DG1581" s="405" t="s">
        <v>333</v>
      </c>
      <c r="DH1581" s="406" t="s">
        <v>904</v>
      </c>
      <c r="DI1581" s="406" t="str">
        <f t="shared" si="56"/>
        <v>MG, Delfim Moreira</v>
      </c>
      <c r="DJ1581" s="406">
        <v>-22.509</v>
      </c>
      <c r="DK1581" s="80">
        <v>-45.28</v>
      </c>
      <c r="DL1581" s="80">
        <v>1200</v>
      </c>
      <c r="DM1581" s="64">
        <v>2</v>
      </c>
      <c r="DN1581" s="406" t="s">
        <v>6881</v>
      </c>
      <c r="DO1581" s="406">
        <v>-22.31</v>
      </c>
      <c r="DP1581" s="80">
        <v>1276</v>
      </c>
    </row>
    <row r="1582" spans="29:120" x14ac:dyDescent="0.25">
      <c r="AC1582" s="122" t="s">
        <v>323</v>
      </c>
      <c r="AD1582" s="122" t="s">
        <v>1966</v>
      </c>
      <c r="AE1582" s="127">
        <v>8</v>
      </c>
      <c r="DA1582" s="122" t="s">
        <v>333</v>
      </c>
      <c r="DB1582" s="122" t="s">
        <v>2875</v>
      </c>
      <c r="DC1582" s="122" t="s">
        <v>2875</v>
      </c>
      <c r="DD1582" s="127">
        <v>3</v>
      </c>
      <c r="DE1582" s="127">
        <v>3</v>
      </c>
      <c r="DG1582" s="405" t="s">
        <v>333</v>
      </c>
      <c r="DH1582" s="406" t="s">
        <v>2875</v>
      </c>
      <c r="DI1582" s="406" t="str">
        <f t="shared" si="56"/>
        <v>MG, Delfinópolis</v>
      </c>
      <c r="DJ1582" s="406">
        <v>-20.344000000000001</v>
      </c>
      <c r="DK1582" s="80">
        <v>-46.853999999999999</v>
      </c>
      <c r="DL1582" s="80">
        <v>684</v>
      </c>
      <c r="DM1582" s="64">
        <v>3</v>
      </c>
      <c r="DN1582" s="406" t="s">
        <v>6815</v>
      </c>
      <c r="DO1582" s="406">
        <v>-20.75</v>
      </c>
      <c r="DP1582" s="80">
        <v>875</v>
      </c>
    </row>
    <row r="1583" spans="29:120" x14ac:dyDescent="0.25">
      <c r="AC1583" s="122" t="s">
        <v>333</v>
      </c>
      <c r="AD1583" s="122" t="s">
        <v>1967</v>
      </c>
      <c r="AE1583" s="127">
        <v>5</v>
      </c>
      <c r="DA1583" s="122" t="s">
        <v>333</v>
      </c>
      <c r="DB1583" s="122" t="s">
        <v>3777</v>
      </c>
      <c r="DC1583" s="122" t="s">
        <v>3777</v>
      </c>
      <c r="DD1583" s="127">
        <v>3</v>
      </c>
      <c r="DE1583" s="127">
        <v>3</v>
      </c>
      <c r="DG1583" s="405" t="s">
        <v>333</v>
      </c>
      <c r="DH1583" s="406" t="s">
        <v>3777</v>
      </c>
      <c r="DI1583" s="406" t="str">
        <f t="shared" si="56"/>
        <v>MG, Delta</v>
      </c>
      <c r="DJ1583" s="406">
        <v>-19.977</v>
      </c>
      <c r="DK1583" s="80">
        <v>-47.771000000000001</v>
      </c>
      <c r="DL1583" s="80">
        <v>500</v>
      </c>
      <c r="DM1583" s="64">
        <v>3</v>
      </c>
      <c r="DN1583" s="406" t="s">
        <v>6927</v>
      </c>
      <c r="DO1583" s="406">
        <v>-19.86</v>
      </c>
      <c r="DP1583" s="80">
        <v>912</v>
      </c>
    </row>
    <row r="1584" spans="29:120" x14ac:dyDescent="0.25">
      <c r="AC1584" s="122" t="s">
        <v>247</v>
      </c>
      <c r="AD1584" s="122" t="s">
        <v>1968</v>
      </c>
      <c r="AE1584" s="127">
        <v>5</v>
      </c>
      <c r="DA1584" s="122" t="s">
        <v>333</v>
      </c>
      <c r="DB1584" s="122" t="s">
        <v>3695</v>
      </c>
      <c r="DC1584" s="122" t="s">
        <v>3695</v>
      </c>
      <c r="DD1584" s="127">
        <v>3</v>
      </c>
      <c r="DE1584" s="127">
        <v>3</v>
      </c>
      <c r="DG1584" s="405" t="s">
        <v>333</v>
      </c>
      <c r="DH1584" s="406" t="s">
        <v>3695</v>
      </c>
      <c r="DI1584" s="406" t="str">
        <f t="shared" si="56"/>
        <v>MG, Descoberto</v>
      </c>
      <c r="DJ1584" s="406">
        <v>-21.46</v>
      </c>
      <c r="DK1584" s="80">
        <v>-42.968000000000004</v>
      </c>
      <c r="DL1584" s="80">
        <v>340</v>
      </c>
      <c r="DM1584" s="64">
        <v>3</v>
      </c>
      <c r="DN1584" s="406" t="s">
        <v>6829</v>
      </c>
      <c r="DO1584" s="406">
        <v>-21.76</v>
      </c>
      <c r="DP1584" s="80">
        <v>950</v>
      </c>
    </row>
    <row r="1585" spans="29:120" x14ac:dyDescent="0.25">
      <c r="AC1585" s="122" t="s">
        <v>333</v>
      </c>
      <c r="AD1585" s="122" t="s">
        <v>1969</v>
      </c>
      <c r="AE1585" s="127">
        <v>4</v>
      </c>
      <c r="DA1585" s="122" t="s">
        <v>333</v>
      </c>
      <c r="DB1585" s="122" t="s">
        <v>6944</v>
      </c>
      <c r="DC1585" s="122" t="s">
        <v>622</v>
      </c>
      <c r="DD1585" s="127">
        <v>2</v>
      </c>
      <c r="DE1585" s="127">
        <v>2</v>
      </c>
      <c r="DG1585" s="405" t="s">
        <v>333</v>
      </c>
      <c r="DH1585" s="406" t="s">
        <v>622</v>
      </c>
      <c r="DI1585" s="406" t="str">
        <f t="shared" si="56"/>
        <v>MG, Desterro de Entre Rios</v>
      </c>
      <c r="DJ1585" s="406">
        <v>-20.66</v>
      </c>
      <c r="DK1585" s="80">
        <v>-44.332999999999998</v>
      </c>
      <c r="DL1585" s="80">
        <v>1052</v>
      </c>
      <c r="DM1585" s="64">
        <v>2</v>
      </c>
      <c r="DN1585" s="406" t="s">
        <v>6813</v>
      </c>
      <c r="DO1585" s="406">
        <v>-21.14</v>
      </c>
      <c r="DP1585" s="80">
        <v>991</v>
      </c>
    </row>
    <row r="1586" spans="29:120" x14ac:dyDescent="0.25">
      <c r="AC1586" s="122" t="s">
        <v>289</v>
      </c>
      <c r="AD1586" s="122" t="s">
        <v>1970</v>
      </c>
      <c r="AE1586" s="127">
        <v>6</v>
      </c>
      <c r="DA1586" s="122" t="s">
        <v>333</v>
      </c>
      <c r="DB1586" s="122" t="s">
        <v>6945</v>
      </c>
      <c r="DC1586" s="122" t="s">
        <v>623</v>
      </c>
      <c r="DD1586" s="127">
        <v>3</v>
      </c>
      <c r="DE1586" s="127">
        <v>3</v>
      </c>
      <c r="DG1586" s="405" t="s">
        <v>333</v>
      </c>
      <c r="DH1586" s="406" t="s">
        <v>623</v>
      </c>
      <c r="DI1586" s="406" t="str">
        <f t="shared" si="56"/>
        <v>MG, Desterro do Melo</v>
      </c>
      <c r="DJ1586" s="406">
        <v>-21.146999999999998</v>
      </c>
      <c r="DK1586" s="80">
        <v>-43.518000000000001</v>
      </c>
      <c r="DL1586" s="80">
        <v>818</v>
      </c>
      <c r="DM1586" s="64">
        <v>3</v>
      </c>
      <c r="DN1586" s="406" t="s">
        <v>6829</v>
      </c>
      <c r="DO1586" s="406">
        <v>-21.76</v>
      </c>
      <c r="DP1586" s="80">
        <v>950</v>
      </c>
    </row>
    <row r="1587" spans="29:120" x14ac:dyDescent="0.25">
      <c r="AC1587" s="122" t="s">
        <v>289</v>
      </c>
      <c r="AD1587" s="122" t="s">
        <v>1971</v>
      </c>
      <c r="AE1587" s="127">
        <v>6</v>
      </c>
      <c r="DA1587" s="122" t="s">
        <v>333</v>
      </c>
      <c r="DB1587" s="122" t="s">
        <v>521</v>
      </c>
      <c r="DC1587" s="122" t="s">
        <v>521</v>
      </c>
      <c r="DD1587" s="127">
        <v>3</v>
      </c>
      <c r="DE1587" s="127">
        <v>3</v>
      </c>
      <c r="DG1587" s="405" t="s">
        <v>333</v>
      </c>
      <c r="DH1587" s="406" t="s">
        <v>521</v>
      </c>
      <c r="DI1587" s="406" t="str">
        <f t="shared" si="56"/>
        <v>MG, Diamantina</v>
      </c>
      <c r="DJ1587" s="406">
        <v>-18.248999999999999</v>
      </c>
      <c r="DK1587" s="80">
        <v>-43.6</v>
      </c>
      <c r="DL1587" s="80">
        <v>1113</v>
      </c>
      <c r="DM1587" s="64">
        <v>3</v>
      </c>
      <c r="DN1587" s="406" t="s">
        <v>6821</v>
      </c>
      <c r="DO1587" s="406">
        <v>-18.23</v>
      </c>
      <c r="DP1587" s="80">
        <v>1356</v>
      </c>
    </row>
    <row r="1588" spans="29:120" x14ac:dyDescent="0.25">
      <c r="AC1588" s="122" t="s">
        <v>333</v>
      </c>
      <c r="AD1588" s="122" t="s">
        <v>1972</v>
      </c>
      <c r="AE1588" s="127">
        <v>5</v>
      </c>
      <c r="DA1588" s="122" t="s">
        <v>333</v>
      </c>
      <c r="DB1588" s="122" t="s">
        <v>6946</v>
      </c>
      <c r="DC1588" s="122" t="s">
        <v>624</v>
      </c>
      <c r="DD1588" s="127">
        <v>3</v>
      </c>
      <c r="DE1588" s="127">
        <v>3</v>
      </c>
      <c r="DG1588" s="405" t="s">
        <v>333</v>
      </c>
      <c r="DH1588" s="406" t="s">
        <v>624</v>
      </c>
      <c r="DI1588" s="406" t="str">
        <f t="shared" si="56"/>
        <v>MG, Diogo de Vasconcelos</v>
      </c>
      <c r="DJ1588" s="406">
        <v>-20.488</v>
      </c>
      <c r="DK1588" s="80">
        <v>-43.198</v>
      </c>
      <c r="DL1588" s="80">
        <v>592</v>
      </c>
      <c r="DM1588" s="64">
        <v>3</v>
      </c>
      <c r="DN1588" s="406" t="s">
        <v>6797</v>
      </c>
      <c r="DO1588" s="406">
        <v>-20.75</v>
      </c>
      <c r="DP1588" s="80">
        <v>712</v>
      </c>
    </row>
    <row r="1589" spans="29:120" x14ac:dyDescent="0.25">
      <c r="AC1589" s="122" t="s">
        <v>289</v>
      </c>
      <c r="AD1589" s="122" t="s">
        <v>1973</v>
      </c>
      <c r="AE1589" s="127">
        <v>8</v>
      </c>
      <c r="DA1589" s="122" t="s">
        <v>333</v>
      </c>
      <c r="DB1589" s="122" t="s">
        <v>1862</v>
      </c>
      <c r="DC1589" s="122" t="s">
        <v>1862</v>
      </c>
      <c r="DD1589" s="127">
        <v>3</v>
      </c>
      <c r="DE1589" s="127">
        <v>3</v>
      </c>
      <c r="DG1589" s="405" t="s">
        <v>333</v>
      </c>
      <c r="DH1589" s="406" t="s">
        <v>1862</v>
      </c>
      <c r="DI1589" s="406" t="str">
        <f t="shared" si="56"/>
        <v>MG, Dionísio</v>
      </c>
      <c r="DJ1589" s="406">
        <v>-19.843</v>
      </c>
      <c r="DK1589" s="80">
        <v>-42.777000000000001</v>
      </c>
      <c r="DL1589" s="80">
        <v>355</v>
      </c>
      <c r="DM1589" s="64">
        <v>3</v>
      </c>
      <c r="DN1589" s="406" t="s">
        <v>6798</v>
      </c>
      <c r="DO1589" s="406">
        <v>-19.579999999999998</v>
      </c>
      <c r="DP1589" s="80">
        <v>333</v>
      </c>
    </row>
    <row r="1590" spans="29:120" x14ac:dyDescent="0.25">
      <c r="AC1590" s="122" t="s">
        <v>333</v>
      </c>
      <c r="AD1590" s="122" t="s">
        <v>1974</v>
      </c>
      <c r="AE1590" s="127">
        <v>6</v>
      </c>
      <c r="DA1590" s="122" t="s">
        <v>333</v>
      </c>
      <c r="DB1590" s="122" t="s">
        <v>3494</v>
      </c>
      <c r="DC1590" s="122" t="s">
        <v>3494</v>
      </c>
      <c r="DD1590" s="127">
        <v>3</v>
      </c>
      <c r="DE1590" s="127">
        <v>3</v>
      </c>
      <c r="DG1590" s="405" t="s">
        <v>333</v>
      </c>
      <c r="DH1590" s="406" t="s">
        <v>3494</v>
      </c>
      <c r="DI1590" s="406" t="str">
        <f t="shared" si="56"/>
        <v>MG, Divinésia</v>
      </c>
      <c r="DJ1590" s="406">
        <v>-20.99</v>
      </c>
      <c r="DK1590" s="80">
        <v>-43.003999999999998</v>
      </c>
      <c r="DL1590" s="80">
        <v>753</v>
      </c>
      <c r="DM1590" s="64">
        <v>3</v>
      </c>
      <c r="DN1590" s="406" t="s">
        <v>6797</v>
      </c>
      <c r="DO1590" s="406">
        <v>-20.75</v>
      </c>
      <c r="DP1590" s="80">
        <v>712</v>
      </c>
    </row>
    <row r="1591" spans="29:120" x14ac:dyDescent="0.25">
      <c r="AC1591" s="122" t="s">
        <v>333</v>
      </c>
      <c r="AD1591" s="122" t="s">
        <v>1975</v>
      </c>
      <c r="AE1591" s="127">
        <v>5</v>
      </c>
      <c r="DA1591" s="122" t="s">
        <v>333</v>
      </c>
      <c r="DB1591" s="122" t="s">
        <v>3433</v>
      </c>
      <c r="DC1591" s="122" t="s">
        <v>3433</v>
      </c>
      <c r="DD1591" s="127">
        <v>2</v>
      </c>
      <c r="DE1591" s="127">
        <v>2</v>
      </c>
      <c r="DG1591" s="405" t="s">
        <v>333</v>
      </c>
      <c r="DH1591" s="406" t="s">
        <v>3433</v>
      </c>
      <c r="DI1591" s="406" t="str">
        <f t="shared" si="56"/>
        <v>MG, Divino</v>
      </c>
      <c r="DJ1591" s="406">
        <v>-20.614000000000001</v>
      </c>
      <c r="DK1591" s="80">
        <v>-42.149000000000001</v>
      </c>
      <c r="DL1591" s="80">
        <v>660</v>
      </c>
      <c r="DM1591" s="64">
        <v>2</v>
      </c>
      <c r="DN1591" s="406" t="s">
        <v>6478</v>
      </c>
      <c r="DO1591" s="406">
        <v>-20.73</v>
      </c>
      <c r="DP1591" s="80">
        <v>399</v>
      </c>
    </row>
    <row r="1592" spans="29:120" x14ac:dyDescent="0.25">
      <c r="AC1592" s="122" t="s">
        <v>289</v>
      </c>
      <c r="AD1592" s="122" t="s">
        <v>1976</v>
      </c>
      <c r="AE1592" s="127">
        <v>5</v>
      </c>
      <c r="DA1592" s="122" t="s">
        <v>333</v>
      </c>
      <c r="DB1592" s="122" t="s">
        <v>6947</v>
      </c>
      <c r="DC1592" s="122" t="s">
        <v>1903</v>
      </c>
      <c r="DD1592" s="127">
        <v>5</v>
      </c>
      <c r="DE1592" s="127">
        <v>5</v>
      </c>
      <c r="DG1592" s="405" t="s">
        <v>333</v>
      </c>
      <c r="DH1592" s="406" t="s">
        <v>1903</v>
      </c>
      <c r="DI1592" s="406" t="str">
        <f t="shared" si="56"/>
        <v>MG, Divino das Laranjeiras</v>
      </c>
      <c r="DJ1592" s="406">
        <v>-18.777999999999999</v>
      </c>
      <c r="DK1592" s="80">
        <v>-41.48</v>
      </c>
      <c r="DL1592" s="80">
        <v>240</v>
      </c>
      <c r="DM1592" s="64">
        <v>5</v>
      </c>
      <c r="DN1592" s="406" t="s">
        <v>6814</v>
      </c>
      <c r="DO1592" s="406">
        <v>-18.850000000000001</v>
      </c>
      <c r="DP1592" s="80">
        <v>263</v>
      </c>
    </row>
    <row r="1593" spans="29:120" x14ac:dyDescent="0.25">
      <c r="AC1593" s="122" t="s">
        <v>333</v>
      </c>
      <c r="AD1593" s="122" t="s">
        <v>1977</v>
      </c>
      <c r="AE1593" s="127">
        <v>5</v>
      </c>
      <c r="DA1593" s="122" t="s">
        <v>333</v>
      </c>
      <c r="DB1593" s="122" t="s">
        <v>6948</v>
      </c>
      <c r="DC1593" s="122" t="s">
        <v>3431</v>
      </c>
      <c r="DD1593" s="127">
        <v>3</v>
      </c>
      <c r="DE1593" s="127">
        <v>3</v>
      </c>
      <c r="DG1593" s="405" t="s">
        <v>333</v>
      </c>
      <c r="DH1593" s="406" t="s">
        <v>3431</v>
      </c>
      <c r="DI1593" s="406" t="str">
        <f t="shared" si="56"/>
        <v>MG, Divinolândia de Minas</v>
      </c>
      <c r="DJ1593" s="406">
        <v>-18.803999999999998</v>
      </c>
      <c r="DK1593" s="80">
        <v>-42.597999999999999</v>
      </c>
      <c r="DL1593" s="80">
        <v>748</v>
      </c>
      <c r="DM1593" s="64">
        <v>3</v>
      </c>
      <c r="DN1593" s="406" t="s">
        <v>6814</v>
      </c>
      <c r="DO1593" s="406">
        <v>-18.850000000000001</v>
      </c>
      <c r="DP1593" s="80">
        <v>263</v>
      </c>
    </row>
    <row r="1594" spans="29:120" x14ac:dyDescent="0.25">
      <c r="AC1594" s="122" t="s">
        <v>333</v>
      </c>
      <c r="AD1594" s="122" t="s">
        <v>1978</v>
      </c>
      <c r="AE1594" s="127">
        <v>5</v>
      </c>
      <c r="DA1594" s="122" t="s">
        <v>333</v>
      </c>
      <c r="DB1594" s="122" t="s">
        <v>3857</v>
      </c>
      <c r="DC1594" s="122" t="s">
        <v>3857</v>
      </c>
      <c r="DD1594" s="127">
        <v>3</v>
      </c>
      <c r="DE1594" s="127">
        <v>3</v>
      </c>
      <c r="DG1594" s="405" t="s">
        <v>333</v>
      </c>
      <c r="DH1594" s="406" t="s">
        <v>3857</v>
      </c>
      <c r="DI1594" s="406" t="str">
        <f t="shared" si="56"/>
        <v>MG, Divinópolis</v>
      </c>
      <c r="DJ1594" s="406">
        <v>-20.138999999999999</v>
      </c>
      <c r="DK1594" s="80">
        <v>-44.884</v>
      </c>
      <c r="DL1594" s="80">
        <v>712</v>
      </c>
      <c r="DM1594" s="64">
        <v>3</v>
      </c>
      <c r="DN1594" s="406" t="s">
        <v>6879</v>
      </c>
      <c r="DO1594" s="406">
        <v>-19.89</v>
      </c>
      <c r="DP1594" s="80">
        <v>742</v>
      </c>
    </row>
    <row r="1595" spans="29:120" x14ac:dyDescent="0.25">
      <c r="AC1595" s="122" t="s">
        <v>289</v>
      </c>
      <c r="AD1595" s="122" t="s">
        <v>1979</v>
      </c>
      <c r="AE1595" s="127">
        <v>8</v>
      </c>
      <c r="DA1595" s="122" t="s">
        <v>333</v>
      </c>
      <c r="DB1595" s="122" t="s">
        <v>6949</v>
      </c>
      <c r="DC1595" s="122" t="s">
        <v>2755</v>
      </c>
      <c r="DD1595" s="127">
        <v>5</v>
      </c>
      <c r="DE1595" s="127">
        <v>5</v>
      </c>
      <c r="DG1595" s="405" t="s">
        <v>333</v>
      </c>
      <c r="DH1595" s="406" t="s">
        <v>2755</v>
      </c>
      <c r="DI1595" s="406" t="str">
        <f t="shared" si="56"/>
        <v>MG, Divisa Alegre</v>
      </c>
      <c r="DJ1595" s="406">
        <v>-15.726000000000001</v>
      </c>
      <c r="DK1595" s="80">
        <v>-41.344999999999999</v>
      </c>
      <c r="DL1595" s="80">
        <v>975</v>
      </c>
      <c r="DM1595" s="64">
        <v>5</v>
      </c>
      <c r="DN1595" s="406" t="s">
        <v>6252</v>
      </c>
      <c r="DO1595" s="406">
        <v>-15.75</v>
      </c>
      <c r="DP1595" s="80">
        <v>740</v>
      </c>
    </row>
    <row r="1596" spans="29:120" x14ac:dyDescent="0.25">
      <c r="AC1596" s="122" t="s">
        <v>348</v>
      </c>
      <c r="AD1596" s="122" t="s">
        <v>1083</v>
      </c>
      <c r="AE1596" s="127">
        <v>6</v>
      </c>
      <c r="DA1596" s="122" t="s">
        <v>333</v>
      </c>
      <c r="DB1596" s="122" t="s">
        <v>6950</v>
      </c>
      <c r="DC1596" s="122" t="s">
        <v>625</v>
      </c>
      <c r="DD1596" s="127">
        <v>2</v>
      </c>
      <c r="DE1596" s="127">
        <v>2</v>
      </c>
      <c r="DG1596" s="405" t="s">
        <v>333</v>
      </c>
      <c r="DH1596" s="406" t="s">
        <v>625</v>
      </c>
      <c r="DI1596" s="406" t="str">
        <f t="shared" si="56"/>
        <v>MG, Divisa Nova</v>
      </c>
      <c r="DJ1596" s="406">
        <v>-21.510999999999999</v>
      </c>
      <c r="DK1596" s="80">
        <v>-46.195999999999998</v>
      </c>
      <c r="DL1596" s="80">
        <v>877</v>
      </c>
      <c r="DM1596" s="64">
        <v>2</v>
      </c>
      <c r="DN1596" s="406" t="s">
        <v>6823</v>
      </c>
      <c r="DO1596" s="406">
        <v>-21.92</v>
      </c>
      <c r="DP1596" s="80">
        <v>1150</v>
      </c>
    </row>
    <row r="1597" spans="29:120" x14ac:dyDescent="0.25">
      <c r="AC1597" s="122" t="s">
        <v>375</v>
      </c>
      <c r="AD1597" s="122" t="s">
        <v>1980</v>
      </c>
      <c r="AE1597" s="127">
        <v>8</v>
      </c>
      <c r="DA1597" s="122" t="s">
        <v>333</v>
      </c>
      <c r="DB1597" s="122" t="s">
        <v>2099</v>
      </c>
      <c r="DC1597" s="122" t="s">
        <v>2099</v>
      </c>
      <c r="DD1597" s="127">
        <v>5</v>
      </c>
      <c r="DE1597" s="127">
        <v>5</v>
      </c>
      <c r="DG1597" s="405" t="s">
        <v>333</v>
      </c>
      <c r="DH1597" s="406" t="s">
        <v>2099</v>
      </c>
      <c r="DI1597" s="406" t="str">
        <f t="shared" si="56"/>
        <v>MG, Divisópolis</v>
      </c>
      <c r="DJ1597" s="406">
        <v>-15.726000000000001</v>
      </c>
      <c r="DK1597" s="80">
        <v>-41</v>
      </c>
      <c r="DL1597" s="80">
        <v>910</v>
      </c>
      <c r="DM1597" s="64">
        <v>5</v>
      </c>
      <c r="DN1597" s="406" t="s">
        <v>6252</v>
      </c>
      <c r="DO1597" s="406">
        <v>-15.75</v>
      </c>
      <c r="DP1597" s="80">
        <v>740</v>
      </c>
    </row>
    <row r="1598" spans="29:120" x14ac:dyDescent="0.25">
      <c r="AC1598" s="122" t="s">
        <v>323</v>
      </c>
      <c r="AD1598" s="122" t="s">
        <v>1981</v>
      </c>
      <c r="AE1598" s="127">
        <v>8</v>
      </c>
      <c r="DA1598" s="122" t="s">
        <v>333</v>
      </c>
      <c r="DB1598" s="122" t="s">
        <v>6951</v>
      </c>
      <c r="DC1598" s="122" t="s">
        <v>2650</v>
      </c>
      <c r="DD1598" s="127">
        <v>6</v>
      </c>
      <c r="DE1598" s="127">
        <v>6</v>
      </c>
      <c r="DG1598" s="405" t="s">
        <v>333</v>
      </c>
      <c r="DH1598" s="406" t="s">
        <v>2650</v>
      </c>
      <c r="DI1598" s="406" t="str">
        <f t="shared" si="56"/>
        <v>MG, Dom Bosco</v>
      </c>
      <c r="DJ1598" s="406">
        <v>-16.652000000000001</v>
      </c>
      <c r="DK1598" s="80">
        <v>-46.271000000000001</v>
      </c>
      <c r="DL1598" s="80">
        <v>610</v>
      </c>
      <c r="DM1598" s="64">
        <v>6</v>
      </c>
      <c r="DN1598" s="406" t="s">
        <v>6864</v>
      </c>
      <c r="DO1598" s="406">
        <v>-16.36</v>
      </c>
      <c r="DP1598" s="80">
        <v>631</v>
      </c>
    </row>
    <row r="1599" spans="29:120" x14ac:dyDescent="0.25">
      <c r="AC1599" s="122" t="s">
        <v>333</v>
      </c>
      <c r="AD1599" s="122" t="s">
        <v>1982</v>
      </c>
      <c r="AE1599" s="127">
        <v>5</v>
      </c>
      <c r="DA1599" s="122" t="s">
        <v>333</v>
      </c>
      <c r="DB1599" s="122" t="s">
        <v>6952</v>
      </c>
      <c r="DC1599" s="122" t="s">
        <v>2539</v>
      </c>
      <c r="DD1599" s="127">
        <v>5</v>
      </c>
      <c r="DE1599" s="127">
        <v>5</v>
      </c>
      <c r="DG1599" s="405" t="s">
        <v>333</v>
      </c>
      <c r="DH1599" s="406" t="s">
        <v>2539</v>
      </c>
      <c r="DI1599" s="406" t="str">
        <f t="shared" si="56"/>
        <v>MG, Dom Cavati</v>
      </c>
      <c r="DJ1599" s="406">
        <v>-19.373999999999999</v>
      </c>
      <c r="DK1599" s="80">
        <v>-42.106000000000002</v>
      </c>
      <c r="DL1599" s="80">
        <v>358</v>
      </c>
      <c r="DM1599" s="64">
        <v>5</v>
      </c>
      <c r="DN1599" s="406" t="s">
        <v>6819</v>
      </c>
      <c r="DO1599" s="406">
        <v>-19.79</v>
      </c>
      <c r="DP1599" s="80">
        <v>615</v>
      </c>
    </row>
    <row r="1600" spans="29:120" x14ac:dyDescent="0.25">
      <c r="AC1600" s="122" t="s">
        <v>358</v>
      </c>
      <c r="AD1600" s="122" t="s">
        <v>1983</v>
      </c>
      <c r="AE1600" s="127">
        <v>5</v>
      </c>
      <c r="DA1600" s="122" t="s">
        <v>333</v>
      </c>
      <c r="DB1600" s="122" t="s">
        <v>6953</v>
      </c>
      <c r="DC1600" s="122" t="s">
        <v>3709</v>
      </c>
      <c r="DD1600" s="127">
        <v>3</v>
      </c>
      <c r="DE1600" s="127">
        <v>3</v>
      </c>
      <c r="DG1600" s="405" t="s">
        <v>333</v>
      </c>
      <c r="DH1600" s="406" t="s">
        <v>3709</v>
      </c>
      <c r="DI1600" s="406" t="str">
        <f t="shared" si="56"/>
        <v>MG, Dom Joaquim</v>
      </c>
      <c r="DJ1600" s="406">
        <v>-18.966999999999999</v>
      </c>
      <c r="DK1600" s="80">
        <v>-43.256</v>
      </c>
      <c r="DL1600" s="80">
        <v>546</v>
      </c>
      <c r="DM1600" s="64">
        <v>3</v>
      </c>
      <c r="DN1600" s="406" t="s">
        <v>6821</v>
      </c>
      <c r="DO1600" s="406">
        <v>-18.23</v>
      </c>
      <c r="DP1600" s="80">
        <v>1356</v>
      </c>
    </row>
    <row r="1601" spans="29:120" x14ac:dyDescent="0.25">
      <c r="AC1601" s="122" t="s">
        <v>289</v>
      </c>
      <c r="AD1601" s="122" t="s">
        <v>1984</v>
      </c>
      <c r="AE1601" s="127">
        <v>8</v>
      </c>
      <c r="DA1601" s="122" t="s">
        <v>333</v>
      </c>
      <c r="DB1601" s="122" t="s">
        <v>6954</v>
      </c>
      <c r="DC1601" s="122" t="s">
        <v>496</v>
      </c>
      <c r="DD1601" s="127">
        <v>3</v>
      </c>
      <c r="DE1601" s="127">
        <v>3</v>
      </c>
      <c r="DG1601" s="405" t="s">
        <v>333</v>
      </c>
      <c r="DH1601" s="406" t="s">
        <v>496</v>
      </c>
      <c r="DI1601" s="406" t="str">
        <f t="shared" si="56"/>
        <v>MG, Dom Silvério</v>
      </c>
      <c r="DJ1601" s="406">
        <v>-20.16</v>
      </c>
      <c r="DK1601" s="80">
        <v>-42.968000000000004</v>
      </c>
      <c r="DL1601" s="80">
        <v>519</v>
      </c>
      <c r="DM1601" s="64">
        <v>3</v>
      </c>
      <c r="DN1601" s="406" t="s">
        <v>6797</v>
      </c>
      <c r="DO1601" s="406">
        <v>-20.75</v>
      </c>
      <c r="DP1601" s="80">
        <v>712</v>
      </c>
    </row>
    <row r="1602" spans="29:120" x14ac:dyDescent="0.25">
      <c r="AC1602" s="122" t="s">
        <v>333</v>
      </c>
      <c r="AD1602" s="122" t="s">
        <v>1985</v>
      </c>
      <c r="AE1602" s="127">
        <v>5</v>
      </c>
      <c r="DA1602" s="122" t="s">
        <v>333</v>
      </c>
      <c r="DB1602" s="122" t="s">
        <v>6955</v>
      </c>
      <c r="DC1602" s="122" t="s">
        <v>971</v>
      </c>
      <c r="DD1602" s="127">
        <v>2</v>
      </c>
      <c r="DE1602" s="127">
        <v>2</v>
      </c>
      <c r="DG1602" s="405" t="s">
        <v>333</v>
      </c>
      <c r="DH1602" s="406" t="s">
        <v>971</v>
      </c>
      <c r="DI1602" s="406" t="str">
        <f t="shared" si="56"/>
        <v>MG, Dom Viçoso</v>
      </c>
      <c r="DJ1602" s="406">
        <v>-22.254000000000001</v>
      </c>
      <c r="DK1602" s="80">
        <v>-45.161000000000001</v>
      </c>
      <c r="DL1602" s="80">
        <v>923</v>
      </c>
      <c r="DM1602" s="64">
        <v>2</v>
      </c>
      <c r="DN1602" s="406" t="s">
        <v>6881</v>
      </c>
      <c r="DO1602" s="406">
        <v>-22.31</v>
      </c>
      <c r="DP1602" s="80">
        <v>1276</v>
      </c>
    </row>
    <row r="1603" spans="29:120" x14ac:dyDescent="0.25">
      <c r="AC1603" s="122" t="s">
        <v>323</v>
      </c>
      <c r="AD1603" s="122" t="s">
        <v>1986</v>
      </c>
      <c r="AE1603" s="127">
        <v>8</v>
      </c>
      <c r="DA1603" s="122" t="s">
        <v>333</v>
      </c>
      <c r="DB1603" s="122" t="s">
        <v>6956</v>
      </c>
      <c r="DC1603" s="122" t="s">
        <v>3678</v>
      </c>
      <c r="DD1603" s="127">
        <v>5</v>
      </c>
      <c r="DE1603" s="127">
        <v>5</v>
      </c>
      <c r="DG1603" s="405" t="s">
        <v>333</v>
      </c>
      <c r="DH1603" s="406" t="s">
        <v>5778</v>
      </c>
      <c r="DI1603" s="406" t="str">
        <f t="shared" ref="DI1603:DI1666" si="57">CONCATENATE(DG1603,", ",DH1603)</f>
        <v>MG, Dona Eusébia</v>
      </c>
      <c r="DJ1603" s="406">
        <v>-21.315999999999999</v>
      </c>
      <c r="DK1603" s="80">
        <v>-42.811</v>
      </c>
      <c r="DL1603" s="80">
        <v>222</v>
      </c>
      <c r="DM1603" s="64">
        <v>5</v>
      </c>
      <c r="DN1603" s="406" t="s">
        <v>6827</v>
      </c>
      <c r="DO1603" s="406">
        <v>-21.13</v>
      </c>
      <c r="DP1603" s="80">
        <v>297</v>
      </c>
    </row>
    <row r="1604" spans="29:120" x14ac:dyDescent="0.25">
      <c r="AC1604" s="122" t="s">
        <v>317</v>
      </c>
      <c r="AD1604" s="122" t="s">
        <v>1244</v>
      </c>
      <c r="AE1604" s="127">
        <v>8</v>
      </c>
      <c r="DA1604" s="122" t="s">
        <v>333</v>
      </c>
      <c r="DB1604" s="122" t="s">
        <v>6957</v>
      </c>
      <c r="DC1604" s="122" t="s">
        <v>626</v>
      </c>
      <c r="DD1604" s="127">
        <v>2</v>
      </c>
      <c r="DE1604" s="127">
        <v>2</v>
      </c>
      <c r="DG1604" s="405" t="s">
        <v>333</v>
      </c>
      <c r="DH1604" s="406" t="s">
        <v>626</v>
      </c>
      <c r="DI1604" s="406" t="str">
        <f t="shared" si="57"/>
        <v>MG, Dores de Campos</v>
      </c>
      <c r="DJ1604" s="406">
        <v>-21.109000000000002</v>
      </c>
      <c r="DK1604" s="80">
        <v>-44.023000000000003</v>
      </c>
      <c r="DL1604" s="80">
        <v>931</v>
      </c>
      <c r="DM1604" s="64">
        <v>2</v>
      </c>
      <c r="DN1604" s="406" t="s">
        <v>6813</v>
      </c>
      <c r="DO1604" s="406">
        <v>-21.14</v>
      </c>
      <c r="DP1604" s="80">
        <v>991</v>
      </c>
    </row>
    <row r="1605" spans="29:120" x14ac:dyDescent="0.25">
      <c r="AC1605" s="122" t="s">
        <v>333</v>
      </c>
      <c r="AD1605" s="122" t="s">
        <v>1987</v>
      </c>
      <c r="AE1605" s="127">
        <v>5</v>
      </c>
      <c r="DA1605" s="122" t="s">
        <v>333</v>
      </c>
      <c r="DB1605" s="122" t="s">
        <v>6958</v>
      </c>
      <c r="DC1605" s="122" t="s">
        <v>3380</v>
      </c>
      <c r="DD1605" s="127">
        <v>3</v>
      </c>
      <c r="DE1605" s="127">
        <v>3</v>
      </c>
      <c r="DG1605" s="405" t="s">
        <v>333</v>
      </c>
      <c r="DH1605" s="406" t="s">
        <v>3380</v>
      </c>
      <c r="DI1605" s="406" t="str">
        <f t="shared" si="57"/>
        <v>MG, Dores de Guanhães</v>
      </c>
      <c r="DJ1605" s="406">
        <v>-19.058</v>
      </c>
      <c r="DK1605" s="80">
        <v>-42.929000000000002</v>
      </c>
      <c r="DL1605" s="80">
        <v>497</v>
      </c>
      <c r="DM1605" s="64">
        <v>3</v>
      </c>
      <c r="DN1605" s="406" t="s">
        <v>6798</v>
      </c>
      <c r="DO1605" s="406">
        <v>-19.579999999999998</v>
      </c>
      <c r="DP1605" s="80">
        <v>333</v>
      </c>
    </row>
    <row r="1606" spans="29:120" x14ac:dyDescent="0.25">
      <c r="AC1606" s="122" t="s">
        <v>289</v>
      </c>
      <c r="AD1606" s="122" t="s">
        <v>1988</v>
      </c>
      <c r="AE1606" s="127">
        <v>8</v>
      </c>
      <c r="DA1606" s="122" t="s">
        <v>333</v>
      </c>
      <c r="DB1606" s="122" t="s">
        <v>6959</v>
      </c>
      <c r="DC1606" s="122" t="s">
        <v>2384</v>
      </c>
      <c r="DD1606" s="127">
        <v>3</v>
      </c>
      <c r="DE1606" s="127">
        <v>3</v>
      </c>
      <c r="DG1606" s="405" t="s">
        <v>333</v>
      </c>
      <c r="DH1606" s="406" t="s">
        <v>2384</v>
      </c>
      <c r="DI1606" s="406" t="str">
        <f t="shared" si="57"/>
        <v>MG, Dores do Indaiá</v>
      </c>
      <c r="DJ1606" s="406">
        <v>-19.463000000000001</v>
      </c>
      <c r="DK1606" s="80">
        <v>-45.601999999999997</v>
      </c>
      <c r="DL1606" s="80">
        <v>723</v>
      </c>
      <c r="DM1606" s="64">
        <v>3</v>
      </c>
      <c r="DN1606" s="406" t="s">
        <v>6795</v>
      </c>
      <c r="DO1606" s="406">
        <v>-19.46</v>
      </c>
      <c r="DP1606" s="80">
        <v>722</v>
      </c>
    </row>
    <row r="1607" spans="29:120" x14ac:dyDescent="0.25">
      <c r="AC1607" s="122" t="s">
        <v>333</v>
      </c>
      <c r="AD1607" s="122" t="s">
        <v>1989</v>
      </c>
      <c r="AE1607" s="127">
        <v>4</v>
      </c>
      <c r="DA1607" s="122" t="s">
        <v>333</v>
      </c>
      <c r="DB1607" s="122" t="s">
        <v>6960</v>
      </c>
      <c r="DC1607" s="122" t="s">
        <v>3488</v>
      </c>
      <c r="DD1607" s="127">
        <v>3</v>
      </c>
      <c r="DE1607" s="127">
        <v>3</v>
      </c>
      <c r="DG1607" s="405" t="s">
        <v>333</v>
      </c>
      <c r="DH1607" s="406" t="s">
        <v>3488</v>
      </c>
      <c r="DI1607" s="406" t="str">
        <f t="shared" si="57"/>
        <v>MG, Dores do Turvo</v>
      </c>
      <c r="DJ1607" s="406">
        <v>-20.975999999999999</v>
      </c>
      <c r="DK1607" s="80">
        <v>-43.189</v>
      </c>
      <c r="DL1607" s="80">
        <v>672</v>
      </c>
      <c r="DM1607" s="64">
        <v>3</v>
      </c>
      <c r="DN1607" s="406" t="s">
        <v>6797</v>
      </c>
      <c r="DO1607" s="406">
        <v>-20.75</v>
      </c>
      <c r="DP1607" s="80">
        <v>712</v>
      </c>
    </row>
    <row r="1608" spans="29:120" x14ac:dyDescent="0.25">
      <c r="AC1608" s="122" t="s">
        <v>289</v>
      </c>
      <c r="AD1608" s="122" t="s">
        <v>1990</v>
      </c>
      <c r="AE1608" s="127">
        <v>8</v>
      </c>
      <c r="DA1608" s="122" t="s">
        <v>333</v>
      </c>
      <c r="DB1608" s="122" t="s">
        <v>3401</v>
      </c>
      <c r="DC1608" s="122" t="s">
        <v>3401</v>
      </c>
      <c r="DD1608" s="127">
        <v>3</v>
      </c>
      <c r="DE1608" s="127">
        <v>3</v>
      </c>
      <c r="DG1608" s="405" t="s">
        <v>333</v>
      </c>
      <c r="DH1608" s="406" t="s">
        <v>3401</v>
      </c>
      <c r="DI1608" s="406" t="str">
        <f t="shared" si="57"/>
        <v>MG, Doresópolis</v>
      </c>
      <c r="DJ1608" s="406">
        <v>-20.286999999999999</v>
      </c>
      <c r="DK1608" s="80">
        <v>-45.902999999999999</v>
      </c>
      <c r="DL1608" s="80">
        <v>679</v>
      </c>
      <c r="DM1608" s="64">
        <v>3</v>
      </c>
      <c r="DN1608" s="406" t="s">
        <v>6803</v>
      </c>
      <c r="DO1608" s="406">
        <v>-20.46</v>
      </c>
      <c r="DP1608" s="80">
        <v>878</v>
      </c>
    </row>
    <row r="1609" spans="29:120" x14ac:dyDescent="0.25">
      <c r="AC1609" s="122" t="s">
        <v>333</v>
      </c>
      <c r="AD1609" s="122" t="s">
        <v>1991</v>
      </c>
      <c r="AE1609" s="127">
        <v>5</v>
      </c>
      <c r="DA1609" s="122" t="s">
        <v>333</v>
      </c>
      <c r="DB1609" s="122" t="s">
        <v>2617</v>
      </c>
      <c r="DC1609" s="122" t="s">
        <v>2617</v>
      </c>
      <c r="DD1609" s="127">
        <v>6</v>
      </c>
      <c r="DE1609" s="127">
        <v>6</v>
      </c>
      <c r="DG1609" s="405" t="s">
        <v>333</v>
      </c>
      <c r="DH1609" s="406" t="s">
        <v>2617</v>
      </c>
      <c r="DI1609" s="406" t="str">
        <f t="shared" si="57"/>
        <v>MG, Douradoquara</v>
      </c>
      <c r="DJ1609" s="406">
        <v>-18.431000000000001</v>
      </c>
      <c r="DK1609" s="80">
        <v>-47.609000000000002</v>
      </c>
      <c r="DL1609" s="80">
        <v>713</v>
      </c>
      <c r="DM1609" s="64">
        <v>6</v>
      </c>
      <c r="DN1609" s="406" t="s">
        <v>6523</v>
      </c>
      <c r="DO1609" s="406">
        <v>-18.16</v>
      </c>
      <c r="DP1609" s="80">
        <v>890</v>
      </c>
    </row>
    <row r="1610" spans="29:120" x14ac:dyDescent="0.25">
      <c r="AC1610" s="122" t="s">
        <v>289</v>
      </c>
      <c r="AD1610" s="122" t="s">
        <v>1992</v>
      </c>
      <c r="AE1610" s="127">
        <v>8</v>
      </c>
      <c r="DA1610" s="122" t="s">
        <v>333</v>
      </c>
      <c r="DB1610" s="122" t="s">
        <v>3485</v>
      </c>
      <c r="DC1610" s="122" t="s">
        <v>3485</v>
      </c>
      <c r="DD1610" s="127">
        <v>3</v>
      </c>
      <c r="DE1610" s="127">
        <v>3</v>
      </c>
      <c r="DG1610" s="405" t="s">
        <v>333</v>
      </c>
      <c r="DH1610" s="406" t="s">
        <v>3485</v>
      </c>
      <c r="DI1610" s="406" t="str">
        <f t="shared" si="57"/>
        <v>MG, Durandé</v>
      </c>
      <c r="DJ1610" s="406">
        <v>-20.202999999999999</v>
      </c>
      <c r="DK1610" s="80">
        <v>-41.798000000000002</v>
      </c>
      <c r="DL1610" s="80">
        <v>705</v>
      </c>
      <c r="DM1610" s="64">
        <v>3</v>
      </c>
      <c r="DN1610" s="406" t="s">
        <v>6819</v>
      </c>
      <c r="DO1610" s="406">
        <v>-19.79</v>
      </c>
      <c r="DP1610" s="80">
        <v>615</v>
      </c>
    </row>
    <row r="1611" spans="29:120" x14ac:dyDescent="0.25">
      <c r="AC1611" s="122" t="s">
        <v>322</v>
      </c>
      <c r="AD1611" s="122" t="s">
        <v>1993</v>
      </c>
      <c r="AE1611" s="127">
        <v>6</v>
      </c>
      <c r="DA1611" s="122" t="s">
        <v>333</v>
      </c>
      <c r="DB1611" s="122" t="s">
        <v>6961</v>
      </c>
      <c r="DC1611" s="122" t="s">
        <v>963</v>
      </c>
      <c r="DD1611" s="127">
        <v>2</v>
      </c>
      <c r="DE1611" s="127">
        <v>2</v>
      </c>
      <c r="DG1611" s="405" t="s">
        <v>333</v>
      </c>
      <c r="DH1611" s="406" t="s">
        <v>963</v>
      </c>
      <c r="DI1611" s="406" t="str">
        <f t="shared" si="57"/>
        <v>MG, Elói Mendes</v>
      </c>
      <c r="DJ1611" s="406">
        <v>-21.61</v>
      </c>
      <c r="DK1611" s="80">
        <v>-45.564999999999998</v>
      </c>
      <c r="DL1611" s="80">
        <v>907</v>
      </c>
      <c r="DM1611" s="64">
        <v>2</v>
      </c>
      <c r="DN1611" s="406" t="s">
        <v>6811</v>
      </c>
      <c r="DO1611" s="406">
        <v>-21.55</v>
      </c>
      <c r="DP1611" s="80">
        <v>955</v>
      </c>
    </row>
    <row r="1612" spans="29:120" x14ac:dyDescent="0.25">
      <c r="AC1612" s="122" t="s">
        <v>333</v>
      </c>
      <c r="AD1612" s="122" t="s">
        <v>1994</v>
      </c>
      <c r="AE1612" s="127">
        <v>5</v>
      </c>
      <c r="DA1612" s="122" t="s">
        <v>333</v>
      </c>
      <c r="DB1612" s="122" t="s">
        <v>6962</v>
      </c>
      <c r="DC1612" s="122" t="s">
        <v>2549</v>
      </c>
      <c r="DD1612" s="127">
        <v>5</v>
      </c>
      <c r="DE1612" s="127">
        <v>5</v>
      </c>
      <c r="DG1612" s="405" t="s">
        <v>333</v>
      </c>
      <c r="DH1612" s="406" t="s">
        <v>2549</v>
      </c>
      <c r="DI1612" s="406" t="str">
        <f t="shared" si="57"/>
        <v>MG, Engenheiro Caldas</v>
      </c>
      <c r="DJ1612" s="406">
        <v>-19.219000000000001</v>
      </c>
      <c r="DK1612" s="80">
        <v>-42.045999999999999</v>
      </c>
      <c r="DL1612" s="80">
        <v>231</v>
      </c>
      <c r="DM1612" s="64">
        <v>5</v>
      </c>
      <c r="DN1612" s="406" t="s">
        <v>6814</v>
      </c>
      <c r="DO1612" s="406">
        <v>-18.850000000000001</v>
      </c>
      <c r="DP1612" s="80">
        <v>263</v>
      </c>
    </row>
    <row r="1613" spans="29:120" x14ac:dyDescent="0.25">
      <c r="AC1613" s="122" t="s">
        <v>289</v>
      </c>
      <c r="AD1613" s="122" t="s">
        <v>1995</v>
      </c>
      <c r="AE1613" s="127">
        <v>8</v>
      </c>
      <c r="DA1613" s="122" t="s">
        <v>333</v>
      </c>
      <c r="DB1613" s="122" t="s">
        <v>6963</v>
      </c>
      <c r="DC1613" s="122" t="s">
        <v>2145</v>
      </c>
      <c r="DD1613" s="127">
        <v>4</v>
      </c>
      <c r="DE1613" s="127">
        <v>4</v>
      </c>
      <c r="DG1613" s="405" t="s">
        <v>333</v>
      </c>
      <c r="DH1613" s="406" t="s">
        <v>2145</v>
      </c>
      <c r="DI1613" s="406" t="str">
        <f t="shared" si="57"/>
        <v>MG, Engenheiro Navarro</v>
      </c>
      <c r="DJ1613" s="406">
        <v>-17.28</v>
      </c>
      <c r="DK1613" s="80">
        <v>-43.95</v>
      </c>
      <c r="DL1613" s="80">
        <v>671</v>
      </c>
      <c r="DM1613" s="64">
        <v>4</v>
      </c>
      <c r="DN1613" s="406" t="s">
        <v>6853</v>
      </c>
      <c r="DO1613" s="406">
        <v>-16.739999999999998</v>
      </c>
      <c r="DP1613" s="80">
        <v>646</v>
      </c>
    </row>
    <row r="1614" spans="29:120" x14ac:dyDescent="0.25">
      <c r="AC1614" s="122" t="s">
        <v>333</v>
      </c>
      <c r="AD1614" s="122" t="s">
        <v>1996</v>
      </c>
      <c r="AE1614" s="127">
        <v>5</v>
      </c>
      <c r="DA1614" s="122" t="s">
        <v>333</v>
      </c>
      <c r="DB1614" s="122" t="s">
        <v>6964</v>
      </c>
      <c r="DC1614" s="122" t="s">
        <v>2021</v>
      </c>
      <c r="DD1614" s="127">
        <v>3</v>
      </c>
      <c r="DE1614" s="127">
        <v>3</v>
      </c>
      <c r="DG1614" s="405" t="s">
        <v>333</v>
      </c>
      <c r="DH1614" s="406" t="s">
        <v>2021</v>
      </c>
      <c r="DI1614" s="406" t="str">
        <f t="shared" si="57"/>
        <v>MG, Entre Folhas</v>
      </c>
      <c r="DJ1614" s="406">
        <v>-19.625</v>
      </c>
      <c r="DK1614" s="80">
        <v>-42.231000000000002</v>
      </c>
      <c r="DL1614" s="80">
        <v>495</v>
      </c>
      <c r="DM1614" s="64">
        <v>3</v>
      </c>
      <c r="DN1614" s="406" t="s">
        <v>6819</v>
      </c>
      <c r="DO1614" s="406">
        <v>-19.79</v>
      </c>
      <c r="DP1614" s="80">
        <v>615</v>
      </c>
    </row>
    <row r="1615" spans="29:120" x14ac:dyDescent="0.25">
      <c r="AC1615" s="122" t="s">
        <v>333</v>
      </c>
      <c r="AD1615" s="122" t="s">
        <v>1997</v>
      </c>
      <c r="AE1615" s="127">
        <v>5</v>
      </c>
      <c r="DA1615" s="122" t="s">
        <v>333</v>
      </c>
      <c r="DB1615" s="122" t="s">
        <v>6965</v>
      </c>
      <c r="DC1615" s="122" t="s">
        <v>627</v>
      </c>
      <c r="DD1615" s="127">
        <v>2</v>
      </c>
      <c r="DE1615" s="127">
        <v>2</v>
      </c>
      <c r="DG1615" s="405" t="s">
        <v>333</v>
      </c>
      <c r="DH1615" s="406" t="s">
        <v>627</v>
      </c>
      <c r="DI1615" s="406" t="str">
        <f t="shared" si="57"/>
        <v>MG, Entre Rios de Minas</v>
      </c>
      <c r="DJ1615" s="406">
        <v>-20.670999999999999</v>
      </c>
      <c r="DK1615" s="80">
        <v>-44.066000000000003</v>
      </c>
      <c r="DL1615" s="80">
        <v>957</v>
      </c>
      <c r="DM1615" s="64">
        <v>2</v>
      </c>
      <c r="DN1615" s="406" t="s">
        <v>6848</v>
      </c>
      <c r="DO1615" s="406">
        <v>-20.52</v>
      </c>
      <c r="DP1615" s="80">
        <v>1061</v>
      </c>
    </row>
    <row r="1616" spans="29:120" x14ac:dyDescent="0.25">
      <c r="AC1616" s="122" t="s">
        <v>323</v>
      </c>
      <c r="AD1616" s="122" t="s">
        <v>1998</v>
      </c>
      <c r="AE1616" s="127">
        <v>8</v>
      </c>
      <c r="DA1616" s="122" t="s">
        <v>333</v>
      </c>
      <c r="DB1616" s="122" t="s">
        <v>3335</v>
      </c>
      <c r="DC1616" s="122" t="s">
        <v>3335</v>
      </c>
      <c r="DD1616" s="127">
        <v>3</v>
      </c>
      <c r="DE1616" s="127">
        <v>3</v>
      </c>
      <c r="DG1616" s="405" t="s">
        <v>333</v>
      </c>
      <c r="DH1616" s="406" t="s">
        <v>3335</v>
      </c>
      <c r="DI1616" s="406" t="str">
        <f t="shared" si="57"/>
        <v>MG, Ervália</v>
      </c>
      <c r="DJ1616" s="406">
        <v>-20.84</v>
      </c>
      <c r="DK1616" s="80">
        <v>-42.656999999999996</v>
      </c>
      <c r="DL1616" s="80">
        <v>730</v>
      </c>
      <c r="DM1616" s="64">
        <v>3</v>
      </c>
      <c r="DN1616" s="406" t="s">
        <v>6797</v>
      </c>
      <c r="DO1616" s="406">
        <v>-20.75</v>
      </c>
      <c r="DP1616" s="80">
        <v>712</v>
      </c>
    </row>
    <row r="1617" spans="29:120" x14ac:dyDescent="0.25">
      <c r="AC1617" s="122" t="s">
        <v>333</v>
      </c>
      <c r="AD1617" s="122" t="s">
        <v>1999</v>
      </c>
      <c r="AE1617" s="127">
        <v>5</v>
      </c>
      <c r="DA1617" s="122" t="s">
        <v>333</v>
      </c>
      <c r="DB1617" s="122" t="s">
        <v>3823</v>
      </c>
      <c r="DC1617" s="122" t="s">
        <v>3823</v>
      </c>
      <c r="DD1617" s="127">
        <v>4</v>
      </c>
      <c r="DE1617" s="127">
        <v>4</v>
      </c>
      <c r="DG1617" s="405" t="s">
        <v>333</v>
      </c>
      <c r="DH1617" s="406" t="s">
        <v>3823</v>
      </c>
      <c r="DI1617" s="406" t="str">
        <f t="shared" si="57"/>
        <v>MG, Esmeraldas</v>
      </c>
      <c r="DJ1617" s="406">
        <v>-19.763000000000002</v>
      </c>
      <c r="DK1617" s="80">
        <v>-44.314</v>
      </c>
      <c r="DL1617" s="80">
        <v>760</v>
      </c>
      <c r="DM1617" s="64">
        <v>4</v>
      </c>
      <c r="DN1617" s="406" t="s">
        <v>6879</v>
      </c>
      <c r="DO1617" s="406">
        <v>-19.89</v>
      </c>
      <c r="DP1617" s="80">
        <v>742</v>
      </c>
    </row>
    <row r="1618" spans="29:120" x14ac:dyDescent="0.25">
      <c r="AC1618" s="122" t="s">
        <v>348</v>
      </c>
      <c r="AD1618" s="122" t="s">
        <v>2000</v>
      </c>
      <c r="AE1618" s="127">
        <v>7</v>
      </c>
      <c r="DA1618" s="122" t="s">
        <v>333</v>
      </c>
      <c r="DB1618" s="122" t="s">
        <v>6966</v>
      </c>
      <c r="DC1618" s="122" t="s">
        <v>3476</v>
      </c>
      <c r="DD1618" s="127">
        <v>2</v>
      </c>
      <c r="DE1618" s="127">
        <v>2</v>
      </c>
      <c r="DG1618" s="405" t="s">
        <v>333</v>
      </c>
      <c r="DH1618" s="406" t="s">
        <v>3476</v>
      </c>
      <c r="DI1618" s="406" t="str">
        <f t="shared" si="57"/>
        <v>MG, Espera Feliz</v>
      </c>
      <c r="DJ1618" s="406">
        <v>-20.65</v>
      </c>
      <c r="DK1618" s="80">
        <v>-41.906999999999996</v>
      </c>
      <c r="DL1618" s="80">
        <v>772</v>
      </c>
      <c r="DM1618" s="64">
        <v>2</v>
      </c>
      <c r="DN1618" s="406" t="s">
        <v>6478</v>
      </c>
      <c r="DO1618" s="406">
        <v>-20.73</v>
      </c>
      <c r="DP1618" s="80">
        <v>399</v>
      </c>
    </row>
    <row r="1619" spans="29:120" x14ac:dyDescent="0.25">
      <c r="AC1619" s="122" t="s">
        <v>333</v>
      </c>
      <c r="AD1619" s="122" t="s">
        <v>2001</v>
      </c>
      <c r="AE1619" s="127">
        <v>5</v>
      </c>
      <c r="DA1619" s="122" t="s">
        <v>333</v>
      </c>
      <c r="DB1619" s="122" t="s">
        <v>5430</v>
      </c>
      <c r="DC1619" s="122" t="s">
        <v>5430</v>
      </c>
      <c r="DD1619" s="127">
        <v>6</v>
      </c>
      <c r="DE1619" s="127">
        <v>6</v>
      </c>
      <c r="DG1619" s="405" t="s">
        <v>333</v>
      </c>
      <c r="DH1619" s="406" t="s">
        <v>5430</v>
      </c>
      <c r="DI1619" s="406" t="str">
        <f t="shared" si="57"/>
        <v>MG, Espinosa</v>
      </c>
      <c r="DJ1619" s="406">
        <v>-14.926</v>
      </c>
      <c r="DK1619" s="80">
        <v>-42.819000000000003</v>
      </c>
      <c r="DL1619" s="80">
        <v>570</v>
      </c>
      <c r="DM1619" s="64">
        <v>6</v>
      </c>
      <c r="DN1619" s="406" t="s">
        <v>6293</v>
      </c>
      <c r="DO1619" s="406">
        <v>-14.92</v>
      </c>
      <c r="DP1619" s="80">
        <v>570</v>
      </c>
    </row>
    <row r="1620" spans="29:120" x14ac:dyDescent="0.25">
      <c r="AC1620" s="122" t="s">
        <v>322</v>
      </c>
      <c r="AD1620" s="122" t="s">
        <v>2002</v>
      </c>
      <c r="AE1620" s="127">
        <v>4</v>
      </c>
      <c r="DA1620" s="122" t="s">
        <v>333</v>
      </c>
      <c r="DB1620" s="122" t="s">
        <v>6967</v>
      </c>
      <c r="DC1620" s="122" t="s">
        <v>985</v>
      </c>
      <c r="DD1620" s="127">
        <v>2</v>
      </c>
      <c r="DE1620" s="127">
        <v>2</v>
      </c>
      <c r="DG1620" s="405" t="s">
        <v>333</v>
      </c>
      <c r="DH1620" s="406" t="s">
        <v>985</v>
      </c>
      <c r="DI1620" s="406" t="str">
        <f t="shared" si="57"/>
        <v>MG, Espírito Santo do Dourado</v>
      </c>
      <c r="DJ1620" s="406">
        <v>-22.045999999999999</v>
      </c>
      <c r="DK1620" s="80">
        <v>-45.951000000000001</v>
      </c>
      <c r="DL1620" s="80">
        <v>907</v>
      </c>
      <c r="DM1620" s="64">
        <v>2</v>
      </c>
      <c r="DN1620" s="406" t="s">
        <v>6823</v>
      </c>
      <c r="DO1620" s="406">
        <v>-21.92</v>
      </c>
      <c r="DP1620" s="80">
        <v>1150</v>
      </c>
    </row>
    <row r="1621" spans="29:120" x14ac:dyDescent="0.25">
      <c r="AC1621" s="122" t="s">
        <v>289</v>
      </c>
      <c r="AD1621" s="122" t="s">
        <v>2003</v>
      </c>
      <c r="AE1621" s="127">
        <v>6</v>
      </c>
      <c r="DA1621" s="122" t="s">
        <v>333</v>
      </c>
      <c r="DB1621" s="122" t="s">
        <v>915</v>
      </c>
      <c r="DC1621" s="122" t="s">
        <v>915</v>
      </c>
      <c r="DD1621" s="127">
        <v>2</v>
      </c>
      <c r="DE1621" s="127">
        <v>2</v>
      </c>
      <c r="DG1621" s="405" t="s">
        <v>333</v>
      </c>
      <c r="DH1621" s="406" t="s">
        <v>915</v>
      </c>
      <c r="DI1621" s="406" t="str">
        <f t="shared" si="57"/>
        <v>MG, Estiva</v>
      </c>
      <c r="DJ1621" s="406">
        <v>-22.463000000000001</v>
      </c>
      <c r="DK1621" s="80">
        <v>-46.017000000000003</v>
      </c>
      <c r="DL1621" s="80">
        <v>560</v>
      </c>
      <c r="DM1621" s="64">
        <v>2</v>
      </c>
      <c r="DN1621" s="406" t="s">
        <v>6861</v>
      </c>
      <c r="DO1621" s="406">
        <v>-22.86</v>
      </c>
      <c r="DP1621" s="80">
        <v>1500</v>
      </c>
    </row>
    <row r="1622" spans="29:120" x14ac:dyDescent="0.25">
      <c r="AC1622" s="122" t="s">
        <v>333</v>
      </c>
      <c r="AD1622" s="122" t="s">
        <v>2004</v>
      </c>
      <c r="AE1622" s="127">
        <v>5</v>
      </c>
      <c r="DA1622" s="122" t="s">
        <v>333</v>
      </c>
      <c r="DB1622" s="122" t="s">
        <v>6968</v>
      </c>
      <c r="DC1622" s="122" t="s">
        <v>3620</v>
      </c>
      <c r="DD1622" s="127">
        <v>3</v>
      </c>
      <c r="DE1622" s="127">
        <v>3</v>
      </c>
      <c r="DG1622" s="405" t="s">
        <v>333</v>
      </c>
      <c r="DH1622" s="406" t="s">
        <v>3620</v>
      </c>
      <c r="DI1622" s="406" t="str">
        <f t="shared" si="57"/>
        <v>MG, Estrela Dalva</v>
      </c>
      <c r="DJ1622" s="406">
        <v>-21.742000000000001</v>
      </c>
      <c r="DK1622" s="80">
        <v>-42.460999999999999</v>
      </c>
      <c r="DL1622" s="80">
        <v>218</v>
      </c>
      <c r="DM1622" s="64">
        <v>3</v>
      </c>
      <c r="DN1622" s="406" t="s">
        <v>6969</v>
      </c>
      <c r="DO1622" s="406">
        <v>-21.58</v>
      </c>
      <c r="DP1622" s="80">
        <v>35</v>
      </c>
    </row>
    <row r="1623" spans="29:120" x14ac:dyDescent="0.25">
      <c r="AC1623" s="122" t="s">
        <v>289</v>
      </c>
      <c r="AD1623" s="122" t="s">
        <v>2005</v>
      </c>
      <c r="AE1623" s="127">
        <v>8</v>
      </c>
      <c r="DA1623" s="122" t="s">
        <v>333</v>
      </c>
      <c r="DB1623" s="122" t="s">
        <v>6970</v>
      </c>
      <c r="DC1623" s="122" t="s">
        <v>2823</v>
      </c>
      <c r="DD1623" s="127">
        <v>3</v>
      </c>
      <c r="DE1623" s="127">
        <v>3</v>
      </c>
      <c r="DG1623" s="405" t="s">
        <v>333</v>
      </c>
      <c r="DH1623" s="406" t="s">
        <v>2823</v>
      </c>
      <c r="DI1623" s="406" t="str">
        <f t="shared" si="57"/>
        <v>MG, Estrela do Indaiá</v>
      </c>
      <c r="DJ1623" s="406">
        <v>-19.521999999999998</v>
      </c>
      <c r="DK1623" s="80">
        <v>-45.787999999999997</v>
      </c>
      <c r="DL1623" s="80">
        <v>721</v>
      </c>
      <c r="DM1623" s="64">
        <v>3</v>
      </c>
      <c r="DN1623" s="406" t="s">
        <v>6795</v>
      </c>
      <c r="DO1623" s="406">
        <v>-19.46</v>
      </c>
      <c r="DP1623" s="80">
        <v>722</v>
      </c>
    </row>
    <row r="1624" spans="29:120" x14ac:dyDescent="0.25">
      <c r="AC1624" s="122" t="s">
        <v>289</v>
      </c>
      <c r="AD1624" s="122" t="s">
        <v>2006</v>
      </c>
      <c r="AE1624" s="127">
        <v>6</v>
      </c>
      <c r="DA1624" s="122" t="s">
        <v>333</v>
      </c>
      <c r="DB1624" s="122" t="s">
        <v>6971</v>
      </c>
      <c r="DC1624" s="122" t="s">
        <v>2674</v>
      </c>
      <c r="DD1624" s="127">
        <v>6</v>
      </c>
      <c r="DE1624" s="127">
        <v>6</v>
      </c>
      <c r="DG1624" s="405" t="s">
        <v>333</v>
      </c>
      <c r="DH1624" s="406" t="s">
        <v>2674</v>
      </c>
      <c r="DI1624" s="406" t="str">
        <f t="shared" si="57"/>
        <v>MG, Estrela do Sul</v>
      </c>
      <c r="DJ1624" s="406">
        <v>-18.745999999999999</v>
      </c>
      <c r="DK1624" s="80">
        <v>-47.692999999999998</v>
      </c>
      <c r="DL1624" s="80">
        <v>765</v>
      </c>
      <c r="DM1624" s="64">
        <v>6</v>
      </c>
      <c r="DN1624" s="406" t="s">
        <v>6831</v>
      </c>
      <c r="DO1624" s="406">
        <v>-18.920000000000002</v>
      </c>
      <c r="DP1624" s="80">
        <v>869</v>
      </c>
    </row>
    <row r="1625" spans="29:120" x14ac:dyDescent="0.25">
      <c r="AC1625" s="122" t="s">
        <v>289</v>
      </c>
      <c r="AD1625" s="122" t="s">
        <v>2007</v>
      </c>
      <c r="AE1625" s="127">
        <v>8</v>
      </c>
      <c r="DA1625" s="122" t="s">
        <v>333</v>
      </c>
      <c r="DB1625" s="122" t="s">
        <v>3227</v>
      </c>
      <c r="DC1625" s="122" t="s">
        <v>3227</v>
      </c>
      <c r="DD1625" s="127">
        <v>3</v>
      </c>
      <c r="DE1625" s="127">
        <v>3</v>
      </c>
      <c r="DG1625" s="405" t="s">
        <v>333</v>
      </c>
      <c r="DH1625" s="406" t="s">
        <v>3227</v>
      </c>
      <c r="DI1625" s="406" t="str">
        <f t="shared" si="57"/>
        <v>MG, Eugenópolis</v>
      </c>
      <c r="DJ1625" s="406">
        <v>-21.099</v>
      </c>
      <c r="DK1625" s="80">
        <v>-42.186999999999998</v>
      </c>
      <c r="DL1625" s="80">
        <v>194</v>
      </c>
      <c r="DM1625" s="64">
        <v>3</v>
      </c>
      <c r="DN1625" s="406" t="s">
        <v>6827</v>
      </c>
      <c r="DO1625" s="406">
        <v>-21.13</v>
      </c>
      <c r="DP1625" s="80">
        <v>297</v>
      </c>
    </row>
    <row r="1626" spans="29:120" x14ac:dyDescent="0.25">
      <c r="AC1626" s="122" t="s">
        <v>333</v>
      </c>
      <c r="AD1626" s="122" t="s">
        <v>2008</v>
      </c>
      <c r="AE1626" s="127">
        <v>5</v>
      </c>
      <c r="DA1626" s="122" t="s">
        <v>333</v>
      </c>
      <c r="DB1626" s="122" t="s">
        <v>6972</v>
      </c>
      <c r="DC1626" s="122" t="s">
        <v>628</v>
      </c>
      <c r="DD1626" s="127">
        <v>3</v>
      </c>
      <c r="DE1626" s="127">
        <v>3</v>
      </c>
      <c r="DG1626" s="405" t="s">
        <v>333</v>
      </c>
      <c r="DH1626" s="406" t="s">
        <v>628</v>
      </c>
      <c r="DI1626" s="406" t="str">
        <f t="shared" si="57"/>
        <v>MG, Ewbank da Câmara</v>
      </c>
      <c r="DJ1626" s="406">
        <v>-21.550999999999998</v>
      </c>
      <c r="DK1626" s="80">
        <v>-43.51</v>
      </c>
      <c r="DL1626" s="80">
        <v>778</v>
      </c>
      <c r="DM1626" s="64">
        <v>3</v>
      </c>
      <c r="DN1626" s="406" t="s">
        <v>6829</v>
      </c>
      <c r="DO1626" s="406">
        <v>-21.76</v>
      </c>
      <c r="DP1626" s="80">
        <v>950</v>
      </c>
    </row>
    <row r="1627" spans="29:120" x14ac:dyDescent="0.25">
      <c r="AC1627" s="122" t="s">
        <v>333</v>
      </c>
      <c r="AD1627" s="122" t="s">
        <v>2009</v>
      </c>
      <c r="AE1627" s="127">
        <v>5</v>
      </c>
      <c r="DA1627" s="122" t="s">
        <v>333</v>
      </c>
      <c r="DB1627" s="122" t="s">
        <v>1045</v>
      </c>
      <c r="DC1627" s="122" t="s">
        <v>1045</v>
      </c>
      <c r="DD1627" s="127">
        <v>3</v>
      </c>
      <c r="DE1627" s="127">
        <v>3</v>
      </c>
      <c r="DG1627" s="405" t="s">
        <v>333</v>
      </c>
      <c r="DH1627" s="406" t="s">
        <v>1045</v>
      </c>
      <c r="DI1627" s="406" t="str">
        <f t="shared" si="57"/>
        <v>MG, Extrema</v>
      </c>
      <c r="DJ1627" s="406">
        <v>-22.855</v>
      </c>
      <c r="DK1627" s="80">
        <v>-46.317999999999998</v>
      </c>
      <c r="DL1627" s="80">
        <v>973</v>
      </c>
      <c r="DM1627" s="64">
        <v>3</v>
      </c>
      <c r="DN1627" s="406" t="s">
        <v>6861</v>
      </c>
      <c r="DO1627" s="406">
        <v>-22.86</v>
      </c>
      <c r="DP1627" s="80">
        <v>1500</v>
      </c>
    </row>
    <row r="1628" spans="29:120" x14ac:dyDescent="0.25">
      <c r="AC1628" s="122" t="s">
        <v>358</v>
      </c>
      <c r="AD1628" s="122" t="s">
        <v>2010</v>
      </c>
      <c r="AE1628" s="127">
        <v>5</v>
      </c>
      <c r="DA1628" s="122" t="s">
        <v>333</v>
      </c>
      <c r="DB1628" s="122" t="s">
        <v>629</v>
      </c>
      <c r="DC1628" s="122" t="s">
        <v>629</v>
      </c>
      <c r="DD1628" s="127">
        <v>2</v>
      </c>
      <c r="DE1628" s="127">
        <v>2</v>
      </c>
      <c r="DG1628" s="405" t="s">
        <v>333</v>
      </c>
      <c r="DH1628" s="406" t="s">
        <v>629</v>
      </c>
      <c r="DI1628" s="406" t="str">
        <f t="shared" si="57"/>
        <v>MG, Fama</v>
      </c>
      <c r="DJ1628" s="406">
        <v>-21.405999999999999</v>
      </c>
      <c r="DK1628" s="80">
        <v>-45.829000000000001</v>
      </c>
      <c r="DL1628" s="80">
        <v>776</v>
      </c>
      <c r="DM1628" s="64">
        <v>2</v>
      </c>
      <c r="DN1628" s="406" t="s">
        <v>6811</v>
      </c>
      <c r="DO1628" s="406">
        <v>-21.55</v>
      </c>
      <c r="DP1628" s="80">
        <v>955</v>
      </c>
    </row>
    <row r="1629" spans="29:120" x14ac:dyDescent="0.25">
      <c r="AC1629" s="122" t="s">
        <v>289</v>
      </c>
      <c r="AD1629" s="122" t="s">
        <v>2011</v>
      </c>
      <c r="AE1629" s="127">
        <v>8</v>
      </c>
      <c r="DA1629" s="122" t="s">
        <v>333</v>
      </c>
      <c r="DB1629" s="122" t="s">
        <v>6973</v>
      </c>
      <c r="DC1629" s="122" t="s">
        <v>3391</v>
      </c>
      <c r="DD1629" s="127">
        <v>3</v>
      </c>
      <c r="DE1629" s="127">
        <v>3</v>
      </c>
      <c r="DG1629" s="405" t="s">
        <v>333</v>
      </c>
      <c r="DH1629" s="406" t="s">
        <v>3391</v>
      </c>
      <c r="DI1629" s="406" t="str">
        <f t="shared" si="57"/>
        <v>MG, Faria Lemos</v>
      </c>
      <c r="DJ1629" s="406">
        <v>-20.808</v>
      </c>
      <c r="DK1629" s="80">
        <v>-42.03</v>
      </c>
      <c r="DL1629" s="80">
        <v>380</v>
      </c>
      <c r="DM1629" s="64">
        <v>3</v>
      </c>
      <c r="DN1629" s="406" t="s">
        <v>6478</v>
      </c>
      <c r="DO1629" s="406">
        <v>-20.73</v>
      </c>
      <c r="DP1629" s="80">
        <v>399</v>
      </c>
    </row>
    <row r="1630" spans="29:120" x14ac:dyDescent="0.25">
      <c r="AC1630" s="122" t="s">
        <v>317</v>
      </c>
      <c r="AD1630" s="122" t="s">
        <v>2012</v>
      </c>
      <c r="AE1630" s="127">
        <v>8</v>
      </c>
      <c r="DA1630" s="122" t="s">
        <v>333</v>
      </c>
      <c r="DB1630" s="122" t="s">
        <v>6974</v>
      </c>
      <c r="DC1630" s="122" t="s">
        <v>630</v>
      </c>
      <c r="DD1630" s="127">
        <v>3</v>
      </c>
      <c r="DE1630" s="127">
        <v>3</v>
      </c>
      <c r="DG1630" s="405" t="s">
        <v>333</v>
      </c>
      <c r="DH1630" s="406" t="s">
        <v>630</v>
      </c>
      <c r="DI1630" s="406" t="str">
        <f t="shared" si="57"/>
        <v>MG, Felício dos Santos</v>
      </c>
      <c r="DJ1630" s="406">
        <v>-18.077000000000002</v>
      </c>
      <c r="DK1630" s="80">
        <v>-43.247</v>
      </c>
      <c r="DL1630" s="80">
        <v>740</v>
      </c>
      <c r="DM1630" s="64">
        <v>3</v>
      </c>
      <c r="DN1630" s="406" t="s">
        <v>6821</v>
      </c>
      <c r="DO1630" s="406">
        <v>-18.23</v>
      </c>
      <c r="DP1630" s="80">
        <v>1356</v>
      </c>
    </row>
    <row r="1631" spans="29:120" x14ac:dyDescent="0.25">
      <c r="AC1631" s="122" t="s">
        <v>333</v>
      </c>
      <c r="AD1631" s="122" t="s">
        <v>2013</v>
      </c>
      <c r="AE1631" s="127">
        <v>5</v>
      </c>
      <c r="DA1631" s="122" t="s">
        <v>333</v>
      </c>
      <c r="DB1631" s="122" t="s">
        <v>1833</v>
      </c>
      <c r="DC1631" s="122" t="s">
        <v>1833</v>
      </c>
      <c r="DD1631" s="127">
        <v>5</v>
      </c>
      <c r="DE1631" s="127">
        <v>5</v>
      </c>
      <c r="DG1631" s="405" t="s">
        <v>333</v>
      </c>
      <c r="DH1631" s="406" t="s">
        <v>1833</v>
      </c>
      <c r="DI1631" s="406" t="str">
        <f t="shared" si="57"/>
        <v>MG, Felisburgo</v>
      </c>
      <c r="DJ1631" s="406">
        <v>-16.638999999999999</v>
      </c>
      <c r="DK1631" s="80">
        <v>-40.761000000000003</v>
      </c>
      <c r="DL1631" s="80">
        <v>638</v>
      </c>
      <c r="DM1631" s="64">
        <v>5</v>
      </c>
      <c r="DN1631" s="406" t="s">
        <v>6295</v>
      </c>
      <c r="DO1631" s="406">
        <v>-16.18</v>
      </c>
      <c r="DP1631" s="80">
        <v>208</v>
      </c>
    </row>
    <row r="1632" spans="29:120" x14ac:dyDescent="0.25">
      <c r="AC1632" s="122" t="s">
        <v>333</v>
      </c>
      <c r="AD1632" s="122" t="s">
        <v>2014</v>
      </c>
      <c r="AE1632" s="127">
        <v>3</v>
      </c>
      <c r="DA1632" s="122" t="s">
        <v>333</v>
      </c>
      <c r="DB1632" s="122" t="s">
        <v>2806</v>
      </c>
      <c r="DC1632" s="122" t="s">
        <v>2806</v>
      </c>
      <c r="DD1632" s="127">
        <v>4</v>
      </c>
      <c r="DE1632" s="127">
        <v>4</v>
      </c>
      <c r="DG1632" s="405" t="s">
        <v>333</v>
      </c>
      <c r="DH1632" s="406" t="s">
        <v>2806</v>
      </c>
      <c r="DI1632" s="406" t="str">
        <f t="shared" si="57"/>
        <v>MG, Felixlândia</v>
      </c>
      <c r="DJ1632" s="406">
        <v>-18.757999999999999</v>
      </c>
      <c r="DK1632" s="80">
        <v>-44.899000000000001</v>
      </c>
      <c r="DL1632" s="80">
        <v>614</v>
      </c>
      <c r="DM1632" s="64">
        <v>4</v>
      </c>
      <c r="DN1632" s="406" t="s">
        <v>6828</v>
      </c>
      <c r="DO1632" s="406">
        <v>-18.760000000000002</v>
      </c>
      <c r="DP1632" s="80">
        <v>670</v>
      </c>
    </row>
    <row r="1633" spans="29:120" x14ac:dyDescent="0.25">
      <c r="AC1633" s="122" t="s">
        <v>333</v>
      </c>
      <c r="AD1633" s="122" t="s">
        <v>2015</v>
      </c>
      <c r="AE1633" s="127">
        <v>3</v>
      </c>
      <c r="DA1633" s="122" t="s">
        <v>333</v>
      </c>
      <c r="DB1633" s="122" t="s">
        <v>6975</v>
      </c>
      <c r="DC1633" s="122" t="s">
        <v>2548</v>
      </c>
      <c r="DD1633" s="127">
        <v>5</v>
      </c>
      <c r="DE1633" s="127">
        <v>5</v>
      </c>
      <c r="DG1633" s="405" t="s">
        <v>333</v>
      </c>
      <c r="DH1633" s="406" t="s">
        <v>2548</v>
      </c>
      <c r="DI1633" s="406" t="str">
        <f t="shared" si="57"/>
        <v>MG, Fernandes Tourinho</v>
      </c>
      <c r="DJ1633" s="406">
        <v>-19.154</v>
      </c>
      <c r="DK1633" s="80">
        <v>-42.082000000000001</v>
      </c>
      <c r="DL1633" s="80">
        <v>250</v>
      </c>
      <c r="DM1633" s="64">
        <v>5</v>
      </c>
      <c r="DN1633" s="406" t="s">
        <v>6814</v>
      </c>
      <c r="DO1633" s="406">
        <v>-18.850000000000001</v>
      </c>
      <c r="DP1633" s="80">
        <v>263</v>
      </c>
    </row>
    <row r="1634" spans="29:120" x14ac:dyDescent="0.25">
      <c r="AC1634" s="122" t="s">
        <v>289</v>
      </c>
      <c r="AD1634" s="122" t="s">
        <v>2016</v>
      </c>
      <c r="AE1634" s="127">
        <v>8</v>
      </c>
      <c r="DA1634" s="122" t="s">
        <v>333</v>
      </c>
      <c r="DB1634" s="122" t="s">
        <v>3345</v>
      </c>
      <c r="DC1634" s="122" t="s">
        <v>3345</v>
      </c>
      <c r="DD1634" s="127">
        <v>3</v>
      </c>
      <c r="DE1634" s="127">
        <v>3</v>
      </c>
      <c r="DG1634" s="405" t="s">
        <v>333</v>
      </c>
      <c r="DH1634" s="406" t="s">
        <v>3345</v>
      </c>
      <c r="DI1634" s="406" t="str">
        <f t="shared" si="57"/>
        <v>MG, Ferros</v>
      </c>
      <c r="DJ1634" s="406">
        <v>-19.231999999999999</v>
      </c>
      <c r="DK1634" s="80">
        <v>-43.023000000000003</v>
      </c>
      <c r="DL1634" s="80">
        <v>425</v>
      </c>
      <c r="DM1634" s="64">
        <v>3</v>
      </c>
      <c r="DN1634" s="406" t="s">
        <v>6798</v>
      </c>
      <c r="DO1634" s="406">
        <v>-19.579999999999998</v>
      </c>
      <c r="DP1634" s="80">
        <v>333</v>
      </c>
    </row>
    <row r="1635" spans="29:120" x14ac:dyDescent="0.25">
      <c r="AC1635" s="122" t="s">
        <v>289</v>
      </c>
      <c r="AD1635" s="122" t="s">
        <v>2017</v>
      </c>
      <c r="AE1635" s="127">
        <v>8</v>
      </c>
      <c r="DA1635" s="122" t="s">
        <v>333</v>
      </c>
      <c r="DB1635" s="122" t="s">
        <v>3354</v>
      </c>
      <c r="DC1635" s="122" t="s">
        <v>3354</v>
      </c>
      <c r="DD1635" s="127">
        <v>3</v>
      </c>
      <c r="DE1635" s="127">
        <v>3</v>
      </c>
      <c r="DG1635" s="405" t="s">
        <v>333</v>
      </c>
      <c r="DH1635" s="406" t="s">
        <v>3354</v>
      </c>
      <c r="DI1635" s="406" t="str">
        <f t="shared" si="57"/>
        <v>MG, Fervedouro</v>
      </c>
      <c r="DJ1635" s="406">
        <v>-20.725999999999999</v>
      </c>
      <c r="DK1635" s="80">
        <v>-42.279000000000003</v>
      </c>
      <c r="DL1635" s="80">
        <v>697</v>
      </c>
      <c r="DM1635" s="64">
        <v>3</v>
      </c>
      <c r="DN1635" s="406" t="s">
        <v>6478</v>
      </c>
      <c r="DO1635" s="406">
        <v>-20.73</v>
      </c>
      <c r="DP1635" s="80">
        <v>399</v>
      </c>
    </row>
    <row r="1636" spans="29:120" x14ac:dyDescent="0.25">
      <c r="AC1636" s="122" t="s">
        <v>289</v>
      </c>
      <c r="AD1636" s="122" t="s">
        <v>2018</v>
      </c>
      <c r="AE1636" s="127">
        <v>5</v>
      </c>
      <c r="DA1636" s="122" t="s">
        <v>333</v>
      </c>
      <c r="DB1636" s="122" t="s">
        <v>3990</v>
      </c>
      <c r="DC1636" s="122" t="s">
        <v>3990</v>
      </c>
      <c r="DD1636" s="127">
        <v>2</v>
      </c>
      <c r="DE1636" s="127">
        <v>2</v>
      </c>
      <c r="DG1636" s="405" t="s">
        <v>333</v>
      </c>
      <c r="DH1636" s="406" t="s">
        <v>3990</v>
      </c>
      <c r="DI1636" s="406" t="str">
        <f t="shared" si="57"/>
        <v>MG, Florestal</v>
      </c>
      <c r="DJ1636" s="406">
        <v>-19.888999999999999</v>
      </c>
      <c r="DK1636" s="80">
        <v>-44.433</v>
      </c>
      <c r="DL1636" s="80">
        <v>776</v>
      </c>
      <c r="DM1636" s="64">
        <v>2</v>
      </c>
      <c r="DN1636" s="406" t="s">
        <v>6879</v>
      </c>
      <c r="DO1636" s="406">
        <v>-19.89</v>
      </c>
      <c r="DP1636" s="80">
        <v>742</v>
      </c>
    </row>
    <row r="1637" spans="29:120" x14ac:dyDescent="0.25">
      <c r="AC1637" s="122" t="s">
        <v>289</v>
      </c>
      <c r="AD1637" s="122" t="s">
        <v>2019</v>
      </c>
      <c r="AE1637" s="127">
        <v>5</v>
      </c>
      <c r="DA1637" s="122" t="s">
        <v>333</v>
      </c>
      <c r="DB1637" s="122" t="s">
        <v>2395</v>
      </c>
      <c r="DC1637" s="122" t="s">
        <v>2395</v>
      </c>
      <c r="DD1637" s="127">
        <v>2</v>
      </c>
      <c r="DE1637" s="127">
        <v>2</v>
      </c>
      <c r="DG1637" s="405" t="s">
        <v>333</v>
      </c>
      <c r="DH1637" s="406" t="s">
        <v>2395</v>
      </c>
      <c r="DI1637" s="406" t="str">
        <f t="shared" si="57"/>
        <v>MG, Formiga</v>
      </c>
      <c r="DJ1637" s="406">
        <v>-20.463999999999999</v>
      </c>
      <c r="DK1637" s="80">
        <v>-45.426000000000002</v>
      </c>
      <c r="DL1637" s="80">
        <v>841</v>
      </c>
      <c r="DM1637" s="64">
        <v>2</v>
      </c>
      <c r="DN1637" s="406" t="s">
        <v>6803</v>
      </c>
      <c r="DO1637" s="406">
        <v>-20.46</v>
      </c>
      <c r="DP1637" s="80">
        <v>878</v>
      </c>
    </row>
    <row r="1638" spans="29:120" x14ac:dyDescent="0.25">
      <c r="AC1638" s="122" t="s">
        <v>289</v>
      </c>
      <c r="AD1638" s="122" t="s">
        <v>2020</v>
      </c>
      <c r="AE1638" s="127">
        <v>6</v>
      </c>
      <c r="DA1638" s="122" t="s">
        <v>333</v>
      </c>
      <c r="DB1638" s="122" t="s">
        <v>2834</v>
      </c>
      <c r="DC1638" s="122" t="s">
        <v>2834</v>
      </c>
      <c r="DD1638" s="127">
        <v>6</v>
      </c>
      <c r="DE1638" s="127">
        <v>6</v>
      </c>
      <c r="DG1638" s="405" t="s">
        <v>333</v>
      </c>
      <c r="DH1638" s="406" t="s">
        <v>2834</v>
      </c>
      <c r="DI1638" s="406" t="str">
        <f t="shared" si="57"/>
        <v>MG, Formoso</v>
      </c>
      <c r="DJ1638" s="406">
        <v>-14.946999999999999</v>
      </c>
      <c r="DK1638" s="80">
        <v>-46.231999999999999</v>
      </c>
      <c r="DL1638" s="80">
        <v>839</v>
      </c>
      <c r="DM1638" s="64">
        <v>6</v>
      </c>
      <c r="DN1638" s="406" t="s">
        <v>6866</v>
      </c>
      <c r="DO1638" s="406">
        <v>-15.31</v>
      </c>
      <c r="DP1638" s="80">
        <v>880</v>
      </c>
    </row>
    <row r="1639" spans="29:120" x14ac:dyDescent="0.25">
      <c r="AC1639" s="122" t="s">
        <v>333</v>
      </c>
      <c r="AD1639" s="122" t="s">
        <v>2021</v>
      </c>
      <c r="AE1639" s="127">
        <v>3</v>
      </c>
      <c r="DA1639" s="122" t="s">
        <v>333</v>
      </c>
      <c r="DB1639" s="122" t="s">
        <v>6976</v>
      </c>
      <c r="DC1639" s="122" t="s">
        <v>2888</v>
      </c>
      <c r="DD1639" s="127">
        <v>4</v>
      </c>
      <c r="DE1639" s="127">
        <v>4</v>
      </c>
      <c r="DG1639" s="405" t="s">
        <v>333</v>
      </c>
      <c r="DH1639" s="406" t="s">
        <v>2888</v>
      </c>
      <c r="DI1639" s="406" t="str">
        <f t="shared" si="57"/>
        <v>MG, Fortaleza de Minas</v>
      </c>
      <c r="DJ1639" s="406">
        <v>-20.849</v>
      </c>
      <c r="DK1639" s="80">
        <v>-46.718000000000004</v>
      </c>
      <c r="DL1639" s="80">
        <v>856</v>
      </c>
      <c r="DM1639" s="64">
        <v>4</v>
      </c>
      <c r="DN1639" s="406" t="s">
        <v>6815</v>
      </c>
      <c r="DO1639" s="406">
        <v>-20.75</v>
      </c>
      <c r="DP1639" s="80">
        <v>875</v>
      </c>
    </row>
    <row r="1640" spans="29:120" x14ac:dyDescent="0.25">
      <c r="AC1640" s="122" t="s">
        <v>333</v>
      </c>
      <c r="AD1640" s="122" t="s">
        <v>2022</v>
      </c>
      <c r="AE1640" s="127">
        <v>3</v>
      </c>
      <c r="DA1640" s="122" t="s">
        <v>333</v>
      </c>
      <c r="DB1640" s="122" t="s">
        <v>6977</v>
      </c>
      <c r="DC1640" s="122" t="s">
        <v>3789</v>
      </c>
      <c r="DD1640" s="127">
        <v>4</v>
      </c>
      <c r="DE1640" s="127">
        <v>4</v>
      </c>
      <c r="DG1640" s="405" t="s">
        <v>333</v>
      </c>
      <c r="DH1640" s="406" t="s">
        <v>3789</v>
      </c>
      <c r="DI1640" s="406" t="str">
        <f t="shared" si="57"/>
        <v>MG, Fortuna de Minas</v>
      </c>
      <c r="DJ1640" s="406">
        <v>-19.561</v>
      </c>
      <c r="DK1640" s="80">
        <v>-44.447000000000003</v>
      </c>
      <c r="DL1640" s="80">
        <v>740</v>
      </c>
      <c r="DM1640" s="64">
        <v>4</v>
      </c>
      <c r="DN1640" s="406" t="s">
        <v>6879</v>
      </c>
      <c r="DO1640" s="406">
        <v>-19.89</v>
      </c>
      <c r="DP1640" s="80">
        <v>742</v>
      </c>
    </row>
    <row r="1641" spans="29:120" x14ac:dyDescent="0.25">
      <c r="AC1641" s="122" t="s">
        <v>333</v>
      </c>
      <c r="AD1641" s="122" t="s">
        <v>2023</v>
      </c>
      <c r="AE1641" s="127">
        <v>3</v>
      </c>
      <c r="DA1641" s="122" t="s">
        <v>333</v>
      </c>
      <c r="DB1641" s="122" t="s">
        <v>6978</v>
      </c>
      <c r="DC1641" s="122" t="s">
        <v>2682</v>
      </c>
      <c r="DD1641" s="127">
        <v>5</v>
      </c>
      <c r="DE1641" s="127">
        <v>5</v>
      </c>
      <c r="DG1641" s="405" t="s">
        <v>333</v>
      </c>
      <c r="DH1641" s="406" t="s">
        <v>2682</v>
      </c>
      <c r="DI1641" s="406" t="str">
        <f t="shared" si="57"/>
        <v>MG, Francisco Badaró</v>
      </c>
      <c r="DJ1641" s="406">
        <v>-16.992999999999999</v>
      </c>
      <c r="DK1641" s="80">
        <v>-42.351999999999997</v>
      </c>
      <c r="DL1641" s="80">
        <v>398</v>
      </c>
      <c r="DM1641" s="64">
        <v>5</v>
      </c>
      <c r="DN1641" s="406" t="s">
        <v>6800</v>
      </c>
      <c r="DO1641" s="406">
        <v>-17.690000000000001</v>
      </c>
      <c r="DP1641" s="80">
        <v>932</v>
      </c>
    </row>
    <row r="1642" spans="29:120" x14ac:dyDescent="0.25">
      <c r="AC1642" s="122" t="s">
        <v>333</v>
      </c>
      <c r="AD1642" s="122" t="s">
        <v>2024</v>
      </c>
      <c r="AE1642" s="127">
        <v>5</v>
      </c>
      <c r="DA1642" s="122" t="s">
        <v>333</v>
      </c>
      <c r="DB1642" s="122" t="s">
        <v>6979</v>
      </c>
      <c r="DC1642" s="122" t="s">
        <v>2686</v>
      </c>
      <c r="DD1642" s="127">
        <v>4</v>
      </c>
      <c r="DE1642" s="127">
        <v>4</v>
      </c>
      <c r="DG1642" s="405" t="s">
        <v>333</v>
      </c>
      <c r="DH1642" s="406" t="s">
        <v>2686</v>
      </c>
      <c r="DI1642" s="406" t="str">
        <f t="shared" si="57"/>
        <v>MG, Francisco Dumont</v>
      </c>
      <c r="DJ1642" s="406">
        <v>-17.315000000000001</v>
      </c>
      <c r="DK1642" s="80">
        <v>-44.234000000000002</v>
      </c>
      <c r="DL1642" s="80">
        <v>635</v>
      </c>
      <c r="DM1642" s="64">
        <v>4</v>
      </c>
      <c r="DN1642" s="406" t="s">
        <v>6853</v>
      </c>
      <c r="DO1642" s="406">
        <v>-16.739999999999998</v>
      </c>
      <c r="DP1642" s="80">
        <v>646</v>
      </c>
    </row>
    <row r="1643" spans="29:120" x14ac:dyDescent="0.25">
      <c r="AC1643" s="122" t="s">
        <v>289</v>
      </c>
      <c r="AD1643" s="122" t="s">
        <v>2025</v>
      </c>
      <c r="AE1643" s="127">
        <v>8</v>
      </c>
      <c r="DA1643" s="122" t="s">
        <v>333</v>
      </c>
      <c r="DB1643" s="122" t="s">
        <v>6980</v>
      </c>
      <c r="DC1643" s="122" t="s">
        <v>2729</v>
      </c>
      <c r="DD1643" s="127">
        <v>4</v>
      </c>
      <c r="DE1643" s="127">
        <v>4</v>
      </c>
      <c r="DG1643" s="405" t="s">
        <v>333</v>
      </c>
      <c r="DH1643" s="406" t="s">
        <v>2729</v>
      </c>
      <c r="DI1643" s="406" t="str">
        <f t="shared" si="57"/>
        <v>MG, Francisco Sá</v>
      </c>
      <c r="DJ1643" s="406">
        <v>-16.475999999999999</v>
      </c>
      <c r="DK1643" s="80">
        <v>-43.488</v>
      </c>
      <c r="DL1643" s="80">
        <v>656</v>
      </c>
      <c r="DM1643" s="64">
        <v>4</v>
      </c>
      <c r="DN1643" s="406" t="s">
        <v>6853</v>
      </c>
      <c r="DO1643" s="406">
        <v>-16.739999999999998</v>
      </c>
      <c r="DP1643" s="80">
        <v>646</v>
      </c>
    </row>
    <row r="1644" spans="29:120" x14ac:dyDescent="0.25">
      <c r="AC1644" s="122" t="s">
        <v>289</v>
      </c>
      <c r="AD1644" s="122" t="s">
        <v>2026</v>
      </c>
      <c r="AE1644" s="127">
        <v>8</v>
      </c>
      <c r="DA1644" s="122" t="s">
        <v>333</v>
      </c>
      <c r="DB1644" s="122" t="s">
        <v>1982</v>
      </c>
      <c r="DC1644" s="122" t="s">
        <v>1982</v>
      </c>
      <c r="DD1644" s="127">
        <v>5</v>
      </c>
      <c r="DE1644" s="127">
        <v>5</v>
      </c>
      <c r="DG1644" s="405" t="s">
        <v>333</v>
      </c>
      <c r="DH1644" s="406" t="s">
        <v>1982</v>
      </c>
      <c r="DI1644" s="406" t="str">
        <f t="shared" si="57"/>
        <v>MG, Franciscópolis</v>
      </c>
      <c r="DJ1644" s="406">
        <v>-17.96</v>
      </c>
      <c r="DK1644" s="80">
        <v>-42.009</v>
      </c>
      <c r="DL1644" s="80">
        <v>380</v>
      </c>
      <c r="DM1644" s="64">
        <v>5</v>
      </c>
      <c r="DN1644" s="406" t="s">
        <v>6835</v>
      </c>
      <c r="DO1644" s="406">
        <v>-17.86</v>
      </c>
      <c r="DP1644" s="80">
        <v>475</v>
      </c>
    </row>
    <row r="1645" spans="29:120" x14ac:dyDescent="0.25">
      <c r="AC1645" s="122" t="s">
        <v>289</v>
      </c>
      <c r="AD1645" s="122" t="s">
        <v>2027</v>
      </c>
      <c r="AE1645" s="127">
        <v>8</v>
      </c>
      <c r="DA1645" s="122" t="s">
        <v>333</v>
      </c>
      <c r="DB1645" s="122" t="s">
        <v>6981</v>
      </c>
      <c r="DC1645" s="122" t="s">
        <v>1958</v>
      </c>
      <c r="DD1645" s="127">
        <v>5</v>
      </c>
      <c r="DE1645" s="127">
        <v>5</v>
      </c>
      <c r="DG1645" s="405" t="s">
        <v>333</v>
      </c>
      <c r="DH1645" s="406" t="s">
        <v>1958</v>
      </c>
      <c r="DI1645" s="406" t="str">
        <f t="shared" si="57"/>
        <v>MG, Frei Gaspar</v>
      </c>
      <c r="DJ1645" s="406">
        <v>-18.065999999999999</v>
      </c>
      <c r="DK1645" s="80">
        <v>-41.429000000000002</v>
      </c>
      <c r="DL1645" s="80">
        <v>440</v>
      </c>
      <c r="DM1645" s="64">
        <v>5</v>
      </c>
      <c r="DN1645" s="406" t="s">
        <v>6835</v>
      </c>
      <c r="DO1645" s="406">
        <v>-17.86</v>
      </c>
      <c r="DP1645" s="80">
        <v>475</v>
      </c>
    </row>
    <row r="1646" spans="29:120" x14ac:dyDescent="0.25">
      <c r="AC1646" s="122" t="s">
        <v>333</v>
      </c>
      <c r="AD1646" s="122" t="s">
        <v>2028</v>
      </c>
      <c r="AE1646" s="127">
        <v>3</v>
      </c>
      <c r="DA1646" s="122" t="s">
        <v>333</v>
      </c>
      <c r="DB1646" s="122" t="s">
        <v>6982</v>
      </c>
      <c r="DC1646" s="122" t="s">
        <v>1977</v>
      </c>
      <c r="DD1646" s="127">
        <v>5</v>
      </c>
      <c r="DE1646" s="127">
        <v>5</v>
      </c>
      <c r="DG1646" s="405" t="s">
        <v>333</v>
      </c>
      <c r="DH1646" s="406" t="s">
        <v>1977</v>
      </c>
      <c r="DI1646" s="406" t="str">
        <f t="shared" si="57"/>
        <v>MG, Frei Inocêncio</v>
      </c>
      <c r="DJ1646" s="406">
        <v>-18.545000000000002</v>
      </c>
      <c r="DK1646" s="80">
        <v>-41.921999999999997</v>
      </c>
      <c r="DL1646" s="80">
        <v>195</v>
      </c>
      <c r="DM1646" s="64">
        <v>5</v>
      </c>
      <c r="DN1646" s="406" t="s">
        <v>6814</v>
      </c>
      <c r="DO1646" s="406">
        <v>-18.850000000000001</v>
      </c>
      <c r="DP1646" s="80">
        <v>263</v>
      </c>
    </row>
    <row r="1647" spans="29:120" x14ac:dyDescent="0.25">
      <c r="AC1647" s="122" t="s">
        <v>289</v>
      </c>
      <c r="AD1647" s="122" t="s">
        <v>2029</v>
      </c>
      <c r="AE1647" s="127">
        <v>8</v>
      </c>
      <c r="DA1647" s="122" t="s">
        <v>333</v>
      </c>
      <c r="DB1647" s="122" t="s">
        <v>6983</v>
      </c>
      <c r="DC1647" s="122" t="s">
        <v>3441</v>
      </c>
      <c r="DD1647" s="127">
        <v>3</v>
      </c>
      <c r="DE1647" s="127">
        <v>3</v>
      </c>
      <c r="DG1647" s="405" t="s">
        <v>333</v>
      </c>
      <c r="DH1647" s="406" t="s">
        <v>3441</v>
      </c>
      <c r="DI1647" s="406" t="str">
        <f t="shared" si="57"/>
        <v>MG, Frei Lagonegro</v>
      </c>
      <c r="DJ1647" s="406">
        <v>-18.167999999999999</v>
      </c>
      <c r="DK1647" s="80">
        <v>-42.765999999999998</v>
      </c>
      <c r="DL1647" s="80">
        <v>830</v>
      </c>
      <c r="DM1647" s="64">
        <v>3</v>
      </c>
      <c r="DN1647" s="406" t="s">
        <v>6800</v>
      </c>
      <c r="DO1647" s="406">
        <v>-17.690000000000001</v>
      </c>
      <c r="DP1647" s="80">
        <v>932</v>
      </c>
    </row>
    <row r="1648" spans="29:120" x14ac:dyDescent="0.25">
      <c r="AC1648" s="122" t="s">
        <v>289</v>
      </c>
      <c r="AD1648" s="122" t="s">
        <v>2030</v>
      </c>
      <c r="AE1648" s="127">
        <v>8</v>
      </c>
      <c r="DA1648" s="122" t="s">
        <v>333</v>
      </c>
      <c r="DB1648" s="122" t="s">
        <v>3793</v>
      </c>
      <c r="DC1648" s="122" t="s">
        <v>3793</v>
      </c>
      <c r="DD1648" s="127">
        <v>6</v>
      </c>
      <c r="DE1648" s="127">
        <v>6</v>
      </c>
      <c r="DG1648" s="405" t="s">
        <v>333</v>
      </c>
      <c r="DH1648" s="406" t="s">
        <v>3793</v>
      </c>
      <c r="DI1648" s="406" t="str">
        <f t="shared" si="57"/>
        <v>MG, Fronteira</v>
      </c>
      <c r="DJ1648" s="406">
        <v>-20.268000000000001</v>
      </c>
      <c r="DK1648" s="80">
        <v>-49.198999999999998</v>
      </c>
      <c r="DL1648" s="80">
        <v>458</v>
      </c>
      <c r="DM1648" s="64">
        <v>6</v>
      </c>
      <c r="DN1648" s="406" t="s">
        <v>6984</v>
      </c>
      <c r="DO1648" s="406">
        <v>-20.420000000000002</v>
      </c>
      <c r="DP1648" s="80">
        <v>486</v>
      </c>
    </row>
    <row r="1649" spans="29:120" x14ac:dyDescent="0.25">
      <c r="AC1649" s="122" t="s">
        <v>333</v>
      </c>
      <c r="AD1649" s="122" t="s">
        <v>2031</v>
      </c>
      <c r="AE1649" s="127">
        <v>3</v>
      </c>
      <c r="DA1649" s="122" t="s">
        <v>333</v>
      </c>
      <c r="DB1649" s="122" t="s">
        <v>6985</v>
      </c>
      <c r="DC1649" s="122" t="s">
        <v>1882</v>
      </c>
      <c r="DD1649" s="127">
        <v>5</v>
      </c>
      <c r="DE1649" s="127">
        <v>5</v>
      </c>
      <c r="DG1649" s="405" t="s">
        <v>333</v>
      </c>
      <c r="DH1649" s="406" t="s">
        <v>1882</v>
      </c>
      <c r="DI1649" s="406" t="str">
        <f t="shared" si="57"/>
        <v>MG, Fronteira dos Vales</v>
      </c>
      <c r="DJ1649" s="406">
        <v>-16.890999999999998</v>
      </c>
      <c r="DK1649" s="80">
        <v>-40.924999999999997</v>
      </c>
      <c r="DL1649" s="80">
        <v>314</v>
      </c>
      <c r="DM1649" s="64">
        <v>5</v>
      </c>
      <c r="DN1649" s="406" t="s">
        <v>6295</v>
      </c>
      <c r="DO1649" s="406">
        <v>-16.18</v>
      </c>
      <c r="DP1649" s="80">
        <v>208</v>
      </c>
    </row>
    <row r="1650" spans="29:120" x14ac:dyDescent="0.25">
      <c r="AC1650" s="122" t="s">
        <v>348</v>
      </c>
      <c r="AD1650" s="122" t="s">
        <v>2032</v>
      </c>
      <c r="AE1650" s="127">
        <v>8</v>
      </c>
      <c r="DA1650" s="122" t="s">
        <v>333</v>
      </c>
      <c r="DB1650" s="122" t="s">
        <v>6986</v>
      </c>
      <c r="DC1650" s="122" t="s">
        <v>2759</v>
      </c>
      <c r="DD1650" s="127">
        <v>3</v>
      </c>
      <c r="DE1650" s="127">
        <v>3</v>
      </c>
      <c r="DG1650" s="405" t="s">
        <v>333</v>
      </c>
      <c r="DH1650" s="406" t="s">
        <v>2759</v>
      </c>
      <c r="DI1650" s="406" t="str">
        <f t="shared" si="57"/>
        <v>MG, Fruta de Leite</v>
      </c>
      <c r="DJ1650" s="406">
        <v>-16.131</v>
      </c>
      <c r="DK1650" s="80">
        <v>-42.533000000000001</v>
      </c>
      <c r="DL1650" s="80">
        <v>910</v>
      </c>
      <c r="DM1650" s="64">
        <v>3</v>
      </c>
      <c r="DN1650" s="406" t="s">
        <v>6830</v>
      </c>
      <c r="DO1650" s="406">
        <v>-16.170000000000002</v>
      </c>
      <c r="DP1650" s="80">
        <v>495</v>
      </c>
    </row>
    <row r="1651" spans="29:120" x14ac:dyDescent="0.25">
      <c r="AC1651" s="122" t="s">
        <v>333</v>
      </c>
      <c r="AD1651" s="122" t="s">
        <v>2033</v>
      </c>
      <c r="AE1651" s="127">
        <v>4</v>
      </c>
      <c r="DA1651" s="122" t="s">
        <v>333</v>
      </c>
      <c r="DB1651" s="122" t="s">
        <v>1905</v>
      </c>
      <c r="DC1651" s="122" t="s">
        <v>1905</v>
      </c>
      <c r="DD1651" s="127">
        <v>6</v>
      </c>
      <c r="DE1651" s="127">
        <v>6</v>
      </c>
      <c r="DG1651" s="405" t="s">
        <v>333</v>
      </c>
      <c r="DH1651" s="406" t="s">
        <v>1905</v>
      </c>
      <c r="DI1651" s="406" t="str">
        <f t="shared" si="57"/>
        <v>MG, Frutal</v>
      </c>
      <c r="DJ1651" s="406">
        <v>-20.024999999999999</v>
      </c>
      <c r="DK1651" s="80">
        <v>-48.941000000000003</v>
      </c>
      <c r="DL1651" s="80">
        <v>516</v>
      </c>
      <c r="DM1651" s="64">
        <v>6</v>
      </c>
      <c r="DN1651" s="406" t="s">
        <v>6802</v>
      </c>
      <c r="DO1651" s="406">
        <v>-19.989999999999998</v>
      </c>
      <c r="DP1651" s="80">
        <v>568</v>
      </c>
    </row>
    <row r="1652" spans="29:120" x14ac:dyDescent="0.25">
      <c r="AC1652" s="122" t="s">
        <v>348</v>
      </c>
      <c r="AD1652" s="122" t="s">
        <v>2034</v>
      </c>
      <c r="AE1652" s="127">
        <v>7</v>
      </c>
      <c r="DA1652" s="122" t="s">
        <v>333</v>
      </c>
      <c r="DB1652" s="122" t="s">
        <v>2779</v>
      </c>
      <c r="DC1652" s="122" t="s">
        <v>2779</v>
      </c>
      <c r="DD1652" s="127">
        <v>3</v>
      </c>
      <c r="DE1652" s="127">
        <v>3</v>
      </c>
      <c r="DG1652" s="405" t="s">
        <v>333</v>
      </c>
      <c r="DH1652" s="406" t="s">
        <v>2779</v>
      </c>
      <c r="DI1652" s="406" t="str">
        <f t="shared" si="57"/>
        <v>MG, Funilândia</v>
      </c>
      <c r="DJ1652" s="406">
        <v>-19.367999999999999</v>
      </c>
      <c r="DK1652" s="80">
        <v>-44.055999999999997</v>
      </c>
      <c r="DL1652" s="80">
        <v>690</v>
      </c>
      <c r="DM1652" s="64">
        <v>3</v>
      </c>
      <c r="DN1652" s="406" t="s">
        <v>6838</v>
      </c>
      <c r="DO1652" s="406">
        <v>-19.82</v>
      </c>
      <c r="DP1652" s="80">
        <v>869</v>
      </c>
    </row>
    <row r="1653" spans="29:120" x14ac:dyDescent="0.25">
      <c r="AC1653" s="122" t="s">
        <v>323</v>
      </c>
      <c r="AD1653" s="122" t="s">
        <v>1488</v>
      </c>
      <c r="AE1653" s="127">
        <v>7</v>
      </c>
      <c r="DA1653" s="122" t="s">
        <v>333</v>
      </c>
      <c r="DB1653" s="122" t="s">
        <v>1926</v>
      </c>
      <c r="DC1653" s="122" t="s">
        <v>1926</v>
      </c>
      <c r="DD1653" s="127">
        <v>5</v>
      </c>
      <c r="DE1653" s="127">
        <v>5</v>
      </c>
      <c r="DG1653" s="405" t="s">
        <v>333</v>
      </c>
      <c r="DH1653" s="406" t="s">
        <v>1926</v>
      </c>
      <c r="DI1653" s="406" t="str">
        <f t="shared" si="57"/>
        <v>MG, Galiléia</v>
      </c>
      <c r="DJ1653" s="406">
        <v>-18.998999999999999</v>
      </c>
      <c r="DK1653" s="80">
        <v>-41.537999999999997</v>
      </c>
      <c r="DL1653" s="80">
        <v>142</v>
      </c>
      <c r="DM1653" s="64">
        <v>5</v>
      </c>
      <c r="DN1653" s="406" t="s">
        <v>6814</v>
      </c>
      <c r="DO1653" s="406">
        <v>-18.850000000000001</v>
      </c>
      <c r="DP1653" s="80">
        <v>263</v>
      </c>
    </row>
    <row r="1654" spans="29:120" x14ac:dyDescent="0.25">
      <c r="AC1654" s="122" t="s">
        <v>333</v>
      </c>
      <c r="AD1654" s="122" t="s">
        <v>2035</v>
      </c>
      <c r="AE1654" s="127">
        <v>5</v>
      </c>
      <c r="DA1654" s="122" t="s">
        <v>333</v>
      </c>
      <c r="DB1654" s="122" t="s">
        <v>5435</v>
      </c>
      <c r="DC1654" s="122" t="s">
        <v>5435</v>
      </c>
      <c r="DD1654" s="127">
        <v>6</v>
      </c>
      <c r="DE1654" s="127">
        <v>6</v>
      </c>
      <c r="DG1654" s="405" t="s">
        <v>333</v>
      </c>
      <c r="DH1654" s="406" t="s">
        <v>5435</v>
      </c>
      <c r="DI1654" s="406" t="str">
        <f t="shared" si="57"/>
        <v>MG, Gameleiras</v>
      </c>
      <c r="DJ1654" s="406">
        <v>-15.082000000000001</v>
      </c>
      <c r="DK1654" s="80">
        <v>-43.124000000000002</v>
      </c>
      <c r="DL1654" s="80">
        <v>515</v>
      </c>
      <c r="DM1654" s="64">
        <v>6</v>
      </c>
      <c r="DN1654" s="406" t="s">
        <v>6909</v>
      </c>
      <c r="DO1654" s="406">
        <v>-15.09</v>
      </c>
      <c r="DP1654" s="80">
        <v>460</v>
      </c>
    </row>
    <row r="1655" spans="29:120" x14ac:dyDescent="0.25">
      <c r="AC1655" s="122" t="s">
        <v>289</v>
      </c>
      <c r="AD1655" s="122" t="s">
        <v>2036</v>
      </c>
      <c r="AE1655" s="127">
        <v>8</v>
      </c>
      <c r="DA1655" s="122" t="s">
        <v>333</v>
      </c>
      <c r="DB1655" s="122" t="s">
        <v>2837</v>
      </c>
      <c r="DC1655" s="122" t="s">
        <v>2837</v>
      </c>
      <c r="DD1655" s="127">
        <v>4</v>
      </c>
      <c r="DE1655" s="127">
        <v>4</v>
      </c>
      <c r="DG1655" s="405" t="s">
        <v>333</v>
      </c>
      <c r="DH1655" s="406" t="s">
        <v>2837</v>
      </c>
      <c r="DI1655" s="406" t="str">
        <f t="shared" si="57"/>
        <v>MG, Glaucilândia</v>
      </c>
      <c r="DJ1655" s="406">
        <v>-16.850000000000001</v>
      </c>
      <c r="DK1655" s="80">
        <v>-43.697000000000003</v>
      </c>
      <c r="DL1655" s="80">
        <v>665</v>
      </c>
      <c r="DM1655" s="64">
        <v>4</v>
      </c>
      <c r="DN1655" s="406" t="s">
        <v>6853</v>
      </c>
      <c r="DO1655" s="406">
        <v>-16.739999999999998</v>
      </c>
      <c r="DP1655" s="80">
        <v>646</v>
      </c>
    </row>
    <row r="1656" spans="29:120" x14ac:dyDescent="0.25">
      <c r="AC1656" s="122" t="s">
        <v>333</v>
      </c>
      <c r="AD1656" s="122" t="s">
        <v>2037</v>
      </c>
      <c r="AE1656" s="127">
        <v>3</v>
      </c>
      <c r="DA1656" s="122" t="s">
        <v>333</v>
      </c>
      <c r="DB1656" s="122" t="s">
        <v>1891</v>
      </c>
      <c r="DC1656" s="122" t="s">
        <v>1891</v>
      </c>
      <c r="DD1656" s="127">
        <v>5</v>
      </c>
      <c r="DE1656" s="127">
        <v>5</v>
      </c>
      <c r="DG1656" s="405" t="s">
        <v>333</v>
      </c>
      <c r="DH1656" s="406" t="s">
        <v>1891</v>
      </c>
      <c r="DI1656" s="406" t="str">
        <f t="shared" si="57"/>
        <v>MG, Goiabeira</v>
      </c>
      <c r="DJ1656" s="406">
        <v>-18.981999999999999</v>
      </c>
      <c r="DK1656" s="80">
        <v>-41.222999999999999</v>
      </c>
      <c r="DL1656" s="80">
        <v>180</v>
      </c>
      <c r="DM1656" s="64">
        <v>5</v>
      </c>
      <c r="DN1656" s="406" t="s">
        <v>6456</v>
      </c>
      <c r="DO1656" s="406">
        <v>-18.78</v>
      </c>
      <c r="DP1656" s="80">
        <v>214</v>
      </c>
    </row>
    <row r="1657" spans="29:120" x14ac:dyDescent="0.25">
      <c r="AC1657" s="122" t="s">
        <v>333</v>
      </c>
      <c r="AD1657" s="122" t="s">
        <v>2038</v>
      </c>
      <c r="AE1657" s="127">
        <v>3</v>
      </c>
      <c r="DA1657" s="122" t="s">
        <v>333</v>
      </c>
      <c r="DB1657" s="122" t="s">
        <v>3535</v>
      </c>
      <c r="DC1657" s="122" t="s">
        <v>3535</v>
      </c>
      <c r="DD1657" s="127">
        <v>3</v>
      </c>
      <c r="DE1657" s="127">
        <v>3</v>
      </c>
      <c r="DG1657" s="405" t="s">
        <v>333</v>
      </c>
      <c r="DH1657" s="406" t="s">
        <v>3535</v>
      </c>
      <c r="DI1657" s="406" t="str">
        <f t="shared" si="57"/>
        <v>MG, Goianá</v>
      </c>
      <c r="DJ1657" s="406">
        <v>-21.536999999999999</v>
      </c>
      <c r="DK1657" s="80">
        <v>-43.201999999999998</v>
      </c>
      <c r="DL1657" s="80">
        <v>410</v>
      </c>
      <c r="DM1657" s="64">
        <v>3</v>
      </c>
      <c r="DN1657" s="406" t="s">
        <v>6829</v>
      </c>
      <c r="DO1657" s="406">
        <v>-21.76</v>
      </c>
      <c r="DP1657" s="80">
        <v>950</v>
      </c>
    </row>
    <row r="1658" spans="29:120" x14ac:dyDescent="0.25">
      <c r="AC1658" s="122" t="s">
        <v>289</v>
      </c>
      <c r="AD1658" s="122" t="s">
        <v>2039</v>
      </c>
      <c r="AE1658" s="127">
        <v>8</v>
      </c>
      <c r="DA1658" s="122" t="s">
        <v>333</v>
      </c>
      <c r="DB1658" s="122" t="s">
        <v>631</v>
      </c>
      <c r="DC1658" s="122" t="s">
        <v>631</v>
      </c>
      <c r="DD1658" s="127">
        <v>1</v>
      </c>
      <c r="DE1658" s="127">
        <v>1</v>
      </c>
      <c r="DG1658" s="405" t="s">
        <v>333</v>
      </c>
      <c r="DH1658" s="406" t="s">
        <v>631</v>
      </c>
      <c r="DI1658" s="406" t="str">
        <f t="shared" si="57"/>
        <v>MG, Gonçalves</v>
      </c>
      <c r="DJ1658" s="406">
        <v>-22.658999999999999</v>
      </c>
      <c r="DK1658" s="80">
        <v>-45.856000000000002</v>
      </c>
      <c r="DL1658" s="80">
        <v>1256</v>
      </c>
      <c r="DM1658" s="64">
        <v>1</v>
      </c>
      <c r="DN1658" s="406" t="s">
        <v>6873</v>
      </c>
      <c r="DO1658" s="406">
        <v>-22.74</v>
      </c>
      <c r="DP1658" s="80">
        <v>1642</v>
      </c>
    </row>
    <row r="1659" spans="29:120" x14ac:dyDescent="0.25">
      <c r="AC1659" s="122" t="s">
        <v>333</v>
      </c>
      <c r="AD1659" s="122" t="s">
        <v>2040</v>
      </c>
      <c r="AE1659" s="127">
        <v>3</v>
      </c>
      <c r="DA1659" s="122" t="s">
        <v>333</v>
      </c>
      <c r="DB1659" s="122" t="s">
        <v>3374</v>
      </c>
      <c r="DC1659" s="122" t="s">
        <v>3374</v>
      </c>
      <c r="DD1659" s="127">
        <v>5</v>
      </c>
      <c r="DE1659" s="127">
        <v>5</v>
      </c>
      <c r="DG1659" s="405" t="s">
        <v>333</v>
      </c>
      <c r="DH1659" s="406" t="s">
        <v>3374</v>
      </c>
      <c r="DI1659" s="406" t="str">
        <f t="shared" si="57"/>
        <v>MG, Gonzaga</v>
      </c>
      <c r="DJ1659" s="406">
        <v>-18.821999999999999</v>
      </c>
      <c r="DK1659" s="80">
        <v>-42.478999999999999</v>
      </c>
      <c r="DL1659" s="80">
        <v>795</v>
      </c>
      <c r="DM1659" s="64">
        <v>5</v>
      </c>
      <c r="DN1659" s="406" t="s">
        <v>6814</v>
      </c>
      <c r="DO1659" s="406">
        <v>-18.850000000000001</v>
      </c>
      <c r="DP1659" s="80">
        <v>263</v>
      </c>
    </row>
    <row r="1660" spans="29:120" x14ac:dyDescent="0.25">
      <c r="AC1660" s="122" t="s">
        <v>289</v>
      </c>
      <c r="AD1660" s="122" t="s">
        <v>2041</v>
      </c>
      <c r="AE1660" s="127">
        <v>8</v>
      </c>
      <c r="DA1660" s="122" t="s">
        <v>333</v>
      </c>
      <c r="DB1660" s="122" t="s">
        <v>632</v>
      </c>
      <c r="DC1660" s="122" t="s">
        <v>632</v>
      </c>
      <c r="DD1660" s="127">
        <v>3</v>
      </c>
      <c r="DE1660" s="127">
        <v>3</v>
      </c>
      <c r="DG1660" s="405" t="s">
        <v>333</v>
      </c>
      <c r="DH1660" s="406" t="s">
        <v>5783</v>
      </c>
      <c r="DI1660" s="406" t="str">
        <f t="shared" si="57"/>
        <v>MG, Gouveia</v>
      </c>
      <c r="DJ1660" s="406">
        <v>-18.454000000000001</v>
      </c>
      <c r="DK1660" s="80">
        <v>-43.741</v>
      </c>
      <c r="DL1660" s="80">
        <v>1113</v>
      </c>
      <c r="DM1660" s="64">
        <v>3</v>
      </c>
      <c r="DN1660" s="406" t="s">
        <v>6821</v>
      </c>
      <c r="DO1660" s="406">
        <v>-18.23</v>
      </c>
      <c r="DP1660" s="80">
        <v>1356</v>
      </c>
    </row>
    <row r="1661" spans="29:120" x14ac:dyDescent="0.25">
      <c r="AC1661" s="122" t="s">
        <v>289</v>
      </c>
      <c r="AD1661" s="122" t="s">
        <v>2042</v>
      </c>
      <c r="AE1661" s="127">
        <v>8</v>
      </c>
      <c r="DA1661" s="122" t="s">
        <v>333</v>
      </c>
      <c r="DB1661" s="122" t="s">
        <v>6987</v>
      </c>
      <c r="DC1661" s="122" t="s">
        <v>1996</v>
      </c>
      <c r="DD1661" s="127">
        <v>5</v>
      </c>
      <c r="DE1661" s="127">
        <v>5</v>
      </c>
      <c r="DG1661" s="405" t="s">
        <v>333</v>
      </c>
      <c r="DH1661" s="406" t="s">
        <v>1996</v>
      </c>
      <c r="DI1661" s="406" t="str">
        <f t="shared" si="57"/>
        <v>MG, Governador Valadares</v>
      </c>
      <c r="DJ1661" s="406">
        <v>-18.850999999999999</v>
      </c>
      <c r="DK1661" s="80">
        <v>-41.948999999999998</v>
      </c>
      <c r="DL1661" s="80">
        <v>170</v>
      </c>
      <c r="DM1661" s="64">
        <v>5</v>
      </c>
      <c r="DN1661" s="406" t="s">
        <v>6814</v>
      </c>
      <c r="DO1661" s="406">
        <v>-18.850000000000001</v>
      </c>
      <c r="DP1661" s="80">
        <v>263</v>
      </c>
    </row>
    <row r="1662" spans="29:120" x14ac:dyDescent="0.25">
      <c r="AC1662" s="122" t="s">
        <v>289</v>
      </c>
      <c r="AD1662" s="122" t="s">
        <v>2043</v>
      </c>
      <c r="AE1662" s="127">
        <v>5</v>
      </c>
      <c r="DA1662" s="122" t="s">
        <v>333</v>
      </c>
      <c r="DB1662" s="122" t="s">
        <v>6988</v>
      </c>
      <c r="DC1662" s="122" t="s">
        <v>830</v>
      </c>
      <c r="DD1662" s="127">
        <v>3</v>
      </c>
      <c r="DE1662" s="127">
        <v>3</v>
      </c>
      <c r="DG1662" s="405" t="s">
        <v>333</v>
      </c>
      <c r="DH1662" s="406" t="s">
        <v>830</v>
      </c>
      <c r="DI1662" s="406" t="str">
        <f t="shared" si="57"/>
        <v>MG, Grão Mogol</v>
      </c>
      <c r="DJ1662" s="406">
        <v>-16.559000000000001</v>
      </c>
      <c r="DK1662" s="80">
        <v>-42.89</v>
      </c>
      <c r="DL1662" s="80">
        <v>829</v>
      </c>
      <c r="DM1662" s="64">
        <v>3</v>
      </c>
      <c r="DN1662" s="406" t="s">
        <v>6830</v>
      </c>
      <c r="DO1662" s="406">
        <v>-16.170000000000002</v>
      </c>
      <c r="DP1662" s="80">
        <v>495</v>
      </c>
    </row>
    <row r="1663" spans="29:120" x14ac:dyDescent="0.25">
      <c r="AC1663" s="122" t="s">
        <v>333</v>
      </c>
      <c r="AD1663" s="122" t="s">
        <v>2044</v>
      </c>
      <c r="AE1663" s="127">
        <v>3</v>
      </c>
      <c r="DA1663" s="122" t="s">
        <v>333</v>
      </c>
      <c r="DB1663" s="122" t="s">
        <v>2634</v>
      </c>
      <c r="DC1663" s="122" t="s">
        <v>2634</v>
      </c>
      <c r="DD1663" s="127">
        <v>6</v>
      </c>
      <c r="DE1663" s="127">
        <v>6</v>
      </c>
      <c r="DG1663" s="405" t="s">
        <v>333</v>
      </c>
      <c r="DH1663" s="406" t="s">
        <v>2634</v>
      </c>
      <c r="DI1663" s="406" t="str">
        <f t="shared" si="57"/>
        <v>MG, Grupiara</v>
      </c>
      <c r="DJ1663" s="406">
        <v>-18.494</v>
      </c>
      <c r="DK1663" s="80">
        <v>-47.722000000000001</v>
      </c>
      <c r="DL1663" s="80">
        <v>669</v>
      </c>
      <c r="DM1663" s="64">
        <v>6</v>
      </c>
      <c r="DN1663" s="406" t="s">
        <v>6523</v>
      </c>
      <c r="DO1663" s="406">
        <v>-18.16</v>
      </c>
      <c r="DP1663" s="80">
        <v>890</v>
      </c>
    </row>
    <row r="1664" spans="29:120" x14ac:dyDescent="0.25">
      <c r="AC1664" s="122" t="s">
        <v>289</v>
      </c>
      <c r="AD1664" s="122" t="s">
        <v>2045</v>
      </c>
      <c r="AE1664" s="127">
        <v>8</v>
      </c>
      <c r="DA1664" s="122" t="s">
        <v>333</v>
      </c>
      <c r="DB1664" s="122" t="s">
        <v>838</v>
      </c>
      <c r="DC1664" s="122" t="s">
        <v>838</v>
      </c>
      <c r="DD1664" s="127">
        <v>3</v>
      </c>
      <c r="DE1664" s="127">
        <v>3</v>
      </c>
      <c r="DG1664" s="405" t="s">
        <v>333</v>
      </c>
      <c r="DH1664" s="406" t="s">
        <v>838</v>
      </c>
      <c r="DI1664" s="406" t="str">
        <f t="shared" si="57"/>
        <v>MG, Guanhães</v>
      </c>
      <c r="DJ1664" s="406">
        <v>-18.774999999999999</v>
      </c>
      <c r="DK1664" s="80">
        <v>-42.933</v>
      </c>
      <c r="DL1664" s="80">
        <v>777</v>
      </c>
      <c r="DM1664" s="64">
        <v>3</v>
      </c>
      <c r="DN1664" s="406" t="s">
        <v>6821</v>
      </c>
      <c r="DO1664" s="406">
        <v>-18.23</v>
      </c>
      <c r="DP1664" s="80">
        <v>1356</v>
      </c>
    </row>
    <row r="1665" spans="29:120" x14ac:dyDescent="0.25">
      <c r="AC1665" s="122" t="s">
        <v>289</v>
      </c>
      <c r="AD1665" s="122" t="s">
        <v>2046</v>
      </c>
      <c r="AE1665" s="127">
        <v>8</v>
      </c>
      <c r="DA1665" s="122" t="s">
        <v>333</v>
      </c>
      <c r="DB1665" s="122" t="s">
        <v>3434</v>
      </c>
      <c r="DC1665" s="122" t="s">
        <v>3434</v>
      </c>
      <c r="DD1665" s="127">
        <v>2</v>
      </c>
      <c r="DE1665" s="127">
        <v>2</v>
      </c>
      <c r="DG1665" s="405" t="s">
        <v>333</v>
      </c>
      <c r="DH1665" s="406" t="s">
        <v>3434</v>
      </c>
      <c r="DI1665" s="406" t="str">
        <f t="shared" si="57"/>
        <v>MG, Guapé</v>
      </c>
      <c r="DJ1665" s="406">
        <v>-20.762</v>
      </c>
      <c r="DK1665" s="80">
        <v>-45.917999999999999</v>
      </c>
      <c r="DL1665" s="80">
        <v>760</v>
      </c>
      <c r="DM1665" s="64">
        <v>2</v>
      </c>
      <c r="DN1665" s="406" t="s">
        <v>6803</v>
      </c>
      <c r="DO1665" s="406">
        <v>-20.46</v>
      </c>
      <c r="DP1665" s="80">
        <v>878</v>
      </c>
    </row>
    <row r="1666" spans="29:120" x14ac:dyDescent="0.25">
      <c r="AC1666" s="122" t="s">
        <v>333</v>
      </c>
      <c r="AD1666" s="122" t="s">
        <v>2047</v>
      </c>
      <c r="AE1666" s="127">
        <v>5</v>
      </c>
      <c r="DA1666" s="122" t="s">
        <v>333</v>
      </c>
      <c r="DB1666" s="122" t="s">
        <v>557</v>
      </c>
      <c r="DC1666" s="122" t="s">
        <v>557</v>
      </c>
      <c r="DD1666" s="127">
        <v>3</v>
      </c>
      <c r="DE1666" s="127">
        <v>3</v>
      </c>
      <c r="DG1666" s="405" t="s">
        <v>333</v>
      </c>
      <c r="DH1666" s="406" t="s">
        <v>557</v>
      </c>
      <c r="DI1666" s="406" t="str">
        <f t="shared" si="57"/>
        <v>MG, Guaraciaba</v>
      </c>
      <c r="DJ1666" s="406">
        <v>-20.571000000000002</v>
      </c>
      <c r="DK1666" s="80">
        <v>-43.008000000000003</v>
      </c>
      <c r="DL1666" s="80">
        <v>578</v>
      </c>
      <c r="DM1666" s="64">
        <v>3</v>
      </c>
      <c r="DN1666" s="406" t="s">
        <v>6797</v>
      </c>
      <c r="DO1666" s="406">
        <v>-20.75</v>
      </c>
      <c r="DP1666" s="80">
        <v>712</v>
      </c>
    </row>
    <row r="1667" spans="29:120" x14ac:dyDescent="0.25">
      <c r="AC1667" s="122" t="s">
        <v>333</v>
      </c>
      <c r="AD1667" s="122" t="s">
        <v>2048</v>
      </c>
      <c r="AE1667" s="127">
        <v>5</v>
      </c>
      <c r="DA1667" s="122" t="s">
        <v>333</v>
      </c>
      <c r="DB1667" s="122" t="s">
        <v>2747</v>
      </c>
      <c r="DC1667" s="122" t="s">
        <v>2747</v>
      </c>
      <c r="DD1667" s="127">
        <v>4</v>
      </c>
      <c r="DE1667" s="127">
        <v>4</v>
      </c>
      <c r="DG1667" s="405" t="s">
        <v>333</v>
      </c>
      <c r="DH1667" s="406" t="s">
        <v>2747</v>
      </c>
      <c r="DI1667" s="406" t="str">
        <f t="shared" ref="DI1667:DI1730" si="58">CONCATENATE(DG1667,", ",DH1667)</f>
        <v>MG, Guaraciama</v>
      </c>
      <c r="DJ1667" s="406">
        <v>-17.013999999999999</v>
      </c>
      <c r="DK1667" s="80">
        <v>-43.673000000000002</v>
      </c>
      <c r="DL1667" s="80">
        <v>795</v>
      </c>
      <c r="DM1667" s="64">
        <v>4</v>
      </c>
      <c r="DN1667" s="406" t="s">
        <v>6853</v>
      </c>
      <c r="DO1667" s="406">
        <v>-16.739999999999998</v>
      </c>
      <c r="DP1667" s="80">
        <v>646</v>
      </c>
    </row>
    <row r="1668" spans="29:120" x14ac:dyDescent="0.25">
      <c r="AC1668" s="122" t="s">
        <v>289</v>
      </c>
      <c r="AD1668" s="122" t="s">
        <v>2049</v>
      </c>
      <c r="AE1668" s="127">
        <v>8</v>
      </c>
      <c r="DA1668" s="122" t="s">
        <v>333</v>
      </c>
      <c r="DB1668" s="122" t="s">
        <v>880</v>
      </c>
      <c r="DC1668" s="122" t="s">
        <v>880</v>
      </c>
      <c r="DD1668" s="127">
        <v>4</v>
      </c>
      <c r="DE1668" s="127">
        <v>4</v>
      </c>
      <c r="DG1668" s="405" t="s">
        <v>333</v>
      </c>
      <c r="DH1668" s="406" t="s">
        <v>880</v>
      </c>
      <c r="DI1668" s="406" t="str">
        <f t="shared" si="58"/>
        <v>MG, Guaranésia</v>
      </c>
      <c r="DJ1668" s="406">
        <v>-21.298999999999999</v>
      </c>
      <c r="DK1668" s="80">
        <v>-46.802999999999997</v>
      </c>
      <c r="DL1668" s="80">
        <v>751</v>
      </c>
      <c r="DM1668" s="64">
        <v>4</v>
      </c>
      <c r="DN1668" s="406" t="s">
        <v>6833</v>
      </c>
      <c r="DO1668" s="406">
        <v>-21.77</v>
      </c>
      <c r="DP1668" s="80">
        <v>730</v>
      </c>
    </row>
    <row r="1669" spans="29:120" x14ac:dyDescent="0.25">
      <c r="AC1669" s="122" t="s">
        <v>289</v>
      </c>
      <c r="AD1669" s="122" t="s">
        <v>2050</v>
      </c>
      <c r="AE1669" s="127">
        <v>8</v>
      </c>
      <c r="DA1669" s="122" t="s">
        <v>333</v>
      </c>
      <c r="DB1669" s="122" t="s">
        <v>3715</v>
      </c>
      <c r="DC1669" s="122" t="s">
        <v>3715</v>
      </c>
      <c r="DD1669" s="127">
        <v>3</v>
      </c>
      <c r="DE1669" s="127">
        <v>3</v>
      </c>
      <c r="DG1669" s="405" t="s">
        <v>333</v>
      </c>
      <c r="DH1669" s="406" t="s">
        <v>3715</v>
      </c>
      <c r="DI1669" s="406" t="str">
        <f t="shared" si="58"/>
        <v>MG, Guarani</v>
      </c>
      <c r="DJ1669" s="406">
        <v>-21.352</v>
      </c>
      <c r="DK1669" s="80">
        <v>-43.046999999999997</v>
      </c>
      <c r="DL1669" s="80">
        <v>420</v>
      </c>
      <c r="DM1669" s="64">
        <v>3</v>
      </c>
      <c r="DN1669" s="406" t="s">
        <v>6829</v>
      </c>
      <c r="DO1669" s="406">
        <v>-21.76</v>
      </c>
      <c r="DP1669" s="80">
        <v>950</v>
      </c>
    </row>
    <row r="1670" spans="29:120" x14ac:dyDescent="0.25">
      <c r="AC1670" s="122" t="s">
        <v>289</v>
      </c>
      <c r="AD1670" s="122" t="s">
        <v>2051</v>
      </c>
      <c r="AE1670" s="127">
        <v>5</v>
      </c>
      <c r="DA1670" s="122" t="s">
        <v>333</v>
      </c>
      <c r="DB1670" s="122" t="s">
        <v>3452</v>
      </c>
      <c r="DC1670" s="122" t="s">
        <v>3452</v>
      </c>
      <c r="DD1670" s="127">
        <v>3</v>
      </c>
      <c r="DE1670" s="127">
        <v>3</v>
      </c>
      <c r="DG1670" s="405" t="s">
        <v>333</v>
      </c>
      <c r="DH1670" s="406" t="s">
        <v>3452</v>
      </c>
      <c r="DI1670" s="406" t="str">
        <f t="shared" si="58"/>
        <v>MG, Guarará</v>
      </c>
      <c r="DJ1670" s="406">
        <v>-21.731999999999999</v>
      </c>
      <c r="DK1670" s="80">
        <v>-43.037999999999997</v>
      </c>
      <c r="DL1670" s="80">
        <v>558</v>
      </c>
      <c r="DM1670" s="64">
        <v>3</v>
      </c>
      <c r="DN1670" s="406" t="s">
        <v>6829</v>
      </c>
      <c r="DO1670" s="406">
        <v>-21.76</v>
      </c>
      <c r="DP1670" s="80">
        <v>950</v>
      </c>
    </row>
    <row r="1671" spans="29:120" x14ac:dyDescent="0.25">
      <c r="AC1671" s="122" t="s">
        <v>289</v>
      </c>
      <c r="AD1671" s="122" t="s">
        <v>2052</v>
      </c>
      <c r="AE1671" s="127">
        <v>8</v>
      </c>
      <c r="DA1671" s="122" t="s">
        <v>333</v>
      </c>
      <c r="DB1671" s="122" t="s">
        <v>2253</v>
      </c>
      <c r="DC1671" s="122" t="s">
        <v>2253</v>
      </c>
      <c r="DD1671" s="127">
        <v>6</v>
      </c>
      <c r="DE1671" s="127">
        <v>6</v>
      </c>
      <c r="DG1671" s="405" t="s">
        <v>333</v>
      </c>
      <c r="DH1671" s="406" t="s">
        <v>2253</v>
      </c>
      <c r="DI1671" s="406" t="str">
        <f t="shared" si="58"/>
        <v>MG, Guarda-Mor</v>
      </c>
      <c r="DJ1671" s="406">
        <v>-17.771000000000001</v>
      </c>
      <c r="DK1671" s="80">
        <v>-47.097999999999999</v>
      </c>
      <c r="DL1671" s="80">
        <v>616</v>
      </c>
      <c r="DM1671" s="64">
        <v>6</v>
      </c>
      <c r="DN1671" s="406" t="s">
        <v>6989</v>
      </c>
      <c r="DO1671" s="406">
        <v>-17.77</v>
      </c>
      <c r="DP1671" s="80">
        <v>616</v>
      </c>
    </row>
    <row r="1672" spans="29:120" x14ac:dyDescent="0.25">
      <c r="AC1672" s="122" t="s">
        <v>317</v>
      </c>
      <c r="AD1672" s="122" t="s">
        <v>2053</v>
      </c>
      <c r="AE1672" s="127">
        <v>8</v>
      </c>
      <c r="DA1672" s="122" t="s">
        <v>333</v>
      </c>
      <c r="DB1672" s="122" t="s">
        <v>851</v>
      </c>
      <c r="DC1672" s="122" t="s">
        <v>851</v>
      </c>
      <c r="DD1672" s="127">
        <v>4</v>
      </c>
      <c r="DE1672" s="127">
        <v>4</v>
      </c>
      <c r="DG1672" s="405" t="s">
        <v>333</v>
      </c>
      <c r="DH1672" s="406" t="s">
        <v>851</v>
      </c>
      <c r="DI1672" s="406" t="str">
        <f t="shared" si="58"/>
        <v>MG, Guaxupé</v>
      </c>
      <c r="DJ1672" s="406">
        <v>-21.305</v>
      </c>
      <c r="DK1672" s="80">
        <v>-46.713000000000001</v>
      </c>
      <c r="DL1672" s="80">
        <v>829</v>
      </c>
      <c r="DM1672" s="64">
        <v>4</v>
      </c>
      <c r="DN1672" s="406" t="s">
        <v>6815</v>
      </c>
      <c r="DO1672" s="406">
        <v>-20.75</v>
      </c>
      <c r="DP1672" s="80">
        <v>875</v>
      </c>
    </row>
    <row r="1673" spans="29:120" x14ac:dyDescent="0.25">
      <c r="AC1673" s="122" t="s">
        <v>348</v>
      </c>
      <c r="AD1673" s="122" t="s">
        <v>2054</v>
      </c>
      <c r="AE1673" s="127">
        <v>7</v>
      </c>
      <c r="DA1673" s="122" t="s">
        <v>333</v>
      </c>
      <c r="DB1673" s="122" t="s">
        <v>3457</v>
      </c>
      <c r="DC1673" s="122" t="s">
        <v>3457</v>
      </c>
      <c r="DD1673" s="127">
        <v>5</v>
      </c>
      <c r="DE1673" s="127">
        <v>5</v>
      </c>
      <c r="DG1673" s="405" t="s">
        <v>333</v>
      </c>
      <c r="DH1673" s="406" t="s">
        <v>3457</v>
      </c>
      <c r="DI1673" s="406" t="str">
        <f t="shared" si="58"/>
        <v>MG, Guidoval</v>
      </c>
      <c r="DJ1673" s="406">
        <v>-21.152000000000001</v>
      </c>
      <c r="DK1673" s="80">
        <v>-42.796999999999997</v>
      </c>
      <c r="DL1673" s="80">
        <v>302</v>
      </c>
      <c r="DM1673" s="64">
        <v>5</v>
      </c>
      <c r="DN1673" s="406" t="s">
        <v>6827</v>
      </c>
      <c r="DO1673" s="406">
        <v>-21.13</v>
      </c>
      <c r="DP1673" s="80">
        <v>297</v>
      </c>
    </row>
    <row r="1674" spans="29:120" x14ac:dyDescent="0.25">
      <c r="AC1674" s="122" t="s">
        <v>289</v>
      </c>
      <c r="AD1674" s="122" t="s">
        <v>2055</v>
      </c>
      <c r="AE1674" s="127">
        <v>5</v>
      </c>
      <c r="DA1674" s="122" t="s">
        <v>333</v>
      </c>
      <c r="DB1674" s="122" t="s">
        <v>2873</v>
      </c>
      <c r="DC1674" s="122" t="s">
        <v>2873</v>
      </c>
      <c r="DD1674" s="127">
        <v>4</v>
      </c>
      <c r="DE1674" s="127">
        <v>4</v>
      </c>
      <c r="DG1674" s="405" t="s">
        <v>333</v>
      </c>
      <c r="DH1674" s="406" t="s">
        <v>2873</v>
      </c>
      <c r="DI1674" s="406" t="str">
        <f t="shared" si="58"/>
        <v>MG, Guimarânia</v>
      </c>
      <c r="DJ1674" s="406">
        <v>-18.844000000000001</v>
      </c>
      <c r="DK1674" s="80">
        <v>-46.792999999999999</v>
      </c>
      <c r="DL1674" s="80">
        <v>912</v>
      </c>
      <c r="DM1674" s="64">
        <v>4</v>
      </c>
      <c r="DN1674" s="406" t="s">
        <v>6794</v>
      </c>
      <c r="DO1674" s="406">
        <v>-18.940000000000001</v>
      </c>
      <c r="DP1674" s="80">
        <v>976</v>
      </c>
    </row>
    <row r="1675" spans="29:120" x14ac:dyDescent="0.25">
      <c r="AC1675" s="122" t="s">
        <v>333</v>
      </c>
      <c r="AD1675" s="122" t="s">
        <v>2056</v>
      </c>
      <c r="AE1675" s="127">
        <v>3</v>
      </c>
      <c r="DA1675" s="122" t="s">
        <v>333</v>
      </c>
      <c r="DB1675" s="122" t="s">
        <v>3397</v>
      </c>
      <c r="DC1675" s="122" t="s">
        <v>3397</v>
      </c>
      <c r="DD1675" s="127">
        <v>3</v>
      </c>
      <c r="DE1675" s="127">
        <v>3</v>
      </c>
      <c r="DG1675" s="405" t="s">
        <v>333</v>
      </c>
      <c r="DH1675" s="406" t="s">
        <v>3397</v>
      </c>
      <c r="DI1675" s="406" t="str">
        <f t="shared" si="58"/>
        <v>MG, Guiricema</v>
      </c>
      <c r="DJ1675" s="406">
        <v>-21.007999999999999</v>
      </c>
      <c r="DK1675" s="80">
        <v>-42.718000000000004</v>
      </c>
      <c r="DL1675" s="80">
        <v>298</v>
      </c>
      <c r="DM1675" s="64">
        <v>3</v>
      </c>
      <c r="DN1675" s="406" t="s">
        <v>6797</v>
      </c>
      <c r="DO1675" s="406">
        <v>-20.75</v>
      </c>
      <c r="DP1675" s="80">
        <v>712</v>
      </c>
    </row>
    <row r="1676" spans="29:120" x14ac:dyDescent="0.25">
      <c r="AC1676" s="122" t="s">
        <v>289</v>
      </c>
      <c r="AD1676" s="122" t="s">
        <v>2057</v>
      </c>
      <c r="AE1676" s="127">
        <v>8</v>
      </c>
      <c r="DA1676" s="122" t="s">
        <v>333</v>
      </c>
      <c r="DB1676" s="122" t="s">
        <v>2940</v>
      </c>
      <c r="DC1676" s="122" t="s">
        <v>2940</v>
      </c>
      <c r="DD1676" s="127">
        <v>6</v>
      </c>
      <c r="DE1676" s="127">
        <v>6</v>
      </c>
      <c r="DG1676" s="405" t="s">
        <v>333</v>
      </c>
      <c r="DH1676" s="406" t="s">
        <v>2940</v>
      </c>
      <c r="DI1676" s="406" t="str">
        <f t="shared" si="58"/>
        <v>MG, Gurinhatã</v>
      </c>
      <c r="DJ1676" s="406">
        <v>-19.213000000000001</v>
      </c>
      <c r="DK1676" s="80">
        <v>-49.786000000000001</v>
      </c>
      <c r="DL1676" s="80">
        <v>543</v>
      </c>
      <c r="DM1676" s="64">
        <v>6</v>
      </c>
      <c r="DN1676" s="406" t="s">
        <v>6566</v>
      </c>
      <c r="DO1676" s="406">
        <v>-18.97</v>
      </c>
      <c r="DP1676" s="80">
        <v>560</v>
      </c>
    </row>
    <row r="1677" spans="29:120" x14ac:dyDescent="0.25">
      <c r="AC1677" s="122" t="s">
        <v>333</v>
      </c>
      <c r="AD1677" s="122" t="s">
        <v>2058</v>
      </c>
      <c r="AE1677" s="127">
        <v>3</v>
      </c>
      <c r="DA1677" s="122" t="s">
        <v>333</v>
      </c>
      <c r="DB1677" s="122" t="s">
        <v>1013</v>
      </c>
      <c r="DC1677" s="122" t="s">
        <v>1013</v>
      </c>
      <c r="DD1677" s="127">
        <v>2</v>
      </c>
      <c r="DE1677" s="127">
        <v>2</v>
      </c>
      <c r="DG1677" s="405" t="s">
        <v>333</v>
      </c>
      <c r="DH1677" s="406" t="s">
        <v>1013</v>
      </c>
      <c r="DI1677" s="406" t="str">
        <f t="shared" si="58"/>
        <v>MG, Heliodora</v>
      </c>
      <c r="DJ1677" s="406">
        <v>-22.067</v>
      </c>
      <c r="DK1677" s="80">
        <v>-45.542000000000002</v>
      </c>
      <c r="DL1677" s="80">
        <v>893</v>
      </c>
      <c r="DM1677" s="64">
        <v>2</v>
      </c>
      <c r="DN1677" s="406" t="s">
        <v>6881</v>
      </c>
      <c r="DO1677" s="406">
        <v>-22.31</v>
      </c>
      <c r="DP1677" s="80">
        <v>1276</v>
      </c>
    </row>
    <row r="1678" spans="29:120" x14ac:dyDescent="0.25">
      <c r="AC1678" s="122" t="s">
        <v>333</v>
      </c>
      <c r="AD1678" s="122" t="s">
        <v>2059</v>
      </c>
      <c r="AE1678" s="127">
        <v>3</v>
      </c>
      <c r="DA1678" s="122" t="s">
        <v>333</v>
      </c>
      <c r="DB1678" s="122" t="s">
        <v>2512</v>
      </c>
      <c r="DC1678" s="122" t="s">
        <v>2512</v>
      </c>
      <c r="DD1678" s="127">
        <v>3</v>
      </c>
      <c r="DE1678" s="127">
        <v>3</v>
      </c>
      <c r="DG1678" s="405" t="s">
        <v>333</v>
      </c>
      <c r="DH1678" s="406" t="s">
        <v>2512</v>
      </c>
      <c r="DI1678" s="406" t="str">
        <f t="shared" si="58"/>
        <v>MG, Iapu</v>
      </c>
      <c r="DJ1678" s="406">
        <v>-19.437000000000001</v>
      </c>
      <c r="DK1678" s="80">
        <v>-42.218000000000004</v>
      </c>
      <c r="DL1678" s="80">
        <v>430</v>
      </c>
      <c r="DM1678" s="64">
        <v>3</v>
      </c>
      <c r="DN1678" s="406" t="s">
        <v>6819</v>
      </c>
      <c r="DO1678" s="406">
        <v>-19.79</v>
      </c>
      <c r="DP1678" s="80">
        <v>615</v>
      </c>
    </row>
    <row r="1679" spans="29:120" x14ac:dyDescent="0.25">
      <c r="AC1679" s="122" t="s">
        <v>289</v>
      </c>
      <c r="AD1679" s="122" t="s">
        <v>2060</v>
      </c>
      <c r="AE1679" s="127">
        <v>8</v>
      </c>
      <c r="DA1679" s="122" t="s">
        <v>333</v>
      </c>
      <c r="DB1679" s="122" t="s">
        <v>633</v>
      </c>
      <c r="DC1679" s="122" t="s">
        <v>633</v>
      </c>
      <c r="DD1679" s="127">
        <v>3</v>
      </c>
      <c r="DE1679" s="127">
        <v>3</v>
      </c>
      <c r="DG1679" s="405" t="s">
        <v>333</v>
      </c>
      <c r="DH1679" s="406" t="s">
        <v>633</v>
      </c>
      <c r="DI1679" s="406" t="str">
        <f t="shared" si="58"/>
        <v>MG, Ibertioga</v>
      </c>
      <c r="DJ1679" s="406">
        <v>-21.43</v>
      </c>
      <c r="DK1679" s="80">
        <v>-43.963000000000001</v>
      </c>
      <c r="DL1679" s="80">
        <v>1032</v>
      </c>
      <c r="DM1679" s="64">
        <v>3</v>
      </c>
      <c r="DN1679" s="406" t="s">
        <v>6813</v>
      </c>
      <c r="DO1679" s="406">
        <v>-21.14</v>
      </c>
      <c r="DP1679" s="80">
        <v>991</v>
      </c>
    </row>
    <row r="1680" spans="29:120" x14ac:dyDescent="0.25">
      <c r="AC1680" s="122" t="s">
        <v>333</v>
      </c>
      <c r="AD1680" s="122" t="s">
        <v>2061</v>
      </c>
      <c r="AE1680" s="127">
        <v>3</v>
      </c>
      <c r="DA1680" s="122" t="s">
        <v>333</v>
      </c>
      <c r="DB1680" s="122" t="s">
        <v>2116</v>
      </c>
      <c r="DC1680" s="122" t="s">
        <v>2116</v>
      </c>
      <c r="DD1680" s="127">
        <v>3</v>
      </c>
      <c r="DE1680" s="127">
        <v>3</v>
      </c>
      <c r="DG1680" s="405" t="s">
        <v>333</v>
      </c>
      <c r="DH1680" s="406" t="s">
        <v>2116</v>
      </c>
      <c r="DI1680" s="406" t="str">
        <f t="shared" si="58"/>
        <v>MG, Ibiá</v>
      </c>
      <c r="DJ1680" s="406">
        <v>-19.478000000000002</v>
      </c>
      <c r="DK1680" s="80">
        <v>-46.539000000000001</v>
      </c>
      <c r="DL1680" s="80">
        <v>895</v>
      </c>
      <c r="DM1680" s="64">
        <v>3</v>
      </c>
      <c r="DN1680" s="406" t="s">
        <v>6832</v>
      </c>
      <c r="DO1680" s="406">
        <v>-19.59</v>
      </c>
      <c r="DP1680" s="80">
        <v>1020</v>
      </c>
    </row>
    <row r="1681" spans="29:120" x14ac:dyDescent="0.25">
      <c r="AC1681" s="122" t="s">
        <v>333</v>
      </c>
      <c r="AD1681" s="122" t="s">
        <v>2062</v>
      </c>
      <c r="AE1681" s="127">
        <v>6</v>
      </c>
      <c r="DA1681" s="122" t="s">
        <v>333</v>
      </c>
      <c r="DB1681" s="122" t="s">
        <v>3008</v>
      </c>
      <c r="DC1681" s="122" t="s">
        <v>3008</v>
      </c>
      <c r="DD1681" s="127">
        <v>4</v>
      </c>
      <c r="DE1681" s="127">
        <v>4</v>
      </c>
      <c r="DG1681" s="405" t="s">
        <v>333</v>
      </c>
      <c r="DH1681" s="406" t="s">
        <v>3008</v>
      </c>
      <c r="DI1681" s="406" t="str">
        <f t="shared" si="58"/>
        <v>MG, Ibiaí</v>
      </c>
      <c r="DJ1681" s="406">
        <v>-16.861000000000001</v>
      </c>
      <c r="DK1681" s="80">
        <v>-44.914000000000001</v>
      </c>
      <c r="DL1681" s="80">
        <v>470</v>
      </c>
      <c r="DM1681" s="64">
        <v>4</v>
      </c>
      <c r="DN1681" s="406" t="s">
        <v>6875</v>
      </c>
      <c r="DO1681" s="406">
        <v>-17.34</v>
      </c>
      <c r="DP1681" s="80">
        <v>489</v>
      </c>
    </row>
    <row r="1682" spans="29:120" x14ac:dyDescent="0.25">
      <c r="AC1682" s="122" t="s">
        <v>333</v>
      </c>
      <c r="AD1682" s="122" t="s">
        <v>2063</v>
      </c>
      <c r="AE1682" s="127">
        <v>4</v>
      </c>
      <c r="DA1682" s="122" t="s">
        <v>333</v>
      </c>
      <c r="DB1682" s="122" t="s">
        <v>3001</v>
      </c>
      <c r="DC1682" s="122" t="s">
        <v>3001</v>
      </c>
      <c r="DD1682" s="127">
        <v>6</v>
      </c>
      <c r="DE1682" s="127">
        <v>6</v>
      </c>
      <c r="DG1682" s="405" t="s">
        <v>333</v>
      </c>
      <c r="DH1682" s="406" t="s">
        <v>3001</v>
      </c>
      <c r="DI1682" s="406" t="str">
        <f t="shared" si="58"/>
        <v>MG, Ibiracatu</v>
      </c>
      <c r="DJ1682" s="406">
        <v>-15.664</v>
      </c>
      <c r="DK1682" s="80">
        <v>-44.164000000000001</v>
      </c>
      <c r="DL1682" s="80">
        <v>750</v>
      </c>
      <c r="DM1682" s="64">
        <v>6</v>
      </c>
      <c r="DN1682" s="406" t="s">
        <v>6853</v>
      </c>
      <c r="DO1682" s="406">
        <v>-16.739999999999998</v>
      </c>
      <c r="DP1682" s="80">
        <v>646</v>
      </c>
    </row>
    <row r="1683" spans="29:120" x14ac:dyDescent="0.25">
      <c r="AC1683" s="122" t="s">
        <v>348</v>
      </c>
      <c r="AD1683" s="122" t="s">
        <v>2064</v>
      </c>
      <c r="AE1683" s="127">
        <v>8</v>
      </c>
      <c r="DA1683" s="122" t="s">
        <v>333</v>
      </c>
      <c r="DB1683" s="122" t="s">
        <v>2951</v>
      </c>
      <c r="DC1683" s="122" t="s">
        <v>2951</v>
      </c>
      <c r="DD1683" s="127">
        <v>4</v>
      </c>
      <c r="DE1683" s="127">
        <v>4</v>
      </c>
      <c r="DG1683" s="405" t="s">
        <v>333</v>
      </c>
      <c r="DH1683" s="406" t="s">
        <v>2951</v>
      </c>
      <c r="DI1683" s="406" t="str">
        <f t="shared" si="58"/>
        <v>MG, Ibiraci</v>
      </c>
      <c r="DJ1683" s="406">
        <v>-20.462</v>
      </c>
      <c r="DK1683" s="80">
        <v>-47.122</v>
      </c>
      <c r="DL1683" s="80">
        <v>1071</v>
      </c>
      <c r="DM1683" s="64">
        <v>4</v>
      </c>
      <c r="DN1683" s="406" t="s">
        <v>6892</v>
      </c>
      <c r="DO1683" s="406">
        <v>-20.54</v>
      </c>
      <c r="DP1683" s="80">
        <v>1026</v>
      </c>
    </row>
    <row r="1684" spans="29:120" x14ac:dyDescent="0.25">
      <c r="AC1684" s="122" t="s">
        <v>289</v>
      </c>
      <c r="AD1684" s="122" t="s">
        <v>2065</v>
      </c>
      <c r="AE1684" s="127">
        <v>5</v>
      </c>
      <c r="DA1684" s="122" t="s">
        <v>333</v>
      </c>
      <c r="DB1684" s="122" t="s">
        <v>473</v>
      </c>
      <c r="DC1684" s="122" t="s">
        <v>473</v>
      </c>
      <c r="DD1684" s="127">
        <v>2</v>
      </c>
      <c r="DE1684" s="127">
        <v>2</v>
      </c>
      <c r="DG1684" s="405" t="s">
        <v>333</v>
      </c>
      <c r="DH1684" s="406" t="s">
        <v>473</v>
      </c>
      <c r="DI1684" s="406" t="str">
        <f t="shared" si="58"/>
        <v>MG, Ibirité</v>
      </c>
      <c r="DJ1684" s="406">
        <v>-20.021999999999998</v>
      </c>
      <c r="DK1684" s="80">
        <v>-44.058999999999997</v>
      </c>
      <c r="DL1684" s="80">
        <v>872</v>
      </c>
      <c r="DM1684" s="64">
        <v>2</v>
      </c>
      <c r="DN1684" s="406" t="s">
        <v>6849</v>
      </c>
      <c r="DO1684" s="406">
        <v>-20.03</v>
      </c>
      <c r="DP1684" s="80">
        <v>1208</v>
      </c>
    </row>
    <row r="1685" spans="29:120" x14ac:dyDescent="0.25">
      <c r="AC1685" s="122" t="s">
        <v>289</v>
      </c>
      <c r="AD1685" s="122" t="s">
        <v>2066</v>
      </c>
      <c r="AE1685" s="127">
        <v>5</v>
      </c>
      <c r="DA1685" s="122" t="s">
        <v>333</v>
      </c>
      <c r="DB1685" s="122" t="s">
        <v>6990</v>
      </c>
      <c r="DC1685" s="122" t="s">
        <v>1031</v>
      </c>
      <c r="DD1685" s="127">
        <v>3</v>
      </c>
      <c r="DE1685" s="127">
        <v>3</v>
      </c>
      <c r="DG1685" s="405" t="s">
        <v>333</v>
      </c>
      <c r="DH1685" s="406" t="s">
        <v>1031</v>
      </c>
      <c r="DI1685" s="406" t="str">
        <f t="shared" si="58"/>
        <v>MG, Ibitiúra de Minas</v>
      </c>
      <c r="DJ1685" s="406">
        <v>-22.061</v>
      </c>
      <c r="DK1685" s="80">
        <v>-46.44</v>
      </c>
      <c r="DL1685" s="80">
        <v>913</v>
      </c>
      <c r="DM1685" s="64">
        <v>3</v>
      </c>
      <c r="DN1685" s="406" t="s">
        <v>6823</v>
      </c>
      <c r="DO1685" s="406">
        <v>-21.92</v>
      </c>
      <c r="DP1685" s="80">
        <v>1150</v>
      </c>
    </row>
    <row r="1686" spans="29:120" x14ac:dyDescent="0.25">
      <c r="AC1686" s="122" t="s">
        <v>289</v>
      </c>
      <c r="AD1686" s="122" t="s">
        <v>2067</v>
      </c>
      <c r="AE1686" s="127">
        <v>8</v>
      </c>
      <c r="DA1686" s="122" t="s">
        <v>333</v>
      </c>
      <c r="DB1686" s="122" t="s">
        <v>844</v>
      </c>
      <c r="DC1686" s="122" t="s">
        <v>844</v>
      </c>
      <c r="DD1686" s="127">
        <v>3</v>
      </c>
      <c r="DE1686" s="127">
        <v>3</v>
      </c>
      <c r="DG1686" s="405" t="s">
        <v>333</v>
      </c>
      <c r="DH1686" s="406" t="s">
        <v>844</v>
      </c>
      <c r="DI1686" s="406" t="str">
        <f t="shared" si="58"/>
        <v>MG, Ibituruna</v>
      </c>
      <c r="DJ1686" s="406">
        <v>-21.152999999999999</v>
      </c>
      <c r="DK1686" s="80">
        <v>-44.747999999999998</v>
      </c>
      <c r="DL1686" s="80">
        <v>892</v>
      </c>
      <c r="DM1686" s="64">
        <v>3</v>
      </c>
      <c r="DN1686" s="406" t="s">
        <v>6813</v>
      </c>
      <c r="DO1686" s="406">
        <v>-21.14</v>
      </c>
      <c r="DP1686" s="80">
        <v>991</v>
      </c>
    </row>
    <row r="1687" spans="29:120" x14ac:dyDescent="0.25">
      <c r="AC1687" s="122" t="s">
        <v>322</v>
      </c>
      <c r="AD1687" s="122" t="s">
        <v>2068</v>
      </c>
      <c r="AE1687" s="127">
        <v>6</v>
      </c>
      <c r="DA1687" s="122" t="s">
        <v>333</v>
      </c>
      <c r="DB1687" s="122" t="s">
        <v>6991</v>
      </c>
      <c r="DC1687" s="122" t="s">
        <v>3043</v>
      </c>
      <c r="DD1687" s="127">
        <v>6</v>
      </c>
      <c r="DE1687" s="127">
        <v>6</v>
      </c>
      <c r="DG1687" s="405" t="s">
        <v>333</v>
      </c>
      <c r="DH1687" s="406" t="s">
        <v>3043</v>
      </c>
      <c r="DI1687" s="406" t="str">
        <f t="shared" si="58"/>
        <v>MG, Icaraí de Minas</v>
      </c>
      <c r="DJ1687" s="406">
        <v>-16.216999999999999</v>
      </c>
      <c r="DK1687" s="80">
        <v>-44.905999999999999</v>
      </c>
      <c r="DL1687" s="80">
        <v>595</v>
      </c>
      <c r="DM1687" s="64">
        <v>6</v>
      </c>
      <c r="DN1687" s="406" t="s">
        <v>6872</v>
      </c>
      <c r="DO1687" s="406">
        <v>-16.37</v>
      </c>
      <c r="DP1687" s="80">
        <v>460</v>
      </c>
    </row>
    <row r="1688" spans="29:120" x14ac:dyDescent="0.25">
      <c r="AC1688" s="122" t="s">
        <v>348</v>
      </c>
      <c r="AD1688" s="122" t="s">
        <v>2069</v>
      </c>
      <c r="AE1688" s="127">
        <v>8</v>
      </c>
      <c r="DA1688" s="122" t="s">
        <v>333</v>
      </c>
      <c r="DB1688" s="122" t="s">
        <v>3479</v>
      </c>
      <c r="DC1688" s="122" t="s">
        <v>3479</v>
      </c>
      <c r="DD1688" s="127">
        <v>2</v>
      </c>
      <c r="DE1688" s="127">
        <v>2</v>
      </c>
      <c r="DG1688" s="405" t="s">
        <v>333</v>
      </c>
      <c r="DH1688" s="406" t="s">
        <v>3479</v>
      </c>
      <c r="DI1688" s="406" t="str">
        <f t="shared" si="58"/>
        <v>MG, Igarapé</v>
      </c>
      <c r="DJ1688" s="406">
        <v>-20.07</v>
      </c>
      <c r="DK1688" s="80">
        <v>-44.302</v>
      </c>
      <c r="DL1688" s="80">
        <v>786</v>
      </c>
      <c r="DM1688" s="64">
        <v>2</v>
      </c>
      <c r="DN1688" s="406" t="s">
        <v>6879</v>
      </c>
      <c r="DO1688" s="406">
        <v>-19.89</v>
      </c>
      <c r="DP1688" s="80">
        <v>742</v>
      </c>
    </row>
    <row r="1689" spans="29:120" x14ac:dyDescent="0.25">
      <c r="AC1689" s="122" t="s">
        <v>358</v>
      </c>
      <c r="AD1689" s="122" t="s">
        <v>2070</v>
      </c>
      <c r="AE1689" s="127">
        <v>5</v>
      </c>
      <c r="DA1689" s="122" t="s">
        <v>333</v>
      </c>
      <c r="DB1689" s="122" t="s">
        <v>3798</v>
      </c>
      <c r="DC1689" s="122" t="s">
        <v>3798</v>
      </c>
      <c r="DD1689" s="127">
        <v>3</v>
      </c>
      <c r="DE1689" s="127">
        <v>3</v>
      </c>
      <c r="DG1689" s="405" t="s">
        <v>333</v>
      </c>
      <c r="DH1689" s="406" t="s">
        <v>3798</v>
      </c>
      <c r="DI1689" s="406" t="str">
        <f t="shared" si="58"/>
        <v>MG, Igaratinga</v>
      </c>
      <c r="DJ1689" s="406">
        <v>-19.954999999999998</v>
      </c>
      <c r="DK1689" s="80">
        <v>-44.709000000000003</v>
      </c>
      <c r="DL1689" s="80">
        <v>816</v>
      </c>
      <c r="DM1689" s="64">
        <v>3</v>
      </c>
      <c r="DN1689" s="406" t="s">
        <v>6879</v>
      </c>
      <c r="DO1689" s="406">
        <v>-19.89</v>
      </c>
      <c r="DP1689" s="80">
        <v>742</v>
      </c>
    </row>
    <row r="1690" spans="29:120" x14ac:dyDescent="0.25">
      <c r="AC1690" s="122" t="s">
        <v>289</v>
      </c>
      <c r="AD1690" s="122" t="s">
        <v>2071</v>
      </c>
      <c r="AE1690" s="127">
        <v>8</v>
      </c>
      <c r="DA1690" s="122" t="s">
        <v>333</v>
      </c>
      <c r="DB1690" s="122" t="s">
        <v>3384</v>
      </c>
      <c r="DC1690" s="122" t="s">
        <v>3384</v>
      </c>
      <c r="DD1690" s="127">
        <v>2</v>
      </c>
      <c r="DE1690" s="127">
        <v>2</v>
      </c>
      <c r="DG1690" s="405" t="s">
        <v>333</v>
      </c>
      <c r="DH1690" s="406" t="s">
        <v>3384</v>
      </c>
      <c r="DI1690" s="406" t="str">
        <f t="shared" si="58"/>
        <v>MG, Iguatama</v>
      </c>
      <c r="DJ1690" s="406">
        <v>-20.173999999999999</v>
      </c>
      <c r="DK1690" s="80">
        <v>-45.710999999999999</v>
      </c>
      <c r="DL1690" s="80">
        <v>664</v>
      </c>
      <c r="DM1690" s="64">
        <v>2</v>
      </c>
      <c r="DN1690" s="406" t="s">
        <v>6803</v>
      </c>
      <c r="DO1690" s="406">
        <v>-20.46</v>
      </c>
      <c r="DP1690" s="80">
        <v>878</v>
      </c>
    </row>
    <row r="1691" spans="29:120" x14ac:dyDescent="0.25">
      <c r="AC1691" s="122" t="s">
        <v>289</v>
      </c>
      <c r="AD1691" s="122" t="s">
        <v>2072</v>
      </c>
      <c r="AE1691" s="127">
        <v>5</v>
      </c>
      <c r="DA1691" s="122" t="s">
        <v>333</v>
      </c>
      <c r="DB1691" s="122" t="s">
        <v>634</v>
      </c>
      <c r="DC1691" s="122" t="s">
        <v>634</v>
      </c>
      <c r="DD1691" s="127">
        <v>3</v>
      </c>
      <c r="DE1691" s="127">
        <v>3</v>
      </c>
      <c r="DG1691" s="405" t="s">
        <v>333</v>
      </c>
      <c r="DH1691" s="406" t="s">
        <v>634</v>
      </c>
      <c r="DI1691" s="406" t="str">
        <f t="shared" si="58"/>
        <v>MG, Ijaci</v>
      </c>
      <c r="DJ1691" s="406">
        <v>-21.17</v>
      </c>
      <c r="DK1691" s="80">
        <v>-44.924999999999997</v>
      </c>
      <c r="DL1691" s="80">
        <v>832</v>
      </c>
      <c r="DM1691" s="64">
        <v>3</v>
      </c>
      <c r="DN1691" s="406" t="s">
        <v>6811</v>
      </c>
      <c r="DO1691" s="406">
        <v>-21.55</v>
      </c>
      <c r="DP1691" s="80">
        <v>955</v>
      </c>
    </row>
    <row r="1692" spans="29:120" x14ac:dyDescent="0.25">
      <c r="AC1692" s="122" t="s">
        <v>333</v>
      </c>
      <c r="AD1692" s="122" t="s">
        <v>2073</v>
      </c>
      <c r="AE1692" s="127">
        <v>3</v>
      </c>
      <c r="DA1692" s="122" t="s">
        <v>333</v>
      </c>
      <c r="DB1692" s="122" t="s">
        <v>635</v>
      </c>
      <c r="DC1692" s="122" t="s">
        <v>635</v>
      </c>
      <c r="DD1692" s="127">
        <v>2</v>
      </c>
      <c r="DE1692" s="127">
        <v>2</v>
      </c>
      <c r="DG1692" s="405" t="s">
        <v>333</v>
      </c>
      <c r="DH1692" s="406" t="s">
        <v>635</v>
      </c>
      <c r="DI1692" s="406" t="str">
        <f t="shared" si="58"/>
        <v>MG, Ilicínea</v>
      </c>
      <c r="DJ1692" s="406">
        <v>-20.936</v>
      </c>
      <c r="DK1692" s="80">
        <v>-45.832999999999998</v>
      </c>
      <c r="DL1692" s="80">
        <v>857</v>
      </c>
      <c r="DM1692" s="64">
        <v>2</v>
      </c>
      <c r="DN1692" s="406" t="s">
        <v>6803</v>
      </c>
      <c r="DO1692" s="406">
        <v>-20.46</v>
      </c>
      <c r="DP1692" s="80">
        <v>878</v>
      </c>
    </row>
    <row r="1693" spans="29:120" x14ac:dyDescent="0.25">
      <c r="AC1693" s="122" t="s">
        <v>289</v>
      </c>
      <c r="AD1693" s="122" t="s">
        <v>2074</v>
      </c>
      <c r="AE1693" s="127">
        <v>8</v>
      </c>
      <c r="DA1693" s="122" t="s">
        <v>333</v>
      </c>
      <c r="DB1693" s="122" t="s">
        <v>6992</v>
      </c>
      <c r="DC1693" s="122" t="s">
        <v>2059</v>
      </c>
      <c r="DD1693" s="127">
        <v>3</v>
      </c>
      <c r="DE1693" s="127">
        <v>3</v>
      </c>
      <c r="DG1693" s="405" t="s">
        <v>333</v>
      </c>
      <c r="DH1693" s="406" t="s">
        <v>2059</v>
      </c>
      <c r="DI1693" s="406" t="str">
        <f t="shared" si="58"/>
        <v>MG, Imbé de Minas</v>
      </c>
      <c r="DJ1693" s="406">
        <v>-19.597000000000001</v>
      </c>
      <c r="DK1693" s="80">
        <v>-41.970999999999997</v>
      </c>
      <c r="DL1693" s="80">
        <v>582</v>
      </c>
      <c r="DM1693" s="64">
        <v>3</v>
      </c>
      <c r="DN1693" s="406" t="s">
        <v>6819</v>
      </c>
      <c r="DO1693" s="406">
        <v>-19.79</v>
      </c>
      <c r="DP1693" s="80">
        <v>615</v>
      </c>
    </row>
    <row r="1694" spans="29:120" x14ac:dyDescent="0.25">
      <c r="AC1694" s="122" t="s">
        <v>333</v>
      </c>
      <c r="AD1694" s="122" t="s">
        <v>2075</v>
      </c>
      <c r="AE1694" s="127">
        <v>3</v>
      </c>
      <c r="DA1694" s="122" t="s">
        <v>333</v>
      </c>
      <c r="DB1694" s="122" t="s">
        <v>869</v>
      </c>
      <c r="DC1694" s="122" t="s">
        <v>869</v>
      </c>
      <c r="DD1694" s="127">
        <v>2</v>
      </c>
      <c r="DE1694" s="127">
        <v>2</v>
      </c>
      <c r="DG1694" s="405" t="s">
        <v>333</v>
      </c>
      <c r="DH1694" s="406" t="s">
        <v>869</v>
      </c>
      <c r="DI1694" s="406" t="str">
        <f t="shared" si="58"/>
        <v>MG, Inconfidentes</v>
      </c>
      <c r="DJ1694" s="406">
        <v>-22.317</v>
      </c>
      <c r="DK1694" s="80">
        <v>-46.328000000000003</v>
      </c>
      <c r="DL1694" s="80">
        <v>869</v>
      </c>
      <c r="DM1694" s="64">
        <v>2</v>
      </c>
      <c r="DN1694" s="406" t="s">
        <v>6823</v>
      </c>
      <c r="DO1694" s="406">
        <v>-21.92</v>
      </c>
      <c r="DP1694" s="80">
        <v>1150</v>
      </c>
    </row>
    <row r="1695" spans="29:120" x14ac:dyDescent="0.25">
      <c r="AC1695" s="122" t="s">
        <v>289</v>
      </c>
      <c r="AD1695" s="122" t="s">
        <v>2076</v>
      </c>
      <c r="AE1695" s="127">
        <v>8</v>
      </c>
      <c r="DA1695" s="122" t="s">
        <v>333</v>
      </c>
      <c r="DB1695" s="122" t="s">
        <v>2163</v>
      </c>
      <c r="DC1695" s="122" t="s">
        <v>2163</v>
      </c>
      <c r="DD1695" s="127">
        <v>5</v>
      </c>
      <c r="DE1695" s="127">
        <v>5</v>
      </c>
      <c r="DG1695" s="405" t="s">
        <v>333</v>
      </c>
      <c r="DH1695" s="406" t="s">
        <v>2163</v>
      </c>
      <c r="DI1695" s="406" t="str">
        <f t="shared" si="58"/>
        <v>MG, Indaiabira</v>
      </c>
      <c r="DJ1695" s="406">
        <v>-15.492000000000001</v>
      </c>
      <c r="DK1695" s="80">
        <v>-42.197000000000003</v>
      </c>
      <c r="DL1695" s="80">
        <v>750</v>
      </c>
      <c r="DM1695" s="64">
        <v>5</v>
      </c>
      <c r="DN1695" s="406" t="s">
        <v>6993</v>
      </c>
      <c r="DO1695" s="406">
        <v>-15.72</v>
      </c>
      <c r="DP1695" s="80">
        <v>853</v>
      </c>
    </row>
    <row r="1696" spans="29:120" x14ac:dyDescent="0.25">
      <c r="AC1696" s="122" t="s">
        <v>333</v>
      </c>
      <c r="AD1696" s="122" t="s">
        <v>2077</v>
      </c>
      <c r="AE1696" s="127">
        <v>3</v>
      </c>
      <c r="DA1696" s="122" t="s">
        <v>333</v>
      </c>
      <c r="DB1696" s="122" t="s">
        <v>2800</v>
      </c>
      <c r="DC1696" s="122" t="s">
        <v>2800</v>
      </c>
      <c r="DD1696" s="127">
        <v>4</v>
      </c>
      <c r="DE1696" s="127">
        <v>4</v>
      </c>
      <c r="DG1696" s="405" t="s">
        <v>333</v>
      </c>
      <c r="DH1696" s="406" t="s">
        <v>2800</v>
      </c>
      <c r="DI1696" s="406" t="str">
        <f t="shared" si="58"/>
        <v>MG, Indianópolis</v>
      </c>
      <c r="DJ1696" s="406">
        <v>-19.039000000000001</v>
      </c>
      <c r="DK1696" s="80">
        <v>-47.917000000000002</v>
      </c>
      <c r="DL1696" s="80">
        <v>809</v>
      </c>
      <c r="DM1696" s="64">
        <v>4</v>
      </c>
      <c r="DN1696" s="406" t="s">
        <v>6831</v>
      </c>
      <c r="DO1696" s="406">
        <v>-18.920000000000002</v>
      </c>
      <c r="DP1696" s="80">
        <v>869</v>
      </c>
    </row>
    <row r="1697" spans="29:120" x14ac:dyDescent="0.25">
      <c r="AC1697" s="122" t="s">
        <v>289</v>
      </c>
      <c r="AD1697" s="122" t="s">
        <v>2078</v>
      </c>
      <c r="AE1697" s="127">
        <v>5</v>
      </c>
      <c r="DA1697" s="122" t="s">
        <v>333</v>
      </c>
      <c r="DB1697" s="122" t="s">
        <v>858</v>
      </c>
      <c r="DC1697" s="122" t="s">
        <v>858</v>
      </c>
      <c r="DD1697" s="127">
        <v>3</v>
      </c>
      <c r="DE1697" s="127">
        <v>3</v>
      </c>
      <c r="DG1697" s="405" t="s">
        <v>333</v>
      </c>
      <c r="DH1697" s="406" t="s">
        <v>858</v>
      </c>
      <c r="DI1697" s="406" t="str">
        <f t="shared" si="58"/>
        <v>MG, Ingaí</v>
      </c>
      <c r="DJ1697" s="406">
        <v>-21.401</v>
      </c>
      <c r="DK1697" s="80">
        <v>-44.917000000000002</v>
      </c>
      <c r="DL1697" s="80">
        <v>951</v>
      </c>
      <c r="DM1697" s="64">
        <v>3</v>
      </c>
      <c r="DN1697" s="406" t="s">
        <v>6811</v>
      </c>
      <c r="DO1697" s="406">
        <v>-21.55</v>
      </c>
      <c r="DP1697" s="80">
        <v>955</v>
      </c>
    </row>
    <row r="1698" spans="29:120" x14ac:dyDescent="0.25">
      <c r="AC1698" s="122" t="s">
        <v>333</v>
      </c>
      <c r="AD1698" s="122" t="s">
        <v>2079</v>
      </c>
      <c r="AE1698" s="127">
        <v>3</v>
      </c>
      <c r="DA1698" s="122" t="s">
        <v>333</v>
      </c>
      <c r="DB1698" s="122" t="s">
        <v>2022</v>
      </c>
      <c r="DC1698" s="122" t="s">
        <v>2022</v>
      </c>
      <c r="DD1698" s="127">
        <v>3</v>
      </c>
      <c r="DE1698" s="127">
        <v>3</v>
      </c>
      <c r="DG1698" s="405" t="s">
        <v>333</v>
      </c>
      <c r="DH1698" s="406" t="s">
        <v>2022</v>
      </c>
      <c r="DI1698" s="406" t="str">
        <f t="shared" si="58"/>
        <v>MG, Inhapim</v>
      </c>
      <c r="DJ1698" s="406">
        <v>-19.548999999999999</v>
      </c>
      <c r="DK1698" s="80">
        <v>-42.12</v>
      </c>
      <c r="DL1698" s="80">
        <v>482</v>
      </c>
      <c r="DM1698" s="64">
        <v>3</v>
      </c>
      <c r="DN1698" s="406" t="s">
        <v>6819</v>
      </c>
      <c r="DO1698" s="406">
        <v>-19.79</v>
      </c>
      <c r="DP1698" s="80">
        <v>615</v>
      </c>
    </row>
    <row r="1699" spans="29:120" x14ac:dyDescent="0.25">
      <c r="AC1699" s="122" t="s">
        <v>317</v>
      </c>
      <c r="AD1699" s="122" t="s">
        <v>2080</v>
      </c>
      <c r="AE1699" s="127">
        <v>5</v>
      </c>
      <c r="DA1699" s="122" t="s">
        <v>333</v>
      </c>
      <c r="DB1699" s="122" t="s">
        <v>2919</v>
      </c>
      <c r="DC1699" s="122" t="s">
        <v>2919</v>
      </c>
      <c r="DD1699" s="127">
        <v>4</v>
      </c>
      <c r="DE1699" s="127">
        <v>4</v>
      </c>
      <c r="DG1699" s="405" t="s">
        <v>333</v>
      </c>
      <c r="DH1699" s="406" t="s">
        <v>2919</v>
      </c>
      <c r="DI1699" s="406" t="str">
        <f t="shared" si="58"/>
        <v>MG, Inhaúma</v>
      </c>
      <c r="DJ1699" s="406">
        <v>-19.491</v>
      </c>
      <c r="DK1699" s="80">
        <v>-44.39</v>
      </c>
      <c r="DL1699" s="80">
        <v>746</v>
      </c>
      <c r="DM1699" s="64">
        <v>4</v>
      </c>
      <c r="DN1699" s="406" t="s">
        <v>6879</v>
      </c>
      <c r="DO1699" s="406">
        <v>-19.89</v>
      </c>
      <c r="DP1699" s="80">
        <v>742</v>
      </c>
    </row>
    <row r="1700" spans="29:120" x14ac:dyDescent="0.25">
      <c r="AC1700" s="122" t="s">
        <v>333</v>
      </c>
      <c r="AD1700" s="122" t="s">
        <v>2081</v>
      </c>
      <c r="AE1700" s="127">
        <v>3</v>
      </c>
      <c r="DA1700" s="122" t="s">
        <v>333</v>
      </c>
      <c r="DB1700" s="122" t="s">
        <v>2804</v>
      </c>
      <c r="DC1700" s="122" t="s">
        <v>2804</v>
      </c>
      <c r="DD1700" s="127">
        <v>3</v>
      </c>
      <c r="DE1700" s="127">
        <v>3</v>
      </c>
      <c r="DG1700" s="405" t="s">
        <v>333</v>
      </c>
      <c r="DH1700" s="406" t="s">
        <v>2804</v>
      </c>
      <c r="DI1700" s="406" t="str">
        <f t="shared" si="58"/>
        <v>MG, Inimutaba</v>
      </c>
      <c r="DJ1700" s="406">
        <v>-18.728999999999999</v>
      </c>
      <c r="DK1700" s="80">
        <v>-44.360999999999997</v>
      </c>
      <c r="DL1700" s="80">
        <v>600</v>
      </c>
      <c r="DM1700" s="64">
        <v>3</v>
      </c>
      <c r="DN1700" s="406" t="s">
        <v>6828</v>
      </c>
      <c r="DO1700" s="406">
        <v>-18.760000000000002</v>
      </c>
      <c r="DP1700" s="80">
        <v>670</v>
      </c>
    </row>
    <row r="1701" spans="29:120" x14ac:dyDescent="0.25">
      <c r="AC1701" s="122" t="s">
        <v>289</v>
      </c>
      <c r="AD1701" s="122" t="s">
        <v>2082</v>
      </c>
      <c r="AE1701" s="127">
        <v>8</v>
      </c>
      <c r="DA1701" s="122" t="s">
        <v>333</v>
      </c>
      <c r="DB1701" s="122" t="s">
        <v>3162</v>
      </c>
      <c r="DC1701" s="122" t="s">
        <v>3162</v>
      </c>
      <c r="DD1701" s="127">
        <v>3</v>
      </c>
      <c r="DE1701" s="127">
        <v>3</v>
      </c>
      <c r="DG1701" s="405" t="s">
        <v>333</v>
      </c>
      <c r="DH1701" s="406" t="s">
        <v>3162</v>
      </c>
      <c r="DI1701" s="406" t="str">
        <f t="shared" si="58"/>
        <v>MG, Ipaba</v>
      </c>
      <c r="DJ1701" s="406">
        <v>-19.414000000000001</v>
      </c>
      <c r="DK1701" s="80">
        <v>-42.418999999999997</v>
      </c>
      <c r="DL1701" s="80">
        <v>200</v>
      </c>
      <c r="DM1701" s="64">
        <v>3</v>
      </c>
      <c r="DN1701" s="406" t="s">
        <v>6798</v>
      </c>
      <c r="DO1701" s="406">
        <v>-19.579999999999998</v>
      </c>
      <c r="DP1701" s="80">
        <v>333</v>
      </c>
    </row>
    <row r="1702" spans="29:120" x14ac:dyDescent="0.25">
      <c r="AC1702" s="122" t="s">
        <v>323</v>
      </c>
      <c r="AD1702" s="122" t="s">
        <v>2083</v>
      </c>
      <c r="AE1702" s="127">
        <v>8</v>
      </c>
      <c r="DA1702" s="122" t="s">
        <v>333</v>
      </c>
      <c r="DB1702" s="122" t="s">
        <v>3337</v>
      </c>
      <c r="DC1702" s="122" t="s">
        <v>3337</v>
      </c>
      <c r="DD1702" s="127">
        <v>3</v>
      </c>
      <c r="DE1702" s="127">
        <v>3</v>
      </c>
      <c r="DG1702" s="405" t="s">
        <v>333</v>
      </c>
      <c r="DH1702" s="406" t="s">
        <v>3337</v>
      </c>
      <c r="DI1702" s="406" t="str">
        <f t="shared" si="58"/>
        <v>MG, Ipanema</v>
      </c>
      <c r="DJ1702" s="406">
        <v>-19.800999999999998</v>
      </c>
      <c r="DK1702" s="80">
        <v>-41.713000000000001</v>
      </c>
      <c r="DL1702" s="80">
        <v>241</v>
      </c>
      <c r="DM1702" s="64">
        <v>3</v>
      </c>
      <c r="DN1702" s="406" t="s">
        <v>6819</v>
      </c>
      <c r="DO1702" s="406">
        <v>-19.79</v>
      </c>
      <c r="DP1702" s="80">
        <v>615</v>
      </c>
    </row>
    <row r="1703" spans="29:120" x14ac:dyDescent="0.25">
      <c r="AC1703" s="122" t="s">
        <v>289</v>
      </c>
      <c r="AD1703" s="122" t="s">
        <v>2084</v>
      </c>
      <c r="AE1703" s="127">
        <v>8</v>
      </c>
      <c r="DA1703" s="122" t="s">
        <v>333</v>
      </c>
      <c r="DB1703" s="122" t="s">
        <v>2117</v>
      </c>
      <c r="DC1703" s="122" t="s">
        <v>2117</v>
      </c>
      <c r="DD1703" s="127">
        <v>3</v>
      </c>
      <c r="DE1703" s="127">
        <v>3</v>
      </c>
      <c r="DG1703" s="405" t="s">
        <v>333</v>
      </c>
      <c r="DH1703" s="406" t="s">
        <v>2117</v>
      </c>
      <c r="DI1703" s="406" t="str">
        <f t="shared" si="58"/>
        <v>MG, Ipatinga</v>
      </c>
      <c r="DJ1703" s="406">
        <v>-19.468</v>
      </c>
      <c r="DK1703" s="80">
        <v>-42.536999999999999</v>
      </c>
      <c r="DL1703" s="80">
        <v>240</v>
      </c>
      <c r="DM1703" s="64">
        <v>3</v>
      </c>
      <c r="DN1703" s="406" t="s">
        <v>6798</v>
      </c>
      <c r="DO1703" s="406">
        <v>-19.579999999999998</v>
      </c>
      <c r="DP1703" s="80">
        <v>333</v>
      </c>
    </row>
    <row r="1704" spans="29:120" x14ac:dyDescent="0.25">
      <c r="AC1704" s="122" t="s">
        <v>333</v>
      </c>
      <c r="AD1704" s="122" t="s">
        <v>2085</v>
      </c>
      <c r="AE1704" s="127">
        <v>3</v>
      </c>
      <c r="DA1704" s="122" t="s">
        <v>333</v>
      </c>
      <c r="DB1704" s="122" t="s">
        <v>2713</v>
      </c>
      <c r="DC1704" s="122" t="s">
        <v>2713</v>
      </c>
      <c r="DD1704" s="127">
        <v>6</v>
      </c>
      <c r="DE1704" s="127">
        <v>6</v>
      </c>
      <c r="DG1704" s="405" t="s">
        <v>333</v>
      </c>
      <c r="DH1704" s="406" t="s">
        <v>2713</v>
      </c>
      <c r="DI1704" s="406" t="str">
        <f t="shared" si="58"/>
        <v>MG, Ipiaçu</v>
      </c>
      <c r="DJ1704" s="406">
        <v>-18.692</v>
      </c>
      <c r="DK1704" s="80">
        <v>-49.942999999999998</v>
      </c>
      <c r="DL1704" s="80">
        <v>452</v>
      </c>
      <c r="DM1704" s="64">
        <v>6</v>
      </c>
      <c r="DN1704" s="406" t="s">
        <v>6566</v>
      </c>
      <c r="DO1704" s="406">
        <v>-18.97</v>
      </c>
      <c r="DP1704" s="80">
        <v>560</v>
      </c>
    </row>
    <row r="1705" spans="29:120" x14ac:dyDescent="0.25">
      <c r="AC1705" s="122" t="s">
        <v>289</v>
      </c>
      <c r="AD1705" s="122" t="s">
        <v>2086</v>
      </c>
      <c r="AE1705" s="127">
        <v>5</v>
      </c>
      <c r="DA1705" s="122" t="s">
        <v>333</v>
      </c>
      <c r="DB1705" s="122" t="s">
        <v>998</v>
      </c>
      <c r="DC1705" s="122" t="s">
        <v>998</v>
      </c>
      <c r="DD1705" s="127">
        <v>2</v>
      </c>
      <c r="DE1705" s="127">
        <v>2</v>
      </c>
      <c r="DG1705" s="405" t="s">
        <v>333</v>
      </c>
      <c r="DH1705" s="406" t="s">
        <v>998</v>
      </c>
      <c r="DI1705" s="406" t="str">
        <f t="shared" si="58"/>
        <v>MG, Ipuiúna</v>
      </c>
      <c r="DJ1705" s="406">
        <v>-22.099</v>
      </c>
      <c r="DK1705" s="80">
        <v>-46.19</v>
      </c>
      <c r="DL1705" s="80">
        <v>1182</v>
      </c>
      <c r="DM1705" s="64">
        <v>2</v>
      </c>
      <c r="DN1705" s="406" t="s">
        <v>6823</v>
      </c>
      <c r="DO1705" s="406">
        <v>-21.92</v>
      </c>
      <c r="DP1705" s="80">
        <v>1150</v>
      </c>
    </row>
    <row r="1706" spans="29:120" x14ac:dyDescent="0.25">
      <c r="AC1706" s="122" t="s">
        <v>369</v>
      </c>
      <c r="AD1706" s="122" t="s">
        <v>2087</v>
      </c>
      <c r="AE1706" s="127">
        <v>8</v>
      </c>
      <c r="DA1706" s="122" t="s">
        <v>333</v>
      </c>
      <c r="DB1706" s="122" t="s">
        <v>6994</v>
      </c>
      <c r="DC1706" s="122" t="s">
        <v>911</v>
      </c>
      <c r="DD1706" s="127">
        <v>4</v>
      </c>
      <c r="DE1706" s="127">
        <v>4</v>
      </c>
      <c r="DG1706" s="405" t="s">
        <v>333</v>
      </c>
      <c r="DH1706" s="406" t="s">
        <v>911</v>
      </c>
      <c r="DI1706" s="406" t="str">
        <f t="shared" si="58"/>
        <v>MG, Iraí de Minas</v>
      </c>
      <c r="DJ1706" s="406">
        <v>-18.984000000000002</v>
      </c>
      <c r="DK1706" s="80">
        <v>-47.460999999999999</v>
      </c>
      <c r="DL1706" s="80">
        <v>951</v>
      </c>
      <c r="DM1706" s="64">
        <v>4</v>
      </c>
      <c r="DN1706" s="406" t="s">
        <v>6794</v>
      </c>
      <c r="DO1706" s="406">
        <v>-18.940000000000001</v>
      </c>
      <c r="DP1706" s="80">
        <v>976</v>
      </c>
    </row>
    <row r="1707" spans="29:120" x14ac:dyDescent="0.25">
      <c r="AC1707" s="122" t="s">
        <v>333</v>
      </c>
      <c r="AD1707" s="122" t="s">
        <v>2088</v>
      </c>
      <c r="AE1707" s="127">
        <v>2</v>
      </c>
      <c r="DA1707" s="122" t="s">
        <v>333</v>
      </c>
      <c r="DB1707" s="122" t="s">
        <v>920</v>
      </c>
      <c r="DC1707" s="122" t="s">
        <v>920</v>
      </c>
      <c r="DD1707" s="127">
        <v>3</v>
      </c>
      <c r="DE1707" s="127">
        <v>3</v>
      </c>
      <c r="DG1707" s="405" t="s">
        <v>333</v>
      </c>
      <c r="DH1707" s="406" t="s">
        <v>920</v>
      </c>
      <c r="DI1707" s="406" t="str">
        <f t="shared" si="58"/>
        <v>MG, Itabira</v>
      </c>
      <c r="DJ1707" s="406">
        <v>-19.619</v>
      </c>
      <c r="DK1707" s="80">
        <v>-43.226999999999997</v>
      </c>
      <c r="DL1707" s="80">
        <v>779</v>
      </c>
      <c r="DM1707" s="64">
        <v>3</v>
      </c>
      <c r="DN1707" s="406" t="s">
        <v>6798</v>
      </c>
      <c r="DO1707" s="406">
        <v>-19.579999999999998</v>
      </c>
      <c r="DP1707" s="80">
        <v>333</v>
      </c>
    </row>
    <row r="1708" spans="29:120" x14ac:dyDescent="0.25">
      <c r="AC1708" s="122" t="s">
        <v>322</v>
      </c>
      <c r="AD1708" s="122" t="s">
        <v>2089</v>
      </c>
      <c r="AE1708" s="127">
        <v>4</v>
      </c>
      <c r="DA1708" s="122" t="s">
        <v>333</v>
      </c>
      <c r="DB1708" s="122" t="s">
        <v>6995</v>
      </c>
      <c r="DC1708" s="122" t="s">
        <v>1874</v>
      </c>
      <c r="DD1708" s="127">
        <v>5</v>
      </c>
      <c r="DE1708" s="127">
        <v>5</v>
      </c>
      <c r="DG1708" s="405" t="s">
        <v>333</v>
      </c>
      <c r="DH1708" s="406" t="s">
        <v>5788</v>
      </c>
      <c r="DI1708" s="406" t="str">
        <f t="shared" si="58"/>
        <v>MG, Itabirinha</v>
      </c>
      <c r="DJ1708" s="406">
        <v>-18.565999999999999</v>
      </c>
      <c r="DK1708" s="80">
        <v>-41.232999999999997</v>
      </c>
      <c r="DL1708" s="80">
        <v>330</v>
      </c>
      <c r="DM1708" s="64">
        <v>5</v>
      </c>
      <c r="DN1708" s="406" t="s">
        <v>6456</v>
      </c>
      <c r="DO1708" s="406">
        <v>-18.78</v>
      </c>
      <c r="DP1708" s="80">
        <v>214</v>
      </c>
    </row>
    <row r="1709" spans="29:120" x14ac:dyDescent="0.25">
      <c r="AC1709" s="122" t="s">
        <v>333</v>
      </c>
      <c r="AD1709" s="122" t="s">
        <v>2090</v>
      </c>
      <c r="AE1709" s="127">
        <v>4</v>
      </c>
      <c r="DA1709" s="122" t="s">
        <v>333</v>
      </c>
      <c r="DB1709" s="122" t="s">
        <v>837</v>
      </c>
      <c r="DC1709" s="122" t="s">
        <v>837</v>
      </c>
      <c r="DD1709" s="127">
        <v>2</v>
      </c>
      <c r="DE1709" s="127">
        <v>2</v>
      </c>
      <c r="DG1709" s="405" t="s">
        <v>333</v>
      </c>
      <c r="DH1709" s="406" t="s">
        <v>837</v>
      </c>
      <c r="DI1709" s="406" t="str">
        <f t="shared" si="58"/>
        <v>MG, Itabirito</v>
      </c>
      <c r="DJ1709" s="406">
        <v>-20.253</v>
      </c>
      <c r="DK1709" s="80">
        <v>-43.801000000000002</v>
      </c>
      <c r="DL1709" s="80">
        <v>901</v>
      </c>
      <c r="DM1709" s="64">
        <v>2</v>
      </c>
      <c r="DN1709" s="406" t="s">
        <v>6848</v>
      </c>
      <c r="DO1709" s="406">
        <v>-20.52</v>
      </c>
      <c r="DP1709" s="80">
        <v>1061</v>
      </c>
    </row>
    <row r="1710" spans="29:120" x14ac:dyDescent="0.25">
      <c r="AC1710" s="122" t="s">
        <v>322</v>
      </c>
      <c r="AD1710" s="122" t="s">
        <v>2091</v>
      </c>
      <c r="AE1710" s="127">
        <v>6</v>
      </c>
      <c r="DA1710" s="122" t="s">
        <v>333</v>
      </c>
      <c r="DB1710" s="122" t="s">
        <v>2736</v>
      </c>
      <c r="DC1710" s="122" t="s">
        <v>2736</v>
      </c>
      <c r="DD1710" s="127">
        <v>4</v>
      </c>
      <c r="DE1710" s="127">
        <v>4</v>
      </c>
      <c r="DG1710" s="405" t="s">
        <v>333</v>
      </c>
      <c r="DH1710" s="406" t="s">
        <v>2736</v>
      </c>
      <c r="DI1710" s="406" t="str">
        <f t="shared" si="58"/>
        <v>MG, Itacambira</v>
      </c>
      <c r="DJ1710" s="406">
        <v>-17.065000000000001</v>
      </c>
      <c r="DK1710" s="80">
        <v>-43.308999999999997</v>
      </c>
      <c r="DL1710" s="80">
        <v>1048</v>
      </c>
      <c r="DM1710" s="64">
        <v>4</v>
      </c>
      <c r="DN1710" s="406" t="s">
        <v>6853</v>
      </c>
      <c r="DO1710" s="406">
        <v>-16.739999999999998</v>
      </c>
      <c r="DP1710" s="80">
        <v>646</v>
      </c>
    </row>
    <row r="1711" spans="29:120" x14ac:dyDescent="0.25">
      <c r="AC1711" s="122" t="s">
        <v>333</v>
      </c>
      <c r="AD1711" s="122" t="s">
        <v>2092</v>
      </c>
      <c r="AE1711" s="127">
        <v>3</v>
      </c>
      <c r="DA1711" s="122" t="s">
        <v>333</v>
      </c>
      <c r="DB1711" s="122" t="s">
        <v>5605</v>
      </c>
      <c r="DC1711" s="122" t="s">
        <v>5605</v>
      </c>
      <c r="DD1711" s="127">
        <v>6</v>
      </c>
      <c r="DE1711" s="127">
        <v>6</v>
      </c>
      <c r="DG1711" s="405" t="s">
        <v>333</v>
      </c>
      <c r="DH1711" s="406" t="s">
        <v>5605</v>
      </c>
      <c r="DI1711" s="406" t="str">
        <f t="shared" si="58"/>
        <v>MG, Itacarambi</v>
      </c>
      <c r="DJ1711" s="406">
        <v>-15.102</v>
      </c>
      <c r="DK1711" s="80">
        <v>-44.091999999999999</v>
      </c>
      <c r="DL1711" s="80">
        <v>445</v>
      </c>
      <c r="DM1711" s="64">
        <v>6</v>
      </c>
      <c r="DN1711" s="406" t="s">
        <v>6258</v>
      </c>
      <c r="DO1711" s="406">
        <v>-14.42</v>
      </c>
      <c r="DP1711" s="80">
        <v>512</v>
      </c>
    </row>
    <row r="1712" spans="29:120" x14ac:dyDescent="0.25">
      <c r="AC1712" s="122" t="s">
        <v>289</v>
      </c>
      <c r="AD1712" s="122" t="s">
        <v>2093</v>
      </c>
      <c r="AE1712" s="127">
        <v>8</v>
      </c>
      <c r="DA1712" s="122" t="s">
        <v>333</v>
      </c>
      <c r="DB1712" s="122" t="s">
        <v>636</v>
      </c>
      <c r="DC1712" s="122" t="s">
        <v>636</v>
      </c>
      <c r="DD1712" s="127">
        <v>2</v>
      </c>
      <c r="DE1712" s="127">
        <v>2</v>
      </c>
      <c r="DG1712" s="405" t="s">
        <v>333</v>
      </c>
      <c r="DH1712" s="406" t="s">
        <v>636</v>
      </c>
      <c r="DI1712" s="406" t="str">
        <f t="shared" si="58"/>
        <v>MG, Itaguara</v>
      </c>
      <c r="DJ1712" s="406">
        <v>-20.391999999999999</v>
      </c>
      <c r="DK1712" s="80">
        <v>-44.488</v>
      </c>
      <c r="DL1712" s="80">
        <v>839</v>
      </c>
      <c r="DM1712" s="64">
        <v>2</v>
      </c>
      <c r="DN1712" s="406" t="s">
        <v>6879</v>
      </c>
      <c r="DO1712" s="406">
        <v>-19.89</v>
      </c>
      <c r="DP1712" s="80">
        <v>742</v>
      </c>
    </row>
    <row r="1713" spans="29:120" x14ac:dyDescent="0.25">
      <c r="AC1713" s="122" t="s">
        <v>289</v>
      </c>
      <c r="AD1713" s="122" t="s">
        <v>2094</v>
      </c>
      <c r="AE1713" s="127">
        <v>8</v>
      </c>
      <c r="DA1713" s="122" t="s">
        <v>333</v>
      </c>
      <c r="DB1713" s="122" t="s">
        <v>2009</v>
      </c>
      <c r="DC1713" s="122" t="s">
        <v>2009</v>
      </c>
      <c r="DD1713" s="127">
        <v>5</v>
      </c>
      <c r="DE1713" s="127">
        <v>5</v>
      </c>
      <c r="DG1713" s="405" t="s">
        <v>333</v>
      </c>
      <c r="DH1713" s="406" t="s">
        <v>2009</v>
      </c>
      <c r="DI1713" s="406" t="str">
        <f t="shared" si="58"/>
        <v>MG, Itaipé</v>
      </c>
      <c r="DJ1713" s="406">
        <v>-17.402000000000001</v>
      </c>
      <c r="DK1713" s="80">
        <v>-41.668999999999997</v>
      </c>
      <c r="DL1713" s="80">
        <v>847</v>
      </c>
      <c r="DM1713" s="64">
        <v>5</v>
      </c>
      <c r="DN1713" s="406" t="s">
        <v>6835</v>
      </c>
      <c r="DO1713" s="406">
        <v>-17.86</v>
      </c>
      <c r="DP1713" s="80">
        <v>475</v>
      </c>
    </row>
    <row r="1714" spans="29:120" x14ac:dyDescent="0.25">
      <c r="AC1714" s="122" t="s">
        <v>289</v>
      </c>
      <c r="AD1714" s="122" t="s">
        <v>2095</v>
      </c>
      <c r="AE1714" s="127">
        <v>8</v>
      </c>
      <c r="DA1714" s="122" t="s">
        <v>333</v>
      </c>
      <c r="DB1714" s="122" t="s">
        <v>885</v>
      </c>
      <c r="DC1714" s="122" t="s">
        <v>885</v>
      </c>
      <c r="DD1714" s="127">
        <v>2</v>
      </c>
      <c r="DE1714" s="127">
        <v>2</v>
      </c>
      <c r="DG1714" s="405" t="s">
        <v>333</v>
      </c>
      <c r="DH1714" s="406" t="s">
        <v>885</v>
      </c>
      <c r="DI1714" s="406" t="str">
        <f t="shared" si="58"/>
        <v>MG, Itajubá</v>
      </c>
      <c r="DJ1714" s="406">
        <v>-22.425999999999998</v>
      </c>
      <c r="DK1714" s="80">
        <v>-45.453000000000003</v>
      </c>
      <c r="DL1714" s="80">
        <v>856</v>
      </c>
      <c r="DM1714" s="64">
        <v>2</v>
      </c>
      <c r="DN1714" s="406" t="s">
        <v>6881</v>
      </c>
      <c r="DO1714" s="406">
        <v>-22.31</v>
      </c>
      <c r="DP1714" s="80">
        <v>1276</v>
      </c>
    </row>
    <row r="1715" spans="29:120" x14ac:dyDescent="0.25">
      <c r="AC1715" s="122" t="s">
        <v>333</v>
      </c>
      <c r="AD1715" s="122" t="s">
        <v>2096</v>
      </c>
      <c r="AE1715" s="127">
        <v>5</v>
      </c>
      <c r="DA1715" s="122" t="s">
        <v>333</v>
      </c>
      <c r="DB1715" s="122" t="s">
        <v>3385</v>
      </c>
      <c r="DC1715" s="122" t="s">
        <v>3385</v>
      </c>
      <c r="DD1715" s="127">
        <v>3</v>
      </c>
      <c r="DE1715" s="127">
        <v>3</v>
      </c>
      <c r="DG1715" s="405" t="s">
        <v>333</v>
      </c>
      <c r="DH1715" s="406" t="s">
        <v>3385</v>
      </c>
      <c r="DI1715" s="406" t="str">
        <f t="shared" si="58"/>
        <v>MG, Itamarandiba</v>
      </c>
      <c r="DJ1715" s="406">
        <v>-17.856999999999999</v>
      </c>
      <c r="DK1715" s="80">
        <v>-42.859000000000002</v>
      </c>
      <c r="DL1715" s="80">
        <v>910</v>
      </c>
      <c r="DM1715" s="64">
        <v>3</v>
      </c>
      <c r="DN1715" s="406" t="s">
        <v>6800</v>
      </c>
      <c r="DO1715" s="406">
        <v>-17.690000000000001</v>
      </c>
      <c r="DP1715" s="80">
        <v>932</v>
      </c>
    </row>
    <row r="1716" spans="29:120" x14ac:dyDescent="0.25">
      <c r="AC1716" s="122" t="s">
        <v>348</v>
      </c>
      <c r="AD1716" s="122" t="s">
        <v>2097</v>
      </c>
      <c r="AE1716" s="127">
        <v>7</v>
      </c>
      <c r="DA1716" s="122" t="s">
        <v>333</v>
      </c>
      <c r="DB1716" s="122" t="s">
        <v>6996</v>
      </c>
      <c r="DC1716" s="122" t="s">
        <v>3674</v>
      </c>
      <c r="DD1716" s="127">
        <v>5</v>
      </c>
      <c r="DE1716" s="127">
        <v>5</v>
      </c>
      <c r="DG1716" s="405" t="s">
        <v>333</v>
      </c>
      <c r="DH1716" s="406" t="s">
        <v>3674</v>
      </c>
      <c r="DI1716" s="406" t="str">
        <f t="shared" si="58"/>
        <v>MG, Itamarati de Minas</v>
      </c>
      <c r="DJ1716" s="406">
        <v>-21.416</v>
      </c>
      <c r="DK1716" s="80">
        <v>-42.817999999999998</v>
      </c>
      <c r="DL1716" s="80">
        <v>213</v>
      </c>
      <c r="DM1716" s="64">
        <v>5</v>
      </c>
      <c r="DN1716" s="406" t="s">
        <v>6827</v>
      </c>
      <c r="DO1716" s="406">
        <v>-21.13</v>
      </c>
      <c r="DP1716" s="80">
        <v>297</v>
      </c>
    </row>
    <row r="1717" spans="29:120" x14ac:dyDescent="0.25">
      <c r="AC1717" s="122" t="s">
        <v>289</v>
      </c>
      <c r="AD1717" s="122" t="s">
        <v>2098</v>
      </c>
      <c r="AE1717" s="127">
        <v>8</v>
      </c>
      <c r="DA1717" s="122" t="s">
        <v>333</v>
      </c>
      <c r="DB1717" s="122" t="s">
        <v>1964</v>
      </c>
      <c r="DC1717" s="122" t="s">
        <v>1964</v>
      </c>
      <c r="DD1717" s="127">
        <v>5</v>
      </c>
      <c r="DE1717" s="127">
        <v>5</v>
      </c>
      <c r="DG1717" s="405" t="s">
        <v>333</v>
      </c>
      <c r="DH1717" s="406" t="s">
        <v>1964</v>
      </c>
      <c r="DI1717" s="406" t="str">
        <f t="shared" si="58"/>
        <v>MG, Itambacuri</v>
      </c>
      <c r="DJ1717" s="406">
        <v>-18.030999999999999</v>
      </c>
      <c r="DK1717" s="80">
        <v>-41.685000000000002</v>
      </c>
      <c r="DL1717" s="80">
        <v>356</v>
      </c>
      <c r="DM1717" s="64">
        <v>5</v>
      </c>
      <c r="DN1717" s="406" t="s">
        <v>6835</v>
      </c>
      <c r="DO1717" s="406">
        <v>-17.86</v>
      </c>
      <c r="DP1717" s="80">
        <v>475</v>
      </c>
    </row>
    <row r="1718" spans="29:120" x14ac:dyDescent="0.25">
      <c r="AC1718" s="122" t="s">
        <v>333</v>
      </c>
      <c r="AD1718" s="122" t="s">
        <v>2099</v>
      </c>
      <c r="AE1718" s="127">
        <v>5</v>
      </c>
      <c r="DA1718" s="122" t="s">
        <v>333</v>
      </c>
      <c r="DB1718" s="122" t="s">
        <v>6997</v>
      </c>
      <c r="DC1718" s="122" t="s">
        <v>3516</v>
      </c>
      <c r="DD1718" s="127">
        <v>3</v>
      </c>
      <c r="DE1718" s="127">
        <v>3</v>
      </c>
      <c r="DG1718" s="405" t="s">
        <v>333</v>
      </c>
      <c r="DH1718" s="406" t="s">
        <v>3516</v>
      </c>
      <c r="DI1718" s="406" t="str">
        <f t="shared" si="58"/>
        <v>MG, Itambé do Mato Dentro</v>
      </c>
      <c r="DJ1718" s="406">
        <v>-19.414000000000001</v>
      </c>
      <c r="DK1718" s="80">
        <v>-43.320999999999998</v>
      </c>
      <c r="DL1718" s="80">
        <v>689</v>
      </c>
      <c r="DM1718" s="64">
        <v>3</v>
      </c>
      <c r="DN1718" s="406" t="s">
        <v>6798</v>
      </c>
      <c r="DO1718" s="406">
        <v>-19.579999999999998</v>
      </c>
      <c r="DP1718" s="80">
        <v>333</v>
      </c>
    </row>
    <row r="1719" spans="29:120" x14ac:dyDescent="0.25">
      <c r="AC1719" s="122" t="s">
        <v>333</v>
      </c>
      <c r="AD1719" s="122" t="s">
        <v>2100</v>
      </c>
      <c r="AE1719" s="127">
        <v>4</v>
      </c>
      <c r="DA1719" s="122" t="s">
        <v>333</v>
      </c>
      <c r="DB1719" s="122" t="s">
        <v>933</v>
      </c>
      <c r="DC1719" s="122" t="s">
        <v>933</v>
      </c>
      <c r="DD1719" s="127">
        <v>4</v>
      </c>
      <c r="DE1719" s="127">
        <v>4</v>
      </c>
      <c r="DG1719" s="405" t="s">
        <v>333</v>
      </c>
      <c r="DH1719" s="406" t="s">
        <v>933</v>
      </c>
      <c r="DI1719" s="406" t="str">
        <f t="shared" si="58"/>
        <v>MG, Itamogi</v>
      </c>
      <c r="DJ1719" s="406">
        <v>-21.077999999999999</v>
      </c>
      <c r="DK1719" s="80">
        <v>-47.048000000000002</v>
      </c>
      <c r="DL1719" s="80">
        <v>1017</v>
      </c>
      <c r="DM1719" s="64">
        <v>4</v>
      </c>
      <c r="DN1719" s="406" t="s">
        <v>6815</v>
      </c>
      <c r="DO1719" s="406">
        <v>-20.75</v>
      </c>
      <c r="DP1719" s="80">
        <v>875</v>
      </c>
    </row>
    <row r="1720" spans="29:120" x14ac:dyDescent="0.25">
      <c r="AC1720" s="122" t="s">
        <v>323</v>
      </c>
      <c r="AD1720" s="122" t="s">
        <v>2101</v>
      </c>
      <c r="AE1720" s="127">
        <v>8</v>
      </c>
      <c r="DA1720" s="122" t="s">
        <v>333</v>
      </c>
      <c r="DB1720" s="122" t="s">
        <v>637</v>
      </c>
      <c r="DC1720" s="122" t="s">
        <v>637</v>
      </c>
      <c r="DD1720" s="127">
        <v>2</v>
      </c>
      <c r="DE1720" s="127">
        <v>2</v>
      </c>
      <c r="DG1720" s="405" t="s">
        <v>333</v>
      </c>
      <c r="DH1720" s="406" t="s">
        <v>637</v>
      </c>
      <c r="DI1720" s="406" t="str">
        <f t="shared" si="58"/>
        <v>MG, Itamonte</v>
      </c>
      <c r="DJ1720" s="406">
        <v>-22.283999999999999</v>
      </c>
      <c r="DK1720" s="80">
        <v>-44.87</v>
      </c>
      <c r="DL1720" s="80">
        <v>906</v>
      </c>
      <c r="DM1720" s="64">
        <v>2</v>
      </c>
      <c r="DN1720" s="406" t="s">
        <v>6837</v>
      </c>
      <c r="DO1720" s="406">
        <v>-22.39</v>
      </c>
      <c r="DP1720" s="80">
        <v>1040</v>
      </c>
    </row>
    <row r="1721" spans="29:120" x14ac:dyDescent="0.25">
      <c r="AC1721" s="122" t="s">
        <v>333</v>
      </c>
      <c r="AD1721" s="122" t="s">
        <v>2102</v>
      </c>
      <c r="AE1721" s="127">
        <v>3</v>
      </c>
      <c r="DA1721" s="122" t="s">
        <v>333</v>
      </c>
      <c r="DB1721" s="122" t="s">
        <v>939</v>
      </c>
      <c r="DC1721" s="122" t="s">
        <v>939</v>
      </c>
      <c r="DD1721" s="127">
        <v>2</v>
      </c>
      <c r="DE1721" s="127">
        <v>2</v>
      </c>
      <c r="DG1721" s="405" t="s">
        <v>333</v>
      </c>
      <c r="DH1721" s="406" t="s">
        <v>939</v>
      </c>
      <c r="DI1721" s="406" t="str">
        <f t="shared" si="58"/>
        <v>MG, Itanhandu</v>
      </c>
      <c r="DJ1721" s="406">
        <v>-22.295999999999999</v>
      </c>
      <c r="DK1721" s="80">
        <v>-44.935000000000002</v>
      </c>
      <c r="DL1721" s="80">
        <v>892</v>
      </c>
      <c r="DM1721" s="64">
        <v>2</v>
      </c>
      <c r="DN1721" s="406" t="s">
        <v>6837</v>
      </c>
      <c r="DO1721" s="406">
        <v>-22.39</v>
      </c>
      <c r="DP1721" s="80">
        <v>1040</v>
      </c>
    </row>
    <row r="1722" spans="29:120" x14ac:dyDescent="0.25">
      <c r="AC1722" s="122" t="s">
        <v>322</v>
      </c>
      <c r="AD1722" s="122" t="s">
        <v>2103</v>
      </c>
      <c r="AE1722" s="127">
        <v>6</v>
      </c>
      <c r="DA1722" s="122" t="s">
        <v>333</v>
      </c>
      <c r="DB1722" s="122" t="s">
        <v>2004</v>
      </c>
      <c r="DC1722" s="122" t="s">
        <v>2004</v>
      </c>
      <c r="DD1722" s="127">
        <v>5</v>
      </c>
      <c r="DE1722" s="127">
        <v>5</v>
      </c>
      <c r="DG1722" s="405" t="s">
        <v>333</v>
      </c>
      <c r="DH1722" s="406" t="s">
        <v>2004</v>
      </c>
      <c r="DI1722" s="406" t="str">
        <f t="shared" si="58"/>
        <v>MG, Itanhomi</v>
      </c>
      <c r="DJ1722" s="406">
        <v>-19.172000000000001</v>
      </c>
      <c r="DK1722" s="80">
        <v>-41.865000000000002</v>
      </c>
      <c r="DL1722" s="80">
        <v>252</v>
      </c>
      <c r="DM1722" s="64">
        <v>5</v>
      </c>
      <c r="DN1722" s="406" t="s">
        <v>6814</v>
      </c>
      <c r="DO1722" s="406">
        <v>-18.850000000000001</v>
      </c>
      <c r="DP1722" s="80">
        <v>263</v>
      </c>
    </row>
    <row r="1723" spans="29:120" x14ac:dyDescent="0.25">
      <c r="AC1723" s="122" t="s">
        <v>333</v>
      </c>
      <c r="AD1723" s="122" t="s">
        <v>2104</v>
      </c>
      <c r="AE1723" s="127">
        <v>2</v>
      </c>
      <c r="DA1723" s="122" t="s">
        <v>333</v>
      </c>
      <c r="DB1723" s="122" t="s">
        <v>2640</v>
      </c>
      <c r="DC1723" s="122" t="s">
        <v>2640</v>
      </c>
      <c r="DD1723" s="127">
        <v>5</v>
      </c>
      <c r="DE1723" s="127">
        <v>5</v>
      </c>
      <c r="DG1723" s="405" t="s">
        <v>333</v>
      </c>
      <c r="DH1723" s="406" t="s">
        <v>2640</v>
      </c>
      <c r="DI1723" s="406" t="str">
        <f t="shared" si="58"/>
        <v>MG, Itaobim</v>
      </c>
      <c r="DJ1723" s="406">
        <v>-16.562000000000001</v>
      </c>
      <c r="DK1723" s="80">
        <v>-41.503</v>
      </c>
      <c r="DL1723" s="80">
        <v>271</v>
      </c>
      <c r="DM1723" s="64">
        <v>5</v>
      </c>
      <c r="DN1723" s="406" t="s">
        <v>6805</v>
      </c>
      <c r="DO1723" s="406">
        <v>-16.34</v>
      </c>
      <c r="DP1723" s="80">
        <v>266</v>
      </c>
    </row>
    <row r="1724" spans="29:120" x14ac:dyDescent="0.25">
      <c r="AC1724" s="122" t="s">
        <v>333</v>
      </c>
      <c r="AD1724" s="122" t="s">
        <v>2105</v>
      </c>
      <c r="AE1724" s="127">
        <v>6</v>
      </c>
      <c r="DA1724" s="122" t="s">
        <v>333</v>
      </c>
      <c r="DB1724" s="122" t="s">
        <v>3564</v>
      </c>
      <c r="DC1724" s="122" t="s">
        <v>3564</v>
      </c>
      <c r="DD1724" s="127">
        <v>6</v>
      </c>
      <c r="DE1724" s="127">
        <v>6</v>
      </c>
      <c r="DG1724" s="405" t="s">
        <v>333</v>
      </c>
      <c r="DH1724" s="406" t="s">
        <v>3564</v>
      </c>
      <c r="DI1724" s="406" t="str">
        <f t="shared" si="58"/>
        <v>MG, Itapagipe</v>
      </c>
      <c r="DJ1724" s="406">
        <v>-19.908999999999999</v>
      </c>
      <c r="DK1724" s="80">
        <v>-49.381</v>
      </c>
      <c r="DL1724" s="80">
        <v>490</v>
      </c>
      <c r="DM1724" s="64">
        <v>6</v>
      </c>
      <c r="DN1724" s="406" t="s">
        <v>6984</v>
      </c>
      <c r="DO1724" s="406">
        <v>-20.420000000000002</v>
      </c>
      <c r="DP1724" s="80">
        <v>486</v>
      </c>
    </row>
    <row r="1725" spans="29:120" x14ac:dyDescent="0.25">
      <c r="AC1725" s="122" t="s">
        <v>289</v>
      </c>
      <c r="AD1725" s="122" t="s">
        <v>2106</v>
      </c>
      <c r="AE1725" s="127">
        <v>8</v>
      </c>
      <c r="DA1725" s="122" t="s">
        <v>333</v>
      </c>
      <c r="DB1725" s="122" t="s">
        <v>2908</v>
      </c>
      <c r="DC1725" s="122" t="s">
        <v>2908</v>
      </c>
      <c r="DD1725" s="127">
        <v>4</v>
      </c>
      <c r="DE1725" s="127">
        <v>4</v>
      </c>
      <c r="DG1725" s="405" t="s">
        <v>333</v>
      </c>
      <c r="DH1725" s="406" t="s">
        <v>2908</v>
      </c>
      <c r="DI1725" s="406" t="str">
        <f t="shared" si="58"/>
        <v>MG, Itapecerica</v>
      </c>
      <c r="DJ1725" s="406">
        <v>-20.472999999999999</v>
      </c>
      <c r="DK1725" s="80">
        <v>-45.125999999999998</v>
      </c>
      <c r="DL1725" s="80">
        <v>835</v>
      </c>
      <c r="DM1725" s="64">
        <v>4</v>
      </c>
      <c r="DN1725" s="406" t="s">
        <v>6803</v>
      </c>
      <c r="DO1725" s="406">
        <v>-20.46</v>
      </c>
      <c r="DP1725" s="80">
        <v>878</v>
      </c>
    </row>
    <row r="1726" spans="29:120" x14ac:dyDescent="0.25">
      <c r="AC1726" s="122" t="s">
        <v>333</v>
      </c>
      <c r="AD1726" s="122" t="s">
        <v>2107</v>
      </c>
      <c r="AE1726" s="127">
        <v>4</v>
      </c>
      <c r="DA1726" s="122" t="s">
        <v>333</v>
      </c>
      <c r="DB1726" s="122" t="s">
        <v>733</v>
      </c>
      <c r="DC1726" s="122" t="s">
        <v>733</v>
      </c>
      <c r="DD1726" s="127">
        <v>3</v>
      </c>
      <c r="DE1726" s="127">
        <v>3</v>
      </c>
      <c r="DG1726" s="405" t="s">
        <v>333</v>
      </c>
      <c r="DH1726" s="406" t="s">
        <v>733</v>
      </c>
      <c r="DI1726" s="406" t="str">
        <f t="shared" si="58"/>
        <v>MG, Itapeva</v>
      </c>
      <c r="DJ1726" s="406">
        <v>-22.768000000000001</v>
      </c>
      <c r="DK1726" s="80">
        <v>-46.220999999999997</v>
      </c>
      <c r="DL1726" s="80">
        <v>989</v>
      </c>
      <c r="DM1726" s="64">
        <v>3</v>
      </c>
      <c r="DN1726" s="406" t="s">
        <v>6861</v>
      </c>
      <c r="DO1726" s="406">
        <v>-22.86</v>
      </c>
      <c r="DP1726" s="80">
        <v>1500</v>
      </c>
    </row>
    <row r="1727" spans="29:120" x14ac:dyDescent="0.25">
      <c r="AC1727" s="122" t="s">
        <v>289</v>
      </c>
      <c r="AD1727" s="122" t="s">
        <v>2108</v>
      </c>
      <c r="AE1727" s="127">
        <v>5</v>
      </c>
      <c r="DA1727" s="122" t="s">
        <v>333</v>
      </c>
      <c r="DB1727" s="122" t="s">
        <v>883</v>
      </c>
      <c r="DC1727" s="122" t="s">
        <v>883</v>
      </c>
      <c r="DD1727" s="127">
        <v>2</v>
      </c>
      <c r="DE1727" s="127">
        <v>2</v>
      </c>
      <c r="DG1727" s="405" t="s">
        <v>333</v>
      </c>
      <c r="DH1727" s="406" t="s">
        <v>883</v>
      </c>
      <c r="DI1727" s="406" t="str">
        <f t="shared" si="58"/>
        <v>MG, Itatiaiuçu</v>
      </c>
      <c r="DJ1727" s="406">
        <v>-20.196999999999999</v>
      </c>
      <c r="DK1727" s="80">
        <v>-44.420999999999999</v>
      </c>
      <c r="DL1727" s="80">
        <v>892</v>
      </c>
      <c r="DM1727" s="64">
        <v>2</v>
      </c>
      <c r="DN1727" s="406" t="s">
        <v>6879</v>
      </c>
      <c r="DO1727" s="406">
        <v>-19.89</v>
      </c>
      <c r="DP1727" s="80">
        <v>742</v>
      </c>
    </row>
    <row r="1728" spans="29:120" x14ac:dyDescent="0.25">
      <c r="AC1728" s="122" t="s">
        <v>333</v>
      </c>
      <c r="AD1728" s="122" t="s">
        <v>2109</v>
      </c>
      <c r="AE1728" s="127">
        <v>4</v>
      </c>
      <c r="DA1728" s="122" t="s">
        <v>333</v>
      </c>
      <c r="DB1728" s="122" t="s">
        <v>6998</v>
      </c>
      <c r="DC1728" s="122" t="s">
        <v>2914</v>
      </c>
      <c r="DD1728" s="127">
        <v>4</v>
      </c>
      <c r="DE1728" s="127">
        <v>4</v>
      </c>
      <c r="DG1728" s="405" t="s">
        <v>333</v>
      </c>
      <c r="DH1728" s="406" t="s">
        <v>2914</v>
      </c>
      <c r="DI1728" s="406" t="str">
        <f t="shared" si="58"/>
        <v>MG, Itaú de Minas</v>
      </c>
      <c r="DJ1728" s="406">
        <v>-20.739000000000001</v>
      </c>
      <c r="DK1728" s="80">
        <v>-46.752000000000002</v>
      </c>
      <c r="DL1728" s="80">
        <v>735</v>
      </c>
      <c r="DM1728" s="64">
        <v>4</v>
      </c>
      <c r="DN1728" s="406" t="s">
        <v>6815</v>
      </c>
      <c r="DO1728" s="406">
        <v>-20.75</v>
      </c>
      <c r="DP1728" s="80">
        <v>875</v>
      </c>
    </row>
    <row r="1729" spans="29:120" x14ac:dyDescent="0.25">
      <c r="AC1729" s="122" t="s">
        <v>289</v>
      </c>
      <c r="AD1729" s="122" t="s">
        <v>2110</v>
      </c>
      <c r="AE1729" s="127">
        <v>8</v>
      </c>
      <c r="DA1729" s="122" t="s">
        <v>333</v>
      </c>
      <c r="DB1729" s="122" t="s">
        <v>3779</v>
      </c>
      <c r="DC1729" s="122" t="s">
        <v>3779</v>
      </c>
      <c r="DD1729" s="127">
        <v>3</v>
      </c>
      <c r="DE1729" s="127">
        <v>3</v>
      </c>
      <c r="DG1729" s="405" t="s">
        <v>333</v>
      </c>
      <c r="DH1729" s="406" t="s">
        <v>3779</v>
      </c>
      <c r="DI1729" s="406" t="str">
        <f t="shared" si="58"/>
        <v>MG, Itaúna</v>
      </c>
      <c r="DJ1729" s="406">
        <v>-20.074999999999999</v>
      </c>
      <c r="DK1729" s="80">
        <v>-44.576000000000001</v>
      </c>
      <c r="DL1729" s="80">
        <v>880</v>
      </c>
      <c r="DM1729" s="64">
        <v>3</v>
      </c>
      <c r="DN1729" s="406" t="s">
        <v>6879</v>
      </c>
      <c r="DO1729" s="406">
        <v>-19.89</v>
      </c>
      <c r="DP1729" s="80">
        <v>742</v>
      </c>
    </row>
    <row r="1730" spans="29:120" x14ac:dyDescent="0.25">
      <c r="AC1730" s="122" t="s">
        <v>289</v>
      </c>
      <c r="AD1730" s="122" t="s">
        <v>2111</v>
      </c>
      <c r="AE1730" s="127">
        <v>8</v>
      </c>
      <c r="DA1730" s="122" t="s">
        <v>333</v>
      </c>
      <c r="DB1730" s="122" t="s">
        <v>638</v>
      </c>
      <c r="DC1730" s="122" t="s">
        <v>638</v>
      </c>
      <c r="DD1730" s="127">
        <v>3</v>
      </c>
      <c r="DE1730" s="127">
        <v>3</v>
      </c>
      <c r="DG1730" s="405" t="s">
        <v>333</v>
      </c>
      <c r="DH1730" s="406" t="s">
        <v>638</v>
      </c>
      <c r="DI1730" s="406" t="str">
        <f t="shared" si="58"/>
        <v>MG, Itaverava</v>
      </c>
      <c r="DJ1730" s="406">
        <v>-20.678000000000001</v>
      </c>
      <c r="DK1730" s="80">
        <v>-43.61</v>
      </c>
      <c r="DL1730" s="80">
        <v>792</v>
      </c>
      <c r="DM1730" s="64">
        <v>3</v>
      </c>
      <c r="DN1730" s="406" t="s">
        <v>6848</v>
      </c>
      <c r="DO1730" s="406">
        <v>-20.52</v>
      </c>
      <c r="DP1730" s="80">
        <v>1061</v>
      </c>
    </row>
    <row r="1731" spans="29:120" x14ac:dyDescent="0.25">
      <c r="AC1731" s="122" t="s">
        <v>333</v>
      </c>
      <c r="AD1731" s="122" t="s">
        <v>2112</v>
      </c>
      <c r="AE1731" s="127">
        <v>3</v>
      </c>
      <c r="DA1731" s="122" t="s">
        <v>333</v>
      </c>
      <c r="DB1731" s="122" t="s">
        <v>2748</v>
      </c>
      <c r="DC1731" s="122" t="s">
        <v>2748</v>
      </c>
      <c r="DD1731" s="127">
        <v>5</v>
      </c>
      <c r="DE1731" s="127">
        <v>5</v>
      </c>
      <c r="DG1731" s="405" t="s">
        <v>333</v>
      </c>
      <c r="DH1731" s="406" t="s">
        <v>2748</v>
      </c>
      <c r="DI1731" s="406" t="str">
        <f t="shared" ref="DI1731:DI1794" si="59">CONCATENATE(DG1731,", ",DH1731)</f>
        <v>MG, Itinga</v>
      </c>
      <c r="DJ1731" s="406">
        <v>-16.613</v>
      </c>
      <c r="DK1731" s="80">
        <v>-41.765000000000001</v>
      </c>
      <c r="DL1731" s="80">
        <v>269</v>
      </c>
      <c r="DM1731" s="64">
        <v>5</v>
      </c>
      <c r="DN1731" s="406" t="s">
        <v>6805</v>
      </c>
      <c r="DO1731" s="406">
        <v>-16.34</v>
      </c>
      <c r="DP1731" s="80">
        <v>266</v>
      </c>
    </row>
    <row r="1732" spans="29:120" x14ac:dyDescent="0.25">
      <c r="AC1732" s="122" t="s">
        <v>348</v>
      </c>
      <c r="AD1732" s="122" t="s">
        <v>2113</v>
      </c>
      <c r="AE1732" s="127">
        <v>7</v>
      </c>
      <c r="DA1732" s="122" t="s">
        <v>333</v>
      </c>
      <c r="DB1732" s="122" t="s">
        <v>5080</v>
      </c>
      <c r="DC1732" s="122" t="s">
        <v>5080</v>
      </c>
      <c r="DD1732" s="127">
        <v>5</v>
      </c>
      <c r="DE1732" s="127">
        <v>5</v>
      </c>
      <c r="DG1732" s="405" t="s">
        <v>333</v>
      </c>
      <c r="DH1732" s="406" t="s">
        <v>5080</v>
      </c>
      <c r="DI1732" s="406" t="str">
        <f t="shared" si="59"/>
        <v>MG, Itueta</v>
      </c>
      <c r="DJ1732" s="406">
        <v>-19.393999999999998</v>
      </c>
      <c r="DK1732" s="80">
        <v>-41.17</v>
      </c>
      <c r="DL1732" s="80">
        <v>98</v>
      </c>
      <c r="DM1732" s="64">
        <v>5</v>
      </c>
      <c r="DN1732" s="406" t="s">
        <v>6465</v>
      </c>
      <c r="DO1732" s="406">
        <v>-19.5</v>
      </c>
      <c r="DP1732" s="80">
        <v>84</v>
      </c>
    </row>
    <row r="1733" spans="29:120" x14ac:dyDescent="0.25">
      <c r="AC1733" s="122" t="s">
        <v>333</v>
      </c>
      <c r="AD1733" s="122" t="s">
        <v>2114</v>
      </c>
      <c r="AE1733" s="127">
        <v>3</v>
      </c>
      <c r="DA1733" s="122" t="s">
        <v>333</v>
      </c>
      <c r="DB1733" s="122" t="s">
        <v>3046</v>
      </c>
      <c r="DC1733" s="122" t="s">
        <v>3046</v>
      </c>
      <c r="DD1733" s="127">
        <v>6</v>
      </c>
      <c r="DE1733" s="127">
        <v>6</v>
      </c>
      <c r="DG1733" s="405" t="s">
        <v>333</v>
      </c>
      <c r="DH1733" s="406" t="s">
        <v>3046</v>
      </c>
      <c r="DI1733" s="406" t="str">
        <f t="shared" si="59"/>
        <v>MG, Ituiutaba</v>
      </c>
      <c r="DJ1733" s="406">
        <v>-18.969000000000001</v>
      </c>
      <c r="DK1733" s="80">
        <v>-49.465000000000003</v>
      </c>
      <c r="DL1733" s="80">
        <v>544</v>
      </c>
      <c r="DM1733" s="64">
        <v>6</v>
      </c>
      <c r="DN1733" s="406" t="s">
        <v>6566</v>
      </c>
      <c r="DO1733" s="406">
        <v>-18.97</v>
      </c>
      <c r="DP1733" s="80">
        <v>560</v>
      </c>
    </row>
    <row r="1734" spans="29:120" x14ac:dyDescent="0.25">
      <c r="AC1734" s="122" t="s">
        <v>348</v>
      </c>
      <c r="AD1734" s="122" t="s">
        <v>2115</v>
      </c>
      <c r="AE1734" s="127">
        <v>8</v>
      </c>
      <c r="DA1734" s="122" t="s">
        <v>333</v>
      </c>
      <c r="DB1734" s="122" t="s">
        <v>834</v>
      </c>
      <c r="DC1734" s="122" t="s">
        <v>834</v>
      </c>
      <c r="DD1734" s="127">
        <v>3</v>
      </c>
      <c r="DE1734" s="127">
        <v>3</v>
      </c>
      <c r="DG1734" s="405" t="s">
        <v>333</v>
      </c>
      <c r="DH1734" s="406" t="s">
        <v>834</v>
      </c>
      <c r="DI1734" s="406" t="str">
        <f t="shared" si="59"/>
        <v>MG, Itumirim</v>
      </c>
      <c r="DJ1734" s="406">
        <v>-21.317</v>
      </c>
      <c r="DK1734" s="80">
        <v>-44.871000000000002</v>
      </c>
      <c r="DL1734" s="80">
        <v>871</v>
      </c>
      <c r="DM1734" s="64">
        <v>3</v>
      </c>
      <c r="DN1734" s="406" t="s">
        <v>6811</v>
      </c>
      <c r="DO1734" s="406">
        <v>-21.55</v>
      </c>
      <c r="DP1734" s="80">
        <v>955</v>
      </c>
    </row>
    <row r="1735" spans="29:120" x14ac:dyDescent="0.25">
      <c r="AC1735" s="122" t="s">
        <v>333</v>
      </c>
      <c r="AD1735" s="122" t="s">
        <v>2116</v>
      </c>
      <c r="AE1735" s="127">
        <v>3</v>
      </c>
      <c r="DA1735" s="122" t="s">
        <v>333</v>
      </c>
      <c r="DB1735" s="122" t="s">
        <v>3007</v>
      </c>
      <c r="DC1735" s="122" t="s">
        <v>3007</v>
      </c>
      <c r="DD1735" s="127">
        <v>6</v>
      </c>
      <c r="DE1735" s="127">
        <v>6</v>
      </c>
      <c r="DG1735" s="405" t="s">
        <v>333</v>
      </c>
      <c r="DH1735" s="406" t="s">
        <v>3007</v>
      </c>
      <c r="DI1735" s="406" t="str">
        <f t="shared" si="59"/>
        <v>MG, Iturama</v>
      </c>
      <c r="DJ1735" s="406">
        <v>-19.728000000000002</v>
      </c>
      <c r="DK1735" s="80">
        <v>-50.195999999999998</v>
      </c>
      <c r="DL1735" s="80">
        <v>453</v>
      </c>
      <c r="DM1735" s="64">
        <v>6</v>
      </c>
      <c r="DN1735" s="406" t="s">
        <v>6904</v>
      </c>
      <c r="DO1735" s="406">
        <v>-20.27</v>
      </c>
      <c r="DP1735" s="80">
        <v>457</v>
      </c>
    </row>
    <row r="1736" spans="29:120" x14ac:dyDescent="0.25">
      <c r="AC1736" s="122" t="s">
        <v>333</v>
      </c>
      <c r="AD1736" s="122" t="s">
        <v>2117</v>
      </c>
      <c r="AE1736" s="127">
        <v>3</v>
      </c>
      <c r="DA1736" s="122" t="s">
        <v>333</v>
      </c>
      <c r="DB1736" s="122" t="s">
        <v>639</v>
      </c>
      <c r="DC1736" s="122" t="s">
        <v>639</v>
      </c>
      <c r="DD1736" s="127">
        <v>3</v>
      </c>
      <c r="DE1736" s="127">
        <v>3</v>
      </c>
      <c r="DG1736" s="405" t="s">
        <v>333</v>
      </c>
      <c r="DH1736" s="406" t="s">
        <v>639</v>
      </c>
      <c r="DI1736" s="406" t="str">
        <f t="shared" si="59"/>
        <v>MG, Itutinga</v>
      </c>
      <c r="DJ1736" s="406">
        <v>-21.297999999999998</v>
      </c>
      <c r="DK1736" s="80">
        <v>-44.658000000000001</v>
      </c>
      <c r="DL1736" s="80">
        <v>958</v>
      </c>
      <c r="DM1736" s="64">
        <v>3</v>
      </c>
      <c r="DN1736" s="406" t="s">
        <v>6813</v>
      </c>
      <c r="DO1736" s="406">
        <v>-21.14</v>
      </c>
      <c r="DP1736" s="80">
        <v>991</v>
      </c>
    </row>
    <row r="1737" spans="29:120" x14ac:dyDescent="0.25">
      <c r="AC1737" s="122" t="s">
        <v>348</v>
      </c>
      <c r="AD1737" s="122" t="s">
        <v>2118</v>
      </c>
      <c r="AE1737" s="127">
        <v>8</v>
      </c>
      <c r="DA1737" s="122" t="s">
        <v>333</v>
      </c>
      <c r="DB1737" s="122" t="s">
        <v>2723</v>
      </c>
      <c r="DC1737" s="122" t="s">
        <v>2723</v>
      </c>
      <c r="DD1737" s="127">
        <v>3</v>
      </c>
      <c r="DE1737" s="127">
        <v>3</v>
      </c>
      <c r="DG1737" s="405" t="s">
        <v>333</v>
      </c>
      <c r="DH1737" s="406" t="s">
        <v>2723</v>
      </c>
      <c r="DI1737" s="406" t="str">
        <f t="shared" si="59"/>
        <v>MG, Jaboticatubas</v>
      </c>
      <c r="DJ1737" s="406">
        <v>-19.513999999999999</v>
      </c>
      <c r="DK1737" s="80">
        <v>-43.744999999999997</v>
      </c>
      <c r="DL1737" s="80">
        <v>772</v>
      </c>
      <c r="DM1737" s="64">
        <v>3</v>
      </c>
      <c r="DN1737" s="406" t="s">
        <v>6838</v>
      </c>
      <c r="DO1737" s="406">
        <v>-19.82</v>
      </c>
      <c r="DP1737" s="80">
        <v>869</v>
      </c>
    </row>
    <row r="1738" spans="29:120" x14ac:dyDescent="0.25">
      <c r="AC1738" s="122" t="s">
        <v>300</v>
      </c>
      <c r="AD1738" s="122" t="s">
        <v>2119</v>
      </c>
      <c r="AE1738" s="127">
        <v>7</v>
      </c>
      <c r="DA1738" s="122" t="s">
        <v>333</v>
      </c>
      <c r="DB1738" s="122" t="s">
        <v>2517</v>
      </c>
      <c r="DC1738" s="122" t="s">
        <v>2517</v>
      </c>
      <c r="DD1738" s="127">
        <v>5</v>
      </c>
      <c r="DE1738" s="127">
        <v>5</v>
      </c>
      <c r="DG1738" s="405" t="s">
        <v>333</v>
      </c>
      <c r="DH1738" s="406" t="s">
        <v>2517</v>
      </c>
      <c r="DI1738" s="406" t="str">
        <f t="shared" si="59"/>
        <v>MG, Jacinto</v>
      </c>
      <c r="DJ1738" s="406">
        <v>-16.143999999999998</v>
      </c>
      <c r="DK1738" s="80">
        <v>-40.292999999999999</v>
      </c>
      <c r="DL1738" s="80">
        <v>180</v>
      </c>
      <c r="DM1738" s="64">
        <v>5</v>
      </c>
      <c r="DN1738" s="406" t="s">
        <v>6295</v>
      </c>
      <c r="DO1738" s="406">
        <v>-16.18</v>
      </c>
      <c r="DP1738" s="80">
        <v>208</v>
      </c>
    </row>
    <row r="1739" spans="29:120" x14ac:dyDescent="0.25">
      <c r="AC1739" s="122" t="s">
        <v>323</v>
      </c>
      <c r="AD1739" s="122" t="s">
        <v>2120</v>
      </c>
      <c r="AE1739" s="127">
        <v>8</v>
      </c>
      <c r="DA1739" s="122" t="s">
        <v>333</v>
      </c>
      <c r="DB1739" s="122" t="s">
        <v>878</v>
      </c>
      <c r="DC1739" s="122" t="s">
        <v>878</v>
      </c>
      <c r="DD1739" s="127">
        <v>4</v>
      </c>
      <c r="DE1739" s="127">
        <v>4</v>
      </c>
      <c r="DG1739" s="405" t="s">
        <v>333</v>
      </c>
      <c r="DH1739" s="406" t="s">
        <v>878</v>
      </c>
      <c r="DI1739" s="406" t="str">
        <f t="shared" si="59"/>
        <v>MG, Jacuí</v>
      </c>
      <c r="DJ1739" s="406">
        <v>-21.016999999999999</v>
      </c>
      <c r="DK1739" s="80">
        <v>-46.741</v>
      </c>
      <c r="DL1739" s="80">
        <v>1011</v>
      </c>
      <c r="DM1739" s="64">
        <v>4</v>
      </c>
      <c r="DN1739" s="406" t="s">
        <v>6815</v>
      </c>
      <c r="DO1739" s="406">
        <v>-20.75</v>
      </c>
      <c r="DP1739" s="80">
        <v>875</v>
      </c>
    </row>
    <row r="1740" spans="29:120" x14ac:dyDescent="0.25">
      <c r="AC1740" s="122" t="s">
        <v>333</v>
      </c>
      <c r="AD1740" s="122" t="s">
        <v>2121</v>
      </c>
      <c r="AE1740" s="127">
        <v>6</v>
      </c>
      <c r="DA1740" s="122" t="s">
        <v>333</v>
      </c>
      <c r="DB1740" s="122" t="s">
        <v>1009</v>
      </c>
      <c r="DC1740" s="122" t="s">
        <v>1009</v>
      </c>
      <c r="DD1740" s="127">
        <v>3</v>
      </c>
      <c r="DE1740" s="127">
        <v>3</v>
      </c>
      <c r="DG1740" s="405" t="s">
        <v>333</v>
      </c>
      <c r="DH1740" s="406" t="s">
        <v>1009</v>
      </c>
      <c r="DI1740" s="406" t="str">
        <f t="shared" si="59"/>
        <v>MG, Jacutinga</v>
      </c>
      <c r="DJ1740" s="406">
        <v>-22.286000000000001</v>
      </c>
      <c r="DK1740" s="80">
        <v>-46.612000000000002</v>
      </c>
      <c r="DL1740" s="80">
        <v>839</v>
      </c>
      <c r="DM1740" s="64">
        <v>3</v>
      </c>
      <c r="DN1740" s="406" t="s">
        <v>6808</v>
      </c>
      <c r="DO1740" s="406">
        <v>-22.42</v>
      </c>
      <c r="DP1740" s="80">
        <v>633</v>
      </c>
    </row>
    <row r="1741" spans="29:120" x14ac:dyDescent="0.25">
      <c r="AC1741" s="122" t="s">
        <v>289</v>
      </c>
      <c r="AD1741" s="122" t="s">
        <v>2122</v>
      </c>
      <c r="AE1741" s="127">
        <v>5</v>
      </c>
      <c r="DA1741" s="122" t="s">
        <v>333</v>
      </c>
      <c r="DB1741" s="122" t="s">
        <v>1806</v>
      </c>
      <c r="DC1741" s="122" t="s">
        <v>1806</v>
      </c>
      <c r="DD1741" s="127">
        <v>3</v>
      </c>
      <c r="DE1741" s="127">
        <v>3</v>
      </c>
      <c r="DG1741" s="405" t="s">
        <v>333</v>
      </c>
      <c r="DH1741" s="406" t="s">
        <v>1806</v>
      </c>
      <c r="DI1741" s="406" t="str">
        <f t="shared" si="59"/>
        <v>MG, Jaguaraçu</v>
      </c>
      <c r="DJ1741" s="406">
        <v>-19.649000000000001</v>
      </c>
      <c r="DK1741" s="80">
        <v>-42.75</v>
      </c>
      <c r="DL1741" s="80">
        <v>497</v>
      </c>
      <c r="DM1741" s="64">
        <v>3</v>
      </c>
      <c r="DN1741" s="406" t="s">
        <v>6798</v>
      </c>
      <c r="DO1741" s="406">
        <v>-19.579999999999998</v>
      </c>
      <c r="DP1741" s="80">
        <v>333</v>
      </c>
    </row>
    <row r="1742" spans="29:120" x14ac:dyDescent="0.25">
      <c r="AC1742" s="122" t="s">
        <v>348</v>
      </c>
      <c r="AD1742" s="122" t="s">
        <v>2123</v>
      </c>
      <c r="AE1742" s="127">
        <v>8</v>
      </c>
      <c r="DA1742" s="122" t="s">
        <v>333</v>
      </c>
      <c r="DB1742" s="122" t="s">
        <v>5543</v>
      </c>
      <c r="DC1742" s="122" t="s">
        <v>5543</v>
      </c>
      <c r="DD1742" s="127">
        <v>6</v>
      </c>
      <c r="DE1742" s="127">
        <v>6</v>
      </c>
      <c r="DG1742" s="405" t="s">
        <v>333</v>
      </c>
      <c r="DH1742" s="406" t="s">
        <v>5543</v>
      </c>
      <c r="DI1742" s="406" t="str">
        <f t="shared" si="59"/>
        <v>MG, Jaíba</v>
      </c>
      <c r="DJ1742" s="406">
        <v>-15.337999999999999</v>
      </c>
      <c r="DK1742" s="80">
        <v>-43.673999999999999</v>
      </c>
      <c r="DL1742" s="80">
        <v>475</v>
      </c>
      <c r="DM1742" s="64">
        <v>6</v>
      </c>
      <c r="DN1742" s="406" t="s">
        <v>6909</v>
      </c>
      <c r="DO1742" s="406">
        <v>-15.09</v>
      </c>
      <c r="DP1742" s="80">
        <v>460</v>
      </c>
    </row>
    <row r="1743" spans="29:120" x14ac:dyDescent="0.25">
      <c r="AC1743" s="122" t="s">
        <v>289</v>
      </c>
      <c r="AD1743" s="122" t="s">
        <v>2124</v>
      </c>
      <c r="AE1743" s="127">
        <v>8</v>
      </c>
      <c r="DA1743" s="122" t="s">
        <v>333</v>
      </c>
      <c r="DB1743" s="122" t="s">
        <v>1954</v>
      </c>
      <c r="DC1743" s="122" t="s">
        <v>1954</v>
      </c>
      <c r="DD1743" s="127">
        <v>5</v>
      </c>
      <c r="DE1743" s="127">
        <v>5</v>
      </c>
      <c r="DG1743" s="405" t="s">
        <v>333</v>
      </c>
      <c r="DH1743" s="406" t="s">
        <v>1954</v>
      </c>
      <c r="DI1743" s="406" t="str">
        <f t="shared" si="59"/>
        <v>MG, Jampruca</v>
      </c>
      <c r="DJ1743" s="406">
        <v>-18.463000000000001</v>
      </c>
      <c r="DK1743" s="80">
        <v>-41.804000000000002</v>
      </c>
      <c r="DL1743" s="80">
        <v>200</v>
      </c>
      <c r="DM1743" s="64">
        <v>5</v>
      </c>
      <c r="DN1743" s="406" t="s">
        <v>6814</v>
      </c>
      <c r="DO1743" s="406">
        <v>-18.850000000000001</v>
      </c>
      <c r="DP1743" s="80">
        <v>263</v>
      </c>
    </row>
    <row r="1744" spans="29:120" x14ac:dyDescent="0.25">
      <c r="AC1744" s="122" t="s">
        <v>348</v>
      </c>
      <c r="AD1744" s="122" t="s">
        <v>2125</v>
      </c>
      <c r="AE1744" s="127">
        <v>8</v>
      </c>
      <c r="DA1744" s="122" t="s">
        <v>333</v>
      </c>
      <c r="DB1744" s="122" t="s">
        <v>5463</v>
      </c>
      <c r="DC1744" s="122" t="s">
        <v>5463</v>
      </c>
      <c r="DD1744" s="127">
        <v>3</v>
      </c>
      <c r="DE1744" s="127">
        <v>3</v>
      </c>
      <c r="DG1744" s="405" t="s">
        <v>333</v>
      </c>
      <c r="DH1744" s="406" t="s">
        <v>5463</v>
      </c>
      <c r="DI1744" s="406" t="str">
        <f t="shared" si="59"/>
        <v>MG, Janaúba</v>
      </c>
      <c r="DJ1744" s="406">
        <v>-15.803000000000001</v>
      </c>
      <c r="DK1744" s="80">
        <v>-43.308999999999997</v>
      </c>
      <c r="DL1744" s="80">
        <v>533</v>
      </c>
      <c r="DM1744" s="64">
        <v>3</v>
      </c>
      <c r="DN1744" s="406" t="s">
        <v>6993</v>
      </c>
      <c r="DO1744" s="406">
        <v>-15.72</v>
      </c>
      <c r="DP1744" s="80">
        <v>853</v>
      </c>
    </row>
    <row r="1745" spans="29:120" x14ac:dyDescent="0.25">
      <c r="AC1745" s="122" t="s">
        <v>333</v>
      </c>
      <c r="AD1745" s="122" t="s">
        <v>2126</v>
      </c>
      <c r="AE1745" s="127">
        <v>6</v>
      </c>
      <c r="DA1745" s="122" t="s">
        <v>333</v>
      </c>
      <c r="DB1745" s="122" t="s">
        <v>2968</v>
      </c>
      <c r="DC1745" s="122" t="s">
        <v>2968</v>
      </c>
      <c r="DD1745" s="127">
        <v>6</v>
      </c>
      <c r="DE1745" s="127">
        <v>6</v>
      </c>
      <c r="DG1745" s="405" t="s">
        <v>333</v>
      </c>
      <c r="DH1745" s="406" t="s">
        <v>2968</v>
      </c>
      <c r="DI1745" s="406" t="str">
        <f t="shared" si="59"/>
        <v>MG, Januária</v>
      </c>
      <c r="DJ1745" s="406">
        <v>-15.488</v>
      </c>
      <c r="DK1745" s="80">
        <v>-44.362000000000002</v>
      </c>
      <c r="DL1745" s="80">
        <v>554</v>
      </c>
      <c r="DM1745" s="64">
        <v>6</v>
      </c>
      <c r="DN1745" s="406" t="s">
        <v>6258</v>
      </c>
      <c r="DO1745" s="406">
        <v>-14.42</v>
      </c>
      <c r="DP1745" s="80">
        <v>512</v>
      </c>
    </row>
    <row r="1746" spans="29:120" x14ac:dyDescent="0.25">
      <c r="AC1746" s="122" t="s">
        <v>333</v>
      </c>
      <c r="AD1746" s="122" t="s">
        <v>2127</v>
      </c>
      <c r="AE1746" s="127">
        <v>3</v>
      </c>
      <c r="DA1746" s="122" t="s">
        <v>333</v>
      </c>
      <c r="DB1746" s="122" t="s">
        <v>3548</v>
      </c>
      <c r="DC1746" s="122" t="s">
        <v>3548</v>
      </c>
      <c r="DD1746" s="127">
        <v>2</v>
      </c>
      <c r="DE1746" s="127">
        <v>2</v>
      </c>
      <c r="DG1746" s="405" t="s">
        <v>333</v>
      </c>
      <c r="DH1746" s="406" t="s">
        <v>3548</v>
      </c>
      <c r="DI1746" s="406" t="str">
        <f t="shared" si="59"/>
        <v>MG, Japaraíba</v>
      </c>
      <c r="DJ1746" s="406">
        <v>-20.140999999999998</v>
      </c>
      <c r="DK1746" s="80">
        <v>-45.503</v>
      </c>
      <c r="DL1746" s="80">
        <v>711</v>
      </c>
      <c r="DM1746" s="64">
        <v>2</v>
      </c>
      <c r="DN1746" s="406" t="s">
        <v>6803</v>
      </c>
      <c r="DO1746" s="406">
        <v>-20.46</v>
      </c>
      <c r="DP1746" s="80">
        <v>878</v>
      </c>
    </row>
    <row r="1747" spans="29:120" x14ac:dyDescent="0.25">
      <c r="AC1747" s="122" t="s">
        <v>348</v>
      </c>
      <c r="AD1747" s="122" t="s">
        <v>2128</v>
      </c>
      <c r="AE1747" s="127">
        <v>7</v>
      </c>
      <c r="DA1747" s="122" t="s">
        <v>333</v>
      </c>
      <c r="DB1747" s="122" t="s">
        <v>3013</v>
      </c>
      <c r="DC1747" s="122" t="s">
        <v>3013</v>
      </c>
      <c r="DD1747" s="127">
        <v>6</v>
      </c>
      <c r="DE1747" s="127">
        <v>6</v>
      </c>
      <c r="DG1747" s="405" t="s">
        <v>333</v>
      </c>
      <c r="DH1747" s="406" t="s">
        <v>3013</v>
      </c>
      <c r="DI1747" s="406" t="str">
        <f t="shared" si="59"/>
        <v>MG, Japonvar</v>
      </c>
      <c r="DJ1747" s="406">
        <v>-15.994999999999999</v>
      </c>
      <c r="DK1747" s="80">
        <v>-44.27</v>
      </c>
      <c r="DL1747" s="80">
        <v>700</v>
      </c>
      <c r="DM1747" s="64">
        <v>6</v>
      </c>
      <c r="DN1747" s="406" t="s">
        <v>6853</v>
      </c>
      <c r="DO1747" s="406">
        <v>-16.739999999999998</v>
      </c>
      <c r="DP1747" s="80">
        <v>646</v>
      </c>
    </row>
    <row r="1748" spans="29:120" x14ac:dyDescent="0.25">
      <c r="AC1748" s="122" t="s">
        <v>333</v>
      </c>
      <c r="AD1748" s="122" t="s">
        <v>2129</v>
      </c>
      <c r="AE1748" s="127">
        <v>3</v>
      </c>
      <c r="DA1748" s="122" t="s">
        <v>333</v>
      </c>
      <c r="DB1748" s="122" t="s">
        <v>640</v>
      </c>
      <c r="DC1748" s="122" t="s">
        <v>640</v>
      </c>
      <c r="DD1748" s="127">
        <v>2</v>
      </c>
      <c r="DE1748" s="127">
        <v>2</v>
      </c>
      <c r="DG1748" s="405" t="s">
        <v>333</v>
      </c>
      <c r="DH1748" s="406" t="s">
        <v>640</v>
      </c>
      <c r="DI1748" s="406" t="str">
        <f t="shared" si="59"/>
        <v>MG, Jeceaba</v>
      </c>
      <c r="DJ1748" s="406">
        <v>-20.535</v>
      </c>
      <c r="DK1748" s="80">
        <v>-43.982999999999997</v>
      </c>
      <c r="DL1748" s="80">
        <v>850</v>
      </c>
      <c r="DM1748" s="64">
        <v>2</v>
      </c>
      <c r="DN1748" s="406" t="s">
        <v>6848</v>
      </c>
      <c r="DO1748" s="406">
        <v>-20.52</v>
      </c>
      <c r="DP1748" s="80">
        <v>1061</v>
      </c>
    </row>
    <row r="1749" spans="29:120" x14ac:dyDescent="0.25">
      <c r="AC1749" s="122" t="s">
        <v>348</v>
      </c>
      <c r="AD1749" s="122" t="s">
        <v>2130</v>
      </c>
      <c r="AE1749" s="127">
        <v>8</v>
      </c>
      <c r="DA1749" s="122" t="s">
        <v>333</v>
      </c>
      <c r="DB1749" s="122" t="s">
        <v>6999</v>
      </c>
      <c r="DC1749" s="122" t="s">
        <v>2683</v>
      </c>
      <c r="DD1749" s="127">
        <v>5</v>
      </c>
      <c r="DE1749" s="127">
        <v>5</v>
      </c>
      <c r="DG1749" s="405" t="s">
        <v>333</v>
      </c>
      <c r="DH1749" s="406" t="s">
        <v>2683</v>
      </c>
      <c r="DI1749" s="406" t="str">
        <f t="shared" si="59"/>
        <v>MG, Jenipapo de Minas</v>
      </c>
      <c r="DJ1749" s="406">
        <v>-17.082999999999998</v>
      </c>
      <c r="DK1749" s="80">
        <v>-42.258000000000003</v>
      </c>
      <c r="DL1749" s="80">
        <v>521</v>
      </c>
      <c r="DM1749" s="64">
        <v>5</v>
      </c>
      <c r="DN1749" s="406" t="s">
        <v>6800</v>
      </c>
      <c r="DO1749" s="406">
        <v>-17.690000000000001</v>
      </c>
      <c r="DP1749" s="80">
        <v>932</v>
      </c>
    </row>
    <row r="1750" spans="29:120" x14ac:dyDescent="0.25">
      <c r="AC1750" s="122" t="s">
        <v>333</v>
      </c>
      <c r="AD1750" s="122" t="s">
        <v>2131</v>
      </c>
      <c r="AE1750" s="127">
        <v>3</v>
      </c>
      <c r="DA1750" s="122" t="s">
        <v>333</v>
      </c>
      <c r="DB1750" s="122" t="s">
        <v>541</v>
      </c>
      <c r="DC1750" s="122" t="s">
        <v>541</v>
      </c>
      <c r="DD1750" s="127">
        <v>3</v>
      </c>
      <c r="DE1750" s="127">
        <v>3</v>
      </c>
      <c r="DG1750" s="405" t="s">
        <v>333</v>
      </c>
      <c r="DH1750" s="406" t="s">
        <v>541</v>
      </c>
      <c r="DI1750" s="406" t="str">
        <f t="shared" si="59"/>
        <v>MG, Jequeri</v>
      </c>
      <c r="DJ1750" s="406">
        <v>-20.456</v>
      </c>
      <c r="DK1750" s="80">
        <v>-42.665999999999997</v>
      </c>
      <c r="DL1750" s="80">
        <v>412</v>
      </c>
      <c r="DM1750" s="64">
        <v>3</v>
      </c>
      <c r="DN1750" s="406" t="s">
        <v>6797</v>
      </c>
      <c r="DO1750" s="406">
        <v>-20.75</v>
      </c>
      <c r="DP1750" s="80">
        <v>712</v>
      </c>
    </row>
    <row r="1751" spans="29:120" x14ac:dyDescent="0.25">
      <c r="AC1751" s="122" t="s">
        <v>289</v>
      </c>
      <c r="AD1751" s="122" t="s">
        <v>2132</v>
      </c>
      <c r="AE1751" s="127">
        <v>8</v>
      </c>
      <c r="DA1751" s="122" t="s">
        <v>333</v>
      </c>
      <c r="DB1751" s="122" t="s">
        <v>2811</v>
      </c>
      <c r="DC1751" s="122" t="s">
        <v>2811</v>
      </c>
      <c r="DD1751" s="127">
        <v>4</v>
      </c>
      <c r="DE1751" s="127">
        <v>4</v>
      </c>
      <c r="DG1751" s="405" t="s">
        <v>333</v>
      </c>
      <c r="DH1751" s="406" t="s">
        <v>2811</v>
      </c>
      <c r="DI1751" s="406" t="str">
        <f t="shared" si="59"/>
        <v>MG, Jequitaí</v>
      </c>
      <c r="DJ1751" s="406">
        <v>-17.236000000000001</v>
      </c>
      <c r="DK1751" s="80">
        <v>-44.445999999999998</v>
      </c>
      <c r="DL1751" s="80">
        <v>517</v>
      </c>
      <c r="DM1751" s="64">
        <v>4</v>
      </c>
      <c r="DN1751" s="406" t="s">
        <v>6875</v>
      </c>
      <c r="DO1751" s="406">
        <v>-17.34</v>
      </c>
      <c r="DP1751" s="80">
        <v>489</v>
      </c>
    </row>
    <row r="1752" spans="29:120" x14ac:dyDescent="0.25">
      <c r="AC1752" s="122" t="s">
        <v>289</v>
      </c>
      <c r="AD1752" s="122" t="s">
        <v>2133</v>
      </c>
      <c r="AE1752" s="127">
        <v>8</v>
      </c>
      <c r="DA1752" s="122" t="s">
        <v>333</v>
      </c>
      <c r="DB1752" s="122" t="s">
        <v>2819</v>
      </c>
      <c r="DC1752" s="122" t="s">
        <v>2819</v>
      </c>
      <c r="DD1752" s="127">
        <v>3</v>
      </c>
      <c r="DE1752" s="127">
        <v>3</v>
      </c>
      <c r="DG1752" s="405" t="s">
        <v>333</v>
      </c>
      <c r="DH1752" s="406" t="s">
        <v>2819</v>
      </c>
      <c r="DI1752" s="406" t="str">
        <f t="shared" si="59"/>
        <v>MG, Jequitibá</v>
      </c>
      <c r="DJ1752" s="406">
        <v>-19.236000000000001</v>
      </c>
      <c r="DK1752" s="80">
        <v>-44.027999999999999</v>
      </c>
      <c r="DL1752" s="80">
        <v>642</v>
      </c>
      <c r="DM1752" s="64">
        <v>3</v>
      </c>
      <c r="DN1752" s="406" t="s">
        <v>6838</v>
      </c>
      <c r="DO1752" s="406">
        <v>-19.82</v>
      </c>
      <c r="DP1752" s="80">
        <v>869</v>
      </c>
    </row>
    <row r="1753" spans="29:120" x14ac:dyDescent="0.25">
      <c r="AC1753" s="122" t="s">
        <v>348</v>
      </c>
      <c r="AD1753" s="122" t="s">
        <v>2134</v>
      </c>
      <c r="AE1753" s="127">
        <v>7</v>
      </c>
      <c r="DA1753" s="122" t="s">
        <v>333</v>
      </c>
      <c r="DB1753" s="122" t="s">
        <v>2544</v>
      </c>
      <c r="DC1753" s="122" t="s">
        <v>2544</v>
      </c>
      <c r="DD1753" s="127">
        <v>5</v>
      </c>
      <c r="DE1753" s="127">
        <v>5</v>
      </c>
      <c r="DG1753" s="405" t="s">
        <v>333</v>
      </c>
      <c r="DH1753" s="406" t="s">
        <v>2544</v>
      </c>
      <c r="DI1753" s="406" t="str">
        <f t="shared" si="59"/>
        <v>MG, Jequitinhonha</v>
      </c>
      <c r="DJ1753" s="406">
        <v>-16.434000000000001</v>
      </c>
      <c r="DK1753" s="80">
        <v>-41.003</v>
      </c>
      <c r="DL1753" s="80">
        <v>223</v>
      </c>
      <c r="DM1753" s="64">
        <v>5</v>
      </c>
      <c r="DN1753" s="406" t="s">
        <v>6295</v>
      </c>
      <c r="DO1753" s="406">
        <v>-16.18</v>
      </c>
      <c r="DP1753" s="80">
        <v>208</v>
      </c>
    </row>
    <row r="1754" spans="29:120" x14ac:dyDescent="0.25">
      <c r="AC1754" s="122" t="s">
        <v>333</v>
      </c>
      <c r="AD1754" s="122" t="s">
        <v>2135</v>
      </c>
      <c r="AE1754" s="127">
        <v>3</v>
      </c>
      <c r="DA1754" s="122" t="s">
        <v>333</v>
      </c>
      <c r="DB1754" s="122" t="s">
        <v>1023</v>
      </c>
      <c r="DC1754" s="122" t="s">
        <v>1023</v>
      </c>
      <c r="DD1754" s="127">
        <v>2</v>
      </c>
      <c r="DE1754" s="127">
        <v>2</v>
      </c>
      <c r="DG1754" s="405" t="s">
        <v>333</v>
      </c>
      <c r="DH1754" s="406" t="s">
        <v>1023</v>
      </c>
      <c r="DI1754" s="406" t="str">
        <f t="shared" si="59"/>
        <v>MG, Jesuânia</v>
      </c>
      <c r="DJ1754" s="406">
        <v>-21.998000000000001</v>
      </c>
      <c r="DK1754" s="80">
        <v>-45.290999999999997</v>
      </c>
      <c r="DL1754" s="80">
        <v>903</v>
      </c>
      <c r="DM1754" s="64">
        <v>2</v>
      </c>
      <c r="DN1754" s="406" t="s">
        <v>6881</v>
      </c>
      <c r="DO1754" s="406">
        <v>-22.31</v>
      </c>
      <c r="DP1754" s="80">
        <v>1276</v>
      </c>
    </row>
    <row r="1755" spans="29:120" x14ac:dyDescent="0.25">
      <c r="AC1755" s="122" t="s">
        <v>348</v>
      </c>
      <c r="AD1755" s="122" t="s">
        <v>2136</v>
      </c>
      <c r="AE1755" s="127">
        <v>8</v>
      </c>
      <c r="DA1755" s="122" t="s">
        <v>333</v>
      </c>
      <c r="DB1755" s="122" t="s">
        <v>2478</v>
      </c>
      <c r="DC1755" s="122" t="s">
        <v>2478</v>
      </c>
      <c r="DD1755" s="127">
        <v>5</v>
      </c>
      <c r="DE1755" s="127">
        <v>5</v>
      </c>
      <c r="DG1755" s="405" t="s">
        <v>333</v>
      </c>
      <c r="DH1755" s="406" t="s">
        <v>2478</v>
      </c>
      <c r="DI1755" s="406" t="str">
        <f t="shared" si="59"/>
        <v>MG, Joaíma</v>
      </c>
      <c r="DJ1755" s="406">
        <v>-16.654</v>
      </c>
      <c r="DK1755" s="80">
        <v>-41.030999999999999</v>
      </c>
      <c r="DL1755" s="80">
        <v>293</v>
      </c>
      <c r="DM1755" s="64">
        <v>5</v>
      </c>
      <c r="DN1755" s="406" t="s">
        <v>6805</v>
      </c>
      <c r="DO1755" s="406">
        <v>-16.34</v>
      </c>
      <c r="DP1755" s="80">
        <v>266</v>
      </c>
    </row>
    <row r="1756" spans="29:120" x14ac:dyDescent="0.25">
      <c r="AC1756" s="122" t="s">
        <v>289</v>
      </c>
      <c r="AD1756" s="122" t="s">
        <v>2137</v>
      </c>
      <c r="AE1756" s="127">
        <v>8</v>
      </c>
      <c r="DA1756" s="122" t="s">
        <v>333</v>
      </c>
      <c r="DB1756" s="122" t="s">
        <v>2610</v>
      </c>
      <c r="DC1756" s="122" t="s">
        <v>2610</v>
      </c>
      <c r="DD1756" s="127">
        <v>3</v>
      </c>
      <c r="DE1756" s="127">
        <v>3</v>
      </c>
      <c r="DG1756" s="405" t="s">
        <v>333</v>
      </c>
      <c r="DH1756" s="406" t="s">
        <v>2610</v>
      </c>
      <c r="DI1756" s="406" t="str">
        <f t="shared" si="59"/>
        <v>MG, Joanésia</v>
      </c>
      <c r="DJ1756" s="406">
        <v>-19.172000000000001</v>
      </c>
      <c r="DK1756" s="80">
        <v>-42.679000000000002</v>
      </c>
      <c r="DL1756" s="80">
        <v>430</v>
      </c>
      <c r="DM1756" s="64">
        <v>3</v>
      </c>
      <c r="DN1756" s="406" t="s">
        <v>6798</v>
      </c>
      <c r="DO1756" s="406">
        <v>-19.579999999999998</v>
      </c>
      <c r="DP1756" s="80">
        <v>333</v>
      </c>
    </row>
    <row r="1757" spans="29:120" x14ac:dyDescent="0.25">
      <c r="AC1757" s="122" t="s">
        <v>300</v>
      </c>
      <c r="AD1757" s="122" t="s">
        <v>2138</v>
      </c>
      <c r="AE1757" s="127">
        <v>7</v>
      </c>
      <c r="DA1757" s="122" t="s">
        <v>333</v>
      </c>
      <c r="DB1757" s="122" t="s">
        <v>7000</v>
      </c>
      <c r="DC1757" s="122" t="s">
        <v>494</v>
      </c>
      <c r="DD1757" s="127">
        <v>3</v>
      </c>
      <c r="DE1757" s="127">
        <v>3</v>
      </c>
      <c r="DG1757" s="405" t="s">
        <v>333</v>
      </c>
      <c r="DH1757" s="406" t="s">
        <v>494</v>
      </c>
      <c r="DI1757" s="406" t="str">
        <f t="shared" si="59"/>
        <v>MG, João Monlevade</v>
      </c>
      <c r="DJ1757" s="406">
        <v>-19.809999999999999</v>
      </c>
      <c r="DK1757" s="80">
        <v>-43.173999999999999</v>
      </c>
      <c r="DL1757" s="80">
        <v>732</v>
      </c>
      <c r="DM1757" s="64">
        <v>3</v>
      </c>
      <c r="DN1757" s="406" t="s">
        <v>6798</v>
      </c>
      <c r="DO1757" s="406">
        <v>-19.579999999999998</v>
      </c>
      <c r="DP1757" s="80">
        <v>333</v>
      </c>
    </row>
    <row r="1758" spans="29:120" x14ac:dyDescent="0.25">
      <c r="AC1758" s="122" t="s">
        <v>289</v>
      </c>
      <c r="AD1758" s="122" t="s">
        <v>2139</v>
      </c>
      <c r="AE1758" s="127">
        <v>8</v>
      </c>
      <c r="DA1758" s="122" t="s">
        <v>333</v>
      </c>
      <c r="DB1758" s="122" t="s">
        <v>7001</v>
      </c>
      <c r="DC1758" s="122" t="s">
        <v>2105</v>
      </c>
      <c r="DD1758" s="127">
        <v>6</v>
      </c>
      <c r="DE1758" s="127">
        <v>6</v>
      </c>
      <c r="DG1758" s="405" t="s">
        <v>333</v>
      </c>
      <c r="DH1758" s="406" t="s">
        <v>2105</v>
      </c>
      <c r="DI1758" s="406" t="str">
        <f t="shared" si="59"/>
        <v>MG, João Pinheiro</v>
      </c>
      <c r="DJ1758" s="406">
        <v>-17.742999999999999</v>
      </c>
      <c r="DK1758" s="80">
        <v>-46.173000000000002</v>
      </c>
      <c r="DL1758" s="80">
        <v>765</v>
      </c>
      <c r="DM1758" s="64">
        <v>6</v>
      </c>
      <c r="DN1758" s="406" t="s">
        <v>6870</v>
      </c>
      <c r="DO1758" s="406">
        <v>-17.78</v>
      </c>
      <c r="DP1758" s="80">
        <v>870</v>
      </c>
    </row>
    <row r="1759" spans="29:120" x14ac:dyDescent="0.25">
      <c r="AC1759" s="122" t="s">
        <v>348</v>
      </c>
      <c r="AD1759" s="122" t="s">
        <v>2140</v>
      </c>
      <c r="AE1759" s="127">
        <v>8</v>
      </c>
      <c r="DA1759" s="122" t="s">
        <v>333</v>
      </c>
      <c r="DB1759" s="122" t="s">
        <v>7002</v>
      </c>
      <c r="DC1759" s="122" t="s">
        <v>2073</v>
      </c>
      <c r="DD1759" s="127">
        <v>3</v>
      </c>
      <c r="DE1759" s="127">
        <v>3</v>
      </c>
      <c r="DG1759" s="405" t="s">
        <v>333</v>
      </c>
      <c r="DH1759" s="406" t="s">
        <v>2073</v>
      </c>
      <c r="DI1759" s="406" t="str">
        <f t="shared" si="59"/>
        <v>MG, Joaquim Felício</v>
      </c>
      <c r="DJ1759" s="406">
        <v>-17.757999999999999</v>
      </c>
      <c r="DK1759" s="80">
        <v>-44.171999999999997</v>
      </c>
      <c r="DL1759" s="80">
        <v>657</v>
      </c>
      <c r="DM1759" s="64">
        <v>3</v>
      </c>
      <c r="DN1759" s="406" t="s">
        <v>6821</v>
      </c>
      <c r="DO1759" s="406">
        <v>-18.23</v>
      </c>
      <c r="DP1759" s="80">
        <v>1356</v>
      </c>
    </row>
    <row r="1760" spans="29:120" x14ac:dyDescent="0.25">
      <c r="AC1760" s="122" t="s">
        <v>348</v>
      </c>
      <c r="AD1760" s="122" t="s">
        <v>2141</v>
      </c>
      <c r="AE1760" s="127">
        <v>8</v>
      </c>
      <c r="DA1760" s="122" t="s">
        <v>333</v>
      </c>
      <c r="DB1760" s="122" t="s">
        <v>5061</v>
      </c>
      <c r="DC1760" s="122" t="s">
        <v>5061</v>
      </c>
      <c r="DD1760" s="127">
        <v>5</v>
      </c>
      <c r="DE1760" s="127">
        <v>5</v>
      </c>
      <c r="DG1760" s="405" t="s">
        <v>333</v>
      </c>
      <c r="DH1760" s="406" t="s">
        <v>5061</v>
      </c>
      <c r="DI1760" s="406" t="str">
        <f t="shared" si="59"/>
        <v>MG, Jordânia</v>
      </c>
      <c r="DJ1760" s="406">
        <v>-15.9</v>
      </c>
      <c r="DK1760" s="80">
        <v>-40.177999999999997</v>
      </c>
      <c r="DL1760" s="80">
        <v>198</v>
      </c>
      <c r="DM1760" s="64">
        <v>5</v>
      </c>
      <c r="DN1760" s="406" t="s">
        <v>6295</v>
      </c>
      <c r="DO1760" s="406">
        <v>-16.18</v>
      </c>
      <c r="DP1760" s="80">
        <v>208</v>
      </c>
    </row>
    <row r="1761" spans="29:120" x14ac:dyDescent="0.25">
      <c r="AC1761" s="122" t="s">
        <v>348</v>
      </c>
      <c r="AD1761" s="122" t="s">
        <v>2142</v>
      </c>
      <c r="AE1761" s="127">
        <v>8</v>
      </c>
      <c r="DA1761" s="122" t="s">
        <v>333</v>
      </c>
      <c r="DB1761" s="122" t="s">
        <v>7003</v>
      </c>
      <c r="DC1761" s="122" t="s">
        <v>2688</v>
      </c>
      <c r="DD1761" s="127">
        <v>3</v>
      </c>
      <c r="DE1761" s="127">
        <v>3</v>
      </c>
      <c r="DG1761" s="405" t="s">
        <v>333</v>
      </c>
      <c r="DH1761" s="406" t="s">
        <v>2688</v>
      </c>
      <c r="DI1761" s="406" t="str">
        <f t="shared" si="59"/>
        <v>MG, José Gonçalves de Minas</v>
      </c>
      <c r="DJ1761" s="406">
        <v>-16.907</v>
      </c>
      <c r="DK1761" s="80">
        <v>-42.603999999999999</v>
      </c>
      <c r="DL1761" s="80">
        <v>545</v>
      </c>
      <c r="DM1761" s="64">
        <v>3</v>
      </c>
      <c r="DN1761" s="406" t="s">
        <v>6800</v>
      </c>
      <c r="DO1761" s="406">
        <v>-17.690000000000001</v>
      </c>
      <c r="DP1761" s="80">
        <v>932</v>
      </c>
    </row>
    <row r="1762" spans="29:120" x14ac:dyDescent="0.25">
      <c r="AC1762" s="122" t="s">
        <v>348</v>
      </c>
      <c r="AD1762" s="122" t="s">
        <v>2143</v>
      </c>
      <c r="AE1762" s="127">
        <v>8</v>
      </c>
      <c r="DA1762" s="122" t="s">
        <v>333</v>
      </c>
      <c r="DB1762" s="122" t="s">
        <v>7004</v>
      </c>
      <c r="DC1762" s="122" t="s">
        <v>3378</v>
      </c>
      <c r="DD1762" s="127">
        <v>3</v>
      </c>
      <c r="DE1762" s="127">
        <v>3</v>
      </c>
      <c r="DG1762" s="405" t="s">
        <v>333</v>
      </c>
      <c r="DH1762" s="406" t="s">
        <v>3378</v>
      </c>
      <c r="DI1762" s="406" t="str">
        <f t="shared" si="59"/>
        <v>MG, José Raydan</v>
      </c>
      <c r="DJ1762" s="406">
        <v>-18.219000000000001</v>
      </c>
      <c r="DK1762" s="80">
        <v>-42.499000000000002</v>
      </c>
      <c r="DL1762" s="80">
        <v>450</v>
      </c>
      <c r="DM1762" s="64">
        <v>3</v>
      </c>
      <c r="DN1762" s="406" t="s">
        <v>6800</v>
      </c>
      <c r="DO1762" s="406">
        <v>-17.690000000000001</v>
      </c>
      <c r="DP1762" s="80">
        <v>932</v>
      </c>
    </row>
    <row r="1763" spans="29:120" x14ac:dyDescent="0.25">
      <c r="AC1763" s="122" t="s">
        <v>289</v>
      </c>
      <c r="AD1763" s="122" t="s">
        <v>1620</v>
      </c>
      <c r="AE1763" s="127">
        <v>8</v>
      </c>
      <c r="DA1763" s="122" t="s">
        <v>333</v>
      </c>
      <c r="DB1763" s="122" t="s">
        <v>2656</v>
      </c>
      <c r="DC1763" s="122" t="s">
        <v>2656</v>
      </c>
      <c r="DD1763" s="127">
        <v>3</v>
      </c>
      <c r="DE1763" s="127">
        <v>3</v>
      </c>
      <c r="DG1763" s="405" t="s">
        <v>333</v>
      </c>
      <c r="DH1763" s="406" t="s">
        <v>2656</v>
      </c>
      <c r="DI1763" s="406" t="str">
        <f t="shared" si="59"/>
        <v>MG, Josenópolis</v>
      </c>
      <c r="DJ1763" s="406">
        <v>-16.547000000000001</v>
      </c>
      <c r="DK1763" s="80">
        <v>-42.515000000000001</v>
      </c>
      <c r="DL1763" s="80">
        <v>692</v>
      </c>
      <c r="DM1763" s="64">
        <v>3</v>
      </c>
      <c r="DN1763" s="406" t="s">
        <v>6830</v>
      </c>
      <c r="DO1763" s="406">
        <v>-16.170000000000002</v>
      </c>
      <c r="DP1763" s="80">
        <v>495</v>
      </c>
    </row>
    <row r="1764" spans="29:120" x14ac:dyDescent="0.25">
      <c r="AC1764" s="122" t="s">
        <v>333</v>
      </c>
      <c r="AD1764" s="122" t="s">
        <v>2144</v>
      </c>
      <c r="AE1764" s="127">
        <v>2</v>
      </c>
      <c r="DA1764" s="122" t="s">
        <v>333</v>
      </c>
      <c r="DB1764" s="122" t="s">
        <v>3783</v>
      </c>
      <c r="DC1764" s="122" t="s">
        <v>3783</v>
      </c>
      <c r="DD1764" s="127">
        <v>2</v>
      </c>
      <c r="DE1764" s="127">
        <v>2</v>
      </c>
      <c r="DG1764" s="405" t="s">
        <v>333</v>
      </c>
      <c r="DH1764" s="406" t="s">
        <v>3783</v>
      </c>
      <c r="DI1764" s="406" t="str">
        <f t="shared" si="59"/>
        <v>MG, Juatuba</v>
      </c>
      <c r="DJ1764" s="406">
        <v>-19.952000000000002</v>
      </c>
      <c r="DK1764" s="80">
        <v>-44.343000000000004</v>
      </c>
      <c r="DL1764" s="80">
        <v>737</v>
      </c>
      <c r="DM1764" s="64">
        <v>2</v>
      </c>
      <c r="DN1764" s="406" t="s">
        <v>6879</v>
      </c>
      <c r="DO1764" s="406">
        <v>-19.89</v>
      </c>
      <c r="DP1764" s="80">
        <v>742</v>
      </c>
    </row>
    <row r="1765" spans="29:120" x14ac:dyDescent="0.25">
      <c r="AC1765" s="122" t="s">
        <v>333</v>
      </c>
      <c r="AD1765" s="122" t="s">
        <v>2145</v>
      </c>
      <c r="AE1765" s="127">
        <v>4</v>
      </c>
      <c r="DA1765" s="122" t="s">
        <v>333</v>
      </c>
      <c r="DB1765" s="122" t="s">
        <v>7005</v>
      </c>
      <c r="DC1765" s="122" t="s">
        <v>510</v>
      </c>
      <c r="DD1765" s="127">
        <v>3</v>
      </c>
      <c r="DE1765" s="127">
        <v>3</v>
      </c>
      <c r="DG1765" s="405" t="s">
        <v>333</v>
      </c>
      <c r="DH1765" s="406" t="s">
        <v>510</v>
      </c>
      <c r="DI1765" s="406" t="str">
        <f t="shared" si="59"/>
        <v>MG, Juiz de Fora</v>
      </c>
      <c r="DJ1765" s="406">
        <v>-21.763999999999999</v>
      </c>
      <c r="DK1765" s="80">
        <v>-43.35</v>
      </c>
      <c r="DL1765" s="80">
        <v>695</v>
      </c>
      <c r="DM1765" s="64">
        <v>3</v>
      </c>
      <c r="DN1765" s="406" t="s">
        <v>6829</v>
      </c>
      <c r="DO1765" s="406">
        <v>-21.76</v>
      </c>
      <c r="DP1765" s="80">
        <v>950</v>
      </c>
    </row>
    <row r="1766" spans="29:120" x14ac:dyDescent="0.25">
      <c r="AC1766" s="122" t="s">
        <v>333</v>
      </c>
      <c r="AD1766" s="122" t="s">
        <v>1864</v>
      </c>
      <c r="AE1766" s="127">
        <v>3</v>
      </c>
      <c r="DA1766" s="122" t="s">
        <v>333</v>
      </c>
      <c r="DB1766" s="122" t="s">
        <v>2866</v>
      </c>
      <c r="DC1766" s="122" t="s">
        <v>2866</v>
      </c>
      <c r="DD1766" s="127">
        <v>4</v>
      </c>
      <c r="DE1766" s="127">
        <v>4</v>
      </c>
      <c r="DG1766" s="405" t="s">
        <v>333</v>
      </c>
      <c r="DH1766" s="406" t="s">
        <v>2866</v>
      </c>
      <c r="DI1766" s="406" t="str">
        <f t="shared" si="59"/>
        <v>MG, Juramento</v>
      </c>
      <c r="DJ1766" s="406">
        <v>-16.847999999999999</v>
      </c>
      <c r="DK1766" s="80">
        <v>-43.587000000000003</v>
      </c>
      <c r="DL1766" s="80">
        <v>682</v>
      </c>
      <c r="DM1766" s="64">
        <v>4</v>
      </c>
      <c r="DN1766" s="406" t="s">
        <v>6853</v>
      </c>
      <c r="DO1766" s="406">
        <v>-16.739999999999998</v>
      </c>
      <c r="DP1766" s="80">
        <v>646</v>
      </c>
    </row>
    <row r="1767" spans="29:120" x14ac:dyDescent="0.25">
      <c r="AC1767" s="122" t="s">
        <v>322</v>
      </c>
      <c r="AD1767" s="122" t="s">
        <v>2146</v>
      </c>
      <c r="AE1767" s="127">
        <v>6</v>
      </c>
      <c r="DA1767" s="122" t="s">
        <v>333</v>
      </c>
      <c r="DB1767" s="122" t="s">
        <v>884</v>
      </c>
      <c r="DC1767" s="122" t="s">
        <v>884</v>
      </c>
      <c r="DD1767" s="127">
        <v>4</v>
      </c>
      <c r="DE1767" s="127">
        <v>4</v>
      </c>
      <c r="DG1767" s="405" t="s">
        <v>333</v>
      </c>
      <c r="DH1767" s="406" t="s">
        <v>884</v>
      </c>
      <c r="DI1767" s="406" t="str">
        <f t="shared" si="59"/>
        <v>MG, Juruaia</v>
      </c>
      <c r="DJ1767" s="406">
        <v>-21.253</v>
      </c>
      <c r="DK1767" s="80">
        <v>-46.576999999999998</v>
      </c>
      <c r="DL1767" s="80">
        <v>877</v>
      </c>
      <c r="DM1767" s="64">
        <v>4</v>
      </c>
      <c r="DN1767" s="406" t="s">
        <v>6815</v>
      </c>
      <c r="DO1767" s="406">
        <v>-20.75</v>
      </c>
      <c r="DP1767" s="80">
        <v>875</v>
      </c>
    </row>
    <row r="1768" spans="29:120" x14ac:dyDescent="0.25">
      <c r="AC1768" s="122" t="s">
        <v>311</v>
      </c>
      <c r="AD1768" s="122" t="s">
        <v>2147</v>
      </c>
      <c r="AE1768" s="127">
        <v>2</v>
      </c>
      <c r="DA1768" s="122" t="s">
        <v>333</v>
      </c>
      <c r="DB1768" s="122" t="s">
        <v>2996</v>
      </c>
      <c r="DC1768" s="122" t="s">
        <v>2996</v>
      </c>
      <c r="DD1768" s="127">
        <v>6</v>
      </c>
      <c r="DE1768" s="127">
        <v>6</v>
      </c>
      <c r="DG1768" s="405" t="s">
        <v>333</v>
      </c>
      <c r="DH1768" s="406" t="s">
        <v>2996</v>
      </c>
      <c r="DI1768" s="406" t="str">
        <f t="shared" si="59"/>
        <v>MG, Juvenília</v>
      </c>
      <c r="DJ1768" s="406">
        <v>-14.263</v>
      </c>
      <c r="DK1768" s="80">
        <v>-44.16</v>
      </c>
      <c r="DL1768" s="80">
        <v>445</v>
      </c>
      <c r="DM1768" s="64">
        <v>6</v>
      </c>
      <c r="DN1768" s="406" t="s">
        <v>6258</v>
      </c>
      <c r="DO1768" s="406">
        <v>-14.42</v>
      </c>
      <c r="DP1768" s="80">
        <v>512</v>
      </c>
    </row>
    <row r="1769" spans="29:120" x14ac:dyDescent="0.25">
      <c r="AC1769" s="122" t="s">
        <v>289</v>
      </c>
      <c r="AD1769" s="122" t="s">
        <v>2148</v>
      </c>
      <c r="AE1769" s="127">
        <v>8</v>
      </c>
      <c r="DA1769" s="122" t="s">
        <v>333</v>
      </c>
      <c r="DB1769" s="122" t="s">
        <v>1994</v>
      </c>
      <c r="DC1769" s="122" t="s">
        <v>1994</v>
      </c>
      <c r="DD1769" s="127">
        <v>5</v>
      </c>
      <c r="DE1769" s="127">
        <v>5</v>
      </c>
      <c r="DG1769" s="405" t="s">
        <v>333</v>
      </c>
      <c r="DH1769" s="406" t="s">
        <v>1994</v>
      </c>
      <c r="DI1769" s="406" t="str">
        <f t="shared" si="59"/>
        <v>MG, Ladainha</v>
      </c>
      <c r="DJ1769" s="406">
        <v>-17.632000000000001</v>
      </c>
      <c r="DK1769" s="80">
        <v>-41.738</v>
      </c>
      <c r="DL1769" s="80">
        <v>670</v>
      </c>
      <c r="DM1769" s="64">
        <v>5</v>
      </c>
      <c r="DN1769" s="406" t="s">
        <v>6835</v>
      </c>
      <c r="DO1769" s="406">
        <v>-17.86</v>
      </c>
      <c r="DP1769" s="80">
        <v>475</v>
      </c>
    </row>
    <row r="1770" spans="29:120" x14ac:dyDescent="0.25">
      <c r="AC1770" s="122" t="s">
        <v>289</v>
      </c>
      <c r="AD1770" s="122" t="s">
        <v>2149</v>
      </c>
      <c r="AE1770" s="127">
        <v>5</v>
      </c>
      <c r="DA1770" s="122" t="s">
        <v>333</v>
      </c>
      <c r="DB1770" s="122" t="s">
        <v>2100</v>
      </c>
      <c r="DC1770" s="122" t="s">
        <v>2100</v>
      </c>
      <c r="DD1770" s="127">
        <v>4</v>
      </c>
      <c r="DE1770" s="127">
        <v>4</v>
      </c>
      <c r="DG1770" s="405" t="s">
        <v>333</v>
      </c>
      <c r="DH1770" s="406" t="s">
        <v>2100</v>
      </c>
      <c r="DI1770" s="406" t="str">
        <f t="shared" si="59"/>
        <v>MG, Lagamar</v>
      </c>
      <c r="DJ1770" s="406">
        <v>-18.178000000000001</v>
      </c>
      <c r="DK1770" s="80">
        <v>-46.808</v>
      </c>
      <c r="DL1770" s="80">
        <v>836</v>
      </c>
      <c r="DM1770" s="64">
        <v>4</v>
      </c>
      <c r="DN1770" s="406" t="s">
        <v>6989</v>
      </c>
      <c r="DO1770" s="406">
        <v>-17.77</v>
      </c>
      <c r="DP1770" s="80">
        <v>616</v>
      </c>
    </row>
    <row r="1771" spans="29:120" x14ac:dyDescent="0.25">
      <c r="AC1771" s="122" t="s">
        <v>333</v>
      </c>
      <c r="AD1771" s="122" t="s">
        <v>2150</v>
      </c>
      <c r="AE1771" s="127">
        <v>3</v>
      </c>
      <c r="DA1771" s="122" t="s">
        <v>333</v>
      </c>
      <c r="DB1771" s="122" t="s">
        <v>7006</v>
      </c>
      <c r="DC1771" s="122" t="s">
        <v>3765</v>
      </c>
      <c r="DD1771" s="127">
        <v>3</v>
      </c>
      <c r="DE1771" s="127">
        <v>3</v>
      </c>
      <c r="DG1771" s="405" t="s">
        <v>333</v>
      </c>
      <c r="DH1771" s="406" t="s">
        <v>3765</v>
      </c>
      <c r="DI1771" s="406" t="str">
        <f t="shared" si="59"/>
        <v>MG, Lagoa da Prata</v>
      </c>
      <c r="DJ1771" s="406">
        <v>-20.023</v>
      </c>
      <c r="DK1771" s="80">
        <v>-45.543999999999997</v>
      </c>
      <c r="DL1771" s="80">
        <v>655</v>
      </c>
      <c r="DM1771" s="64">
        <v>3</v>
      </c>
      <c r="DN1771" s="406" t="s">
        <v>6803</v>
      </c>
      <c r="DO1771" s="406">
        <v>-20.46</v>
      </c>
      <c r="DP1771" s="80">
        <v>878</v>
      </c>
    </row>
    <row r="1772" spans="29:120" x14ac:dyDescent="0.25">
      <c r="AC1772" s="122" t="s">
        <v>333</v>
      </c>
      <c r="AD1772" s="122" t="s">
        <v>2151</v>
      </c>
      <c r="AE1772" s="127">
        <v>3</v>
      </c>
      <c r="DA1772" s="122" t="s">
        <v>333</v>
      </c>
      <c r="DB1772" s="122" t="s">
        <v>7007</v>
      </c>
      <c r="DC1772" s="122" t="s">
        <v>2946</v>
      </c>
      <c r="DD1772" s="127">
        <v>4</v>
      </c>
      <c r="DE1772" s="127">
        <v>4</v>
      </c>
      <c r="DG1772" s="405" t="s">
        <v>333</v>
      </c>
      <c r="DH1772" s="406" t="s">
        <v>2946</v>
      </c>
      <c r="DI1772" s="406" t="str">
        <f t="shared" si="59"/>
        <v>MG, Lagoa dos Patos</v>
      </c>
      <c r="DJ1772" s="406">
        <v>-16.983000000000001</v>
      </c>
      <c r="DK1772" s="80">
        <v>-44.582000000000001</v>
      </c>
      <c r="DL1772" s="80">
        <v>690</v>
      </c>
      <c r="DM1772" s="64">
        <v>4</v>
      </c>
      <c r="DN1772" s="406" t="s">
        <v>6875</v>
      </c>
      <c r="DO1772" s="406">
        <v>-17.34</v>
      </c>
      <c r="DP1772" s="80">
        <v>489</v>
      </c>
    </row>
    <row r="1773" spans="29:120" x14ac:dyDescent="0.25">
      <c r="AC1773" s="122" t="s">
        <v>393</v>
      </c>
      <c r="AD1773" s="122" t="s">
        <v>2152</v>
      </c>
      <c r="AE1773" s="127">
        <v>7</v>
      </c>
      <c r="DA1773" s="122" t="s">
        <v>333</v>
      </c>
      <c r="DB1773" s="122" t="s">
        <v>7008</v>
      </c>
      <c r="DC1773" s="122" t="s">
        <v>641</v>
      </c>
      <c r="DD1773" s="127">
        <v>2</v>
      </c>
      <c r="DE1773" s="127">
        <v>2</v>
      </c>
      <c r="DG1773" s="405" t="s">
        <v>333</v>
      </c>
      <c r="DH1773" s="406" t="s">
        <v>641</v>
      </c>
      <c r="DI1773" s="406" t="str">
        <f t="shared" si="59"/>
        <v>MG, Lagoa Dourada</v>
      </c>
      <c r="DJ1773" s="406">
        <v>-20.914000000000001</v>
      </c>
      <c r="DK1773" s="80">
        <v>-44.078000000000003</v>
      </c>
      <c r="DL1773" s="80">
        <v>1080</v>
      </c>
      <c r="DM1773" s="64">
        <v>2</v>
      </c>
      <c r="DN1773" s="406" t="s">
        <v>6813</v>
      </c>
      <c r="DO1773" s="406">
        <v>-21.14</v>
      </c>
      <c r="DP1773" s="80">
        <v>991</v>
      </c>
    </row>
    <row r="1774" spans="29:120" x14ac:dyDescent="0.25">
      <c r="AC1774" s="122" t="s">
        <v>336</v>
      </c>
      <c r="AD1774" s="122" t="s">
        <v>2153</v>
      </c>
      <c r="AE1774" s="127">
        <v>6</v>
      </c>
      <c r="DA1774" s="122" t="s">
        <v>333</v>
      </c>
      <c r="DB1774" s="122" t="s">
        <v>7009</v>
      </c>
      <c r="DC1774" s="122" t="s">
        <v>2726</v>
      </c>
      <c r="DD1774" s="127">
        <v>4</v>
      </c>
      <c r="DE1774" s="127">
        <v>4</v>
      </c>
      <c r="DG1774" s="405" t="s">
        <v>333</v>
      </c>
      <c r="DH1774" s="406" t="s">
        <v>2726</v>
      </c>
      <c r="DI1774" s="406" t="str">
        <f t="shared" si="59"/>
        <v>MG, Lagoa Formosa</v>
      </c>
      <c r="DJ1774" s="406">
        <v>-18.779</v>
      </c>
      <c r="DK1774" s="80">
        <v>-46.408000000000001</v>
      </c>
      <c r="DL1774" s="80">
        <v>902</v>
      </c>
      <c r="DM1774" s="64">
        <v>4</v>
      </c>
      <c r="DN1774" s="406" t="s">
        <v>6794</v>
      </c>
      <c r="DO1774" s="406">
        <v>-18.940000000000001</v>
      </c>
      <c r="DP1774" s="80">
        <v>976</v>
      </c>
    </row>
    <row r="1775" spans="29:120" x14ac:dyDescent="0.25">
      <c r="AC1775" s="122" t="s">
        <v>348</v>
      </c>
      <c r="AD1775" s="122" t="s">
        <v>2154</v>
      </c>
      <c r="AE1775" s="127">
        <v>8</v>
      </c>
      <c r="DA1775" s="122" t="s">
        <v>333</v>
      </c>
      <c r="DB1775" s="122" t="s">
        <v>7010</v>
      </c>
      <c r="DC1775" s="122" t="s">
        <v>2121</v>
      </c>
      <c r="DD1775" s="127">
        <v>6</v>
      </c>
      <c r="DE1775" s="127">
        <v>6</v>
      </c>
      <c r="DG1775" s="405" t="s">
        <v>333</v>
      </c>
      <c r="DH1775" s="406" t="s">
        <v>2121</v>
      </c>
      <c r="DI1775" s="406" t="str">
        <f t="shared" si="59"/>
        <v>MG, Lagoa Grande</v>
      </c>
      <c r="DJ1775" s="406">
        <v>-17.835000000000001</v>
      </c>
      <c r="DK1775" s="80">
        <v>-46.514000000000003</v>
      </c>
      <c r="DL1775" s="80">
        <v>572</v>
      </c>
      <c r="DM1775" s="64">
        <v>6</v>
      </c>
      <c r="DN1775" s="406" t="s">
        <v>6870</v>
      </c>
      <c r="DO1775" s="406">
        <v>-17.78</v>
      </c>
      <c r="DP1775" s="80">
        <v>870</v>
      </c>
    </row>
    <row r="1776" spans="29:120" x14ac:dyDescent="0.25">
      <c r="AC1776" s="122" t="s">
        <v>289</v>
      </c>
      <c r="AD1776" s="122" t="s">
        <v>2155</v>
      </c>
      <c r="AE1776" s="127">
        <v>8</v>
      </c>
      <c r="DA1776" s="122" t="s">
        <v>333</v>
      </c>
      <c r="DB1776" s="122" t="s">
        <v>6569</v>
      </c>
      <c r="DC1776" s="122" t="s">
        <v>2192</v>
      </c>
      <c r="DD1776" s="127">
        <v>2</v>
      </c>
      <c r="DE1776" s="127">
        <v>2</v>
      </c>
      <c r="DG1776" s="405" t="s">
        <v>333</v>
      </c>
      <c r="DH1776" s="406" t="s">
        <v>2192</v>
      </c>
      <c r="DI1776" s="406" t="str">
        <f t="shared" si="59"/>
        <v>MG, Lagoa Santa</v>
      </c>
      <c r="DJ1776" s="406">
        <v>-19.626999999999999</v>
      </c>
      <c r="DK1776" s="80">
        <v>-43.89</v>
      </c>
      <c r="DL1776" s="80">
        <v>760</v>
      </c>
      <c r="DM1776" s="64">
        <v>2</v>
      </c>
      <c r="DN1776" s="406" t="s">
        <v>6838</v>
      </c>
      <c r="DO1776" s="406">
        <v>-19.82</v>
      </c>
      <c r="DP1776" s="80">
        <v>869</v>
      </c>
    </row>
    <row r="1777" spans="29:120" x14ac:dyDescent="0.25">
      <c r="AC1777" s="122" t="s">
        <v>289</v>
      </c>
      <c r="AD1777" s="122" t="s">
        <v>2156</v>
      </c>
      <c r="AE1777" s="127">
        <v>8</v>
      </c>
      <c r="DA1777" s="122" t="s">
        <v>333</v>
      </c>
      <c r="DB1777" s="122" t="s">
        <v>3427</v>
      </c>
      <c r="DC1777" s="122" t="s">
        <v>3427</v>
      </c>
      <c r="DD1777" s="127">
        <v>3</v>
      </c>
      <c r="DE1777" s="127">
        <v>3</v>
      </c>
      <c r="DG1777" s="405" t="s">
        <v>333</v>
      </c>
      <c r="DH1777" s="406" t="s">
        <v>3427</v>
      </c>
      <c r="DI1777" s="406" t="str">
        <f t="shared" si="59"/>
        <v>MG, Lajinha</v>
      </c>
      <c r="DJ1777" s="406">
        <v>-20.151</v>
      </c>
      <c r="DK1777" s="80">
        <v>-41.622999999999998</v>
      </c>
      <c r="DL1777" s="80">
        <v>470</v>
      </c>
      <c r="DM1777" s="64">
        <v>3</v>
      </c>
      <c r="DN1777" s="406" t="s">
        <v>6819</v>
      </c>
      <c r="DO1777" s="406">
        <v>-19.79</v>
      </c>
      <c r="DP1777" s="80">
        <v>615</v>
      </c>
    </row>
    <row r="1778" spans="29:120" x14ac:dyDescent="0.25">
      <c r="AC1778" s="122" t="s">
        <v>333</v>
      </c>
      <c r="AD1778" s="122" t="s">
        <v>2157</v>
      </c>
      <c r="AE1778" s="127">
        <v>4</v>
      </c>
      <c r="DA1778" s="122" t="s">
        <v>333</v>
      </c>
      <c r="DB1778" s="122" t="s">
        <v>1037</v>
      </c>
      <c r="DC1778" s="122" t="s">
        <v>1037</v>
      </c>
      <c r="DD1778" s="127">
        <v>2</v>
      </c>
      <c r="DE1778" s="127">
        <v>2</v>
      </c>
      <c r="DG1778" s="405" t="s">
        <v>333</v>
      </c>
      <c r="DH1778" s="406" t="s">
        <v>1037</v>
      </c>
      <c r="DI1778" s="406" t="str">
        <f t="shared" si="59"/>
        <v>MG, Lambari</v>
      </c>
      <c r="DJ1778" s="406">
        <v>-21.975999999999999</v>
      </c>
      <c r="DK1778" s="80">
        <v>-45.35</v>
      </c>
      <c r="DL1778" s="80">
        <v>887</v>
      </c>
      <c r="DM1778" s="64">
        <v>2</v>
      </c>
      <c r="DN1778" s="406" t="s">
        <v>6881</v>
      </c>
      <c r="DO1778" s="406">
        <v>-22.31</v>
      </c>
      <c r="DP1778" s="80">
        <v>1276</v>
      </c>
    </row>
    <row r="1779" spans="29:120" x14ac:dyDescent="0.25">
      <c r="AC1779" s="122" t="s">
        <v>289</v>
      </c>
      <c r="AD1779" s="122" t="s">
        <v>2158</v>
      </c>
      <c r="AE1779" s="127">
        <v>5</v>
      </c>
      <c r="DA1779" s="122" t="s">
        <v>333</v>
      </c>
      <c r="DB1779" s="122" t="s">
        <v>642</v>
      </c>
      <c r="DC1779" s="122" t="s">
        <v>642</v>
      </c>
      <c r="DD1779" s="127">
        <v>3</v>
      </c>
      <c r="DE1779" s="127">
        <v>3</v>
      </c>
      <c r="DG1779" s="405" t="s">
        <v>333</v>
      </c>
      <c r="DH1779" s="406" t="s">
        <v>642</v>
      </c>
      <c r="DI1779" s="406" t="str">
        <f t="shared" si="59"/>
        <v>MG, Lamim</v>
      </c>
      <c r="DJ1779" s="406">
        <v>-20.79</v>
      </c>
      <c r="DK1779" s="80">
        <v>-43.473999999999997</v>
      </c>
      <c r="DL1779" s="80">
        <v>732</v>
      </c>
      <c r="DM1779" s="64">
        <v>3</v>
      </c>
      <c r="DN1779" s="406" t="s">
        <v>6848</v>
      </c>
      <c r="DO1779" s="406">
        <v>-20.52</v>
      </c>
      <c r="DP1779" s="80">
        <v>1061</v>
      </c>
    </row>
    <row r="1780" spans="29:120" x14ac:dyDescent="0.25">
      <c r="AC1780" s="122" t="s">
        <v>322</v>
      </c>
      <c r="AD1780" s="122" t="s">
        <v>2159</v>
      </c>
      <c r="AE1780" s="127">
        <v>6</v>
      </c>
      <c r="DA1780" s="122" t="s">
        <v>333</v>
      </c>
      <c r="DB1780" s="122" t="s">
        <v>785</v>
      </c>
      <c r="DC1780" s="122" t="s">
        <v>785</v>
      </c>
      <c r="DD1780" s="127">
        <v>5</v>
      </c>
      <c r="DE1780" s="127">
        <v>5</v>
      </c>
      <c r="DG1780" s="405" t="s">
        <v>333</v>
      </c>
      <c r="DH1780" s="406" t="s">
        <v>785</v>
      </c>
      <c r="DI1780" s="406" t="str">
        <f t="shared" si="59"/>
        <v>MG, Laranjal</v>
      </c>
      <c r="DJ1780" s="406">
        <v>-21.373999999999999</v>
      </c>
      <c r="DK1780" s="80">
        <v>-42.476999999999997</v>
      </c>
      <c r="DL1780" s="80">
        <v>175</v>
      </c>
      <c r="DM1780" s="64">
        <v>5</v>
      </c>
      <c r="DN1780" s="406" t="s">
        <v>6827</v>
      </c>
      <c r="DO1780" s="406">
        <v>-21.13</v>
      </c>
      <c r="DP1780" s="80">
        <v>297</v>
      </c>
    </row>
    <row r="1781" spans="29:120" x14ac:dyDescent="0.25">
      <c r="AC1781" s="122" t="s">
        <v>289</v>
      </c>
      <c r="AD1781" s="122" t="s">
        <v>2160</v>
      </c>
      <c r="AE1781" s="127">
        <v>5</v>
      </c>
      <c r="DA1781" s="122" t="s">
        <v>333</v>
      </c>
      <c r="DB1781" s="122" t="s">
        <v>3379</v>
      </c>
      <c r="DC1781" s="122" t="s">
        <v>3379</v>
      </c>
      <c r="DD1781" s="127">
        <v>4</v>
      </c>
      <c r="DE1781" s="127">
        <v>4</v>
      </c>
      <c r="DG1781" s="405" t="s">
        <v>333</v>
      </c>
      <c r="DH1781" s="406" t="s">
        <v>3379</v>
      </c>
      <c r="DI1781" s="406" t="str">
        <f t="shared" si="59"/>
        <v>MG, Lassance</v>
      </c>
      <c r="DJ1781" s="406">
        <v>-17.887</v>
      </c>
      <c r="DK1781" s="80">
        <v>-44.578000000000003</v>
      </c>
      <c r="DL1781" s="80">
        <v>504</v>
      </c>
      <c r="DM1781" s="64">
        <v>4</v>
      </c>
      <c r="DN1781" s="406" t="s">
        <v>6875</v>
      </c>
      <c r="DO1781" s="406">
        <v>-17.34</v>
      </c>
      <c r="DP1781" s="80">
        <v>489</v>
      </c>
    </row>
    <row r="1782" spans="29:120" x14ac:dyDescent="0.25">
      <c r="AC1782" s="122" t="s">
        <v>348</v>
      </c>
      <c r="AD1782" s="122" t="s">
        <v>2161</v>
      </c>
      <c r="AE1782" s="127">
        <v>8</v>
      </c>
      <c r="DA1782" s="122" t="s">
        <v>333</v>
      </c>
      <c r="DB1782" s="122" t="s">
        <v>889</v>
      </c>
      <c r="DC1782" s="122" t="s">
        <v>889</v>
      </c>
      <c r="DD1782" s="127">
        <v>3</v>
      </c>
      <c r="DE1782" s="127">
        <v>3</v>
      </c>
      <c r="DG1782" s="405" t="s">
        <v>333</v>
      </c>
      <c r="DH1782" s="406" t="s">
        <v>889</v>
      </c>
      <c r="DI1782" s="406" t="str">
        <f t="shared" si="59"/>
        <v>MG, Lavras</v>
      </c>
      <c r="DJ1782" s="406">
        <v>-21.245000000000001</v>
      </c>
      <c r="DK1782" s="80">
        <v>-45</v>
      </c>
      <c r="DL1782" s="80">
        <v>919</v>
      </c>
      <c r="DM1782" s="64">
        <v>3</v>
      </c>
      <c r="DN1782" s="406" t="s">
        <v>6811</v>
      </c>
      <c r="DO1782" s="406">
        <v>-21.55</v>
      </c>
      <c r="DP1782" s="80">
        <v>955</v>
      </c>
    </row>
    <row r="1783" spans="29:120" x14ac:dyDescent="0.25">
      <c r="AC1783" s="122" t="s">
        <v>289</v>
      </c>
      <c r="AD1783" s="122" t="s">
        <v>2162</v>
      </c>
      <c r="AE1783" s="127">
        <v>5</v>
      </c>
      <c r="DA1783" s="122" t="s">
        <v>333</v>
      </c>
      <c r="DB1783" s="122" t="s">
        <v>7011</v>
      </c>
      <c r="DC1783" s="122" t="s">
        <v>3736</v>
      </c>
      <c r="DD1783" s="127">
        <v>4</v>
      </c>
      <c r="DE1783" s="127">
        <v>4</v>
      </c>
      <c r="DG1783" s="405" t="s">
        <v>333</v>
      </c>
      <c r="DH1783" s="406" t="s">
        <v>3736</v>
      </c>
      <c r="DI1783" s="406" t="str">
        <f t="shared" si="59"/>
        <v>MG, Leandro Ferreira</v>
      </c>
      <c r="DJ1783" s="406">
        <v>-19.718</v>
      </c>
      <c r="DK1783" s="80">
        <v>-45.024999999999999</v>
      </c>
      <c r="DL1783" s="80">
        <v>707</v>
      </c>
      <c r="DM1783" s="64">
        <v>4</v>
      </c>
      <c r="DN1783" s="406" t="s">
        <v>6879</v>
      </c>
      <c r="DO1783" s="406">
        <v>-19.89</v>
      </c>
      <c r="DP1783" s="80">
        <v>742</v>
      </c>
    </row>
    <row r="1784" spans="29:120" x14ac:dyDescent="0.25">
      <c r="AC1784" s="122" t="s">
        <v>333</v>
      </c>
      <c r="AD1784" s="122" t="s">
        <v>2163</v>
      </c>
      <c r="AE1784" s="127">
        <v>5</v>
      </c>
      <c r="DA1784" s="122" t="s">
        <v>333</v>
      </c>
      <c r="DB1784" s="122" t="s">
        <v>7012</v>
      </c>
      <c r="DC1784" s="122" t="s">
        <v>2705</v>
      </c>
      <c r="DD1784" s="127">
        <v>3</v>
      </c>
      <c r="DE1784" s="127">
        <v>3</v>
      </c>
      <c r="DG1784" s="405" t="s">
        <v>333</v>
      </c>
      <c r="DH1784" s="406" t="s">
        <v>2705</v>
      </c>
      <c r="DI1784" s="406" t="str">
        <f t="shared" si="59"/>
        <v>MG, Leme do Prado</v>
      </c>
      <c r="DJ1784" s="406">
        <v>-17.082999999999998</v>
      </c>
      <c r="DK1784" s="80">
        <v>-42.692999999999998</v>
      </c>
      <c r="DL1784" s="80">
        <v>431</v>
      </c>
      <c r="DM1784" s="64">
        <v>3</v>
      </c>
      <c r="DN1784" s="406" t="s">
        <v>6800</v>
      </c>
      <c r="DO1784" s="406">
        <v>-17.690000000000001</v>
      </c>
      <c r="DP1784" s="80">
        <v>932</v>
      </c>
    </row>
    <row r="1785" spans="29:120" x14ac:dyDescent="0.25">
      <c r="AC1785" s="122" t="s">
        <v>348</v>
      </c>
      <c r="AD1785" s="122" t="s">
        <v>2164</v>
      </c>
      <c r="AE1785" s="127">
        <v>6</v>
      </c>
      <c r="DA1785" s="122" t="s">
        <v>333</v>
      </c>
      <c r="DB1785" s="122" t="s">
        <v>3644</v>
      </c>
      <c r="DC1785" s="122" t="s">
        <v>3644</v>
      </c>
      <c r="DD1785" s="127">
        <v>5</v>
      </c>
      <c r="DE1785" s="127">
        <v>5</v>
      </c>
      <c r="DG1785" s="405" t="s">
        <v>333</v>
      </c>
      <c r="DH1785" s="406" t="s">
        <v>3644</v>
      </c>
      <c r="DI1785" s="406" t="str">
        <f t="shared" si="59"/>
        <v>MG, Leopoldina</v>
      </c>
      <c r="DJ1785" s="406">
        <v>-21.532</v>
      </c>
      <c r="DK1785" s="80">
        <v>-42.643000000000001</v>
      </c>
      <c r="DL1785" s="80">
        <v>212</v>
      </c>
      <c r="DM1785" s="64">
        <v>5</v>
      </c>
      <c r="DN1785" s="406" t="s">
        <v>6827</v>
      </c>
      <c r="DO1785" s="406">
        <v>-21.13</v>
      </c>
      <c r="DP1785" s="80">
        <v>297</v>
      </c>
    </row>
    <row r="1786" spans="29:120" x14ac:dyDescent="0.25">
      <c r="AC1786" s="122" t="s">
        <v>348</v>
      </c>
      <c r="AD1786" s="122" t="s">
        <v>2165</v>
      </c>
      <c r="AE1786" s="127">
        <v>8</v>
      </c>
      <c r="DA1786" s="122" t="s">
        <v>333</v>
      </c>
      <c r="DB1786" s="122" t="s">
        <v>643</v>
      </c>
      <c r="DC1786" s="122" t="s">
        <v>643</v>
      </c>
      <c r="DD1786" s="127">
        <v>3</v>
      </c>
      <c r="DE1786" s="127">
        <v>3</v>
      </c>
      <c r="DG1786" s="405" t="s">
        <v>333</v>
      </c>
      <c r="DH1786" s="406" t="s">
        <v>643</v>
      </c>
      <c r="DI1786" s="406" t="str">
        <f t="shared" si="59"/>
        <v>MG, Liberdade</v>
      </c>
      <c r="DJ1786" s="406">
        <v>-22.029</v>
      </c>
      <c r="DK1786" s="80">
        <v>-44.32</v>
      </c>
      <c r="DL1786" s="80">
        <v>1152</v>
      </c>
      <c r="DM1786" s="64">
        <v>3</v>
      </c>
      <c r="DN1786" s="406" t="s">
        <v>6807</v>
      </c>
      <c r="DO1786" s="406">
        <v>-22.47</v>
      </c>
      <c r="DP1786" s="80">
        <v>440</v>
      </c>
    </row>
    <row r="1787" spans="29:120" x14ac:dyDescent="0.25">
      <c r="AC1787" s="122" t="s">
        <v>369</v>
      </c>
      <c r="AD1787" s="122" t="s">
        <v>2166</v>
      </c>
      <c r="AE1787" s="127">
        <v>8</v>
      </c>
      <c r="DA1787" s="122" t="s">
        <v>333</v>
      </c>
      <c r="DB1787" s="122" t="s">
        <v>7013</v>
      </c>
      <c r="DC1787" s="122" t="s">
        <v>644</v>
      </c>
      <c r="DD1787" s="127">
        <v>3</v>
      </c>
      <c r="DE1787" s="127">
        <v>3</v>
      </c>
      <c r="DG1787" s="405" t="s">
        <v>333</v>
      </c>
      <c r="DH1787" s="406" t="s">
        <v>644</v>
      </c>
      <c r="DI1787" s="406" t="str">
        <f t="shared" si="59"/>
        <v>MG, Lima Duarte</v>
      </c>
      <c r="DJ1787" s="406">
        <v>-21.843</v>
      </c>
      <c r="DK1787" s="80">
        <v>-43.792999999999999</v>
      </c>
      <c r="DL1787" s="80">
        <v>728</v>
      </c>
      <c r="DM1787" s="64">
        <v>3</v>
      </c>
      <c r="DN1787" s="406" t="s">
        <v>6856</v>
      </c>
      <c r="DO1787" s="406">
        <v>-22.25</v>
      </c>
      <c r="DP1787" s="80">
        <v>367</v>
      </c>
    </row>
    <row r="1788" spans="29:120" x14ac:dyDescent="0.25">
      <c r="AC1788" s="122" t="s">
        <v>348</v>
      </c>
      <c r="AD1788" s="122" t="s">
        <v>2167</v>
      </c>
      <c r="AE1788" s="127">
        <v>8</v>
      </c>
      <c r="DA1788" s="122" t="s">
        <v>333</v>
      </c>
      <c r="DB1788" s="122" t="s">
        <v>7014</v>
      </c>
      <c r="DC1788" s="122" t="s">
        <v>2950</v>
      </c>
      <c r="DD1788" s="127">
        <v>6</v>
      </c>
      <c r="DE1788" s="127">
        <v>6</v>
      </c>
      <c r="DG1788" s="405" t="s">
        <v>333</v>
      </c>
      <c r="DH1788" s="406" t="s">
        <v>2950</v>
      </c>
      <c r="DI1788" s="406" t="str">
        <f t="shared" si="59"/>
        <v>MG, Limeira do Oeste</v>
      </c>
      <c r="DJ1788" s="406">
        <v>-19.550999999999998</v>
      </c>
      <c r="DK1788" s="80">
        <v>-50.581000000000003</v>
      </c>
      <c r="DL1788" s="80">
        <v>428</v>
      </c>
      <c r="DM1788" s="64">
        <v>6</v>
      </c>
      <c r="DN1788" s="406" t="s">
        <v>6541</v>
      </c>
      <c r="DO1788" s="406">
        <v>-18.989999999999998</v>
      </c>
      <c r="DP1788" s="80">
        <v>489</v>
      </c>
    </row>
    <row r="1789" spans="29:120" x14ac:dyDescent="0.25">
      <c r="AC1789" s="122" t="s">
        <v>289</v>
      </c>
      <c r="AD1789" s="122" t="s">
        <v>2168</v>
      </c>
      <c r="AE1789" s="127">
        <v>8</v>
      </c>
      <c r="DA1789" s="122" t="s">
        <v>333</v>
      </c>
      <c r="DB1789" s="122" t="s">
        <v>3005</v>
      </c>
      <c r="DC1789" s="122" t="s">
        <v>3005</v>
      </c>
      <c r="DD1789" s="127">
        <v>6</v>
      </c>
      <c r="DE1789" s="127">
        <v>6</v>
      </c>
      <c r="DG1789" s="405" t="s">
        <v>333</v>
      </c>
      <c r="DH1789" s="406" t="s">
        <v>3005</v>
      </c>
      <c r="DI1789" s="406" t="str">
        <f t="shared" si="59"/>
        <v>MG, Lontra</v>
      </c>
      <c r="DJ1789" s="406">
        <v>-15.903</v>
      </c>
      <c r="DK1789" s="80">
        <v>-44.305</v>
      </c>
      <c r="DL1789" s="80">
        <v>781</v>
      </c>
      <c r="DM1789" s="64">
        <v>6</v>
      </c>
      <c r="DN1789" s="406" t="s">
        <v>6872</v>
      </c>
      <c r="DO1789" s="406">
        <v>-16.37</v>
      </c>
      <c r="DP1789" s="80">
        <v>460</v>
      </c>
    </row>
    <row r="1790" spans="29:120" x14ac:dyDescent="0.25">
      <c r="AC1790" s="122" t="s">
        <v>289</v>
      </c>
      <c r="AD1790" s="122" t="s">
        <v>2169</v>
      </c>
      <c r="AE1790" s="127">
        <v>8</v>
      </c>
      <c r="DA1790" s="122" t="s">
        <v>333</v>
      </c>
      <c r="DB1790" s="122" t="s">
        <v>887</v>
      </c>
      <c r="DC1790" s="122" t="s">
        <v>887</v>
      </c>
      <c r="DD1790" s="127">
        <v>2</v>
      </c>
      <c r="DE1790" s="127">
        <v>2</v>
      </c>
      <c r="DG1790" s="405" t="s">
        <v>333</v>
      </c>
      <c r="DH1790" s="406" t="s">
        <v>887</v>
      </c>
      <c r="DI1790" s="406" t="str">
        <f t="shared" si="59"/>
        <v>MG, Luisburgo</v>
      </c>
      <c r="DJ1790" s="406">
        <v>-20.440000000000001</v>
      </c>
      <c r="DK1790" s="80">
        <v>-42.103000000000002</v>
      </c>
      <c r="DL1790" s="80">
        <v>800</v>
      </c>
      <c r="DM1790" s="64">
        <v>2</v>
      </c>
      <c r="DN1790" s="406" t="s">
        <v>6478</v>
      </c>
      <c r="DO1790" s="406">
        <v>-20.73</v>
      </c>
      <c r="DP1790" s="80">
        <v>399</v>
      </c>
    </row>
    <row r="1791" spans="29:120" x14ac:dyDescent="0.25">
      <c r="AC1791" s="122" t="s">
        <v>289</v>
      </c>
      <c r="AD1791" s="122" t="s">
        <v>2170</v>
      </c>
      <c r="AE1791" s="127">
        <v>8</v>
      </c>
      <c r="DA1791" s="122" t="s">
        <v>333</v>
      </c>
      <c r="DB1791" s="122" t="s">
        <v>3033</v>
      </c>
      <c r="DC1791" s="122" t="s">
        <v>3033</v>
      </c>
      <c r="DD1791" s="127">
        <v>6</v>
      </c>
      <c r="DE1791" s="127">
        <v>6</v>
      </c>
      <c r="DG1791" s="405" t="s">
        <v>333</v>
      </c>
      <c r="DH1791" s="406" t="s">
        <v>3033</v>
      </c>
      <c r="DI1791" s="406" t="str">
        <f t="shared" si="59"/>
        <v>MG, Luislândia</v>
      </c>
      <c r="DJ1791" s="406">
        <v>-16.117999999999999</v>
      </c>
      <c r="DK1791" s="80">
        <v>-44.588999999999999</v>
      </c>
      <c r="DL1791" s="80">
        <v>758</v>
      </c>
      <c r="DM1791" s="64">
        <v>6</v>
      </c>
      <c r="DN1791" s="406" t="s">
        <v>6872</v>
      </c>
      <c r="DO1791" s="406">
        <v>-16.37</v>
      </c>
      <c r="DP1791" s="80">
        <v>460</v>
      </c>
    </row>
    <row r="1792" spans="29:120" x14ac:dyDescent="0.25">
      <c r="AC1792" s="122" t="s">
        <v>333</v>
      </c>
      <c r="AD1792" s="122" t="s">
        <v>2171</v>
      </c>
      <c r="AE1792" s="127">
        <v>2</v>
      </c>
      <c r="DA1792" s="122" t="s">
        <v>333</v>
      </c>
      <c r="DB1792" s="122" t="s">
        <v>861</v>
      </c>
      <c r="DC1792" s="122" t="s">
        <v>861</v>
      </c>
      <c r="DD1792" s="127">
        <v>2</v>
      </c>
      <c r="DE1792" s="127">
        <v>2</v>
      </c>
      <c r="DG1792" s="405" t="s">
        <v>333</v>
      </c>
      <c r="DH1792" s="406" t="s">
        <v>861</v>
      </c>
      <c r="DI1792" s="406" t="str">
        <f t="shared" si="59"/>
        <v>MG, Luminárias</v>
      </c>
      <c r="DJ1792" s="406">
        <v>-21.510999999999999</v>
      </c>
      <c r="DK1792" s="80">
        <v>-44.902999999999999</v>
      </c>
      <c r="DL1792" s="80">
        <v>957</v>
      </c>
      <c r="DM1792" s="64">
        <v>2</v>
      </c>
      <c r="DN1792" s="406" t="s">
        <v>6811</v>
      </c>
      <c r="DO1792" s="406">
        <v>-21.55</v>
      </c>
      <c r="DP1792" s="80">
        <v>955</v>
      </c>
    </row>
    <row r="1793" spans="29:120" x14ac:dyDescent="0.25">
      <c r="AC1793" s="122" t="s">
        <v>289</v>
      </c>
      <c r="AD1793" s="122" t="s">
        <v>2172</v>
      </c>
      <c r="AE1793" s="127">
        <v>8</v>
      </c>
      <c r="DA1793" s="122" t="s">
        <v>333</v>
      </c>
      <c r="DB1793" s="122" t="s">
        <v>2902</v>
      </c>
      <c r="DC1793" s="122" t="s">
        <v>2902</v>
      </c>
      <c r="DD1793" s="127">
        <v>3</v>
      </c>
      <c r="DE1793" s="127">
        <v>3</v>
      </c>
      <c r="DG1793" s="405" t="s">
        <v>333</v>
      </c>
      <c r="DH1793" s="406" t="s">
        <v>2902</v>
      </c>
      <c r="DI1793" s="406" t="str">
        <f t="shared" si="59"/>
        <v>MG, Luz</v>
      </c>
      <c r="DJ1793" s="406">
        <v>-19.800999999999998</v>
      </c>
      <c r="DK1793" s="80">
        <v>-45.686</v>
      </c>
      <c r="DL1793" s="80">
        <v>675</v>
      </c>
      <c r="DM1793" s="64">
        <v>3</v>
      </c>
      <c r="DN1793" s="406" t="s">
        <v>6795</v>
      </c>
      <c r="DO1793" s="406">
        <v>-19.46</v>
      </c>
      <c r="DP1793" s="80">
        <v>722</v>
      </c>
    </row>
    <row r="1794" spans="29:120" x14ac:dyDescent="0.25">
      <c r="AC1794" s="122" t="s">
        <v>289</v>
      </c>
      <c r="AD1794" s="122" t="s">
        <v>2173</v>
      </c>
      <c r="AE1794" s="127">
        <v>8</v>
      </c>
      <c r="DA1794" s="122" t="s">
        <v>333</v>
      </c>
      <c r="DB1794" s="122" t="s">
        <v>1870</v>
      </c>
      <c r="DC1794" s="122" t="s">
        <v>1870</v>
      </c>
      <c r="DD1794" s="127">
        <v>5</v>
      </c>
      <c r="DE1794" s="127">
        <v>5</v>
      </c>
      <c r="DG1794" s="405" t="s">
        <v>333</v>
      </c>
      <c r="DH1794" s="406" t="s">
        <v>1870</v>
      </c>
      <c r="DI1794" s="406" t="str">
        <f t="shared" si="59"/>
        <v>MG, Machacalis</v>
      </c>
      <c r="DJ1794" s="406">
        <v>-17.077000000000002</v>
      </c>
      <c r="DK1794" s="80">
        <v>-40.716000000000001</v>
      </c>
      <c r="DL1794" s="80">
        <v>285</v>
      </c>
      <c r="DM1794" s="64">
        <v>5</v>
      </c>
      <c r="DN1794" s="406" t="s">
        <v>6290</v>
      </c>
      <c r="DO1794" s="406">
        <v>-17.78</v>
      </c>
      <c r="DP1794" s="80">
        <v>208</v>
      </c>
    </row>
    <row r="1795" spans="29:120" x14ac:dyDescent="0.25">
      <c r="AC1795" s="122" t="s">
        <v>348</v>
      </c>
      <c r="AD1795" s="122" t="s">
        <v>2174</v>
      </c>
      <c r="AE1795" s="127">
        <v>7</v>
      </c>
      <c r="DA1795" s="122" t="s">
        <v>333</v>
      </c>
      <c r="DB1795" s="122" t="s">
        <v>3796</v>
      </c>
      <c r="DC1795" s="122" t="s">
        <v>3796</v>
      </c>
      <c r="DD1795" s="127">
        <v>2</v>
      </c>
      <c r="DE1795" s="127">
        <v>2</v>
      </c>
      <c r="DG1795" s="405" t="s">
        <v>333</v>
      </c>
      <c r="DH1795" s="406" t="s">
        <v>3796</v>
      </c>
      <c r="DI1795" s="406" t="str">
        <f t="shared" ref="DI1795:DI1858" si="60">CONCATENATE(DG1795,", ",DH1795)</f>
        <v>MG, Machado</v>
      </c>
      <c r="DJ1795" s="406">
        <v>-21.675000000000001</v>
      </c>
      <c r="DK1795" s="80">
        <v>-45.92</v>
      </c>
      <c r="DL1795" s="80">
        <v>820</v>
      </c>
      <c r="DM1795" s="64">
        <v>2</v>
      </c>
      <c r="DN1795" s="406" t="s">
        <v>6811</v>
      </c>
      <c r="DO1795" s="406">
        <v>-21.55</v>
      </c>
      <c r="DP1795" s="80">
        <v>955</v>
      </c>
    </row>
    <row r="1796" spans="29:120" x14ac:dyDescent="0.25">
      <c r="AC1796" s="122" t="s">
        <v>393</v>
      </c>
      <c r="AD1796" s="122" t="s">
        <v>2175</v>
      </c>
      <c r="AE1796" s="127">
        <v>7</v>
      </c>
      <c r="DA1796" s="122" t="s">
        <v>333</v>
      </c>
      <c r="DB1796" s="122" t="s">
        <v>7015</v>
      </c>
      <c r="DC1796" s="122" t="s">
        <v>846</v>
      </c>
      <c r="DD1796" s="127">
        <v>3</v>
      </c>
      <c r="DE1796" s="127">
        <v>3</v>
      </c>
      <c r="DG1796" s="405" t="s">
        <v>333</v>
      </c>
      <c r="DH1796" s="406" t="s">
        <v>846</v>
      </c>
      <c r="DI1796" s="406" t="str">
        <f t="shared" si="60"/>
        <v>MG, Madre de Deus de Minas</v>
      </c>
      <c r="DJ1796" s="406">
        <v>-21.483000000000001</v>
      </c>
      <c r="DK1796" s="80">
        <v>-44.33</v>
      </c>
      <c r="DL1796" s="80">
        <v>1018</v>
      </c>
      <c r="DM1796" s="64">
        <v>3</v>
      </c>
      <c r="DN1796" s="406" t="s">
        <v>6813</v>
      </c>
      <c r="DO1796" s="406">
        <v>-21.14</v>
      </c>
      <c r="DP1796" s="80">
        <v>991</v>
      </c>
    </row>
    <row r="1797" spans="29:120" x14ac:dyDescent="0.25">
      <c r="AC1797" s="122" t="s">
        <v>289</v>
      </c>
      <c r="AD1797" s="122" t="s">
        <v>2176</v>
      </c>
      <c r="AE1797" s="127">
        <v>8</v>
      </c>
      <c r="DA1797" s="122" t="s">
        <v>333</v>
      </c>
      <c r="DB1797" s="122" t="s">
        <v>1987</v>
      </c>
      <c r="DC1797" s="122" t="s">
        <v>1987</v>
      </c>
      <c r="DD1797" s="127">
        <v>5</v>
      </c>
      <c r="DE1797" s="127">
        <v>5</v>
      </c>
      <c r="DG1797" s="405" t="s">
        <v>333</v>
      </c>
      <c r="DH1797" s="406" t="s">
        <v>1987</v>
      </c>
      <c r="DI1797" s="406" t="str">
        <f t="shared" si="60"/>
        <v>MG, Malacacheta</v>
      </c>
      <c r="DJ1797" s="406">
        <v>-17.841999999999999</v>
      </c>
      <c r="DK1797" s="80">
        <v>-42.076999999999998</v>
      </c>
      <c r="DL1797" s="80">
        <v>432</v>
      </c>
      <c r="DM1797" s="64">
        <v>5</v>
      </c>
      <c r="DN1797" s="406" t="s">
        <v>6800</v>
      </c>
      <c r="DO1797" s="406">
        <v>-17.690000000000001</v>
      </c>
      <c r="DP1797" s="80">
        <v>932</v>
      </c>
    </row>
    <row r="1798" spans="29:120" x14ac:dyDescent="0.25">
      <c r="AC1798" s="122" t="s">
        <v>289</v>
      </c>
      <c r="AD1798" s="122" t="s">
        <v>2177</v>
      </c>
      <c r="AE1798" s="127">
        <v>8</v>
      </c>
      <c r="DA1798" s="122" t="s">
        <v>333</v>
      </c>
      <c r="DB1798" s="122" t="s">
        <v>5386</v>
      </c>
      <c r="DC1798" s="122" t="s">
        <v>5386</v>
      </c>
      <c r="DD1798" s="127">
        <v>6</v>
      </c>
      <c r="DE1798" s="127">
        <v>6</v>
      </c>
      <c r="DG1798" s="405" t="s">
        <v>333</v>
      </c>
      <c r="DH1798" s="406" t="s">
        <v>5386</v>
      </c>
      <c r="DI1798" s="406" t="str">
        <f t="shared" si="60"/>
        <v>MG, Mamonas</v>
      </c>
      <c r="DJ1798" s="406">
        <v>-15.05</v>
      </c>
      <c r="DK1798" s="80">
        <v>-42.948999999999998</v>
      </c>
      <c r="DL1798" s="80">
        <v>681</v>
      </c>
      <c r="DM1798" s="64">
        <v>6</v>
      </c>
      <c r="DN1798" s="406" t="s">
        <v>6909</v>
      </c>
      <c r="DO1798" s="406">
        <v>-15.09</v>
      </c>
      <c r="DP1798" s="80">
        <v>460</v>
      </c>
    </row>
    <row r="1799" spans="29:120" x14ac:dyDescent="0.25">
      <c r="AC1799" s="122" t="s">
        <v>333</v>
      </c>
      <c r="AD1799" s="122" t="s">
        <v>2178</v>
      </c>
      <c r="AE1799" s="127">
        <v>3</v>
      </c>
      <c r="DA1799" s="122" t="s">
        <v>333</v>
      </c>
      <c r="DB1799" s="122" t="s">
        <v>2945</v>
      </c>
      <c r="DC1799" s="122" t="s">
        <v>2945</v>
      </c>
      <c r="DD1799" s="127">
        <v>6</v>
      </c>
      <c r="DE1799" s="127">
        <v>6</v>
      </c>
      <c r="DG1799" s="405" t="s">
        <v>333</v>
      </c>
      <c r="DH1799" s="406" t="s">
        <v>2945</v>
      </c>
      <c r="DI1799" s="406" t="str">
        <f t="shared" si="60"/>
        <v>MG, Manga</v>
      </c>
      <c r="DJ1799" s="406">
        <v>-14.756</v>
      </c>
      <c r="DK1799" s="80">
        <v>-43.932000000000002</v>
      </c>
      <c r="DL1799" s="80">
        <v>440</v>
      </c>
      <c r="DM1799" s="64">
        <v>6</v>
      </c>
      <c r="DN1799" s="406" t="s">
        <v>6258</v>
      </c>
      <c r="DO1799" s="406">
        <v>-14.42</v>
      </c>
      <c r="DP1799" s="80">
        <v>512</v>
      </c>
    </row>
    <row r="1800" spans="29:120" x14ac:dyDescent="0.25">
      <c r="AC1800" s="122" t="s">
        <v>348</v>
      </c>
      <c r="AD1800" s="122" t="s">
        <v>2179</v>
      </c>
      <c r="AE1800" s="127">
        <v>8</v>
      </c>
      <c r="DA1800" s="122" t="s">
        <v>333</v>
      </c>
      <c r="DB1800" s="122" t="s">
        <v>912</v>
      </c>
      <c r="DC1800" s="122" t="s">
        <v>912</v>
      </c>
      <c r="DD1800" s="127">
        <v>2</v>
      </c>
      <c r="DE1800" s="127">
        <v>2</v>
      </c>
      <c r="DG1800" s="405" t="s">
        <v>333</v>
      </c>
      <c r="DH1800" s="406" t="s">
        <v>912</v>
      </c>
      <c r="DI1800" s="406" t="str">
        <f t="shared" si="60"/>
        <v>MG, Manhuaçu</v>
      </c>
      <c r="DJ1800" s="406">
        <v>-20.257999999999999</v>
      </c>
      <c r="DK1800" s="80">
        <v>-42.033999999999999</v>
      </c>
      <c r="DL1800" s="80">
        <v>635</v>
      </c>
      <c r="DM1800" s="64">
        <v>2</v>
      </c>
      <c r="DN1800" s="406" t="s">
        <v>6478</v>
      </c>
      <c r="DO1800" s="406">
        <v>-20.73</v>
      </c>
      <c r="DP1800" s="80">
        <v>399</v>
      </c>
    </row>
    <row r="1801" spans="29:120" x14ac:dyDescent="0.25">
      <c r="AC1801" s="122" t="s">
        <v>348</v>
      </c>
      <c r="AD1801" s="122" t="s">
        <v>2180</v>
      </c>
      <c r="AE1801" s="127">
        <v>6</v>
      </c>
      <c r="DA1801" s="122" t="s">
        <v>333</v>
      </c>
      <c r="DB1801" s="122" t="s">
        <v>917</v>
      </c>
      <c r="DC1801" s="122" t="s">
        <v>917</v>
      </c>
      <c r="DD1801" s="127">
        <v>2</v>
      </c>
      <c r="DE1801" s="127">
        <v>2</v>
      </c>
      <c r="DG1801" s="405" t="s">
        <v>333</v>
      </c>
      <c r="DH1801" s="406" t="s">
        <v>917</v>
      </c>
      <c r="DI1801" s="406" t="str">
        <f t="shared" si="60"/>
        <v>MG, Manhumirim</v>
      </c>
      <c r="DJ1801" s="406">
        <v>-20.358000000000001</v>
      </c>
      <c r="DK1801" s="80">
        <v>-41.957999999999998</v>
      </c>
      <c r="DL1801" s="80">
        <v>611</v>
      </c>
      <c r="DM1801" s="64">
        <v>2</v>
      </c>
      <c r="DN1801" s="406" t="s">
        <v>6478</v>
      </c>
      <c r="DO1801" s="406">
        <v>-20.73</v>
      </c>
      <c r="DP1801" s="80">
        <v>399</v>
      </c>
    </row>
    <row r="1802" spans="29:120" x14ac:dyDescent="0.25">
      <c r="AC1802" s="122" t="s">
        <v>348</v>
      </c>
      <c r="AD1802" s="122" t="s">
        <v>1337</v>
      </c>
      <c r="AE1802" s="127">
        <v>8</v>
      </c>
      <c r="DA1802" s="122" t="s">
        <v>333</v>
      </c>
      <c r="DB1802" s="122" t="s">
        <v>1896</v>
      </c>
      <c r="DC1802" s="122" t="s">
        <v>1896</v>
      </c>
      <c r="DD1802" s="127">
        <v>5</v>
      </c>
      <c r="DE1802" s="127">
        <v>5</v>
      </c>
      <c r="DG1802" s="405" t="s">
        <v>333</v>
      </c>
      <c r="DH1802" s="406" t="s">
        <v>1896</v>
      </c>
      <c r="DI1802" s="406" t="str">
        <f t="shared" si="60"/>
        <v>MG, Mantena</v>
      </c>
      <c r="DJ1802" s="406">
        <v>-18.782</v>
      </c>
      <c r="DK1802" s="80">
        <v>-40.98</v>
      </c>
      <c r="DL1802" s="80">
        <v>212</v>
      </c>
      <c r="DM1802" s="64">
        <v>5</v>
      </c>
      <c r="DN1802" s="406" t="s">
        <v>6456</v>
      </c>
      <c r="DO1802" s="406">
        <v>-18.78</v>
      </c>
      <c r="DP1802" s="80">
        <v>214</v>
      </c>
    </row>
    <row r="1803" spans="29:120" x14ac:dyDescent="0.25">
      <c r="AC1803" s="122" t="s">
        <v>348</v>
      </c>
      <c r="AD1803" s="122" t="s">
        <v>2181</v>
      </c>
      <c r="AE1803" s="127">
        <v>8</v>
      </c>
      <c r="DA1803" s="122" t="s">
        <v>333</v>
      </c>
      <c r="DB1803" s="122" t="s">
        <v>7016</v>
      </c>
      <c r="DC1803" s="122" t="s">
        <v>645</v>
      </c>
      <c r="DD1803" s="127">
        <v>3</v>
      </c>
      <c r="DE1803" s="127">
        <v>3</v>
      </c>
      <c r="DG1803" s="405" t="s">
        <v>333</v>
      </c>
      <c r="DH1803" s="406" t="s">
        <v>645</v>
      </c>
      <c r="DI1803" s="406" t="str">
        <f t="shared" si="60"/>
        <v>MG, Mar de Espanha</v>
      </c>
      <c r="DJ1803" s="406">
        <v>-21.867000000000001</v>
      </c>
      <c r="DK1803" s="80">
        <v>-43.01</v>
      </c>
      <c r="DL1803" s="80">
        <v>478</v>
      </c>
      <c r="DM1803" s="64">
        <v>3</v>
      </c>
      <c r="DN1803" s="406" t="s">
        <v>6829</v>
      </c>
      <c r="DO1803" s="406">
        <v>-21.76</v>
      </c>
      <c r="DP1803" s="80">
        <v>950</v>
      </c>
    </row>
    <row r="1804" spans="29:120" x14ac:dyDescent="0.25">
      <c r="AC1804" s="122" t="s">
        <v>289</v>
      </c>
      <c r="AD1804" s="122" t="s">
        <v>2182</v>
      </c>
      <c r="AE1804" s="127">
        <v>7</v>
      </c>
      <c r="DA1804" s="122" t="s">
        <v>333</v>
      </c>
      <c r="DB1804" s="122" t="s">
        <v>3744</v>
      </c>
      <c r="DC1804" s="122" t="s">
        <v>3744</v>
      </c>
      <c r="DD1804" s="127">
        <v>4</v>
      </c>
      <c r="DE1804" s="127">
        <v>4</v>
      </c>
      <c r="DG1804" s="405" t="s">
        <v>333</v>
      </c>
      <c r="DH1804" s="406" t="s">
        <v>3744</v>
      </c>
      <c r="DI1804" s="406" t="str">
        <f t="shared" si="60"/>
        <v>MG, Maravilhas</v>
      </c>
      <c r="DJ1804" s="406">
        <v>-19.515999999999998</v>
      </c>
      <c r="DK1804" s="80">
        <v>-44.676000000000002</v>
      </c>
      <c r="DL1804" s="80">
        <v>775</v>
      </c>
      <c r="DM1804" s="64">
        <v>4</v>
      </c>
      <c r="DN1804" s="406" t="s">
        <v>6879</v>
      </c>
      <c r="DO1804" s="406">
        <v>-19.89</v>
      </c>
      <c r="DP1804" s="80">
        <v>742</v>
      </c>
    </row>
    <row r="1805" spans="29:120" x14ac:dyDescent="0.25">
      <c r="AC1805" s="122" t="s">
        <v>289</v>
      </c>
      <c r="AD1805" s="122" t="s">
        <v>2183</v>
      </c>
      <c r="AE1805" s="127">
        <v>8</v>
      </c>
      <c r="DA1805" s="122" t="s">
        <v>333</v>
      </c>
      <c r="DB1805" s="122" t="s">
        <v>7017</v>
      </c>
      <c r="DC1805" s="122" t="s">
        <v>646</v>
      </c>
      <c r="DD1805" s="127">
        <v>2</v>
      </c>
      <c r="DE1805" s="127">
        <v>2</v>
      </c>
      <c r="DG1805" s="405" t="s">
        <v>333</v>
      </c>
      <c r="DH1805" s="406" t="s">
        <v>646</v>
      </c>
      <c r="DI1805" s="406" t="str">
        <f t="shared" si="60"/>
        <v>MG, Maria da Fé</v>
      </c>
      <c r="DJ1805" s="406">
        <v>-22.308</v>
      </c>
      <c r="DK1805" s="80">
        <v>-45.375</v>
      </c>
      <c r="DL1805" s="80">
        <v>1278</v>
      </c>
      <c r="DM1805" s="64">
        <v>2</v>
      </c>
      <c r="DN1805" s="406" t="s">
        <v>6881</v>
      </c>
      <c r="DO1805" s="406">
        <v>-22.31</v>
      </c>
      <c r="DP1805" s="80">
        <v>1276</v>
      </c>
    </row>
    <row r="1806" spans="29:120" x14ac:dyDescent="0.25">
      <c r="AC1806" s="122" t="s">
        <v>289</v>
      </c>
      <c r="AD1806" s="122" t="s">
        <v>2184</v>
      </c>
      <c r="AE1806" s="127">
        <v>8</v>
      </c>
      <c r="DA1806" s="122" t="s">
        <v>333</v>
      </c>
      <c r="DB1806" s="122" t="s">
        <v>647</v>
      </c>
      <c r="DC1806" s="122" t="s">
        <v>647</v>
      </c>
      <c r="DD1806" s="127">
        <v>3</v>
      </c>
      <c r="DE1806" s="127">
        <v>3</v>
      </c>
      <c r="DG1806" s="405" t="s">
        <v>333</v>
      </c>
      <c r="DH1806" s="406" t="s">
        <v>647</v>
      </c>
      <c r="DI1806" s="406" t="str">
        <f t="shared" si="60"/>
        <v>MG, Mariana</v>
      </c>
      <c r="DJ1806" s="406">
        <v>-20.378</v>
      </c>
      <c r="DK1806" s="80">
        <v>-43.415999999999997</v>
      </c>
      <c r="DL1806" s="80">
        <v>712</v>
      </c>
      <c r="DM1806" s="64">
        <v>3</v>
      </c>
      <c r="DN1806" s="406" t="s">
        <v>6848</v>
      </c>
      <c r="DO1806" s="406">
        <v>-20.52</v>
      </c>
      <c r="DP1806" s="80">
        <v>1061</v>
      </c>
    </row>
    <row r="1807" spans="29:120" x14ac:dyDescent="0.25">
      <c r="AC1807" s="122" t="s">
        <v>348</v>
      </c>
      <c r="AD1807" s="122" t="s">
        <v>2185</v>
      </c>
      <c r="AE1807" s="127">
        <v>8</v>
      </c>
      <c r="DA1807" s="122" t="s">
        <v>333</v>
      </c>
      <c r="DB1807" s="122" t="s">
        <v>1999</v>
      </c>
      <c r="DC1807" s="122" t="s">
        <v>1999</v>
      </c>
      <c r="DD1807" s="127">
        <v>5</v>
      </c>
      <c r="DE1807" s="127">
        <v>5</v>
      </c>
      <c r="DG1807" s="405" t="s">
        <v>333</v>
      </c>
      <c r="DH1807" s="406" t="s">
        <v>1999</v>
      </c>
      <c r="DI1807" s="406" t="str">
        <f t="shared" si="60"/>
        <v>MG, Marilac</v>
      </c>
      <c r="DJ1807" s="406">
        <v>-18.507999999999999</v>
      </c>
      <c r="DK1807" s="80">
        <v>-42.084000000000003</v>
      </c>
      <c r="DL1807" s="80">
        <v>248</v>
      </c>
      <c r="DM1807" s="64">
        <v>5</v>
      </c>
      <c r="DN1807" s="406" t="s">
        <v>6814</v>
      </c>
      <c r="DO1807" s="406">
        <v>-18.850000000000001</v>
      </c>
      <c r="DP1807" s="80">
        <v>263</v>
      </c>
    </row>
    <row r="1808" spans="29:120" x14ac:dyDescent="0.25">
      <c r="AC1808" s="122" t="s">
        <v>309</v>
      </c>
      <c r="AD1808" s="122" t="s">
        <v>2186</v>
      </c>
      <c r="AE1808" s="127">
        <v>4</v>
      </c>
      <c r="DA1808" s="122" t="s">
        <v>333</v>
      </c>
      <c r="DB1808" s="122" t="s">
        <v>7018</v>
      </c>
      <c r="DC1808" s="122" t="s">
        <v>533</v>
      </c>
      <c r="DD1808" s="127">
        <v>2</v>
      </c>
      <c r="DE1808" s="127">
        <v>2</v>
      </c>
      <c r="DG1808" s="405" t="s">
        <v>333</v>
      </c>
      <c r="DH1808" s="406" t="s">
        <v>533</v>
      </c>
      <c r="DI1808" s="406" t="str">
        <f t="shared" si="60"/>
        <v>MG, Mário Campos</v>
      </c>
      <c r="DJ1808" s="406">
        <v>-20.056000000000001</v>
      </c>
      <c r="DK1808" s="80">
        <v>-44.188000000000002</v>
      </c>
      <c r="DL1808" s="80">
        <v>730</v>
      </c>
      <c r="DM1808" s="64">
        <v>2</v>
      </c>
      <c r="DN1808" s="406" t="s">
        <v>6849</v>
      </c>
      <c r="DO1808" s="406">
        <v>-20.03</v>
      </c>
      <c r="DP1808" s="80">
        <v>1208</v>
      </c>
    </row>
    <row r="1809" spans="29:120" x14ac:dyDescent="0.25">
      <c r="AC1809" s="122" t="s">
        <v>289</v>
      </c>
      <c r="AD1809" s="122" t="s">
        <v>2187</v>
      </c>
      <c r="AE1809" s="127">
        <v>8</v>
      </c>
      <c r="DA1809" s="122" t="s">
        <v>333</v>
      </c>
      <c r="DB1809" s="122" t="s">
        <v>7019</v>
      </c>
      <c r="DC1809" s="122" t="s">
        <v>3460</v>
      </c>
      <c r="DD1809" s="127">
        <v>3</v>
      </c>
      <c r="DE1809" s="127">
        <v>3</v>
      </c>
      <c r="DG1809" s="405" t="s">
        <v>333</v>
      </c>
      <c r="DH1809" s="406" t="s">
        <v>3460</v>
      </c>
      <c r="DI1809" s="406" t="str">
        <f t="shared" si="60"/>
        <v>MG, Maripá de Minas</v>
      </c>
      <c r="DJ1809" s="406">
        <v>-21.698</v>
      </c>
      <c r="DK1809" s="80">
        <v>-42.959000000000003</v>
      </c>
      <c r="DL1809" s="80">
        <v>550</v>
      </c>
      <c r="DM1809" s="64">
        <v>3</v>
      </c>
      <c r="DN1809" s="406" t="s">
        <v>6829</v>
      </c>
      <c r="DO1809" s="406">
        <v>-21.76</v>
      </c>
      <c r="DP1809" s="80">
        <v>950</v>
      </c>
    </row>
    <row r="1810" spans="29:120" x14ac:dyDescent="0.25">
      <c r="AC1810" s="122" t="s">
        <v>348</v>
      </c>
      <c r="AD1810" s="122" t="s">
        <v>2188</v>
      </c>
      <c r="AE1810" s="127">
        <v>8</v>
      </c>
      <c r="DA1810" s="122" t="s">
        <v>333</v>
      </c>
      <c r="DB1810" s="122" t="s">
        <v>1839</v>
      </c>
      <c r="DC1810" s="122" t="s">
        <v>1839</v>
      </c>
      <c r="DD1810" s="127">
        <v>3</v>
      </c>
      <c r="DE1810" s="127">
        <v>3</v>
      </c>
      <c r="DG1810" s="405" t="s">
        <v>333</v>
      </c>
      <c r="DH1810" s="406" t="s">
        <v>1839</v>
      </c>
      <c r="DI1810" s="406" t="str">
        <f t="shared" si="60"/>
        <v>MG, Marliéria</v>
      </c>
      <c r="DJ1810" s="406">
        <v>-19.712</v>
      </c>
      <c r="DK1810" s="80">
        <v>-42.731999999999999</v>
      </c>
      <c r="DL1810" s="80">
        <v>536</v>
      </c>
      <c r="DM1810" s="64">
        <v>3</v>
      </c>
      <c r="DN1810" s="406" t="s">
        <v>6798</v>
      </c>
      <c r="DO1810" s="406">
        <v>-19.579999999999998</v>
      </c>
      <c r="DP1810" s="80">
        <v>333</v>
      </c>
    </row>
    <row r="1811" spans="29:120" x14ac:dyDescent="0.25">
      <c r="AC1811" s="122" t="s">
        <v>289</v>
      </c>
      <c r="AD1811" s="122" t="s">
        <v>2189</v>
      </c>
      <c r="AE1811" s="127">
        <v>8</v>
      </c>
      <c r="DA1811" s="122" t="s">
        <v>333</v>
      </c>
      <c r="DB1811" s="122" t="s">
        <v>931</v>
      </c>
      <c r="DC1811" s="122" t="s">
        <v>931</v>
      </c>
      <c r="DD1811" s="127">
        <v>2</v>
      </c>
      <c r="DE1811" s="127">
        <v>2</v>
      </c>
      <c r="DG1811" s="405" t="s">
        <v>333</v>
      </c>
      <c r="DH1811" s="406" t="s">
        <v>931</v>
      </c>
      <c r="DI1811" s="406" t="str">
        <f t="shared" si="60"/>
        <v>MG, Marmelópolis</v>
      </c>
      <c r="DJ1811" s="406">
        <v>-22.449000000000002</v>
      </c>
      <c r="DK1811" s="80">
        <v>-45.164999999999999</v>
      </c>
      <c r="DL1811" s="80">
        <v>1277</v>
      </c>
      <c r="DM1811" s="64">
        <v>2</v>
      </c>
      <c r="DN1811" s="406" t="s">
        <v>6837</v>
      </c>
      <c r="DO1811" s="406">
        <v>-22.39</v>
      </c>
      <c r="DP1811" s="80">
        <v>1040</v>
      </c>
    </row>
    <row r="1812" spans="29:120" x14ac:dyDescent="0.25">
      <c r="AC1812" s="122" t="s">
        <v>348</v>
      </c>
      <c r="AD1812" s="122" t="s">
        <v>2190</v>
      </c>
      <c r="AE1812" s="127">
        <v>8</v>
      </c>
      <c r="DA1812" s="122" t="s">
        <v>333</v>
      </c>
      <c r="DB1812" s="122" t="s">
        <v>7020</v>
      </c>
      <c r="DC1812" s="122" t="s">
        <v>3402</v>
      </c>
      <c r="DD1812" s="127">
        <v>3</v>
      </c>
      <c r="DE1812" s="127">
        <v>3</v>
      </c>
      <c r="DG1812" s="405" t="s">
        <v>333</v>
      </c>
      <c r="DH1812" s="406" t="s">
        <v>3402</v>
      </c>
      <c r="DI1812" s="406" t="str">
        <f t="shared" si="60"/>
        <v>MG, Martinho Campos</v>
      </c>
      <c r="DJ1812" s="406">
        <v>-19.332000000000001</v>
      </c>
      <c r="DK1812" s="80">
        <v>-45.237000000000002</v>
      </c>
      <c r="DL1812" s="80">
        <v>674</v>
      </c>
      <c r="DM1812" s="64">
        <v>3</v>
      </c>
      <c r="DN1812" s="406" t="s">
        <v>6795</v>
      </c>
      <c r="DO1812" s="406">
        <v>-19.46</v>
      </c>
      <c r="DP1812" s="80">
        <v>722</v>
      </c>
    </row>
    <row r="1813" spans="29:120" x14ac:dyDescent="0.25">
      <c r="AC1813" s="122" t="s">
        <v>333</v>
      </c>
      <c r="AD1813" s="122" t="s">
        <v>2191</v>
      </c>
      <c r="AE1813" s="127">
        <v>3</v>
      </c>
      <c r="DA1813" s="122" t="s">
        <v>333</v>
      </c>
      <c r="DB1813" s="122" t="s">
        <v>7021</v>
      </c>
      <c r="DC1813" s="122" t="s">
        <v>906</v>
      </c>
      <c r="DD1813" s="127">
        <v>3</v>
      </c>
      <c r="DE1813" s="127">
        <v>3</v>
      </c>
      <c r="DG1813" s="405" t="s">
        <v>333</v>
      </c>
      <c r="DH1813" s="406" t="s">
        <v>906</v>
      </c>
      <c r="DI1813" s="406" t="str">
        <f t="shared" si="60"/>
        <v>MG, Martins Soares</v>
      </c>
      <c r="DJ1813" s="406">
        <v>-20.257000000000001</v>
      </c>
      <c r="DK1813" s="80">
        <v>-41.877000000000002</v>
      </c>
      <c r="DL1813" s="80">
        <v>700</v>
      </c>
      <c r="DM1813" s="64">
        <v>3</v>
      </c>
      <c r="DN1813" s="406" t="s">
        <v>6478</v>
      </c>
      <c r="DO1813" s="406">
        <v>-20.73</v>
      </c>
      <c r="DP1813" s="80">
        <v>399</v>
      </c>
    </row>
    <row r="1814" spans="29:120" x14ac:dyDescent="0.25">
      <c r="AC1814" s="122" t="s">
        <v>333</v>
      </c>
      <c r="AD1814" s="122" t="s">
        <v>2192</v>
      </c>
      <c r="AE1814" s="127">
        <v>2</v>
      </c>
      <c r="DA1814" s="122" t="s">
        <v>333</v>
      </c>
      <c r="DB1814" s="122" t="s">
        <v>7022</v>
      </c>
      <c r="DC1814" s="122" t="s">
        <v>2096</v>
      </c>
      <c r="DD1814" s="127">
        <v>5</v>
      </c>
      <c r="DE1814" s="127">
        <v>5</v>
      </c>
      <c r="DG1814" s="405" t="s">
        <v>333</v>
      </c>
      <c r="DH1814" s="406" t="s">
        <v>2096</v>
      </c>
      <c r="DI1814" s="406" t="str">
        <f t="shared" si="60"/>
        <v>MG, Mata Verde</v>
      </c>
      <c r="DJ1814" s="406">
        <v>-15.686</v>
      </c>
      <c r="DK1814" s="80">
        <v>-40.741</v>
      </c>
      <c r="DL1814" s="80">
        <v>865</v>
      </c>
      <c r="DM1814" s="64">
        <v>5</v>
      </c>
      <c r="DN1814" s="406" t="s">
        <v>6295</v>
      </c>
      <c r="DO1814" s="406">
        <v>-16.18</v>
      </c>
      <c r="DP1814" s="80">
        <v>208</v>
      </c>
    </row>
    <row r="1815" spans="29:120" x14ac:dyDescent="0.25">
      <c r="AC1815" s="122" t="s">
        <v>333</v>
      </c>
      <c r="AD1815" s="122" t="s">
        <v>2193</v>
      </c>
      <c r="AE1815" s="127">
        <v>3</v>
      </c>
      <c r="DA1815" s="122" t="s">
        <v>333</v>
      </c>
      <c r="DB1815" s="122" t="s">
        <v>886</v>
      </c>
      <c r="DC1815" s="122" t="s">
        <v>886</v>
      </c>
      <c r="DD1815" s="127">
        <v>3</v>
      </c>
      <c r="DE1815" s="127">
        <v>3</v>
      </c>
      <c r="DG1815" s="405" t="s">
        <v>333</v>
      </c>
      <c r="DH1815" s="406" t="s">
        <v>886</v>
      </c>
      <c r="DI1815" s="406" t="str">
        <f t="shared" si="60"/>
        <v>MG, Materlândia</v>
      </c>
      <c r="DJ1815" s="406">
        <v>-18.474</v>
      </c>
      <c r="DK1815" s="80">
        <v>-43.06</v>
      </c>
      <c r="DL1815" s="80">
        <v>781</v>
      </c>
      <c r="DM1815" s="64">
        <v>3</v>
      </c>
      <c r="DN1815" s="406" t="s">
        <v>6821</v>
      </c>
      <c r="DO1815" s="406">
        <v>-18.23</v>
      </c>
      <c r="DP1815" s="80">
        <v>1356</v>
      </c>
    </row>
    <row r="1816" spans="29:120" x14ac:dyDescent="0.25">
      <c r="AC1816" s="122" t="s">
        <v>348</v>
      </c>
      <c r="AD1816" s="122" t="s">
        <v>2194</v>
      </c>
      <c r="AE1816" s="127">
        <v>8</v>
      </c>
      <c r="DA1816" s="122" t="s">
        <v>333</v>
      </c>
      <c r="DB1816" s="122" t="s">
        <v>7023</v>
      </c>
      <c r="DC1816" s="122" t="s">
        <v>3863</v>
      </c>
      <c r="DD1816" s="127">
        <v>2</v>
      </c>
      <c r="DE1816" s="127">
        <v>2</v>
      </c>
      <c r="DG1816" s="405" t="s">
        <v>333</v>
      </c>
      <c r="DH1816" s="406" t="s">
        <v>3863</v>
      </c>
      <c r="DI1816" s="406" t="str">
        <f t="shared" si="60"/>
        <v>MG, Mateus Leme</v>
      </c>
      <c r="DJ1816" s="406">
        <v>-19.986000000000001</v>
      </c>
      <c r="DK1816" s="80">
        <v>-44.427999999999997</v>
      </c>
      <c r="DL1816" s="80">
        <v>813</v>
      </c>
      <c r="DM1816" s="64">
        <v>2</v>
      </c>
      <c r="DN1816" s="406" t="s">
        <v>6879</v>
      </c>
      <c r="DO1816" s="406">
        <v>-19.89</v>
      </c>
      <c r="DP1816" s="80">
        <v>742</v>
      </c>
    </row>
    <row r="1817" spans="29:120" x14ac:dyDescent="0.25">
      <c r="AC1817" s="122" t="s">
        <v>289</v>
      </c>
      <c r="AD1817" s="122" t="s">
        <v>2195</v>
      </c>
      <c r="AE1817" s="127">
        <v>8</v>
      </c>
      <c r="DA1817" s="122" t="s">
        <v>333</v>
      </c>
      <c r="DB1817" s="122" t="s">
        <v>7024</v>
      </c>
      <c r="DC1817" s="122" t="s">
        <v>1978</v>
      </c>
      <c r="DD1817" s="127">
        <v>5</v>
      </c>
      <c r="DE1817" s="127">
        <v>5</v>
      </c>
      <c r="DG1817" s="405" t="s">
        <v>333</v>
      </c>
      <c r="DH1817" s="406" t="s">
        <v>1978</v>
      </c>
      <c r="DI1817" s="406" t="str">
        <f t="shared" si="60"/>
        <v>MG, Mathias Lobato</v>
      </c>
      <c r="DJ1817" s="406">
        <v>-18.591999999999999</v>
      </c>
      <c r="DK1817" s="80">
        <v>-41.908000000000001</v>
      </c>
      <c r="DL1817" s="80">
        <v>210</v>
      </c>
      <c r="DM1817" s="64">
        <v>5</v>
      </c>
      <c r="DN1817" s="406" t="s">
        <v>6814</v>
      </c>
      <c r="DO1817" s="406">
        <v>-18.850000000000001</v>
      </c>
      <c r="DP1817" s="80">
        <v>263</v>
      </c>
    </row>
    <row r="1818" spans="29:120" x14ac:dyDescent="0.25">
      <c r="AC1818" s="122" t="s">
        <v>348</v>
      </c>
      <c r="AD1818" s="122" t="s">
        <v>2196</v>
      </c>
      <c r="AE1818" s="127">
        <v>8</v>
      </c>
      <c r="DA1818" s="122" t="s">
        <v>333</v>
      </c>
      <c r="DB1818" s="122" t="s">
        <v>7025</v>
      </c>
      <c r="DC1818" s="122" t="s">
        <v>526</v>
      </c>
      <c r="DD1818" s="127">
        <v>3</v>
      </c>
      <c r="DE1818" s="127">
        <v>3</v>
      </c>
      <c r="DG1818" s="405" t="s">
        <v>333</v>
      </c>
      <c r="DH1818" s="406" t="s">
        <v>526</v>
      </c>
      <c r="DI1818" s="406" t="str">
        <f t="shared" si="60"/>
        <v>MG, Matias Barbosa</v>
      </c>
      <c r="DJ1818" s="406">
        <v>-21.869</v>
      </c>
      <c r="DK1818" s="80">
        <v>-43.319000000000003</v>
      </c>
      <c r="DL1818" s="80">
        <v>474</v>
      </c>
      <c r="DM1818" s="64">
        <v>3</v>
      </c>
      <c r="DN1818" s="406" t="s">
        <v>6829</v>
      </c>
      <c r="DO1818" s="406">
        <v>-21.76</v>
      </c>
      <c r="DP1818" s="80">
        <v>950</v>
      </c>
    </row>
    <row r="1819" spans="29:120" x14ac:dyDescent="0.25">
      <c r="AC1819" s="122" t="s">
        <v>333</v>
      </c>
      <c r="AD1819" s="122" t="s">
        <v>2197</v>
      </c>
      <c r="AE1819" s="127">
        <v>2</v>
      </c>
      <c r="DA1819" s="122" t="s">
        <v>333</v>
      </c>
      <c r="DB1819" s="122" t="s">
        <v>7026</v>
      </c>
      <c r="DC1819" s="122" t="s">
        <v>2938</v>
      </c>
      <c r="DD1819" s="127">
        <v>6</v>
      </c>
      <c r="DE1819" s="127">
        <v>6</v>
      </c>
      <c r="DG1819" s="405" t="s">
        <v>333</v>
      </c>
      <c r="DH1819" s="406" t="s">
        <v>2938</v>
      </c>
      <c r="DI1819" s="406" t="str">
        <f t="shared" si="60"/>
        <v>MG, Matias Cardoso</v>
      </c>
      <c r="DJ1819" s="406">
        <v>-14.855</v>
      </c>
      <c r="DK1819" s="80">
        <v>-43.921999999999997</v>
      </c>
      <c r="DL1819" s="80">
        <v>472</v>
      </c>
      <c r="DM1819" s="64">
        <v>6</v>
      </c>
      <c r="DN1819" s="406" t="s">
        <v>6258</v>
      </c>
      <c r="DO1819" s="406">
        <v>-14.42</v>
      </c>
      <c r="DP1819" s="80">
        <v>512</v>
      </c>
    </row>
    <row r="1820" spans="29:120" x14ac:dyDescent="0.25">
      <c r="AC1820" s="122" t="s">
        <v>333</v>
      </c>
      <c r="AD1820" s="122" t="s">
        <v>2198</v>
      </c>
      <c r="AE1820" s="127">
        <v>3</v>
      </c>
      <c r="DA1820" s="122" t="s">
        <v>333</v>
      </c>
      <c r="DB1820" s="122" t="s">
        <v>648</v>
      </c>
      <c r="DC1820" s="122" t="s">
        <v>648</v>
      </c>
      <c r="DD1820" s="127">
        <v>3</v>
      </c>
      <c r="DE1820" s="127">
        <v>3</v>
      </c>
      <c r="DG1820" s="405" t="s">
        <v>333</v>
      </c>
      <c r="DH1820" s="406" t="s">
        <v>648</v>
      </c>
      <c r="DI1820" s="406" t="str">
        <f t="shared" si="60"/>
        <v>MG, Matipó</v>
      </c>
      <c r="DJ1820" s="406">
        <v>-20.283999999999999</v>
      </c>
      <c r="DK1820" s="80">
        <v>-42.341000000000001</v>
      </c>
      <c r="DL1820" s="80">
        <v>615</v>
      </c>
      <c r="DM1820" s="64">
        <v>3</v>
      </c>
      <c r="DN1820" s="406" t="s">
        <v>6819</v>
      </c>
      <c r="DO1820" s="406">
        <v>-19.79</v>
      </c>
      <c r="DP1820" s="80">
        <v>615</v>
      </c>
    </row>
    <row r="1821" spans="29:120" x14ac:dyDescent="0.25">
      <c r="AC1821" s="122" t="s">
        <v>247</v>
      </c>
      <c r="AD1821" s="122" t="s">
        <v>2199</v>
      </c>
      <c r="AE1821" s="127">
        <v>5</v>
      </c>
      <c r="DA1821" s="122" t="s">
        <v>333</v>
      </c>
      <c r="DB1821" s="122" t="s">
        <v>7027</v>
      </c>
      <c r="DC1821" s="122" t="s">
        <v>2570</v>
      </c>
      <c r="DD1821" s="127">
        <v>6</v>
      </c>
      <c r="DE1821" s="127">
        <v>6</v>
      </c>
      <c r="DG1821" s="405" t="s">
        <v>333</v>
      </c>
      <c r="DH1821" s="406" t="s">
        <v>2570</v>
      </c>
      <c r="DI1821" s="406" t="str">
        <f t="shared" si="60"/>
        <v>MG, Mato Verde</v>
      </c>
      <c r="DJ1821" s="406">
        <v>-15.397</v>
      </c>
      <c r="DK1821" s="80">
        <v>-42.866</v>
      </c>
      <c r="DL1821" s="80">
        <v>541</v>
      </c>
      <c r="DM1821" s="64">
        <v>6</v>
      </c>
      <c r="DN1821" s="406" t="s">
        <v>6909</v>
      </c>
      <c r="DO1821" s="406">
        <v>-15.09</v>
      </c>
      <c r="DP1821" s="80">
        <v>460</v>
      </c>
    </row>
    <row r="1822" spans="29:120" x14ac:dyDescent="0.25">
      <c r="AC1822" s="122" t="s">
        <v>323</v>
      </c>
      <c r="AD1822" s="122" t="s">
        <v>2200</v>
      </c>
      <c r="AE1822" s="127">
        <v>8</v>
      </c>
      <c r="DA1822" s="122" t="s">
        <v>333</v>
      </c>
      <c r="DB1822" s="122" t="s">
        <v>2735</v>
      </c>
      <c r="DC1822" s="122" t="s">
        <v>2735</v>
      </c>
      <c r="DD1822" s="127">
        <v>2</v>
      </c>
      <c r="DE1822" s="127">
        <v>2</v>
      </c>
      <c r="DG1822" s="405" t="s">
        <v>333</v>
      </c>
      <c r="DH1822" s="406" t="s">
        <v>2735</v>
      </c>
      <c r="DI1822" s="406" t="str">
        <f t="shared" si="60"/>
        <v>MG, Matozinhos</v>
      </c>
      <c r="DJ1822" s="406">
        <v>-19.558</v>
      </c>
      <c r="DK1822" s="80">
        <v>-44.081000000000003</v>
      </c>
      <c r="DL1822" s="80">
        <v>812</v>
      </c>
      <c r="DM1822" s="64">
        <v>2</v>
      </c>
      <c r="DN1822" s="406" t="s">
        <v>6838</v>
      </c>
      <c r="DO1822" s="406">
        <v>-19.82</v>
      </c>
      <c r="DP1822" s="80">
        <v>869</v>
      </c>
    </row>
    <row r="1823" spans="29:120" x14ac:dyDescent="0.25">
      <c r="AC1823" s="122" t="s">
        <v>289</v>
      </c>
      <c r="AD1823" s="122" t="s">
        <v>2201</v>
      </c>
      <c r="AE1823" s="127">
        <v>8</v>
      </c>
      <c r="DA1823" s="122" t="s">
        <v>333</v>
      </c>
      <c r="DB1823" s="122" t="s">
        <v>2150</v>
      </c>
      <c r="DC1823" s="122" t="s">
        <v>2150</v>
      </c>
      <c r="DD1823" s="127">
        <v>3</v>
      </c>
      <c r="DE1823" s="127">
        <v>3</v>
      </c>
      <c r="DG1823" s="405" t="s">
        <v>333</v>
      </c>
      <c r="DH1823" s="406" t="s">
        <v>2150</v>
      </c>
      <c r="DI1823" s="406" t="str">
        <f t="shared" si="60"/>
        <v>MG, Matutina</v>
      </c>
      <c r="DJ1823" s="406">
        <v>-19.222999999999999</v>
      </c>
      <c r="DK1823" s="80">
        <v>-45.969000000000001</v>
      </c>
      <c r="DL1823" s="80">
        <v>1040</v>
      </c>
      <c r="DM1823" s="64">
        <v>3</v>
      </c>
      <c r="DN1823" s="406" t="s">
        <v>6795</v>
      </c>
      <c r="DO1823" s="406">
        <v>-19.46</v>
      </c>
      <c r="DP1823" s="80">
        <v>722</v>
      </c>
    </row>
    <row r="1824" spans="29:120" x14ac:dyDescent="0.25">
      <c r="AC1824" s="122" t="s">
        <v>333</v>
      </c>
      <c r="AD1824" s="122" t="s">
        <v>2202</v>
      </c>
      <c r="AE1824" s="127">
        <v>3</v>
      </c>
      <c r="DA1824" s="122" t="s">
        <v>333</v>
      </c>
      <c r="DB1824" s="122" t="s">
        <v>649</v>
      </c>
      <c r="DC1824" s="122" t="s">
        <v>649</v>
      </c>
      <c r="DD1824" s="127">
        <v>3</v>
      </c>
      <c r="DE1824" s="127">
        <v>3</v>
      </c>
      <c r="DG1824" s="405" t="s">
        <v>333</v>
      </c>
      <c r="DH1824" s="406" t="s">
        <v>649</v>
      </c>
      <c r="DI1824" s="406" t="str">
        <f t="shared" si="60"/>
        <v>MG, Medeiros</v>
      </c>
      <c r="DJ1824" s="406">
        <v>-19.995999999999999</v>
      </c>
      <c r="DK1824" s="80">
        <v>-46.225999999999999</v>
      </c>
      <c r="DL1824" s="80">
        <v>922</v>
      </c>
      <c r="DM1824" s="64">
        <v>3</v>
      </c>
      <c r="DN1824" s="406" t="s">
        <v>6832</v>
      </c>
      <c r="DO1824" s="406">
        <v>-19.59</v>
      </c>
      <c r="DP1824" s="80">
        <v>1020</v>
      </c>
    </row>
    <row r="1825" spans="29:120" x14ac:dyDescent="0.25">
      <c r="AC1825" s="122" t="s">
        <v>348</v>
      </c>
      <c r="AD1825" s="122" t="s">
        <v>384</v>
      </c>
      <c r="AE1825" s="127">
        <v>8</v>
      </c>
      <c r="DA1825" s="122" t="s">
        <v>333</v>
      </c>
      <c r="DB1825" s="122" t="s">
        <v>2559</v>
      </c>
      <c r="DC1825" s="122" t="s">
        <v>2559</v>
      </c>
      <c r="DD1825" s="127">
        <v>5</v>
      </c>
      <c r="DE1825" s="127">
        <v>5</v>
      </c>
      <c r="DG1825" s="405" t="s">
        <v>333</v>
      </c>
      <c r="DH1825" s="406" t="s">
        <v>2559</v>
      </c>
      <c r="DI1825" s="406" t="str">
        <f t="shared" si="60"/>
        <v>MG, Medina</v>
      </c>
      <c r="DJ1825" s="406">
        <v>-16.222999999999999</v>
      </c>
      <c r="DK1825" s="80">
        <v>-41.476999999999997</v>
      </c>
      <c r="DL1825" s="80">
        <v>587</v>
      </c>
      <c r="DM1825" s="64">
        <v>5</v>
      </c>
      <c r="DN1825" s="406" t="s">
        <v>6805</v>
      </c>
      <c r="DO1825" s="406">
        <v>-16.34</v>
      </c>
      <c r="DP1825" s="80">
        <v>266</v>
      </c>
    </row>
    <row r="1826" spans="29:120" x14ac:dyDescent="0.25">
      <c r="AC1826" s="122" t="s">
        <v>348</v>
      </c>
      <c r="AD1826" s="122" t="s">
        <v>2203</v>
      </c>
      <c r="AE1826" s="127">
        <v>8</v>
      </c>
      <c r="DA1826" s="122" t="s">
        <v>333</v>
      </c>
      <c r="DB1826" s="122" t="s">
        <v>7028</v>
      </c>
      <c r="DC1826" s="122" t="s">
        <v>1894</v>
      </c>
      <c r="DD1826" s="127">
        <v>5</v>
      </c>
      <c r="DE1826" s="127">
        <v>5</v>
      </c>
      <c r="DG1826" s="405" t="s">
        <v>333</v>
      </c>
      <c r="DH1826" s="406" t="s">
        <v>1894</v>
      </c>
      <c r="DI1826" s="406" t="str">
        <f t="shared" si="60"/>
        <v>MG, Mendes Pimentel</v>
      </c>
      <c r="DJ1826" s="406">
        <v>-18.661000000000001</v>
      </c>
      <c r="DK1826" s="80">
        <v>-41.405000000000001</v>
      </c>
      <c r="DL1826" s="80">
        <v>340</v>
      </c>
      <c r="DM1826" s="64">
        <v>5</v>
      </c>
      <c r="DN1826" s="406" t="s">
        <v>6456</v>
      </c>
      <c r="DO1826" s="406">
        <v>-18.78</v>
      </c>
      <c r="DP1826" s="80">
        <v>214</v>
      </c>
    </row>
    <row r="1827" spans="29:120" x14ac:dyDescent="0.25">
      <c r="AC1827" s="122" t="s">
        <v>348</v>
      </c>
      <c r="AD1827" s="122" t="s">
        <v>2204</v>
      </c>
      <c r="AE1827" s="127">
        <v>8</v>
      </c>
      <c r="DA1827" s="122" t="s">
        <v>333</v>
      </c>
      <c r="DB1827" s="122" t="s">
        <v>650</v>
      </c>
      <c r="DC1827" s="122" t="s">
        <v>650</v>
      </c>
      <c r="DD1827" s="127">
        <v>3</v>
      </c>
      <c r="DE1827" s="127">
        <v>3</v>
      </c>
      <c r="DG1827" s="405" t="s">
        <v>333</v>
      </c>
      <c r="DH1827" s="406" t="s">
        <v>650</v>
      </c>
      <c r="DI1827" s="406" t="str">
        <f t="shared" si="60"/>
        <v>MG, Mercês</v>
      </c>
      <c r="DJ1827" s="406">
        <v>-21.193999999999999</v>
      </c>
      <c r="DK1827" s="80">
        <v>-43.341000000000001</v>
      </c>
      <c r="DL1827" s="80">
        <v>522</v>
      </c>
      <c r="DM1827" s="64">
        <v>3</v>
      </c>
      <c r="DN1827" s="406" t="s">
        <v>6829</v>
      </c>
      <c r="DO1827" s="406">
        <v>-21.76</v>
      </c>
      <c r="DP1827" s="80">
        <v>950</v>
      </c>
    </row>
    <row r="1828" spans="29:120" x14ac:dyDescent="0.25">
      <c r="AC1828" s="122" t="s">
        <v>333</v>
      </c>
      <c r="AD1828" s="122" t="s">
        <v>2205</v>
      </c>
      <c r="AE1828" s="127">
        <v>6</v>
      </c>
      <c r="DA1828" s="122" t="s">
        <v>333</v>
      </c>
      <c r="DB1828" s="122" t="s">
        <v>2537</v>
      </c>
      <c r="DC1828" s="122" t="s">
        <v>2537</v>
      </c>
      <c r="DD1828" s="127">
        <v>3</v>
      </c>
      <c r="DE1828" s="127">
        <v>3</v>
      </c>
      <c r="DG1828" s="405" t="s">
        <v>333</v>
      </c>
      <c r="DH1828" s="406" t="s">
        <v>2537</v>
      </c>
      <c r="DI1828" s="406" t="str">
        <f t="shared" si="60"/>
        <v>MG, Mesquita</v>
      </c>
      <c r="DJ1828" s="406">
        <v>-19.222999999999999</v>
      </c>
      <c r="DK1828" s="80">
        <v>-42.606999999999999</v>
      </c>
      <c r="DL1828" s="80">
        <v>352</v>
      </c>
      <c r="DM1828" s="64">
        <v>3</v>
      </c>
      <c r="DN1828" s="406" t="s">
        <v>6798</v>
      </c>
      <c r="DO1828" s="406">
        <v>-19.579999999999998</v>
      </c>
      <c r="DP1828" s="80">
        <v>333</v>
      </c>
    </row>
    <row r="1829" spans="29:120" x14ac:dyDescent="0.25">
      <c r="AC1829" s="122" t="s">
        <v>323</v>
      </c>
      <c r="AD1829" s="122" t="s">
        <v>2206</v>
      </c>
      <c r="AE1829" s="127">
        <v>8</v>
      </c>
      <c r="DA1829" s="122" t="s">
        <v>333</v>
      </c>
      <c r="DB1829" s="122" t="s">
        <v>7029</v>
      </c>
      <c r="DC1829" s="122" t="s">
        <v>2743</v>
      </c>
      <c r="DD1829" s="127">
        <v>3</v>
      </c>
      <c r="DE1829" s="127">
        <v>3</v>
      </c>
      <c r="DG1829" s="405" t="s">
        <v>333</v>
      </c>
      <c r="DH1829" s="406" t="s">
        <v>2743</v>
      </c>
      <c r="DI1829" s="406" t="str">
        <f t="shared" si="60"/>
        <v>MG, Minas Novas</v>
      </c>
      <c r="DJ1829" s="406">
        <v>-17.219000000000001</v>
      </c>
      <c r="DK1829" s="80">
        <v>-42.59</v>
      </c>
      <c r="DL1829" s="80">
        <v>635</v>
      </c>
      <c r="DM1829" s="64">
        <v>3</v>
      </c>
      <c r="DN1829" s="406" t="s">
        <v>6800</v>
      </c>
      <c r="DO1829" s="406">
        <v>-17.690000000000001</v>
      </c>
      <c r="DP1829" s="80">
        <v>932</v>
      </c>
    </row>
    <row r="1830" spans="29:120" x14ac:dyDescent="0.25">
      <c r="AC1830" s="122" t="s">
        <v>348</v>
      </c>
      <c r="AD1830" s="122" t="s">
        <v>2207</v>
      </c>
      <c r="AE1830" s="127">
        <v>8</v>
      </c>
      <c r="DA1830" s="122" t="s">
        <v>333</v>
      </c>
      <c r="DB1830" s="122" t="s">
        <v>651</v>
      </c>
      <c r="DC1830" s="122" t="s">
        <v>651</v>
      </c>
      <c r="DD1830" s="127">
        <v>2</v>
      </c>
      <c r="DE1830" s="127">
        <v>2</v>
      </c>
      <c r="DG1830" s="405" t="s">
        <v>333</v>
      </c>
      <c r="DH1830" s="406" t="s">
        <v>651</v>
      </c>
      <c r="DI1830" s="406" t="str">
        <f t="shared" si="60"/>
        <v>MG, Minduri</v>
      </c>
      <c r="DJ1830" s="406">
        <v>-21.681999999999999</v>
      </c>
      <c r="DK1830" s="80">
        <v>-44.603999999999999</v>
      </c>
      <c r="DL1830" s="80">
        <v>1000</v>
      </c>
      <c r="DM1830" s="64">
        <v>2</v>
      </c>
      <c r="DN1830" s="406" t="s">
        <v>6813</v>
      </c>
      <c r="DO1830" s="406">
        <v>-21.14</v>
      </c>
      <c r="DP1830" s="80">
        <v>991</v>
      </c>
    </row>
    <row r="1831" spans="29:120" x14ac:dyDescent="0.25">
      <c r="AC1831" s="122" t="s">
        <v>323</v>
      </c>
      <c r="AD1831" s="122" t="s">
        <v>2208</v>
      </c>
      <c r="AE1831" s="127">
        <v>8</v>
      </c>
      <c r="DA1831" s="122" t="s">
        <v>333</v>
      </c>
      <c r="DB1831" s="122" t="s">
        <v>2987</v>
      </c>
      <c r="DC1831" s="122" t="s">
        <v>2987</v>
      </c>
      <c r="DD1831" s="127">
        <v>6</v>
      </c>
      <c r="DE1831" s="127">
        <v>6</v>
      </c>
      <c r="DG1831" s="405" t="s">
        <v>333</v>
      </c>
      <c r="DH1831" s="406" t="s">
        <v>2987</v>
      </c>
      <c r="DI1831" s="406" t="str">
        <f t="shared" si="60"/>
        <v>MG, Mirabela</v>
      </c>
      <c r="DJ1831" s="406">
        <v>-16.263000000000002</v>
      </c>
      <c r="DK1831" s="80">
        <v>-44.164000000000001</v>
      </c>
      <c r="DL1831" s="80">
        <v>800</v>
      </c>
      <c r="DM1831" s="64">
        <v>6</v>
      </c>
      <c r="DN1831" s="406" t="s">
        <v>6853</v>
      </c>
      <c r="DO1831" s="406">
        <v>-16.739999999999998</v>
      </c>
      <c r="DP1831" s="80">
        <v>646</v>
      </c>
    </row>
    <row r="1832" spans="29:120" x14ac:dyDescent="0.25">
      <c r="AC1832" s="122" t="s">
        <v>376</v>
      </c>
      <c r="AD1832" s="122" t="s">
        <v>2209</v>
      </c>
      <c r="AE1832" s="127">
        <v>4</v>
      </c>
      <c r="DA1832" s="122" t="s">
        <v>333</v>
      </c>
      <c r="DB1832" s="122" t="s">
        <v>3290</v>
      </c>
      <c r="DC1832" s="122" t="s">
        <v>3290</v>
      </c>
      <c r="DD1832" s="127">
        <v>3</v>
      </c>
      <c r="DE1832" s="127">
        <v>3</v>
      </c>
      <c r="DG1832" s="405" t="s">
        <v>333</v>
      </c>
      <c r="DH1832" s="406" t="s">
        <v>3290</v>
      </c>
      <c r="DI1832" s="406" t="str">
        <f t="shared" si="60"/>
        <v>MG, Miradouro</v>
      </c>
      <c r="DJ1832" s="406">
        <v>-20.890999999999998</v>
      </c>
      <c r="DK1832" s="80">
        <v>-42.343000000000004</v>
      </c>
      <c r="DL1832" s="80">
        <v>409</v>
      </c>
      <c r="DM1832" s="64">
        <v>3</v>
      </c>
      <c r="DN1832" s="406" t="s">
        <v>6827</v>
      </c>
      <c r="DO1832" s="406">
        <v>-21.13</v>
      </c>
      <c r="DP1832" s="80">
        <v>297</v>
      </c>
    </row>
    <row r="1833" spans="29:120" x14ac:dyDescent="0.25">
      <c r="AC1833" s="122" t="s">
        <v>289</v>
      </c>
      <c r="AD1833" s="122" t="s">
        <v>2210</v>
      </c>
      <c r="AE1833" s="127">
        <v>5</v>
      </c>
      <c r="DA1833" s="122" t="s">
        <v>333</v>
      </c>
      <c r="DB1833" s="122" t="s">
        <v>3313</v>
      </c>
      <c r="DC1833" s="122" t="s">
        <v>3313</v>
      </c>
      <c r="DD1833" s="127">
        <v>5</v>
      </c>
      <c r="DE1833" s="127">
        <v>5</v>
      </c>
      <c r="DG1833" s="405" t="s">
        <v>333</v>
      </c>
      <c r="DH1833" s="406" t="s">
        <v>3313</v>
      </c>
      <c r="DI1833" s="406" t="str">
        <f t="shared" si="60"/>
        <v>MG, Miraí</v>
      </c>
      <c r="DJ1833" s="406">
        <v>-21.195</v>
      </c>
      <c r="DK1833" s="80">
        <v>-42.613999999999997</v>
      </c>
      <c r="DL1833" s="80">
        <v>306</v>
      </c>
      <c r="DM1833" s="64">
        <v>5</v>
      </c>
      <c r="DN1833" s="406" t="s">
        <v>6827</v>
      </c>
      <c r="DO1833" s="406">
        <v>-21.13</v>
      </c>
      <c r="DP1833" s="80">
        <v>297</v>
      </c>
    </row>
    <row r="1834" spans="29:120" x14ac:dyDescent="0.25">
      <c r="AC1834" s="122" t="s">
        <v>289</v>
      </c>
      <c r="AD1834" s="122" t="s">
        <v>2211</v>
      </c>
      <c r="AE1834" s="127">
        <v>5</v>
      </c>
      <c r="DA1834" s="122" t="s">
        <v>333</v>
      </c>
      <c r="DB1834" s="122" t="s">
        <v>2983</v>
      </c>
      <c r="DC1834" s="122" t="s">
        <v>2983</v>
      </c>
      <c r="DD1834" s="127">
        <v>6</v>
      </c>
      <c r="DE1834" s="127">
        <v>6</v>
      </c>
      <c r="DG1834" s="405" t="s">
        <v>333</v>
      </c>
      <c r="DH1834" s="406" t="s">
        <v>2983</v>
      </c>
      <c r="DI1834" s="406" t="str">
        <f t="shared" si="60"/>
        <v>MG, Miravânia</v>
      </c>
      <c r="DJ1834" s="406">
        <v>-14.741</v>
      </c>
      <c r="DK1834" s="80">
        <v>-44.404000000000003</v>
      </c>
      <c r="DL1834" s="80">
        <v>632</v>
      </c>
      <c r="DM1834" s="64">
        <v>6</v>
      </c>
      <c r="DN1834" s="406" t="s">
        <v>6258</v>
      </c>
      <c r="DO1834" s="406">
        <v>-14.42</v>
      </c>
      <c r="DP1834" s="80">
        <v>512</v>
      </c>
    </row>
    <row r="1835" spans="29:120" x14ac:dyDescent="0.25">
      <c r="AC1835" s="122" t="s">
        <v>348</v>
      </c>
      <c r="AD1835" s="122" t="s">
        <v>2212</v>
      </c>
      <c r="AE1835" s="127">
        <v>8</v>
      </c>
      <c r="DA1835" s="122" t="s">
        <v>333</v>
      </c>
      <c r="DB1835" s="122" t="s">
        <v>545</v>
      </c>
      <c r="DC1835" s="122" t="s">
        <v>545</v>
      </c>
      <c r="DD1835" s="127">
        <v>2</v>
      </c>
      <c r="DE1835" s="127">
        <v>2</v>
      </c>
      <c r="DG1835" s="405" t="s">
        <v>333</v>
      </c>
      <c r="DH1835" s="406" t="s">
        <v>545</v>
      </c>
      <c r="DI1835" s="406" t="str">
        <f t="shared" si="60"/>
        <v>MG, Moeda</v>
      </c>
      <c r="DJ1835" s="406">
        <v>-20.332999999999998</v>
      </c>
      <c r="DK1835" s="80">
        <v>-44.052999999999997</v>
      </c>
      <c r="DL1835" s="80">
        <v>812</v>
      </c>
      <c r="DM1835" s="64">
        <v>2</v>
      </c>
      <c r="DN1835" s="406" t="s">
        <v>6849</v>
      </c>
      <c r="DO1835" s="406">
        <v>-20.03</v>
      </c>
      <c r="DP1835" s="80">
        <v>1208</v>
      </c>
    </row>
    <row r="1836" spans="29:120" x14ac:dyDescent="0.25">
      <c r="AC1836" s="122" t="s">
        <v>300</v>
      </c>
      <c r="AD1836" s="122" t="s">
        <v>2213</v>
      </c>
      <c r="AE1836" s="127">
        <v>7</v>
      </c>
      <c r="DA1836" s="122" t="s">
        <v>333</v>
      </c>
      <c r="DB1836" s="122" t="s">
        <v>3900</v>
      </c>
      <c r="DC1836" s="122" t="s">
        <v>3900</v>
      </c>
      <c r="DD1836" s="127">
        <v>3</v>
      </c>
      <c r="DE1836" s="127">
        <v>3</v>
      </c>
      <c r="DG1836" s="405" t="s">
        <v>333</v>
      </c>
      <c r="DH1836" s="406" t="s">
        <v>3900</v>
      </c>
      <c r="DI1836" s="406" t="str">
        <f t="shared" si="60"/>
        <v>MG, Moema</v>
      </c>
      <c r="DJ1836" s="406">
        <v>-19.843</v>
      </c>
      <c r="DK1836" s="80">
        <v>-45.411000000000001</v>
      </c>
      <c r="DL1836" s="80">
        <v>673</v>
      </c>
      <c r="DM1836" s="64">
        <v>3</v>
      </c>
      <c r="DN1836" s="406" t="s">
        <v>6795</v>
      </c>
      <c r="DO1836" s="406">
        <v>-19.46</v>
      </c>
      <c r="DP1836" s="80">
        <v>722</v>
      </c>
    </row>
    <row r="1837" spans="29:120" x14ac:dyDescent="0.25">
      <c r="AC1837" s="122" t="s">
        <v>289</v>
      </c>
      <c r="AD1837" s="122" t="s">
        <v>2214</v>
      </c>
      <c r="AE1837" s="127">
        <v>8</v>
      </c>
      <c r="DA1837" s="122" t="s">
        <v>333</v>
      </c>
      <c r="DB1837" s="122" t="s">
        <v>2642</v>
      </c>
      <c r="DC1837" s="122" t="s">
        <v>2642</v>
      </c>
      <c r="DD1837" s="127">
        <v>3</v>
      </c>
      <c r="DE1837" s="127">
        <v>3</v>
      </c>
      <c r="DG1837" s="405" t="s">
        <v>333</v>
      </c>
      <c r="DH1837" s="406" t="s">
        <v>2642</v>
      </c>
      <c r="DI1837" s="406" t="str">
        <f t="shared" si="60"/>
        <v>MG, Monjolos</v>
      </c>
      <c r="DJ1837" s="406">
        <v>-18.324999999999999</v>
      </c>
      <c r="DK1837" s="80">
        <v>-44.119</v>
      </c>
      <c r="DL1837" s="80">
        <v>560</v>
      </c>
      <c r="DM1837" s="64">
        <v>3</v>
      </c>
      <c r="DN1837" s="406" t="s">
        <v>6821</v>
      </c>
      <c r="DO1837" s="406">
        <v>-18.23</v>
      </c>
      <c r="DP1837" s="80">
        <v>1356</v>
      </c>
    </row>
    <row r="1838" spans="29:120" x14ac:dyDescent="0.25">
      <c r="AC1838" s="122" t="s">
        <v>348</v>
      </c>
      <c r="AD1838" s="122" t="s">
        <v>2215</v>
      </c>
      <c r="AE1838" s="127">
        <v>8</v>
      </c>
      <c r="DA1838" s="122" t="s">
        <v>333</v>
      </c>
      <c r="DB1838" s="122" t="s">
        <v>7030</v>
      </c>
      <c r="DC1838" s="122" t="s">
        <v>977</v>
      </c>
      <c r="DD1838" s="127">
        <v>2</v>
      </c>
      <c r="DE1838" s="127">
        <v>2</v>
      </c>
      <c r="DG1838" s="405" t="s">
        <v>333</v>
      </c>
      <c r="DH1838" s="406" t="s">
        <v>977</v>
      </c>
      <c r="DI1838" s="406" t="str">
        <f t="shared" si="60"/>
        <v>MG, Monsenhor Paulo</v>
      </c>
      <c r="DJ1838" s="406">
        <v>-21.757999999999999</v>
      </c>
      <c r="DK1838" s="80">
        <v>-45.540999999999997</v>
      </c>
      <c r="DL1838" s="80">
        <v>898</v>
      </c>
      <c r="DM1838" s="64">
        <v>2</v>
      </c>
      <c r="DN1838" s="406" t="s">
        <v>6811</v>
      </c>
      <c r="DO1838" s="406">
        <v>-21.55</v>
      </c>
      <c r="DP1838" s="80">
        <v>955</v>
      </c>
    </row>
    <row r="1839" spans="29:120" x14ac:dyDescent="0.25">
      <c r="AC1839" s="122" t="s">
        <v>333</v>
      </c>
      <c r="AD1839" s="122" t="s">
        <v>2216</v>
      </c>
      <c r="AE1839" s="127">
        <v>2</v>
      </c>
      <c r="DA1839" s="122" t="s">
        <v>333</v>
      </c>
      <c r="DB1839" s="122" t="s">
        <v>3041</v>
      </c>
      <c r="DC1839" s="122" t="s">
        <v>3041</v>
      </c>
      <c r="DD1839" s="127">
        <v>6</v>
      </c>
      <c r="DE1839" s="127">
        <v>6</v>
      </c>
      <c r="DG1839" s="405" t="s">
        <v>333</v>
      </c>
      <c r="DH1839" s="406" t="s">
        <v>3041</v>
      </c>
      <c r="DI1839" s="406" t="str">
        <f t="shared" si="60"/>
        <v>MG, Montalvânia</v>
      </c>
      <c r="DJ1839" s="406">
        <v>-14.423</v>
      </c>
      <c r="DK1839" s="80">
        <v>-44.366</v>
      </c>
      <c r="DL1839" s="80">
        <v>510</v>
      </c>
      <c r="DM1839" s="64">
        <v>6</v>
      </c>
      <c r="DN1839" s="406" t="s">
        <v>6258</v>
      </c>
      <c r="DO1839" s="406">
        <v>-14.42</v>
      </c>
      <c r="DP1839" s="80">
        <v>512</v>
      </c>
    </row>
    <row r="1840" spans="29:120" x14ac:dyDescent="0.25">
      <c r="AC1840" s="122" t="s">
        <v>348</v>
      </c>
      <c r="AD1840" s="122" t="s">
        <v>2217</v>
      </c>
      <c r="AE1840" s="127">
        <v>8</v>
      </c>
      <c r="DA1840" s="122" t="s">
        <v>333</v>
      </c>
      <c r="DB1840" s="122" t="s">
        <v>7031</v>
      </c>
      <c r="DC1840" s="122" t="s">
        <v>2975</v>
      </c>
      <c r="DD1840" s="127">
        <v>3</v>
      </c>
      <c r="DE1840" s="127">
        <v>3</v>
      </c>
      <c r="DG1840" s="405" t="s">
        <v>333</v>
      </c>
      <c r="DH1840" s="406" t="s">
        <v>2975</v>
      </c>
      <c r="DI1840" s="406" t="str">
        <f t="shared" si="60"/>
        <v>MG, Monte Alegre de Minas</v>
      </c>
      <c r="DJ1840" s="406">
        <v>-18.870999999999999</v>
      </c>
      <c r="DK1840" s="80">
        <v>-48.881</v>
      </c>
      <c r="DL1840" s="80">
        <v>730</v>
      </c>
      <c r="DM1840" s="64">
        <v>3</v>
      </c>
      <c r="DN1840" s="406" t="s">
        <v>6536</v>
      </c>
      <c r="DO1840" s="406">
        <v>-18.41</v>
      </c>
      <c r="DP1840" s="80">
        <v>488</v>
      </c>
    </row>
    <row r="1841" spans="29:120" x14ac:dyDescent="0.25">
      <c r="AC1841" s="122" t="s">
        <v>369</v>
      </c>
      <c r="AD1841" s="122" t="s">
        <v>2218</v>
      </c>
      <c r="AE1841" s="127">
        <v>8</v>
      </c>
      <c r="DA1841" s="122" t="s">
        <v>333</v>
      </c>
      <c r="DB1841" s="122" t="s">
        <v>7032</v>
      </c>
      <c r="DC1841" s="122" t="s">
        <v>5371</v>
      </c>
      <c r="DD1841" s="127">
        <v>7</v>
      </c>
      <c r="DE1841" s="127">
        <v>7</v>
      </c>
      <c r="DG1841" s="405" t="s">
        <v>333</v>
      </c>
      <c r="DH1841" s="406" t="s">
        <v>5371</v>
      </c>
      <c r="DI1841" s="406" t="str">
        <f t="shared" si="60"/>
        <v>MG, Monte Azul</v>
      </c>
      <c r="DJ1841" s="406">
        <v>-15.154999999999999</v>
      </c>
      <c r="DK1841" s="80">
        <v>-42.875</v>
      </c>
      <c r="DL1841" s="80">
        <v>582</v>
      </c>
      <c r="DM1841" s="64">
        <v>7</v>
      </c>
      <c r="DN1841" s="406" t="s">
        <v>6909</v>
      </c>
      <c r="DO1841" s="406">
        <v>-15.09</v>
      </c>
      <c r="DP1841" s="80">
        <v>460</v>
      </c>
    </row>
    <row r="1842" spans="29:120" x14ac:dyDescent="0.25">
      <c r="AC1842" s="122" t="s">
        <v>369</v>
      </c>
      <c r="AD1842" s="122" t="s">
        <v>2219</v>
      </c>
      <c r="AE1842" s="127">
        <v>8</v>
      </c>
      <c r="DA1842" s="122" t="s">
        <v>333</v>
      </c>
      <c r="DB1842" s="122" t="s">
        <v>7033</v>
      </c>
      <c r="DC1842" s="122" t="s">
        <v>992</v>
      </c>
      <c r="DD1842" s="127">
        <v>4</v>
      </c>
      <c r="DE1842" s="127">
        <v>4</v>
      </c>
      <c r="DG1842" s="405" t="s">
        <v>333</v>
      </c>
      <c r="DH1842" s="406" t="s">
        <v>992</v>
      </c>
      <c r="DI1842" s="406" t="str">
        <f t="shared" si="60"/>
        <v>MG, Monte Belo</v>
      </c>
      <c r="DJ1842" s="406">
        <v>-21.326000000000001</v>
      </c>
      <c r="DK1842" s="80">
        <v>-46.368000000000002</v>
      </c>
      <c r="DL1842" s="80">
        <v>912</v>
      </c>
      <c r="DM1842" s="64">
        <v>4</v>
      </c>
      <c r="DN1842" s="406" t="s">
        <v>6823</v>
      </c>
      <c r="DO1842" s="406">
        <v>-21.92</v>
      </c>
      <c r="DP1842" s="80">
        <v>1150</v>
      </c>
    </row>
    <row r="1843" spans="29:120" x14ac:dyDescent="0.25">
      <c r="AC1843" s="122" t="s">
        <v>348</v>
      </c>
      <c r="AD1843" s="122" t="s">
        <v>2220</v>
      </c>
      <c r="AE1843" s="127">
        <v>6</v>
      </c>
      <c r="DA1843" s="122" t="s">
        <v>333</v>
      </c>
      <c r="DB1843" s="122" t="s">
        <v>7034</v>
      </c>
      <c r="DC1843" s="122" t="s">
        <v>835</v>
      </c>
      <c r="DD1843" s="127">
        <v>6</v>
      </c>
      <c r="DE1843" s="127">
        <v>6</v>
      </c>
      <c r="DG1843" s="405" t="s">
        <v>333</v>
      </c>
      <c r="DH1843" s="406" t="s">
        <v>835</v>
      </c>
      <c r="DI1843" s="406" t="str">
        <f t="shared" si="60"/>
        <v>MG, Monte Carmelo</v>
      </c>
      <c r="DJ1843" s="406">
        <v>-18.725000000000001</v>
      </c>
      <c r="DK1843" s="80">
        <v>-47.499000000000002</v>
      </c>
      <c r="DL1843" s="80">
        <v>870</v>
      </c>
      <c r="DM1843" s="64">
        <v>6</v>
      </c>
      <c r="DN1843" s="406" t="s">
        <v>6794</v>
      </c>
      <c r="DO1843" s="406">
        <v>-18.940000000000001</v>
      </c>
      <c r="DP1843" s="80">
        <v>976</v>
      </c>
    </row>
    <row r="1844" spans="29:120" x14ac:dyDescent="0.25">
      <c r="AC1844" s="122" t="s">
        <v>333</v>
      </c>
      <c r="AD1844" s="122" t="s">
        <v>2221</v>
      </c>
      <c r="AE1844" s="127">
        <v>3</v>
      </c>
      <c r="DA1844" s="122" t="s">
        <v>333</v>
      </c>
      <c r="DB1844" s="122" t="s">
        <v>7035</v>
      </c>
      <c r="DC1844" s="122" t="s">
        <v>2545</v>
      </c>
      <c r="DD1844" s="127">
        <v>5</v>
      </c>
      <c r="DE1844" s="127">
        <v>5</v>
      </c>
      <c r="DG1844" s="405" t="s">
        <v>333</v>
      </c>
      <c r="DH1844" s="406" t="s">
        <v>2545</v>
      </c>
      <c r="DI1844" s="406" t="str">
        <f t="shared" si="60"/>
        <v>MG, Monte Formoso</v>
      </c>
      <c r="DJ1844" s="406">
        <v>-16.866</v>
      </c>
      <c r="DK1844" s="80">
        <v>-41.255000000000003</v>
      </c>
      <c r="DL1844" s="80">
        <v>700</v>
      </c>
      <c r="DM1844" s="64">
        <v>5</v>
      </c>
      <c r="DN1844" s="406" t="s">
        <v>6805</v>
      </c>
      <c r="DO1844" s="406">
        <v>-16.34</v>
      </c>
      <c r="DP1844" s="80">
        <v>266</v>
      </c>
    </row>
    <row r="1845" spans="29:120" x14ac:dyDescent="0.25">
      <c r="AC1845" s="122" t="s">
        <v>348</v>
      </c>
      <c r="AD1845" s="122" t="s">
        <v>2222</v>
      </c>
      <c r="AE1845" s="127">
        <v>8</v>
      </c>
      <c r="DA1845" s="122" t="s">
        <v>333</v>
      </c>
      <c r="DB1845" s="122" t="s">
        <v>7036</v>
      </c>
      <c r="DC1845" s="122" t="s">
        <v>833</v>
      </c>
      <c r="DD1845" s="127">
        <v>4</v>
      </c>
      <c r="DE1845" s="127">
        <v>4</v>
      </c>
      <c r="DG1845" s="405" t="s">
        <v>333</v>
      </c>
      <c r="DH1845" s="406" t="s">
        <v>833</v>
      </c>
      <c r="DI1845" s="406" t="str">
        <f t="shared" si="60"/>
        <v>MG, Monte Santo de Minas</v>
      </c>
      <c r="DJ1845" s="406">
        <v>-21.19</v>
      </c>
      <c r="DK1845" s="80">
        <v>-46.98</v>
      </c>
      <c r="DL1845" s="80">
        <v>878</v>
      </c>
      <c r="DM1845" s="64">
        <v>4</v>
      </c>
      <c r="DN1845" s="406" t="s">
        <v>6815</v>
      </c>
      <c r="DO1845" s="406">
        <v>-20.75</v>
      </c>
      <c r="DP1845" s="80">
        <v>875</v>
      </c>
    </row>
    <row r="1846" spans="29:120" x14ac:dyDescent="0.25">
      <c r="AC1846" s="122" t="s">
        <v>348</v>
      </c>
      <c r="AD1846" s="122" t="s">
        <v>2223</v>
      </c>
      <c r="AE1846" s="127">
        <v>8</v>
      </c>
      <c r="DA1846" s="122" t="s">
        <v>333</v>
      </c>
      <c r="DB1846" s="122" t="s">
        <v>7037</v>
      </c>
      <c r="DC1846" s="122" t="s">
        <v>957</v>
      </c>
      <c r="DD1846" s="127">
        <v>3</v>
      </c>
      <c r="DE1846" s="127">
        <v>3</v>
      </c>
      <c r="DG1846" s="405" t="s">
        <v>333</v>
      </c>
      <c r="DH1846" s="406" t="s">
        <v>957</v>
      </c>
      <c r="DI1846" s="406" t="str">
        <f t="shared" si="60"/>
        <v>MG, Monte Sião</v>
      </c>
      <c r="DJ1846" s="406">
        <v>-22.433</v>
      </c>
      <c r="DK1846" s="80">
        <v>-46.573</v>
      </c>
      <c r="DL1846" s="80">
        <v>857</v>
      </c>
      <c r="DM1846" s="64">
        <v>3</v>
      </c>
      <c r="DN1846" s="406" t="s">
        <v>6808</v>
      </c>
      <c r="DO1846" s="406">
        <v>-22.42</v>
      </c>
      <c r="DP1846" s="80">
        <v>633</v>
      </c>
    </row>
    <row r="1847" spans="29:120" x14ac:dyDescent="0.25">
      <c r="AC1847" s="122" t="s">
        <v>348</v>
      </c>
      <c r="AD1847" s="122" t="s">
        <v>2224</v>
      </c>
      <c r="AE1847" s="127">
        <v>8</v>
      </c>
      <c r="DA1847" s="122" t="s">
        <v>333</v>
      </c>
      <c r="DB1847" s="122" t="s">
        <v>7038</v>
      </c>
      <c r="DC1847" s="122" t="s">
        <v>2796</v>
      </c>
      <c r="DD1847" s="127">
        <v>6</v>
      </c>
      <c r="DE1847" s="127">
        <v>6</v>
      </c>
      <c r="DG1847" s="405" t="s">
        <v>333</v>
      </c>
      <c r="DH1847" s="406" t="s">
        <v>2796</v>
      </c>
      <c r="DI1847" s="406" t="str">
        <f t="shared" si="60"/>
        <v>MG, Montes Claros</v>
      </c>
      <c r="DJ1847" s="406">
        <v>-16.734999999999999</v>
      </c>
      <c r="DK1847" s="80">
        <v>-43.862000000000002</v>
      </c>
      <c r="DL1847" s="80">
        <v>648</v>
      </c>
      <c r="DM1847" s="64">
        <v>6</v>
      </c>
      <c r="DN1847" s="406" t="s">
        <v>6853</v>
      </c>
      <c r="DO1847" s="406">
        <v>-16.739999999999998</v>
      </c>
      <c r="DP1847" s="80">
        <v>646</v>
      </c>
    </row>
    <row r="1848" spans="29:120" x14ac:dyDescent="0.25">
      <c r="AC1848" s="122" t="s">
        <v>348</v>
      </c>
      <c r="AD1848" s="122" t="s">
        <v>2225</v>
      </c>
      <c r="AE1848" s="127">
        <v>8</v>
      </c>
      <c r="DA1848" s="122" t="s">
        <v>333</v>
      </c>
      <c r="DB1848" s="122" t="s">
        <v>1931</v>
      </c>
      <c r="DC1848" s="122" t="s">
        <v>1931</v>
      </c>
      <c r="DD1848" s="127">
        <v>6</v>
      </c>
      <c r="DE1848" s="127">
        <v>6</v>
      </c>
      <c r="DG1848" s="405" t="s">
        <v>333</v>
      </c>
      <c r="DH1848" s="406" t="s">
        <v>1931</v>
      </c>
      <c r="DI1848" s="406" t="str">
        <f t="shared" si="60"/>
        <v>MG, Montezuma</v>
      </c>
      <c r="DJ1848" s="406">
        <v>-15.172000000000001</v>
      </c>
      <c r="DK1848" s="80">
        <v>-42.497</v>
      </c>
      <c r="DL1848" s="80">
        <v>950</v>
      </c>
      <c r="DM1848" s="64">
        <v>6</v>
      </c>
      <c r="DN1848" s="406" t="s">
        <v>6293</v>
      </c>
      <c r="DO1848" s="406">
        <v>-14.92</v>
      </c>
      <c r="DP1848" s="80">
        <v>570</v>
      </c>
    </row>
    <row r="1849" spans="29:120" x14ac:dyDescent="0.25">
      <c r="AC1849" s="122" t="s">
        <v>247</v>
      </c>
      <c r="AD1849" s="122" t="s">
        <v>2226</v>
      </c>
      <c r="AE1849" s="127">
        <v>8</v>
      </c>
      <c r="DA1849" s="122" t="s">
        <v>333</v>
      </c>
      <c r="DB1849" s="122" t="s">
        <v>7039</v>
      </c>
      <c r="DC1849" s="122" t="s">
        <v>2090</v>
      </c>
      <c r="DD1849" s="127">
        <v>4</v>
      </c>
      <c r="DE1849" s="127">
        <v>4</v>
      </c>
      <c r="DG1849" s="405" t="s">
        <v>333</v>
      </c>
      <c r="DH1849" s="406" t="s">
        <v>2090</v>
      </c>
      <c r="DI1849" s="406" t="str">
        <f t="shared" si="60"/>
        <v>MG, Morada Nova de Minas</v>
      </c>
      <c r="DJ1849" s="406">
        <v>-18.603999999999999</v>
      </c>
      <c r="DK1849" s="80">
        <v>-45.356999999999999</v>
      </c>
      <c r="DL1849" s="80">
        <v>586</v>
      </c>
      <c r="DM1849" s="64">
        <v>4</v>
      </c>
      <c r="DN1849" s="406" t="s">
        <v>6851</v>
      </c>
      <c r="DO1849" s="406">
        <v>-18.21</v>
      </c>
      <c r="DP1849" s="80">
        <v>921</v>
      </c>
    </row>
    <row r="1850" spans="29:120" x14ac:dyDescent="0.25">
      <c r="AC1850" s="122" t="s">
        <v>289</v>
      </c>
      <c r="AD1850" s="122" t="s">
        <v>2227</v>
      </c>
      <c r="AE1850" s="127">
        <v>8</v>
      </c>
      <c r="DA1850" s="122" t="s">
        <v>333</v>
      </c>
      <c r="DB1850" s="122" t="s">
        <v>7040</v>
      </c>
      <c r="DC1850" s="122" t="s">
        <v>2778</v>
      </c>
      <c r="DD1850" s="127">
        <v>3</v>
      </c>
      <c r="DE1850" s="127">
        <v>3</v>
      </c>
      <c r="DG1850" s="405" t="s">
        <v>333</v>
      </c>
      <c r="DH1850" s="406" t="s">
        <v>2778</v>
      </c>
      <c r="DI1850" s="406" t="str">
        <f t="shared" si="60"/>
        <v>MG, Morro da Garça</v>
      </c>
      <c r="DJ1850" s="406">
        <v>-18.547000000000001</v>
      </c>
      <c r="DK1850" s="80">
        <v>-44.603000000000002</v>
      </c>
      <c r="DL1850" s="80">
        <v>600</v>
      </c>
      <c r="DM1850" s="64">
        <v>3</v>
      </c>
      <c r="DN1850" s="406" t="s">
        <v>6828</v>
      </c>
      <c r="DO1850" s="406">
        <v>-18.760000000000002</v>
      </c>
      <c r="DP1850" s="80">
        <v>670</v>
      </c>
    </row>
    <row r="1851" spans="29:120" x14ac:dyDescent="0.25">
      <c r="AC1851" s="122" t="s">
        <v>369</v>
      </c>
      <c r="AD1851" s="122" t="s">
        <v>2228</v>
      </c>
      <c r="AE1851" s="127">
        <v>7</v>
      </c>
      <c r="DA1851" s="122" t="s">
        <v>333</v>
      </c>
      <c r="DB1851" s="122" t="s">
        <v>7041</v>
      </c>
      <c r="DC1851" s="122" t="s">
        <v>3727</v>
      </c>
      <c r="DD1851" s="127">
        <v>3</v>
      </c>
      <c r="DE1851" s="127">
        <v>3</v>
      </c>
      <c r="DG1851" s="405" t="s">
        <v>333</v>
      </c>
      <c r="DH1851" s="406" t="s">
        <v>3727</v>
      </c>
      <c r="DI1851" s="406" t="str">
        <f t="shared" si="60"/>
        <v>MG, Morro do Pilar</v>
      </c>
      <c r="DJ1851" s="406">
        <v>-19.216000000000001</v>
      </c>
      <c r="DK1851" s="80">
        <v>-43.375999999999998</v>
      </c>
      <c r="DL1851" s="80">
        <v>622</v>
      </c>
      <c r="DM1851" s="64">
        <v>3</v>
      </c>
      <c r="DN1851" s="406" t="s">
        <v>6798</v>
      </c>
      <c r="DO1851" s="406">
        <v>-19.579999999999998</v>
      </c>
      <c r="DP1851" s="80">
        <v>333</v>
      </c>
    </row>
    <row r="1852" spans="29:120" x14ac:dyDescent="0.25">
      <c r="AC1852" s="122" t="s">
        <v>311</v>
      </c>
      <c r="AD1852" s="122" t="s">
        <v>2229</v>
      </c>
      <c r="AE1852" s="127">
        <v>3</v>
      </c>
      <c r="DA1852" s="122" t="s">
        <v>333</v>
      </c>
      <c r="DB1852" s="122" t="s">
        <v>945</v>
      </c>
      <c r="DC1852" s="122" t="s">
        <v>945</v>
      </c>
      <c r="DD1852" s="127">
        <v>1</v>
      </c>
      <c r="DE1852" s="127">
        <v>1</v>
      </c>
      <c r="DG1852" s="405" t="s">
        <v>333</v>
      </c>
      <c r="DH1852" s="406" t="s">
        <v>945</v>
      </c>
      <c r="DI1852" s="406" t="str">
        <f t="shared" si="60"/>
        <v>MG, Munhoz</v>
      </c>
      <c r="DJ1852" s="406">
        <v>-22.613</v>
      </c>
      <c r="DK1852" s="80">
        <v>-46.360999999999997</v>
      </c>
      <c r="DL1852" s="80">
        <v>1235</v>
      </c>
      <c r="DM1852" s="64">
        <v>1</v>
      </c>
      <c r="DN1852" s="406" t="s">
        <v>6861</v>
      </c>
      <c r="DO1852" s="406">
        <v>-22.86</v>
      </c>
      <c r="DP1852" s="80">
        <v>1500</v>
      </c>
    </row>
    <row r="1853" spans="29:120" x14ac:dyDescent="0.25">
      <c r="AC1853" s="122" t="s">
        <v>289</v>
      </c>
      <c r="AD1853" s="122" t="s">
        <v>2230</v>
      </c>
      <c r="AE1853" s="127">
        <v>5</v>
      </c>
      <c r="DA1853" s="122" t="s">
        <v>333</v>
      </c>
      <c r="DB1853" s="122" t="s">
        <v>3286</v>
      </c>
      <c r="DC1853" s="122" t="s">
        <v>3286</v>
      </c>
      <c r="DD1853" s="127">
        <v>3</v>
      </c>
      <c r="DE1853" s="127">
        <v>3</v>
      </c>
      <c r="DG1853" s="405" t="s">
        <v>333</v>
      </c>
      <c r="DH1853" s="406" t="s">
        <v>3286</v>
      </c>
      <c r="DI1853" s="406" t="str">
        <f t="shared" si="60"/>
        <v>MG, Muriaé</v>
      </c>
      <c r="DJ1853" s="406">
        <v>-21.131</v>
      </c>
      <c r="DK1853" s="80">
        <v>-42.366</v>
      </c>
      <c r="DL1853" s="80">
        <v>209</v>
      </c>
      <c r="DM1853" s="64">
        <v>3</v>
      </c>
      <c r="DN1853" s="406" t="s">
        <v>6827</v>
      </c>
      <c r="DO1853" s="406">
        <v>-21.13</v>
      </c>
      <c r="DP1853" s="80">
        <v>297</v>
      </c>
    </row>
    <row r="1854" spans="29:120" x14ac:dyDescent="0.25">
      <c r="AC1854" s="122" t="s">
        <v>289</v>
      </c>
      <c r="AD1854" s="122" t="s">
        <v>2231</v>
      </c>
      <c r="AE1854" s="127">
        <v>8</v>
      </c>
      <c r="DA1854" s="122" t="s">
        <v>333</v>
      </c>
      <c r="DB1854" s="122" t="s">
        <v>2616</v>
      </c>
      <c r="DC1854" s="122" t="s">
        <v>2616</v>
      </c>
      <c r="DD1854" s="127">
        <v>5</v>
      </c>
      <c r="DE1854" s="127">
        <v>5</v>
      </c>
      <c r="DG1854" s="405" t="s">
        <v>333</v>
      </c>
      <c r="DH1854" s="406" t="s">
        <v>2616</v>
      </c>
      <c r="DI1854" s="406" t="str">
        <f t="shared" si="60"/>
        <v>MG, Mutum</v>
      </c>
      <c r="DJ1854" s="406">
        <v>-19.8</v>
      </c>
      <c r="DK1854" s="80">
        <v>-41.438000000000002</v>
      </c>
      <c r="DL1854" s="80">
        <v>230</v>
      </c>
      <c r="DM1854" s="64">
        <v>5</v>
      </c>
      <c r="DN1854" s="406" t="s">
        <v>6465</v>
      </c>
      <c r="DO1854" s="406">
        <v>-19.5</v>
      </c>
      <c r="DP1854" s="80">
        <v>84</v>
      </c>
    </row>
    <row r="1855" spans="29:120" x14ac:dyDescent="0.25">
      <c r="AC1855" s="122" t="s">
        <v>348</v>
      </c>
      <c r="AD1855" s="122" t="s">
        <v>2232</v>
      </c>
      <c r="AE1855" s="127">
        <v>8</v>
      </c>
      <c r="DA1855" s="122" t="s">
        <v>333</v>
      </c>
      <c r="DB1855" s="122" t="s">
        <v>935</v>
      </c>
      <c r="DC1855" s="122" t="s">
        <v>935</v>
      </c>
      <c r="DD1855" s="127">
        <v>4</v>
      </c>
      <c r="DE1855" s="127">
        <v>4</v>
      </c>
      <c r="DG1855" s="405" t="s">
        <v>333</v>
      </c>
      <c r="DH1855" s="406" t="s">
        <v>935</v>
      </c>
      <c r="DI1855" s="406" t="str">
        <f t="shared" si="60"/>
        <v>MG, Muzambinho</v>
      </c>
      <c r="DJ1855" s="406">
        <v>-21.376000000000001</v>
      </c>
      <c r="DK1855" s="80">
        <v>-46.526000000000003</v>
      </c>
      <c r="DL1855" s="80">
        <v>1048</v>
      </c>
      <c r="DM1855" s="64">
        <v>4</v>
      </c>
      <c r="DN1855" s="406" t="s">
        <v>6823</v>
      </c>
      <c r="DO1855" s="406">
        <v>-21.92</v>
      </c>
      <c r="DP1855" s="80">
        <v>1150</v>
      </c>
    </row>
    <row r="1856" spans="29:120" x14ac:dyDescent="0.25">
      <c r="AC1856" s="122" t="s">
        <v>348</v>
      </c>
      <c r="AD1856" s="122" t="s">
        <v>2233</v>
      </c>
      <c r="AE1856" s="127">
        <v>8</v>
      </c>
      <c r="DA1856" s="122" t="s">
        <v>333</v>
      </c>
      <c r="DB1856" s="122" t="s">
        <v>7042</v>
      </c>
      <c r="DC1856" s="122" t="s">
        <v>2058</v>
      </c>
      <c r="DD1856" s="127">
        <v>3</v>
      </c>
      <c r="DE1856" s="127">
        <v>3</v>
      </c>
      <c r="DG1856" s="405" t="s">
        <v>333</v>
      </c>
      <c r="DH1856" s="406" t="s">
        <v>2058</v>
      </c>
      <c r="DI1856" s="406" t="str">
        <f t="shared" si="60"/>
        <v>MG, Nacip Raydan</v>
      </c>
      <c r="DJ1856" s="406">
        <v>-18.459</v>
      </c>
      <c r="DK1856" s="80">
        <v>-42.249000000000002</v>
      </c>
      <c r="DL1856" s="80">
        <v>332</v>
      </c>
      <c r="DM1856" s="64">
        <v>3</v>
      </c>
      <c r="DN1856" s="406" t="s">
        <v>6814</v>
      </c>
      <c r="DO1856" s="406">
        <v>-18.850000000000001</v>
      </c>
      <c r="DP1856" s="80">
        <v>263</v>
      </c>
    </row>
    <row r="1857" spans="29:120" x14ac:dyDescent="0.25">
      <c r="AC1857" s="122" t="s">
        <v>289</v>
      </c>
      <c r="AD1857" s="122" t="s">
        <v>2234</v>
      </c>
      <c r="AE1857" s="127">
        <v>8</v>
      </c>
      <c r="DA1857" s="122" t="s">
        <v>333</v>
      </c>
      <c r="DB1857" s="122" t="s">
        <v>2469</v>
      </c>
      <c r="DC1857" s="122" t="s">
        <v>2469</v>
      </c>
      <c r="DD1857" s="127">
        <v>5</v>
      </c>
      <c r="DE1857" s="127">
        <v>5</v>
      </c>
      <c r="DG1857" s="405" t="s">
        <v>333</v>
      </c>
      <c r="DH1857" s="406" t="s">
        <v>2469</v>
      </c>
      <c r="DI1857" s="406" t="str">
        <f t="shared" si="60"/>
        <v>MG, Nanuque</v>
      </c>
      <c r="DJ1857" s="406">
        <v>-17.838999999999999</v>
      </c>
      <c r="DK1857" s="80">
        <v>-40.353999999999999</v>
      </c>
      <c r="DL1857" s="80">
        <v>103</v>
      </c>
      <c r="DM1857" s="64">
        <v>5</v>
      </c>
      <c r="DN1857" s="406" t="s">
        <v>6290</v>
      </c>
      <c r="DO1857" s="406">
        <v>-17.78</v>
      </c>
      <c r="DP1857" s="80">
        <v>208</v>
      </c>
    </row>
    <row r="1858" spans="29:120" x14ac:dyDescent="0.25">
      <c r="AC1858" s="122" t="s">
        <v>348</v>
      </c>
      <c r="AD1858" s="122" t="s">
        <v>2235</v>
      </c>
      <c r="AE1858" s="127">
        <v>8</v>
      </c>
      <c r="DA1858" s="122" t="s">
        <v>333</v>
      </c>
      <c r="DB1858" s="122" t="s">
        <v>2495</v>
      </c>
      <c r="DC1858" s="122" t="s">
        <v>2495</v>
      </c>
      <c r="DD1858" s="127">
        <v>3</v>
      </c>
      <c r="DE1858" s="127">
        <v>3</v>
      </c>
      <c r="DG1858" s="405" t="s">
        <v>333</v>
      </c>
      <c r="DH1858" s="406" t="s">
        <v>2495</v>
      </c>
      <c r="DI1858" s="406" t="str">
        <f t="shared" si="60"/>
        <v>MG, Naque</v>
      </c>
      <c r="DJ1858" s="406">
        <v>-19.23</v>
      </c>
      <c r="DK1858" s="80">
        <v>-42.328000000000003</v>
      </c>
      <c r="DL1858" s="80">
        <v>330</v>
      </c>
      <c r="DM1858" s="64">
        <v>3</v>
      </c>
      <c r="DN1858" s="406" t="s">
        <v>6798</v>
      </c>
      <c r="DO1858" s="406">
        <v>-19.579999999999998</v>
      </c>
      <c r="DP1858" s="80">
        <v>333</v>
      </c>
    </row>
    <row r="1859" spans="29:120" x14ac:dyDescent="0.25">
      <c r="AC1859" s="122" t="s">
        <v>289</v>
      </c>
      <c r="AD1859" s="122" t="s">
        <v>2236</v>
      </c>
      <c r="AE1859" s="127">
        <v>8</v>
      </c>
      <c r="DA1859" s="122" t="s">
        <v>333</v>
      </c>
      <c r="DB1859" s="122" t="s">
        <v>2794</v>
      </c>
      <c r="DC1859" s="122" t="s">
        <v>2794</v>
      </c>
      <c r="DD1859" s="127">
        <v>6</v>
      </c>
      <c r="DE1859" s="127">
        <v>6</v>
      </c>
      <c r="DG1859" s="405" t="s">
        <v>333</v>
      </c>
      <c r="DH1859" s="406" t="s">
        <v>2794</v>
      </c>
      <c r="DI1859" s="406" t="str">
        <f t="shared" ref="DI1859:DI1922" si="61">CONCATENATE(DG1859,", ",DH1859)</f>
        <v>MG, Natalândia</v>
      </c>
      <c r="DJ1859" s="406">
        <v>-16.504000000000001</v>
      </c>
      <c r="DK1859" s="80">
        <v>-46.493000000000002</v>
      </c>
      <c r="DL1859" s="80">
        <v>550</v>
      </c>
      <c r="DM1859" s="64">
        <v>6</v>
      </c>
      <c r="DN1859" s="406" t="s">
        <v>6864</v>
      </c>
      <c r="DO1859" s="406">
        <v>-16.36</v>
      </c>
      <c r="DP1859" s="80">
        <v>631</v>
      </c>
    </row>
    <row r="1860" spans="29:120" x14ac:dyDescent="0.25">
      <c r="AC1860" s="122" t="s">
        <v>348</v>
      </c>
      <c r="AD1860" s="122" t="s">
        <v>2237</v>
      </c>
      <c r="AE1860" s="127">
        <v>5</v>
      </c>
      <c r="DA1860" s="122" t="s">
        <v>333</v>
      </c>
      <c r="DB1860" s="122" t="s">
        <v>1006</v>
      </c>
      <c r="DC1860" s="122" t="s">
        <v>1006</v>
      </c>
      <c r="DD1860" s="127">
        <v>2</v>
      </c>
      <c r="DE1860" s="127">
        <v>2</v>
      </c>
      <c r="DG1860" s="405" t="s">
        <v>333</v>
      </c>
      <c r="DH1860" s="406" t="s">
        <v>1006</v>
      </c>
      <c r="DI1860" s="406" t="str">
        <f t="shared" si="61"/>
        <v>MG, Natércia</v>
      </c>
      <c r="DJ1860" s="406">
        <v>-22.12</v>
      </c>
      <c r="DK1860" s="80">
        <v>-45.512</v>
      </c>
      <c r="DL1860" s="80">
        <v>918</v>
      </c>
      <c r="DM1860" s="64">
        <v>2</v>
      </c>
      <c r="DN1860" s="406" t="s">
        <v>6881</v>
      </c>
      <c r="DO1860" s="406">
        <v>-22.31</v>
      </c>
      <c r="DP1860" s="80">
        <v>1276</v>
      </c>
    </row>
    <row r="1861" spans="29:120" x14ac:dyDescent="0.25">
      <c r="AC1861" s="122" t="s">
        <v>289</v>
      </c>
      <c r="AD1861" s="122" t="s">
        <v>2238</v>
      </c>
      <c r="AE1861" s="127">
        <v>8</v>
      </c>
      <c r="DA1861" s="122" t="s">
        <v>333</v>
      </c>
      <c r="DB1861" s="122" t="s">
        <v>652</v>
      </c>
      <c r="DC1861" s="122" t="s">
        <v>652</v>
      </c>
      <c r="DD1861" s="127">
        <v>3</v>
      </c>
      <c r="DE1861" s="127">
        <v>3</v>
      </c>
      <c r="DG1861" s="405" t="s">
        <v>333</v>
      </c>
      <c r="DH1861" s="406" t="s">
        <v>652</v>
      </c>
      <c r="DI1861" s="406" t="str">
        <f t="shared" si="61"/>
        <v>MG, Nazareno</v>
      </c>
      <c r="DJ1861" s="406">
        <v>-21.216000000000001</v>
      </c>
      <c r="DK1861" s="80">
        <v>-44.610999999999997</v>
      </c>
      <c r="DL1861" s="80">
        <v>935</v>
      </c>
      <c r="DM1861" s="64">
        <v>3</v>
      </c>
      <c r="DN1861" s="406" t="s">
        <v>6813</v>
      </c>
      <c r="DO1861" s="406">
        <v>-21.14</v>
      </c>
      <c r="DP1861" s="80">
        <v>991</v>
      </c>
    </row>
    <row r="1862" spans="29:120" x14ac:dyDescent="0.25">
      <c r="AC1862" s="122" t="s">
        <v>348</v>
      </c>
      <c r="AD1862" s="122" t="s">
        <v>2239</v>
      </c>
      <c r="AE1862" s="127">
        <v>8</v>
      </c>
      <c r="DA1862" s="122" t="s">
        <v>333</v>
      </c>
      <c r="DB1862" s="122" t="s">
        <v>2293</v>
      </c>
      <c r="DC1862" s="122" t="s">
        <v>2293</v>
      </c>
      <c r="DD1862" s="127">
        <v>2</v>
      </c>
      <c r="DE1862" s="127">
        <v>2</v>
      </c>
      <c r="DG1862" s="405" t="s">
        <v>333</v>
      </c>
      <c r="DH1862" s="406" t="s">
        <v>2293</v>
      </c>
      <c r="DI1862" s="406" t="str">
        <f t="shared" si="61"/>
        <v>MG, Nepomuceno</v>
      </c>
      <c r="DJ1862" s="406">
        <v>-21.236000000000001</v>
      </c>
      <c r="DK1862" s="80">
        <v>-45.235999999999997</v>
      </c>
      <c r="DL1862" s="80">
        <v>840</v>
      </c>
      <c r="DM1862" s="64">
        <v>2</v>
      </c>
      <c r="DN1862" s="406" t="s">
        <v>6811</v>
      </c>
      <c r="DO1862" s="406">
        <v>-21.55</v>
      </c>
      <c r="DP1862" s="80">
        <v>955</v>
      </c>
    </row>
    <row r="1863" spans="29:120" x14ac:dyDescent="0.25">
      <c r="AC1863" s="122" t="s">
        <v>289</v>
      </c>
      <c r="AD1863" s="122" t="s">
        <v>2240</v>
      </c>
      <c r="AE1863" s="127">
        <v>8</v>
      </c>
      <c r="DA1863" s="122" t="s">
        <v>333</v>
      </c>
      <c r="DB1863" s="122" t="s">
        <v>2048</v>
      </c>
      <c r="DC1863" s="122" t="s">
        <v>2048</v>
      </c>
      <c r="DD1863" s="127">
        <v>5</v>
      </c>
      <c r="DE1863" s="127">
        <v>5</v>
      </c>
      <c r="DG1863" s="405" t="s">
        <v>333</v>
      </c>
      <c r="DH1863" s="406" t="s">
        <v>2048</v>
      </c>
      <c r="DI1863" s="406" t="str">
        <f t="shared" si="61"/>
        <v>MG, Ninheira</v>
      </c>
      <c r="DJ1863" s="406">
        <v>-15.321</v>
      </c>
      <c r="DK1863" s="80">
        <v>-41.753999999999998</v>
      </c>
      <c r="DL1863" s="80">
        <v>900</v>
      </c>
      <c r="DM1863" s="64">
        <v>5</v>
      </c>
      <c r="DN1863" s="406" t="s">
        <v>6252</v>
      </c>
      <c r="DO1863" s="406">
        <v>-15.75</v>
      </c>
      <c r="DP1863" s="80">
        <v>740</v>
      </c>
    </row>
    <row r="1864" spans="29:120" x14ac:dyDescent="0.25">
      <c r="AC1864" s="122" t="s">
        <v>289</v>
      </c>
      <c r="AD1864" s="122" t="s">
        <v>2241</v>
      </c>
      <c r="AE1864" s="127">
        <v>8</v>
      </c>
      <c r="DA1864" s="122" t="s">
        <v>333</v>
      </c>
      <c r="DB1864" s="122" t="s">
        <v>7043</v>
      </c>
      <c r="DC1864" s="122" t="s">
        <v>1871</v>
      </c>
      <c r="DD1864" s="127">
        <v>5</v>
      </c>
      <c r="DE1864" s="127">
        <v>5</v>
      </c>
      <c r="DG1864" s="405" t="s">
        <v>333</v>
      </c>
      <c r="DH1864" s="406" t="s">
        <v>1871</v>
      </c>
      <c r="DI1864" s="406" t="str">
        <f t="shared" si="61"/>
        <v>MG, Nova Belém</v>
      </c>
      <c r="DJ1864" s="406">
        <v>-18.475000000000001</v>
      </c>
      <c r="DK1864" s="80">
        <v>-41.017000000000003</v>
      </c>
      <c r="DL1864" s="80">
        <v>349</v>
      </c>
      <c r="DM1864" s="64">
        <v>5</v>
      </c>
      <c r="DN1864" s="406" t="s">
        <v>6456</v>
      </c>
      <c r="DO1864" s="406">
        <v>-18.78</v>
      </c>
      <c r="DP1864" s="80">
        <v>214</v>
      </c>
    </row>
    <row r="1865" spans="29:120" x14ac:dyDescent="0.25">
      <c r="AC1865" s="122" t="s">
        <v>348</v>
      </c>
      <c r="AD1865" s="122" t="s">
        <v>2242</v>
      </c>
      <c r="AE1865" s="127">
        <v>8</v>
      </c>
      <c r="DA1865" s="122" t="s">
        <v>333</v>
      </c>
      <c r="DB1865" s="122" t="s">
        <v>7044</v>
      </c>
      <c r="DC1865" s="122" t="s">
        <v>1921</v>
      </c>
      <c r="DD1865" s="127">
        <v>3</v>
      </c>
      <c r="DE1865" s="127">
        <v>3</v>
      </c>
      <c r="DG1865" s="405" t="s">
        <v>333</v>
      </c>
      <c r="DH1865" s="406" t="s">
        <v>1921</v>
      </c>
      <c r="DI1865" s="406" t="str">
        <f t="shared" si="61"/>
        <v>MG, Nova Era</v>
      </c>
      <c r="DJ1865" s="406">
        <v>-19.75</v>
      </c>
      <c r="DK1865" s="80">
        <v>-43.037999999999997</v>
      </c>
      <c r="DL1865" s="80">
        <v>529</v>
      </c>
      <c r="DM1865" s="64">
        <v>3</v>
      </c>
      <c r="DN1865" s="406" t="s">
        <v>6798</v>
      </c>
      <c r="DO1865" s="406">
        <v>-19.579999999999998</v>
      </c>
      <c r="DP1865" s="80">
        <v>333</v>
      </c>
    </row>
    <row r="1866" spans="29:120" x14ac:dyDescent="0.25">
      <c r="AC1866" s="122" t="s">
        <v>333</v>
      </c>
      <c r="AD1866" s="122" t="s">
        <v>2243</v>
      </c>
      <c r="AE1866" s="127">
        <v>6</v>
      </c>
      <c r="DA1866" s="122" t="s">
        <v>333</v>
      </c>
      <c r="DB1866" s="122" t="s">
        <v>7045</v>
      </c>
      <c r="DC1866" s="122" t="s">
        <v>537</v>
      </c>
      <c r="DD1866" s="127">
        <v>2</v>
      </c>
      <c r="DE1866" s="127">
        <v>2</v>
      </c>
      <c r="DG1866" s="405" t="s">
        <v>333</v>
      </c>
      <c r="DH1866" s="406" t="s">
        <v>537</v>
      </c>
      <c r="DI1866" s="406" t="str">
        <f t="shared" si="61"/>
        <v>MG, Nova Lima</v>
      </c>
      <c r="DJ1866" s="406">
        <v>-19.986000000000001</v>
      </c>
      <c r="DK1866" s="80">
        <v>-43.847000000000001</v>
      </c>
      <c r="DL1866" s="80">
        <v>744</v>
      </c>
      <c r="DM1866" s="64">
        <v>2</v>
      </c>
      <c r="DN1866" s="406" t="s">
        <v>6838</v>
      </c>
      <c r="DO1866" s="406">
        <v>-19.82</v>
      </c>
      <c r="DP1866" s="80">
        <v>869</v>
      </c>
    </row>
    <row r="1867" spans="29:120" x14ac:dyDescent="0.25">
      <c r="AC1867" s="122" t="s">
        <v>348</v>
      </c>
      <c r="AD1867" s="122" t="s">
        <v>1966</v>
      </c>
      <c r="AE1867" s="127">
        <v>8</v>
      </c>
      <c r="DA1867" s="122" t="s">
        <v>333</v>
      </c>
      <c r="DB1867" s="122" t="s">
        <v>7046</v>
      </c>
      <c r="DC1867" s="122" t="s">
        <v>1902</v>
      </c>
      <c r="DD1867" s="127">
        <v>5</v>
      </c>
      <c r="DE1867" s="127">
        <v>5</v>
      </c>
      <c r="DG1867" s="405" t="s">
        <v>333</v>
      </c>
      <c r="DH1867" s="406" t="s">
        <v>1902</v>
      </c>
      <c r="DI1867" s="406" t="str">
        <f t="shared" si="61"/>
        <v>MG, Nova Módica</v>
      </c>
      <c r="DJ1867" s="406">
        <v>-18.437000000000001</v>
      </c>
      <c r="DK1867" s="80">
        <v>-41.500999999999998</v>
      </c>
      <c r="DL1867" s="80">
        <v>342</v>
      </c>
      <c r="DM1867" s="64">
        <v>5</v>
      </c>
      <c r="DN1867" s="406" t="s">
        <v>6835</v>
      </c>
      <c r="DO1867" s="406">
        <v>-17.86</v>
      </c>
      <c r="DP1867" s="80">
        <v>475</v>
      </c>
    </row>
    <row r="1868" spans="29:120" x14ac:dyDescent="0.25">
      <c r="AC1868" s="122" t="s">
        <v>333</v>
      </c>
      <c r="AD1868" s="122" t="s">
        <v>2244</v>
      </c>
      <c r="AE1868" s="127">
        <v>2</v>
      </c>
      <c r="DA1868" s="122" t="s">
        <v>333</v>
      </c>
      <c r="DB1868" s="122" t="s">
        <v>7047</v>
      </c>
      <c r="DC1868" s="122" t="s">
        <v>2868</v>
      </c>
      <c r="DD1868" s="127">
        <v>4</v>
      </c>
      <c r="DE1868" s="127">
        <v>4</v>
      </c>
      <c r="DG1868" s="405" t="s">
        <v>333</v>
      </c>
      <c r="DH1868" s="406" t="s">
        <v>2868</v>
      </c>
      <c r="DI1868" s="406" t="str">
        <f t="shared" si="61"/>
        <v>MG, Nova Ponte</v>
      </c>
      <c r="DJ1868" s="406">
        <v>-19.135999999999999</v>
      </c>
      <c r="DK1868" s="80">
        <v>-47.683</v>
      </c>
      <c r="DL1868" s="80">
        <v>791</v>
      </c>
      <c r="DM1868" s="64">
        <v>4</v>
      </c>
      <c r="DN1868" s="406" t="s">
        <v>6831</v>
      </c>
      <c r="DO1868" s="406">
        <v>-18.920000000000002</v>
      </c>
      <c r="DP1868" s="80">
        <v>869</v>
      </c>
    </row>
    <row r="1869" spans="29:120" x14ac:dyDescent="0.25">
      <c r="AC1869" s="122" t="s">
        <v>289</v>
      </c>
      <c r="AD1869" s="122" t="s">
        <v>2245</v>
      </c>
      <c r="AE1869" s="127">
        <v>8</v>
      </c>
      <c r="DA1869" s="122" t="s">
        <v>333</v>
      </c>
      <c r="DB1869" s="122" t="s">
        <v>7048</v>
      </c>
      <c r="DC1869" s="122" t="s">
        <v>5447</v>
      </c>
      <c r="DD1869" s="127">
        <v>3</v>
      </c>
      <c r="DE1869" s="127">
        <v>3</v>
      </c>
      <c r="DG1869" s="405" t="s">
        <v>333</v>
      </c>
      <c r="DH1869" s="406" t="s">
        <v>5447</v>
      </c>
      <c r="DI1869" s="406" t="str">
        <f t="shared" si="61"/>
        <v>MG, Nova Porteirinha</v>
      </c>
      <c r="DJ1869" s="406">
        <v>-15.803000000000001</v>
      </c>
      <c r="DK1869" s="80">
        <v>-43.301000000000002</v>
      </c>
      <c r="DL1869" s="80">
        <v>533</v>
      </c>
      <c r="DM1869" s="64">
        <v>3</v>
      </c>
      <c r="DN1869" s="406" t="s">
        <v>6993</v>
      </c>
      <c r="DO1869" s="406">
        <v>-15.72</v>
      </c>
      <c r="DP1869" s="80">
        <v>853</v>
      </c>
    </row>
    <row r="1870" spans="29:120" x14ac:dyDescent="0.25">
      <c r="AC1870" s="122" t="s">
        <v>289</v>
      </c>
      <c r="AD1870" s="122" t="s">
        <v>2246</v>
      </c>
      <c r="AE1870" s="127">
        <v>8</v>
      </c>
      <c r="DA1870" s="122" t="s">
        <v>333</v>
      </c>
      <c r="DB1870" s="122" t="s">
        <v>7049</v>
      </c>
      <c r="DC1870" s="122" t="s">
        <v>520</v>
      </c>
      <c r="DD1870" s="127">
        <v>4</v>
      </c>
      <c r="DE1870" s="127">
        <v>4</v>
      </c>
      <c r="DG1870" s="405" t="s">
        <v>333</v>
      </c>
      <c r="DH1870" s="406" t="s">
        <v>520</v>
      </c>
      <c r="DI1870" s="406" t="str">
        <f t="shared" si="61"/>
        <v>MG, Nova Resende</v>
      </c>
      <c r="DJ1870" s="406">
        <v>-21.126000000000001</v>
      </c>
      <c r="DK1870" s="80">
        <v>-46.42</v>
      </c>
      <c r="DL1870" s="80">
        <v>1184</v>
      </c>
      <c r="DM1870" s="64">
        <v>4</v>
      </c>
      <c r="DN1870" s="406" t="s">
        <v>6815</v>
      </c>
      <c r="DO1870" s="406">
        <v>-20.75</v>
      </c>
      <c r="DP1870" s="80">
        <v>875</v>
      </c>
    </row>
    <row r="1871" spans="29:120" x14ac:dyDescent="0.25">
      <c r="AC1871" s="122" t="s">
        <v>348</v>
      </c>
      <c r="AD1871" s="122" t="s">
        <v>2247</v>
      </c>
      <c r="AE1871" s="127">
        <v>8</v>
      </c>
      <c r="DA1871" s="122" t="s">
        <v>333</v>
      </c>
      <c r="DB1871" s="122" t="s">
        <v>7050</v>
      </c>
      <c r="DC1871" s="122" t="s">
        <v>3861</v>
      </c>
      <c r="DD1871" s="127">
        <v>3</v>
      </c>
      <c r="DE1871" s="127">
        <v>3</v>
      </c>
      <c r="DG1871" s="405" t="s">
        <v>333</v>
      </c>
      <c r="DH1871" s="406" t="s">
        <v>3861</v>
      </c>
      <c r="DI1871" s="406" t="str">
        <f t="shared" si="61"/>
        <v>MG, Nova Serrana</v>
      </c>
      <c r="DJ1871" s="406">
        <v>-19.876000000000001</v>
      </c>
      <c r="DK1871" s="80">
        <v>-44.984000000000002</v>
      </c>
      <c r="DL1871" s="80">
        <v>761</v>
      </c>
      <c r="DM1871" s="64">
        <v>3</v>
      </c>
      <c r="DN1871" s="406" t="s">
        <v>6879</v>
      </c>
      <c r="DO1871" s="406">
        <v>-19.89</v>
      </c>
      <c r="DP1871" s="80">
        <v>742</v>
      </c>
    </row>
    <row r="1872" spans="29:120" x14ac:dyDescent="0.25">
      <c r="AC1872" s="122" t="s">
        <v>333</v>
      </c>
      <c r="AD1872" s="122" t="s">
        <v>2248</v>
      </c>
      <c r="AE1872" s="127">
        <v>3</v>
      </c>
      <c r="DA1872" s="122" t="s">
        <v>333</v>
      </c>
      <c r="DB1872" s="122" t="s">
        <v>7051</v>
      </c>
      <c r="DC1872" s="122" t="s">
        <v>2700</v>
      </c>
      <c r="DD1872" s="127">
        <v>3</v>
      </c>
      <c r="DE1872" s="127">
        <v>3</v>
      </c>
      <c r="DG1872" s="405" t="s">
        <v>333</v>
      </c>
      <c r="DH1872" s="406" t="s">
        <v>2700</v>
      </c>
      <c r="DI1872" s="406" t="str">
        <f t="shared" si="61"/>
        <v>MG, Nova União</v>
      </c>
      <c r="DJ1872" s="406">
        <v>-19.690000000000001</v>
      </c>
      <c r="DK1872" s="80">
        <v>-43.58</v>
      </c>
      <c r="DL1872" s="80">
        <v>937</v>
      </c>
      <c r="DM1872" s="64">
        <v>3</v>
      </c>
      <c r="DN1872" s="406" t="s">
        <v>6838</v>
      </c>
      <c r="DO1872" s="406">
        <v>-19.82</v>
      </c>
      <c r="DP1872" s="80">
        <v>869</v>
      </c>
    </row>
    <row r="1873" spans="29:120" x14ac:dyDescent="0.25">
      <c r="AC1873" s="122" t="s">
        <v>348</v>
      </c>
      <c r="AD1873" s="122" t="s">
        <v>2249</v>
      </c>
      <c r="AE1873" s="127">
        <v>8</v>
      </c>
      <c r="DA1873" s="122" t="s">
        <v>333</v>
      </c>
      <c r="DB1873" s="122" t="s">
        <v>7052</v>
      </c>
      <c r="DC1873" s="122" t="s">
        <v>2024</v>
      </c>
      <c r="DD1873" s="127">
        <v>5</v>
      </c>
      <c r="DE1873" s="127">
        <v>5</v>
      </c>
      <c r="DG1873" s="405" t="s">
        <v>333</v>
      </c>
      <c r="DH1873" s="406" t="s">
        <v>2024</v>
      </c>
      <c r="DI1873" s="406" t="str">
        <f t="shared" si="61"/>
        <v>MG, Novo Cruzeiro</v>
      </c>
      <c r="DJ1873" s="406">
        <v>-17.468</v>
      </c>
      <c r="DK1873" s="80">
        <v>-41.875</v>
      </c>
      <c r="DL1873" s="80">
        <v>980</v>
      </c>
      <c r="DM1873" s="64">
        <v>5</v>
      </c>
      <c r="DN1873" s="406" t="s">
        <v>6835</v>
      </c>
      <c r="DO1873" s="406">
        <v>-17.86</v>
      </c>
      <c r="DP1873" s="80">
        <v>475</v>
      </c>
    </row>
    <row r="1874" spans="29:120" x14ac:dyDescent="0.25">
      <c r="AC1874" s="122" t="s">
        <v>289</v>
      </c>
      <c r="AD1874" s="122" t="s">
        <v>2250</v>
      </c>
      <c r="AE1874" s="127">
        <v>8</v>
      </c>
      <c r="DA1874" s="122" t="s">
        <v>333</v>
      </c>
      <c r="DB1874" s="122" t="s">
        <v>7053</v>
      </c>
      <c r="DC1874" s="122" t="s">
        <v>1972</v>
      </c>
      <c r="DD1874" s="127">
        <v>5</v>
      </c>
      <c r="DE1874" s="127">
        <v>5</v>
      </c>
      <c r="DG1874" s="405" t="s">
        <v>333</v>
      </c>
      <c r="DH1874" s="406" t="s">
        <v>1972</v>
      </c>
      <c r="DI1874" s="406" t="str">
        <f t="shared" si="61"/>
        <v>MG, Novo Oriente de Minas</v>
      </c>
      <c r="DJ1874" s="406">
        <v>-17.414999999999999</v>
      </c>
      <c r="DK1874" s="80">
        <v>-41.215000000000003</v>
      </c>
      <c r="DL1874" s="80">
        <v>400</v>
      </c>
      <c r="DM1874" s="64">
        <v>5</v>
      </c>
      <c r="DN1874" s="406" t="s">
        <v>6835</v>
      </c>
      <c r="DO1874" s="406">
        <v>-17.86</v>
      </c>
      <c r="DP1874" s="80">
        <v>475</v>
      </c>
    </row>
    <row r="1875" spans="29:120" x14ac:dyDescent="0.25">
      <c r="AC1875" s="122" t="s">
        <v>289</v>
      </c>
      <c r="AD1875" s="122" t="s">
        <v>2251</v>
      </c>
      <c r="AE1875" s="127">
        <v>8</v>
      </c>
      <c r="DA1875" s="122" t="s">
        <v>333</v>
      </c>
      <c r="DB1875" s="122" t="s">
        <v>2869</v>
      </c>
      <c r="DC1875" s="122" t="s">
        <v>2869</v>
      </c>
      <c r="DD1875" s="127">
        <v>5</v>
      </c>
      <c r="DE1875" s="127">
        <v>5</v>
      </c>
      <c r="DG1875" s="405" t="s">
        <v>333</v>
      </c>
      <c r="DH1875" s="406" t="s">
        <v>2869</v>
      </c>
      <c r="DI1875" s="406" t="str">
        <f t="shared" si="61"/>
        <v>MG, Novorizonte</v>
      </c>
      <c r="DJ1875" s="406">
        <v>-16.016999999999999</v>
      </c>
      <c r="DK1875" s="80">
        <v>-42.408000000000001</v>
      </c>
      <c r="DL1875" s="80">
        <v>920</v>
      </c>
      <c r="DM1875" s="64">
        <v>5</v>
      </c>
      <c r="DN1875" s="406" t="s">
        <v>6830</v>
      </c>
      <c r="DO1875" s="406">
        <v>-16.170000000000002</v>
      </c>
      <c r="DP1875" s="80">
        <v>495</v>
      </c>
    </row>
    <row r="1876" spans="29:120" x14ac:dyDescent="0.25">
      <c r="AC1876" s="122" t="s">
        <v>348</v>
      </c>
      <c r="AD1876" s="122" t="s">
        <v>2252</v>
      </c>
      <c r="AE1876" s="127">
        <v>8</v>
      </c>
      <c r="DA1876" s="122" t="s">
        <v>333</v>
      </c>
      <c r="DB1876" s="122" t="s">
        <v>553</v>
      </c>
      <c r="DC1876" s="122" t="s">
        <v>553</v>
      </c>
      <c r="DD1876" s="127">
        <v>3</v>
      </c>
      <c r="DE1876" s="127">
        <v>3</v>
      </c>
      <c r="DG1876" s="405" t="s">
        <v>333</v>
      </c>
      <c r="DH1876" s="406" t="s">
        <v>553</v>
      </c>
      <c r="DI1876" s="406" t="str">
        <f t="shared" si="61"/>
        <v>MG, Olaria</v>
      </c>
      <c r="DJ1876" s="406">
        <v>-21.861000000000001</v>
      </c>
      <c r="DK1876" s="80">
        <v>-43.936999999999998</v>
      </c>
      <c r="DL1876" s="80">
        <v>912</v>
      </c>
      <c r="DM1876" s="64">
        <v>3</v>
      </c>
      <c r="DN1876" s="406" t="s">
        <v>6856</v>
      </c>
      <c r="DO1876" s="406">
        <v>-22.25</v>
      </c>
      <c r="DP1876" s="80">
        <v>367</v>
      </c>
    </row>
    <row r="1877" spans="29:120" x14ac:dyDescent="0.25">
      <c r="AC1877" s="122" t="s">
        <v>333</v>
      </c>
      <c r="AD1877" s="122" t="s">
        <v>2253</v>
      </c>
      <c r="AE1877" s="127">
        <v>6</v>
      </c>
      <c r="DA1877" s="122" t="s">
        <v>333</v>
      </c>
      <c r="DB1877" s="122" t="s">
        <v>2685</v>
      </c>
      <c r="DC1877" s="122" t="s">
        <v>2685</v>
      </c>
      <c r="DD1877" s="127">
        <v>4</v>
      </c>
      <c r="DE1877" s="127">
        <v>4</v>
      </c>
      <c r="DG1877" s="405" t="s">
        <v>333</v>
      </c>
      <c r="DH1877" s="406" t="s">
        <v>2685</v>
      </c>
      <c r="DI1877" s="406" t="str">
        <f t="shared" si="61"/>
        <v>MG, Olhos-d'Água</v>
      </c>
      <c r="DJ1877" s="406">
        <v>-17.396999999999998</v>
      </c>
      <c r="DK1877" s="80">
        <v>-43.573</v>
      </c>
      <c r="DL1877" s="80">
        <v>751</v>
      </c>
      <c r="DM1877" s="64">
        <v>4</v>
      </c>
      <c r="DN1877" s="406" t="s">
        <v>6853</v>
      </c>
      <c r="DO1877" s="406">
        <v>-16.739999999999998</v>
      </c>
      <c r="DP1877" s="80">
        <v>646</v>
      </c>
    </row>
    <row r="1878" spans="29:120" x14ac:dyDescent="0.25">
      <c r="AC1878" s="122" t="s">
        <v>289</v>
      </c>
      <c r="AD1878" s="122" t="s">
        <v>2254</v>
      </c>
      <c r="AE1878" s="127">
        <v>8</v>
      </c>
      <c r="DA1878" s="122" t="s">
        <v>333</v>
      </c>
      <c r="DB1878" s="122" t="s">
        <v>7054</v>
      </c>
      <c r="DC1878" s="122" t="s">
        <v>1024</v>
      </c>
      <c r="DD1878" s="127">
        <v>2</v>
      </c>
      <c r="DE1878" s="127">
        <v>2</v>
      </c>
      <c r="DG1878" s="405" t="s">
        <v>333</v>
      </c>
      <c r="DH1878" s="406" t="s">
        <v>1024</v>
      </c>
      <c r="DI1878" s="406" t="str">
        <f t="shared" si="61"/>
        <v>MG, Olímpio Noronha</v>
      </c>
      <c r="DJ1878" s="406">
        <v>-22.068000000000001</v>
      </c>
      <c r="DK1878" s="80">
        <v>-45.264000000000003</v>
      </c>
      <c r="DL1878" s="80">
        <v>890</v>
      </c>
      <c r="DM1878" s="64">
        <v>2</v>
      </c>
      <c r="DN1878" s="406" t="s">
        <v>6881</v>
      </c>
      <c r="DO1878" s="406">
        <v>-22.31</v>
      </c>
      <c r="DP1878" s="80">
        <v>1276</v>
      </c>
    </row>
    <row r="1879" spans="29:120" x14ac:dyDescent="0.25">
      <c r="AC1879" s="122" t="s">
        <v>323</v>
      </c>
      <c r="AD1879" s="122" t="s">
        <v>2255</v>
      </c>
      <c r="AE1879" s="127">
        <v>6</v>
      </c>
      <c r="DA1879" s="122" t="s">
        <v>333</v>
      </c>
      <c r="DB1879" s="122" t="s">
        <v>654</v>
      </c>
      <c r="DC1879" s="122" t="s">
        <v>654</v>
      </c>
      <c r="DD1879" s="127">
        <v>4</v>
      </c>
      <c r="DE1879" s="127">
        <v>4</v>
      </c>
      <c r="DG1879" s="405" t="s">
        <v>333</v>
      </c>
      <c r="DH1879" s="406" t="s">
        <v>654</v>
      </c>
      <c r="DI1879" s="406" t="str">
        <f t="shared" si="61"/>
        <v>MG, Oliveira</v>
      </c>
      <c r="DJ1879" s="406">
        <v>-20.696000000000002</v>
      </c>
      <c r="DK1879" s="80">
        <v>-44.826999999999998</v>
      </c>
      <c r="DL1879" s="80">
        <v>982</v>
      </c>
      <c r="DM1879" s="64">
        <v>4</v>
      </c>
      <c r="DN1879" s="406" t="s">
        <v>6803</v>
      </c>
      <c r="DO1879" s="406">
        <v>-20.46</v>
      </c>
      <c r="DP1879" s="80">
        <v>878</v>
      </c>
    </row>
    <row r="1880" spans="29:120" x14ac:dyDescent="0.25">
      <c r="AC1880" s="122" t="s">
        <v>289</v>
      </c>
      <c r="AD1880" s="122" t="s">
        <v>2256</v>
      </c>
      <c r="AE1880" s="127">
        <v>8</v>
      </c>
      <c r="DA1880" s="122" t="s">
        <v>333</v>
      </c>
      <c r="DB1880" s="122" t="s">
        <v>7055</v>
      </c>
      <c r="DC1880" s="122" t="s">
        <v>653</v>
      </c>
      <c r="DD1880" s="127">
        <v>3</v>
      </c>
      <c r="DE1880" s="127">
        <v>3</v>
      </c>
      <c r="DG1880" s="405" t="s">
        <v>333</v>
      </c>
      <c r="DH1880" s="406" t="s">
        <v>653</v>
      </c>
      <c r="DI1880" s="406" t="str">
        <f t="shared" si="61"/>
        <v>MG, Oliveira Fortes</v>
      </c>
      <c r="DJ1880" s="406">
        <v>-21.338999999999999</v>
      </c>
      <c r="DK1880" s="80">
        <v>-43.456000000000003</v>
      </c>
      <c r="DL1880" s="80">
        <v>851</v>
      </c>
      <c r="DM1880" s="64">
        <v>3</v>
      </c>
      <c r="DN1880" s="406" t="s">
        <v>6829</v>
      </c>
      <c r="DO1880" s="406">
        <v>-21.76</v>
      </c>
      <c r="DP1880" s="80">
        <v>950</v>
      </c>
    </row>
    <row r="1881" spans="29:120" x14ac:dyDescent="0.25">
      <c r="AC1881" s="122" t="s">
        <v>348</v>
      </c>
      <c r="AD1881" s="122" t="s">
        <v>2257</v>
      </c>
      <c r="AE1881" s="127">
        <v>8</v>
      </c>
      <c r="DA1881" s="122" t="s">
        <v>333</v>
      </c>
      <c r="DB1881" s="122" t="s">
        <v>7056</v>
      </c>
      <c r="DC1881" s="122" t="s">
        <v>3682</v>
      </c>
      <c r="DD1881" s="127">
        <v>4</v>
      </c>
      <c r="DE1881" s="127">
        <v>4</v>
      </c>
      <c r="DG1881" s="405" t="s">
        <v>333</v>
      </c>
      <c r="DH1881" s="406" t="s">
        <v>3682</v>
      </c>
      <c r="DI1881" s="406" t="str">
        <f t="shared" si="61"/>
        <v>MG, Onça de Pitangui</v>
      </c>
      <c r="DJ1881" s="406">
        <v>-19.73</v>
      </c>
      <c r="DK1881" s="80">
        <v>-44.807000000000002</v>
      </c>
      <c r="DL1881" s="80">
        <v>741</v>
      </c>
      <c r="DM1881" s="64">
        <v>4</v>
      </c>
      <c r="DN1881" s="406" t="s">
        <v>6879</v>
      </c>
      <c r="DO1881" s="406">
        <v>-19.89</v>
      </c>
      <c r="DP1881" s="80">
        <v>742</v>
      </c>
    </row>
    <row r="1882" spans="29:120" x14ac:dyDescent="0.25">
      <c r="AC1882" s="122" t="s">
        <v>333</v>
      </c>
      <c r="AD1882" s="122" t="s">
        <v>2258</v>
      </c>
      <c r="AE1882" s="127">
        <v>3</v>
      </c>
      <c r="DA1882" s="122" t="s">
        <v>333</v>
      </c>
      <c r="DB1882" s="122" t="s">
        <v>535</v>
      </c>
      <c r="DC1882" s="122" t="s">
        <v>535</v>
      </c>
      <c r="DD1882" s="127">
        <v>3</v>
      </c>
      <c r="DE1882" s="127">
        <v>3</v>
      </c>
      <c r="DG1882" s="405" t="s">
        <v>333</v>
      </c>
      <c r="DH1882" s="406" t="s">
        <v>535</v>
      </c>
      <c r="DI1882" s="406" t="str">
        <f t="shared" si="61"/>
        <v>MG, Oratórios</v>
      </c>
      <c r="DJ1882" s="406">
        <v>-20.431000000000001</v>
      </c>
      <c r="DK1882" s="80">
        <v>-42.805999999999997</v>
      </c>
      <c r="DL1882" s="80">
        <v>494</v>
      </c>
      <c r="DM1882" s="64">
        <v>3</v>
      </c>
      <c r="DN1882" s="406" t="s">
        <v>6797</v>
      </c>
      <c r="DO1882" s="406">
        <v>-20.75</v>
      </c>
      <c r="DP1882" s="80">
        <v>712</v>
      </c>
    </row>
    <row r="1883" spans="29:120" x14ac:dyDescent="0.25">
      <c r="AC1883" s="122" t="s">
        <v>322</v>
      </c>
      <c r="AD1883" s="122" t="s">
        <v>2259</v>
      </c>
      <c r="AE1883" s="127">
        <v>6</v>
      </c>
      <c r="DA1883" s="122" t="s">
        <v>333</v>
      </c>
      <c r="DB1883" s="122" t="s">
        <v>3435</v>
      </c>
      <c r="DC1883" s="122" t="s">
        <v>3435</v>
      </c>
      <c r="DD1883" s="127">
        <v>3</v>
      </c>
      <c r="DE1883" s="127">
        <v>3</v>
      </c>
      <c r="DG1883" s="405" t="s">
        <v>333</v>
      </c>
      <c r="DH1883" s="406" t="s">
        <v>3435</v>
      </c>
      <c r="DI1883" s="406" t="str">
        <f t="shared" si="61"/>
        <v>MG, Orizânia</v>
      </c>
      <c r="DJ1883" s="406">
        <v>-20.506</v>
      </c>
      <c r="DK1883" s="80">
        <v>-42.21</v>
      </c>
      <c r="DL1883" s="80">
        <v>819</v>
      </c>
      <c r="DM1883" s="64">
        <v>3</v>
      </c>
      <c r="DN1883" s="406" t="s">
        <v>6478</v>
      </c>
      <c r="DO1883" s="406">
        <v>-20.73</v>
      </c>
      <c r="DP1883" s="80">
        <v>399</v>
      </c>
    </row>
    <row r="1884" spans="29:120" x14ac:dyDescent="0.25">
      <c r="AC1884" s="122" t="s">
        <v>322</v>
      </c>
      <c r="AD1884" s="122" t="s">
        <v>2260</v>
      </c>
      <c r="AE1884" s="127">
        <v>6</v>
      </c>
      <c r="DA1884" s="122" t="s">
        <v>333</v>
      </c>
      <c r="DB1884" s="122" t="s">
        <v>6128</v>
      </c>
      <c r="DC1884" s="122" t="s">
        <v>542</v>
      </c>
      <c r="DD1884" s="127">
        <v>3</v>
      </c>
      <c r="DE1884" s="127">
        <v>3</v>
      </c>
      <c r="DG1884" s="405" t="s">
        <v>333</v>
      </c>
      <c r="DH1884" s="406" t="s">
        <v>542</v>
      </c>
      <c r="DI1884" s="406" t="str">
        <f t="shared" si="61"/>
        <v>MG, Ouro Branco</v>
      </c>
      <c r="DJ1884" s="406">
        <v>-20.521000000000001</v>
      </c>
      <c r="DK1884" s="80">
        <v>-43.692</v>
      </c>
      <c r="DL1884" s="80">
        <v>1052</v>
      </c>
      <c r="DM1884" s="64">
        <v>3</v>
      </c>
      <c r="DN1884" s="406" t="s">
        <v>6848</v>
      </c>
      <c r="DO1884" s="406">
        <v>-20.52</v>
      </c>
      <c r="DP1884" s="80">
        <v>1061</v>
      </c>
    </row>
    <row r="1885" spans="29:120" x14ac:dyDescent="0.25">
      <c r="AC1885" s="122" t="s">
        <v>348</v>
      </c>
      <c r="AD1885" s="122" t="s">
        <v>2261</v>
      </c>
      <c r="AE1885" s="127">
        <v>8</v>
      </c>
      <c r="DA1885" s="122" t="s">
        <v>333</v>
      </c>
      <c r="DB1885" s="122" t="s">
        <v>7057</v>
      </c>
      <c r="DC1885" s="122" t="s">
        <v>855</v>
      </c>
      <c r="DD1885" s="127">
        <v>2</v>
      </c>
      <c r="DE1885" s="127">
        <v>2</v>
      </c>
      <c r="DG1885" s="405" t="s">
        <v>333</v>
      </c>
      <c r="DH1885" s="406" t="s">
        <v>855</v>
      </c>
      <c r="DI1885" s="406" t="str">
        <f t="shared" si="61"/>
        <v>MG, Ouro Fino</v>
      </c>
      <c r="DJ1885" s="406">
        <v>-22.283000000000001</v>
      </c>
      <c r="DK1885" s="80">
        <v>-46.369</v>
      </c>
      <c r="DL1885" s="80">
        <v>908</v>
      </c>
      <c r="DM1885" s="64">
        <v>2</v>
      </c>
      <c r="DN1885" s="406" t="s">
        <v>6823</v>
      </c>
      <c r="DO1885" s="406">
        <v>-21.92</v>
      </c>
      <c r="DP1885" s="80">
        <v>1150</v>
      </c>
    </row>
    <row r="1886" spans="29:120" x14ac:dyDescent="0.25">
      <c r="AC1886" s="122" t="s">
        <v>289</v>
      </c>
      <c r="AD1886" s="122" t="s">
        <v>2262</v>
      </c>
      <c r="AE1886" s="127">
        <v>8</v>
      </c>
      <c r="DA1886" s="122" t="s">
        <v>333</v>
      </c>
      <c r="DB1886" s="122" t="s">
        <v>7058</v>
      </c>
      <c r="DC1886" s="122" t="s">
        <v>655</v>
      </c>
      <c r="DD1886" s="127">
        <v>3</v>
      </c>
      <c r="DE1886" s="127">
        <v>3</v>
      </c>
      <c r="DG1886" s="405" t="s">
        <v>333</v>
      </c>
      <c r="DH1886" s="406" t="s">
        <v>655</v>
      </c>
      <c r="DI1886" s="406" t="str">
        <f t="shared" si="61"/>
        <v>MG, Ouro Preto</v>
      </c>
      <c r="DJ1886" s="406">
        <v>-20.288</v>
      </c>
      <c r="DK1886" s="80">
        <v>-43.508000000000003</v>
      </c>
      <c r="DL1886" s="80">
        <v>1179</v>
      </c>
      <c r="DM1886" s="64">
        <v>3</v>
      </c>
      <c r="DN1886" s="406" t="s">
        <v>6848</v>
      </c>
      <c r="DO1886" s="406">
        <v>-20.52</v>
      </c>
      <c r="DP1886" s="80">
        <v>1061</v>
      </c>
    </row>
    <row r="1887" spans="29:120" x14ac:dyDescent="0.25">
      <c r="AC1887" s="122" t="s">
        <v>348</v>
      </c>
      <c r="AD1887" s="122" t="s">
        <v>2263</v>
      </c>
      <c r="AE1887" s="127">
        <v>8</v>
      </c>
      <c r="DA1887" s="122" t="s">
        <v>333</v>
      </c>
      <c r="DB1887" s="122" t="s">
        <v>7059</v>
      </c>
      <c r="DC1887" s="122" t="s">
        <v>1967</v>
      </c>
      <c r="DD1887" s="127">
        <v>5</v>
      </c>
      <c r="DE1887" s="127">
        <v>5</v>
      </c>
      <c r="DG1887" s="405" t="s">
        <v>333</v>
      </c>
      <c r="DH1887" s="406" t="s">
        <v>1967</v>
      </c>
      <c r="DI1887" s="406" t="str">
        <f t="shared" si="61"/>
        <v>MG, Ouro Verde de Minas</v>
      </c>
      <c r="DJ1887" s="406">
        <v>-18.071000000000002</v>
      </c>
      <c r="DK1887" s="80">
        <v>-41.27</v>
      </c>
      <c r="DL1887" s="80">
        <v>380</v>
      </c>
      <c r="DM1887" s="64">
        <v>5</v>
      </c>
      <c r="DN1887" s="406" t="s">
        <v>6835</v>
      </c>
      <c r="DO1887" s="406">
        <v>-17.86</v>
      </c>
      <c r="DP1887" s="80">
        <v>475</v>
      </c>
    </row>
    <row r="1888" spans="29:120" x14ac:dyDescent="0.25">
      <c r="AC1888" s="122" t="s">
        <v>348</v>
      </c>
      <c r="AD1888" s="122" t="s">
        <v>2264</v>
      </c>
      <c r="AE1888" s="127">
        <v>8</v>
      </c>
      <c r="DA1888" s="122" t="s">
        <v>333</v>
      </c>
      <c r="DB1888" s="122" t="s">
        <v>7060</v>
      </c>
      <c r="DC1888" s="122" t="s">
        <v>2662</v>
      </c>
      <c r="DD1888" s="127">
        <v>3</v>
      </c>
      <c r="DE1888" s="127">
        <v>3</v>
      </c>
      <c r="DG1888" s="405" t="s">
        <v>333</v>
      </c>
      <c r="DH1888" s="406" t="s">
        <v>2662</v>
      </c>
      <c r="DI1888" s="406" t="str">
        <f t="shared" si="61"/>
        <v>MG, Padre Carvalho</v>
      </c>
      <c r="DJ1888" s="406">
        <v>-16.364000000000001</v>
      </c>
      <c r="DK1888" s="80">
        <v>-42.515000000000001</v>
      </c>
      <c r="DL1888" s="80">
        <v>750</v>
      </c>
      <c r="DM1888" s="64">
        <v>3</v>
      </c>
      <c r="DN1888" s="406" t="s">
        <v>6830</v>
      </c>
      <c r="DO1888" s="406">
        <v>-16.170000000000002</v>
      </c>
      <c r="DP1888" s="80">
        <v>495</v>
      </c>
    </row>
    <row r="1889" spans="29:120" x14ac:dyDescent="0.25">
      <c r="AC1889" s="122" t="s">
        <v>289</v>
      </c>
      <c r="AD1889" s="122" t="s">
        <v>2265</v>
      </c>
      <c r="AE1889" s="127">
        <v>8</v>
      </c>
      <c r="DA1889" s="122" t="s">
        <v>333</v>
      </c>
      <c r="DB1889" s="122" t="s">
        <v>7061</v>
      </c>
      <c r="DC1889" s="122" t="s">
        <v>2589</v>
      </c>
      <c r="DD1889" s="127">
        <v>5</v>
      </c>
      <c r="DE1889" s="127">
        <v>5</v>
      </c>
      <c r="DG1889" s="405" t="s">
        <v>333</v>
      </c>
      <c r="DH1889" s="406" t="s">
        <v>2589</v>
      </c>
      <c r="DI1889" s="406" t="str">
        <f t="shared" si="61"/>
        <v>MG, Padre Paraíso</v>
      </c>
      <c r="DJ1889" s="406">
        <v>-17.071999999999999</v>
      </c>
      <c r="DK1889" s="80">
        <v>-41.524000000000001</v>
      </c>
      <c r="DL1889" s="80">
        <v>930</v>
      </c>
      <c r="DM1889" s="64">
        <v>5</v>
      </c>
      <c r="DN1889" s="406" t="s">
        <v>6805</v>
      </c>
      <c r="DO1889" s="406">
        <v>-16.34</v>
      </c>
      <c r="DP1889" s="80">
        <v>266</v>
      </c>
    </row>
    <row r="1890" spans="29:120" x14ac:dyDescent="0.25">
      <c r="AC1890" s="122" t="s">
        <v>348</v>
      </c>
      <c r="AD1890" s="122" t="s">
        <v>2266</v>
      </c>
      <c r="AE1890" s="127">
        <v>8</v>
      </c>
      <c r="DA1890" s="122" t="s">
        <v>333</v>
      </c>
      <c r="DB1890" s="122" t="s">
        <v>7062</v>
      </c>
      <c r="DC1890" s="122" t="s">
        <v>5433</v>
      </c>
      <c r="DD1890" s="127">
        <v>6</v>
      </c>
      <c r="DE1890" s="127">
        <v>6</v>
      </c>
      <c r="DG1890" s="405" t="s">
        <v>333</v>
      </c>
      <c r="DH1890" s="406" t="s">
        <v>5433</v>
      </c>
      <c r="DI1890" s="406" t="str">
        <f t="shared" si="61"/>
        <v>MG, Pai Pedro</v>
      </c>
      <c r="DJ1890" s="406">
        <v>-15.516999999999999</v>
      </c>
      <c r="DK1890" s="80">
        <v>-43.064999999999998</v>
      </c>
      <c r="DL1890" s="80">
        <v>520</v>
      </c>
      <c r="DM1890" s="64">
        <v>6</v>
      </c>
      <c r="DN1890" s="406" t="s">
        <v>6909</v>
      </c>
      <c r="DO1890" s="406">
        <v>-15.09</v>
      </c>
      <c r="DP1890" s="80">
        <v>460</v>
      </c>
    </row>
    <row r="1891" spans="29:120" x14ac:dyDescent="0.25">
      <c r="AC1891" s="122" t="s">
        <v>348</v>
      </c>
      <c r="AD1891" s="122" t="s">
        <v>2267</v>
      </c>
      <c r="AE1891" s="127">
        <v>8</v>
      </c>
      <c r="DA1891" s="122" t="s">
        <v>333</v>
      </c>
      <c r="DB1891" s="122" t="s">
        <v>2635</v>
      </c>
      <c r="DC1891" s="122" t="s">
        <v>2635</v>
      </c>
      <c r="DD1891" s="127">
        <v>4</v>
      </c>
      <c r="DE1891" s="127">
        <v>4</v>
      </c>
      <c r="DG1891" s="405" t="s">
        <v>333</v>
      </c>
      <c r="DH1891" s="406" t="s">
        <v>2635</v>
      </c>
      <c r="DI1891" s="406" t="str">
        <f t="shared" si="61"/>
        <v>MG, Paineiras</v>
      </c>
      <c r="DJ1891" s="406">
        <v>-18.908000000000001</v>
      </c>
      <c r="DK1891" s="80">
        <v>-45.531999999999996</v>
      </c>
      <c r="DL1891" s="80">
        <v>637</v>
      </c>
      <c r="DM1891" s="64">
        <v>4</v>
      </c>
      <c r="DN1891" s="406" t="s">
        <v>6795</v>
      </c>
      <c r="DO1891" s="406">
        <v>-19.46</v>
      </c>
      <c r="DP1891" s="80">
        <v>722</v>
      </c>
    </row>
    <row r="1892" spans="29:120" x14ac:dyDescent="0.25">
      <c r="AC1892" s="122" t="s">
        <v>348</v>
      </c>
      <c r="AD1892" s="122" t="s">
        <v>2268</v>
      </c>
      <c r="AE1892" s="127">
        <v>8</v>
      </c>
      <c r="DA1892" s="122" t="s">
        <v>333</v>
      </c>
      <c r="DB1892" s="122" t="s">
        <v>2337</v>
      </c>
      <c r="DC1892" s="122" t="s">
        <v>2337</v>
      </c>
      <c r="DD1892" s="127">
        <v>2</v>
      </c>
      <c r="DE1892" s="127">
        <v>2</v>
      </c>
      <c r="DG1892" s="405" t="s">
        <v>333</v>
      </c>
      <c r="DH1892" s="406" t="s">
        <v>2337</v>
      </c>
      <c r="DI1892" s="406" t="str">
        <f t="shared" si="61"/>
        <v>MG, Pains</v>
      </c>
      <c r="DJ1892" s="406">
        <v>-20.370999999999999</v>
      </c>
      <c r="DK1892" s="80">
        <v>-45.661000000000001</v>
      </c>
      <c r="DL1892" s="80">
        <v>693</v>
      </c>
      <c r="DM1892" s="64">
        <v>2</v>
      </c>
      <c r="DN1892" s="406" t="s">
        <v>6803</v>
      </c>
      <c r="DO1892" s="406">
        <v>-20.46</v>
      </c>
      <c r="DP1892" s="80">
        <v>878</v>
      </c>
    </row>
    <row r="1893" spans="29:120" x14ac:dyDescent="0.25">
      <c r="AC1893" s="122" t="s">
        <v>348</v>
      </c>
      <c r="AD1893" s="122" t="s">
        <v>2269</v>
      </c>
      <c r="AE1893" s="127">
        <v>8</v>
      </c>
      <c r="DA1893" s="122" t="s">
        <v>333</v>
      </c>
      <c r="DB1893" s="122" t="s">
        <v>656</v>
      </c>
      <c r="DC1893" s="122" t="s">
        <v>656</v>
      </c>
      <c r="DD1893" s="127">
        <v>3</v>
      </c>
      <c r="DE1893" s="127">
        <v>3</v>
      </c>
      <c r="DG1893" s="405" t="s">
        <v>333</v>
      </c>
      <c r="DH1893" s="406" t="s">
        <v>656</v>
      </c>
      <c r="DI1893" s="406" t="str">
        <f t="shared" si="61"/>
        <v>MG, Paiva</v>
      </c>
      <c r="DJ1893" s="406">
        <v>-21.289000000000001</v>
      </c>
      <c r="DK1893" s="80">
        <v>-43.415999999999997</v>
      </c>
      <c r="DL1893" s="80">
        <v>568</v>
      </c>
      <c r="DM1893" s="64">
        <v>3</v>
      </c>
      <c r="DN1893" s="406" t="s">
        <v>6829</v>
      </c>
      <c r="DO1893" s="406">
        <v>-21.76</v>
      </c>
      <c r="DP1893" s="80">
        <v>950</v>
      </c>
    </row>
    <row r="1894" spans="29:120" x14ac:dyDescent="0.25">
      <c r="AC1894" s="122" t="s">
        <v>348</v>
      </c>
      <c r="AD1894" s="122" t="s">
        <v>2270</v>
      </c>
      <c r="AE1894" s="127">
        <v>5</v>
      </c>
      <c r="DA1894" s="122" t="s">
        <v>333</v>
      </c>
      <c r="DB1894" s="122" t="s">
        <v>3223</v>
      </c>
      <c r="DC1894" s="122" t="s">
        <v>3223</v>
      </c>
      <c r="DD1894" s="127">
        <v>5</v>
      </c>
      <c r="DE1894" s="127">
        <v>5</v>
      </c>
      <c r="DG1894" s="405" t="s">
        <v>333</v>
      </c>
      <c r="DH1894" s="406" t="s">
        <v>3223</v>
      </c>
      <c r="DI1894" s="406" t="str">
        <f t="shared" si="61"/>
        <v>MG, Palma</v>
      </c>
      <c r="DJ1894" s="406">
        <v>-21.375</v>
      </c>
      <c r="DK1894" s="80">
        <v>-42.314</v>
      </c>
      <c r="DL1894" s="80">
        <v>172</v>
      </c>
      <c r="DM1894" s="64">
        <v>5</v>
      </c>
      <c r="DN1894" s="406" t="s">
        <v>6827</v>
      </c>
      <c r="DO1894" s="406">
        <v>-21.13</v>
      </c>
      <c r="DP1894" s="80">
        <v>297</v>
      </c>
    </row>
    <row r="1895" spans="29:120" x14ac:dyDescent="0.25">
      <c r="AC1895" s="122" t="s">
        <v>289</v>
      </c>
      <c r="AD1895" s="122" t="s">
        <v>2229</v>
      </c>
      <c r="AE1895" s="127">
        <v>8</v>
      </c>
      <c r="DA1895" s="122" t="s">
        <v>333</v>
      </c>
      <c r="DB1895" s="122" t="s">
        <v>1818</v>
      </c>
      <c r="DC1895" s="122" t="s">
        <v>1818</v>
      </c>
      <c r="DD1895" s="127">
        <v>5</v>
      </c>
      <c r="DE1895" s="127">
        <v>5</v>
      </c>
      <c r="DG1895" s="405" t="s">
        <v>333</v>
      </c>
      <c r="DH1895" s="406" t="s">
        <v>1818</v>
      </c>
      <c r="DI1895" s="406" t="str">
        <f t="shared" si="61"/>
        <v>MG, Palmópolis</v>
      </c>
      <c r="DJ1895" s="406">
        <v>-16.734999999999999</v>
      </c>
      <c r="DK1895" s="80">
        <v>-40.42</v>
      </c>
      <c r="DL1895" s="80">
        <v>600</v>
      </c>
      <c r="DM1895" s="64">
        <v>5</v>
      </c>
      <c r="DN1895" s="406" t="s">
        <v>6295</v>
      </c>
      <c r="DO1895" s="406">
        <v>-16.18</v>
      </c>
      <c r="DP1895" s="80">
        <v>208</v>
      </c>
    </row>
    <row r="1896" spans="29:120" x14ac:dyDescent="0.25">
      <c r="AC1896" s="122" t="s">
        <v>333</v>
      </c>
      <c r="AD1896" s="122" t="s">
        <v>2271</v>
      </c>
      <c r="AE1896" s="127">
        <v>3</v>
      </c>
      <c r="DA1896" s="122" t="s">
        <v>333</v>
      </c>
      <c r="DB1896" s="122" t="s">
        <v>2851</v>
      </c>
      <c r="DC1896" s="122" t="s">
        <v>2851</v>
      </c>
      <c r="DD1896" s="127">
        <v>4</v>
      </c>
      <c r="DE1896" s="127">
        <v>4</v>
      </c>
      <c r="DG1896" s="405" t="s">
        <v>333</v>
      </c>
      <c r="DH1896" s="406" t="s">
        <v>2851</v>
      </c>
      <c r="DI1896" s="406" t="str">
        <f t="shared" si="61"/>
        <v>MG, Papagaios</v>
      </c>
      <c r="DJ1896" s="406">
        <v>-19.449000000000002</v>
      </c>
      <c r="DK1896" s="80">
        <v>-44.747999999999998</v>
      </c>
      <c r="DL1896" s="80">
        <v>718</v>
      </c>
      <c r="DM1896" s="64">
        <v>4</v>
      </c>
      <c r="DN1896" s="406" t="s">
        <v>6879</v>
      </c>
      <c r="DO1896" s="406">
        <v>-19.89</v>
      </c>
      <c r="DP1896" s="80">
        <v>742</v>
      </c>
    </row>
    <row r="1897" spans="29:120" x14ac:dyDescent="0.25">
      <c r="AC1897" s="122" t="s">
        <v>300</v>
      </c>
      <c r="AD1897" s="122" t="s">
        <v>2272</v>
      </c>
      <c r="AE1897" s="127">
        <v>7</v>
      </c>
      <c r="DA1897" s="122" t="s">
        <v>333</v>
      </c>
      <c r="DB1897" s="122" t="s">
        <v>7063</v>
      </c>
      <c r="DC1897" s="122" t="s">
        <v>3885</v>
      </c>
      <c r="DD1897" s="127">
        <v>3</v>
      </c>
      <c r="DE1897" s="127">
        <v>3</v>
      </c>
      <c r="DG1897" s="405" t="s">
        <v>333</v>
      </c>
      <c r="DH1897" s="406" t="s">
        <v>3885</v>
      </c>
      <c r="DI1897" s="406" t="str">
        <f t="shared" si="61"/>
        <v>MG, Pará de Minas</v>
      </c>
      <c r="DJ1897" s="406">
        <v>-19.86</v>
      </c>
      <c r="DK1897" s="80">
        <v>-44.607999999999997</v>
      </c>
      <c r="DL1897" s="80">
        <v>791</v>
      </c>
      <c r="DM1897" s="64">
        <v>3</v>
      </c>
      <c r="DN1897" s="406" t="s">
        <v>6879</v>
      </c>
      <c r="DO1897" s="406">
        <v>-19.89</v>
      </c>
      <c r="DP1897" s="80">
        <v>742</v>
      </c>
    </row>
    <row r="1898" spans="29:120" x14ac:dyDescent="0.25">
      <c r="AC1898" s="122" t="s">
        <v>300</v>
      </c>
      <c r="AD1898" s="122" t="s">
        <v>2273</v>
      </c>
      <c r="AE1898" s="127">
        <v>7</v>
      </c>
      <c r="DA1898" s="122" t="s">
        <v>333</v>
      </c>
      <c r="DB1898" s="122" t="s">
        <v>2809</v>
      </c>
      <c r="DC1898" s="122" t="s">
        <v>2809</v>
      </c>
      <c r="DD1898" s="127">
        <v>6</v>
      </c>
      <c r="DE1898" s="127">
        <v>6</v>
      </c>
      <c r="DG1898" s="405" t="s">
        <v>333</v>
      </c>
      <c r="DH1898" s="406" t="s">
        <v>2809</v>
      </c>
      <c r="DI1898" s="406" t="str">
        <f t="shared" si="61"/>
        <v>MG, Paracatu</v>
      </c>
      <c r="DJ1898" s="406">
        <v>-17.222000000000001</v>
      </c>
      <c r="DK1898" s="80">
        <v>-46.875</v>
      </c>
      <c r="DL1898" s="80">
        <v>687</v>
      </c>
      <c r="DM1898" s="64">
        <v>6</v>
      </c>
      <c r="DN1898" s="406" t="s">
        <v>6989</v>
      </c>
      <c r="DO1898" s="406">
        <v>-17.77</v>
      </c>
      <c r="DP1898" s="80">
        <v>616</v>
      </c>
    </row>
    <row r="1899" spans="29:120" x14ac:dyDescent="0.25">
      <c r="AC1899" s="122" t="s">
        <v>348</v>
      </c>
      <c r="AD1899" s="122" t="s">
        <v>2274</v>
      </c>
      <c r="AE1899" s="127">
        <v>8</v>
      </c>
      <c r="DA1899" s="122" t="s">
        <v>333</v>
      </c>
      <c r="DB1899" s="122" t="s">
        <v>962</v>
      </c>
      <c r="DC1899" s="122" t="s">
        <v>962</v>
      </c>
      <c r="DD1899" s="127">
        <v>2</v>
      </c>
      <c r="DE1899" s="127">
        <v>2</v>
      </c>
      <c r="DG1899" s="405" t="s">
        <v>333</v>
      </c>
      <c r="DH1899" s="406" t="s">
        <v>962</v>
      </c>
      <c r="DI1899" s="406" t="str">
        <f t="shared" si="61"/>
        <v>MG, Paraguaçu</v>
      </c>
      <c r="DJ1899" s="406">
        <v>-21.547000000000001</v>
      </c>
      <c r="DK1899" s="80">
        <v>-45.738</v>
      </c>
      <c r="DL1899" s="80">
        <v>826</v>
      </c>
      <c r="DM1899" s="64">
        <v>2</v>
      </c>
      <c r="DN1899" s="406" t="s">
        <v>6811</v>
      </c>
      <c r="DO1899" s="406">
        <v>-21.55</v>
      </c>
      <c r="DP1899" s="80">
        <v>955</v>
      </c>
    </row>
    <row r="1900" spans="29:120" x14ac:dyDescent="0.25">
      <c r="AC1900" s="122" t="s">
        <v>348</v>
      </c>
      <c r="AD1900" s="122" t="s">
        <v>1565</v>
      </c>
      <c r="AE1900" s="127">
        <v>8</v>
      </c>
      <c r="DA1900" s="122" t="s">
        <v>333</v>
      </c>
      <c r="DB1900" s="122" t="s">
        <v>657</v>
      </c>
      <c r="DC1900" s="122" t="s">
        <v>657</v>
      </c>
      <c r="DD1900" s="127">
        <v>2</v>
      </c>
      <c r="DE1900" s="127">
        <v>2</v>
      </c>
      <c r="DG1900" s="405" t="s">
        <v>333</v>
      </c>
      <c r="DH1900" s="406" t="s">
        <v>657</v>
      </c>
      <c r="DI1900" s="406" t="str">
        <f t="shared" si="61"/>
        <v>MG, Paraisópolis</v>
      </c>
      <c r="DJ1900" s="406">
        <v>-22.553999999999998</v>
      </c>
      <c r="DK1900" s="80">
        <v>-45.78</v>
      </c>
      <c r="DL1900" s="80">
        <v>931</v>
      </c>
      <c r="DM1900" s="64">
        <v>2</v>
      </c>
      <c r="DN1900" s="406" t="s">
        <v>6873</v>
      </c>
      <c r="DO1900" s="406">
        <v>-22.74</v>
      </c>
      <c r="DP1900" s="80">
        <v>1642</v>
      </c>
    </row>
    <row r="1901" spans="29:120" x14ac:dyDescent="0.25">
      <c r="AC1901" s="122" t="s">
        <v>348</v>
      </c>
      <c r="AD1901" s="122" t="s">
        <v>2275</v>
      </c>
      <c r="AE1901" s="127">
        <v>8</v>
      </c>
      <c r="DA1901" s="122" t="s">
        <v>333</v>
      </c>
      <c r="DB1901" s="122" t="s">
        <v>2864</v>
      </c>
      <c r="DC1901" s="122" t="s">
        <v>2864</v>
      </c>
      <c r="DD1901" s="127">
        <v>4</v>
      </c>
      <c r="DE1901" s="127">
        <v>4</v>
      </c>
      <c r="DG1901" s="405" t="s">
        <v>333</v>
      </c>
      <c r="DH1901" s="406" t="s">
        <v>2864</v>
      </c>
      <c r="DI1901" s="406" t="str">
        <f t="shared" si="61"/>
        <v>MG, Paraopeba</v>
      </c>
      <c r="DJ1901" s="406">
        <v>-19.274000000000001</v>
      </c>
      <c r="DK1901" s="80">
        <v>-44.404000000000003</v>
      </c>
      <c r="DL1901" s="80">
        <v>733</v>
      </c>
      <c r="DM1901" s="64">
        <v>4</v>
      </c>
      <c r="DN1901" s="406" t="s">
        <v>6828</v>
      </c>
      <c r="DO1901" s="406">
        <v>-18.760000000000002</v>
      </c>
      <c r="DP1901" s="80">
        <v>670</v>
      </c>
    </row>
    <row r="1902" spans="29:120" x14ac:dyDescent="0.25">
      <c r="AC1902" s="122" t="s">
        <v>348</v>
      </c>
      <c r="AD1902" s="122" t="s">
        <v>2276</v>
      </c>
      <c r="AE1902" s="127">
        <v>8</v>
      </c>
      <c r="DA1902" s="122" t="s">
        <v>333</v>
      </c>
      <c r="DB1902" s="122" t="s">
        <v>7064</v>
      </c>
      <c r="DC1902" s="122" t="s">
        <v>658</v>
      </c>
      <c r="DD1902" s="127">
        <v>2</v>
      </c>
      <c r="DE1902" s="127">
        <v>2</v>
      </c>
      <c r="DG1902" s="405" t="s">
        <v>333</v>
      </c>
      <c r="DH1902" s="406" t="s">
        <v>658</v>
      </c>
      <c r="DI1902" s="406" t="str">
        <f t="shared" si="61"/>
        <v>MG, Passa Quatro</v>
      </c>
      <c r="DJ1902" s="406">
        <v>-22.39</v>
      </c>
      <c r="DK1902" s="80">
        <v>-44.966999999999999</v>
      </c>
      <c r="DL1902" s="80">
        <v>938</v>
      </c>
      <c r="DM1902" s="64">
        <v>2</v>
      </c>
      <c r="DN1902" s="406" t="s">
        <v>6837</v>
      </c>
      <c r="DO1902" s="406">
        <v>-22.39</v>
      </c>
      <c r="DP1902" s="80">
        <v>1040</v>
      </c>
    </row>
    <row r="1903" spans="29:120" x14ac:dyDescent="0.25">
      <c r="AC1903" s="122" t="s">
        <v>289</v>
      </c>
      <c r="AD1903" s="122" t="s">
        <v>2277</v>
      </c>
      <c r="AE1903" s="127">
        <v>5</v>
      </c>
      <c r="DA1903" s="122" t="s">
        <v>333</v>
      </c>
      <c r="DB1903" s="122" t="s">
        <v>7065</v>
      </c>
      <c r="DC1903" s="122" t="s">
        <v>2244</v>
      </c>
      <c r="DD1903" s="127">
        <v>2</v>
      </c>
      <c r="DE1903" s="127">
        <v>2</v>
      </c>
      <c r="DG1903" s="405" t="s">
        <v>333</v>
      </c>
      <c r="DH1903" s="406" t="s">
        <v>2244</v>
      </c>
      <c r="DI1903" s="406" t="str">
        <f t="shared" si="61"/>
        <v>MG, Passa Tempo</v>
      </c>
      <c r="DJ1903" s="406">
        <v>-20.651</v>
      </c>
      <c r="DK1903" s="80">
        <v>-44.496000000000002</v>
      </c>
      <c r="DL1903" s="80">
        <v>980</v>
      </c>
      <c r="DM1903" s="64">
        <v>2</v>
      </c>
      <c r="DN1903" s="406" t="s">
        <v>6813</v>
      </c>
      <c r="DO1903" s="406">
        <v>-21.14</v>
      </c>
      <c r="DP1903" s="80">
        <v>991</v>
      </c>
    </row>
    <row r="1904" spans="29:120" x14ac:dyDescent="0.25">
      <c r="AC1904" s="122" t="s">
        <v>289</v>
      </c>
      <c r="AD1904" s="122" t="s">
        <v>2278</v>
      </c>
      <c r="AE1904" s="127">
        <v>5</v>
      </c>
      <c r="DA1904" s="122" t="s">
        <v>333</v>
      </c>
      <c r="DB1904" s="122" t="s">
        <v>7066</v>
      </c>
      <c r="DC1904" s="122" t="s">
        <v>2135</v>
      </c>
      <c r="DD1904" s="127">
        <v>3</v>
      </c>
      <c r="DE1904" s="127">
        <v>3</v>
      </c>
      <c r="DG1904" s="405" t="s">
        <v>333</v>
      </c>
      <c r="DH1904" s="406" t="s">
        <v>3428</v>
      </c>
      <c r="DI1904" s="406" t="str">
        <f t="shared" si="61"/>
        <v>MG, Passabém</v>
      </c>
      <c r="DJ1904" s="406">
        <v>-19.353000000000002</v>
      </c>
      <c r="DK1904" s="80">
        <v>-43.136000000000003</v>
      </c>
      <c r="DL1904" s="80">
        <v>678</v>
      </c>
      <c r="DM1904" s="64">
        <v>3</v>
      </c>
      <c r="DN1904" s="406" t="s">
        <v>6798</v>
      </c>
      <c r="DO1904" s="406">
        <v>-19.579999999999998</v>
      </c>
      <c r="DP1904" s="80">
        <v>333</v>
      </c>
    </row>
    <row r="1905" spans="29:120" x14ac:dyDescent="0.25">
      <c r="AC1905" s="122" t="s">
        <v>289</v>
      </c>
      <c r="AD1905" s="122" t="s">
        <v>2279</v>
      </c>
      <c r="AE1905" s="127">
        <v>8</v>
      </c>
      <c r="DA1905" s="122" t="s">
        <v>333</v>
      </c>
      <c r="DB1905" s="122" t="s">
        <v>3428</v>
      </c>
      <c r="DC1905" s="122" t="s">
        <v>3428</v>
      </c>
      <c r="DD1905" s="127">
        <v>3</v>
      </c>
      <c r="DE1905" s="127">
        <v>3</v>
      </c>
      <c r="DG1905" s="405" t="s">
        <v>333</v>
      </c>
      <c r="DH1905" s="406" t="s">
        <v>5795</v>
      </c>
      <c r="DI1905" s="406" t="str">
        <f t="shared" si="61"/>
        <v>MG, Passa-Vinte</v>
      </c>
      <c r="DJ1905" s="406">
        <v>-22.209</v>
      </c>
      <c r="DK1905" s="80">
        <v>-44.234000000000002</v>
      </c>
      <c r="DL1905" s="80">
        <v>752</v>
      </c>
      <c r="DM1905" s="64">
        <v>3</v>
      </c>
      <c r="DN1905" s="406" t="s">
        <v>6807</v>
      </c>
      <c r="DO1905" s="406">
        <v>-22.47</v>
      </c>
      <c r="DP1905" s="80">
        <v>440</v>
      </c>
    </row>
    <row r="1906" spans="29:120" x14ac:dyDescent="0.25">
      <c r="AC1906" s="122" t="s">
        <v>348</v>
      </c>
      <c r="AD1906" s="122" t="s">
        <v>2280</v>
      </c>
      <c r="AE1906" s="127">
        <v>8</v>
      </c>
      <c r="DA1906" s="122" t="s">
        <v>333</v>
      </c>
      <c r="DB1906" s="122" t="s">
        <v>2959</v>
      </c>
      <c r="DC1906" s="122" t="s">
        <v>2959</v>
      </c>
      <c r="DD1906" s="127">
        <v>4</v>
      </c>
      <c r="DE1906" s="127">
        <v>4</v>
      </c>
      <c r="DG1906" s="405" t="s">
        <v>333</v>
      </c>
      <c r="DH1906" s="406" t="s">
        <v>2959</v>
      </c>
      <c r="DI1906" s="406" t="str">
        <f t="shared" si="61"/>
        <v>MG, Passos</v>
      </c>
      <c r="DJ1906" s="406">
        <v>-20.719000000000001</v>
      </c>
      <c r="DK1906" s="80">
        <v>-46.61</v>
      </c>
      <c r="DL1906" s="80">
        <v>745</v>
      </c>
      <c r="DM1906" s="64">
        <v>4</v>
      </c>
      <c r="DN1906" s="406" t="s">
        <v>6815</v>
      </c>
      <c r="DO1906" s="406">
        <v>-20.75</v>
      </c>
      <c r="DP1906" s="80">
        <v>875</v>
      </c>
    </row>
    <row r="1907" spans="29:120" x14ac:dyDescent="0.25">
      <c r="AC1907" s="122" t="s">
        <v>348</v>
      </c>
      <c r="AD1907" s="122" t="s">
        <v>2281</v>
      </c>
      <c r="AE1907" s="127">
        <v>8</v>
      </c>
      <c r="DA1907" s="122" t="s">
        <v>333</v>
      </c>
      <c r="DB1907" s="122" t="s">
        <v>2979</v>
      </c>
      <c r="DC1907" s="122" t="s">
        <v>2979</v>
      </c>
      <c r="DD1907" s="127">
        <v>6</v>
      </c>
      <c r="DE1907" s="127">
        <v>6</v>
      </c>
      <c r="DG1907" s="405" t="s">
        <v>333</v>
      </c>
      <c r="DH1907" s="406" t="s">
        <v>2979</v>
      </c>
      <c r="DI1907" s="406" t="str">
        <f t="shared" si="61"/>
        <v>MG, Patis</v>
      </c>
      <c r="DJ1907" s="406">
        <v>-16.076000000000001</v>
      </c>
      <c r="DK1907" s="80">
        <v>-44.082000000000001</v>
      </c>
      <c r="DL1907" s="80">
        <v>752</v>
      </c>
      <c r="DM1907" s="64">
        <v>6</v>
      </c>
      <c r="DN1907" s="406" t="s">
        <v>6853</v>
      </c>
      <c r="DO1907" s="406">
        <v>-16.739999999999998</v>
      </c>
      <c r="DP1907" s="80">
        <v>646</v>
      </c>
    </row>
    <row r="1908" spans="29:120" x14ac:dyDescent="0.25">
      <c r="AC1908" s="122" t="s">
        <v>289</v>
      </c>
      <c r="AD1908" s="122" t="s">
        <v>2282</v>
      </c>
      <c r="AE1908" s="127">
        <v>8</v>
      </c>
      <c r="DA1908" s="122" t="s">
        <v>333</v>
      </c>
      <c r="DB1908" s="122" t="s">
        <v>7067</v>
      </c>
      <c r="DC1908" s="122" t="s">
        <v>2803</v>
      </c>
      <c r="DD1908" s="127">
        <v>4</v>
      </c>
      <c r="DE1908" s="127">
        <v>4</v>
      </c>
      <c r="DG1908" s="405" t="s">
        <v>333</v>
      </c>
      <c r="DH1908" s="406" t="s">
        <v>2803</v>
      </c>
      <c r="DI1908" s="406" t="str">
        <f t="shared" si="61"/>
        <v>MG, Patos de Minas</v>
      </c>
      <c r="DJ1908" s="406">
        <v>-18.579000000000001</v>
      </c>
      <c r="DK1908" s="80">
        <v>-46.518000000000001</v>
      </c>
      <c r="DL1908" s="80">
        <v>832</v>
      </c>
      <c r="DM1908" s="64">
        <v>4</v>
      </c>
      <c r="DN1908" s="406" t="s">
        <v>6794</v>
      </c>
      <c r="DO1908" s="406">
        <v>-18.940000000000001</v>
      </c>
      <c r="DP1908" s="80">
        <v>976</v>
      </c>
    </row>
    <row r="1909" spans="29:120" x14ac:dyDescent="0.25">
      <c r="AC1909" s="122" t="s">
        <v>348</v>
      </c>
      <c r="AD1909" s="122" t="s">
        <v>2283</v>
      </c>
      <c r="AE1909" s="127">
        <v>6</v>
      </c>
      <c r="DA1909" s="122" t="s">
        <v>333</v>
      </c>
      <c r="DB1909" s="122" t="s">
        <v>1025</v>
      </c>
      <c r="DC1909" s="122" t="s">
        <v>1025</v>
      </c>
      <c r="DD1909" s="127">
        <v>4</v>
      </c>
      <c r="DE1909" s="127">
        <v>4</v>
      </c>
      <c r="DG1909" s="405" t="s">
        <v>333</v>
      </c>
      <c r="DH1909" s="406" t="s">
        <v>1025</v>
      </c>
      <c r="DI1909" s="406" t="str">
        <f t="shared" si="61"/>
        <v>MG, Patrocínio</v>
      </c>
      <c r="DJ1909" s="406">
        <v>-18.943999999999999</v>
      </c>
      <c r="DK1909" s="80">
        <v>-46.993000000000002</v>
      </c>
      <c r="DL1909" s="80">
        <v>965</v>
      </c>
      <c r="DM1909" s="64">
        <v>4</v>
      </c>
      <c r="DN1909" s="406" t="s">
        <v>6794</v>
      </c>
      <c r="DO1909" s="406">
        <v>-18.940000000000001</v>
      </c>
      <c r="DP1909" s="80">
        <v>976</v>
      </c>
    </row>
    <row r="1910" spans="29:120" x14ac:dyDescent="0.25">
      <c r="AC1910" s="122" t="s">
        <v>289</v>
      </c>
      <c r="AD1910" s="122" t="s">
        <v>2284</v>
      </c>
      <c r="AE1910" s="127">
        <v>8</v>
      </c>
      <c r="DA1910" s="122" t="s">
        <v>333</v>
      </c>
      <c r="DB1910" s="122" t="s">
        <v>7068</v>
      </c>
      <c r="DC1910" s="122" t="s">
        <v>3210</v>
      </c>
      <c r="DD1910" s="127">
        <v>5</v>
      </c>
      <c r="DE1910" s="127">
        <v>5</v>
      </c>
      <c r="DG1910" s="405" t="s">
        <v>333</v>
      </c>
      <c r="DH1910" s="406" t="s">
        <v>3210</v>
      </c>
      <c r="DI1910" s="406" t="str">
        <f t="shared" si="61"/>
        <v>MG, Patrocínio do Muriaé</v>
      </c>
      <c r="DJ1910" s="406">
        <v>-21.152999999999999</v>
      </c>
      <c r="DK1910" s="80">
        <v>-42.215000000000003</v>
      </c>
      <c r="DL1910" s="80">
        <v>179</v>
      </c>
      <c r="DM1910" s="64">
        <v>5</v>
      </c>
      <c r="DN1910" s="406" t="s">
        <v>6827</v>
      </c>
      <c r="DO1910" s="406">
        <v>-21.13</v>
      </c>
      <c r="DP1910" s="80">
        <v>297</v>
      </c>
    </row>
    <row r="1911" spans="29:120" x14ac:dyDescent="0.25">
      <c r="AC1911" s="122" t="s">
        <v>348</v>
      </c>
      <c r="AD1911" s="122" t="s">
        <v>2067</v>
      </c>
      <c r="AE1911" s="127">
        <v>8</v>
      </c>
      <c r="DA1911" s="122" t="s">
        <v>333</v>
      </c>
      <c r="DB1911" s="122" t="s">
        <v>7069</v>
      </c>
      <c r="DC1911" s="122" t="s">
        <v>3439</v>
      </c>
      <c r="DD1911" s="127">
        <v>3</v>
      </c>
      <c r="DE1911" s="127">
        <v>3</v>
      </c>
      <c r="DG1911" s="405" t="s">
        <v>333</v>
      </c>
      <c r="DH1911" s="406" t="s">
        <v>3439</v>
      </c>
      <c r="DI1911" s="406" t="str">
        <f t="shared" si="61"/>
        <v>MG, Paula Cândido</v>
      </c>
      <c r="DJ1911" s="406">
        <v>-20.873999999999999</v>
      </c>
      <c r="DK1911" s="80">
        <v>-42.98</v>
      </c>
      <c r="DL1911" s="80">
        <v>731</v>
      </c>
      <c r="DM1911" s="64">
        <v>3</v>
      </c>
      <c r="DN1911" s="406" t="s">
        <v>6797</v>
      </c>
      <c r="DO1911" s="406">
        <v>-20.75</v>
      </c>
      <c r="DP1911" s="80">
        <v>712</v>
      </c>
    </row>
    <row r="1912" spans="29:120" x14ac:dyDescent="0.25">
      <c r="AC1912" s="122" t="s">
        <v>348</v>
      </c>
      <c r="AD1912" s="122" t="s">
        <v>2285</v>
      </c>
      <c r="AE1912" s="127">
        <v>8</v>
      </c>
      <c r="DA1912" s="122" t="s">
        <v>333</v>
      </c>
      <c r="DB1912" s="122" t="s">
        <v>3690</v>
      </c>
      <c r="DC1912" s="122" t="s">
        <v>3690</v>
      </c>
      <c r="DD1912" s="127">
        <v>3</v>
      </c>
      <c r="DE1912" s="127">
        <v>3</v>
      </c>
      <c r="DG1912" s="405" t="s">
        <v>333</v>
      </c>
      <c r="DH1912" s="406" t="s">
        <v>3690</v>
      </c>
      <c r="DI1912" s="406" t="str">
        <f t="shared" si="61"/>
        <v>MG, Paulistas</v>
      </c>
      <c r="DJ1912" s="406">
        <v>-18.427</v>
      </c>
      <c r="DK1912" s="80">
        <v>-42.868000000000002</v>
      </c>
      <c r="DL1912" s="80">
        <v>747</v>
      </c>
      <c r="DM1912" s="64">
        <v>3</v>
      </c>
      <c r="DN1912" s="406" t="s">
        <v>6821</v>
      </c>
      <c r="DO1912" s="406">
        <v>-18.23</v>
      </c>
      <c r="DP1912" s="80">
        <v>1356</v>
      </c>
    </row>
    <row r="1913" spans="29:120" x14ac:dyDescent="0.25">
      <c r="AC1913" s="122" t="s">
        <v>348</v>
      </c>
      <c r="AD1913" s="122" t="s">
        <v>2286</v>
      </c>
      <c r="AE1913" s="127">
        <v>8</v>
      </c>
      <c r="DA1913" s="122" t="s">
        <v>333</v>
      </c>
      <c r="DB1913" s="122" t="s">
        <v>1951</v>
      </c>
      <c r="DC1913" s="122" t="s">
        <v>1951</v>
      </c>
      <c r="DD1913" s="127">
        <v>5</v>
      </c>
      <c r="DE1913" s="127">
        <v>5</v>
      </c>
      <c r="DG1913" s="405" t="s">
        <v>333</v>
      </c>
      <c r="DH1913" s="406" t="s">
        <v>1951</v>
      </c>
      <c r="DI1913" s="406" t="str">
        <f t="shared" si="61"/>
        <v>MG, Pavão</v>
      </c>
      <c r="DJ1913" s="406">
        <v>-17.428000000000001</v>
      </c>
      <c r="DK1913" s="80">
        <v>-40.999000000000002</v>
      </c>
      <c r="DL1913" s="80">
        <v>228</v>
      </c>
      <c r="DM1913" s="64">
        <v>5</v>
      </c>
      <c r="DN1913" s="406" t="s">
        <v>6835</v>
      </c>
      <c r="DO1913" s="406">
        <v>-17.86</v>
      </c>
      <c r="DP1913" s="80">
        <v>475</v>
      </c>
    </row>
    <row r="1914" spans="29:120" x14ac:dyDescent="0.25">
      <c r="AC1914" s="122" t="s">
        <v>348</v>
      </c>
      <c r="AD1914" s="122" t="s">
        <v>2287</v>
      </c>
      <c r="AE1914" s="127">
        <v>8</v>
      </c>
      <c r="DA1914" s="122" t="s">
        <v>333</v>
      </c>
      <c r="DB1914" s="122" t="s">
        <v>3478</v>
      </c>
      <c r="DC1914" s="122" t="s">
        <v>3478</v>
      </c>
      <c r="DD1914" s="127">
        <v>3</v>
      </c>
      <c r="DE1914" s="127">
        <v>3</v>
      </c>
      <c r="DG1914" s="405" t="s">
        <v>333</v>
      </c>
      <c r="DH1914" s="406" t="s">
        <v>3478</v>
      </c>
      <c r="DI1914" s="406" t="str">
        <f t="shared" si="61"/>
        <v>MG, Peçanha</v>
      </c>
      <c r="DJ1914" s="406">
        <v>-18.548999999999999</v>
      </c>
      <c r="DK1914" s="80">
        <v>-42.557000000000002</v>
      </c>
      <c r="DL1914" s="80">
        <v>780</v>
      </c>
      <c r="DM1914" s="64">
        <v>3</v>
      </c>
      <c r="DN1914" s="406" t="s">
        <v>6814</v>
      </c>
      <c r="DO1914" s="406">
        <v>-18.850000000000001</v>
      </c>
      <c r="DP1914" s="80">
        <v>263</v>
      </c>
    </row>
    <row r="1915" spans="29:120" x14ac:dyDescent="0.25">
      <c r="AC1915" s="122" t="s">
        <v>333</v>
      </c>
      <c r="AD1915" s="122" t="s">
        <v>2288</v>
      </c>
      <c r="AE1915" s="127">
        <v>2</v>
      </c>
      <c r="DA1915" s="122" t="s">
        <v>333</v>
      </c>
      <c r="DB1915" s="122" t="s">
        <v>7070</v>
      </c>
      <c r="DC1915" s="122" t="s">
        <v>2428</v>
      </c>
      <c r="DD1915" s="127">
        <v>5</v>
      </c>
      <c r="DE1915" s="127">
        <v>5</v>
      </c>
      <c r="DG1915" s="405" t="s">
        <v>333</v>
      </c>
      <c r="DH1915" s="406" t="s">
        <v>2428</v>
      </c>
      <c r="DI1915" s="406" t="str">
        <f t="shared" si="61"/>
        <v>MG, Pedra Azul</v>
      </c>
      <c r="DJ1915" s="406">
        <v>-16.004999999999999</v>
      </c>
      <c r="DK1915" s="80">
        <v>-41.296999999999997</v>
      </c>
      <c r="DL1915" s="80">
        <v>617</v>
      </c>
      <c r="DM1915" s="64">
        <v>5</v>
      </c>
      <c r="DN1915" s="406" t="s">
        <v>6252</v>
      </c>
      <c r="DO1915" s="406">
        <v>-15.75</v>
      </c>
      <c r="DP1915" s="80">
        <v>740</v>
      </c>
    </row>
    <row r="1916" spans="29:120" x14ac:dyDescent="0.25">
      <c r="AC1916" s="122" t="s">
        <v>289</v>
      </c>
      <c r="AD1916" s="122" t="s">
        <v>2289</v>
      </c>
      <c r="AE1916" s="127">
        <v>5</v>
      </c>
      <c r="DA1916" s="122" t="s">
        <v>333</v>
      </c>
      <c r="DB1916" s="122" t="s">
        <v>7071</v>
      </c>
      <c r="DC1916" s="122" t="s">
        <v>3394</v>
      </c>
      <c r="DD1916" s="127">
        <v>3</v>
      </c>
      <c r="DE1916" s="127">
        <v>3</v>
      </c>
      <c r="DG1916" s="405" t="s">
        <v>333</v>
      </c>
      <c r="DH1916" s="406" t="s">
        <v>3394</v>
      </c>
      <c r="DI1916" s="406" t="str">
        <f t="shared" si="61"/>
        <v>MG, Pedra Bonita</v>
      </c>
      <c r="DJ1916" s="406">
        <v>-20.521000000000001</v>
      </c>
      <c r="DK1916" s="80">
        <v>-42.33</v>
      </c>
      <c r="DL1916" s="80">
        <v>900</v>
      </c>
      <c r="DM1916" s="64">
        <v>3</v>
      </c>
      <c r="DN1916" s="406" t="s">
        <v>6478</v>
      </c>
      <c r="DO1916" s="406">
        <v>-20.73</v>
      </c>
      <c r="DP1916" s="80">
        <v>399</v>
      </c>
    </row>
    <row r="1917" spans="29:120" x14ac:dyDescent="0.25">
      <c r="AC1917" s="122" t="s">
        <v>348</v>
      </c>
      <c r="AD1917" s="122" t="s">
        <v>2290</v>
      </c>
      <c r="AE1917" s="127">
        <v>8</v>
      </c>
      <c r="DA1917" s="122" t="s">
        <v>333</v>
      </c>
      <c r="DB1917" s="122" t="s">
        <v>7072</v>
      </c>
      <c r="DC1917" s="122" t="s">
        <v>564</v>
      </c>
      <c r="DD1917" s="127">
        <v>3</v>
      </c>
      <c r="DE1917" s="127">
        <v>3</v>
      </c>
      <c r="DG1917" s="405" t="s">
        <v>333</v>
      </c>
      <c r="DH1917" s="406" t="s">
        <v>564</v>
      </c>
      <c r="DI1917" s="406" t="str">
        <f t="shared" si="61"/>
        <v>MG, Pedra do Anta</v>
      </c>
      <c r="DJ1917" s="406">
        <v>-20.597000000000001</v>
      </c>
      <c r="DK1917" s="80">
        <v>-42.713999999999999</v>
      </c>
      <c r="DL1917" s="80">
        <v>632</v>
      </c>
      <c r="DM1917" s="64">
        <v>3</v>
      </c>
      <c r="DN1917" s="406" t="s">
        <v>6797</v>
      </c>
      <c r="DO1917" s="406">
        <v>-20.75</v>
      </c>
      <c r="DP1917" s="80">
        <v>712</v>
      </c>
    </row>
    <row r="1918" spans="29:120" x14ac:dyDescent="0.25">
      <c r="AC1918" s="122" t="s">
        <v>348</v>
      </c>
      <c r="AD1918" s="122" t="s">
        <v>2291</v>
      </c>
      <c r="AE1918" s="127">
        <v>8</v>
      </c>
      <c r="DA1918" s="122" t="s">
        <v>333</v>
      </c>
      <c r="DB1918" s="122" t="s">
        <v>7073</v>
      </c>
      <c r="DC1918" s="122" t="s">
        <v>3879</v>
      </c>
      <c r="DD1918" s="127">
        <v>2</v>
      </c>
      <c r="DE1918" s="127">
        <v>2</v>
      </c>
      <c r="DG1918" s="405" t="s">
        <v>333</v>
      </c>
      <c r="DH1918" s="406" t="s">
        <v>3879</v>
      </c>
      <c r="DI1918" s="406" t="str">
        <f t="shared" si="61"/>
        <v>MG, Pedra do Indaiá</v>
      </c>
      <c r="DJ1918" s="406">
        <v>-20.257999999999999</v>
      </c>
      <c r="DK1918" s="80">
        <v>-45.209000000000003</v>
      </c>
      <c r="DL1918" s="80">
        <v>837</v>
      </c>
      <c r="DM1918" s="64">
        <v>2</v>
      </c>
      <c r="DN1918" s="406" t="s">
        <v>6803</v>
      </c>
      <c r="DO1918" s="406">
        <v>-20.46</v>
      </c>
      <c r="DP1918" s="80">
        <v>878</v>
      </c>
    </row>
    <row r="1919" spans="29:120" x14ac:dyDescent="0.25">
      <c r="AC1919" s="122" t="s">
        <v>289</v>
      </c>
      <c r="AD1919" s="122" t="s">
        <v>2292</v>
      </c>
      <c r="AE1919" s="127">
        <v>8</v>
      </c>
      <c r="DA1919" s="122" t="s">
        <v>333</v>
      </c>
      <c r="DB1919" s="122" t="s">
        <v>7074</v>
      </c>
      <c r="DC1919" s="122" t="s">
        <v>3348</v>
      </c>
      <c r="DD1919" s="127">
        <v>3</v>
      </c>
      <c r="DE1919" s="127">
        <v>3</v>
      </c>
      <c r="DG1919" s="405" t="s">
        <v>333</v>
      </c>
      <c r="DH1919" s="406" t="s">
        <v>3348</v>
      </c>
      <c r="DI1919" s="406" t="str">
        <f t="shared" si="61"/>
        <v>MG, Pedra Dourada</v>
      </c>
      <c r="DJ1919" s="406">
        <v>-20.83</v>
      </c>
      <c r="DK1919" s="80">
        <v>-42.154000000000003</v>
      </c>
      <c r="DL1919" s="80">
        <v>741</v>
      </c>
      <c r="DM1919" s="64">
        <v>3</v>
      </c>
      <c r="DN1919" s="406" t="s">
        <v>6478</v>
      </c>
      <c r="DO1919" s="406">
        <v>-20.73</v>
      </c>
      <c r="DP1919" s="80">
        <v>399</v>
      </c>
    </row>
    <row r="1920" spans="29:120" x14ac:dyDescent="0.25">
      <c r="AC1920" s="122" t="s">
        <v>333</v>
      </c>
      <c r="AD1920" s="122" t="s">
        <v>2293</v>
      </c>
      <c r="AE1920" s="127">
        <v>2</v>
      </c>
      <c r="DA1920" s="122" t="s">
        <v>333</v>
      </c>
      <c r="DB1920" s="122" t="s">
        <v>988</v>
      </c>
      <c r="DC1920" s="122" t="s">
        <v>988</v>
      </c>
      <c r="DD1920" s="127">
        <v>2</v>
      </c>
      <c r="DE1920" s="127">
        <v>2</v>
      </c>
      <c r="DG1920" s="405" t="s">
        <v>333</v>
      </c>
      <c r="DH1920" s="406" t="s">
        <v>988</v>
      </c>
      <c r="DI1920" s="406" t="str">
        <f t="shared" si="61"/>
        <v>MG, Pedralva</v>
      </c>
      <c r="DJ1920" s="406">
        <v>-22.242999999999999</v>
      </c>
      <c r="DK1920" s="80">
        <v>-45.466000000000001</v>
      </c>
      <c r="DL1920" s="80">
        <v>911</v>
      </c>
      <c r="DM1920" s="64">
        <v>2</v>
      </c>
      <c r="DN1920" s="406" t="s">
        <v>6881</v>
      </c>
      <c r="DO1920" s="406">
        <v>-22.31</v>
      </c>
      <c r="DP1920" s="80">
        <v>1276</v>
      </c>
    </row>
    <row r="1921" spans="29:120" x14ac:dyDescent="0.25">
      <c r="AC1921" s="122" t="s">
        <v>333</v>
      </c>
      <c r="AD1921" s="122" t="s">
        <v>2294</v>
      </c>
      <c r="AE1921" s="127">
        <v>3</v>
      </c>
      <c r="DA1921" s="122" t="s">
        <v>333</v>
      </c>
      <c r="DB1921" s="122" t="s">
        <v>7075</v>
      </c>
      <c r="DC1921" s="122" t="s">
        <v>2985</v>
      </c>
      <c r="DD1921" s="127">
        <v>6</v>
      </c>
      <c r="DE1921" s="127">
        <v>6</v>
      </c>
      <c r="DG1921" s="405" t="s">
        <v>333</v>
      </c>
      <c r="DH1921" s="406" t="s">
        <v>2985</v>
      </c>
      <c r="DI1921" s="406" t="str">
        <f t="shared" si="61"/>
        <v>MG, Pedras de Maria da Cruz</v>
      </c>
      <c r="DJ1921" s="406">
        <v>-15.606999999999999</v>
      </c>
      <c r="DK1921" s="80">
        <v>-44.390999999999998</v>
      </c>
      <c r="DL1921" s="80">
        <v>476</v>
      </c>
      <c r="DM1921" s="64">
        <v>6</v>
      </c>
      <c r="DN1921" s="406" t="s">
        <v>6872</v>
      </c>
      <c r="DO1921" s="406">
        <v>-16.37</v>
      </c>
      <c r="DP1921" s="80">
        <v>460</v>
      </c>
    </row>
    <row r="1922" spans="29:120" x14ac:dyDescent="0.25">
      <c r="AC1922" s="122" t="s">
        <v>289</v>
      </c>
      <c r="AD1922" s="122" t="s">
        <v>1486</v>
      </c>
      <c r="AE1922" s="127">
        <v>8</v>
      </c>
      <c r="DA1922" s="122" t="s">
        <v>333</v>
      </c>
      <c r="DB1922" s="122" t="s">
        <v>2763</v>
      </c>
      <c r="DC1922" s="122" t="s">
        <v>2763</v>
      </c>
      <c r="DD1922" s="127">
        <v>3</v>
      </c>
      <c r="DE1922" s="127">
        <v>3</v>
      </c>
      <c r="DG1922" s="405" t="s">
        <v>333</v>
      </c>
      <c r="DH1922" s="406" t="s">
        <v>2763</v>
      </c>
      <c r="DI1922" s="406" t="str">
        <f t="shared" si="61"/>
        <v>MG, Pedrinópolis</v>
      </c>
      <c r="DJ1922" s="406">
        <v>-19.228000000000002</v>
      </c>
      <c r="DK1922" s="80">
        <v>-47.462000000000003</v>
      </c>
      <c r="DL1922" s="80">
        <v>918</v>
      </c>
      <c r="DM1922" s="64">
        <v>3</v>
      </c>
      <c r="DN1922" s="406" t="s">
        <v>6794</v>
      </c>
      <c r="DO1922" s="406">
        <v>-18.940000000000001</v>
      </c>
      <c r="DP1922" s="80">
        <v>976</v>
      </c>
    </row>
    <row r="1923" spans="29:120" x14ac:dyDescent="0.25">
      <c r="AC1923" s="122" t="s">
        <v>323</v>
      </c>
      <c r="AD1923" s="122" t="s">
        <v>1264</v>
      </c>
      <c r="AE1923" s="127">
        <v>8</v>
      </c>
      <c r="DA1923" s="122" t="s">
        <v>333</v>
      </c>
      <c r="DB1923" s="122" t="s">
        <v>7076</v>
      </c>
      <c r="DC1923" s="122" t="s">
        <v>2714</v>
      </c>
      <c r="DD1923" s="127">
        <v>2</v>
      </c>
      <c r="DE1923" s="127">
        <v>2</v>
      </c>
      <c r="DG1923" s="405" t="s">
        <v>333</v>
      </c>
      <c r="DH1923" s="406" t="s">
        <v>2714</v>
      </c>
      <c r="DI1923" s="406" t="str">
        <f t="shared" ref="DI1923:DI1986" si="62">CONCATENATE(DG1923,", ",DH1923)</f>
        <v>MG, Pedro Leopoldo</v>
      </c>
      <c r="DJ1923" s="406">
        <v>-19.617999999999999</v>
      </c>
      <c r="DK1923" s="80">
        <v>-44.042999999999999</v>
      </c>
      <c r="DL1923" s="80">
        <v>710</v>
      </c>
      <c r="DM1923" s="64">
        <v>2</v>
      </c>
      <c r="DN1923" s="406" t="s">
        <v>6838</v>
      </c>
      <c r="DO1923" s="406">
        <v>-19.82</v>
      </c>
      <c r="DP1923" s="80">
        <v>869</v>
      </c>
    </row>
    <row r="1924" spans="29:120" x14ac:dyDescent="0.25">
      <c r="AC1924" s="122" t="s">
        <v>289</v>
      </c>
      <c r="AD1924" s="122" t="s">
        <v>2295</v>
      </c>
      <c r="AE1924" s="127">
        <v>8</v>
      </c>
      <c r="DA1924" s="122" t="s">
        <v>333</v>
      </c>
      <c r="DB1924" s="122" t="s">
        <v>7077</v>
      </c>
      <c r="DC1924" s="122" t="s">
        <v>556</v>
      </c>
      <c r="DD1924" s="127">
        <v>3</v>
      </c>
      <c r="DE1924" s="127">
        <v>3</v>
      </c>
      <c r="DG1924" s="405" t="s">
        <v>333</v>
      </c>
      <c r="DH1924" s="406" t="s">
        <v>556</v>
      </c>
      <c r="DI1924" s="406" t="str">
        <f t="shared" si="62"/>
        <v>MG, Pedro Teixeira</v>
      </c>
      <c r="DJ1924" s="406">
        <v>-21.706</v>
      </c>
      <c r="DK1924" s="80">
        <v>-43.746000000000002</v>
      </c>
      <c r="DL1924" s="80">
        <v>818</v>
      </c>
      <c r="DM1924" s="64">
        <v>3</v>
      </c>
      <c r="DN1924" s="406" t="s">
        <v>6829</v>
      </c>
      <c r="DO1924" s="406">
        <v>-21.76</v>
      </c>
      <c r="DP1924" s="80">
        <v>950</v>
      </c>
    </row>
    <row r="1925" spans="29:120" x14ac:dyDescent="0.25">
      <c r="AC1925" s="122" t="s">
        <v>348</v>
      </c>
      <c r="AD1925" s="122" t="s">
        <v>2296</v>
      </c>
      <c r="AE1925" s="127">
        <v>8</v>
      </c>
      <c r="DA1925" s="122" t="s">
        <v>333</v>
      </c>
      <c r="DB1925" s="122" t="s">
        <v>659</v>
      </c>
      <c r="DC1925" s="122" t="s">
        <v>659</v>
      </c>
      <c r="DD1925" s="127">
        <v>3</v>
      </c>
      <c r="DE1925" s="127">
        <v>3</v>
      </c>
      <c r="DG1925" s="405" t="s">
        <v>333</v>
      </c>
      <c r="DH1925" s="406" t="s">
        <v>659</v>
      </c>
      <c r="DI1925" s="406" t="str">
        <f t="shared" si="62"/>
        <v>MG, Pequeri</v>
      </c>
      <c r="DJ1925" s="406">
        <v>-21.834</v>
      </c>
      <c r="DK1925" s="80">
        <v>-43.121000000000002</v>
      </c>
      <c r="DL1925" s="80">
        <v>571</v>
      </c>
      <c r="DM1925" s="64">
        <v>3</v>
      </c>
      <c r="DN1925" s="406" t="s">
        <v>6829</v>
      </c>
      <c r="DO1925" s="406">
        <v>-21.76</v>
      </c>
      <c r="DP1925" s="80">
        <v>950</v>
      </c>
    </row>
    <row r="1926" spans="29:120" x14ac:dyDescent="0.25">
      <c r="AC1926" s="122" t="s">
        <v>289</v>
      </c>
      <c r="AD1926" s="122" t="s">
        <v>2297</v>
      </c>
      <c r="AE1926" s="127">
        <v>8</v>
      </c>
      <c r="DA1926" s="122" t="s">
        <v>333</v>
      </c>
      <c r="DB1926" s="122" t="s">
        <v>3746</v>
      </c>
      <c r="DC1926" s="122" t="s">
        <v>3746</v>
      </c>
      <c r="DD1926" s="127">
        <v>4</v>
      </c>
      <c r="DE1926" s="127">
        <v>4</v>
      </c>
      <c r="DG1926" s="405" t="s">
        <v>333</v>
      </c>
      <c r="DH1926" s="406" t="s">
        <v>3746</v>
      </c>
      <c r="DI1926" s="406" t="str">
        <f t="shared" si="62"/>
        <v>MG, Pequi</v>
      </c>
      <c r="DJ1926" s="406">
        <v>-19.632999999999999</v>
      </c>
      <c r="DK1926" s="80">
        <v>-44.658999999999999</v>
      </c>
      <c r="DL1926" s="80">
        <v>810</v>
      </c>
      <c r="DM1926" s="64">
        <v>4</v>
      </c>
      <c r="DN1926" s="406" t="s">
        <v>6879</v>
      </c>
      <c r="DO1926" s="406">
        <v>-19.89</v>
      </c>
      <c r="DP1926" s="80">
        <v>742</v>
      </c>
    </row>
    <row r="1927" spans="29:120" x14ac:dyDescent="0.25">
      <c r="AC1927" s="122" t="s">
        <v>333</v>
      </c>
      <c r="AD1927" s="122" t="s">
        <v>2298</v>
      </c>
      <c r="AE1927" s="127">
        <v>3</v>
      </c>
      <c r="DA1927" s="122" t="s">
        <v>333</v>
      </c>
      <c r="DB1927" s="122" t="s">
        <v>3921</v>
      </c>
      <c r="DC1927" s="122" t="s">
        <v>3921</v>
      </c>
      <c r="DD1927" s="127">
        <v>3</v>
      </c>
      <c r="DE1927" s="127">
        <v>3</v>
      </c>
      <c r="DG1927" s="405" t="s">
        <v>333</v>
      </c>
      <c r="DH1927" s="406" t="s">
        <v>3921</v>
      </c>
      <c r="DI1927" s="406" t="str">
        <f t="shared" si="62"/>
        <v>MG, Perdigão</v>
      </c>
      <c r="DJ1927" s="406">
        <v>-19.952999999999999</v>
      </c>
      <c r="DK1927" s="80">
        <v>-45.084000000000003</v>
      </c>
      <c r="DL1927" s="80">
        <v>852</v>
      </c>
      <c r="DM1927" s="64">
        <v>3</v>
      </c>
      <c r="DN1927" s="406" t="s">
        <v>6803</v>
      </c>
      <c r="DO1927" s="406">
        <v>-20.46</v>
      </c>
      <c r="DP1927" s="80">
        <v>878</v>
      </c>
    </row>
    <row r="1928" spans="29:120" x14ac:dyDescent="0.25">
      <c r="AC1928" s="122" t="s">
        <v>336</v>
      </c>
      <c r="AD1928" s="122" t="s">
        <v>2299</v>
      </c>
      <c r="AE1928" s="127">
        <v>6</v>
      </c>
      <c r="DA1928" s="122" t="s">
        <v>333</v>
      </c>
      <c r="DB1928" s="122" t="s">
        <v>850</v>
      </c>
      <c r="DC1928" s="122" t="s">
        <v>850</v>
      </c>
      <c r="DD1928" s="127">
        <v>3</v>
      </c>
      <c r="DE1928" s="127">
        <v>3</v>
      </c>
      <c r="DG1928" s="405" t="s">
        <v>333</v>
      </c>
      <c r="DH1928" s="406" t="s">
        <v>850</v>
      </c>
      <c r="DI1928" s="406" t="str">
        <f t="shared" si="62"/>
        <v>MG, Perdizes</v>
      </c>
      <c r="DJ1928" s="406">
        <v>-19.353000000000002</v>
      </c>
      <c r="DK1928" s="80">
        <v>-47.292999999999999</v>
      </c>
      <c r="DL1928" s="80">
        <v>1000</v>
      </c>
      <c r="DM1928" s="64">
        <v>3</v>
      </c>
      <c r="DN1928" s="406" t="s">
        <v>6832</v>
      </c>
      <c r="DO1928" s="406">
        <v>-19.59</v>
      </c>
      <c r="DP1928" s="80">
        <v>1020</v>
      </c>
    </row>
    <row r="1929" spans="29:120" x14ac:dyDescent="0.25">
      <c r="AC1929" s="122" t="s">
        <v>348</v>
      </c>
      <c r="AD1929" s="122" t="s">
        <v>2300</v>
      </c>
      <c r="AE1929" s="127">
        <v>8</v>
      </c>
      <c r="DA1929" s="122" t="s">
        <v>333</v>
      </c>
      <c r="DB1929" s="122" t="s">
        <v>2198</v>
      </c>
      <c r="DC1929" s="122" t="s">
        <v>2198</v>
      </c>
      <c r="DD1929" s="127">
        <v>3</v>
      </c>
      <c r="DE1929" s="127">
        <v>3</v>
      </c>
      <c r="DG1929" s="405" t="s">
        <v>333</v>
      </c>
      <c r="DH1929" s="406" t="s">
        <v>2198</v>
      </c>
      <c r="DI1929" s="406" t="str">
        <f t="shared" si="62"/>
        <v>MG, Perdões</v>
      </c>
      <c r="DJ1929" s="406">
        <v>-21.091000000000001</v>
      </c>
      <c r="DK1929" s="80">
        <v>-45.091000000000001</v>
      </c>
      <c r="DL1929" s="80">
        <v>842</v>
      </c>
      <c r="DM1929" s="64">
        <v>3</v>
      </c>
      <c r="DN1929" s="406" t="s">
        <v>6811</v>
      </c>
      <c r="DO1929" s="406">
        <v>-21.55</v>
      </c>
      <c r="DP1929" s="80">
        <v>955</v>
      </c>
    </row>
    <row r="1930" spans="29:120" x14ac:dyDescent="0.25">
      <c r="AC1930" s="122" t="s">
        <v>348</v>
      </c>
      <c r="AD1930" s="122" t="s">
        <v>2301</v>
      </c>
      <c r="AE1930" s="127">
        <v>8</v>
      </c>
      <c r="DA1930" s="122" t="s">
        <v>333</v>
      </c>
      <c r="DB1930" s="122" t="s">
        <v>2520</v>
      </c>
      <c r="DC1930" s="122" t="s">
        <v>2520</v>
      </c>
      <c r="DD1930" s="127">
        <v>3</v>
      </c>
      <c r="DE1930" s="127">
        <v>3</v>
      </c>
      <c r="DG1930" s="405" t="s">
        <v>333</v>
      </c>
      <c r="DH1930" s="406" t="s">
        <v>2520</v>
      </c>
      <c r="DI1930" s="406" t="str">
        <f t="shared" si="62"/>
        <v>MG, Periquito</v>
      </c>
      <c r="DJ1930" s="406">
        <v>-19.158000000000001</v>
      </c>
      <c r="DK1930" s="80">
        <v>-42.234000000000002</v>
      </c>
      <c r="DL1930" s="80">
        <v>231</v>
      </c>
      <c r="DM1930" s="64">
        <v>3</v>
      </c>
      <c r="DN1930" s="406" t="s">
        <v>6814</v>
      </c>
      <c r="DO1930" s="406">
        <v>-18.850000000000001</v>
      </c>
      <c r="DP1930" s="80">
        <v>263</v>
      </c>
    </row>
    <row r="1931" spans="29:120" x14ac:dyDescent="0.25">
      <c r="AC1931" s="122" t="s">
        <v>289</v>
      </c>
      <c r="AD1931" s="122" t="s">
        <v>2302</v>
      </c>
      <c r="AE1931" s="127">
        <v>8</v>
      </c>
      <c r="DA1931" s="122" t="s">
        <v>333</v>
      </c>
      <c r="DB1931" s="122" t="s">
        <v>1925</v>
      </c>
      <c r="DC1931" s="122" t="s">
        <v>1925</v>
      </c>
      <c r="DD1931" s="127">
        <v>5</v>
      </c>
      <c r="DE1931" s="127">
        <v>5</v>
      </c>
      <c r="DG1931" s="405" t="s">
        <v>333</v>
      </c>
      <c r="DH1931" s="406" t="s">
        <v>1925</v>
      </c>
      <c r="DI1931" s="406" t="str">
        <f t="shared" si="62"/>
        <v>MG, Pescador</v>
      </c>
      <c r="DJ1931" s="406">
        <v>-18.356999999999999</v>
      </c>
      <c r="DK1931" s="80">
        <v>-41.597999999999999</v>
      </c>
      <c r="DL1931" s="80">
        <v>442</v>
      </c>
      <c r="DM1931" s="64">
        <v>5</v>
      </c>
      <c r="DN1931" s="406" t="s">
        <v>6835</v>
      </c>
      <c r="DO1931" s="406">
        <v>-17.86</v>
      </c>
      <c r="DP1931" s="80">
        <v>475</v>
      </c>
    </row>
    <row r="1932" spans="29:120" x14ac:dyDescent="0.25">
      <c r="AC1932" s="122" t="s">
        <v>348</v>
      </c>
      <c r="AD1932" s="122" t="s">
        <v>2303</v>
      </c>
      <c r="AE1932" s="127">
        <v>8</v>
      </c>
      <c r="DA1932" s="122" t="s">
        <v>333</v>
      </c>
      <c r="DB1932" s="122" t="s">
        <v>3532</v>
      </c>
      <c r="DC1932" s="122" t="s">
        <v>3532</v>
      </c>
      <c r="DD1932" s="127">
        <v>3</v>
      </c>
      <c r="DE1932" s="127">
        <v>3</v>
      </c>
      <c r="DG1932" s="405" t="s">
        <v>333</v>
      </c>
      <c r="DH1932" s="406" t="s">
        <v>3532</v>
      </c>
      <c r="DI1932" s="406" t="str">
        <f t="shared" si="62"/>
        <v>MG, Piau</v>
      </c>
      <c r="DJ1932" s="406">
        <v>-21.509</v>
      </c>
      <c r="DK1932" s="80">
        <v>-43.323</v>
      </c>
      <c r="DL1932" s="80">
        <v>462</v>
      </c>
      <c r="DM1932" s="64">
        <v>3</v>
      </c>
      <c r="DN1932" s="406" t="s">
        <v>6829</v>
      </c>
      <c r="DO1932" s="406">
        <v>-21.76</v>
      </c>
      <c r="DP1932" s="80">
        <v>950</v>
      </c>
    </row>
    <row r="1933" spans="29:120" x14ac:dyDescent="0.25">
      <c r="AC1933" s="122" t="s">
        <v>323</v>
      </c>
      <c r="AD1933" s="122" t="s">
        <v>2304</v>
      </c>
      <c r="AE1933" s="127">
        <v>8</v>
      </c>
      <c r="DA1933" s="122" t="s">
        <v>333</v>
      </c>
      <c r="DB1933" s="122" t="s">
        <v>7078</v>
      </c>
      <c r="DC1933" s="122" t="s">
        <v>2114</v>
      </c>
      <c r="DD1933" s="127">
        <v>3</v>
      </c>
      <c r="DE1933" s="127">
        <v>3</v>
      </c>
      <c r="DG1933" s="405" t="s">
        <v>333</v>
      </c>
      <c r="DH1933" s="406" t="s">
        <v>2114</v>
      </c>
      <c r="DI1933" s="406" t="str">
        <f t="shared" si="62"/>
        <v>MG, Piedade de Caratinga</v>
      </c>
      <c r="DJ1933" s="406">
        <v>-19.759</v>
      </c>
      <c r="DK1933" s="80">
        <v>-42.076000000000001</v>
      </c>
      <c r="DL1933" s="80">
        <v>900</v>
      </c>
      <c r="DM1933" s="64">
        <v>3</v>
      </c>
      <c r="DN1933" s="406" t="s">
        <v>6819</v>
      </c>
      <c r="DO1933" s="406">
        <v>-19.79</v>
      </c>
      <c r="DP1933" s="80">
        <v>615</v>
      </c>
    </row>
    <row r="1934" spans="29:120" x14ac:dyDescent="0.25">
      <c r="AC1934" s="122" t="s">
        <v>289</v>
      </c>
      <c r="AD1934" s="122" t="s">
        <v>2305</v>
      </c>
      <c r="AE1934" s="127">
        <v>8</v>
      </c>
      <c r="DA1934" s="122" t="s">
        <v>333</v>
      </c>
      <c r="DB1934" s="122" t="s">
        <v>7079</v>
      </c>
      <c r="DC1934" s="122" t="s">
        <v>518</v>
      </c>
      <c r="DD1934" s="127">
        <v>3</v>
      </c>
      <c r="DE1934" s="127">
        <v>3</v>
      </c>
      <c r="DG1934" s="405" t="s">
        <v>333</v>
      </c>
      <c r="DH1934" s="406" t="s">
        <v>518</v>
      </c>
      <c r="DI1934" s="406" t="str">
        <f t="shared" si="62"/>
        <v>MG, Piedade de Ponte Nova</v>
      </c>
      <c r="DJ1934" s="406">
        <v>-20.245000000000001</v>
      </c>
      <c r="DK1934" s="80">
        <v>-42.734000000000002</v>
      </c>
      <c r="DL1934" s="80">
        <v>421</v>
      </c>
      <c r="DM1934" s="64">
        <v>3</v>
      </c>
      <c r="DN1934" s="406" t="s">
        <v>6797</v>
      </c>
      <c r="DO1934" s="406">
        <v>-20.75</v>
      </c>
      <c r="DP1934" s="80">
        <v>712</v>
      </c>
    </row>
    <row r="1935" spans="29:120" x14ac:dyDescent="0.25">
      <c r="AC1935" s="122" t="s">
        <v>348</v>
      </c>
      <c r="AD1935" s="122" t="s">
        <v>2306</v>
      </c>
      <c r="AE1935" s="127">
        <v>6</v>
      </c>
      <c r="DA1935" s="122" t="s">
        <v>333</v>
      </c>
      <c r="DB1935" s="122" t="s">
        <v>7080</v>
      </c>
      <c r="DC1935" s="122" t="s">
        <v>660</v>
      </c>
      <c r="DD1935" s="127">
        <v>3</v>
      </c>
      <c r="DE1935" s="127">
        <v>3</v>
      </c>
      <c r="DG1935" s="405" t="s">
        <v>333</v>
      </c>
      <c r="DH1935" s="406" t="s">
        <v>660</v>
      </c>
      <c r="DI1935" s="406" t="str">
        <f t="shared" si="62"/>
        <v>MG, Piedade do Rio Grande</v>
      </c>
      <c r="DJ1935" s="406">
        <v>-21.469000000000001</v>
      </c>
      <c r="DK1935" s="80">
        <v>-44.195999999999998</v>
      </c>
      <c r="DL1935" s="80">
        <v>1022</v>
      </c>
      <c r="DM1935" s="64">
        <v>3</v>
      </c>
      <c r="DN1935" s="406" t="s">
        <v>6813</v>
      </c>
      <c r="DO1935" s="406">
        <v>-21.14</v>
      </c>
      <c r="DP1935" s="80">
        <v>991</v>
      </c>
    </row>
    <row r="1936" spans="29:120" x14ac:dyDescent="0.25">
      <c r="AC1936" s="122" t="s">
        <v>289</v>
      </c>
      <c r="AD1936" s="122" t="s">
        <v>2307</v>
      </c>
      <c r="AE1936" s="127">
        <v>5</v>
      </c>
      <c r="DA1936" s="122" t="s">
        <v>333</v>
      </c>
      <c r="DB1936" s="122" t="s">
        <v>7081</v>
      </c>
      <c r="DC1936" s="122" t="s">
        <v>661</v>
      </c>
      <c r="DD1936" s="127">
        <v>2</v>
      </c>
      <c r="DE1936" s="127">
        <v>2</v>
      </c>
      <c r="DG1936" s="405" t="s">
        <v>333</v>
      </c>
      <c r="DH1936" s="406" t="s">
        <v>661</v>
      </c>
      <c r="DI1936" s="406" t="str">
        <f t="shared" si="62"/>
        <v>MG, Piedade dos Gerais</v>
      </c>
      <c r="DJ1936" s="406">
        <v>-20.471</v>
      </c>
      <c r="DK1936" s="80">
        <v>-44.226999999999997</v>
      </c>
      <c r="DL1936" s="80">
        <v>995</v>
      </c>
      <c r="DM1936" s="64">
        <v>2</v>
      </c>
      <c r="DN1936" s="406" t="s">
        <v>6849</v>
      </c>
      <c r="DO1936" s="406">
        <v>-20.03</v>
      </c>
      <c r="DP1936" s="80">
        <v>1208</v>
      </c>
    </row>
    <row r="1937" spans="29:120" x14ac:dyDescent="0.25">
      <c r="AC1937" s="122" t="s">
        <v>348</v>
      </c>
      <c r="AD1937" s="122" t="s">
        <v>2308</v>
      </c>
      <c r="AE1937" s="127">
        <v>8</v>
      </c>
      <c r="DA1937" s="122" t="s">
        <v>333</v>
      </c>
      <c r="DB1937" s="122" t="s">
        <v>2288</v>
      </c>
      <c r="DC1937" s="122" t="s">
        <v>2288</v>
      </c>
      <c r="DD1937" s="127">
        <v>2</v>
      </c>
      <c r="DE1937" s="127">
        <v>2</v>
      </c>
      <c r="DG1937" s="405" t="s">
        <v>333</v>
      </c>
      <c r="DH1937" s="406" t="s">
        <v>2288</v>
      </c>
      <c r="DI1937" s="406" t="str">
        <f t="shared" si="62"/>
        <v>MG, Pimenta</v>
      </c>
      <c r="DJ1937" s="406">
        <v>-20.484000000000002</v>
      </c>
      <c r="DK1937" s="80">
        <v>-45.798999999999999</v>
      </c>
      <c r="DL1937" s="80">
        <v>776</v>
      </c>
      <c r="DM1937" s="64">
        <v>2</v>
      </c>
      <c r="DN1937" s="406" t="s">
        <v>6803</v>
      </c>
      <c r="DO1937" s="406">
        <v>-20.46</v>
      </c>
      <c r="DP1937" s="80">
        <v>878</v>
      </c>
    </row>
    <row r="1938" spans="29:120" x14ac:dyDescent="0.25">
      <c r="AC1938" s="122" t="s">
        <v>348</v>
      </c>
      <c r="AD1938" s="122" t="s">
        <v>2309</v>
      </c>
      <c r="AE1938" s="127">
        <v>8</v>
      </c>
      <c r="DA1938" s="122" t="s">
        <v>333</v>
      </c>
      <c r="DB1938" s="122" t="s">
        <v>7082</v>
      </c>
      <c r="DC1938" s="122" t="s">
        <v>2037</v>
      </c>
      <c r="DD1938" s="127">
        <v>3</v>
      </c>
      <c r="DE1938" s="127">
        <v>3</v>
      </c>
      <c r="DG1938" s="405" t="s">
        <v>333</v>
      </c>
      <c r="DH1938" s="406" t="s">
        <v>7083</v>
      </c>
      <c r="DI1938" s="406" t="str">
        <f t="shared" si="62"/>
        <v>MG, Pingo-d'Água</v>
      </c>
      <c r="DJ1938" s="406">
        <v>-19.727</v>
      </c>
      <c r="DK1938" s="80">
        <v>-42.408000000000001</v>
      </c>
      <c r="DL1938" s="80">
        <v>200</v>
      </c>
      <c r="DM1938" s="64">
        <v>3</v>
      </c>
      <c r="DN1938" s="406" t="s">
        <v>6819</v>
      </c>
      <c r="DO1938" s="406">
        <v>-19.79</v>
      </c>
      <c r="DP1938" s="80">
        <v>615</v>
      </c>
    </row>
    <row r="1939" spans="29:120" x14ac:dyDescent="0.25">
      <c r="AC1939" s="122" t="s">
        <v>289</v>
      </c>
      <c r="AD1939" s="122" t="s">
        <v>2310</v>
      </c>
      <c r="AE1939" s="127">
        <v>8</v>
      </c>
      <c r="DA1939" s="122" t="s">
        <v>333</v>
      </c>
      <c r="DB1939" s="122" t="s">
        <v>2989</v>
      </c>
      <c r="DC1939" s="122" t="s">
        <v>2989</v>
      </c>
      <c r="DD1939" s="127">
        <v>6</v>
      </c>
      <c r="DE1939" s="127">
        <v>6</v>
      </c>
      <c r="DG1939" s="405" t="s">
        <v>333</v>
      </c>
      <c r="DH1939" s="406" t="s">
        <v>2989</v>
      </c>
      <c r="DI1939" s="406" t="str">
        <f t="shared" si="62"/>
        <v>MG, Pintópolis</v>
      </c>
      <c r="DJ1939" s="406">
        <v>-16.059000000000001</v>
      </c>
      <c r="DK1939" s="80">
        <v>-45.155999999999999</v>
      </c>
      <c r="DL1939" s="80">
        <v>516</v>
      </c>
      <c r="DM1939" s="64">
        <v>6</v>
      </c>
      <c r="DN1939" s="406" t="s">
        <v>6872</v>
      </c>
      <c r="DO1939" s="406">
        <v>-16.37</v>
      </c>
      <c r="DP1939" s="80">
        <v>460</v>
      </c>
    </row>
    <row r="1940" spans="29:120" x14ac:dyDescent="0.25">
      <c r="AC1940" s="122" t="s">
        <v>289</v>
      </c>
      <c r="AD1940" s="122" t="s">
        <v>2311</v>
      </c>
      <c r="AE1940" s="127">
        <v>8</v>
      </c>
      <c r="DA1940" s="122" t="s">
        <v>333</v>
      </c>
      <c r="DB1940" s="122" t="s">
        <v>662</v>
      </c>
      <c r="DC1940" s="122" t="s">
        <v>662</v>
      </c>
      <c r="DD1940" s="127">
        <v>2</v>
      </c>
      <c r="DE1940" s="127">
        <v>2</v>
      </c>
      <c r="DG1940" s="405" t="s">
        <v>333</v>
      </c>
      <c r="DH1940" s="406" t="s">
        <v>662</v>
      </c>
      <c r="DI1940" s="406" t="str">
        <f t="shared" si="62"/>
        <v>MG, Piracema</v>
      </c>
      <c r="DJ1940" s="406">
        <v>-20.507999999999999</v>
      </c>
      <c r="DK1940" s="80">
        <v>-44.482999999999997</v>
      </c>
      <c r="DL1940" s="80">
        <v>872</v>
      </c>
      <c r="DM1940" s="64">
        <v>2</v>
      </c>
      <c r="DN1940" s="406" t="s">
        <v>6879</v>
      </c>
      <c r="DO1940" s="406">
        <v>-19.89</v>
      </c>
      <c r="DP1940" s="80">
        <v>742</v>
      </c>
    </row>
    <row r="1941" spans="29:120" x14ac:dyDescent="0.25">
      <c r="AC1941" s="122" t="s">
        <v>289</v>
      </c>
      <c r="AD1941" s="122" t="s">
        <v>2312</v>
      </c>
      <c r="AE1941" s="127">
        <v>8</v>
      </c>
      <c r="DA1941" s="122" t="s">
        <v>333</v>
      </c>
      <c r="DB1941" s="122" t="s">
        <v>2646</v>
      </c>
      <c r="DC1941" s="122" t="s">
        <v>2646</v>
      </c>
      <c r="DD1941" s="127">
        <v>6</v>
      </c>
      <c r="DE1941" s="127">
        <v>6</v>
      </c>
      <c r="DG1941" s="405" t="s">
        <v>333</v>
      </c>
      <c r="DH1941" s="406" t="s">
        <v>2646</v>
      </c>
      <c r="DI1941" s="406" t="str">
        <f t="shared" si="62"/>
        <v>MG, Pirajuba</v>
      </c>
      <c r="DJ1941" s="406">
        <v>-19.907</v>
      </c>
      <c r="DK1941" s="80">
        <v>-48.701000000000001</v>
      </c>
      <c r="DL1941" s="80">
        <v>525</v>
      </c>
      <c r="DM1941" s="64">
        <v>6</v>
      </c>
      <c r="DN1941" s="406" t="s">
        <v>6802</v>
      </c>
      <c r="DO1941" s="406">
        <v>-19.989999999999998</v>
      </c>
      <c r="DP1941" s="80">
        <v>568</v>
      </c>
    </row>
    <row r="1942" spans="29:120" x14ac:dyDescent="0.25">
      <c r="AC1942" s="122" t="s">
        <v>289</v>
      </c>
      <c r="AD1942" s="122" t="s">
        <v>2313</v>
      </c>
      <c r="AE1942" s="127">
        <v>8</v>
      </c>
      <c r="DA1942" s="122" t="s">
        <v>333</v>
      </c>
      <c r="DB1942" s="122" t="s">
        <v>663</v>
      </c>
      <c r="DC1942" s="122" t="s">
        <v>663</v>
      </c>
      <c r="DD1942" s="127">
        <v>3</v>
      </c>
      <c r="DE1942" s="127">
        <v>3</v>
      </c>
      <c r="DG1942" s="405" t="s">
        <v>333</v>
      </c>
      <c r="DH1942" s="406" t="s">
        <v>663</v>
      </c>
      <c r="DI1942" s="406" t="str">
        <f t="shared" si="62"/>
        <v>MG, Piranga</v>
      </c>
      <c r="DJ1942" s="406">
        <v>-20.684999999999999</v>
      </c>
      <c r="DK1942" s="80">
        <v>-43.3</v>
      </c>
      <c r="DL1942" s="80">
        <v>620</v>
      </c>
      <c r="DM1942" s="64">
        <v>3</v>
      </c>
      <c r="DN1942" s="406" t="s">
        <v>6797</v>
      </c>
      <c r="DO1942" s="406">
        <v>-20.75</v>
      </c>
      <c r="DP1942" s="80">
        <v>712</v>
      </c>
    </row>
    <row r="1943" spans="29:120" x14ac:dyDescent="0.25">
      <c r="AC1943" s="122" t="s">
        <v>289</v>
      </c>
      <c r="AD1943" s="122" t="s">
        <v>2314</v>
      </c>
      <c r="AE1943" s="127">
        <v>8</v>
      </c>
      <c r="DA1943" s="122" t="s">
        <v>333</v>
      </c>
      <c r="DB1943" s="122" t="s">
        <v>866</v>
      </c>
      <c r="DC1943" s="122" t="s">
        <v>866</v>
      </c>
      <c r="DD1943" s="127">
        <v>2</v>
      </c>
      <c r="DE1943" s="127">
        <v>2</v>
      </c>
      <c r="DG1943" s="405" t="s">
        <v>333</v>
      </c>
      <c r="DH1943" s="406" t="s">
        <v>866</v>
      </c>
      <c r="DI1943" s="406" t="str">
        <f t="shared" si="62"/>
        <v>MG, Piranguçu</v>
      </c>
      <c r="DJ1943" s="406">
        <v>-22.527999999999999</v>
      </c>
      <c r="DK1943" s="80">
        <v>-45.494999999999997</v>
      </c>
      <c r="DL1943" s="80">
        <v>907</v>
      </c>
      <c r="DM1943" s="64">
        <v>2</v>
      </c>
      <c r="DN1943" s="406" t="s">
        <v>6873</v>
      </c>
      <c r="DO1943" s="406">
        <v>-22.74</v>
      </c>
      <c r="DP1943" s="80">
        <v>1642</v>
      </c>
    </row>
    <row r="1944" spans="29:120" x14ac:dyDescent="0.25">
      <c r="AC1944" s="122" t="s">
        <v>322</v>
      </c>
      <c r="AD1944" s="122" t="s">
        <v>2315</v>
      </c>
      <c r="AE1944" s="127">
        <v>6</v>
      </c>
      <c r="DA1944" s="122" t="s">
        <v>333</v>
      </c>
      <c r="DB1944" s="122" t="s">
        <v>921</v>
      </c>
      <c r="DC1944" s="122" t="s">
        <v>921</v>
      </c>
      <c r="DD1944" s="127">
        <v>2</v>
      </c>
      <c r="DE1944" s="127">
        <v>2</v>
      </c>
      <c r="DG1944" s="405" t="s">
        <v>333</v>
      </c>
      <c r="DH1944" s="406" t="s">
        <v>921</v>
      </c>
      <c r="DI1944" s="406" t="str">
        <f t="shared" si="62"/>
        <v>MG, Piranguinho</v>
      </c>
      <c r="DJ1944" s="406">
        <v>-22.401</v>
      </c>
      <c r="DK1944" s="80">
        <v>-45.531999999999996</v>
      </c>
      <c r="DL1944" s="80">
        <v>837</v>
      </c>
      <c r="DM1944" s="64">
        <v>2</v>
      </c>
      <c r="DN1944" s="406" t="s">
        <v>6881</v>
      </c>
      <c r="DO1944" s="406">
        <v>-22.31</v>
      </c>
      <c r="DP1944" s="80">
        <v>1276</v>
      </c>
    </row>
    <row r="1945" spans="29:120" x14ac:dyDescent="0.25">
      <c r="AC1945" s="122" t="s">
        <v>333</v>
      </c>
      <c r="AD1945" s="122" t="s">
        <v>2316</v>
      </c>
      <c r="AE1945" s="127">
        <v>2</v>
      </c>
      <c r="DA1945" s="122" t="s">
        <v>333</v>
      </c>
      <c r="DB1945" s="122" t="s">
        <v>3264</v>
      </c>
      <c r="DC1945" s="122" t="s">
        <v>3264</v>
      </c>
      <c r="DD1945" s="127">
        <v>3</v>
      </c>
      <c r="DE1945" s="127">
        <v>3</v>
      </c>
      <c r="DG1945" s="405" t="s">
        <v>333</v>
      </c>
      <c r="DH1945" s="406" t="s">
        <v>3264</v>
      </c>
      <c r="DI1945" s="406" t="str">
        <f t="shared" si="62"/>
        <v>MG, Pirapetinga</v>
      </c>
      <c r="DJ1945" s="406">
        <v>-21.655999999999999</v>
      </c>
      <c r="DK1945" s="80">
        <v>-42.345999999999997</v>
      </c>
      <c r="DL1945" s="80">
        <v>152</v>
      </c>
      <c r="DM1945" s="64">
        <v>3</v>
      </c>
      <c r="DN1945" s="406" t="s">
        <v>6969</v>
      </c>
      <c r="DO1945" s="406">
        <v>-21.58</v>
      </c>
      <c r="DP1945" s="80">
        <v>35</v>
      </c>
    </row>
    <row r="1946" spans="29:120" x14ac:dyDescent="0.25">
      <c r="AC1946" s="122" t="s">
        <v>322</v>
      </c>
      <c r="AD1946" s="122" t="s">
        <v>2317</v>
      </c>
      <c r="AE1946" s="127">
        <v>6</v>
      </c>
      <c r="DA1946" s="122" t="s">
        <v>333</v>
      </c>
      <c r="DB1946" s="122" t="s">
        <v>2949</v>
      </c>
      <c r="DC1946" s="122" t="s">
        <v>2949</v>
      </c>
      <c r="DD1946" s="127">
        <v>4</v>
      </c>
      <c r="DE1946" s="127">
        <v>4</v>
      </c>
      <c r="DG1946" s="405" t="s">
        <v>333</v>
      </c>
      <c r="DH1946" s="406" t="s">
        <v>2949</v>
      </c>
      <c r="DI1946" s="406" t="str">
        <f t="shared" si="62"/>
        <v>MG, Pirapora</v>
      </c>
      <c r="DJ1946" s="406">
        <v>-17.344999999999999</v>
      </c>
      <c r="DK1946" s="80">
        <v>-44.942</v>
      </c>
      <c r="DL1946" s="80">
        <v>489</v>
      </c>
      <c r="DM1946" s="64">
        <v>4</v>
      </c>
      <c r="DN1946" s="406" t="s">
        <v>6875</v>
      </c>
      <c r="DO1946" s="406">
        <v>-17.34</v>
      </c>
      <c r="DP1946" s="80">
        <v>489</v>
      </c>
    </row>
    <row r="1947" spans="29:120" x14ac:dyDescent="0.25">
      <c r="AC1947" s="122" t="s">
        <v>289</v>
      </c>
      <c r="AD1947" s="122" t="s">
        <v>2318</v>
      </c>
      <c r="AE1947" s="127">
        <v>8</v>
      </c>
      <c r="DA1947" s="122" t="s">
        <v>333</v>
      </c>
      <c r="DB1947" s="122" t="s">
        <v>3718</v>
      </c>
      <c r="DC1947" s="122" t="s">
        <v>3718</v>
      </c>
      <c r="DD1947" s="127">
        <v>3</v>
      </c>
      <c r="DE1947" s="127">
        <v>3</v>
      </c>
      <c r="DG1947" s="405" t="s">
        <v>333</v>
      </c>
      <c r="DH1947" s="406" t="s">
        <v>3718</v>
      </c>
      <c r="DI1947" s="406" t="str">
        <f t="shared" si="62"/>
        <v>MG, Piraúba</v>
      </c>
      <c r="DJ1947" s="406">
        <v>-21.276</v>
      </c>
      <c r="DK1947" s="80">
        <v>-43.026000000000003</v>
      </c>
      <c r="DL1947" s="80">
        <v>374</v>
      </c>
      <c r="DM1947" s="64">
        <v>3</v>
      </c>
      <c r="DN1947" s="406" t="s">
        <v>6797</v>
      </c>
      <c r="DO1947" s="406">
        <v>-20.75</v>
      </c>
      <c r="DP1947" s="80">
        <v>712</v>
      </c>
    </row>
    <row r="1948" spans="29:120" x14ac:dyDescent="0.25">
      <c r="AC1948" s="122" t="s">
        <v>300</v>
      </c>
      <c r="AD1948" s="122" t="s">
        <v>2319</v>
      </c>
      <c r="AE1948" s="127">
        <v>5</v>
      </c>
      <c r="DA1948" s="122" t="s">
        <v>333</v>
      </c>
      <c r="DB1948" s="122" t="s">
        <v>3371</v>
      </c>
      <c r="DC1948" s="122" t="s">
        <v>3371</v>
      </c>
      <c r="DD1948" s="127">
        <v>4</v>
      </c>
      <c r="DE1948" s="127">
        <v>4</v>
      </c>
      <c r="DG1948" s="405" t="s">
        <v>333</v>
      </c>
      <c r="DH1948" s="406" t="s">
        <v>3371</v>
      </c>
      <c r="DI1948" s="406" t="str">
        <f t="shared" si="62"/>
        <v>MG, Pitangui</v>
      </c>
      <c r="DJ1948" s="406">
        <v>-19.683</v>
      </c>
      <c r="DK1948" s="80">
        <v>-44.89</v>
      </c>
      <c r="DL1948" s="80">
        <v>709</v>
      </c>
      <c r="DM1948" s="64">
        <v>4</v>
      </c>
      <c r="DN1948" s="406" t="s">
        <v>6879</v>
      </c>
      <c r="DO1948" s="406">
        <v>-19.89</v>
      </c>
      <c r="DP1948" s="80">
        <v>742</v>
      </c>
    </row>
    <row r="1949" spans="29:120" x14ac:dyDescent="0.25">
      <c r="AC1949" s="122" t="s">
        <v>336</v>
      </c>
      <c r="AD1949" s="122" t="s">
        <v>2320</v>
      </c>
      <c r="AE1949" s="127">
        <v>6</v>
      </c>
      <c r="DA1949" s="122" t="s">
        <v>333</v>
      </c>
      <c r="DB1949" s="122" t="s">
        <v>3432</v>
      </c>
      <c r="DC1949" s="122" t="s">
        <v>3432</v>
      </c>
      <c r="DD1949" s="127">
        <v>2</v>
      </c>
      <c r="DE1949" s="127">
        <v>2</v>
      </c>
      <c r="DG1949" s="405" t="s">
        <v>333</v>
      </c>
      <c r="DH1949" s="406" t="s">
        <v>3432</v>
      </c>
      <c r="DI1949" s="406" t="str">
        <f t="shared" si="62"/>
        <v>MG, Piumhi</v>
      </c>
      <c r="DJ1949" s="406">
        <v>-20.465</v>
      </c>
      <c r="DK1949" s="80">
        <v>-45.957999999999998</v>
      </c>
      <c r="DL1949" s="80">
        <v>793</v>
      </c>
      <c r="DM1949" s="64">
        <v>2</v>
      </c>
      <c r="DN1949" s="406" t="s">
        <v>6803</v>
      </c>
      <c r="DO1949" s="406">
        <v>-20.46</v>
      </c>
      <c r="DP1949" s="80">
        <v>878</v>
      </c>
    </row>
    <row r="1950" spans="29:120" x14ac:dyDescent="0.25">
      <c r="AC1950" s="122" t="s">
        <v>322</v>
      </c>
      <c r="AD1950" s="122" t="s">
        <v>2321</v>
      </c>
      <c r="AE1950" s="127">
        <v>6</v>
      </c>
      <c r="DA1950" s="122" t="s">
        <v>333</v>
      </c>
      <c r="DB1950" s="122" t="s">
        <v>2669</v>
      </c>
      <c r="DC1950" s="122" t="s">
        <v>2669</v>
      </c>
      <c r="DD1950" s="127">
        <v>6</v>
      </c>
      <c r="DE1950" s="127">
        <v>6</v>
      </c>
      <c r="DG1950" s="405" t="s">
        <v>333</v>
      </c>
      <c r="DH1950" s="406" t="s">
        <v>2669</v>
      </c>
      <c r="DI1950" s="406" t="str">
        <f t="shared" si="62"/>
        <v>MG, Planura</v>
      </c>
      <c r="DJ1950" s="406">
        <v>-20.138000000000002</v>
      </c>
      <c r="DK1950" s="80">
        <v>-48.701999999999998</v>
      </c>
      <c r="DL1950" s="80">
        <v>492</v>
      </c>
      <c r="DM1950" s="64">
        <v>6</v>
      </c>
      <c r="DN1950" s="406" t="s">
        <v>6802</v>
      </c>
      <c r="DO1950" s="406">
        <v>-19.989999999999998</v>
      </c>
      <c r="DP1950" s="80">
        <v>568</v>
      </c>
    </row>
    <row r="1951" spans="29:120" x14ac:dyDescent="0.25">
      <c r="AC1951" s="122" t="s">
        <v>333</v>
      </c>
      <c r="AD1951" s="122" t="s">
        <v>2322</v>
      </c>
      <c r="AE1951" s="127">
        <v>2</v>
      </c>
      <c r="DA1951" s="122" t="s">
        <v>333</v>
      </c>
      <c r="DB1951" s="122" t="s">
        <v>7084</v>
      </c>
      <c r="DC1951" s="122" t="s">
        <v>989</v>
      </c>
      <c r="DD1951" s="127">
        <v>2</v>
      </c>
      <c r="DE1951" s="127">
        <v>2</v>
      </c>
      <c r="DG1951" s="405" t="s">
        <v>333</v>
      </c>
      <c r="DH1951" s="406" t="s">
        <v>989</v>
      </c>
      <c r="DI1951" s="406" t="str">
        <f t="shared" si="62"/>
        <v>MG, Poço Fundo</v>
      </c>
      <c r="DJ1951" s="406">
        <v>-21.780999999999999</v>
      </c>
      <c r="DK1951" s="80">
        <v>-45.965000000000003</v>
      </c>
      <c r="DL1951" s="80">
        <v>836</v>
      </c>
      <c r="DM1951" s="64">
        <v>2</v>
      </c>
      <c r="DN1951" s="406" t="s">
        <v>6823</v>
      </c>
      <c r="DO1951" s="406">
        <v>-21.92</v>
      </c>
      <c r="DP1951" s="80">
        <v>1150</v>
      </c>
    </row>
    <row r="1952" spans="29:120" x14ac:dyDescent="0.25">
      <c r="AC1952" s="122" t="s">
        <v>289</v>
      </c>
      <c r="AD1952" s="122" t="s">
        <v>2323</v>
      </c>
      <c r="AE1952" s="127">
        <v>8</v>
      </c>
      <c r="DA1952" s="122" t="s">
        <v>333</v>
      </c>
      <c r="DB1952" s="122" t="s">
        <v>7085</v>
      </c>
      <c r="DC1952" s="122" t="s">
        <v>974</v>
      </c>
      <c r="DD1952" s="127">
        <v>1</v>
      </c>
      <c r="DE1952" s="127">
        <v>1</v>
      </c>
      <c r="DG1952" s="405" t="s">
        <v>333</v>
      </c>
      <c r="DH1952" s="406" t="s">
        <v>974</v>
      </c>
      <c r="DI1952" s="406" t="str">
        <f t="shared" si="62"/>
        <v>MG, Poços de Caldas</v>
      </c>
      <c r="DJ1952" s="406">
        <v>-21.788</v>
      </c>
      <c r="DK1952" s="80">
        <v>-46.561</v>
      </c>
      <c r="DL1952" s="80">
        <v>1196</v>
      </c>
      <c r="DM1952" s="64">
        <v>1</v>
      </c>
      <c r="DN1952" s="406" t="s">
        <v>6823</v>
      </c>
      <c r="DO1952" s="406">
        <v>-21.92</v>
      </c>
      <c r="DP1952" s="80">
        <v>1150</v>
      </c>
    </row>
    <row r="1953" spans="29:120" x14ac:dyDescent="0.25">
      <c r="AC1953" s="122" t="s">
        <v>333</v>
      </c>
      <c r="AD1953" s="122" t="s">
        <v>2324</v>
      </c>
      <c r="AE1953" s="127">
        <v>6</v>
      </c>
      <c r="DA1953" s="122" t="s">
        <v>333</v>
      </c>
      <c r="DB1953" s="122" t="s">
        <v>2044</v>
      </c>
      <c r="DC1953" s="122" t="s">
        <v>2044</v>
      </c>
      <c r="DD1953" s="127">
        <v>3</v>
      </c>
      <c r="DE1953" s="127">
        <v>3</v>
      </c>
      <c r="DG1953" s="405" t="s">
        <v>333</v>
      </c>
      <c r="DH1953" s="406" t="s">
        <v>2044</v>
      </c>
      <c r="DI1953" s="406" t="str">
        <f t="shared" si="62"/>
        <v>MG, Pocrane</v>
      </c>
      <c r="DJ1953" s="406">
        <v>-19.62</v>
      </c>
      <c r="DK1953" s="80">
        <v>-41.637</v>
      </c>
      <c r="DL1953" s="80">
        <v>225</v>
      </c>
      <c r="DM1953" s="64">
        <v>3</v>
      </c>
      <c r="DN1953" s="406" t="s">
        <v>6819</v>
      </c>
      <c r="DO1953" s="406">
        <v>-19.79</v>
      </c>
      <c r="DP1953" s="80">
        <v>615</v>
      </c>
    </row>
    <row r="1954" spans="29:120" x14ac:dyDescent="0.25">
      <c r="AC1954" s="122" t="s">
        <v>289</v>
      </c>
      <c r="AD1954" s="122" t="s">
        <v>2325</v>
      </c>
      <c r="AE1954" s="127">
        <v>8</v>
      </c>
      <c r="DA1954" s="122" t="s">
        <v>333</v>
      </c>
      <c r="DB1954" s="122" t="s">
        <v>2931</v>
      </c>
      <c r="DC1954" s="122" t="s">
        <v>2931</v>
      </c>
      <c r="DD1954" s="127">
        <v>3</v>
      </c>
      <c r="DE1954" s="127">
        <v>3</v>
      </c>
      <c r="DG1954" s="405" t="s">
        <v>333</v>
      </c>
      <c r="DH1954" s="406" t="s">
        <v>2931</v>
      </c>
      <c r="DI1954" s="406" t="str">
        <f t="shared" si="62"/>
        <v>MG, Pompéu</v>
      </c>
      <c r="DJ1954" s="406">
        <v>-19.224</v>
      </c>
      <c r="DK1954" s="80">
        <v>-44.935000000000002</v>
      </c>
      <c r="DL1954" s="80">
        <v>657</v>
      </c>
      <c r="DM1954" s="64">
        <v>3</v>
      </c>
      <c r="DN1954" s="406" t="s">
        <v>6828</v>
      </c>
      <c r="DO1954" s="406">
        <v>-18.760000000000002</v>
      </c>
      <c r="DP1954" s="80">
        <v>670</v>
      </c>
    </row>
    <row r="1955" spans="29:120" x14ac:dyDescent="0.25">
      <c r="AC1955" s="122" t="s">
        <v>289</v>
      </c>
      <c r="AD1955" s="122" t="s">
        <v>2326</v>
      </c>
      <c r="AE1955" s="127">
        <v>8</v>
      </c>
      <c r="DA1955" s="122" t="s">
        <v>333</v>
      </c>
      <c r="DB1955" s="122" t="s">
        <v>7086</v>
      </c>
      <c r="DC1955" s="122" t="s">
        <v>529</v>
      </c>
      <c r="DD1955" s="127">
        <v>3</v>
      </c>
      <c r="DE1955" s="127">
        <v>3</v>
      </c>
      <c r="DG1955" s="405" t="s">
        <v>333</v>
      </c>
      <c r="DH1955" s="406" t="s">
        <v>529</v>
      </c>
      <c r="DI1955" s="406" t="str">
        <f t="shared" si="62"/>
        <v>MG, Ponte Nova</v>
      </c>
      <c r="DJ1955" s="406">
        <v>-20.416</v>
      </c>
      <c r="DK1955" s="80">
        <v>-42.908999999999999</v>
      </c>
      <c r="DL1955" s="80">
        <v>431</v>
      </c>
      <c r="DM1955" s="64">
        <v>3</v>
      </c>
      <c r="DN1955" s="406" t="s">
        <v>6797</v>
      </c>
      <c r="DO1955" s="406">
        <v>-20.75</v>
      </c>
      <c r="DP1955" s="80">
        <v>712</v>
      </c>
    </row>
    <row r="1956" spans="29:120" x14ac:dyDescent="0.25">
      <c r="AC1956" s="122" t="s">
        <v>322</v>
      </c>
      <c r="AD1956" s="122" t="s">
        <v>2327</v>
      </c>
      <c r="AE1956" s="127">
        <v>6</v>
      </c>
      <c r="DA1956" s="122" t="s">
        <v>333</v>
      </c>
      <c r="DB1956" s="122" t="s">
        <v>7087</v>
      </c>
      <c r="DC1956" s="122" t="s">
        <v>3024</v>
      </c>
      <c r="DD1956" s="127">
        <v>6</v>
      </c>
      <c r="DE1956" s="127">
        <v>6</v>
      </c>
      <c r="DG1956" s="405" t="s">
        <v>333</v>
      </c>
      <c r="DH1956" s="406" t="s">
        <v>3024</v>
      </c>
      <c r="DI1956" s="406" t="str">
        <f t="shared" si="62"/>
        <v>MG, Ponto Chique</v>
      </c>
      <c r="DJ1956" s="406">
        <v>-16.631</v>
      </c>
      <c r="DK1956" s="80">
        <v>-45.066000000000003</v>
      </c>
      <c r="DL1956" s="80">
        <v>470</v>
      </c>
      <c r="DM1956" s="64">
        <v>6</v>
      </c>
      <c r="DN1956" s="406" t="s">
        <v>6872</v>
      </c>
      <c r="DO1956" s="406">
        <v>-16.37</v>
      </c>
      <c r="DP1956" s="80">
        <v>460</v>
      </c>
    </row>
    <row r="1957" spans="29:120" x14ac:dyDescent="0.25">
      <c r="AC1957" s="122" t="s">
        <v>300</v>
      </c>
      <c r="AD1957" s="122" t="s">
        <v>2328</v>
      </c>
      <c r="AE1957" s="127">
        <v>8</v>
      </c>
      <c r="DA1957" s="122" t="s">
        <v>333</v>
      </c>
      <c r="DB1957" s="122" t="s">
        <v>7088</v>
      </c>
      <c r="DC1957" s="122" t="s">
        <v>2629</v>
      </c>
      <c r="DD1957" s="127">
        <v>5</v>
      </c>
      <c r="DE1957" s="127">
        <v>5</v>
      </c>
      <c r="DG1957" s="405" t="s">
        <v>333</v>
      </c>
      <c r="DH1957" s="406" t="s">
        <v>2629</v>
      </c>
      <c r="DI1957" s="406" t="str">
        <f t="shared" si="62"/>
        <v>MG, Ponto dos Volantes</v>
      </c>
      <c r="DJ1957" s="406">
        <v>-16.753</v>
      </c>
      <c r="DK1957" s="80">
        <v>-41.503999999999998</v>
      </c>
      <c r="DL1957" s="80">
        <v>400</v>
      </c>
      <c r="DM1957" s="64">
        <v>5</v>
      </c>
      <c r="DN1957" s="406" t="s">
        <v>6805</v>
      </c>
      <c r="DO1957" s="406">
        <v>-16.34</v>
      </c>
      <c r="DP1957" s="80">
        <v>266</v>
      </c>
    </row>
    <row r="1958" spans="29:120" x14ac:dyDescent="0.25">
      <c r="AC1958" s="122" t="s">
        <v>333</v>
      </c>
      <c r="AD1958" s="122" t="s">
        <v>2329</v>
      </c>
      <c r="AE1958" s="127">
        <v>2</v>
      </c>
      <c r="DA1958" s="122" t="s">
        <v>333</v>
      </c>
      <c r="DB1958" s="122" t="s">
        <v>2619</v>
      </c>
      <c r="DC1958" s="122" t="s">
        <v>2619</v>
      </c>
      <c r="DD1958" s="127">
        <v>6</v>
      </c>
      <c r="DE1958" s="127">
        <v>6</v>
      </c>
      <c r="DG1958" s="405" t="s">
        <v>333</v>
      </c>
      <c r="DH1958" s="406" t="s">
        <v>2619</v>
      </c>
      <c r="DI1958" s="406" t="str">
        <f t="shared" si="62"/>
        <v>MG, Porteirinha</v>
      </c>
      <c r="DJ1958" s="406">
        <v>-15.743</v>
      </c>
      <c r="DK1958" s="80">
        <v>-43.027999999999999</v>
      </c>
      <c r="DL1958" s="80">
        <v>566</v>
      </c>
      <c r="DM1958" s="64">
        <v>6</v>
      </c>
      <c r="DN1958" s="406" t="s">
        <v>6993</v>
      </c>
      <c r="DO1958" s="406">
        <v>-15.72</v>
      </c>
      <c r="DP1958" s="80">
        <v>853</v>
      </c>
    </row>
    <row r="1959" spans="29:120" x14ac:dyDescent="0.25">
      <c r="AC1959" s="122" t="s">
        <v>376</v>
      </c>
      <c r="AD1959" s="122" t="s">
        <v>2330</v>
      </c>
      <c r="AE1959" s="127">
        <v>4</v>
      </c>
      <c r="DA1959" s="122" t="s">
        <v>333</v>
      </c>
      <c r="DB1959" s="122" t="s">
        <v>7089</v>
      </c>
      <c r="DC1959" s="122" t="s">
        <v>664</v>
      </c>
      <c r="DD1959" s="127">
        <v>3</v>
      </c>
      <c r="DE1959" s="127">
        <v>3</v>
      </c>
      <c r="DG1959" s="405" t="s">
        <v>333</v>
      </c>
      <c r="DH1959" s="406" t="s">
        <v>664</v>
      </c>
      <c r="DI1959" s="406" t="str">
        <f t="shared" si="62"/>
        <v>MG, Porto Firme</v>
      </c>
      <c r="DJ1959" s="406">
        <v>-20.672999999999998</v>
      </c>
      <c r="DK1959" s="80">
        <v>-43.084000000000003</v>
      </c>
      <c r="DL1959" s="80">
        <v>595</v>
      </c>
      <c r="DM1959" s="64">
        <v>3</v>
      </c>
      <c r="DN1959" s="406" t="s">
        <v>6797</v>
      </c>
      <c r="DO1959" s="406">
        <v>-20.75</v>
      </c>
      <c r="DP1959" s="80">
        <v>712</v>
      </c>
    </row>
    <row r="1960" spans="29:120" x14ac:dyDescent="0.25">
      <c r="AC1960" s="122" t="s">
        <v>333</v>
      </c>
      <c r="AD1960" s="122" t="s">
        <v>2331</v>
      </c>
      <c r="AE1960" s="127">
        <v>3</v>
      </c>
      <c r="DA1960" s="122" t="s">
        <v>333</v>
      </c>
      <c r="DB1960" s="122" t="s">
        <v>1975</v>
      </c>
      <c r="DC1960" s="122" t="s">
        <v>1975</v>
      </c>
      <c r="DD1960" s="127">
        <v>5</v>
      </c>
      <c r="DE1960" s="127">
        <v>5</v>
      </c>
      <c r="DG1960" s="405" t="s">
        <v>333</v>
      </c>
      <c r="DH1960" s="406" t="s">
        <v>1975</v>
      </c>
      <c r="DI1960" s="406" t="str">
        <f t="shared" si="62"/>
        <v>MG, Poté</v>
      </c>
      <c r="DJ1960" s="406">
        <v>-17.806999999999999</v>
      </c>
      <c r="DK1960" s="80">
        <v>-41.786000000000001</v>
      </c>
      <c r="DL1960" s="80">
        <v>594</v>
      </c>
      <c r="DM1960" s="64">
        <v>5</v>
      </c>
      <c r="DN1960" s="406" t="s">
        <v>6835</v>
      </c>
      <c r="DO1960" s="406">
        <v>-17.86</v>
      </c>
      <c r="DP1960" s="80">
        <v>475</v>
      </c>
    </row>
    <row r="1961" spans="29:120" x14ac:dyDescent="0.25">
      <c r="AC1961" s="122" t="s">
        <v>322</v>
      </c>
      <c r="AD1961" s="122" t="s">
        <v>2332</v>
      </c>
      <c r="AE1961" s="127">
        <v>6</v>
      </c>
      <c r="DA1961" s="122" t="s">
        <v>333</v>
      </c>
      <c r="DB1961" s="122" t="s">
        <v>7090</v>
      </c>
      <c r="DC1961" s="122" t="s">
        <v>956</v>
      </c>
      <c r="DD1961" s="127">
        <v>2</v>
      </c>
      <c r="DE1961" s="127">
        <v>2</v>
      </c>
      <c r="DG1961" s="405" t="s">
        <v>333</v>
      </c>
      <c r="DH1961" s="406" t="s">
        <v>956</v>
      </c>
      <c r="DI1961" s="406" t="str">
        <f t="shared" si="62"/>
        <v>MG, Pouso Alegre</v>
      </c>
      <c r="DJ1961" s="406">
        <v>-22.23</v>
      </c>
      <c r="DK1961" s="80">
        <v>-45.936</v>
      </c>
      <c r="DL1961" s="80">
        <v>832</v>
      </c>
      <c r="DM1961" s="64">
        <v>2</v>
      </c>
      <c r="DN1961" s="406" t="s">
        <v>6823</v>
      </c>
      <c r="DO1961" s="406">
        <v>-21.92</v>
      </c>
      <c r="DP1961" s="80">
        <v>1150</v>
      </c>
    </row>
    <row r="1962" spans="29:120" x14ac:dyDescent="0.25">
      <c r="AC1962" s="122" t="s">
        <v>322</v>
      </c>
      <c r="AD1962" s="122" t="s">
        <v>2333</v>
      </c>
      <c r="AE1962" s="127">
        <v>6</v>
      </c>
      <c r="DA1962" s="122" t="s">
        <v>333</v>
      </c>
      <c r="DB1962" s="122" t="s">
        <v>7091</v>
      </c>
      <c r="DC1962" s="122" t="s">
        <v>984</v>
      </c>
      <c r="DD1962" s="127">
        <v>2</v>
      </c>
      <c r="DE1962" s="127">
        <v>2</v>
      </c>
      <c r="DG1962" s="405" t="s">
        <v>333</v>
      </c>
      <c r="DH1962" s="406" t="s">
        <v>984</v>
      </c>
      <c r="DI1962" s="406" t="str">
        <f t="shared" si="62"/>
        <v>MG, Pouso Alto</v>
      </c>
      <c r="DJ1962" s="406">
        <v>-22.193999999999999</v>
      </c>
      <c r="DK1962" s="80">
        <v>-44.972999999999999</v>
      </c>
      <c r="DL1962" s="80">
        <v>884</v>
      </c>
      <c r="DM1962" s="64">
        <v>2</v>
      </c>
      <c r="DN1962" s="406" t="s">
        <v>6837</v>
      </c>
      <c r="DO1962" s="406">
        <v>-22.39</v>
      </c>
      <c r="DP1962" s="80">
        <v>1040</v>
      </c>
    </row>
    <row r="1963" spans="29:120" x14ac:dyDescent="0.25">
      <c r="AC1963" s="122" t="s">
        <v>300</v>
      </c>
      <c r="AD1963" s="122" t="s">
        <v>2334</v>
      </c>
      <c r="AE1963" s="127">
        <v>5</v>
      </c>
      <c r="DA1963" s="122" t="s">
        <v>333</v>
      </c>
      <c r="DB1963" s="122" t="s">
        <v>665</v>
      </c>
      <c r="DC1963" s="122" t="s">
        <v>665</v>
      </c>
      <c r="DD1963" s="127">
        <v>2</v>
      </c>
      <c r="DE1963" s="127">
        <v>2</v>
      </c>
      <c r="DG1963" s="405" t="s">
        <v>333</v>
      </c>
      <c r="DH1963" s="406" t="s">
        <v>665</v>
      </c>
      <c r="DI1963" s="406" t="str">
        <f t="shared" si="62"/>
        <v>MG, Prados</v>
      </c>
      <c r="DJ1963" s="406">
        <v>-21.058</v>
      </c>
      <c r="DK1963" s="80">
        <v>-44.08</v>
      </c>
      <c r="DL1963" s="80">
        <v>979</v>
      </c>
      <c r="DM1963" s="64">
        <v>2</v>
      </c>
      <c r="DN1963" s="406" t="s">
        <v>6813</v>
      </c>
      <c r="DO1963" s="406">
        <v>-21.14</v>
      </c>
      <c r="DP1963" s="80">
        <v>991</v>
      </c>
    </row>
    <row r="1964" spans="29:120" x14ac:dyDescent="0.25">
      <c r="AC1964" s="122" t="s">
        <v>300</v>
      </c>
      <c r="AD1964" s="122" t="s">
        <v>2335</v>
      </c>
      <c r="AE1964" s="127">
        <v>5</v>
      </c>
      <c r="DA1964" s="122" t="s">
        <v>333</v>
      </c>
      <c r="DB1964" s="122" t="s">
        <v>2164</v>
      </c>
      <c r="DC1964" s="122" t="s">
        <v>2164</v>
      </c>
      <c r="DD1964" s="127">
        <v>6</v>
      </c>
      <c r="DE1964" s="127">
        <v>6</v>
      </c>
      <c r="DG1964" s="405" t="s">
        <v>333</v>
      </c>
      <c r="DH1964" s="406" t="s">
        <v>2164</v>
      </c>
      <c r="DI1964" s="406" t="str">
        <f t="shared" si="62"/>
        <v>MG, Prata</v>
      </c>
      <c r="DJ1964" s="406">
        <v>-19.306999999999999</v>
      </c>
      <c r="DK1964" s="80">
        <v>-48.923999999999999</v>
      </c>
      <c r="DL1964" s="80">
        <v>630</v>
      </c>
      <c r="DM1964" s="64">
        <v>6</v>
      </c>
      <c r="DN1964" s="406" t="s">
        <v>6566</v>
      </c>
      <c r="DO1964" s="406">
        <v>-18.97</v>
      </c>
      <c r="DP1964" s="80">
        <v>560</v>
      </c>
    </row>
    <row r="1965" spans="29:120" x14ac:dyDescent="0.25">
      <c r="AC1965" s="122" t="s">
        <v>336</v>
      </c>
      <c r="AD1965" s="122" t="s">
        <v>2336</v>
      </c>
      <c r="AE1965" s="127">
        <v>6</v>
      </c>
      <c r="DA1965" s="122" t="s">
        <v>333</v>
      </c>
      <c r="DB1965" s="122" t="s">
        <v>2894</v>
      </c>
      <c r="DC1965" s="122" t="s">
        <v>2894</v>
      </c>
      <c r="DD1965" s="127">
        <v>4</v>
      </c>
      <c r="DE1965" s="127">
        <v>4</v>
      </c>
      <c r="DG1965" s="405" t="s">
        <v>333</v>
      </c>
      <c r="DH1965" s="406" t="s">
        <v>2894</v>
      </c>
      <c r="DI1965" s="406" t="str">
        <f t="shared" si="62"/>
        <v>MG, Pratápolis</v>
      </c>
      <c r="DJ1965" s="406">
        <v>-20.745000000000001</v>
      </c>
      <c r="DK1965" s="80">
        <v>-46.860999999999997</v>
      </c>
      <c r="DL1965" s="80">
        <v>742</v>
      </c>
      <c r="DM1965" s="64">
        <v>4</v>
      </c>
      <c r="DN1965" s="406" t="s">
        <v>6815</v>
      </c>
      <c r="DO1965" s="406">
        <v>-20.75</v>
      </c>
      <c r="DP1965" s="80">
        <v>875</v>
      </c>
    </row>
    <row r="1966" spans="29:120" x14ac:dyDescent="0.25">
      <c r="AC1966" s="122" t="s">
        <v>333</v>
      </c>
      <c r="AD1966" s="122" t="s">
        <v>2337</v>
      </c>
      <c r="AE1966" s="127">
        <v>2</v>
      </c>
      <c r="DA1966" s="122" t="s">
        <v>333</v>
      </c>
      <c r="DB1966" s="122" t="s">
        <v>666</v>
      </c>
      <c r="DC1966" s="122" t="s">
        <v>666</v>
      </c>
      <c r="DD1966" s="127">
        <v>3</v>
      </c>
      <c r="DE1966" s="127">
        <v>3</v>
      </c>
      <c r="DG1966" s="405" t="s">
        <v>333</v>
      </c>
      <c r="DH1966" s="406" t="s">
        <v>666</v>
      </c>
      <c r="DI1966" s="406" t="str">
        <f t="shared" si="62"/>
        <v>MG, Pratinha</v>
      </c>
      <c r="DJ1966" s="406">
        <v>-19.751000000000001</v>
      </c>
      <c r="DK1966" s="80">
        <v>-46.378</v>
      </c>
      <c r="DL1966" s="80">
        <v>1162</v>
      </c>
      <c r="DM1966" s="64">
        <v>3</v>
      </c>
      <c r="DN1966" s="406" t="s">
        <v>6832</v>
      </c>
      <c r="DO1966" s="406">
        <v>-19.59</v>
      </c>
      <c r="DP1966" s="80">
        <v>1020</v>
      </c>
    </row>
    <row r="1967" spans="29:120" x14ac:dyDescent="0.25">
      <c r="AC1967" s="122" t="s">
        <v>322</v>
      </c>
      <c r="AD1967" s="122" t="s">
        <v>2338</v>
      </c>
      <c r="AE1967" s="127">
        <v>6</v>
      </c>
      <c r="DA1967" s="122" t="s">
        <v>333</v>
      </c>
      <c r="DB1967" s="122" t="s">
        <v>7092</v>
      </c>
      <c r="DC1967" s="122" t="s">
        <v>667</v>
      </c>
      <c r="DD1967" s="127">
        <v>3</v>
      </c>
      <c r="DE1967" s="127">
        <v>3</v>
      </c>
      <c r="DG1967" s="405" t="s">
        <v>333</v>
      </c>
      <c r="DH1967" s="406" t="s">
        <v>667</v>
      </c>
      <c r="DI1967" s="406" t="str">
        <f t="shared" si="62"/>
        <v>MG, Presidente Bernardes</v>
      </c>
      <c r="DJ1967" s="406">
        <v>-20.768999999999998</v>
      </c>
      <c r="DK1967" s="80">
        <v>-43.188000000000002</v>
      </c>
      <c r="DL1967" s="80">
        <v>591</v>
      </c>
      <c r="DM1967" s="64">
        <v>3</v>
      </c>
      <c r="DN1967" s="406" t="s">
        <v>6797</v>
      </c>
      <c r="DO1967" s="406">
        <v>-20.75</v>
      </c>
      <c r="DP1967" s="80">
        <v>712</v>
      </c>
    </row>
    <row r="1968" spans="29:120" x14ac:dyDescent="0.25">
      <c r="AC1968" s="122" t="s">
        <v>333</v>
      </c>
      <c r="AD1968" s="122" t="s">
        <v>2339</v>
      </c>
      <c r="AE1968" s="127">
        <v>4</v>
      </c>
      <c r="DA1968" s="122" t="s">
        <v>333</v>
      </c>
      <c r="DB1968" s="122" t="s">
        <v>6741</v>
      </c>
      <c r="DC1968" s="122" t="s">
        <v>2701</v>
      </c>
      <c r="DD1968" s="127">
        <v>3</v>
      </c>
      <c r="DE1968" s="127">
        <v>3</v>
      </c>
      <c r="DG1968" s="405" t="s">
        <v>333</v>
      </c>
      <c r="DH1968" s="406" t="s">
        <v>2701</v>
      </c>
      <c r="DI1968" s="406" t="str">
        <f t="shared" si="62"/>
        <v>MG, Presidente Juscelino</v>
      </c>
      <c r="DJ1968" s="406">
        <v>-18.637</v>
      </c>
      <c r="DK1968" s="80">
        <v>-44.058</v>
      </c>
      <c r="DL1968" s="80">
        <v>596</v>
      </c>
      <c r="DM1968" s="64">
        <v>3</v>
      </c>
      <c r="DN1968" s="406" t="s">
        <v>6828</v>
      </c>
      <c r="DO1968" s="406">
        <v>-18.760000000000002</v>
      </c>
      <c r="DP1968" s="80">
        <v>670</v>
      </c>
    </row>
    <row r="1969" spans="29:120" x14ac:dyDescent="0.25">
      <c r="AC1969" s="122" t="s">
        <v>348</v>
      </c>
      <c r="AD1969" s="122" t="s">
        <v>2340</v>
      </c>
      <c r="AE1969" s="127">
        <v>8</v>
      </c>
      <c r="DA1969" s="122" t="s">
        <v>333</v>
      </c>
      <c r="DB1969" s="122" t="s">
        <v>7093</v>
      </c>
      <c r="DC1969" s="122" t="s">
        <v>668</v>
      </c>
      <c r="DD1969" s="127">
        <v>3</v>
      </c>
      <c r="DE1969" s="127">
        <v>3</v>
      </c>
      <c r="DG1969" s="405" t="s">
        <v>333</v>
      </c>
      <c r="DH1969" s="406" t="s">
        <v>668</v>
      </c>
      <c r="DI1969" s="406" t="str">
        <f t="shared" si="62"/>
        <v>MG, Presidente Kubitschek</v>
      </c>
      <c r="DJ1969" s="406">
        <v>-18.614000000000001</v>
      </c>
      <c r="DK1969" s="80">
        <v>-43.561999999999998</v>
      </c>
      <c r="DL1969" s="80">
        <v>1109</v>
      </c>
      <c r="DM1969" s="64">
        <v>3</v>
      </c>
      <c r="DN1969" s="406" t="s">
        <v>6821</v>
      </c>
      <c r="DO1969" s="406">
        <v>-18.23</v>
      </c>
      <c r="DP1969" s="80">
        <v>1356</v>
      </c>
    </row>
    <row r="1970" spans="29:120" x14ac:dyDescent="0.25">
      <c r="AC1970" s="122" t="s">
        <v>336</v>
      </c>
      <c r="AD1970" s="122" t="s">
        <v>2341</v>
      </c>
      <c r="AE1970" s="127">
        <v>6</v>
      </c>
      <c r="DA1970" s="122" t="s">
        <v>333</v>
      </c>
      <c r="DB1970" s="122" t="s">
        <v>7094</v>
      </c>
      <c r="DC1970" s="122" t="s">
        <v>669</v>
      </c>
      <c r="DD1970" s="127">
        <v>6</v>
      </c>
      <c r="DE1970" s="127">
        <v>6</v>
      </c>
      <c r="DG1970" s="405" t="s">
        <v>333</v>
      </c>
      <c r="DH1970" s="406" t="s">
        <v>669</v>
      </c>
      <c r="DI1970" s="406" t="str">
        <f t="shared" si="62"/>
        <v>MG, Presidente Olegário</v>
      </c>
      <c r="DJ1970" s="406">
        <v>-18.417999999999999</v>
      </c>
      <c r="DK1970" s="80">
        <v>-46.417999999999999</v>
      </c>
      <c r="DL1970" s="80">
        <v>947</v>
      </c>
      <c r="DM1970" s="64">
        <v>6</v>
      </c>
      <c r="DN1970" s="406" t="s">
        <v>6870</v>
      </c>
      <c r="DO1970" s="406">
        <v>-17.78</v>
      </c>
      <c r="DP1970" s="80">
        <v>870</v>
      </c>
    </row>
    <row r="1971" spans="29:120" x14ac:dyDescent="0.25">
      <c r="AC1971" s="122" t="s">
        <v>358</v>
      </c>
      <c r="AD1971" s="122" t="s">
        <v>2342</v>
      </c>
      <c r="AE1971" s="127">
        <v>3</v>
      </c>
      <c r="DA1971" s="122" t="s">
        <v>333</v>
      </c>
      <c r="DB1971" s="122" t="s">
        <v>7095</v>
      </c>
      <c r="DC1971" s="122" t="s">
        <v>2813</v>
      </c>
      <c r="DD1971" s="127">
        <v>2</v>
      </c>
      <c r="DE1971" s="127">
        <v>2</v>
      </c>
      <c r="DG1971" s="405" t="s">
        <v>333</v>
      </c>
      <c r="DH1971" s="406" t="s">
        <v>2813</v>
      </c>
      <c r="DI1971" s="406" t="str">
        <f t="shared" si="62"/>
        <v>MG, Prudente de Morais</v>
      </c>
      <c r="DJ1971" s="406">
        <v>-19.481999999999999</v>
      </c>
      <c r="DK1971" s="80">
        <v>-44.155000000000001</v>
      </c>
      <c r="DL1971" s="80">
        <v>748</v>
      </c>
      <c r="DM1971" s="64">
        <v>2</v>
      </c>
      <c r="DN1971" s="406" t="s">
        <v>6838</v>
      </c>
      <c r="DO1971" s="406">
        <v>-19.82</v>
      </c>
      <c r="DP1971" s="80">
        <v>869</v>
      </c>
    </row>
    <row r="1972" spans="29:120" x14ac:dyDescent="0.25">
      <c r="AC1972" s="122" t="s">
        <v>348</v>
      </c>
      <c r="AD1972" s="122" t="s">
        <v>2343</v>
      </c>
      <c r="AE1972" s="127">
        <v>7</v>
      </c>
      <c r="DA1972" s="122" t="s">
        <v>333</v>
      </c>
      <c r="DB1972" s="122" t="s">
        <v>7096</v>
      </c>
      <c r="DC1972" s="122" t="s">
        <v>2896</v>
      </c>
      <c r="DD1972" s="127">
        <v>3</v>
      </c>
      <c r="DE1972" s="127">
        <v>3</v>
      </c>
      <c r="DG1972" s="405" t="s">
        <v>333</v>
      </c>
      <c r="DH1972" s="406" t="s">
        <v>2896</v>
      </c>
      <c r="DI1972" s="406" t="str">
        <f t="shared" si="62"/>
        <v>MG, Quartel Geral</v>
      </c>
      <c r="DJ1972" s="406">
        <v>-19.274000000000001</v>
      </c>
      <c r="DK1972" s="80">
        <v>-45.557000000000002</v>
      </c>
      <c r="DL1972" s="80">
        <v>681</v>
      </c>
      <c r="DM1972" s="64">
        <v>3</v>
      </c>
      <c r="DN1972" s="406" t="s">
        <v>6795</v>
      </c>
      <c r="DO1972" s="406">
        <v>-19.46</v>
      </c>
      <c r="DP1972" s="80">
        <v>722</v>
      </c>
    </row>
    <row r="1973" spans="29:120" x14ac:dyDescent="0.25">
      <c r="AC1973" s="122" t="s">
        <v>289</v>
      </c>
      <c r="AD1973" s="122" t="s">
        <v>2344</v>
      </c>
      <c r="AE1973" s="127">
        <v>8</v>
      </c>
      <c r="DA1973" s="122" t="s">
        <v>333</v>
      </c>
      <c r="DB1973" s="122" t="s">
        <v>670</v>
      </c>
      <c r="DC1973" s="122" t="s">
        <v>670</v>
      </c>
      <c r="DD1973" s="127">
        <v>2</v>
      </c>
      <c r="DE1973" s="127">
        <v>2</v>
      </c>
      <c r="DG1973" s="405" t="s">
        <v>333</v>
      </c>
      <c r="DH1973" s="406" t="s">
        <v>5798</v>
      </c>
      <c r="DI1973" s="406" t="str">
        <f t="shared" si="62"/>
        <v>MG, Queluzito</v>
      </c>
      <c r="DJ1973" s="406">
        <v>-20.74</v>
      </c>
      <c r="DK1973" s="80">
        <v>-43.884</v>
      </c>
      <c r="DL1973" s="80">
        <v>952</v>
      </c>
      <c r="DM1973" s="64">
        <v>2</v>
      </c>
      <c r="DN1973" s="406" t="s">
        <v>6848</v>
      </c>
      <c r="DO1973" s="406">
        <v>-20.52</v>
      </c>
      <c r="DP1973" s="80">
        <v>1061</v>
      </c>
    </row>
    <row r="1974" spans="29:120" x14ac:dyDescent="0.25">
      <c r="AC1974" s="122" t="s">
        <v>289</v>
      </c>
      <c r="AD1974" s="122" t="s">
        <v>2345</v>
      </c>
      <c r="AE1974" s="127">
        <v>8</v>
      </c>
      <c r="DA1974" s="122" t="s">
        <v>333</v>
      </c>
      <c r="DB1974" s="122" t="s">
        <v>2088</v>
      </c>
      <c r="DC1974" s="122" t="s">
        <v>2088</v>
      </c>
      <c r="DD1974" s="127">
        <v>2</v>
      </c>
      <c r="DE1974" s="127">
        <v>2</v>
      </c>
      <c r="DG1974" s="405" t="s">
        <v>333</v>
      </c>
      <c r="DH1974" s="406" t="s">
        <v>2088</v>
      </c>
      <c r="DI1974" s="406" t="str">
        <f t="shared" si="62"/>
        <v>MG, Raposos</v>
      </c>
      <c r="DJ1974" s="406">
        <v>-19.966999999999999</v>
      </c>
      <c r="DK1974" s="80">
        <v>-43.804000000000002</v>
      </c>
      <c r="DL1974" s="80">
        <v>732</v>
      </c>
      <c r="DM1974" s="64">
        <v>2</v>
      </c>
      <c r="DN1974" s="406" t="s">
        <v>6838</v>
      </c>
      <c r="DO1974" s="406">
        <v>-19.82</v>
      </c>
      <c r="DP1974" s="80">
        <v>869</v>
      </c>
    </row>
    <row r="1975" spans="29:120" x14ac:dyDescent="0.25">
      <c r="AC1975" s="122" t="s">
        <v>289</v>
      </c>
      <c r="AD1975" s="122" t="s">
        <v>2346</v>
      </c>
      <c r="AE1975" s="127">
        <v>8</v>
      </c>
      <c r="DA1975" s="122" t="s">
        <v>333</v>
      </c>
      <c r="DB1975" s="122" t="s">
        <v>7097</v>
      </c>
      <c r="DC1975" s="122" t="s">
        <v>2077</v>
      </c>
      <c r="DD1975" s="127">
        <v>3</v>
      </c>
      <c r="DE1975" s="127">
        <v>3</v>
      </c>
      <c r="DG1975" s="405" t="s">
        <v>333</v>
      </c>
      <c r="DH1975" s="406" t="s">
        <v>2077</v>
      </c>
      <c r="DI1975" s="406" t="str">
        <f t="shared" si="62"/>
        <v>MG, Raul Soares</v>
      </c>
      <c r="DJ1975" s="406">
        <v>-20.102</v>
      </c>
      <c r="DK1975" s="80">
        <v>-42.453000000000003</v>
      </c>
      <c r="DL1975" s="80">
        <v>294</v>
      </c>
      <c r="DM1975" s="64">
        <v>3</v>
      </c>
      <c r="DN1975" s="406" t="s">
        <v>6819</v>
      </c>
      <c r="DO1975" s="406">
        <v>-19.79</v>
      </c>
      <c r="DP1975" s="80">
        <v>615</v>
      </c>
    </row>
    <row r="1976" spans="29:120" x14ac:dyDescent="0.25">
      <c r="AC1976" s="122" t="s">
        <v>333</v>
      </c>
      <c r="AD1976" s="122" t="s">
        <v>2347</v>
      </c>
      <c r="AE1976" s="127">
        <v>4</v>
      </c>
      <c r="DA1976" s="122" t="s">
        <v>333</v>
      </c>
      <c r="DB1976" s="122" t="s">
        <v>3296</v>
      </c>
      <c r="DC1976" s="122" t="s">
        <v>3296</v>
      </c>
      <c r="DD1976" s="127">
        <v>3</v>
      </c>
      <c r="DE1976" s="127">
        <v>3</v>
      </c>
      <c r="DG1976" s="405" t="s">
        <v>333</v>
      </c>
      <c r="DH1976" s="406" t="s">
        <v>3296</v>
      </c>
      <c r="DI1976" s="406" t="str">
        <f t="shared" si="62"/>
        <v>MG, Recreio</v>
      </c>
      <c r="DJ1976" s="406">
        <v>-21.524999999999999</v>
      </c>
      <c r="DK1976" s="80">
        <v>-42.469000000000001</v>
      </c>
      <c r="DL1976" s="80">
        <v>193</v>
      </c>
      <c r="DM1976" s="64">
        <v>3</v>
      </c>
      <c r="DN1976" s="406" t="s">
        <v>6827</v>
      </c>
      <c r="DO1976" s="406">
        <v>-21.13</v>
      </c>
      <c r="DP1976" s="80">
        <v>297</v>
      </c>
    </row>
    <row r="1977" spans="29:120" x14ac:dyDescent="0.25">
      <c r="AC1977" s="122" t="s">
        <v>300</v>
      </c>
      <c r="AD1977" s="122" t="s">
        <v>2348</v>
      </c>
      <c r="AE1977" s="127">
        <v>5</v>
      </c>
      <c r="DA1977" s="122" t="s">
        <v>333</v>
      </c>
      <c r="DB1977" s="122" t="s">
        <v>901</v>
      </c>
      <c r="DC1977" s="122" t="s">
        <v>901</v>
      </c>
      <c r="DD1977" s="127">
        <v>2</v>
      </c>
      <c r="DE1977" s="127">
        <v>2</v>
      </c>
      <c r="DG1977" s="405" t="s">
        <v>333</v>
      </c>
      <c r="DH1977" s="406" t="s">
        <v>901</v>
      </c>
      <c r="DI1977" s="406" t="str">
        <f t="shared" si="62"/>
        <v>MG, Reduto</v>
      </c>
      <c r="DJ1977" s="406">
        <v>-20.239999999999998</v>
      </c>
      <c r="DK1977" s="80">
        <v>-41.982999999999997</v>
      </c>
      <c r="DL1977" s="80">
        <v>610</v>
      </c>
      <c r="DM1977" s="64">
        <v>2</v>
      </c>
      <c r="DN1977" s="406" t="s">
        <v>6819</v>
      </c>
      <c r="DO1977" s="406">
        <v>-19.79</v>
      </c>
      <c r="DP1977" s="80">
        <v>615</v>
      </c>
    </row>
    <row r="1978" spans="29:120" x14ac:dyDescent="0.25">
      <c r="AC1978" s="122" t="s">
        <v>289</v>
      </c>
      <c r="AD1978" s="122" t="s">
        <v>2349</v>
      </c>
      <c r="AE1978" s="127">
        <v>8</v>
      </c>
      <c r="DA1978" s="122" t="s">
        <v>333</v>
      </c>
      <c r="DB1978" s="122" t="s">
        <v>7098</v>
      </c>
      <c r="DC1978" s="122" t="s">
        <v>671</v>
      </c>
      <c r="DD1978" s="127">
        <v>2</v>
      </c>
      <c r="DE1978" s="127">
        <v>2</v>
      </c>
      <c r="DG1978" s="405" t="s">
        <v>333</v>
      </c>
      <c r="DH1978" s="406" t="s">
        <v>671</v>
      </c>
      <c r="DI1978" s="406" t="str">
        <f t="shared" si="62"/>
        <v>MG, Resende Costa</v>
      </c>
      <c r="DJ1978" s="406">
        <v>-20.922000000000001</v>
      </c>
      <c r="DK1978" s="80">
        <v>-44.238</v>
      </c>
      <c r="DL1978" s="80">
        <v>1032</v>
      </c>
      <c r="DM1978" s="64">
        <v>2</v>
      </c>
      <c r="DN1978" s="406" t="s">
        <v>6813</v>
      </c>
      <c r="DO1978" s="406">
        <v>-21.14</v>
      </c>
      <c r="DP1978" s="80">
        <v>991</v>
      </c>
    </row>
    <row r="1979" spans="29:120" x14ac:dyDescent="0.25">
      <c r="AC1979" s="122" t="s">
        <v>300</v>
      </c>
      <c r="AD1979" s="122" t="s">
        <v>2350</v>
      </c>
      <c r="AE1979" s="127">
        <v>5</v>
      </c>
      <c r="DA1979" s="122" t="s">
        <v>333</v>
      </c>
      <c r="DB1979" s="122" t="s">
        <v>1930</v>
      </c>
      <c r="DC1979" s="122" t="s">
        <v>1930</v>
      </c>
      <c r="DD1979" s="127">
        <v>5</v>
      </c>
      <c r="DE1979" s="127">
        <v>5</v>
      </c>
      <c r="DG1979" s="405" t="s">
        <v>333</v>
      </c>
      <c r="DH1979" s="406" t="s">
        <v>1930</v>
      </c>
      <c r="DI1979" s="406" t="str">
        <f t="shared" si="62"/>
        <v>MG, Resplendor</v>
      </c>
      <c r="DJ1979" s="406">
        <v>-19.326000000000001</v>
      </c>
      <c r="DK1979" s="80">
        <v>-41.255000000000003</v>
      </c>
      <c r="DL1979" s="80">
        <v>100</v>
      </c>
      <c r="DM1979" s="64">
        <v>5</v>
      </c>
      <c r="DN1979" s="406" t="s">
        <v>6465</v>
      </c>
      <c r="DO1979" s="406">
        <v>-19.5</v>
      </c>
      <c r="DP1979" s="80">
        <v>84</v>
      </c>
    </row>
    <row r="1980" spans="29:120" x14ac:dyDescent="0.25">
      <c r="AC1980" s="122" t="s">
        <v>336</v>
      </c>
      <c r="AD1980" s="122" t="s">
        <v>2351</v>
      </c>
      <c r="AE1980" s="127">
        <v>6</v>
      </c>
      <c r="DA1980" s="122" t="s">
        <v>333</v>
      </c>
      <c r="DB1980" s="122" t="s">
        <v>672</v>
      </c>
      <c r="DC1980" s="122" t="s">
        <v>672</v>
      </c>
      <c r="DD1980" s="127">
        <v>3</v>
      </c>
      <c r="DE1980" s="127">
        <v>3</v>
      </c>
      <c r="DG1980" s="405" t="s">
        <v>333</v>
      </c>
      <c r="DH1980" s="406" t="s">
        <v>672</v>
      </c>
      <c r="DI1980" s="406" t="str">
        <f t="shared" si="62"/>
        <v>MG, Ressaquinha</v>
      </c>
      <c r="DJ1980" s="406">
        <v>-21.062999999999999</v>
      </c>
      <c r="DK1980" s="80">
        <v>-43.762999999999998</v>
      </c>
      <c r="DL1980" s="80">
        <v>1123</v>
      </c>
      <c r="DM1980" s="64">
        <v>3</v>
      </c>
      <c r="DN1980" s="406" t="s">
        <v>6813</v>
      </c>
      <c r="DO1980" s="406">
        <v>-21.14</v>
      </c>
      <c r="DP1980" s="80">
        <v>991</v>
      </c>
    </row>
    <row r="1981" spans="29:120" x14ac:dyDescent="0.25">
      <c r="AC1981" s="122" t="s">
        <v>322</v>
      </c>
      <c r="AD1981" s="122" t="s">
        <v>2352</v>
      </c>
      <c r="AE1981" s="127">
        <v>6</v>
      </c>
      <c r="DA1981" s="122" t="s">
        <v>333</v>
      </c>
      <c r="DB1981" s="122" t="s">
        <v>4975</v>
      </c>
      <c r="DC1981" s="122" t="s">
        <v>4975</v>
      </c>
      <c r="DD1981" s="127">
        <v>6</v>
      </c>
      <c r="DE1981" s="127">
        <v>6</v>
      </c>
      <c r="DG1981" s="405" t="s">
        <v>333</v>
      </c>
      <c r="DH1981" s="406" t="s">
        <v>4975</v>
      </c>
      <c r="DI1981" s="406" t="str">
        <f t="shared" si="62"/>
        <v>MG, Riachinho</v>
      </c>
      <c r="DJ1981" s="406">
        <v>-16.23</v>
      </c>
      <c r="DK1981" s="80">
        <v>-45.991999999999997</v>
      </c>
      <c r="DL1981" s="80">
        <v>550</v>
      </c>
      <c r="DM1981" s="64">
        <v>6</v>
      </c>
      <c r="DN1981" s="406" t="s">
        <v>6539</v>
      </c>
      <c r="DO1981" s="406">
        <v>-15.62</v>
      </c>
      <c r="DP1981" s="80">
        <v>894</v>
      </c>
    </row>
    <row r="1982" spans="29:120" x14ac:dyDescent="0.25">
      <c r="AC1982" s="122" t="s">
        <v>333</v>
      </c>
      <c r="AD1982" s="122" t="s">
        <v>2353</v>
      </c>
      <c r="AE1982" s="127">
        <v>2</v>
      </c>
      <c r="DA1982" s="122" t="s">
        <v>333</v>
      </c>
      <c r="DB1982" s="122" t="s">
        <v>7099</v>
      </c>
      <c r="DC1982" s="122" t="s">
        <v>2632</v>
      </c>
      <c r="DD1982" s="127">
        <v>3</v>
      </c>
      <c r="DE1982" s="127">
        <v>3</v>
      </c>
      <c r="DG1982" s="405" t="s">
        <v>333</v>
      </c>
      <c r="DH1982" s="406" t="s">
        <v>2632</v>
      </c>
      <c r="DI1982" s="406" t="str">
        <f t="shared" si="62"/>
        <v>MG, Riacho dos Machados</v>
      </c>
      <c r="DJ1982" s="406">
        <v>-16.006</v>
      </c>
      <c r="DK1982" s="80">
        <v>-43.048999999999999</v>
      </c>
      <c r="DL1982" s="80">
        <v>821</v>
      </c>
      <c r="DM1982" s="64">
        <v>3</v>
      </c>
      <c r="DN1982" s="406" t="s">
        <v>6993</v>
      </c>
      <c r="DO1982" s="406">
        <v>-15.72</v>
      </c>
      <c r="DP1982" s="80">
        <v>853</v>
      </c>
    </row>
    <row r="1983" spans="29:120" x14ac:dyDescent="0.25">
      <c r="AC1983" s="122" t="s">
        <v>289</v>
      </c>
      <c r="AD1983" s="122" t="s">
        <v>2354</v>
      </c>
      <c r="AE1983" s="127">
        <v>7</v>
      </c>
      <c r="DA1983" s="122" t="s">
        <v>333</v>
      </c>
      <c r="DB1983" s="122" t="s">
        <v>7100</v>
      </c>
      <c r="DC1983" s="122" t="s">
        <v>2197</v>
      </c>
      <c r="DD1983" s="127">
        <v>2</v>
      </c>
      <c r="DE1983" s="127">
        <v>2</v>
      </c>
      <c r="DG1983" s="405" t="s">
        <v>333</v>
      </c>
      <c r="DH1983" s="406" t="s">
        <v>2197</v>
      </c>
      <c r="DI1983" s="406" t="str">
        <f t="shared" si="62"/>
        <v>MG, Ribeirão das Neves</v>
      </c>
      <c r="DJ1983" s="406">
        <v>-19.766999999999999</v>
      </c>
      <c r="DK1983" s="80">
        <v>-44.087000000000003</v>
      </c>
      <c r="DL1983" s="80">
        <v>800</v>
      </c>
      <c r="DM1983" s="64">
        <v>2</v>
      </c>
      <c r="DN1983" s="406" t="s">
        <v>6838</v>
      </c>
      <c r="DO1983" s="406">
        <v>-19.82</v>
      </c>
      <c r="DP1983" s="80">
        <v>869</v>
      </c>
    </row>
    <row r="1984" spans="29:120" x14ac:dyDescent="0.25">
      <c r="AC1984" s="122" t="s">
        <v>336</v>
      </c>
      <c r="AD1984" s="122" t="s">
        <v>2355</v>
      </c>
      <c r="AE1984" s="127">
        <v>6</v>
      </c>
      <c r="DA1984" s="122" t="s">
        <v>333</v>
      </c>
      <c r="DB1984" s="122" t="s">
        <v>7101</v>
      </c>
      <c r="DC1984" s="122" t="s">
        <v>2193</v>
      </c>
      <c r="DD1984" s="127">
        <v>3</v>
      </c>
      <c r="DE1984" s="127">
        <v>3</v>
      </c>
      <c r="DG1984" s="405" t="s">
        <v>333</v>
      </c>
      <c r="DH1984" s="406" t="s">
        <v>2193</v>
      </c>
      <c r="DI1984" s="406" t="str">
        <f t="shared" si="62"/>
        <v>MG, Ribeirão Vermelho</v>
      </c>
      <c r="DJ1984" s="406">
        <v>-21.190999999999999</v>
      </c>
      <c r="DK1984" s="80">
        <v>-45.061999999999998</v>
      </c>
      <c r="DL1984" s="80">
        <v>808</v>
      </c>
      <c r="DM1984" s="64">
        <v>3</v>
      </c>
      <c r="DN1984" s="406" t="s">
        <v>6811</v>
      </c>
      <c r="DO1984" s="406">
        <v>-21.55</v>
      </c>
      <c r="DP1984" s="80">
        <v>955</v>
      </c>
    </row>
    <row r="1985" spans="29:120" x14ac:dyDescent="0.25">
      <c r="AC1985" s="122" t="s">
        <v>322</v>
      </c>
      <c r="AD1985" s="122" t="s">
        <v>2356</v>
      </c>
      <c r="AE1985" s="127">
        <v>6</v>
      </c>
      <c r="DA1985" s="122" t="s">
        <v>333</v>
      </c>
      <c r="DB1985" s="122" t="s">
        <v>7102</v>
      </c>
      <c r="DC1985" s="122" t="s">
        <v>567</v>
      </c>
      <c r="DD1985" s="127">
        <v>2</v>
      </c>
      <c r="DE1985" s="127">
        <v>2</v>
      </c>
      <c r="DG1985" s="405" t="s">
        <v>333</v>
      </c>
      <c r="DH1985" s="406" t="s">
        <v>567</v>
      </c>
      <c r="DI1985" s="406" t="str">
        <f t="shared" si="62"/>
        <v>MG, Rio Acima</v>
      </c>
      <c r="DJ1985" s="406">
        <v>-20.088000000000001</v>
      </c>
      <c r="DK1985" s="80">
        <v>-43.789000000000001</v>
      </c>
      <c r="DL1985" s="80">
        <v>740</v>
      </c>
      <c r="DM1985" s="64">
        <v>2</v>
      </c>
      <c r="DN1985" s="406" t="s">
        <v>6849</v>
      </c>
      <c r="DO1985" s="406">
        <v>-20.03</v>
      </c>
      <c r="DP1985" s="80">
        <v>1208</v>
      </c>
    </row>
    <row r="1986" spans="29:120" x14ac:dyDescent="0.25">
      <c r="AC1986" s="122" t="s">
        <v>348</v>
      </c>
      <c r="AD1986" s="122" t="s">
        <v>2357</v>
      </c>
      <c r="AE1986" s="127">
        <v>7</v>
      </c>
      <c r="DA1986" s="122" t="s">
        <v>333</v>
      </c>
      <c r="DB1986" s="122" t="s">
        <v>7103</v>
      </c>
      <c r="DC1986" s="122" t="s">
        <v>522</v>
      </c>
      <c r="DD1986" s="127">
        <v>3</v>
      </c>
      <c r="DE1986" s="127">
        <v>3</v>
      </c>
      <c r="DG1986" s="405" t="s">
        <v>333</v>
      </c>
      <c r="DH1986" s="406" t="s">
        <v>522</v>
      </c>
      <c r="DI1986" s="406" t="str">
        <f t="shared" si="62"/>
        <v>MG, Rio Casca</v>
      </c>
      <c r="DJ1986" s="406">
        <v>-20.225999999999999</v>
      </c>
      <c r="DK1986" s="80">
        <v>-42.651000000000003</v>
      </c>
      <c r="DL1986" s="80">
        <v>333</v>
      </c>
      <c r="DM1986" s="64">
        <v>3</v>
      </c>
      <c r="DN1986" s="406" t="s">
        <v>6797</v>
      </c>
      <c r="DO1986" s="406">
        <v>-20.75</v>
      </c>
      <c r="DP1986" s="80">
        <v>712</v>
      </c>
    </row>
    <row r="1987" spans="29:120" x14ac:dyDescent="0.25">
      <c r="AC1987" s="122" t="s">
        <v>336</v>
      </c>
      <c r="AD1987" s="122" t="s">
        <v>2358</v>
      </c>
      <c r="AE1987" s="127">
        <v>6</v>
      </c>
      <c r="DA1987" s="122" t="s">
        <v>333</v>
      </c>
      <c r="DB1987" s="122" t="s">
        <v>7104</v>
      </c>
      <c r="DC1987" s="122" t="s">
        <v>1819</v>
      </c>
      <c r="DD1987" s="127">
        <v>5</v>
      </c>
      <c r="DE1987" s="127">
        <v>5</v>
      </c>
      <c r="DG1987" s="405" t="s">
        <v>333</v>
      </c>
      <c r="DH1987" s="406" t="s">
        <v>1819</v>
      </c>
      <c r="DI1987" s="406" t="str">
        <f t="shared" ref="DI1987:DI2050" si="63">CONCATENATE(DG1987,", ",DH1987)</f>
        <v>MG, Rio do Prado</v>
      </c>
      <c r="DJ1987" s="406">
        <v>-16.608000000000001</v>
      </c>
      <c r="DK1987" s="80">
        <v>-40.57</v>
      </c>
      <c r="DL1987" s="80">
        <v>350</v>
      </c>
      <c r="DM1987" s="64">
        <v>5</v>
      </c>
      <c r="DN1987" s="406" t="s">
        <v>6295</v>
      </c>
      <c r="DO1987" s="406">
        <v>-16.18</v>
      </c>
      <c r="DP1987" s="80">
        <v>208</v>
      </c>
    </row>
    <row r="1988" spans="29:120" x14ac:dyDescent="0.25">
      <c r="AC1988" s="122" t="s">
        <v>289</v>
      </c>
      <c r="AD1988" s="122" t="s">
        <v>2359</v>
      </c>
      <c r="AE1988" s="127">
        <v>7</v>
      </c>
      <c r="DA1988" s="122" t="s">
        <v>333</v>
      </c>
      <c r="DB1988" s="122" t="s">
        <v>7105</v>
      </c>
      <c r="DC1988" s="122" t="s">
        <v>505</v>
      </c>
      <c r="DD1988" s="127">
        <v>3</v>
      </c>
      <c r="DE1988" s="127">
        <v>3</v>
      </c>
      <c r="DG1988" s="405" t="s">
        <v>333</v>
      </c>
      <c r="DH1988" s="406" t="s">
        <v>505</v>
      </c>
      <c r="DI1988" s="406" t="str">
        <f t="shared" si="63"/>
        <v>MG, Rio Doce</v>
      </c>
      <c r="DJ1988" s="406">
        <v>-20.242000000000001</v>
      </c>
      <c r="DK1988" s="80">
        <v>-42.906999999999996</v>
      </c>
      <c r="DL1988" s="80">
        <v>380</v>
      </c>
      <c r="DM1988" s="64">
        <v>3</v>
      </c>
      <c r="DN1988" s="406" t="s">
        <v>6797</v>
      </c>
      <c r="DO1988" s="406">
        <v>-20.75</v>
      </c>
      <c r="DP1988" s="80">
        <v>712</v>
      </c>
    </row>
    <row r="1989" spans="29:120" x14ac:dyDescent="0.25">
      <c r="AC1989" s="122" t="s">
        <v>323</v>
      </c>
      <c r="AD1989" s="122" t="s">
        <v>2360</v>
      </c>
      <c r="AE1989" s="127">
        <v>8</v>
      </c>
      <c r="DA1989" s="122" t="s">
        <v>333</v>
      </c>
      <c r="DB1989" s="122" t="s">
        <v>7106</v>
      </c>
      <c r="DC1989" s="122" t="s">
        <v>673</v>
      </c>
      <c r="DD1989" s="127">
        <v>3</v>
      </c>
      <c r="DE1989" s="127">
        <v>3</v>
      </c>
      <c r="DG1989" s="405" t="s">
        <v>333</v>
      </c>
      <c r="DH1989" s="406" t="s">
        <v>673</v>
      </c>
      <c r="DI1989" s="406" t="str">
        <f t="shared" si="63"/>
        <v>MG, Rio Espera</v>
      </c>
      <c r="DJ1989" s="406">
        <v>-20.855</v>
      </c>
      <c r="DK1989" s="80">
        <v>-43.473999999999997</v>
      </c>
      <c r="DL1989" s="80">
        <v>712</v>
      </c>
      <c r="DM1989" s="64">
        <v>3</v>
      </c>
      <c r="DN1989" s="406" t="s">
        <v>6848</v>
      </c>
      <c r="DO1989" s="406">
        <v>-20.52</v>
      </c>
      <c r="DP1989" s="80">
        <v>1061</v>
      </c>
    </row>
    <row r="1990" spans="29:120" x14ac:dyDescent="0.25">
      <c r="AC1990" s="122" t="s">
        <v>322</v>
      </c>
      <c r="AD1990" s="122" t="s">
        <v>2361</v>
      </c>
      <c r="AE1990" s="127">
        <v>6</v>
      </c>
      <c r="DA1990" s="122" t="s">
        <v>333</v>
      </c>
      <c r="DB1990" s="122" t="s">
        <v>7107</v>
      </c>
      <c r="DC1990" s="122" t="s">
        <v>674</v>
      </c>
      <c r="DD1990" s="127">
        <v>2</v>
      </c>
      <c r="DE1990" s="127">
        <v>2</v>
      </c>
      <c r="DG1990" s="405" t="s">
        <v>333</v>
      </c>
      <c r="DH1990" s="406" t="s">
        <v>674</v>
      </c>
      <c r="DI1990" s="406" t="str">
        <f t="shared" si="63"/>
        <v>MG, Rio Manso</v>
      </c>
      <c r="DJ1990" s="406">
        <v>-20.265000000000001</v>
      </c>
      <c r="DK1990" s="80">
        <v>-44.308</v>
      </c>
      <c r="DL1990" s="80">
        <v>890</v>
      </c>
      <c r="DM1990" s="64">
        <v>2</v>
      </c>
      <c r="DN1990" s="406" t="s">
        <v>6849</v>
      </c>
      <c r="DO1990" s="406">
        <v>-20.03</v>
      </c>
      <c r="DP1990" s="80">
        <v>1208</v>
      </c>
    </row>
    <row r="1991" spans="29:120" x14ac:dyDescent="0.25">
      <c r="AC1991" s="122" t="s">
        <v>340</v>
      </c>
      <c r="AD1991" s="122" t="s">
        <v>2362</v>
      </c>
      <c r="AE1991" s="127">
        <v>5</v>
      </c>
      <c r="DA1991" s="122" t="s">
        <v>333</v>
      </c>
      <c r="DB1991" s="122" t="s">
        <v>7108</v>
      </c>
      <c r="DC1991" s="122" t="s">
        <v>3730</v>
      </c>
      <c r="DD1991" s="127">
        <v>3</v>
      </c>
      <c r="DE1991" s="127">
        <v>3</v>
      </c>
      <c r="DG1991" s="405" t="s">
        <v>333</v>
      </c>
      <c r="DH1991" s="406" t="s">
        <v>3730</v>
      </c>
      <c r="DI1991" s="406" t="str">
        <f t="shared" si="63"/>
        <v>MG, Rio Novo</v>
      </c>
      <c r="DJ1991" s="406">
        <v>-21.457999999999998</v>
      </c>
      <c r="DK1991" s="80">
        <v>-43.125</v>
      </c>
      <c r="DL1991" s="80">
        <v>418</v>
      </c>
      <c r="DM1991" s="64">
        <v>3</v>
      </c>
      <c r="DN1991" s="406" t="s">
        <v>6829</v>
      </c>
      <c r="DO1991" s="406">
        <v>-21.76</v>
      </c>
      <c r="DP1991" s="80">
        <v>950</v>
      </c>
    </row>
    <row r="1992" spans="29:120" x14ac:dyDescent="0.25">
      <c r="AC1992" s="122" t="s">
        <v>333</v>
      </c>
      <c r="AD1992" s="122" t="s">
        <v>2363</v>
      </c>
      <c r="AE1992" s="127">
        <v>3</v>
      </c>
      <c r="DA1992" s="122" t="s">
        <v>333</v>
      </c>
      <c r="DB1992" s="122" t="s">
        <v>7109</v>
      </c>
      <c r="DC1992" s="122" t="s">
        <v>500</v>
      </c>
      <c r="DD1992" s="127">
        <v>3</v>
      </c>
      <c r="DE1992" s="127">
        <v>3</v>
      </c>
      <c r="DG1992" s="405" t="s">
        <v>333</v>
      </c>
      <c r="DH1992" s="406" t="s">
        <v>500</v>
      </c>
      <c r="DI1992" s="406" t="str">
        <f t="shared" si="63"/>
        <v>MG, Rio Paranaíba</v>
      </c>
      <c r="DJ1992" s="406">
        <v>-19.193999999999999</v>
      </c>
      <c r="DK1992" s="80">
        <v>-46.247</v>
      </c>
      <c r="DL1992" s="80">
        <v>1067</v>
      </c>
      <c r="DM1992" s="64">
        <v>3</v>
      </c>
      <c r="DN1992" s="406" t="s">
        <v>6795</v>
      </c>
      <c r="DO1992" s="406">
        <v>-19.46</v>
      </c>
      <c r="DP1992" s="80">
        <v>722</v>
      </c>
    </row>
    <row r="1993" spans="29:120" x14ac:dyDescent="0.25">
      <c r="AC1993" s="122" t="s">
        <v>322</v>
      </c>
      <c r="AD1993" s="122" t="s">
        <v>2364</v>
      </c>
      <c r="AE1993" s="127">
        <v>6</v>
      </c>
      <c r="DA1993" s="122" t="s">
        <v>333</v>
      </c>
      <c r="DB1993" s="122" t="s">
        <v>7110</v>
      </c>
      <c r="DC1993" s="122" t="s">
        <v>2679</v>
      </c>
      <c r="DD1993" s="127">
        <v>5</v>
      </c>
      <c r="DE1993" s="127">
        <v>5</v>
      </c>
      <c r="DG1993" s="405" t="s">
        <v>333</v>
      </c>
      <c r="DH1993" s="406" t="s">
        <v>2679</v>
      </c>
      <c r="DI1993" s="406" t="str">
        <f t="shared" si="63"/>
        <v>MG, Rio Pardo de Minas</v>
      </c>
      <c r="DJ1993" s="406">
        <v>-15.61</v>
      </c>
      <c r="DK1993" s="80">
        <v>-42.54</v>
      </c>
      <c r="DL1993" s="80">
        <v>755</v>
      </c>
      <c r="DM1993" s="64">
        <v>5</v>
      </c>
      <c r="DN1993" s="406" t="s">
        <v>6993</v>
      </c>
      <c r="DO1993" s="406">
        <v>-15.72</v>
      </c>
      <c r="DP1993" s="80">
        <v>853</v>
      </c>
    </row>
    <row r="1994" spans="29:120" x14ac:dyDescent="0.25">
      <c r="AC1994" s="122" t="s">
        <v>322</v>
      </c>
      <c r="AD1994" s="122" t="s">
        <v>2365</v>
      </c>
      <c r="AE1994" s="127">
        <v>6</v>
      </c>
      <c r="DA1994" s="122" t="s">
        <v>333</v>
      </c>
      <c r="DB1994" s="122" t="s">
        <v>7111</v>
      </c>
      <c r="DC1994" s="122" t="s">
        <v>489</v>
      </c>
      <c r="DD1994" s="127">
        <v>3</v>
      </c>
      <c r="DE1994" s="127">
        <v>3</v>
      </c>
      <c r="DG1994" s="405" t="s">
        <v>333</v>
      </c>
      <c r="DH1994" s="406" t="s">
        <v>489</v>
      </c>
      <c r="DI1994" s="406" t="str">
        <f t="shared" si="63"/>
        <v>MG, Rio Piracicaba</v>
      </c>
      <c r="DJ1994" s="406">
        <v>-19.928999999999998</v>
      </c>
      <c r="DK1994" s="80">
        <v>-43.173999999999999</v>
      </c>
      <c r="DL1994" s="80">
        <v>639</v>
      </c>
      <c r="DM1994" s="64">
        <v>3</v>
      </c>
      <c r="DN1994" s="406" t="s">
        <v>6798</v>
      </c>
      <c r="DO1994" s="406">
        <v>-19.579999999999998</v>
      </c>
      <c r="DP1994" s="80">
        <v>333</v>
      </c>
    </row>
    <row r="1995" spans="29:120" x14ac:dyDescent="0.25">
      <c r="AC1995" s="122" t="s">
        <v>289</v>
      </c>
      <c r="AD1995" s="122" t="s">
        <v>2366</v>
      </c>
      <c r="AE1995" s="127">
        <v>5</v>
      </c>
      <c r="DA1995" s="122" t="s">
        <v>333</v>
      </c>
      <c r="DB1995" s="122" t="s">
        <v>7112</v>
      </c>
      <c r="DC1995" s="122" t="s">
        <v>3722</v>
      </c>
      <c r="DD1995" s="127">
        <v>3</v>
      </c>
      <c r="DE1995" s="127">
        <v>3</v>
      </c>
      <c r="DG1995" s="405" t="s">
        <v>333</v>
      </c>
      <c r="DH1995" s="406" t="s">
        <v>3722</v>
      </c>
      <c r="DI1995" s="406" t="str">
        <f t="shared" si="63"/>
        <v>MG, Rio Pomba</v>
      </c>
      <c r="DJ1995" s="406">
        <v>-21.274999999999999</v>
      </c>
      <c r="DK1995" s="80">
        <v>-43.179000000000002</v>
      </c>
      <c r="DL1995" s="80">
        <v>441</v>
      </c>
      <c r="DM1995" s="64">
        <v>3</v>
      </c>
      <c r="DN1995" s="406" t="s">
        <v>6829</v>
      </c>
      <c r="DO1995" s="406">
        <v>-21.76</v>
      </c>
      <c r="DP1995" s="80">
        <v>950</v>
      </c>
    </row>
    <row r="1996" spans="29:120" x14ac:dyDescent="0.25">
      <c r="AC1996" s="122" t="s">
        <v>289</v>
      </c>
      <c r="AD1996" s="122" t="s">
        <v>2367</v>
      </c>
      <c r="AE1996" s="127">
        <v>7</v>
      </c>
      <c r="DA1996" s="122" t="s">
        <v>333</v>
      </c>
      <c r="DB1996" s="122" t="s">
        <v>7113</v>
      </c>
      <c r="DC1996" s="122" t="s">
        <v>3411</v>
      </c>
      <c r="DD1996" s="127">
        <v>3</v>
      </c>
      <c r="DE1996" s="127">
        <v>3</v>
      </c>
      <c r="DG1996" s="405" t="s">
        <v>333</v>
      </c>
      <c r="DH1996" s="406" t="s">
        <v>3411</v>
      </c>
      <c r="DI1996" s="406" t="str">
        <f t="shared" si="63"/>
        <v>MG, Rio Preto</v>
      </c>
      <c r="DJ1996" s="406">
        <v>-22.088999999999999</v>
      </c>
      <c r="DK1996" s="80">
        <v>-43.828000000000003</v>
      </c>
      <c r="DL1996" s="80">
        <v>430</v>
      </c>
      <c r="DM1996" s="64">
        <v>3</v>
      </c>
      <c r="DN1996" s="406" t="s">
        <v>6856</v>
      </c>
      <c r="DO1996" s="406">
        <v>-22.25</v>
      </c>
      <c r="DP1996" s="80">
        <v>367</v>
      </c>
    </row>
    <row r="1997" spans="29:120" x14ac:dyDescent="0.25">
      <c r="AC1997" s="122" t="s">
        <v>348</v>
      </c>
      <c r="AD1997" s="122" t="s">
        <v>2368</v>
      </c>
      <c r="AE1997" s="127">
        <v>7</v>
      </c>
      <c r="DA1997" s="122" t="s">
        <v>333</v>
      </c>
      <c r="DB1997" s="122" t="s">
        <v>7114</v>
      </c>
      <c r="DC1997" s="122" t="s">
        <v>3462</v>
      </c>
      <c r="DD1997" s="127">
        <v>2</v>
      </c>
      <c r="DE1997" s="127">
        <v>2</v>
      </c>
      <c r="DG1997" s="405" t="s">
        <v>333</v>
      </c>
      <c r="DH1997" s="406" t="s">
        <v>3462</v>
      </c>
      <c r="DI1997" s="406" t="str">
        <f t="shared" si="63"/>
        <v>MG, Rio Vermelho</v>
      </c>
      <c r="DJ1997" s="406">
        <v>-18.294</v>
      </c>
      <c r="DK1997" s="80">
        <v>-43.009</v>
      </c>
      <c r="DL1997" s="80">
        <v>730</v>
      </c>
      <c r="DM1997" s="64">
        <v>2</v>
      </c>
      <c r="DN1997" s="406" t="s">
        <v>6821</v>
      </c>
      <c r="DO1997" s="406">
        <v>-18.23</v>
      </c>
      <c r="DP1997" s="80">
        <v>1356</v>
      </c>
    </row>
    <row r="1998" spans="29:120" x14ac:dyDescent="0.25">
      <c r="AC1998" s="122" t="s">
        <v>322</v>
      </c>
      <c r="AD1998" s="122" t="s">
        <v>2369</v>
      </c>
      <c r="AE1998" s="127">
        <v>6</v>
      </c>
      <c r="DA1998" s="122" t="s">
        <v>333</v>
      </c>
      <c r="DB1998" s="122" t="s">
        <v>675</v>
      </c>
      <c r="DC1998" s="122" t="s">
        <v>675</v>
      </c>
      <c r="DD1998" s="127">
        <v>2</v>
      </c>
      <c r="DE1998" s="127">
        <v>2</v>
      </c>
      <c r="DG1998" s="405" t="s">
        <v>333</v>
      </c>
      <c r="DH1998" s="406" t="s">
        <v>675</v>
      </c>
      <c r="DI1998" s="406" t="str">
        <f t="shared" si="63"/>
        <v>MG, Ritápolis</v>
      </c>
      <c r="DJ1998" s="406">
        <v>-21.021999999999998</v>
      </c>
      <c r="DK1998" s="80">
        <v>-44.317999999999998</v>
      </c>
      <c r="DL1998" s="80">
        <v>1051</v>
      </c>
      <c r="DM1998" s="64">
        <v>2</v>
      </c>
      <c r="DN1998" s="406" t="s">
        <v>6813</v>
      </c>
      <c r="DO1998" s="406">
        <v>-21.14</v>
      </c>
      <c r="DP1998" s="80">
        <v>991</v>
      </c>
    </row>
    <row r="1999" spans="29:120" x14ac:dyDescent="0.25">
      <c r="AC1999" s="122" t="s">
        <v>323</v>
      </c>
      <c r="AD1999" s="122" t="s">
        <v>2370</v>
      </c>
      <c r="AE1999" s="127">
        <v>8</v>
      </c>
      <c r="DA1999" s="122" t="s">
        <v>333</v>
      </c>
      <c r="DB1999" s="122" t="s">
        <v>7115</v>
      </c>
      <c r="DC1999" s="122" t="s">
        <v>3495</v>
      </c>
      <c r="DD1999" s="127">
        <v>3</v>
      </c>
      <c r="DE1999" s="127">
        <v>3</v>
      </c>
      <c r="DG1999" s="405" t="s">
        <v>333</v>
      </c>
      <c r="DH1999" s="406" t="s">
        <v>3495</v>
      </c>
      <c r="DI1999" s="406" t="str">
        <f t="shared" si="63"/>
        <v>MG, Rochedo de Minas</v>
      </c>
      <c r="DJ1999" s="406">
        <v>-21.63</v>
      </c>
      <c r="DK1999" s="80">
        <v>-43.02</v>
      </c>
      <c r="DL1999" s="80">
        <v>330</v>
      </c>
      <c r="DM1999" s="64">
        <v>3</v>
      </c>
      <c r="DN1999" s="406" t="s">
        <v>6829</v>
      </c>
      <c r="DO1999" s="406">
        <v>-21.76</v>
      </c>
      <c r="DP1999" s="80">
        <v>950</v>
      </c>
    </row>
    <row r="2000" spans="29:120" x14ac:dyDescent="0.25">
      <c r="AC2000" s="122" t="s">
        <v>323</v>
      </c>
      <c r="AD2000" s="122" t="s">
        <v>2371</v>
      </c>
      <c r="AE2000" s="127">
        <v>8</v>
      </c>
      <c r="DA2000" s="122" t="s">
        <v>333</v>
      </c>
      <c r="DB2000" s="122" t="s">
        <v>3697</v>
      </c>
      <c r="DC2000" s="122" t="s">
        <v>3697</v>
      </c>
      <c r="DD2000" s="127">
        <v>5</v>
      </c>
      <c r="DE2000" s="127">
        <v>5</v>
      </c>
      <c r="DG2000" s="405" t="s">
        <v>333</v>
      </c>
      <c r="DH2000" s="406" t="s">
        <v>3697</v>
      </c>
      <c r="DI2000" s="406" t="str">
        <f t="shared" si="63"/>
        <v>MG, Rodeiro</v>
      </c>
      <c r="DJ2000" s="406">
        <v>-21.2</v>
      </c>
      <c r="DK2000" s="80">
        <v>-42.865000000000002</v>
      </c>
      <c r="DL2000" s="80">
        <v>336</v>
      </c>
      <c r="DM2000" s="64">
        <v>5</v>
      </c>
      <c r="DN2000" s="406" t="s">
        <v>6797</v>
      </c>
      <c r="DO2000" s="406">
        <v>-20.75</v>
      </c>
      <c r="DP2000" s="80">
        <v>712</v>
      </c>
    </row>
    <row r="2001" spans="29:120" x14ac:dyDescent="0.25">
      <c r="AC2001" s="122" t="s">
        <v>376</v>
      </c>
      <c r="AD2001" s="122" t="s">
        <v>2372</v>
      </c>
      <c r="AE2001" s="127">
        <v>6</v>
      </c>
      <c r="DA2001" s="122" t="s">
        <v>333</v>
      </c>
      <c r="DB2001" s="122" t="s">
        <v>2738</v>
      </c>
      <c r="DC2001" s="122" t="s">
        <v>2738</v>
      </c>
      <c r="DD2001" s="127">
        <v>4</v>
      </c>
      <c r="DE2001" s="127">
        <v>4</v>
      </c>
      <c r="DG2001" s="405" t="s">
        <v>333</v>
      </c>
      <c r="DH2001" s="406" t="s">
        <v>2738</v>
      </c>
      <c r="DI2001" s="406" t="str">
        <f t="shared" si="63"/>
        <v>MG, Romaria</v>
      </c>
      <c r="DJ2001" s="406">
        <v>-18.882999999999999</v>
      </c>
      <c r="DK2001" s="80">
        <v>-47.585999999999999</v>
      </c>
      <c r="DL2001" s="80">
        <v>958</v>
      </c>
      <c r="DM2001" s="64">
        <v>4</v>
      </c>
      <c r="DN2001" s="406" t="s">
        <v>6794</v>
      </c>
      <c r="DO2001" s="406">
        <v>-18.940000000000001</v>
      </c>
      <c r="DP2001" s="80">
        <v>976</v>
      </c>
    </row>
    <row r="2002" spans="29:120" x14ac:dyDescent="0.25">
      <c r="AC2002" s="122" t="s">
        <v>322</v>
      </c>
      <c r="AD2002" s="122" t="s">
        <v>2373</v>
      </c>
      <c r="AE2002" s="127">
        <v>6</v>
      </c>
      <c r="DA2002" s="122" t="s">
        <v>333</v>
      </c>
      <c r="DB2002" s="122" t="s">
        <v>7116</v>
      </c>
      <c r="DC2002" s="122" t="s">
        <v>3282</v>
      </c>
      <c r="DD2002" s="127">
        <v>3</v>
      </c>
      <c r="DE2002" s="127">
        <v>3</v>
      </c>
      <c r="DG2002" s="405" t="s">
        <v>333</v>
      </c>
      <c r="DH2002" s="406" t="s">
        <v>3282</v>
      </c>
      <c r="DI2002" s="406" t="str">
        <f t="shared" si="63"/>
        <v>MG, Rosário da Limeira</v>
      </c>
      <c r="DJ2002" s="406">
        <v>-20.978999999999999</v>
      </c>
      <c r="DK2002" s="80">
        <v>-42.512</v>
      </c>
      <c r="DL2002" s="80">
        <v>680</v>
      </c>
      <c r="DM2002" s="64">
        <v>3</v>
      </c>
      <c r="DN2002" s="406" t="s">
        <v>6827</v>
      </c>
      <c r="DO2002" s="406">
        <v>-21.13</v>
      </c>
      <c r="DP2002" s="80">
        <v>297</v>
      </c>
    </row>
    <row r="2003" spans="29:120" x14ac:dyDescent="0.25">
      <c r="AC2003" s="122" t="s">
        <v>372</v>
      </c>
      <c r="AD2003" s="122" t="s">
        <v>2374</v>
      </c>
      <c r="AE2003" s="127">
        <v>8</v>
      </c>
      <c r="DA2003" s="122" t="s">
        <v>333</v>
      </c>
      <c r="DB2003" s="122" t="s">
        <v>2676</v>
      </c>
      <c r="DC2003" s="122" t="s">
        <v>2676</v>
      </c>
      <c r="DD2003" s="127">
        <v>3</v>
      </c>
      <c r="DE2003" s="127">
        <v>3</v>
      </c>
      <c r="DG2003" s="405" t="s">
        <v>333</v>
      </c>
      <c r="DH2003" s="406" t="s">
        <v>2676</v>
      </c>
      <c r="DI2003" s="406" t="str">
        <f t="shared" si="63"/>
        <v>MG, Rubelita</v>
      </c>
      <c r="DJ2003" s="406">
        <v>-16.408000000000001</v>
      </c>
      <c r="DK2003" s="80">
        <v>-42.262999999999998</v>
      </c>
      <c r="DL2003" s="80">
        <v>391</v>
      </c>
      <c r="DM2003" s="64">
        <v>3</v>
      </c>
      <c r="DN2003" s="406" t="s">
        <v>6830</v>
      </c>
      <c r="DO2003" s="406">
        <v>-16.170000000000002</v>
      </c>
      <c r="DP2003" s="80">
        <v>495</v>
      </c>
    </row>
    <row r="2004" spans="29:120" x14ac:dyDescent="0.25">
      <c r="AC2004" s="122" t="s">
        <v>322</v>
      </c>
      <c r="AD2004" s="122" t="s">
        <v>2375</v>
      </c>
      <c r="AE2004" s="127">
        <v>6</v>
      </c>
      <c r="DA2004" s="122" t="s">
        <v>333</v>
      </c>
      <c r="DB2004" s="122" t="s">
        <v>1872</v>
      </c>
      <c r="DC2004" s="122" t="s">
        <v>1872</v>
      </c>
      <c r="DD2004" s="127">
        <v>5</v>
      </c>
      <c r="DE2004" s="127">
        <v>5</v>
      </c>
      <c r="DG2004" s="405" t="s">
        <v>333</v>
      </c>
      <c r="DH2004" s="406" t="s">
        <v>1872</v>
      </c>
      <c r="DI2004" s="406" t="str">
        <f t="shared" si="63"/>
        <v>MG, Rubim</v>
      </c>
      <c r="DJ2004" s="406">
        <v>-16.375</v>
      </c>
      <c r="DK2004" s="80">
        <v>-40.537999999999997</v>
      </c>
      <c r="DL2004" s="80">
        <v>254</v>
      </c>
      <c r="DM2004" s="64">
        <v>5</v>
      </c>
      <c r="DN2004" s="406" t="s">
        <v>6295</v>
      </c>
      <c r="DO2004" s="406">
        <v>-16.18</v>
      </c>
      <c r="DP2004" s="80">
        <v>208</v>
      </c>
    </row>
    <row r="2005" spans="29:120" x14ac:dyDescent="0.25">
      <c r="AC2005" s="122" t="s">
        <v>340</v>
      </c>
      <c r="AD2005" s="122" t="s">
        <v>2376</v>
      </c>
      <c r="AE2005" s="127">
        <v>6</v>
      </c>
      <c r="DA2005" s="122" t="s">
        <v>333</v>
      </c>
      <c r="DB2005" s="122" t="s">
        <v>2104</v>
      </c>
      <c r="DC2005" s="122" t="s">
        <v>2104</v>
      </c>
      <c r="DD2005" s="127">
        <v>2</v>
      </c>
      <c r="DE2005" s="127">
        <v>2</v>
      </c>
      <c r="DG2005" s="405" t="s">
        <v>333</v>
      </c>
      <c r="DH2005" s="406" t="s">
        <v>2104</v>
      </c>
      <c r="DI2005" s="406" t="str">
        <f t="shared" si="63"/>
        <v>MG, Sabará</v>
      </c>
      <c r="DJ2005" s="406">
        <v>-19.885999999999999</v>
      </c>
      <c r="DK2005" s="80">
        <v>-43.807000000000002</v>
      </c>
      <c r="DL2005" s="80">
        <v>723</v>
      </c>
      <c r="DM2005" s="64">
        <v>2</v>
      </c>
      <c r="DN2005" s="406" t="s">
        <v>6838</v>
      </c>
      <c r="DO2005" s="406">
        <v>-19.82</v>
      </c>
      <c r="DP2005" s="80">
        <v>869</v>
      </c>
    </row>
    <row r="2006" spans="29:120" x14ac:dyDescent="0.25">
      <c r="AC2006" s="122" t="s">
        <v>289</v>
      </c>
      <c r="AD2006" s="122" t="s">
        <v>2377</v>
      </c>
      <c r="AE2006" s="127">
        <v>8</v>
      </c>
      <c r="DA2006" s="122" t="s">
        <v>333</v>
      </c>
      <c r="DB2006" s="122" t="s">
        <v>877</v>
      </c>
      <c r="DC2006" s="122" t="s">
        <v>877</v>
      </c>
      <c r="DD2006" s="127">
        <v>3</v>
      </c>
      <c r="DE2006" s="127">
        <v>3</v>
      </c>
      <c r="DG2006" s="405" t="s">
        <v>333</v>
      </c>
      <c r="DH2006" s="406" t="s">
        <v>877</v>
      </c>
      <c r="DI2006" s="406" t="str">
        <f t="shared" si="63"/>
        <v>MG, Sabinópolis</v>
      </c>
      <c r="DJ2006" s="406">
        <v>-18.666</v>
      </c>
      <c r="DK2006" s="80">
        <v>-43.084000000000003</v>
      </c>
      <c r="DL2006" s="80">
        <v>707</v>
      </c>
      <c r="DM2006" s="64">
        <v>3</v>
      </c>
      <c r="DN2006" s="406" t="s">
        <v>6821</v>
      </c>
      <c r="DO2006" s="406">
        <v>-18.23</v>
      </c>
      <c r="DP2006" s="80">
        <v>1356</v>
      </c>
    </row>
    <row r="2007" spans="29:120" x14ac:dyDescent="0.25">
      <c r="AC2007" s="122" t="s">
        <v>333</v>
      </c>
      <c r="AD2007" s="122" t="s">
        <v>2378</v>
      </c>
      <c r="AE2007" s="127">
        <v>2</v>
      </c>
      <c r="DA2007" s="122" t="s">
        <v>333</v>
      </c>
      <c r="DB2007" s="122" t="s">
        <v>2967</v>
      </c>
      <c r="DC2007" s="122" t="s">
        <v>2967</v>
      </c>
      <c r="DD2007" s="127">
        <v>3</v>
      </c>
      <c r="DE2007" s="127">
        <v>3</v>
      </c>
      <c r="DG2007" s="405" t="s">
        <v>333</v>
      </c>
      <c r="DH2007" s="406" t="s">
        <v>2967</v>
      </c>
      <c r="DI2007" s="406" t="str">
        <f t="shared" si="63"/>
        <v>MG, Sacramento</v>
      </c>
      <c r="DJ2007" s="406">
        <v>-19.864999999999998</v>
      </c>
      <c r="DK2007" s="80">
        <v>-47.44</v>
      </c>
      <c r="DL2007" s="80">
        <v>832</v>
      </c>
      <c r="DM2007" s="64">
        <v>3</v>
      </c>
      <c r="DN2007" s="406" t="s">
        <v>6927</v>
      </c>
      <c r="DO2007" s="406">
        <v>-19.86</v>
      </c>
      <c r="DP2007" s="80">
        <v>912</v>
      </c>
    </row>
    <row r="2008" spans="29:120" x14ac:dyDescent="0.25">
      <c r="AC2008" s="122" t="s">
        <v>323</v>
      </c>
      <c r="AD2008" s="122" t="s">
        <v>2379</v>
      </c>
      <c r="AE2008" s="127">
        <v>8</v>
      </c>
      <c r="DA2008" s="122" t="s">
        <v>333</v>
      </c>
      <c r="DB2008" s="122" t="s">
        <v>2954</v>
      </c>
      <c r="DC2008" s="122" t="s">
        <v>2954</v>
      </c>
      <c r="DD2008" s="127">
        <v>3</v>
      </c>
      <c r="DE2008" s="127">
        <v>3</v>
      </c>
      <c r="DG2008" s="405" t="s">
        <v>333</v>
      </c>
      <c r="DH2008" s="406" t="s">
        <v>2954</v>
      </c>
      <c r="DI2008" s="406" t="str">
        <f t="shared" si="63"/>
        <v>MG, Salinas</v>
      </c>
      <c r="DJ2008" s="406">
        <v>-16.170000000000002</v>
      </c>
      <c r="DK2008" s="80">
        <v>-42.29</v>
      </c>
      <c r="DL2008" s="80">
        <v>471</v>
      </c>
      <c r="DM2008" s="64">
        <v>3</v>
      </c>
      <c r="DN2008" s="406" t="s">
        <v>6830</v>
      </c>
      <c r="DO2008" s="406">
        <v>-16.170000000000002</v>
      </c>
      <c r="DP2008" s="80">
        <v>495</v>
      </c>
    </row>
    <row r="2009" spans="29:120" x14ac:dyDescent="0.25">
      <c r="AC2009" s="122" t="s">
        <v>289</v>
      </c>
      <c r="AD2009" s="122" t="s">
        <v>2380</v>
      </c>
      <c r="AE2009" s="127">
        <v>7</v>
      </c>
      <c r="DA2009" s="122" t="s">
        <v>333</v>
      </c>
      <c r="DB2009" s="122" t="s">
        <v>7117</v>
      </c>
      <c r="DC2009" s="122" t="s">
        <v>1841</v>
      </c>
      <c r="DD2009" s="127">
        <v>5</v>
      </c>
      <c r="DE2009" s="127">
        <v>5</v>
      </c>
      <c r="DG2009" s="405" t="s">
        <v>333</v>
      </c>
      <c r="DH2009" s="406" t="s">
        <v>1841</v>
      </c>
      <c r="DI2009" s="406" t="str">
        <f t="shared" si="63"/>
        <v>MG, Salto da Divisa</v>
      </c>
      <c r="DJ2009" s="406">
        <v>-16.003</v>
      </c>
      <c r="DK2009" s="80">
        <v>-39.947000000000003</v>
      </c>
      <c r="DL2009" s="80">
        <v>142</v>
      </c>
      <c r="DM2009" s="64">
        <v>5</v>
      </c>
      <c r="DN2009" s="406" t="s">
        <v>6295</v>
      </c>
      <c r="DO2009" s="406">
        <v>-16.18</v>
      </c>
      <c r="DP2009" s="80">
        <v>208</v>
      </c>
    </row>
    <row r="2010" spans="29:120" x14ac:dyDescent="0.25">
      <c r="AC2010" s="122" t="s">
        <v>322</v>
      </c>
      <c r="AD2010" s="122" t="s">
        <v>2381</v>
      </c>
      <c r="AE2010" s="127">
        <v>6</v>
      </c>
      <c r="DA2010" s="122" t="s">
        <v>333</v>
      </c>
      <c r="DB2010" s="122" t="s">
        <v>6355</v>
      </c>
      <c r="DC2010" s="122" t="s">
        <v>678</v>
      </c>
      <c r="DD2010" s="127">
        <v>3</v>
      </c>
      <c r="DE2010" s="127">
        <v>3</v>
      </c>
      <c r="DG2010" s="405" t="s">
        <v>333</v>
      </c>
      <c r="DH2010" s="406" t="s">
        <v>678</v>
      </c>
      <c r="DI2010" s="406" t="str">
        <f t="shared" si="63"/>
        <v>MG, Santa Bárbara</v>
      </c>
      <c r="DJ2010" s="406">
        <v>-19.959</v>
      </c>
      <c r="DK2010" s="80">
        <v>-43.414999999999999</v>
      </c>
      <c r="DL2010" s="80">
        <v>732</v>
      </c>
      <c r="DM2010" s="64">
        <v>3</v>
      </c>
      <c r="DN2010" s="406" t="s">
        <v>6838</v>
      </c>
      <c r="DO2010" s="406">
        <v>-19.82</v>
      </c>
      <c r="DP2010" s="80">
        <v>869</v>
      </c>
    </row>
    <row r="2011" spans="29:120" x14ac:dyDescent="0.25">
      <c r="AC2011" s="122" t="s">
        <v>323</v>
      </c>
      <c r="AD2011" s="122" t="s">
        <v>778</v>
      </c>
      <c r="AE2011" s="127">
        <v>8</v>
      </c>
      <c r="DA2011" s="122" t="s">
        <v>333</v>
      </c>
      <c r="DB2011" s="122" t="s">
        <v>7118</v>
      </c>
      <c r="DC2011" s="122" t="s">
        <v>2151</v>
      </c>
      <c r="DD2011" s="127">
        <v>3</v>
      </c>
      <c r="DE2011" s="127">
        <v>3</v>
      </c>
      <c r="DG2011" s="405" t="s">
        <v>333</v>
      </c>
      <c r="DH2011" s="406" t="s">
        <v>2151</v>
      </c>
      <c r="DI2011" s="406" t="str">
        <f t="shared" si="63"/>
        <v>MG, Santa Bárbara do Leste</v>
      </c>
      <c r="DJ2011" s="406">
        <v>-19.978000000000002</v>
      </c>
      <c r="DK2011" s="80">
        <v>-42.14</v>
      </c>
      <c r="DL2011" s="80">
        <v>850</v>
      </c>
      <c r="DM2011" s="64">
        <v>3</v>
      </c>
      <c r="DN2011" s="406" t="s">
        <v>6819</v>
      </c>
      <c r="DO2011" s="406">
        <v>-19.79</v>
      </c>
      <c r="DP2011" s="80">
        <v>615</v>
      </c>
    </row>
    <row r="2012" spans="29:120" x14ac:dyDescent="0.25">
      <c r="AC2012" s="122" t="s">
        <v>340</v>
      </c>
      <c r="AD2012" s="122" t="s">
        <v>2382</v>
      </c>
      <c r="AE2012" s="127">
        <v>6</v>
      </c>
      <c r="DA2012" s="122" t="s">
        <v>333</v>
      </c>
      <c r="DB2012" s="122" t="s">
        <v>7119</v>
      </c>
      <c r="DC2012" s="122" t="s">
        <v>676</v>
      </c>
      <c r="DD2012" s="127">
        <v>3</v>
      </c>
      <c r="DE2012" s="127">
        <v>3</v>
      </c>
      <c r="DG2012" s="405" t="s">
        <v>333</v>
      </c>
      <c r="DH2012" s="406" t="s">
        <v>676</v>
      </c>
      <c r="DI2012" s="406" t="str">
        <f t="shared" si="63"/>
        <v>MG, Santa Bárbara do Monte Verde</v>
      </c>
      <c r="DJ2012" s="406">
        <v>-21.959</v>
      </c>
      <c r="DK2012" s="80">
        <v>-43.701999999999998</v>
      </c>
      <c r="DL2012" s="80">
        <v>730</v>
      </c>
      <c r="DM2012" s="64">
        <v>3</v>
      </c>
      <c r="DN2012" s="406" t="s">
        <v>6856</v>
      </c>
      <c r="DO2012" s="406">
        <v>-22.25</v>
      </c>
      <c r="DP2012" s="80">
        <v>367</v>
      </c>
    </row>
    <row r="2013" spans="29:120" x14ac:dyDescent="0.25">
      <c r="AC2013" s="122" t="s">
        <v>340</v>
      </c>
      <c r="AD2013" s="122" t="s">
        <v>2383</v>
      </c>
      <c r="AE2013" s="127">
        <v>5</v>
      </c>
      <c r="DA2013" s="122" t="s">
        <v>333</v>
      </c>
      <c r="DB2013" s="122" t="s">
        <v>7120</v>
      </c>
      <c r="DC2013" s="122" t="s">
        <v>677</v>
      </c>
      <c r="DD2013" s="127">
        <v>3</v>
      </c>
      <c r="DE2013" s="127">
        <v>3</v>
      </c>
      <c r="DG2013" s="405" t="s">
        <v>333</v>
      </c>
      <c r="DH2013" s="406" t="s">
        <v>677</v>
      </c>
      <c r="DI2013" s="406" t="str">
        <f t="shared" si="63"/>
        <v>MG, Santa Bárbara do Tugúrio</v>
      </c>
      <c r="DJ2013" s="406">
        <v>-21.245999999999999</v>
      </c>
      <c r="DK2013" s="80">
        <v>-43.558999999999997</v>
      </c>
      <c r="DL2013" s="80">
        <v>605</v>
      </c>
      <c r="DM2013" s="64">
        <v>3</v>
      </c>
      <c r="DN2013" s="406" t="s">
        <v>6829</v>
      </c>
      <c r="DO2013" s="406">
        <v>-21.76</v>
      </c>
      <c r="DP2013" s="80">
        <v>950</v>
      </c>
    </row>
    <row r="2014" spans="29:120" x14ac:dyDescent="0.25">
      <c r="AC2014" s="122" t="s">
        <v>333</v>
      </c>
      <c r="AD2014" s="122" t="s">
        <v>2384</v>
      </c>
      <c r="AE2014" s="127">
        <v>3</v>
      </c>
      <c r="DA2014" s="122" t="s">
        <v>333</v>
      </c>
      <c r="DB2014" s="122" t="s">
        <v>7121</v>
      </c>
      <c r="DC2014" s="122" t="s">
        <v>679</v>
      </c>
      <c r="DD2014" s="127">
        <v>2</v>
      </c>
      <c r="DE2014" s="127">
        <v>2</v>
      </c>
      <c r="DG2014" s="405" t="s">
        <v>333</v>
      </c>
      <c r="DH2014" s="406" t="s">
        <v>679</v>
      </c>
      <c r="DI2014" s="406" t="str">
        <f t="shared" si="63"/>
        <v>MG, Santa Cruz de Minas</v>
      </c>
      <c r="DJ2014" s="406">
        <v>-21.12</v>
      </c>
      <c r="DK2014" s="80">
        <v>-44.222999999999999</v>
      </c>
      <c r="DL2014" s="80">
        <v>911</v>
      </c>
      <c r="DM2014" s="64">
        <v>2</v>
      </c>
      <c r="DN2014" s="406" t="s">
        <v>6813</v>
      </c>
      <c r="DO2014" s="406">
        <v>-21.14</v>
      </c>
      <c r="DP2014" s="80">
        <v>991</v>
      </c>
    </row>
    <row r="2015" spans="29:120" x14ac:dyDescent="0.25">
      <c r="AC2015" s="122" t="s">
        <v>348</v>
      </c>
      <c r="AD2015" s="122" t="s">
        <v>2385</v>
      </c>
      <c r="AE2015" s="127">
        <v>6</v>
      </c>
      <c r="DA2015" s="122" t="s">
        <v>333</v>
      </c>
      <c r="DB2015" s="122" t="s">
        <v>7122</v>
      </c>
      <c r="DC2015" s="122" t="s">
        <v>2668</v>
      </c>
      <c r="DD2015" s="127">
        <v>5</v>
      </c>
      <c r="DE2015" s="127">
        <v>5</v>
      </c>
      <c r="DG2015" s="405" t="s">
        <v>333</v>
      </c>
      <c r="DH2015" s="406" t="s">
        <v>2668</v>
      </c>
      <c r="DI2015" s="406" t="str">
        <f t="shared" si="63"/>
        <v>MG, Santa Cruz de Salinas</v>
      </c>
      <c r="DJ2015" s="406">
        <v>-16.097999999999999</v>
      </c>
      <c r="DK2015" s="80">
        <v>-41.746000000000002</v>
      </c>
      <c r="DL2015" s="80">
        <v>761</v>
      </c>
      <c r="DM2015" s="64">
        <v>5</v>
      </c>
      <c r="DN2015" s="406" t="s">
        <v>6805</v>
      </c>
      <c r="DO2015" s="406">
        <v>-16.34</v>
      </c>
      <c r="DP2015" s="80">
        <v>266</v>
      </c>
    </row>
    <row r="2016" spans="29:120" x14ac:dyDescent="0.25">
      <c r="AC2016" s="122" t="s">
        <v>323</v>
      </c>
      <c r="AD2016" s="122" t="s">
        <v>2386</v>
      </c>
      <c r="AE2016" s="127">
        <v>8</v>
      </c>
      <c r="DA2016" s="122" t="s">
        <v>333</v>
      </c>
      <c r="DB2016" s="122" t="s">
        <v>7123</v>
      </c>
      <c r="DC2016" s="122" t="s">
        <v>504</v>
      </c>
      <c r="DD2016" s="127">
        <v>3</v>
      </c>
      <c r="DE2016" s="127">
        <v>3</v>
      </c>
      <c r="DG2016" s="405" t="s">
        <v>333</v>
      </c>
      <c r="DH2016" s="406" t="s">
        <v>504</v>
      </c>
      <c r="DI2016" s="406" t="str">
        <f t="shared" si="63"/>
        <v>MG, Santa Cruz do Escalvado</v>
      </c>
      <c r="DJ2016" s="406">
        <v>-20.236000000000001</v>
      </c>
      <c r="DK2016" s="80">
        <v>-42.814</v>
      </c>
      <c r="DL2016" s="80">
        <v>412</v>
      </c>
      <c r="DM2016" s="64">
        <v>3</v>
      </c>
      <c r="DN2016" s="406" t="s">
        <v>6797</v>
      </c>
      <c r="DO2016" s="406">
        <v>-20.75</v>
      </c>
      <c r="DP2016" s="80">
        <v>712</v>
      </c>
    </row>
    <row r="2017" spans="29:120" x14ac:dyDescent="0.25">
      <c r="AC2017" s="122" t="s">
        <v>336</v>
      </c>
      <c r="AD2017" s="122" t="s">
        <v>2387</v>
      </c>
      <c r="AE2017" s="127">
        <v>6</v>
      </c>
      <c r="DA2017" s="122" t="s">
        <v>333</v>
      </c>
      <c r="DB2017" s="122" t="s">
        <v>7124</v>
      </c>
      <c r="DC2017" s="122" t="s">
        <v>3333</v>
      </c>
      <c r="DD2017" s="127">
        <v>5</v>
      </c>
      <c r="DE2017" s="127">
        <v>5</v>
      </c>
      <c r="DG2017" s="405" t="s">
        <v>333</v>
      </c>
      <c r="DH2017" s="406" t="s">
        <v>3333</v>
      </c>
      <c r="DI2017" s="406" t="str">
        <f t="shared" si="63"/>
        <v>MG, Santa Efigênia de Minas</v>
      </c>
      <c r="DJ2017" s="406">
        <v>-18.827000000000002</v>
      </c>
      <c r="DK2017" s="80">
        <v>-42.448</v>
      </c>
      <c r="DL2017" s="80">
        <v>741</v>
      </c>
      <c r="DM2017" s="64">
        <v>5</v>
      </c>
      <c r="DN2017" s="406" t="s">
        <v>6814</v>
      </c>
      <c r="DO2017" s="406">
        <v>-18.850000000000001</v>
      </c>
      <c r="DP2017" s="80">
        <v>263</v>
      </c>
    </row>
    <row r="2018" spans="29:120" x14ac:dyDescent="0.25">
      <c r="AC2018" s="122" t="s">
        <v>336</v>
      </c>
      <c r="AD2018" s="122" t="s">
        <v>2388</v>
      </c>
      <c r="AE2018" s="127">
        <v>6</v>
      </c>
      <c r="DA2018" s="122" t="s">
        <v>333</v>
      </c>
      <c r="DB2018" s="122" t="s">
        <v>7125</v>
      </c>
      <c r="DC2018" s="122" t="s">
        <v>2838</v>
      </c>
      <c r="DD2018" s="127">
        <v>6</v>
      </c>
      <c r="DE2018" s="127">
        <v>6</v>
      </c>
      <c r="DG2018" s="405" t="s">
        <v>333</v>
      </c>
      <c r="DH2018" s="406" t="s">
        <v>2838</v>
      </c>
      <c r="DI2018" s="406" t="str">
        <f t="shared" si="63"/>
        <v>MG, Santa Fé de Minas</v>
      </c>
      <c r="DJ2018" s="406">
        <v>-16.690000000000001</v>
      </c>
      <c r="DK2018" s="80">
        <v>-45.414000000000001</v>
      </c>
      <c r="DL2018" s="80">
        <v>493</v>
      </c>
      <c r="DM2018" s="64">
        <v>6</v>
      </c>
      <c r="DN2018" s="406" t="s">
        <v>6872</v>
      </c>
      <c r="DO2018" s="406">
        <v>-16.37</v>
      </c>
      <c r="DP2018" s="80">
        <v>460</v>
      </c>
    </row>
    <row r="2019" spans="29:120" x14ac:dyDescent="0.25">
      <c r="AC2019" s="122" t="s">
        <v>336</v>
      </c>
      <c r="AD2019" s="122" t="s">
        <v>2389</v>
      </c>
      <c r="AE2019" s="127">
        <v>5</v>
      </c>
      <c r="DA2019" s="122" t="s">
        <v>333</v>
      </c>
      <c r="DB2019" s="122" t="s">
        <v>7126</v>
      </c>
      <c r="DC2019" s="122" t="s">
        <v>1846</v>
      </c>
      <c r="DD2019" s="127">
        <v>5</v>
      </c>
      <c r="DE2019" s="127">
        <v>5</v>
      </c>
      <c r="DG2019" s="405" t="s">
        <v>333</v>
      </c>
      <c r="DH2019" s="406" t="s">
        <v>1846</v>
      </c>
      <c r="DI2019" s="406" t="str">
        <f t="shared" si="63"/>
        <v>MG, Santa Helena de Minas</v>
      </c>
      <c r="DJ2019" s="406">
        <v>-16.983000000000001</v>
      </c>
      <c r="DK2019" s="80">
        <v>-40.686</v>
      </c>
      <c r="DL2019" s="80">
        <v>312</v>
      </c>
      <c r="DM2019" s="64">
        <v>5</v>
      </c>
      <c r="DN2019" s="406" t="s">
        <v>6295</v>
      </c>
      <c r="DO2019" s="406">
        <v>-16.18</v>
      </c>
      <c r="DP2019" s="80">
        <v>208</v>
      </c>
    </row>
    <row r="2020" spans="29:120" x14ac:dyDescent="0.25">
      <c r="AC2020" s="122" t="s">
        <v>340</v>
      </c>
      <c r="AD2020" s="122" t="s">
        <v>2390</v>
      </c>
      <c r="AE2020" s="127">
        <v>5</v>
      </c>
      <c r="DA2020" s="122" t="s">
        <v>333</v>
      </c>
      <c r="DB2020" s="122" t="s">
        <v>7127</v>
      </c>
      <c r="DC2020" s="122" t="s">
        <v>2760</v>
      </c>
      <c r="DD2020" s="127">
        <v>3</v>
      </c>
      <c r="DE2020" s="127">
        <v>3</v>
      </c>
      <c r="DG2020" s="405" t="s">
        <v>333</v>
      </c>
      <c r="DH2020" s="406" t="s">
        <v>2760</v>
      </c>
      <c r="DI2020" s="406" t="str">
        <f t="shared" si="63"/>
        <v>MG, Santa Juliana</v>
      </c>
      <c r="DJ2020" s="406">
        <v>-19.309000000000001</v>
      </c>
      <c r="DK2020" s="80">
        <v>-47.524999999999999</v>
      </c>
      <c r="DL2020" s="80">
        <v>907</v>
      </c>
      <c r="DM2020" s="64">
        <v>3</v>
      </c>
      <c r="DN2020" s="406" t="s">
        <v>6927</v>
      </c>
      <c r="DO2020" s="406">
        <v>-19.86</v>
      </c>
      <c r="DP2020" s="80">
        <v>912</v>
      </c>
    </row>
    <row r="2021" spans="29:120" x14ac:dyDescent="0.25">
      <c r="AC2021" s="122" t="s">
        <v>336</v>
      </c>
      <c r="AD2021" s="122" t="s">
        <v>2391</v>
      </c>
      <c r="AE2021" s="127">
        <v>5</v>
      </c>
      <c r="DA2021" s="122" t="s">
        <v>333</v>
      </c>
      <c r="DB2021" s="122" t="s">
        <v>6360</v>
      </c>
      <c r="DC2021" s="122" t="s">
        <v>1864</v>
      </c>
      <c r="DD2021" s="127">
        <v>3</v>
      </c>
      <c r="DE2021" s="127">
        <v>3</v>
      </c>
      <c r="DG2021" s="405" t="s">
        <v>333</v>
      </c>
      <c r="DH2021" s="406" t="s">
        <v>1864</v>
      </c>
      <c r="DI2021" s="406" t="str">
        <f t="shared" si="63"/>
        <v>MG, Santa Luzia</v>
      </c>
      <c r="DJ2021" s="406">
        <v>-19.77</v>
      </c>
      <c r="DK2021" s="80">
        <v>-43.850999999999999</v>
      </c>
      <c r="DL2021" s="80">
        <v>751</v>
      </c>
      <c r="DM2021" s="64">
        <v>3</v>
      </c>
      <c r="DN2021" s="406" t="s">
        <v>6838</v>
      </c>
      <c r="DO2021" s="406">
        <v>-19.82</v>
      </c>
      <c r="DP2021" s="80">
        <v>869</v>
      </c>
    </row>
    <row r="2022" spans="29:120" x14ac:dyDescent="0.25">
      <c r="AC2022" s="122" t="s">
        <v>289</v>
      </c>
      <c r="AD2022" s="122" t="s">
        <v>2392</v>
      </c>
      <c r="AE2022" s="127">
        <v>5</v>
      </c>
      <c r="DA2022" s="122" t="s">
        <v>333</v>
      </c>
      <c r="DB2022" s="122" t="s">
        <v>7128</v>
      </c>
      <c r="DC2022" s="122" t="s">
        <v>680</v>
      </c>
      <c r="DD2022" s="127">
        <v>3</v>
      </c>
      <c r="DE2022" s="127">
        <v>3</v>
      </c>
      <c r="DG2022" s="405" t="s">
        <v>333</v>
      </c>
      <c r="DH2022" s="406" t="s">
        <v>680</v>
      </c>
      <c r="DI2022" s="406" t="str">
        <f t="shared" si="63"/>
        <v>MG, Santa Margarida</v>
      </c>
      <c r="DJ2022" s="406">
        <v>-20.384</v>
      </c>
      <c r="DK2022" s="80">
        <v>-42.250999999999998</v>
      </c>
      <c r="DL2022" s="80">
        <v>720</v>
      </c>
      <c r="DM2022" s="64">
        <v>3</v>
      </c>
      <c r="DN2022" s="406" t="s">
        <v>6478</v>
      </c>
      <c r="DO2022" s="406">
        <v>-20.73</v>
      </c>
      <c r="DP2022" s="80">
        <v>399</v>
      </c>
    </row>
    <row r="2023" spans="29:120" x14ac:dyDescent="0.25">
      <c r="AC2023" s="122" t="s">
        <v>340</v>
      </c>
      <c r="AD2023" s="122" t="s">
        <v>2393</v>
      </c>
      <c r="AE2023" s="127">
        <v>6</v>
      </c>
      <c r="DA2023" s="122" t="s">
        <v>333</v>
      </c>
      <c r="DB2023" s="122" t="s">
        <v>7129</v>
      </c>
      <c r="DC2023" s="122" t="s">
        <v>3421</v>
      </c>
      <c r="DD2023" s="127">
        <v>3</v>
      </c>
      <c r="DE2023" s="127">
        <v>3</v>
      </c>
      <c r="DG2023" s="405" t="s">
        <v>333</v>
      </c>
      <c r="DH2023" s="406" t="s">
        <v>3421</v>
      </c>
      <c r="DI2023" s="406" t="str">
        <f t="shared" si="63"/>
        <v>MG, Santa Maria de Itabira</v>
      </c>
      <c r="DJ2023" s="406">
        <v>-19.449000000000002</v>
      </c>
      <c r="DK2023" s="80">
        <v>-43.113</v>
      </c>
      <c r="DL2023" s="80">
        <v>506</v>
      </c>
      <c r="DM2023" s="64">
        <v>3</v>
      </c>
      <c r="DN2023" s="406" t="s">
        <v>6798</v>
      </c>
      <c r="DO2023" s="406">
        <v>-19.579999999999998</v>
      </c>
      <c r="DP2023" s="80">
        <v>333</v>
      </c>
    </row>
    <row r="2024" spans="29:120" x14ac:dyDescent="0.25">
      <c r="AC2024" s="122" t="s">
        <v>322</v>
      </c>
      <c r="AD2024" s="122" t="s">
        <v>2394</v>
      </c>
      <c r="AE2024" s="127">
        <v>6</v>
      </c>
      <c r="DA2024" s="122" t="s">
        <v>333</v>
      </c>
      <c r="DB2024" s="122" t="s">
        <v>7130</v>
      </c>
      <c r="DC2024" s="122" t="s">
        <v>1960</v>
      </c>
      <c r="DD2024" s="127">
        <v>5</v>
      </c>
      <c r="DE2024" s="127">
        <v>5</v>
      </c>
      <c r="DG2024" s="405" t="s">
        <v>333</v>
      </c>
      <c r="DH2024" s="406" t="s">
        <v>1960</v>
      </c>
      <c r="DI2024" s="406" t="str">
        <f t="shared" si="63"/>
        <v>MG, Santa Maria do Salto</v>
      </c>
      <c r="DJ2024" s="406">
        <v>-16.248999999999999</v>
      </c>
      <c r="DK2024" s="80">
        <v>-40.149000000000001</v>
      </c>
      <c r="DL2024" s="80">
        <v>200</v>
      </c>
      <c r="DM2024" s="64">
        <v>5</v>
      </c>
      <c r="DN2024" s="406" t="s">
        <v>6295</v>
      </c>
      <c r="DO2024" s="406">
        <v>-16.18</v>
      </c>
      <c r="DP2024" s="80">
        <v>208</v>
      </c>
    </row>
    <row r="2025" spans="29:120" x14ac:dyDescent="0.25">
      <c r="AC2025" s="122" t="s">
        <v>333</v>
      </c>
      <c r="AD2025" s="122" t="s">
        <v>2395</v>
      </c>
      <c r="AE2025" s="127">
        <v>2</v>
      </c>
      <c r="DA2025" s="122" t="s">
        <v>333</v>
      </c>
      <c r="DB2025" s="122" t="s">
        <v>7131</v>
      </c>
      <c r="DC2025" s="122" t="s">
        <v>2085</v>
      </c>
      <c r="DD2025" s="127">
        <v>3</v>
      </c>
      <c r="DE2025" s="127">
        <v>3</v>
      </c>
      <c r="DG2025" s="405" t="s">
        <v>333</v>
      </c>
      <c r="DH2025" s="406" t="s">
        <v>2085</v>
      </c>
      <c r="DI2025" s="406" t="str">
        <f t="shared" si="63"/>
        <v>MG, Santa Maria do Suaçuí</v>
      </c>
      <c r="DJ2025" s="406">
        <v>-18.190000000000001</v>
      </c>
      <c r="DK2025" s="80">
        <v>-42.414000000000001</v>
      </c>
      <c r="DL2025" s="80">
        <v>476</v>
      </c>
      <c r="DM2025" s="64">
        <v>3</v>
      </c>
      <c r="DN2025" s="406" t="s">
        <v>6800</v>
      </c>
      <c r="DO2025" s="406">
        <v>-17.690000000000001</v>
      </c>
      <c r="DP2025" s="80">
        <v>932</v>
      </c>
    </row>
    <row r="2026" spans="29:120" x14ac:dyDescent="0.25">
      <c r="AC2026" s="122" t="s">
        <v>372</v>
      </c>
      <c r="AD2026" s="122" t="s">
        <v>2396</v>
      </c>
      <c r="AE2026" s="127">
        <v>8</v>
      </c>
      <c r="DA2026" s="122" t="s">
        <v>333</v>
      </c>
      <c r="DB2026" s="122" t="s">
        <v>7132</v>
      </c>
      <c r="DC2026" s="122" t="s">
        <v>1047</v>
      </c>
      <c r="DD2026" s="127">
        <v>3</v>
      </c>
      <c r="DE2026" s="127">
        <v>3</v>
      </c>
      <c r="DG2026" s="405" t="s">
        <v>333</v>
      </c>
      <c r="DH2026" s="406" t="s">
        <v>1047</v>
      </c>
      <c r="DI2026" s="406" t="str">
        <f t="shared" si="63"/>
        <v>MG, Santa Rita de Caldas</v>
      </c>
      <c r="DJ2026" s="406">
        <v>-22.029</v>
      </c>
      <c r="DK2026" s="80">
        <v>-46.337000000000003</v>
      </c>
      <c r="DL2026" s="80">
        <v>1072</v>
      </c>
      <c r="DM2026" s="64">
        <v>3</v>
      </c>
      <c r="DN2026" s="406" t="s">
        <v>6823</v>
      </c>
      <c r="DO2026" s="406">
        <v>-21.92</v>
      </c>
      <c r="DP2026" s="80">
        <v>1150</v>
      </c>
    </row>
    <row r="2027" spans="29:120" x14ac:dyDescent="0.25">
      <c r="AC2027" s="122" t="s">
        <v>336</v>
      </c>
      <c r="AD2027" s="122" t="s">
        <v>2397</v>
      </c>
      <c r="AE2027" s="127">
        <v>6</v>
      </c>
      <c r="DA2027" s="122" t="s">
        <v>333</v>
      </c>
      <c r="DB2027" s="122" t="s">
        <v>7133</v>
      </c>
      <c r="DC2027" s="122" t="s">
        <v>682</v>
      </c>
      <c r="DD2027" s="127">
        <v>3</v>
      </c>
      <c r="DE2027" s="127">
        <v>3</v>
      </c>
      <c r="DG2027" s="405" t="s">
        <v>333</v>
      </c>
      <c r="DH2027" s="406" t="s">
        <v>5799</v>
      </c>
      <c r="DI2027" s="406" t="str">
        <f t="shared" si="63"/>
        <v>MG, Santa Rita de Ibitipoca</v>
      </c>
      <c r="DJ2027" s="406">
        <v>-21.562999999999999</v>
      </c>
      <c r="DK2027" s="80">
        <v>-43.914999999999999</v>
      </c>
      <c r="DL2027" s="80">
        <v>1101</v>
      </c>
      <c r="DM2027" s="64">
        <v>3</v>
      </c>
      <c r="DN2027" s="406" t="s">
        <v>6813</v>
      </c>
      <c r="DO2027" s="406">
        <v>-21.14</v>
      </c>
      <c r="DP2027" s="80">
        <v>991</v>
      </c>
    </row>
    <row r="2028" spans="29:120" x14ac:dyDescent="0.25">
      <c r="AC2028" s="122" t="s">
        <v>340</v>
      </c>
      <c r="AD2028" s="122" t="s">
        <v>2398</v>
      </c>
      <c r="AE2028" s="127">
        <v>5</v>
      </c>
      <c r="DA2028" s="122" t="s">
        <v>333</v>
      </c>
      <c r="DB2028" s="122" t="s">
        <v>7134</v>
      </c>
      <c r="DC2028" s="122" t="s">
        <v>3398</v>
      </c>
      <c r="DD2028" s="127">
        <v>3</v>
      </c>
      <c r="DE2028" s="127">
        <v>3</v>
      </c>
      <c r="DG2028" s="405" t="s">
        <v>333</v>
      </c>
      <c r="DH2028" s="406" t="s">
        <v>682</v>
      </c>
      <c r="DI2028" s="406" t="str">
        <f t="shared" si="63"/>
        <v>MG, Santa Rita de Jacutinga</v>
      </c>
      <c r="DJ2028" s="406">
        <v>-22.149000000000001</v>
      </c>
      <c r="DK2028" s="80">
        <v>-44.094999999999999</v>
      </c>
      <c r="DL2028" s="80">
        <v>550</v>
      </c>
      <c r="DM2028" s="64">
        <v>3</v>
      </c>
      <c r="DN2028" s="406" t="s">
        <v>6856</v>
      </c>
      <c r="DO2028" s="406">
        <v>-22.25</v>
      </c>
      <c r="DP2028" s="80">
        <v>367</v>
      </c>
    </row>
    <row r="2029" spans="29:120" x14ac:dyDescent="0.25">
      <c r="AC2029" s="122" t="s">
        <v>323</v>
      </c>
      <c r="AD2029" s="122" t="s">
        <v>2399</v>
      </c>
      <c r="AE2029" s="127">
        <v>7</v>
      </c>
      <c r="DA2029" s="122" t="s">
        <v>333</v>
      </c>
      <c r="DB2029" s="122" t="s">
        <v>7135</v>
      </c>
      <c r="DC2029" s="122" t="s">
        <v>681</v>
      </c>
      <c r="DD2029" s="127">
        <v>3</v>
      </c>
      <c r="DE2029" s="127">
        <v>3</v>
      </c>
      <c r="DG2029" s="405" t="s">
        <v>333</v>
      </c>
      <c r="DH2029" s="406" t="s">
        <v>3398</v>
      </c>
      <c r="DI2029" s="406" t="str">
        <f t="shared" si="63"/>
        <v>MG, Santa Rita de Minas</v>
      </c>
      <c r="DJ2029" s="406">
        <v>-19.875</v>
      </c>
      <c r="DK2029" s="80">
        <v>-42.131999999999998</v>
      </c>
      <c r="DL2029" s="80">
        <v>950</v>
      </c>
      <c r="DM2029" s="64">
        <v>3</v>
      </c>
      <c r="DN2029" s="406" t="s">
        <v>6819</v>
      </c>
      <c r="DO2029" s="406">
        <v>-19.79</v>
      </c>
      <c r="DP2029" s="80">
        <v>615</v>
      </c>
    </row>
    <row r="2030" spans="29:120" x14ac:dyDescent="0.25">
      <c r="AC2030" s="122" t="s">
        <v>323</v>
      </c>
      <c r="AD2030" s="122" t="s">
        <v>2400</v>
      </c>
      <c r="AE2030" s="127">
        <v>5</v>
      </c>
      <c r="DA2030" s="122" t="s">
        <v>333</v>
      </c>
      <c r="DB2030" s="122" t="s">
        <v>7136</v>
      </c>
      <c r="DC2030" s="122" t="s">
        <v>1947</v>
      </c>
      <c r="DD2030" s="127">
        <v>5</v>
      </c>
      <c r="DE2030" s="127">
        <v>5</v>
      </c>
      <c r="DG2030" s="405" t="s">
        <v>333</v>
      </c>
      <c r="DH2030" s="406" t="s">
        <v>1947</v>
      </c>
      <c r="DI2030" s="406" t="str">
        <f t="shared" si="63"/>
        <v>MG, Santa Rita do Itueto</v>
      </c>
      <c r="DJ2030" s="406">
        <v>-19.36</v>
      </c>
      <c r="DK2030" s="80">
        <v>-41.38</v>
      </c>
      <c r="DL2030" s="80">
        <v>320</v>
      </c>
      <c r="DM2030" s="64">
        <v>5</v>
      </c>
      <c r="DN2030" s="406" t="s">
        <v>6465</v>
      </c>
      <c r="DO2030" s="406">
        <v>-19.5</v>
      </c>
      <c r="DP2030" s="80">
        <v>84</v>
      </c>
    </row>
    <row r="2031" spans="29:120" x14ac:dyDescent="0.25">
      <c r="AC2031" s="122" t="s">
        <v>372</v>
      </c>
      <c r="AD2031" s="122" t="s">
        <v>2401</v>
      </c>
      <c r="AE2031" s="127">
        <v>8</v>
      </c>
      <c r="DA2031" s="122" t="s">
        <v>333</v>
      </c>
      <c r="DB2031" s="122" t="s">
        <v>7137</v>
      </c>
      <c r="DC2031" s="122" t="s">
        <v>949</v>
      </c>
      <c r="DD2031" s="127">
        <v>2</v>
      </c>
      <c r="DE2031" s="127">
        <v>2</v>
      </c>
      <c r="DG2031" s="405" t="s">
        <v>333</v>
      </c>
      <c r="DH2031" s="406" t="s">
        <v>949</v>
      </c>
      <c r="DI2031" s="406" t="str">
        <f t="shared" si="63"/>
        <v>MG, Santa Rita do Sapucaí</v>
      </c>
      <c r="DJ2031" s="406">
        <v>-22.251999999999999</v>
      </c>
      <c r="DK2031" s="80">
        <v>-45.703000000000003</v>
      </c>
      <c r="DL2031" s="80">
        <v>826</v>
      </c>
      <c r="DM2031" s="64">
        <v>2</v>
      </c>
      <c r="DN2031" s="406" t="s">
        <v>6881</v>
      </c>
      <c r="DO2031" s="406">
        <v>-22.31</v>
      </c>
      <c r="DP2031" s="80">
        <v>1276</v>
      </c>
    </row>
    <row r="2032" spans="29:120" x14ac:dyDescent="0.25">
      <c r="AC2032" s="122" t="s">
        <v>340</v>
      </c>
      <c r="AD2032" s="122" t="s">
        <v>2402</v>
      </c>
      <c r="AE2032" s="127">
        <v>5</v>
      </c>
      <c r="DA2032" s="122" t="s">
        <v>333</v>
      </c>
      <c r="DB2032" s="122" t="s">
        <v>7138</v>
      </c>
      <c r="DC2032" s="122" t="s">
        <v>2294</v>
      </c>
      <c r="DD2032" s="127">
        <v>3</v>
      </c>
      <c r="DE2032" s="127">
        <v>3</v>
      </c>
      <c r="DG2032" s="405" t="s">
        <v>333</v>
      </c>
      <c r="DH2032" s="406" t="s">
        <v>2294</v>
      </c>
      <c r="DI2032" s="406" t="str">
        <f t="shared" si="63"/>
        <v>MG, Santa Rosa da Serra</v>
      </c>
      <c r="DJ2032" s="406">
        <v>-19.53</v>
      </c>
      <c r="DK2032" s="80">
        <v>-45.966000000000001</v>
      </c>
      <c r="DL2032" s="80">
        <v>1011</v>
      </c>
      <c r="DM2032" s="64">
        <v>3</v>
      </c>
      <c r="DN2032" s="406" t="s">
        <v>6795</v>
      </c>
      <c r="DO2032" s="406">
        <v>-19.46</v>
      </c>
      <c r="DP2032" s="80">
        <v>722</v>
      </c>
    </row>
    <row r="2033" spans="29:120" x14ac:dyDescent="0.25">
      <c r="AC2033" s="122" t="s">
        <v>340</v>
      </c>
      <c r="AD2033" s="122" t="s">
        <v>2403</v>
      </c>
      <c r="AE2033" s="127">
        <v>6</v>
      </c>
      <c r="DA2033" s="122" t="s">
        <v>333</v>
      </c>
      <c r="DB2033" s="122" t="s">
        <v>7139</v>
      </c>
      <c r="DC2033" s="122" t="s">
        <v>2752</v>
      </c>
      <c r="DD2033" s="127">
        <v>6</v>
      </c>
      <c r="DE2033" s="127">
        <v>6</v>
      </c>
      <c r="DG2033" s="405" t="s">
        <v>333</v>
      </c>
      <c r="DH2033" s="406" t="s">
        <v>2752</v>
      </c>
      <c r="DI2033" s="406" t="str">
        <f t="shared" si="63"/>
        <v>MG, Santa Vitória</v>
      </c>
      <c r="DJ2033" s="406">
        <v>-18.838999999999999</v>
      </c>
      <c r="DK2033" s="80">
        <v>-50.121000000000002</v>
      </c>
      <c r="DL2033" s="80">
        <v>498</v>
      </c>
      <c r="DM2033" s="64">
        <v>6</v>
      </c>
      <c r="DN2033" s="406" t="s">
        <v>6541</v>
      </c>
      <c r="DO2033" s="406">
        <v>-18.989999999999998</v>
      </c>
      <c r="DP2033" s="80">
        <v>489</v>
      </c>
    </row>
    <row r="2034" spans="29:120" x14ac:dyDescent="0.25">
      <c r="AC2034" s="122" t="s">
        <v>340</v>
      </c>
      <c r="AD2034" s="122" t="s">
        <v>2404</v>
      </c>
      <c r="AE2034" s="127">
        <v>6</v>
      </c>
      <c r="DA2034" s="122" t="s">
        <v>333</v>
      </c>
      <c r="DB2034" s="122" t="s">
        <v>7140</v>
      </c>
      <c r="DC2034" s="122" t="s">
        <v>683</v>
      </c>
      <c r="DD2034" s="127">
        <v>2</v>
      </c>
      <c r="DE2034" s="127">
        <v>2</v>
      </c>
      <c r="DG2034" s="405" t="s">
        <v>333</v>
      </c>
      <c r="DH2034" s="406" t="s">
        <v>683</v>
      </c>
      <c r="DI2034" s="406" t="str">
        <f t="shared" si="63"/>
        <v>MG, Santana da Vargem</v>
      </c>
      <c r="DJ2034" s="406">
        <v>-21.248999999999999</v>
      </c>
      <c r="DK2034" s="80">
        <v>-45.506999999999998</v>
      </c>
      <c r="DL2034" s="80">
        <v>817</v>
      </c>
      <c r="DM2034" s="64">
        <v>2</v>
      </c>
      <c r="DN2034" s="406" t="s">
        <v>6811</v>
      </c>
      <c r="DO2034" s="406">
        <v>-21.55</v>
      </c>
      <c r="DP2034" s="80">
        <v>955</v>
      </c>
    </row>
    <row r="2035" spans="29:120" x14ac:dyDescent="0.25">
      <c r="AC2035" s="122" t="s">
        <v>340</v>
      </c>
      <c r="AD2035" s="122" t="s">
        <v>2405</v>
      </c>
      <c r="AE2035" s="127">
        <v>6</v>
      </c>
      <c r="DA2035" s="122" t="s">
        <v>333</v>
      </c>
      <c r="DB2035" s="122" t="s">
        <v>7141</v>
      </c>
      <c r="DC2035" s="122" t="s">
        <v>3307</v>
      </c>
      <c r="DD2035" s="127">
        <v>5</v>
      </c>
      <c r="DE2035" s="127">
        <v>5</v>
      </c>
      <c r="DG2035" s="405" t="s">
        <v>333</v>
      </c>
      <c r="DH2035" s="406" t="s">
        <v>3307</v>
      </c>
      <c r="DI2035" s="406" t="str">
        <f t="shared" si="63"/>
        <v>MG, Santana de Cataguases</v>
      </c>
      <c r="DJ2035" s="406">
        <v>-21.286999999999999</v>
      </c>
      <c r="DK2035" s="80">
        <v>-42.557000000000002</v>
      </c>
      <c r="DL2035" s="80">
        <v>232</v>
      </c>
      <c r="DM2035" s="64">
        <v>5</v>
      </c>
      <c r="DN2035" s="406" t="s">
        <v>6827</v>
      </c>
      <c r="DO2035" s="406">
        <v>-21.13</v>
      </c>
      <c r="DP2035" s="80">
        <v>297</v>
      </c>
    </row>
    <row r="2036" spans="29:120" x14ac:dyDescent="0.25">
      <c r="AC2036" s="122" t="s">
        <v>322</v>
      </c>
      <c r="AD2036" s="122" t="s">
        <v>2406</v>
      </c>
      <c r="AE2036" s="127">
        <v>6</v>
      </c>
      <c r="DA2036" s="122" t="s">
        <v>333</v>
      </c>
      <c r="DB2036" s="122" t="s">
        <v>7142</v>
      </c>
      <c r="DC2036" s="122" t="s">
        <v>2818</v>
      </c>
      <c r="DD2036" s="127">
        <v>3</v>
      </c>
      <c r="DE2036" s="127">
        <v>3</v>
      </c>
      <c r="DG2036" s="405" t="s">
        <v>333</v>
      </c>
      <c r="DH2036" s="406" t="s">
        <v>2818</v>
      </c>
      <c r="DI2036" s="406" t="str">
        <f t="shared" si="63"/>
        <v>MG, Santana de Pirapama</v>
      </c>
      <c r="DJ2036" s="406">
        <v>-19.006</v>
      </c>
      <c r="DK2036" s="80">
        <v>-44.042999999999999</v>
      </c>
      <c r="DL2036" s="80">
        <v>628</v>
      </c>
      <c r="DM2036" s="64">
        <v>3</v>
      </c>
      <c r="DN2036" s="406" t="s">
        <v>6828</v>
      </c>
      <c r="DO2036" s="406">
        <v>-18.760000000000002</v>
      </c>
      <c r="DP2036" s="80">
        <v>670</v>
      </c>
    </row>
    <row r="2037" spans="29:120" x14ac:dyDescent="0.25">
      <c r="AC2037" s="122" t="s">
        <v>289</v>
      </c>
      <c r="AD2037" s="122" t="s">
        <v>2407</v>
      </c>
      <c r="AE2037" s="127">
        <v>5</v>
      </c>
      <c r="DA2037" s="122" t="s">
        <v>333</v>
      </c>
      <c r="DB2037" s="122" t="s">
        <v>7143</v>
      </c>
      <c r="DC2037" s="122" t="s">
        <v>684</v>
      </c>
      <c r="DD2037" s="127">
        <v>3</v>
      </c>
      <c r="DE2037" s="127">
        <v>3</v>
      </c>
      <c r="DG2037" s="405" t="s">
        <v>333</v>
      </c>
      <c r="DH2037" s="406" t="s">
        <v>684</v>
      </c>
      <c r="DI2037" s="406" t="str">
        <f t="shared" si="63"/>
        <v>MG, Santana do Deserto</v>
      </c>
      <c r="DJ2037" s="406">
        <v>-21.95</v>
      </c>
      <c r="DK2037" s="80">
        <v>-43.165999999999997</v>
      </c>
      <c r="DL2037" s="80">
        <v>372</v>
      </c>
      <c r="DM2037" s="64">
        <v>3</v>
      </c>
      <c r="DN2037" s="406" t="s">
        <v>6829</v>
      </c>
      <c r="DO2037" s="406">
        <v>-21.76</v>
      </c>
      <c r="DP2037" s="80">
        <v>950</v>
      </c>
    </row>
    <row r="2038" spans="29:120" x14ac:dyDescent="0.25">
      <c r="AC2038" s="122" t="s">
        <v>247</v>
      </c>
      <c r="AD2038" s="122" t="s">
        <v>2408</v>
      </c>
      <c r="AE2038" s="127">
        <v>8</v>
      </c>
      <c r="DA2038" s="122" t="s">
        <v>333</v>
      </c>
      <c r="DB2038" s="122" t="s">
        <v>7144</v>
      </c>
      <c r="DC2038" s="122" t="s">
        <v>685</v>
      </c>
      <c r="DD2038" s="127">
        <v>3</v>
      </c>
      <c r="DE2038" s="127">
        <v>3</v>
      </c>
      <c r="DG2038" s="405" t="s">
        <v>333</v>
      </c>
      <c r="DH2038" s="406" t="s">
        <v>685</v>
      </c>
      <c r="DI2038" s="406" t="str">
        <f t="shared" si="63"/>
        <v>MG, Santana do Garambéu</v>
      </c>
      <c r="DJ2038" s="406">
        <v>-21.600999999999999</v>
      </c>
      <c r="DK2038" s="80">
        <v>-44.103999999999999</v>
      </c>
      <c r="DL2038" s="80">
        <v>1105</v>
      </c>
      <c r="DM2038" s="64">
        <v>3</v>
      </c>
      <c r="DN2038" s="406" t="s">
        <v>6813</v>
      </c>
      <c r="DO2038" s="406">
        <v>-21.14</v>
      </c>
      <c r="DP2038" s="80">
        <v>991</v>
      </c>
    </row>
    <row r="2039" spans="29:120" x14ac:dyDescent="0.25">
      <c r="AC2039" s="122" t="s">
        <v>317</v>
      </c>
      <c r="AD2039" s="122" t="s">
        <v>2409</v>
      </c>
      <c r="AE2039" s="127">
        <v>8</v>
      </c>
      <c r="DA2039" s="122" t="s">
        <v>333</v>
      </c>
      <c r="DB2039" s="122" t="s">
        <v>7145</v>
      </c>
      <c r="DC2039" s="122" t="s">
        <v>2298</v>
      </c>
      <c r="DD2039" s="127">
        <v>3</v>
      </c>
      <c r="DE2039" s="127">
        <v>3</v>
      </c>
      <c r="DG2039" s="405" t="s">
        <v>333</v>
      </c>
      <c r="DH2039" s="406" t="s">
        <v>2298</v>
      </c>
      <c r="DI2039" s="406" t="str">
        <f t="shared" si="63"/>
        <v>MG, Santana do Jacaré</v>
      </c>
      <c r="DJ2039" s="406">
        <v>-20.898</v>
      </c>
      <c r="DK2039" s="80">
        <v>-45.131</v>
      </c>
      <c r="DL2039" s="80">
        <v>797</v>
      </c>
      <c r="DM2039" s="64">
        <v>3</v>
      </c>
      <c r="DN2039" s="406" t="s">
        <v>6803</v>
      </c>
      <c r="DO2039" s="406">
        <v>-20.46</v>
      </c>
      <c r="DP2039" s="80">
        <v>878</v>
      </c>
    </row>
    <row r="2040" spans="29:120" x14ac:dyDescent="0.25">
      <c r="AC2040" s="122" t="s">
        <v>317</v>
      </c>
      <c r="AD2040" s="122" t="s">
        <v>2410</v>
      </c>
      <c r="AE2040" s="127">
        <v>8</v>
      </c>
      <c r="DA2040" s="122" t="s">
        <v>333</v>
      </c>
      <c r="DB2040" s="122" t="s">
        <v>7146</v>
      </c>
      <c r="DC2040" s="122" t="s">
        <v>3471</v>
      </c>
      <c r="DD2040" s="127">
        <v>3</v>
      </c>
      <c r="DE2040" s="127">
        <v>3</v>
      </c>
      <c r="DG2040" s="405" t="s">
        <v>333</v>
      </c>
      <c r="DH2040" s="406" t="s">
        <v>3471</v>
      </c>
      <c r="DI2040" s="406" t="str">
        <f t="shared" si="63"/>
        <v>MG, Santana do Manhuaçu</v>
      </c>
      <c r="DJ2040" s="406">
        <v>-20.108000000000001</v>
      </c>
      <c r="DK2040" s="80">
        <v>-41.924999999999997</v>
      </c>
      <c r="DL2040" s="80">
        <v>650</v>
      </c>
      <c r="DM2040" s="64">
        <v>3</v>
      </c>
      <c r="DN2040" s="406" t="s">
        <v>6819</v>
      </c>
      <c r="DO2040" s="406">
        <v>-19.79</v>
      </c>
      <c r="DP2040" s="80">
        <v>615</v>
      </c>
    </row>
    <row r="2041" spans="29:120" x14ac:dyDescent="0.25">
      <c r="AC2041" s="122" t="s">
        <v>323</v>
      </c>
      <c r="AD2041" s="122" t="s">
        <v>2411</v>
      </c>
      <c r="AE2041" s="127">
        <v>8</v>
      </c>
      <c r="DA2041" s="122" t="s">
        <v>333</v>
      </c>
      <c r="DB2041" s="122" t="s">
        <v>7147</v>
      </c>
      <c r="DC2041" s="122" t="s">
        <v>2511</v>
      </c>
      <c r="DD2041" s="127">
        <v>3</v>
      </c>
      <c r="DE2041" s="127">
        <v>3</v>
      </c>
      <c r="DG2041" s="405" t="s">
        <v>333</v>
      </c>
      <c r="DH2041" s="406" t="s">
        <v>2511</v>
      </c>
      <c r="DI2041" s="406" t="str">
        <f t="shared" si="63"/>
        <v>MG, Santana do Paraíso</v>
      </c>
      <c r="DJ2041" s="406">
        <v>-19.364000000000001</v>
      </c>
      <c r="DK2041" s="80">
        <v>-42.569000000000003</v>
      </c>
      <c r="DL2041" s="80">
        <v>285</v>
      </c>
      <c r="DM2041" s="64">
        <v>3</v>
      </c>
      <c r="DN2041" s="406" t="s">
        <v>6798</v>
      </c>
      <c r="DO2041" s="406">
        <v>-19.579999999999998</v>
      </c>
      <c r="DP2041" s="80">
        <v>333</v>
      </c>
    </row>
    <row r="2042" spans="29:120" x14ac:dyDescent="0.25">
      <c r="AC2042" s="122" t="s">
        <v>317</v>
      </c>
      <c r="AD2042" s="122" t="s">
        <v>2412</v>
      </c>
      <c r="AE2042" s="127">
        <v>8</v>
      </c>
      <c r="DA2042" s="122" t="s">
        <v>333</v>
      </c>
      <c r="DB2042" s="122" t="s">
        <v>7148</v>
      </c>
      <c r="DC2042" s="122" t="s">
        <v>3533</v>
      </c>
      <c r="DD2042" s="127">
        <v>3</v>
      </c>
      <c r="DE2042" s="127">
        <v>3</v>
      </c>
      <c r="DG2042" s="405" t="s">
        <v>333</v>
      </c>
      <c r="DH2042" s="406" t="s">
        <v>3533</v>
      </c>
      <c r="DI2042" s="406" t="str">
        <f t="shared" si="63"/>
        <v>MG, Santana do Riacho</v>
      </c>
      <c r="DJ2042" s="406">
        <v>-19.169</v>
      </c>
      <c r="DK2042" s="80">
        <v>-43.713999999999999</v>
      </c>
      <c r="DL2042" s="80">
        <v>700</v>
      </c>
      <c r="DM2042" s="64">
        <v>3</v>
      </c>
      <c r="DN2042" s="406" t="s">
        <v>6838</v>
      </c>
      <c r="DO2042" s="406">
        <v>-19.82</v>
      </c>
      <c r="DP2042" s="80">
        <v>869</v>
      </c>
    </row>
    <row r="2043" spans="29:120" x14ac:dyDescent="0.25">
      <c r="AC2043" s="122" t="s">
        <v>317</v>
      </c>
      <c r="AD2043" s="122" t="s">
        <v>2413</v>
      </c>
      <c r="AE2043" s="127">
        <v>8</v>
      </c>
      <c r="DA2043" s="122" t="s">
        <v>333</v>
      </c>
      <c r="DB2043" s="122" t="s">
        <v>7149</v>
      </c>
      <c r="DC2043" s="122" t="s">
        <v>686</v>
      </c>
      <c r="DD2043" s="127">
        <v>3</v>
      </c>
      <c r="DE2043" s="127">
        <v>3</v>
      </c>
      <c r="DG2043" s="405" t="s">
        <v>333</v>
      </c>
      <c r="DH2043" s="406" t="s">
        <v>686</v>
      </c>
      <c r="DI2043" s="406" t="str">
        <f t="shared" si="63"/>
        <v>MG, Santana dos Montes</v>
      </c>
      <c r="DJ2043" s="406">
        <v>-20.788</v>
      </c>
      <c r="DK2043" s="80">
        <v>-43.692</v>
      </c>
      <c r="DL2043" s="80">
        <v>746</v>
      </c>
      <c r="DM2043" s="64">
        <v>3</v>
      </c>
      <c r="DN2043" s="406" t="s">
        <v>6848</v>
      </c>
      <c r="DO2043" s="406">
        <v>-20.52</v>
      </c>
      <c r="DP2043" s="80">
        <v>1061</v>
      </c>
    </row>
    <row r="2044" spans="29:120" x14ac:dyDescent="0.25">
      <c r="AC2044" s="122" t="s">
        <v>317</v>
      </c>
      <c r="AD2044" s="122" t="s">
        <v>588</v>
      </c>
      <c r="AE2044" s="127">
        <v>8</v>
      </c>
      <c r="DA2044" s="122" t="s">
        <v>333</v>
      </c>
      <c r="DB2044" s="122" t="s">
        <v>7150</v>
      </c>
      <c r="DC2044" s="122" t="s">
        <v>2191</v>
      </c>
      <c r="DD2044" s="127">
        <v>3</v>
      </c>
      <c r="DE2044" s="127">
        <v>3</v>
      </c>
      <c r="DG2044" s="405" t="s">
        <v>333</v>
      </c>
      <c r="DH2044" s="406" t="s">
        <v>2191</v>
      </c>
      <c r="DI2044" s="406" t="str">
        <f t="shared" si="63"/>
        <v>MG, Santo Antônio do Amparo</v>
      </c>
      <c r="DJ2044" s="406">
        <v>-20.946000000000002</v>
      </c>
      <c r="DK2044" s="80">
        <v>-44.918999999999997</v>
      </c>
      <c r="DL2044" s="80">
        <v>1013</v>
      </c>
      <c r="DM2044" s="64">
        <v>3</v>
      </c>
      <c r="DN2044" s="406" t="s">
        <v>6813</v>
      </c>
      <c r="DO2044" s="406">
        <v>-21.14</v>
      </c>
      <c r="DP2044" s="80">
        <v>991</v>
      </c>
    </row>
    <row r="2045" spans="29:120" x14ac:dyDescent="0.25">
      <c r="AC2045" s="122" t="s">
        <v>323</v>
      </c>
      <c r="AD2045" s="122" t="s">
        <v>2414</v>
      </c>
      <c r="AE2045" s="127">
        <v>8</v>
      </c>
      <c r="DA2045" s="122" t="s">
        <v>333</v>
      </c>
      <c r="DB2045" s="122" t="s">
        <v>7151</v>
      </c>
      <c r="DC2045" s="122" t="s">
        <v>3425</v>
      </c>
      <c r="DD2045" s="127">
        <v>5</v>
      </c>
      <c r="DE2045" s="127">
        <v>5</v>
      </c>
      <c r="DG2045" s="405" t="s">
        <v>333</v>
      </c>
      <c r="DH2045" s="406" t="s">
        <v>3425</v>
      </c>
      <c r="DI2045" s="406" t="str">
        <f t="shared" si="63"/>
        <v>MG, Santo Antônio do Aventureiro</v>
      </c>
      <c r="DJ2045" s="406">
        <v>-21.757999999999999</v>
      </c>
      <c r="DK2045" s="80">
        <v>-42.816000000000003</v>
      </c>
      <c r="DL2045" s="80">
        <v>625</v>
      </c>
      <c r="DM2045" s="64">
        <v>5</v>
      </c>
      <c r="DN2045" s="406" t="s">
        <v>6829</v>
      </c>
      <c r="DO2045" s="406">
        <v>-21.76</v>
      </c>
      <c r="DP2045" s="80">
        <v>950</v>
      </c>
    </row>
    <row r="2046" spans="29:120" x14ac:dyDescent="0.25">
      <c r="AC2046" s="122" t="s">
        <v>247</v>
      </c>
      <c r="AD2046" s="122" t="s">
        <v>2415</v>
      </c>
      <c r="AE2046" s="127">
        <v>8</v>
      </c>
      <c r="DA2046" s="122" t="s">
        <v>333</v>
      </c>
      <c r="DB2046" s="122" t="s">
        <v>7152</v>
      </c>
      <c r="DC2046" s="122" t="s">
        <v>546</v>
      </c>
      <c r="DD2046" s="127">
        <v>3</v>
      </c>
      <c r="DE2046" s="127">
        <v>3</v>
      </c>
      <c r="DG2046" s="405" t="s">
        <v>333</v>
      </c>
      <c r="DH2046" s="406" t="s">
        <v>546</v>
      </c>
      <c r="DI2046" s="406" t="str">
        <f t="shared" si="63"/>
        <v>MG, Santo Antônio do Grama</v>
      </c>
      <c r="DJ2046" s="406">
        <v>-20.314</v>
      </c>
      <c r="DK2046" s="80">
        <v>-42.609000000000002</v>
      </c>
      <c r="DL2046" s="80">
        <v>421</v>
      </c>
      <c r="DM2046" s="64">
        <v>3</v>
      </c>
      <c r="DN2046" s="406" t="s">
        <v>6797</v>
      </c>
      <c r="DO2046" s="406">
        <v>-20.75</v>
      </c>
      <c r="DP2046" s="80">
        <v>712</v>
      </c>
    </row>
    <row r="2047" spans="29:120" x14ac:dyDescent="0.25">
      <c r="AC2047" s="122" t="s">
        <v>317</v>
      </c>
      <c r="AD2047" s="122" t="s">
        <v>2416</v>
      </c>
      <c r="AE2047" s="127">
        <v>8</v>
      </c>
      <c r="DA2047" s="122" t="s">
        <v>333</v>
      </c>
      <c r="DB2047" s="122" t="s">
        <v>7153</v>
      </c>
      <c r="DC2047" s="122" t="s">
        <v>687</v>
      </c>
      <c r="DD2047" s="127">
        <v>3</v>
      </c>
      <c r="DE2047" s="127">
        <v>3</v>
      </c>
      <c r="DG2047" s="405" t="s">
        <v>333</v>
      </c>
      <c r="DH2047" s="406" t="s">
        <v>687</v>
      </c>
      <c r="DI2047" s="406" t="str">
        <f t="shared" si="63"/>
        <v>MG, Santo Antônio do Itambé</v>
      </c>
      <c r="DJ2047" s="406">
        <v>-18.466000000000001</v>
      </c>
      <c r="DK2047" s="80">
        <v>-43.307000000000002</v>
      </c>
      <c r="DL2047" s="80">
        <v>701</v>
      </c>
      <c r="DM2047" s="64">
        <v>3</v>
      </c>
      <c r="DN2047" s="406" t="s">
        <v>6821</v>
      </c>
      <c r="DO2047" s="406">
        <v>-18.23</v>
      </c>
      <c r="DP2047" s="80">
        <v>1356</v>
      </c>
    </row>
    <row r="2048" spans="29:120" x14ac:dyDescent="0.25">
      <c r="AC2048" s="122" t="s">
        <v>323</v>
      </c>
      <c r="AD2048" s="122" t="s">
        <v>2417</v>
      </c>
      <c r="AE2048" s="127">
        <v>8</v>
      </c>
      <c r="DA2048" s="122" t="s">
        <v>333</v>
      </c>
      <c r="DB2048" s="122" t="s">
        <v>7154</v>
      </c>
      <c r="DC2048" s="122" t="s">
        <v>1861</v>
      </c>
      <c r="DD2048" s="127">
        <v>5</v>
      </c>
      <c r="DE2048" s="127">
        <v>5</v>
      </c>
      <c r="DG2048" s="405" t="s">
        <v>333</v>
      </c>
      <c r="DH2048" s="406" t="s">
        <v>1861</v>
      </c>
      <c r="DI2048" s="406" t="str">
        <f t="shared" si="63"/>
        <v>MG, Santo Antônio do Jacinto</v>
      </c>
      <c r="DJ2048" s="406">
        <v>-16.533999999999999</v>
      </c>
      <c r="DK2048" s="80">
        <v>-40.176000000000002</v>
      </c>
      <c r="DL2048" s="80">
        <v>400</v>
      </c>
      <c r="DM2048" s="64">
        <v>5</v>
      </c>
      <c r="DN2048" s="406" t="s">
        <v>6295</v>
      </c>
      <c r="DO2048" s="406">
        <v>-16.18</v>
      </c>
      <c r="DP2048" s="80">
        <v>208</v>
      </c>
    </row>
    <row r="2049" spans="29:120" x14ac:dyDescent="0.25">
      <c r="AC2049" s="122" t="s">
        <v>323</v>
      </c>
      <c r="AD2049" s="122" t="s">
        <v>2418</v>
      </c>
      <c r="AE2049" s="127">
        <v>8</v>
      </c>
      <c r="DA2049" s="122" t="s">
        <v>333</v>
      </c>
      <c r="DB2049" s="122" t="s">
        <v>7155</v>
      </c>
      <c r="DC2049" s="122" t="s">
        <v>3894</v>
      </c>
      <c r="DD2049" s="127">
        <v>3</v>
      </c>
      <c r="DE2049" s="127">
        <v>3</v>
      </c>
      <c r="DG2049" s="405" t="s">
        <v>333</v>
      </c>
      <c r="DH2049" s="406" t="s">
        <v>3894</v>
      </c>
      <c r="DI2049" s="406" t="str">
        <f t="shared" si="63"/>
        <v>MG, Santo Antônio do Monte</v>
      </c>
      <c r="DJ2049" s="406">
        <v>-20.087</v>
      </c>
      <c r="DK2049" s="80">
        <v>-45.293999999999997</v>
      </c>
      <c r="DL2049" s="80">
        <v>919</v>
      </c>
      <c r="DM2049" s="64">
        <v>3</v>
      </c>
      <c r="DN2049" s="406" t="s">
        <v>6803</v>
      </c>
      <c r="DO2049" s="406">
        <v>-20.46</v>
      </c>
      <c r="DP2049" s="80">
        <v>878</v>
      </c>
    </row>
    <row r="2050" spans="29:120" x14ac:dyDescent="0.25">
      <c r="AC2050" s="122" t="s">
        <v>317</v>
      </c>
      <c r="AD2050" s="122" t="s">
        <v>2419</v>
      </c>
      <c r="AE2050" s="127">
        <v>8</v>
      </c>
      <c r="DA2050" s="122" t="s">
        <v>333</v>
      </c>
      <c r="DB2050" s="122" t="s">
        <v>7156</v>
      </c>
      <c r="DC2050" s="122" t="s">
        <v>1974</v>
      </c>
      <c r="DD2050" s="127">
        <v>6</v>
      </c>
      <c r="DE2050" s="127">
        <v>6</v>
      </c>
      <c r="DG2050" s="405" t="s">
        <v>333</v>
      </c>
      <c r="DH2050" s="406" t="s">
        <v>1974</v>
      </c>
      <c r="DI2050" s="406" t="str">
        <f t="shared" si="63"/>
        <v>MG, Santo Antônio do Retiro</v>
      </c>
      <c r="DJ2050" s="406">
        <v>-15.339</v>
      </c>
      <c r="DK2050" s="80">
        <v>-42.624000000000002</v>
      </c>
      <c r="DL2050" s="80">
        <v>815</v>
      </c>
      <c r="DM2050" s="64">
        <v>6</v>
      </c>
      <c r="DN2050" s="406" t="s">
        <v>6993</v>
      </c>
      <c r="DO2050" s="406">
        <v>-15.72</v>
      </c>
      <c r="DP2050" s="80">
        <v>853</v>
      </c>
    </row>
    <row r="2051" spans="29:120" x14ac:dyDescent="0.25">
      <c r="AC2051" s="122" t="s">
        <v>289</v>
      </c>
      <c r="AD2051" s="122" t="s">
        <v>2420</v>
      </c>
      <c r="AE2051" s="127">
        <v>6</v>
      </c>
      <c r="DA2051" s="122" t="s">
        <v>333</v>
      </c>
      <c r="DB2051" s="122" t="s">
        <v>7157</v>
      </c>
      <c r="DC2051" s="122" t="s">
        <v>3694</v>
      </c>
      <c r="DD2051" s="127">
        <v>3</v>
      </c>
      <c r="DE2051" s="127">
        <v>3</v>
      </c>
      <c r="DG2051" s="405" t="s">
        <v>333</v>
      </c>
      <c r="DH2051" s="406" t="s">
        <v>3694</v>
      </c>
      <c r="DI2051" s="406" t="str">
        <f t="shared" ref="DI2051:DI2114" si="64">CONCATENATE(DG2051,", ",DH2051)</f>
        <v>MG, Santo Antônio do Rio Abaixo</v>
      </c>
      <c r="DJ2051" s="406">
        <v>-19.228000000000002</v>
      </c>
      <c r="DK2051" s="80">
        <v>-43.253999999999998</v>
      </c>
      <c r="DL2051" s="80">
        <v>550</v>
      </c>
      <c r="DM2051" s="64">
        <v>3</v>
      </c>
      <c r="DN2051" s="406" t="s">
        <v>6798</v>
      </c>
      <c r="DO2051" s="406">
        <v>-19.579999999999998</v>
      </c>
      <c r="DP2051" s="80">
        <v>333</v>
      </c>
    </row>
    <row r="2052" spans="29:120" x14ac:dyDescent="0.25">
      <c r="AC2052" s="122" t="s">
        <v>323</v>
      </c>
      <c r="AD2052" s="122" t="s">
        <v>2121</v>
      </c>
      <c r="AE2052" s="127">
        <v>7</v>
      </c>
      <c r="DA2052" s="122" t="s">
        <v>333</v>
      </c>
      <c r="DB2052" s="122" t="s">
        <v>7158</v>
      </c>
      <c r="DC2052" s="122" t="s">
        <v>3399</v>
      </c>
      <c r="DD2052" s="127">
        <v>3</v>
      </c>
      <c r="DE2052" s="127">
        <v>3</v>
      </c>
      <c r="DG2052" s="405" t="s">
        <v>333</v>
      </c>
      <c r="DH2052" s="406" t="s">
        <v>3399</v>
      </c>
      <c r="DI2052" s="406" t="str">
        <f t="shared" si="64"/>
        <v>MG, Santo Hipólito</v>
      </c>
      <c r="DJ2052" s="406">
        <v>-18.297000000000001</v>
      </c>
      <c r="DK2052" s="80">
        <v>-44.222999999999999</v>
      </c>
      <c r="DL2052" s="80">
        <v>526</v>
      </c>
      <c r="DM2052" s="64">
        <v>3</v>
      </c>
      <c r="DN2052" s="406" t="s">
        <v>6828</v>
      </c>
      <c r="DO2052" s="406">
        <v>-18.760000000000002</v>
      </c>
      <c r="DP2052" s="80">
        <v>670</v>
      </c>
    </row>
    <row r="2053" spans="29:120" x14ac:dyDescent="0.25">
      <c r="AC2053" s="122" t="s">
        <v>247</v>
      </c>
      <c r="AD2053" s="122" t="s">
        <v>2421</v>
      </c>
      <c r="AE2053" s="127">
        <v>8</v>
      </c>
      <c r="DA2053" s="122" t="s">
        <v>333</v>
      </c>
      <c r="DB2053" s="122" t="s">
        <v>7159</v>
      </c>
      <c r="DC2053" s="122" t="s">
        <v>688</v>
      </c>
      <c r="DD2053" s="127">
        <v>3</v>
      </c>
      <c r="DE2053" s="127">
        <v>3</v>
      </c>
      <c r="DG2053" s="405" t="s">
        <v>333</v>
      </c>
      <c r="DH2053" s="406" t="s">
        <v>688</v>
      </c>
      <c r="DI2053" s="406" t="str">
        <f t="shared" si="64"/>
        <v>MG, Santos Dumont</v>
      </c>
      <c r="DJ2053" s="406">
        <v>-21.457000000000001</v>
      </c>
      <c r="DK2053" s="80">
        <v>-43.552999999999997</v>
      </c>
      <c r="DL2053" s="80">
        <v>839</v>
      </c>
      <c r="DM2053" s="64">
        <v>3</v>
      </c>
      <c r="DN2053" s="406" t="s">
        <v>6829</v>
      </c>
      <c r="DO2053" s="406">
        <v>-21.76</v>
      </c>
      <c r="DP2053" s="80">
        <v>950</v>
      </c>
    </row>
    <row r="2054" spans="29:120" x14ac:dyDescent="0.25">
      <c r="AC2054" s="122" t="s">
        <v>323</v>
      </c>
      <c r="AD2054" s="122" t="s">
        <v>2422</v>
      </c>
      <c r="AE2054" s="127">
        <v>8</v>
      </c>
      <c r="DA2054" s="122" t="s">
        <v>333</v>
      </c>
      <c r="DB2054" s="122" t="s">
        <v>7160</v>
      </c>
      <c r="DC2054" s="122" t="s">
        <v>899</v>
      </c>
      <c r="DD2054" s="127">
        <v>2</v>
      </c>
      <c r="DE2054" s="127">
        <v>2</v>
      </c>
      <c r="DG2054" s="405" t="s">
        <v>333</v>
      </c>
      <c r="DH2054" s="406" t="s">
        <v>899</v>
      </c>
      <c r="DI2054" s="406" t="str">
        <f t="shared" si="64"/>
        <v>MG, São Bento Abade</v>
      </c>
      <c r="DJ2054" s="406">
        <v>-21.582000000000001</v>
      </c>
      <c r="DK2054" s="80">
        <v>-45.076000000000001</v>
      </c>
      <c r="DL2054" s="80">
        <v>971</v>
      </c>
      <c r="DM2054" s="64">
        <v>2</v>
      </c>
      <c r="DN2054" s="406" t="s">
        <v>6811</v>
      </c>
      <c r="DO2054" s="406">
        <v>-21.55</v>
      </c>
      <c r="DP2054" s="80">
        <v>955</v>
      </c>
    </row>
    <row r="2055" spans="29:120" x14ac:dyDescent="0.25">
      <c r="AC2055" s="122" t="s">
        <v>323</v>
      </c>
      <c r="AD2055" s="122" t="s">
        <v>2423</v>
      </c>
      <c r="AE2055" s="127">
        <v>8</v>
      </c>
      <c r="DA2055" s="122" t="s">
        <v>333</v>
      </c>
      <c r="DB2055" s="122" t="s">
        <v>7161</v>
      </c>
      <c r="DC2055" s="122" t="s">
        <v>689</v>
      </c>
      <c r="DD2055" s="127">
        <v>2</v>
      </c>
      <c r="DE2055" s="127">
        <v>2</v>
      </c>
      <c r="DG2055" s="405" t="s">
        <v>333</v>
      </c>
      <c r="DH2055" s="406" t="s">
        <v>689</v>
      </c>
      <c r="DI2055" s="406" t="str">
        <f t="shared" si="64"/>
        <v>MG, São Brás do Suaçuí</v>
      </c>
      <c r="DJ2055" s="406">
        <v>-20.625</v>
      </c>
      <c r="DK2055" s="80">
        <v>-43.948999999999998</v>
      </c>
      <c r="DL2055" s="80">
        <v>971</v>
      </c>
      <c r="DM2055" s="64">
        <v>2</v>
      </c>
      <c r="DN2055" s="406" t="s">
        <v>6848</v>
      </c>
      <c r="DO2055" s="406">
        <v>-20.52</v>
      </c>
      <c r="DP2055" s="80">
        <v>1061</v>
      </c>
    </row>
    <row r="2056" spans="29:120" x14ac:dyDescent="0.25">
      <c r="AC2056" s="122" t="s">
        <v>323</v>
      </c>
      <c r="AD2056" s="122" t="s">
        <v>2424</v>
      </c>
      <c r="AE2056" s="127">
        <v>8</v>
      </c>
      <c r="DA2056" s="122" t="s">
        <v>333</v>
      </c>
      <c r="DB2056" s="122" t="s">
        <v>7162</v>
      </c>
      <c r="DC2056" s="122" t="s">
        <v>2014</v>
      </c>
      <c r="DD2056" s="127">
        <v>3</v>
      </c>
      <c r="DE2056" s="127">
        <v>3</v>
      </c>
      <c r="DG2056" s="405" t="s">
        <v>333</v>
      </c>
      <c r="DH2056" s="406" t="s">
        <v>2014</v>
      </c>
      <c r="DI2056" s="406" t="str">
        <f t="shared" si="64"/>
        <v>MG, São Domingos das Dores</v>
      </c>
      <c r="DJ2056" s="406">
        <v>-19.527000000000001</v>
      </c>
      <c r="DK2056" s="80">
        <v>-42.011000000000003</v>
      </c>
      <c r="DL2056" s="80">
        <v>700</v>
      </c>
      <c r="DM2056" s="64">
        <v>3</v>
      </c>
      <c r="DN2056" s="406" t="s">
        <v>6819</v>
      </c>
      <c r="DO2056" s="406">
        <v>-19.79</v>
      </c>
      <c r="DP2056" s="80">
        <v>615</v>
      </c>
    </row>
    <row r="2057" spans="29:120" x14ac:dyDescent="0.25">
      <c r="AC2057" s="122" t="s">
        <v>247</v>
      </c>
      <c r="AD2057" s="122" t="s">
        <v>2425</v>
      </c>
      <c r="AE2057" s="127">
        <v>8</v>
      </c>
      <c r="DA2057" s="122" t="s">
        <v>333</v>
      </c>
      <c r="DB2057" s="122" t="s">
        <v>7163</v>
      </c>
      <c r="DC2057" s="122" t="s">
        <v>1865</v>
      </c>
      <c r="DD2057" s="127">
        <v>3</v>
      </c>
      <c r="DE2057" s="127">
        <v>3</v>
      </c>
      <c r="DG2057" s="405" t="s">
        <v>333</v>
      </c>
      <c r="DH2057" s="406" t="s">
        <v>1865</v>
      </c>
      <c r="DI2057" s="406" t="str">
        <f t="shared" si="64"/>
        <v>MG, São Domingos do Prata</v>
      </c>
      <c r="DJ2057" s="406">
        <v>-19.864999999999998</v>
      </c>
      <c r="DK2057" s="80">
        <v>-42.968000000000004</v>
      </c>
      <c r="DL2057" s="80">
        <v>577</v>
      </c>
      <c r="DM2057" s="64">
        <v>3</v>
      </c>
      <c r="DN2057" s="406" t="s">
        <v>6798</v>
      </c>
      <c r="DO2057" s="406">
        <v>-19.579999999999998</v>
      </c>
      <c r="DP2057" s="80">
        <v>333</v>
      </c>
    </row>
    <row r="2058" spans="29:120" x14ac:dyDescent="0.25">
      <c r="AC2058" s="122" t="s">
        <v>323</v>
      </c>
      <c r="AD2058" s="122" t="s">
        <v>2426</v>
      </c>
      <c r="AE2058" s="127">
        <v>8</v>
      </c>
      <c r="DA2058" s="122" t="s">
        <v>333</v>
      </c>
      <c r="DB2058" s="122" t="s">
        <v>7164</v>
      </c>
      <c r="DC2058" s="122" t="s">
        <v>1908</v>
      </c>
      <c r="DD2058" s="127">
        <v>5</v>
      </c>
      <c r="DE2058" s="127">
        <v>5</v>
      </c>
      <c r="DG2058" s="405" t="s">
        <v>333</v>
      </c>
      <c r="DH2058" s="406" t="s">
        <v>1908</v>
      </c>
      <c r="DI2058" s="406" t="str">
        <f t="shared" si="64"/>
        <v>MG, São Félix de Minas</v>
      </c>
      <c r="DJ2058" s="406">
        <v>-18.591000000000001</v>
      </c>
      <c r="DK2058" s="80">
        <v>-41.485999999999997</v>
      </c>
      <c r="DL2058" s="80">
        <v>550</v>
      </c>
      <c r="DM2058" s="64">
        <v>5</v>
      </c>
      <c r="DN2058" s="406" t="s">
        <v>6814</v>
      </c>
      <c r="DO2058" s="406">
        <v>-18.850000000000001</v>
      </c>
      <c r="DP2058" s="80">
        <v>263</v>
      </c>
    </row>
    <row r="2059" spans="29:120" x14ac:dyDescent="0.25">
      <c r="AC2059" s="122" t="s">
        <v>289</v>
      </c>
      <c r="AD2059" s="122" t="s">
        <v>2427</v>
      </c>
      <c r="AE2059" s="127">
        <v>5</v>
      </c>
      <c r="DA2059" s="122" t="s">
        <v>333</v>
      </c>
      <c r="DB2059" s="122" t="s">
        <v>7165</v>
      </c>
      <c r="DC2059" s="122" t="s">
        <v>2937</v>
      </c>
      <c r="DD2059" s="127">
        <v>6</v>
      </c>
      <c r="DE2059" s="127">
        <v>6</v>
      </c>
      <c r="DG2059" s="405" t="s">
        <v>333</v>
      </c>
      <c r="DH2059" s="406" t="s">
        <v>2937</v>
      </c>
      <c r="DI2059" s="406" t="str">
        <f t="shared" si="64"/>
        <v>MG, São Francisco</v>
      </c>
      <c r="DJ2059" s="406">
        <v>-15.949</v>
      </c>
      <c r="DK2059" s="80">
        <v>-44.863999999999997</v>
      </c>
      <c r="DL2059" s="80">
        <v>695</v>
      </c>
      <c r="DM2059" s="64">
        <v>6</v>
      </c>
      <c r="DN2059" s="406" t="s">
        <v>6872</v>
      </c>
      <c r="DO2059" s="406">
        <v>-16.37</v>
      </c>
      <c r="DP2059" s="80">
        <v>460</v>
      </c>
    </row>
    <row r="2060" spans="29:120" x14ac:dyDescent="0.25">
      <c r="AC2060" s="122" t="s">
        <v>333</v>
      </c>
      <c r="AD2060" s="122" t="s">
        <v>2428</v>
      </c>
      <c r="AE2060" s="127">
        <v>5</v>
      </c>
      <c r="DA2060" s="122" t="s">
        <v>333</v>
      </c>
      <c r="DB2060" s="122" t="s">
        <v>7166</v>
      </c>
      <c r="DC2060" s="122" t="s">
        <v>690</v>
      </c>
      <c r="DD2060" s="127">
        <v>4</v>
      </c>
      <c r="DE2060" s="127">
        <v>4</v>
      </c>
      <c r="DG2060" s="405" t="s">
        <v>333</v>
      </c>
      <c r="DH2060" s="406" t="s">
        <v>690</v>
      </c>
      <c r="DI2060" s="406" t="str">
        <f t="shared" si="64"/>
        <v>MG, São Francisco de Paula</v>
      </c>
      <c r="DJ2060" s="406">
        <v>-20.71</v>
      </c>
      <c r="DK2060" s="80">
        <v>-44.984999999999999</v>
      </c>
      <c r="DL2060" s="80">
        <v>931</v>
      </c>
      <c r="DM2060" s="64">
        <v>4</v>
      </c>
      <c r="DN2060" s="406" t="s">
        <v>6803</v>
      </c>
      <c r="DO2060" s="406">
        <v>-20.46</v>
      </c>
      <c r="DP2060" s="80">
        <v>878</v>
      </c>
    </row>
    <row r="2061" spans="29:120" x14ac:dyDescent="0.25">
      <c r="AC2061" s="122" t="s">
        <v>323</v>
      </c>
      <c r="AD2061" s="122" t="s">
        <v>2429</v>
      </c>
      <c r="AE2061" s="127">
        <v>7</v>
      </c>
      <c r="DA2061" s="122" t="s">
        <v>333</v>
      </c>
      <c r="DB2061" s="122" t="s">
        <v>7167</v>
      </c>
      <c r="DC2061" s="122" t="s">
        <v>3569</v>
      </c>
      <c r="DD2061" s="127">
        <v>6</v>
      </c>
      <c r="DE2061" s="127">
        <v>6</v>
      </c>
      <c r="DG2061" s="405" t="s">
        <v>333</v>
      </c>
      <c r="DH2061" s="406" t="s">
        <v>3569</v>
      </c>
      <c r="DI2061" s="406" t="str">
        <f t="shared" si="64"/>
        <v>MG, São Francisco de Sales</v>
      </c>
      <c r="DJ2061" s="406">
        <v>-19.863</v>
      </c>
      <c r="DK2061" s="80">
        <v>-49.774000000000001</v>
      </c>
      <c r="DL2061" s="80">
        <v>423</v>
      </c>
      <c r="DM2061" s="64">
        <v>6</v>
      </c>
      <c r="DN2061" s="406" t="s">
        <v>6984</v>
      </c>
      <c r="DO2061" s="406">
        <v>-20.420000000000002</v>
      </c>
      <c r="DP2061" s="80">
        <v>486</v>
      </c>
    </row>
    <row r="2062" spans="29:120" x14ac:dyDescent="0.25">
      <c r="AC2062" s="122" t="s">
        <v>289</v>
      </c>
      <c r="AD2062" s="122" t="s">
        <v>2430</v>
      </c>
      <c r="AE2062" s="127">
        <v>5</v>
      </c>
      <c r="DA2062" s="122" t="s">
        <v>333</v>
      </c>
      <c r="DB2062" s="122" t="s">
        <v>7168</v>
      </c>
      <c r="DC2062" s="122" t="s">
        <v>3343</v>
      </c>
      <c r="DD2062" s="127">
        <v>3</v>
      </c>
      <c r="DE2062" s="127">
        <v>3</v>
      </c>
      <c r="DG2062" s="405" t="s">
        <v>333</v>
      </c>
      <c r="DH2062" s="406" t="s">
        <v>3343</v>
      </c>
      <c r="DI2062" s="406" t="str">
        <f t="shared" si="64"/>
        <v>MG, São Francisco do Glória</v>
      </c>
      <c r="DJ2062" s="406">
        <v>-20.789000000000001</v>
      </c>
      <c r="DK2062" s="80">
        <v>-42.268000000000001</v>
      </c>
      <c r="DL2062" s="80">
        <v>729</v>
      </c>
      <c r="DM2062" s="64">
        <v>3</v>
      </c>
      <c r="DN2062" s="406" t="s">
        <v>6478</v>
      </c>
      <c r="DO2062" s="406">
        <v>-20.73</v>
      </c>
      <c r="DP2062" s="80">
        <v>399</v>
      </c>
    </row>
    <row r="2063" spans="29:120" x14ac:dyDescent="0.25">
      <c r="AC2063" s="122" t="s">
        <v>247</v>
      </c>
      <c r="AD2063" s="122" t="s">
        <v>2431</v>
      </c>
      <c r="AE2063" s="127">
        <v>8</v>
      </c>
      <c r="DA2063" s="122" t="s">
        <v>333</v>
      </c>
      <c r="DB2063" s="122" t="s">
        <v>7169</v>
      </c>
      <c r="DC2063" s="122" t="s">
        <v>3419</v>
      </c>
      <c r="DD2063" s="127">
        <v>3</v>
      </c>
      <c r="DE2063" s="127">
        <v>3</v>
      </c>
      <c r="DG2063" s="405" t="s">
        <v>333</v>
      </c>
      <c r="DH2063" s="406" t="s">
        <v>3419</v>
      </c>
      <c r="DI2063" s="406" t="str">
        <f t="shared" si="64"/>
        <v>MG, São Geraldo</v>
      </c>
      <c r="DJ2063" s="406">
        <v>-20.922999999999998</v>
      </c>
      <c r="DK2063" s="80">
        <v>-42.834000000000003</v>
      </c>
      <c r="DL2063" s="80">
        <v>372</v>
      </c>
      <c r="DM2063" s="64">
        <v>3</v>
      </c>
      <c r="DN2063" s="406" t="s">
        <v>6797</v>
      </c>
      <c r="DO2063" s="406">
        <v>-20.75</v>
      </c>
      <c r="DP2063" s="80">
        <v>712</v>
      </c>
    </row>
    <row r="2064" spans="29:120" x14ac:dyDescent="0.25">
      <c r="AC2064" s="122" t="s">
        <v>289</v>
      </c>
      <c r="AD2064" s="122" t="s">
        <v>2432</v>
      </c>
      <c r="AE2064" s="127">
        <v>8</v>
      </c>
      <c r="DA2064" s="122" t="s">
        <v>333</v>
      </c>
      <c r="DB2064" s="122" t="s">
        <v>7170</v>
      </c>
      <c r="DC2064" s="122" t="s">
        <v>2557</v>
      </c>
      <c r="DD2064" s="127">
        <v>5</v>
      </c>
      <c r="DE2064" s="127">
        <v>5</v>
      </c>
      <c r="DG2064" s="405" t="s">
        <v>333</v>
      </c>
      <c r="DH2064" s="406" t="s">
        <v>2557</v>
      </c>
      <c r="DI2064" s="406" t="str">
        <f t="shared" si="64"/>
        <v>MG, São Geraldo da Piedade</v>
      </c>
      <c r="DJ2064" s="406">
        <v>-18.835999999999999</v>
      </c>
      <c r="DK2064" s="80">
        <v>-42.287999999999997</v>
      </c>
      <c r="DL2064" s="80">
        <v>292</v>
      </c>
      <c r="DM2064" s="64">
        <v>5</v>
      </c>
      <c r="DN2064" s="406" t="s">
        <v>6814</v>
      </c>
      <c r="DO2064" s="406">
        <v>-18.850000000000001</v>
      </c>
      <c r="DP2064" s="80">
        <v>263</v>
      </c>
    </row>
    <row r="2065" spans="29:120" x14ac:dyDescent="0.25">
      <c r="AC2065" s="122" t="s">
        <v>289</v>
      </c>
      <c r="AD2065" s="122" t="s">
        <v>2433</v>
      </c>
      <c r="AE2065" s="127">
        <v>5</v>
      </c>
      <c r="DA2065" s="122" t="s">
        <v>333</v>
      </c>
      <c r="DB2065" s="122" t="s">
        <v>7171</v>
      </c>
      <c r="DC2065" s="122" t="s">
        <v>1910</v>
      </c>
      <c r="DD2065" s="127">
        <v>5</v>
      </c>
      <c r="DE2065" s="127">
        <v>5</v>
      </c>
      <c r="DG2065" s="405" t="s">
        <v>333</v>
      </c>
      <c r="DH2065" s="406" t="s">
        <v>1910</v>
      </c>
      <c r="DI2065" s="406" t="str">
        <f t="shared" si="64"/>
        <v>MG, São Geraldo do Baixio</v>
      </c>
      <c r="DJ2065" s="406">
        <v>-18.899999999999999</v>
      </c>
      <c r="DK2065" s="80">
        <v>-41.36</v>
      </c>
      <c r="DL2065" s="80">
        <v>210</v>
      </c>
      <c r="DM2065" s="64">
        <v>5</v>
      </c>
      <c r="DN2065" s="406" t="s">
        <v>6456</v>
      </c>
      <c r="DO2065" s="406">
        <v>-18.78</v>
      </c>
      <c r="DP2065" s="80">
        <v>214</v>
      </c>
    </row>
    <row r="2066" spans="29:120" x14ac:dyDescent="0.25">
      <c r="AC2066" s="122" t="s">
        <v>289</v>
      </c>
      <c r="AD2066" s="122" t="s">
        <v>2434</v>
      </c>
      <c r="AE2066" s="127">
        <v>5</v>
      </c>
      <c r="DA2066" s="122" t="s">
        <v>333</v>
      </c>
      <c r="DB2066" s="122" t="s">
        <v>7172</v>
      </c>
      <c r="DC2066" s="122" t="s">
        <v>2063</v>
      </c>
      <c r="DD2066" s="127">
        <v>4</v>
      </c>
      <c r="DE2066" s="127">
        <v>4</v>
      </c>
      <c r="DG2066" s="405" t="s">
        <v>333</v>
      </c>
      <c r="DH2066" s="406" t="s">
        <v>2063</v>
      </c>
      <c r="DI2066" s="406" t="str">
        <f t="shared" si="64"/>
        <v>MG, São Gonçalo do Abaeté</v>
      </c>
      <c r="DJ2066" s="406">
        <v>-18.338000000000001</v>
      </c>
      <c r="DK2066" s="80">
        <v>-45.832999999999998</v>
      </c>
      <c r="DL2066" s="80">
        <v>789</v>
      </c>
      <c r="DM2066" s="64">
        <v>4</v>
      </c>
      <c r="DN2066" s="406" t="s">
        <v>6851</v>
      </c>
      <c r="DO2066" s="406">
        <v>-18.21</v>
      </c>
      <c r="DP2066" s="80">
        <v>921</v>
      </c>
    </row>
    <row r="2067" spans="29:120" x14ac:dyDescent="0.25">
      <c r="AC2067" s="122" t="s">
        <v>323</v>
      </c>
      <c r="AD2067" s="122" t="s">
        <v>2435</v>
      </c>
      <c r="AE2067" s="127">
        <v>8</v>
      </c>
      <c r="DA2067" s="122" t="s">
        <v>333</v>
      </c>
      <c r="DB2067" s="122" t="s">
        <v>7173</v>
      </c>
      <c r="DC2067" s="122" t="s">
        <v>3806</v>
      </c>
      <c r="DD2067" s="127">
        <v>3</v>
      </c>
      <c r="DE2067" s="127">
        <v>3</v>
      </c>
      <c r="DG2067" s="405" t="s">
        <v>333</v>
      </c>
      <c r="DH2067" s="406" t="s">
        <v>3806</v>
      </c>
      <c r="DI2067" s="406" t="str">
        <f t="shared" si="64"/>
        <v>MG, São Gonçalo do Pará</v>
      </c>
      <c r="DJ2067" s="406">
        <v>-19.983000000000001</v>
      </c>
      <c r="DK2067" s="80">
        <v>-44.859000000000002</v>
      </c>
      <c r="DL2067" s="80">
        <v>739</v>
      </c>
      <c r="DM2067" s="64">
        <v>3</v>
      </c>
      <c r="DN2067" s="406" t="s">
        <v>6879</v>
      </c>
      <c r="DO2067" s="406">
        <v>-19.89</v>
      </c>
      <c r="DP2067" s="80">
        <v>742</v>
      </c>
    </row>
    <row r="2068" spans="29:120" x14ac:dyDescent="0.25">
      <c r="AC2068" s="122" t="s">
        <v>247</v>
      </c>
      <c r="AD2068" s="122" t="s">
        <v>2436</v>
      </c>
      <c r="AE2068" s="127">
        <v>8</v>
      </c>
      <c r="DA2068" s="122" t="s">
        <v>333</v>
      </c>
      <c r="DB2068" s="122" t="s">
        <v>7174</v>
      </c>
      <c r="DC2068" s="122" t="s">
        <v>3372</v>
      </c>
      <c r="DD2068" s="127">
        <v>3</v>
      </c>
      <c r="DE2068" s="127">
        <v>3</v>
      </c>
      <c r="DG2068" s="405" t="s">
        <v>333</v>
      </c>
      <c r="DH2068" s="406" t="s">
        <v>3372</v>
      </c>
      <c r="DI2068" s="406" t="str">
        <f t="shared" si="64"/>
        <v>MG, São Gonçalo do Rio Abaixo</v>
      </c>
      <c r="DJ2068" s="406">
        <v>-19.826000000000001</v>
      </c>
      <c r="DK2068" s="80">
        <v>-43.362000000000002</v>
      </c>
      <c r="DL2068" s="80">
        <v>627</v>
      </c>
      <c r="DM2068" s="64">
        <v>3</v>
      </c>
      <c r="DN2068" s="406" t="s">
        <v>6838</v>
      </c>
      <c r="DO2068" s="406">
        <v>-19.82</v>
      </c>
      <c r="DP2068" s="80">
        <v>869</v>
      </c>
    </row>
    <row r="2069" spans="29:120" x14ac:dyDescent="0.25">
      <c r="AC2069" s="122" t="s">
        <v>247</v>
      </c>
      <c r="AD2069" s="122" t="s">
        <v>2167</v>
      </c>
      <c r="AE2069" s="127">
        <v>8</v>
      </c>
      <c r="DA2069" s="122" t="s">
        <v>333</v>
      </c>
      <c r="DB2069" s="122" t="s">
        <v>7175</v>
      </c>
      <c r="DC2069" s="122" t="s">
        <v>691</v>
      </c>
      <c r="DD2069" s="127">
        <v>3</v>
      </c>
      <c r="DE2069" s="127">
        <v>3</v>
      </c>
      <c r="DG2069" s="405" t="s">
        <v>333</v>
      </c>
      <c r="DH2069" s="406" t="s">
        <v>691</v>
      </c>
      <c r="DI2069" s="406" t="str">
        <f t="shared" si="64"/>
        <v>MG, São Gonçalo do Rio Preto</v>
      </c>
      <c r="DJ2069" s="406">
        <v>-18.004000000000001</v>
      </c>
      <c r="DK2069" s="80">
        <v>-43.390999999999998</v>
      </c>
      <c r="DL2069" s="80">
        <v>742</v>
      </c>
      <c r="DM2069" s="64">
        <v>3</v>
      </c>
      <c r="DN2069" s="406" t="s">
        <v>6821</v>
      </c>
      <c r="DO2069" s="406">
        <v>-18.23</v>
      </c>
      <c r="DP2069" s="80">
        <v>1356</v>
      </c>
    </row>
    <row r="2070" spans="29:120" x14ac:dyDescent="0.25">
      <c r="AC2070" s="122" t="s">
        <v>376</v>
      </c>
      <c r="AD2070" s="122" t="s">
        <v>2437</v>
      </c>
      <c r="AE2070" s="127">
        <v>3</v>
      </c>
      <c r="DA2070" s="122" t="s">
        <v>333</v>
      </c>
      <c r="DB2070" s="122" t="s">
        <v>7176</v>
      </c>
      <c r="DC2070" s="122" t="s">
        <v>1002</v>
      </c>
      <c r="DD2070" s="127">
        <v>2</v>
      </c>
      <c r="DE2070" s="127">
        <v>2</v>
      </c>
      <c r="DG2070" s="405" t="s">
        <v>333</v>
      </c>
      <c r="DH2070" s="406" t="s">
        <v>1002</v>
      </c>
      <c r="DI2070" s="406" t="str">
        <f t="shared" si="64"/>
        <v>MG, São Gonçalo do Sapucaí</v>
      </c>
      <c r="DJ2070" s="406">
        <v>-21.891999999999999</v>
      </c>
      <c r="DK2070" s="80">
        <v>-45.594999999999999</v>
      </c>
      <c r="DL2070" s="80">
        <v>868</v>
      </c>
      <c r="DM2070" s="64">
        <v>2</v>
      </c>
      <c r="DN2070" s="406" t="s">
        <v>6811</v>
      </c>
      <c r="DO2070" s="406">
        <v>-21.55</v>
      </c>
      <c r="DP2070" s="80">
        <v>955</v>
      </c>
    </row>
    <row r="2071" spans="29:120" x14ac:dyDescent="0.25">
      <c r="AC2071" s="122" t="s">
        <v>247</v>
      </c>
      <c r="AD2071" s="122" t="s">
        <v>2438</v>
      </c>
      <c r="AE2071" s="127">
        <v>8</v>
      </c>
      <c r="DA2071" s="122" t="s">
        <v>333</v>
      </c>
      <c r="DB2071" s="122" t="s">
        <v>7177</v>
      </c>
      <c r="DC2071" s="122" t="s">
        <v>2102</v>
      </c>
      <c r="DD2071" s="127">
        <v>3</v>
      </c>
      <c r="DE2071" s="127">
        <v>3</v>
      </c>
      <c r="DG2071" s="405" t="s">
        <v>333</v>
      </c>
      <c r="DH2071" s="406" t="s">
        <v>2102</v>
      </c>
      <c r="DI2071" s="406" t="str">
        <f t="shared" si="64"/>
        <v>MG, São Gotardo</v>
      </c>
      <c r="DJ2071" s="406">
        <v>-19.311</v>
      </c>
      <c r="DK2071" s="80">
        <v>-46.048999999999999</v>
      </c>
      <c r="DL2071" s="80">
        <v>1055</v>
      </c>
      <c r="DM2071" s="64">
        <v>3</v>
      </c>
      <c r="DN2071" s="406" t="s">
        <v>6795</v>
      </c>
      <c r="DO2071" s="406">
        <v>-19.46</v>
      </c>
      <c r="DP2071" s="80">
        <v>722</v>
      </c>
    </row>
    <row r="2072" spans="29:120" x14ac:dyDescent="0.25">
      <c r="AC2072" s="122" t="s">
        <v>323</v>
      </c>
      <c r="AD2072" s="122" t="s">
        <v>2439</v>
      </c>
      <c r="AE2072" s="127">
        <v>8</v>
      </c>
      <c r="DA2072" s="122" t="s">
        <v>333</v>
      </c>
      <c r="DB2072" s="122" t="s">
        <v>7178</v>
      </c>
      <c r="DC2072" s="122" t="s">
        <v>3543</v>
      </c>
      <c r="DD2072" s="127">
        <v>3</v>
      </c>
      <c r="DE2072" s="127">
        <v>3</v>
      </c>
      <c r="DG2072" s="405" t="s">
        <v>333</v>
      </c>
      <c r="DH2072" s="406" t="s">
        <v>3543</v>
      </c>
      <c r="DI2072" s="406" t="str">
        <f t="shared" si="64"/>
        <v>MG, São João Batista do Glória</v>
      </c>
      <c r="DJ2072" s="406">
        <v>-20.640999999999998</v>
      </c>
      <c r="DK2072" s="80">
        <v>-46.506</v>
      </c>
      <c r="DL2072" s="80">
        <v>695</v>
      </c>
      <c r="DM2072" s="64">
        <v>3</v>
      </c>
      <c r="DN2072" s="406" t="s">
        <v>6815</v>
      </c>
      <c r="DO2072" s="406">
        <v>-20.75</v>
      </c>
      <c r="DP2072" s="80">
        <v>875</v>
      </c>
    </row>
    <row r="2073" spans="29:120" x14ac:dyDescent="0.25">
      <c r="AC2073" s="122" t="s">
        <v>323</v>
      </c>
      <c r="AD2073" s="122" t="s">
        <v>2440</v>
      </c>
      <c r="AE2073" s="127">
        <v>8</v>
      </c>
      <c r="DA2073" s="122" t="s">
        <v>333</v>
      </c>
      <c r="DB2073" s="122" t="s">
        <v>7179</v>
      </c>
      <c r="DC2073" s="122" t="s">
        <v>2958</v>
      </c>
      <c r="DD2073" s="127">
        <v>6</v>
      </c>
      <c r="DE2073" s="127">
        <v>6</v>
      </c>
      <c r="DG2073" s="405" t="s">
        <v>333</v>
      </c>
      <c r="DH2073" s="406" t="s">
        <v>2958</v>
      </c>
      <c r="DI2073" s="406" t="str">
        <f t="shared" si="64"/>
        <v>MG, São João da Lagoa</v>
      </c>
      <c r="DJ2073" s="406">
        <v>-16.853000000000002</v>
      </c>
      <c r="DK2073" s="80">
        <v>-44.351999999999997</v>
      </c>
      <c r="DL2073" s="80">
        <v>835</v>
      </c>
      <c r="DM2073" s="64">
        <v>6</v>
      </c>
      <c r="DN2073" s="406" t="s">
        <v>6853</v>
      </c>
      <c r="DO2073" s="406">
        <v>-16.739999999999998</v>
      </c>
      <c r="DP2073" s="80">
        <v>646</v>
      </c>
    </row>
    <row r="2074" spans="29:120" x14ac:dyDescent="0.25">
      <c r="AC2074" s="122" t="s">
        <v>323</v>
      </c>
      <c r="AD2074" s="122" t="s">
        <v>2441</v>
      </c>
      <c r="AE2074" s="127">
        <v>8</v>
      </c>
      <c r="DA2074" s="122" t="s">
        <v>333</v>
      </c>
      <c r="DB2074" s="122" t="s">
        <v>7180</v>
      </c>
      <c r="DC2074" s="122" t="s">
        <v>1007</v>
      </c>
      <c r="DD2074" s="127">
        <v>2</v>
      </c>
      <c r="DE2074" s="127">
        <v>2</v>
      </c>
      <c r="DG2074" s="405" t="s">
        <v>333</v>
      </c>
      <c r="DH2074" s="406" t="s">
        <v>1007</v>
      </c>
      <c r="DI2074" s="406" t="str">
        <f t="shared" si="64"/>
        <v>MG, São João da Mata</v>
      </c>
      <c r="DJ2074" s="406">
        <v>-21.93</v>
      </c>
      <c r="DK2074" s="80">
        <v>-45.929000000000002</v>
      </c>
      <c r="DL2074" s="80">
        <v>884</v>
      </c>
      <c r="DM2074" s="64">
        <v>2</v>
      </c>
      <c r="DN2074" s="406" t="s">
        <v>6823</v>
      </c>
      <c r="DO2074" s="406">
        <v>-21.92</v>
      </c>
      <c r="DP2074" s="80">
        <v>1150</v>
      </c>
    </row>
    <row r="2075" spans="29:120" x14ac:dyDescent="0.25">
      <c r="AC2075" s="122" t="s">
        <v>323</v>
      </c>
      <c r="AD2075" s="122" t="s">
        <v>2442</v>
      </c>
      <c r="AE2075" s="127">
        <v>8</v>
      </c>
      <c r="DA2075" s="122" t="s">
        <v>333</v>
      </c>
      <c r="DB2075" s="122" t="s">
        <v>7181</v>
      </c>
      <c r="DC2075" s="122" t="s">
        <v>2973</v>
      </c>
      <c r="DD2075" s="127">
        <v>6</v>
      </c>
      <c r="DE2075" s="127">
        <v>6</v>
      </c>
      <c r="DG2075" s="405" t="s">
        <v>333</v>
      </c>
      <c r="DH2075" s="406" t="s">
        <v>2973</v>
      </c>
      <c r="DI2075" s="406" t="str">
        <f t="shared" si="64"/>
        <v>MG, São João da Ponte</v>
      </c>
      <c r="DJ2075" s="406">
        <v>-15.929</v>
      </c>
      <c r="DK2075" s="80">
        <v>-44.008000000000003</v>
      </c>
      <c r="DL2075" s="80">
        <v>752</v>
      </c>
      <c r="DM2075" s="64">
        <v>6</v>
      </c>
      <c r="DN2075" s="406" t="s">
        <v>6853</v>
      </c>
      <c r="DO2075" s="406">
        <v>-16.739999999999998</v>
      </c>
      <c r="DP2075" s="80">
        <v>646</v>
      </c>
    </row>
    <row r="2076" spans="29:120" x14ac:dyDescent="0.25">
      <c r="AC2076" s="122" t="s">
        <v>289</v>
      </c>
      <c r="AD2076" s="122" t="s">
        <v>2443</v>
      </c>
      <c r="AE2076" s="127">
        <v>7</v>
      </c>
      <c r="DA2076" s="122" t="s">
        <v>333</v>
      </c>
      <c r="DB2076" s="122" t="s">
        <v>7182</v>
      </c>
      <c r="DC2076" s="122" t="s">
        <v>2965</v>
      </c>
      <c r="DD2076" s="127">
        <v>6</v>
      </c>
      <c r="DE2076" s="127">
        <v>6</v>
      </c>
      <c r="DG2076" s="405" t="s">
        <v>333</v>
      </c>
      <c r="DH2076" s="406" t="s">
        <v>2965</v>
      </c>
      <c r="DI2076" s="406" t="str">
        <f t="shared" si="64"/>
        <v>MG, São João das Missões</v>
      </c>
      <c r="DJ2076" s="406">
        <v>-14.884</v>
      </c>
      <c r="DK2076" s="80">
        <v>-44.091000000000001</v>
      </c>
      <c r="DL2076" s="80">
        <v>505</v>
      </c>
      <c r="DM2076" s="64">
        <v>6</v>
      </c>
      <c r="DN2076" s="406" t="s">
        <v>6258</v>
      </c>
      <c r="DO2076" s="406">
        <v>-14.42</v>
      </c>
      <c r="DP2076" s="80">
        <v>512</v>
      </c>
    </row>
    <row r="2077" spans="29:120" x14ac:dyDescent="0.25">
      <c r="AC2077" s="122" t="s">
        <v>289</v>
      </c>
      <c r="AD2077" s="122" t="s">
        <v>2444</v>
      </c>
      <c r="AE2077" s="127">
        <v>5</v>
      </c>
      <c r="DA2077" s="122" t="s">
        <v>333</v>
      </c>
      <c r="DB2077" s="122" t="s">
        <v>7183</v>
      </c>
      <c r="DC2077" s="122" t="s">
        <v>692</v>
      </c>
      <c r="DD2077" s="127">
        <v>2</v>
      </c>
      <c r="DE2077" s="127">
        <v>2</v>
      </c>
      <c r="DG2077" s="405" t="s">
        <v>333</v>
      </c>
      <c r="DH2077" s="406" t="s">
        <v>692</v>
      </c>
      <c r="DI2077" s="406" t="str">
        <f t="shared" si="64"/>
        <v>MG, São João del Rei</v>
      </c>
      <c r="DJ2077" s="406">
        <v>-21.135999999999999</v>
      </c>
      <c r="DK2077" s="80">
        <v>-44.262</v>
      </c>
      <c r="DL2077" s="80">
        <v>910</v>
      </c>
      <c r="DM2077" s="64">
        <v>2</v>
      </c>
      <c r="DN2077" s="406" t="s">
        <v>6813</v>
      </c>
      <c r="DO2077" s="406">
        <v>-21.14</v>
      </c>
      <c r="DP2077" s="80">
        <v>991</v>
      </c>
    </row>
    <row r="2078" spans="29:120" x14ac:dyDescent="0.25">
      <c r="AC2078" s="122" t="s">
        <v>323</v>
      </c>
      <c r="AD2078" s="122" t="s">
        <v>2445</v>
      </c>
      <c r="AE2078" s="127">
        <v>8</v>
      </c>
      <c r="DA2078" s="122" t="s">
        <v>333</v>
      </c>
      <c r="DB2078" s="122" t="s">
        <v>7184</v>
      </c>
      <c r="DC2078" s="122" t="s">
        <v>879</v>
      </c>
      <c r="DD2078" s="127">
        <v>2</v>
      </c>
      <c r="DE2078" s="127">
        <v>2</v>
      </c>
      <c r="DG2078" s="405" t="s">
        <v>333</v>
      </c>
      <c r="DH2078" s="406" t="s">
        <v>879</v>
      </c>
      <c r="DI2078" s="406" t="str">
        <f t="shared" si="64"/>
        <v>MG, São João do Manhuaçu</v>
      </c>
      <c r="DJ2078" s="406">
        <v>-20.393999999999998</v>
      </c>
      <c r="DK2078" s="80">
        <v>-42.151000000000003</v>
      </c>
      <c r="DL2078" s="80">
        <v>852</v>
      </c>
      <c r="DM2078" s="64">
        <v>2</v>
      </c>
      <c r="DN2078" s="406" t="s">
        <v>6478</v>
      </c>
      <c r="DO2078" s="406">
        <v>-20.73</v>
      </c>
      <c r="DP2078" s="80">
        <v>399</v>
      </c>
    </row>
    <row r="2079" spans="29:120" x14ac:dyDescent="0.25">
      <c r="AC2079" s="122" t="s">
        <v>289</v>
      </c>
      <c r="AD2079" s="122" t="s">
        <v>2446</v>
      </c>
      <c r="AE2079" s="127">
        <v>5</v>
      </c>
      <c r="DA2079" s="122" t="s">
        <v>333</v>
      </c>
      <c r="DB2079" s="122" t="s">
        <v>7185</v>
      </c>
      <c r="DC2079" s="122" t="s">
        <v>1881</v>
      </c>
      <c r="DD2079" s="127">
        <v>5</v>
      </c>
      <c r="DE2079" s="127">
        <v>5</v>
      </c>
      <c r="DG2079" s="405" t="s">
        <v>333</v>
      </c>
      <c r="DH2079" s="406" t="s">
        <v>1881</v>
      </c>
      <c r="DI2079" s="406" t="str">
        <f t="shared" si="64"/>
        <v>MG, São João do Manteninha</v>
      </c>
      <c r="DJ2079" s="406">
        <v>-18.721</v>
      </c>
      <c r="DK2079" s="80">
        <v>-41.16</v>
      </c>
      <c r="DL2079" s="80">
        <v>271</v>
      </c>
      <c r="DM2079" s="64">
        <v>5</v>
      </c>
      <c r="DN2079" s="406" t="s">
        <v>6456</v>
      </c>
      <c r="DO2079" s="406">
        <v>-18.78</v>
      </c>
      <c r="DP2079" s="80">
        <v>214</v>
      </c>
    </row>
    <row r="2080" spans="29:120" x14ac:dyDescent="0.25">
      <c r="AC2080" s="122" t="s">
        <v>323</v>
      </c>
      <c r="AD2080" s="122" t="s">
        <v>2447</v>
      </c>
      <c r="AE2080" s="127">
        <v>8</v>
      </c>
      <c r="DA2080" s="122" t="s">
        <v>333</v>
      </c>
      <c r="DB2080" s="122" t="s">
        <v>7186</v>
      </c>
      <c r="DC2080" s="122" t="s">
        <v>2518</v>
      </c>
      <c r="DD2080" s="127">
        <v>5</v>
      </c>
      <c r="DE2080" s="127">
        <v>5</v>
      </c>
      <c r="DG2080" s="405" t="s">
        <v>333</v>
      </c>
      <c r="DH2080" s="406" t="s">
        <v>2518</v>
      </c>
      <c r="DI2080" s="406" t="str">
        <f t="shared" si="64"/>
        <v>MG, São João do Oriente</v>
      </c>
      <c r="DJ2080" s="406">
        <v>-19.338999999999999</v>
      </c>
      <c r="DK2080" s="80">
        <v>-42.158000000000001</v>
      </c>
      <c r="DL2080" s="80">
        <v>240</v>
      </c>
      <c r="DM2080" s="64">
        <v>5</v>
      </c>
      <c r="DN2080" s="406" t="s">
        <v>6819</v>
      </c>
      <c r="DO2080" s="406">
        <v>-19.79</v>
      </c>
      <c r="DP2080" s="80">
        <v>615</v>
      </c>
    </row>
    <row r="2081" spans="29:120" x14ac:dyDescent="0.25">
      <c r="AC2081" s="122" t="s">
        <v>289</v>
      </c>
      <c r="AD2081" s="122" t="s">
        <v>2448</v>
      </c>
      <c r="AE2081" s="127">
        <v>5</v>
      </c>
      <c r="DA2081" s="122" t="s">
        <v>333</v>
      </c>
      <c r="DB2081" s="122" t="s">
        <v>7187</v>
      </c>
      <c r="DC2081" s="122" t="s">
        <v>3036</v>
      </c>
      <c r="DD2081" s="127">
        <v>6</v>
      </c>
      <c r="DE2081" s="127">
        <v>6</v>
      </c>
      <c r="DG2081" s="405" t="s">
        <v>333</v>
      </c>
      <c r="DH2081" s="406" t="s">
        <v>3036</v>
      </c>
      <c r="DI2081" s="406" t="str">
        <f t="shared" si="64"/>
        <v>MG, São João do Pacuí</v>
      </c>
      <c r="DJ2081" s="406">
        <v>-16.542000000000002</v>
      </c>
      <c r="DK2081" s="80">
        <v>-44.515999999999998</v>
      </c>
      <c r="DL2081" s="80">
        <v>675</v>
      </c>
      <c r="DM2081" s="64">
        <v>6</v>
      </c>
      <c r="DN2081" s="406" t="s">
        <v>6872</v>
      </c>
      <c r="DO2081" s="406">
        <v>-16.37</v>
      </c>
      <c r="DP2081" s="80">
        <v>460</v>
      </c>
    </row>
    <row r="2082" spans="29:120" x14ac:dyDescent="0.25">
      <c r="AC2082" s="122" t="s">
        <v>289</v>
      </c>
      <c r="AD2082" s="122" t="s">
        <v>2449</v>
      </c>
      <c r="AE2082" s="127">
        <v>5</v>
      </c>
      <c r="DA2082" s="122" t="s">
        <v>333</v>
      </c>
      <c r="DB2082" s="122" t="s">
        <v>6765</v>
      </c>
      <c r="DC2082" s="122" t="s">
        <v>2001</v>
      </c>
      <c r="DD2082" s="127">
        <v>5</v>
      </c>
      <c r="DE2082" s="127">
        <v>5</v>
      </c>
      <c r="DG2082" s="405" t="s">
        <v>333</v>
      </c>
      <c r="DH2082" s="406" t="s">
        <v>2001</v>
      </c>
      <c r="DI2082" s="406" t="str">
        <f t="shared" si="64"/>
        <v>MG, São João do Paraíso</v>
      </c>
      <c r="DJ2082" s="406">
        <v>-15.314</v>
      </c>
      <c r="DK2082" s="80">
        <v>-42.014000000000003</v>
      </c>
      <c r="DL2082" s="80">
        <v>780</v>
      </c>
      <c r="DM2082" s="64">
        <v>5</v>
      </c>
      <c r="DN2082" s="406" t="s">
        <v>6993</v>
      </c>
      <c r="DO2082" s="406">
        <v>-15.72</v>
      </c>
      <c r="DP2082" s="80">
        <v>853</v>
      </c>
    </row>
    <row r="2083" spans="29:120" x14ac:dyDescent="0.25">
      <c r="AC2083" s="122" t="s">
        <v>323</v>
      </c>
      <c r="AD2083" s="122" t="s">
        <v>2450</v>
      </c>
      <c r="AE2083" s="127">
        <v>8</v>
      </c>
      <c r="DA2083" s="122" t="s">
        <v>333</v>
      </c>
      <c r="DB2083" s="122" t="s">
        <v>7188</v>
      </c>
      <c r="DC2083" s="122" t="s">
        <v>3748</v>
      </c>
      <c r="DD2083" s="127">
        <v>3</v>
      </c>
      <c r="DE2083" s="127">
        <v>3</v>
      </c>
      <c r="DG2083" s="405" t="s">
        <v>333</v>
      </c>
      <c r="DH2083" s="406" t="s">
        <v>3748</v>
      </c>
      <c r="DI2083" s="406" t="str">
        <f t="shared" si="64"/>
        <v>MG, São João Evangelista</v>
      </c>
      <c r="DJ2083" s="406">
        <v>-18.547999999999998</v>
      </c>
      <c r="DK2083" s="80">
        <v>-42.762999999999998</v>
      </c>
      <c r="DL2083" s="80">
        <v>690</v>
      </c>
      <c r="DM2083" s="64">
        <v>3</v>
      </c>
      <c r="DN2083" s="406" t="s">
        <v>6814</v>
      </c>
      <c r="DO2083" s="406">
        <v>-18.850000000000001</v>
      </c>
      <c r="DP2083" s="80">
        <v>263</v>
      </c>
    </row>
    <row r="2084" spans="29:120" x14ac:dyDescent="0.25">
      <c r="AC2084" s="122" t="s">
        <v>323</v>
      </c>
      <c r="AD2084" s="122" t="s">
        <v>2451</v>
      </c>
      <c r="AE2084" s="127">
        <v>8</v>
      </c>
      <c r="DA2084" s="122" t="s">
        <v>333</v>
      </c>
      <c r="DB2084" s="122" t="s">
        <v>7189</v>
      </c>
      <c r="DC2084" s="122" t="s">
        <v>3508</v>
      </c>
      <c r="DD2084" s="127">
        <v>3</v>
      </c>
      <c r="DE2084" s="127">
        <v>3</v>
      </c>
      <c r="DG2084" s="405" t="s">
        <v>333</v>
      </c>
      <c r="DH2084" s="406" t="s">
        <v>3508</v>
      </c>
      <c r="DI2084" s="406" t="str">
        <f t="shared" si="64"/>
        <v>MG, São João Nepomuceno</v>
      </c>
      <c r="DJ2084" s="406">
        <v>-21.54</v>
      </c>
      <c r="DK2084" s="80">
        <v>-43.011000000000003</v>
      </c>
      <c r="DL2084" s="80">
        <v>370</v>
      </c>
      <c r="DM2084" s="64">
        <v>3</v>
      </c>
      <c r="DN2084" s="406" t="s">
        <v>6829</v>
      </c>
      <c r="DO2084" s="406">
        <v>-21.76</v>
      </c>
      <c r="DP2084" s="80">
        <v>950</v>
      </c>
    </row>
    <row r="2085" spans="29:120" x14ac:dyDescent="0.25">
      <c r="AC2085" s="122" t="s">
        <v>323</v>
      </c>
      <c r="AD2085" s="122" t="s">
        <v>2018</v>
      </c>
      <c r="AE2085" s="127">
        <v>8</v>
      </c>
      <c r="DA2085" s="122" t="s">
        <v>333</v>
      </c>
      <c r="DB2085" s="122" t="s">
        <v>7190</v>
      </c>
      <c r="DC2085" s="122" t="s">
        <v>3480</v>
      </c>
      <c r="DD2085" s="127">
        <v>2</v>
      </c>
      <c r="DE2085" s="127">
        <v>2</v>
      </c>
      <c r="DG2085" s="405" t="s">
        <v>333</v>
      </c>
      <c r="DH2085" s="406" t="s">
        <v>3480</v>
      </c>
      <c r="DI2085" s="406" t="str">
        <f t="shared" si="64"/>
        <v>MG, São Joaquim de Bicas</v>
      </c>
      <c r="DJ2085" s="406">
        <v>-20.048999999999999</v>
      </c>
      <c r="DK2085" s="80">
        <v>-44.274000000000001</v>
      </c>
      <c r="DL2085" s="80">
        <v>758</v>
      </c>
      <c r="DM2085" s="64">
        <v>2</v>
      </c>
      <c r="DN2085" s="406" t="s">
        <v>6849</v>
      </c>
      <c r="DO2085" s="406">
        <v>-20.03</v>
      </c>
      <c r="DP2085" s="80">
        <v>1208</v>
      </c>
    </row>
    <row r="2086" spans="29:120" x14ac:dyDescent="0.25">
      <c r="AC2086" s="122" t="s">
        <v>323</v>
      </c>
      <c r="AD2086" s="122" t="s">
        <v>2452</v>
      </c>
      <c r="AE2086" s="127">
        <v>8</v>
      </c>
      <c r="DA2086" s="122" t="s">
        <v>333</v>
      </c>
      <c r="DB2086" s="122" t="s">
        <v>7191</v>
      </c>
      <c r="DC2086" s="122" t="s">
        <v>3549</v>
      </c>
      <c r="DD2086" s="127">
        <v>3</v>
      </c>
      <c r="DE2086" s="127">
        <v>3</v>
      </c>
      <c r="DG2086" s="405" t="s">
        <v>333</v>
      </c>
      <c r="DH2086" s="406" t="s">
        <v>3549</v>
      </c>
      <c r="DI2086" s="406" t="str">
        <f t="shared" si="64"/>
        <v>MG, São José da Barra</v>
      </c>
      <c r="DJ2086" s="406">
        <v>-20.718</v>
      </c>
      <c r="DK2086" s="80">
        <v>-46.311</v>
      </c>
      <c r="DL2086" s="80">
        <v>730</v>
      </c>
      <c r="DM2086" s="64">
        <v>3</v>
      </c>
      <c r="DN2086" s="406" t="s">
        <v>6815</v>
      </c>
      <c r="DO2086" s="406">
        <v>-20.75</v>
      </c>
      <c r="DP2086" s="80">
        <v>875</v>
      </c>
    </row>
    <row r="2087" spans="29:120" x14ac:dyDescent="0.25">
      <c r="AC2087" s="122" t="s">
        <v>289</v>
      </c>
      <c r="AD2087" s="122" t="s">
        <v>2453</v>
      </c>
      <c r="AE2087" s="127">
        <v>6</v>
      </c>
      <c r="DA2087" s="122" t="s">
        <v>333</v>
      </c>
      <c r="DB2087" s="122" t="s">
        <v>7192</v>
      </c>
      <c r="DC2087" s="122" t="s">
        <v>2178</v>
      </c>
      <c r="DD2087" s="127">
        <v>3</v>
      </c>
      <c r="DE2087" s="127">
        <v>3</v>
      </c>
      <c r="DG2087" s="405" t="s">
        <v>333</v>
      </c>
      <c r="DH2087" s="406" t="s">
        <v>2178</v>
      </c>
      <c r="DI2087" s="406" t="str">
        <f t="shared" si="64"/>
        <v>MG, São José da Lapa</v>
      </c>
      <c r="DJ2087" s="406">
        <v>-19.701000000000001</v>
      </c>
      <c r="DK2087" s="80">
        <v>-43.954999999999998</v>
      </c>
      <c r="DL2087" s="80">
        <v>120</v>
      </c>
      <c r="DM2087" s="64">
        <v>3</v>
      </c>
      <c r="DN2087" s="406" t="s">
        <v>6838</v>
      </c>
      <c r="DO2087" s="406">
        <v>-19.82</v>
      </c>
      <c r="DP2087" s="80">
        <v>869</v>
      </c>
    </row>
    <row r="2088" spans="29:120" x14ac:dyDescent="0.25">
      <c r="AC2088" s="122" t="s">
        <v>289</v>
      </c>
      <c r="AD2088" s="122" t="s">
        <v>2454</v>
      </c>
      <c r="AE2088" s="127">
        <v>6</v>
      </c>
      <c r="DA2088" s="122" t="s">
        <v>333</v>
      </c>
      <c r="DB2088" s="122" t="s">
        <v>7193</v>
      </c>
      <c r="DC2088" s="122" t="s">
        <v>2031</v>
      </c>
      <c r="DD2088" s="127">
        <v>3</v>
      </c>
      <c r="DE2088" s="127">
        <v>3</v>
      </c>
      <c r="DG2088" s="405" t="s">
        <v>333</v>
      </c>
      <c r="DH2088" s="406" t="s">
        <v>2031</v>
      </c>
      <c r="DI2088" s="406" t="str">
        <f t="shared" si="64"/>
        <v>MG, São José da Safira</v>
      </c>
      <c r="DJ2088" s="406">
        <v>-18.324000000000002</v>
      </c>
      <c r="DK2088" s="80">
        <v>-42.143000000000001</v>
      </c>
      <c r="DL2088" s="80">
        <v>310</v>
      </c>
      <c r="DM2088" s="64">
        <v>3</v>
      </c>
      <c r="DN2088" s="406" t="s">
        <v>6814</v>
      </c>
      <c r="DO2088" s="406">
        <v>-18.850000000000001</v>
      </c>
      <c r="DP2088" s="80">
        <v>263</v>
      </c>
    </row>
    <row r="2089" spans="29:120" x14ac:dyDescent="0.25">
      <c r="AC2089" s="122" t="s">
        <v>289</v>
      </c>
      <c r="AD2089" s="122" t="s">
        <v>2455</v>
      </c>
      <c r="AE2089" s="127">
        <v>8</v>
      </c>
      <c r="DA2089" s="122" t="s">
        <v>333</v>
      </c>
      <c r="DB2089" s="122" t="s">
        <v>7194</v>
      </c>
      <c r="DC2089" s="122" t="s">
        <v>3862</v>
      </c>
      <c r="DD2089" s="127">
        <v>4</v>
      </c>
      <c r="DE2089" s="127">
        <v>4</v>
      </c>
      <c r="DG2089" s="405" t="s">
        <v>333</v>
      </c>
      <c r="DH2089" s="406" t="s">
        <v>3862</v>
      </c>
      <c r="DI2089" s="406" t="str">
        <f t="shared" si="64"/>
        <v>MG, São José da Varginha</v>
      </c>
      <c r="DJ2089" s="406">
        <v>-19.71</v>
      </c>
      <c r="DK2089" s="80">
        <v>-44.557000000000002</v>
      </c>
      <c r="DL2089" s="80">
        <v>755</v>
      </c>
      <c r="DM2089" s="64">
        <v>4</v>
      </c>
      <c r="DN2089" s="406" t="s">
        <v>6879</v>
      </c>
      <c r="DO2089" s="406">
        <v>-19.89</v>
      </c>
      <c r="DP2089" s="80">
        <v>742</v>
      </c>
    </row>
    <row r="2090" spans="29:120" x14ac:dyDescent="0.25">
      <c r="AC2090" s="122" t="s">
        <v>348</v>
      </c>
      <c r="AD2090" s="122" t="s">
        <v>2456</v>
      </c>
      <c r="AE2090" s="127">
        <v>8</v>
      </c>
      <c r="DA2090" s="122" t="s">
        <v>333</v>
      </c>
      <c r="DB2090" s="122" t="s">
        <v>7195</v>
      </c>
      <c r="DC2090" s="122" t="s">
        <v>947</v>
      </c>
      <c r="DD2090" s="127">
        <v>2</v>
      </c>
      <c r="DE2090" s="127">
        <v>2</v>
      </c>
      <c r="DG2090" s="405" t="s">
        <v>333</v>
      </c>
      <c r="DH2090" s="406" t="s">
        <v>947</v>
      </c>
      <c r="DI2090" s="406" t="str">
        <f t="shared" si="64"/>
        <v>MG, São José do Alegre</v>
      </c>
      <c r="DJ2090" s="406">
        <v>-22.329000000000001</v>
      </c>
      <c r="DK2090" s="80">
        <v>-45.526000000000003</v>
      </c>
      <c r="DL2090" s="80">
        <v>851</v>
      </c>
      <c r="DM2090" s="64">
        <v>2</v>
      </c>
      <c r="DN2090" s="406" t="s">
        <v>6881</v>
      </c>
      <c r="DO2090" s="406">
        <v>-22.31</v>
      </c>
      <c r="DP2090" s="80">
        <v>1276</v>
      </c>
    </row>
    <row r="2091" spans="29:120" x14ac:dyDescent="0.25">
      <c r="AC2091" s="122" t="s">
        <v>323</v>
      </c>
      <c r="AD2091" s="122" t="s">
        <v>2457</v>
      </c>
      <c r="AE2091" s="127">
        <v>8</v>
      </c>
      <c r="DA2091" s="122" t="s">
        <v>333</v>
      </c>
      <c r="DB2091" s="122" t="s">
        <v>7196</v>
      </c>
      <c r="DC2091" s="122" t="s">
        <v>1884</v>
      </c>
      <c r="DD2091" s="127">
        <v>5</v>
      </c>
      <c r="DE2091" s="127">
        <v>5</v>
      </c>
      <c r="DG2091" s="405" t="s">
        <v>333</v>
      </c>
      <c r="DH2091" s="406" t="s">
        <v>1884</v>
      </c>
      <c r="DI2091" s="406" t="str">
        <f t="shared" si="64"/>
        <v>MG, São José do Divino</v>
      </c>
      <c r="DJ2091" s="406">
        <v>-18.478999999999999</v>
      </c>
      <c r="DK2091" s="80">
        <v>-41.389000000000003</v>
      </c>
      <c r="DL2091" s="80">
        <v>340</v>
      </c>
      <c r="DM2091" s="64">
        <v>5</v>
      </c>
      <c r="DN2091" s="406" t="s">
        <v>6456</v>
      </c>
      <c r="DO2091" s="406">
        <v>-18.78</v>
      </c>
      <c r="DP2091" s="80">
        <v>214</v>
      </c>
    </row>
    <row r="2092" spans="29:120" x14ac:dyDescent="0.25">
      <c r="AC2092" s="122" t="s">
        <v>289</v>
      </c>
      <c r="AD2092" s="122" t="s">
        <v>2458</v>
      </c>
      <c r="AE2092" s="127">
        <v>5</v>
      </c>
      <c r="DA2092" s="122" t="s">
        <v>333</v>
      </c>
      <c r="DB2092" s="122" t="s">
        <v>7197</v>
      </c>
      <c r="DC2092" s="122" t="s">
        <v>1919</v>
      </c>
      <c r="DD2092" s="127">
        <v>3</v>
      </c>
      <c r="DE2092" s="127">
        <v>3</v>
      </c>
      <c r="DG2092" s="405" t="s">
        <v>333</v>
      </c>
      <c r="DH2092" s="406" t="s">
        <v>1919</v>
      </c>
      <c r="DI2092" s="406" t="str">
        <f t="shared" si="64"/>
        <v>MG, São José do Goiabal</v>
      </c>
      <c r="DJ2092" s="406">
        <v>-19.928999999999998</v>
      </c>
      <c r="DK2092" s="80">
        <v>-42.704999999999998</v>
      </c>
      <c r="DL2092" s="80">
        <v>287</v>
      </c>
      <c r="DM2092" s="64">
        <v>3</v>
      </c>
      <c r="DN2092" s="406" t="s">
        <v>6798</v>
      </c>
      <c r="DO2092" s="406">
        <v>-19.579999999999998</v>
      </c>
      <c r="DP2092" s="80">
        <v>333</v>
      </c>
    </row>
    <row r="2093" spans="29:120" x14ac:dyDescent="0.25">
      <c r="AC2093" s="122" t="s">
        <v>333</v>
      </c>
      <c r="AD2093" s="122" t="s">
        <v>2459</v>
      </c>
      <c r="AE2093" s="127">
        <v>5</v>
      </c>
      <c r="DA2093" s="122" t="s">
        <v>333</v>
      </c>
      <c r="DB2093" s="122" t="s">
        <v>7198</v>
      </c>
      <c r="DC2093" s="122" t="s">
        <v>3463</v>
      </c>
      <c r="DD2093" s="127">
        <v>3</v>
      </c>
      <c r="DE2093" s="127">
        <v>3</v>
      </c>
      <c r="DG2093" s="405" t="s">
        <v>333</v>
      </c>
      <c r="DH2093" s="406" t="s">
        <v>3463</v>
      </c>
      <c r="DI2093" s="406" t="str">
        <f t="shared" si="64"/>
        <v>MG, São José do Jacuri</v>
      </c>
      <c r="DJ2093" s="406">
        <v>-18.274999999999999</v>
      </c>
      <c r="DK2093" s="80">
        <v>-42.67</v>
      </c>
      <c r="DL2093" s="80">
        <v>642</v>
      </c>
      <c r="DM2093" s="64">
        <v>3</v>
      </c>
      <c r="DN2093" s="406" t="s">
        <v>6800</v>
      </c>
      <c r="DO2093" s="406">
        <v>-17.690000000000001</v>
      </c>
      <c r="DP2093" s="80">
        <v>932</v>
      </c>
    </row>
    <row r="2094" spans="29:120" x14ac:dyDescent="0.25">
      <c r="AC2094" s="122" t="s">
        <v>323</v>
      </c>
      <c r="AD2094" s="122" t="s">
        <v>2460</v>
      </c>
      <c r="AE2094" s="127">
        <v>8</v>
      </c>
      <c r="DA2094" s="122" t="s">
        <v>333</v>
      </c>
      <c r="DB2094" s="122" t="s">
        <v>7199</v>
      </c>
      <c r="DC2094" s="122" t="s">
        <v>3423</v>
      </c>
      <c r="DD2094" s="127">
        <v>3</v>
      </c>
      <c r="DE2094" s="127">
        <v>3</v>
      </c>
      <c r="DG2094" s="405" t="s">
        <v>333</v>
      </c>
      <c r="DH2094" s="406" t="s">
        <v>3423</v>
      </c>
      <c r="DI2094" s="406" t="str">
        <f t="shared" si="64"/>
        <v>MG, São José do Mantimento</v>
      </c>
      <c r="DJ2094" s="406">
        <v>-20.004999999999999</v>
      </c>
      <c r="DK2094" s="80">
        <v>-41.744999999999997</v>
      </c>
      <c r="DL2094" s="80">
        <v>360</v>
      </c>
      <c r="DM2094" s="64">
        <v>3</v>
      </c>
      <c r="DN2094" s="406" t="s">
        <v>6819</v>
      </c>
      <c r="DO2094" s="406">
        <v>-19.79</v>
      </c>
      <c r="DP2094" s="80">
        <v>615</v>
      </c>
    </row>
    <row r="2095" spans="29:120" x14ac:dyDescent="0.25">
      <c r="AC2095" s="122" t="s">
        <v>317</v>
      </c>
      <c r="AD2095" s="122" t="s">
        <v>2461</v>
      </c>
      <c r="AE2095" s="127">
        <v>8</v>
      </c>
      <c r="DA2095" s="122" t="s">
        <v>333</v>
      </c>
      <c r="DB2095" s="122" t="s">
        <v>7200</v>
      </c>
      <c r="DC2095" s="122" t="s">
        <v>1016</v>
      </c>
      <c r="DD2095" s="127">
        <v>2</v>
      </c>
      <c r="DE2095" s="127">
        <v>2</v>
      </c>
      <c r="DG2095" s="405" t="s">
        <v>333</v>
      </c>
      <c r="DH2095" s="406" t="s">
        <v>1016</v>
      </c>
      <c r="DI2095" s="406" t="str">
        <f t="shared" si="64"/>
        <v>MG, São Lourenço</v>
      </c>
      <c r="DJ2095" s="406">
        <v>-22.116</v>
      </c>
      <c r="DK2095" s="80">
        <v>-45.054000000000002</v>
      </c>
      <c r="DL2095" s="80">
        <v>874</v>
      </c>
      <c r="DM2095" s="64">
        <v>2</v>
      </c>
      <c r="DN2095" s="406" t="s">
        <v>6837</v>
      </c>
      <c r="DO2095" s="406">
        <v>-22.39</v>
      </c>
      <c r="DP2095" s="80">
        <v>1040</v>
      </c>
    </row>
    <row r="2096" spans="29:120" x14ac:dyDescent="0.25">
      <c r="AC2096" s="122" t="s">
        <v>317</v>
      </c>
      <c r="AD2096" s="122" t="s">
        <v>2462</v>
      </c>
      <c r="AE2096" s="127">
        <v>8</v>
      </c>
      <c r="DA2096" s="122" t="s">
        <v>333</v>
      </c>
      <c r="DB2096" s="122" t="s">
        <v>7201</v>
      </c>
      <c r="DC2096" s="122" t="s">
        <v>3329</v>
      </c>
      <c r="DD2096" s="127">
        <v>3</v>
      </c>
      <c r="DE2096" s="127">
        <v>3</v>
      </c>
      <c r="DG2096" s="405" t="s">
        <v>333</v>
      </c>
      <c r="DH2096" s="406" t="s">
        <v>3329</v>
      </c>
      <c r="DI2096" s="406" t="str">
        <f t="shared" si="64"/>
        <v>MG, São Miguel do Anta</v>
      </c>
      <c r="DJ2096" s="406">
        <v>-20.707000000000001</v>
      </c>
      <c r="DK2096" s="80">
        <v>-42.719000000000001</v>
      </c>
      <c r="DL2096" s="80">
        <v>760</v>
      </c>
      <c r="DM2096" s="64">
        <v>3</v>
      </c>
      <c r="DN2096" s="406" t="s">
        <v>6797</v>
      </c>
      <c r="DO2096" s="406">
        <v>-20.75</v>
      </c>
      <c r="DP2096" s="80">
        <v>712</v>
      </c>
    </row>
    <row r="2097" spans="29:120" x14ac:dyDescent="0.25">
      <c r="AC2097" s="122" t="s">
        <v>323</v>
      </c>
      <c r="AD2097" s="122" t="s">
        <v>2463</v>
      </c>
      <c r="AE2097" s="127">
        <v>8</v>
      </c>
      <c r="DA2097" s="122" t="s">
        <v>333</v>
      </c>
      <c r="DB2097" s="122" t="s">
        <v>7202</v>
      </c>
      <c r="DC2097" s="122" t="s">
        <v>693</v>
      </c>
      <c r="DD2097" s="127">
        <v>4</v>
      </c>
      <c r="DE2097" s="127">
        <v>4</v>
      </c>
      <c r="DG2097" s="405" t="s">
        <v>333</v>
      </c>
      <c r="DH2097" s="406" t="s">
        <v>693</v>
      </c>
      <c r="DI2097" s="406" t="str">
        <f t="shared" si="64"/>
        <v>MG, São Pedro da União</v>
      </c>
      <c r="DJ2097" s="406">
        <v>-21.126999999999999</v>
      </c>
      <c r="DK2097" s="80">
        <v>-46.615000000000002</v>
      </c>
      <c r="DL2097" s="80">
        <v>977</v>
      </c>
      <c r="DM2097" s="64">
        <v>4</v>
      </c>
      <c r="DN2097" s="406" t="s">
        <v>6815</v>
      </c>
      <c r="DO2097" s="406">
        <v>-20.75</v>
      </c>
      <c r="DP2097" s="80">
        <v>875</v>
      </c>
    </row>
    <row r="2098" spans="29:120" x14ac:dyDescent="0.25">
      <c r="AC2098" s="122" t="s">
        <v>323</v>
      </c>
      <c r="AD2098" s="122" t="s">
        <v>2464</v>
      </c>
      <c r="AE2098" s="127">
        <v>7</v>
      </c>
      <c r="DA2098" s="122" t="s">
        <v>333</v>
      </c>
      <c r="DB2098" s="122" t="s">
        <v>7203</v>
      </c>
      <c r="DC2098" s="122" t="s">
        <v>3477</v>
      </c>
      <c r="DD2098" s="127">
        <v>3</v>
      </c>
      <c r="DE2098" s="127">
        <v>3</v>
      </c>
      <c r="DG2098" s="405" t="s">
        <v>333</v>
      </c>
      <c r="DH2098" s="406" t="s">
        <v>3477</v>
      </c>
      <c r="DI2098" s="406" t="str">
        <f t="shared" si="64"/>
        <v>MG, São Pedro do Suaçuí</v>
      </c>
      <c r="DJ2098" s="406">
        <v>-18.366</v>
      </c>
      <c r="DK2098" s="80">
        <v>-42.603000000000002</v>
      </c>
      <c r="DL2098" s="80">
        <v>473</v>
      </c>
      <c r="DM2098" s="64">
        <v>3</v>
      </c>
      <c r="DN2098" s="406" t="s">
        <v>6800</v>
      </c>
      <c r="DO2098" s="406">
        <v>-17.690000000000001</v>
      </c>
      <c r="DP2098" s="80">
        <v>932</v>
      </c>
    </row>
    <row r="2099" spans="29:120" x14ac:dyDescent="0.25">
      <c r="AC2099" s="122" t="s">
        <v>323</v>
      </c>
      <c r="AD2099" s="122" t="s">
        <v>2465</v>
      </c>
      <c r="AE2099" s="127">
        <v>8</v>
      </c>
      <c r="DA2099" s="122" t="s">
        <v>333</v>
      </c>
      <c r="DB2099" s="122" t="s">
        <v>7204</v>
      </c>
      <c r="DC2099" s="122" t="s">
        <v>2040</v>
      </c>
      <c r="DD2099" s="127">
        <v>3</v>
      </c>
      <c r="DE2099" s="127">
        <v>3</v>
      </c>
      <c r="DG2099" s="405" t="s">
        <v>333</v>
      </c>
      <c r="DH2099" s="406" t="s">
        <v>2040</v>
      </c>
      <c r="DI2099" s="406" t="str">
        <f t="shared" si="64"/>
        <v>MG, São Pedro dos Ferros</v>
      </c>
      <c r="DJ2099" s="406">
        <v>-20.170000000000002</v>
      </c>
      <c r="DK2099" s="80">
        <v>-42.524000000000001</v>
      </c>
      <c r="DL2099" s="80">
        <v>363</v>
      </c>
      <c r="DM2099" s="64">
        <v>3</v>
      </c>
      <c r="DN2099" s="406" t="s">
        <v>6819</v>
      </c>
      <c r="DO2099" s="406">
        <v>-19.79</v>
      </c>
      <c r="DP2099" s="80">
        <v>615</v>
      </c>
    </row>
    <row r="2100" spans="29:120" x14ac:dyDescent="0.25">
      <c r="AC2100" s="122" t="s">
        <v>289</v>
      </c>
      <c r="AD2100" s="122" t="s">
        <v>2466</v>
      </c>
      <c r="AE2100" s="127">
        <v>5</v>
      </c>
      <c r="DA2100" s="122" t="s">
        <v>333</v>
      </c>
      <c r="DB2100" s="122" t="s">
        <v>7205</v>
      </c>
      <c r="DC2100" s="122" t="s">
        <v>3997</v>
      </c>
      <c r="DD2100" s="127">
        <v>6</v>
      </c>
      <c r="DE2100" s="127">
        <v>6</v>
      </c>
      <c r="DG2100" s="405" t="s">
        <v>333</v>
      </c>
      <c r="DH2100" s="406" t="s">
        <v>3997</v>
      </c>
      <c r="DI2100" s="406" t="str">
        <f t="shared" si="64"/>
        <v>MG, São Romão</v>
      </c>
      <c r="DJ2100" s="406">
        <v>-16.369</v>
      </c>
      <c r="DK2100" s="80">
        <v>-45.069000000000003</v>
      </c>
      <c r="DL2100" s="80">
        <v>480</v>
      </c>
      <c r="DM2100" s="64">
        <v>6</v>
      </c>
      <c r="DN2100" s="406" t="s">
        <v>6872</v>
      </c>
      <c r="DO2100" s="406">
        <v>-16.37</v>
      </c>
      <c r="DP2100" s="80">
        <v>460</v>
      </c>
    </row>
    <row r="2101" spans="29:120" x14ac:dyDescent="0.25">
      <c r="AC2101" s="122" t="s">
        <v>289</v>
      </c>
      <c r="AD2101" s="122" t="s">
        <v>2467</v>
      </c>
      <c r="AE2101" s="127">
        <v>8</v>
      </c>
      <c r="DA2101" s="122" t="s">
        <v>333</v>
      </c>
      <c r="DB2101" s="122" t="s">
        <v>7206</v>
      </c>
      <c r="DC2101" s="122" t="s">
        <v>694</v>
      </c>
      <c r="DD2101" s="127">
        <v>3</v>
      </c>
      <c r="DE2101" s="127">
        <v>3</v>
      </c>
      <c r="DG2101" s="405" t="s">
        <v>333</v>
      </c>
      <c r="DH2101" s="406" t="s">
        <v>694</v>
      </c>
      <c r="DI2101" s="406" t="str">
        <f t="shared" si="64"/>
        <v>MG, São Roque de Minas</v>
      </c>
      <c r="DJ2101" s="406">
        <v>-20.245000000000001</v>
      </c>
      <c r="DK2101" s="80">
        <v>-46.366</v>
      </c>
      <c r="DL2101" s="80">
        <v>818</v>
      </c>
      <c r="DM2101" s="64">
        <v>3</v>
      </c>
      <c r="DN2101" s="406" t="s">
        <v>6815</v>
      </c>
      <c r="DO2101" s="406">
        <v>-20.75</v>
      </c>
      <c r="DP2101" s="80">
        <v>875</v>
      </c>
    </row>
    <row r="2102" spans="29:120" x14ac:dyDescent="0.25">
      <c r="AC2102" s="122" t="s">
        <v>289</v>
      </c>
      <c r="AD2102" s="122" t="s">
        <v>2468</v>
      </c>
      <c r="AE2102" s="127">
        <v>5</v>
      </c>
      <c r="DA2102" s="122" t="s">
        <v>333</v>
      </c>
      <c r="DB2102" s="122" t="s">
        <v>7207</v>
      </c>
      <c r="DC2102" s="122" t="s">
        <v>968</v>
      </c>
      <c r="DD2102" s="127">
        <v>2</v>
      </c>
      <c r="DE2102" s="127">
        <v>2</v>
      </c>
      <c r="DG2102" s="405" t="s">
        <v>333</v>
      </c>
      <c r="DH2102" s="406" t="s">
        <v>968</v>
      </c>
      <c r="DI2102" s="406" t="str">
        <f t="shared" si="64"/>
        <v>MG, São Sebastião da Bela Vista</v>
      </c>
      <c r="DJ2102" s="406">
        <v>-22.158999999999999</v>
      </c>
      <c r="DK2102" s="80">
        <v>-45.753999999999998</v>
      </c>
      <c r="DL2102" s="80">
        <v>842</v>
      </c>
      <c r="DM2102" s="64">
        <v>2</v>
      </c>
      <c r="DN2102" s="406" t="s">
        <v>6881</v>
      </c>
      <c r="DO2102" s="406">
        <v>-22.31</v>
      </c>
      <c r="DP2102" s="80">
        <v>1276</v>
      </c>
    </row>
    <row r="2103" spans="29:120" x14ac:dyDescent="0.25">
      <c r="AC2103" s="122" t="s">
        <v>333</v>
      </c>
      <c r="AD2103" s="122" t="s">
        <v>2469</v>
      </c>
      <c r="AE2103" s="127">
        <v>5</v>
      </c>
      <c r="DA2103" s="122" t="s">
        <v>333</v>
      </c>
      <c r="DB2103" s="122" t="s">
        <v>7208</v>
      </c>
      <c r="DC2103" s="122" t="s">
        <v>3308</v>
      </c>
      <c r="DD2103" s="127">
        <v>3</v>
      </c>
      <c r="DE2103" s="127">
        <v>3</v>
      </c>
      <c r="DG2103" s="405" t="s">
        <v>333</v>
      </c>
      <c r="DH2103" s="406" t="s">
        <v>3308</v>
      </c>
      <c r="DI2103" s="406" t="str">
        <f t="shared" si="64"/>
        <v>MG, São Sebastião da Vargem Alegre</v>
      </c>
      <c r="DJ2103" s="406">
        <v>-21.071999999999999</v>
      </c>
      <c r="DK2103" s="80">
        <v>-42.636000000000003</v>
      </c>
      <c r="DL2103" s="80">
        <v>718</v>
      </c>
      <c r="DM2103" s="64">
        <v>3</v>
      </c>
      <c r="DN2103" s="406" t="s">
        <v>6827</v>
      </c>
      <c r="DO2103" s="406">
        <v>-21.13</v>
      </c>
      <c r="DP2103" s="80">
        <v>297</v>
      </c>
    </row>
    <row r="2104" spans="29:120" x14ac:dyDescent="0.25">
      <c r="AC2104" s="122" t="s">
        <v>289</v>
      </c>
      <c r="AD2104" s="122" t="s">
        <v>2470</v>
      </c>
      <c r="AE2104" s="127">
        <v>5</v>
      </c>
      <c r="DA2104" s="122" t="s">
        <v>333</v>
      </c>
      <c r="DB2104" s="122" t="s">
        <v>7209</v>
      </c>
      <c r="DC2104" s="122" t="s">
        <v>2015</v>
      </c>
      <c r="DD2104" s="127">
        <v>3</v>
      </c>
      <c r="DE2104" s="127">
        <v>3</v>
      </c>
      <c r="DG2104" s="405" t="s">
        <v>333</v>
      </c>
      <c r="DH2104" s="406" t="s">
        <v>2015</v>
      </c>
      <c r="DI2104" s="406" t="str">
        <f t="shared" si="64"/>
        <v>MG, São Sebastião do Anta</v>
      </c>
      <c r="DJ2104" s="406">
        <v>-19.498000000000001</v>
      </c>
      <c r="DK2104" s="80">
        <v>-41.984000000000002</v>
      </c>
      <c r="DL2104" s="80">
        <v>782</v>
      </c>
      <c r="DM2104" s="64">
        <v>3</v>
      </c>
      <c r="DN2104" s="406" t="s">
        <v>6819</v>
      </c>
      <c r="DO2104" s="406">
        <v>-19.79</v>
      </c>
      <c r="DP2104" s="80">
        <v>615</v>
      </c>
    </row>
    <row r="2105" spans="29:120" x14ac:dyDescent="0.25">
      <c r="AC2105" s="122" t="s">
        <v>289</v>
      </c>
      <c r="AD2105" s="122" t="s">
        <v>2471</v>
      </c>
      <c r="AE2105" s="127">
        <v>8</v>
      </c>
      <c r="DA2105" s="122" t="s">
        <v>333</v>
      </c>
      <c r="DB2105" s="122" t="s">
        <v>7210</v>
      </c>
      <c r="DC2105" s="122" t="s">
        <v>2620</v>
      </c>
      <c r="DD2105" s="127">
        <v>3</v>
      </c>
      <c r="DE2105" s="127">
        <v>3</v>
      </c>
      <c r="DG2105" s="405" t="s">
        <v>333</v>
      </c>
      <c r="DH2105" s="406" t="s">
        <v>2620</v>
      </c>
      <c r="DI2105" s="406" t="str">
        <f t="shared" si="64"/>
        <v>MG, São Sebastião do Maranhão</v>
      </c>
      <c r="DJ2105" s="406">
        <v>-18.084</v>
      </c>
      <c r="DK2105" s="80">
        <v>-42.570999999999998</v>
      </c>
      <c r="DL2105" s="80">
        <v>539</v>
      </c>
      <c r="DM2105" s="64">
        <v>3</v>
      </c>
      <c r="DN2105" s="406" t="s">
        <v>6800</v>
      </c>
      <c r="DO2105" s="406">
        <v>-17.690000000000001</v>
      </c>
      <c r="DP2105" s="80">
        <v>932</v>
      </c>
    </row>
    <row r="2106" spans="29:120" x14ac:dyDescent="0.25">
      <c r="AC2106" s="122" t="s">
        <v>323</v>
      </c>
      <c r="AD2106" s="122" t="s">
        <v>2472</v>
      </c>
      <c r="AE2106" s="127">
        <v>8</v>
      </c>
      <c r="DA2106" s="122" t="s">
        <v>333</v>
      </c>
      <c r="DB2106" s="122" t="s">
        <v>7211</v>
      </c>
      <c r="DC2106" s="122" t="s">
        <v>3852</v>
      </c>
      <c r="DD2106" s="127">
        <v>3</v>
      </c>
      <c r="DE2106" s="127">
        <v>3</v>
      </c>
      <c r="DG2106" s="405" t="s">
        <v>333</v>
      </c>
      <c r="DH2106" s="406" t="s">
        <v>3852</v>
      </c>
      <c r="DI2106" s="406" t="str">
        <f t="shared" si="64"/>
        <v>MG, São Sebastião do Oeste</v>
      </c>
      <c r="DJ2106" s="406">
        <v>-20.276</v>
      </c>
      <c r="DK2106" s="80">
        <v>-45.005000000000003</v>
      </c>
      <c r="DL2106" s="80">
        <v>780</v>
      </c>
      <c r="DM2106" s="64">
        <v>3</v>
      </c>
      <c r="DN2106" s="406" t="s">
        <v>6803</v>
      </c>
      <c r="DO2106" s="406">
        <v>-20.46</v>
      </c>
      <c r="DP2106" s="80">
        <v>878</v>
      </c>
    </row>
    <row r="2107" spans="29:120" x14ac:dyDescent="0.25">
      <c r="AC2107" s="122" t="s">
        <v>323</v>
      </c>
      <c r="AD2107" s="122" t="s">
        <v>2473</v>
      </c>
      <c r="AE2107" s="127">
        <v>8</v>
      </c>
      <c r="DA2107" s="122" t="s">
        <v>333</v>
      </c>
      <c r="DB2107" s="122" t="s">
        <v>7212</v>
      </c>
      <c r="DC2107" s="122" t="s">
        <v>2820</v>
      </c>
      <c r="DD2107" s="127">
        <v>4</v>
      </c>
      <c r="DE2107" s="127">
        <v>4</v>
      </c>
      <c r="DG2107" s="405" t="s">
        <v>333</v>
      </c>
      <c r="DH2107" s="406" t="s">
        <v>2820</v>
      </c>
      <c r="DI2107" s="406" t="str">
        <f t="shared" si="64"/>
        <v>MG, São Sebastião do Paraíso</v>
      </c>
      <c r="DJ2107" s="406">
        <v>-20.917000000000002</v>
      </c>
      <c r="DK2107" s="80">
        <v>-46.991</v>
      </c>
      <c r="DL2107" s="80">
        <v>991</v>
      </c>
      <c r="DM2107" s="64">
        <v>4</v>
      </c>
      <c r="DN2107" s="406" t="s">
        <v>6815</v>
      </c>
      <c r="DO2107" s="406">
        <v>-20.75</v>
      </c>
      <c r="DP2107" s="80">
        <v>875</v>
      </c>
    </row>
    <row r="2108" spans="29:120" x14ac:dyDescent="0.25">
      <c r="AC2108" s="122" t="s">
        <v>323</v>
      </c>
      <c r="AD2108" s="122" t="s">
        <v>1444</v>
      </c>
      <c r="AE2108" s="127">
        <v>6</v>
      </c>
      <c r="DA2108" s="122" t="s">
        <v>333</v>
      </c>
      <c r="DB2108" s="122" t="s">
        <v>7213</v>
      </c>
      <c r="DC2108" s="122" t="s">
        <v>3467</v>
      </c>
      <c r="DD2108" s="127">
        <v>3</v>
      </c>
      <c r="DE2108" s="127">
        <v>3</v>
      </c>
      <c r="DG2108" s="405" t="s">
        <v>333</v>
      </c>
      <c r="DH2108" s="406" t="s">
        <v>3467</v>
      </c>
      <c r="DI2108" s="406" t="str">
        <f t="shared" si="64"/>
        <v>MG, São Sebastião do Rio Preto</v>
      </c>
      <c r="DJ2108" s="406">
        <v>-19.292000000000002</v>
      </c>
      <c r="DK2108" s="80">
        <v>-43.173999999999999</v>
      </c>
      <c r="DL2108" s="80">
        <v>487</v>
      </c>
      <c r="DM2108" s="64">
        <v>3</v>
      </c>
      <c r="DN2108" s="406" t="s">
        <v>6798</v>
      </c>
      <c r="DO2108" s="406">
        <v>-19.579999999999998</v>
      </c>
      <c r="DP2108" s="80">
        <v>333</v>
      </c>
    </row>
    <row r="2109" spans="29:120" x14ac:dyDescent="0.25">
      <c r="AC2109" s="122" t="s">
        <v>289</v>
      </c>
      <c r="AD2109" s="122" t="s">
        <v>2474</v>
      </c>
      <c r="AE2109" s="127">
        <v>8</v>
      </c>
      <c r="DA2109" s="122" t="s">
        <v>333</v>
      </c>
      <c r="DB2109" s="122" t="s">
        <v>7214</v>
      </c>
      <c r="DC2109" s="122" t="s">
        <v>965</v>
      </c>
      <c r="DD2109" s="127">
        <v>2</v>
      </c>
      <c r="DE2109" s="127">
        <v>2</v>
      </c>
      <c r="DG2109" s="405" t="s">
        <v>333</v>
      </c>
      <c r="DH2109" s="406" t="s">
        <v>965</v>
      </c>
      <c r="DI2109" s="406" t="str">
        <f t="shared" si="64"/>
        <v>MG, São Sebastião do Rio Verde</v>
      </c>
      <c r="DJ2109" s="406">
        <v>-22.218</v>
      </c>
      <c r="DK2109" s="80">
        <v>-44.975999999999999</v>
      </c>
      <c r="DL2109" s="80">
        <v>897</v>
      </c>
      <c r="DM2109" s="64">
        <v>2</v>
      </c>
      <c r="DN2109" s="406" t="s">
        <v>6837</v>
      </c>
      <c r="DO2109" s="406">
        <v>-22.39</v>
      </c>
      <c r="DP2109" s="80">
        <v>1040</v>
      </c>
    </row>
    <row r="2110" spans="29:120" x14ac:dyDescent="0.25">
      <c r="AC2110" s="122" t="s">
        <v>323</v>
      </c>
      <c r="AD2110" s="122" t="s">
        <v>2475</v>
      </c>
      <c r="AE2110" s="127">
        <v>8</v>
      </c>
      <c r="DA2110" s="122" t="s">
        <v>333</v>
      </c>
      <c r="DB2110" s="122" t="s">
        <v>7215</v>
      </c>
      <c r="DC2110" s="122" t="s">
        <v>695</v>
      </c>
      <c r="DD2110" s="127">
        <v>2</v>
      </c>
      <c r="DE2110" s="127">
        <v>2</v>
      </c>
      <c r="DG2110" s="405" t="s">
        <v>333</v>
      </c>
      <c r="DH2110" s="406" t="s">
        <v>5800</v>
      </c>
      <c r="DI2110" s="406" t="str">
        <f t="shared" si="64"/>
        <v>MG, São Thomé das Letras</v>
      </c>
      <c r="DJ2110" s="406">
        <v>-21.722000000000001</v>
      </c>
      <c r="DK2110" s="80">
        <v>-44.984999999999999</v>
      </c>
      <c r="DL2110" s="80">
        <v>1291</v>
      </c>
      <c r="DM2110" s="64">
        <v>2</v>
      </c>
      <c r="DN2110" s="406" t="s">
        <v>6811</v>
      </c>
      <c r="DO2110" s="406">
        <v>-21.55</v>
      </c>
      <c r="DP2110" s="80">
        <v>955</v>
      </c>
    </row>
    <row r="2111" spans="29:120" x14ac:dyDescent="0.25">
      <c r="AC2111" s="122" t="s">
        <v>298</v>
      </c>
      <c r="AD2111" s="122" t="s">
        <v>2476</v>
      </c>
      <c r="AE2111" s="127">
        <v>8</v>
      </c>
      <c r="DA2111" s="122" t="s">
        <v>333</v>
      </c>
      <c r="DB2111" s="122" t="s">
        <v>7216</v>
      </c>
      <c r="DC2111" s="122" t="s">
        <v>2874</v>
      </c>
      <c r="DD2111" s="127">
        <v>4</v>
      </c>
      <c r="DE2111" s="127">
        <v>4</v>
      </c>
      <c r="DG2111" s="405" t="s">
        <v>333</v>
      </c>
      <c r="DH2111" s="406" t="s">
        <v>695</v>
      </c>
      <c r="DI2111" s="406" t="str">
        <f t="shared" si="64"/>
        <v>MG, São Tiago</v>
      </c>
      <c r="DJ2111" s="406">
        <v>-20.913</v>
      </c>
      <c r="DK2111" s="80">
        <v>-44.509</v>
      </c>
      <c r="DL2111" s="80">
        <v>1103</v>
      </c>
      <c r="DM2111" s="64">
        <v>4</v>
      </c>
      <c r="DN2111" s="406" t="s">
        <v>6813</v>
      </c>
      <c r="DO2111" s="406">
        <v>-21.14</v>
      </c>
      <c r="DP2111" s="80">
        <v>991</v>
      </c>
    </row>
    <row r="2112" spans="29:120" x14ac:dyDescent="0.25">
      <c r="AC2112" s="122" t="s">
        <v>323</v>
      </c>
      <c r="AD2112" s="122" t="s">
        <v>530</v>
      </c>
      <c r="AE2112" s="127">
        <v>8</v>
      </c>
      <c r="DA2112" s="122" t="s">
        <v>333</v>
      </c>
      <c r="DB2112" s="122" t="s">
        <v>7217</v>
      </c>
      <c r="DC2112" s="122" t="s">
        <v>902</v>
      </c>
      <c r="DD2112" s="127">
        <v>2</v>
      </c>
      <c r="DE2112" s="127">
        <v>2</v>
      </c>
      <c r="DG2112" s="405" t="s">
        <v>333</v>
      </c>
      <c r="DH2112" s="406" t="s">
        <v>2874</v>
      </c>
      <c r="DI2112" s="406" t="str">
        <f t="shared" si="64"/>
        <v>MG, São Tomás de Aquino</v>
      </c>
      <c r="DJ2112" s="406">
        <v>-20.783999999999999</v>
      </c>
      <c r="DK2112" s="80">
        <v>-47.097999999999999</v>
      </c>
      <c r="DL2112" s="80">
        <v>979</v>
      </c>
      <c r="DM2112" s="64">
        <v>2</v>
      </c>
      <c r="DN2112" s="406" t="s">
        <v>6892</v>
      </c>
      <c r="DO2112" s="406">
        <v>-20.54</v>
      </c>
      <c r="DP2112" s="80">
        <v>1026</v>
      </c>
    </row>
    <row r="2113" spans="29:120" x14ac:dyDescent="0.25">
      <c r="AC2113" s="122" t="s">
        <v>289</v>
      </c>
      <c r="AD2113" s="122" t="s">
        <v>2477</v>
      </c>
      <c r="AE2113" s="127">
        <v>8</v>
      </c>
      <c r="DA2113" s="122" t="s">
        <v>333</v>
      </c>
      <c r="DB2113" s="122" t="s">
        <v>7218</v>
      </c>
      <c r="DC2113" s="122" t="s">
        <v>696</v>
      </c>
      <c r="DD2113" s="127">
        <v>3</v>
      </c>
      <c r="DE2113" s="127">
        <v>3</v>
      </c>
      <c r="DG2113" s="405" t="s">
        <v>333</v>
      </c>
      <c r="DH2113" s="406" t="s">
        <v>696</v>
      </c>
      <c r="DI2113" s="406" t="str">
        <f t="shared" si="64"/>
        <v>MG, São Vicente de Minas</v>
      </c>
      <c r="DJ2113" s="406">
        <v>-21.713000000000001</v>
      </c>
      <c r="DK2113" s="80">
        <v>-44.444000000000003</v>
      </c>
      <c r="DL2113" s="80">
        <v>1057</v>
      </c>
      <c r="DM2113" s="64">
        <v>3</v>
      </c>
      <c r="DN2113" s="406" t="s">
        <v>6813</v>
      </c>
      <c r="DO2113" s="406">
        <v>-21.14</v>
      </c>
      <c r="DP2113" s="80">
        <v>991</v>
      </c>
    </row>
    <row r="2114" spans="29:120" x14ac:dyDescent="0.25">
      <c r="AC2114" s="122" t="s">
        <v>333</v>
      </c>
      <c r="AD2114" s="122" t="s">
        <v>2478</v>
      </c>
      <c r="AE2114" s="127">
        <v>5</v>
      </c>
      <c r="DA2114" s="122" t="s">
        <v>333</v>
      </c>
      <c r="DB2114" s="122" t="s">
        <v>697</v>
      </c>
      <c r="DC2114" s="122" t="s">
        <v>697</v>
      </c>
      <c r="DD2114" s="127">
        <v>3</v>
      </c>
      <c r="DE2114" s="127">
        <v>3</v>
      </c>
      <c r="DG2114" s="405" t="s">
        <v>333</v>
      </c>
      <c r="DH2114" s="406" t="s">
        <v>697</v>
      </c>
      <c r="DI2114" s="406" t="str">
        <f t="shared" si="64"/>
        <v>MG, Sapucaí-Mirim</v>
      </c>
      <c r="DJ2114" s="406">
        <v>-22.748000000000001</v>
      </c>
      <c r="DK2114" s="80">
        <v>-45.743000000000002</v>
      </c>
      <c r="DL2114" s="80">
        <v>885</v>
      </c>
      <c r="DM2114" s="64">
        <v>3</v>
      </c>
      <c r="DN2114" s="406" t="s">
        <v>6873</v>
      </c>
      <c r="DO2114" s="406">
        <v>-22.74</v>
      </c>
      <c r="DP2114" s="80">
        <v>1642</v>
      </c>
    </row>
    <row r="2115" spans="29:120" x14ac:dyDescent="0.25">
      <c r="AC2115" s="122" t="s">
        <v>323</v>
      </c>
      <c r="AD2115" s="122" t="s">
        <v>2479</v>
      </c>
      <c r="AE2115" s="127">
        <v>8</v>
      </c>
      <c r="DA2115" s="122" t="s">
        <v>333</v>
      </c>
      <c r="DB2115" s="122" t="s">
        <v>3319</v>
      </c>
      <c r="DC2115" s="122" t="s">
        <v>3319</v>
      </c>
      <c r="DD2115" s="127">
        <v>3</v>
      </c>
      <c r="DE2115" s="127">
        <v>3</v>
      </c>
      <c r="DG2115" s="405" t="s">
        <v>333</v>
      </c>
      <c r="DH2115" s="406" t="s">
        <v>3319</v>
      </c>
      <c r="DI2115" s="406" t="str">
        <f t="shared" ref="DI2115:DI2178" si="65">CONCATENATE(DG2115,", ",DH2115)</f>
        <v>MG, Sardoá</v>
      </c>
      <c r="DJ2115" s="406">
        <v>-18.783999999999999</v>
      </c>
      <c r="DK2115" s="80">
        <v>-42.365000000000002</v>
      </c>
      <c r="DL2115" s="80">
        <v>691</v>
      </c>
      <c r="DM2115" s="64">
        <v>3</v>
      </c>
      <c r="DN2115" s="406" t="s">
        <v>6814</v>
      </c>
      <c r="DO2115" s="406">
        <v>-18.850000000000001</v>
      </c>
      <c r="DP2115" s="80">
        <v>263</v>
      </c>
    </row>
    <row r="2116" spans="29:120" x14ac:dyDescent="0.25">
      <c r="AC2116" s="122" t="s">
        <v>317</v>
      </c>
      <c r="AD2116" s="122" t="s">
        <v>2480</v>
      </c>
      <c r="AE2116" s="127">
        <v>8</v>
      </c>
      <c r="DA2116" s="122" t="s">
        <v>333</v>
      </c>
      <c r="DB2116" s="122" t="s">
        <v>534</v>
      </c>
      <c r="DC2116" s="122" t="s">
        <v>534</v>
      </c>
      <c r="DD2116" s="127">
        <v>2</v>
      </c>
      <c r="DE2116" s="127">
        <v>2</v>
      </c>
      <c r="DG2116" s="405" t="s">
        <v>333</v>
      </c>
      <c r="DH2116" s="406" t="s">
        <v>534</v>
      </c>
      <c r="DI2116" s="406" t="str">
        <f t="shared" si="65"/>
        <v>MG, Sarzedo</v>
      </c>
      <c r="DJ2116" s="406">
        <v>-20.035</v>
      </c>
      <c r="DK2116" s="80">
        <v>-44.145000000000003</v>
      </c>
      <c r="DL2116" s="80">
        <v>796</v>
      </c>
      <c r="DM2116" s="64">
        <v>2</v>
      </c>
      <c r="DN2116" s="406" t="s">
        <v>6849</v>
      </c>
      <c r="DO2116" s="406">
        <v>-20.03</v>
      </c>
      <c r="DP2116" s="80">
        <v>1208</v>
      </c>
    </row>
    <row r="2117" spans="29:120" x14ac:dyDescent="0.25">
      <c r="AC2117" s="122" t="s">
        <v>323</v>
      </c>
      <c r="AD2117" s="122" t="s">
        <v>2481</v>
      </c>
      <c r="AE2117" s="127">
        <v>7</v>
      </c>
      <c r="DA2117" s="122" t="s">
        <v>333</v>
      </c>
      <c r="DB2117" s="122" t="s">
        <v>483</v>
      </c>
      <c r="DC2117" s="122" t="s">
        <v>483</v>
      </c>
      <c r="DD2117" s="127">
        <v>3</v>
      </c>
      <c r="DE2117" s="127">
        <v>3</v>
      </c>
      <c r="DG2117" s="405" t="s">
        <v>333</v>
      </c>
      <c r="DH2117" s="406" t="s">
        <v>483</v>
      </c>
      <c r="DI2117" s="406" t="str">
        <f t="shared" si="65"/>
        <v>MG, Sem-Peixe</v>
      </c>
      <c r="DJ2117" s="406">
        <v>-20.109000000000002</v>
      </c>
      <c r="DK2117" s="80">
        <v>-42.838999999999999</v>
      </c>
      <c r="DL2117" s="80">
        <v>301</v>
      </c>
      <c r="DM2117" s="64">
        <v>3</v>
      </c>
      <c r="DN2117" s="406" t="s">
        <v>6798</v>
      </c>
      <c r="DO2117" s="406">
        <v>-19.579999999999998</v>
      </c>
      <c r="DP2117" s="80">
        <v>333</v>
      </c>
    </row>
    <row r="2118" spans="29:120" x14ac:dyDescent="0.25">
      <c r="AC2118" s="122" t="s">
        <v>333</v>
      </c>
      <c r="AD2118" s="122" t="s">
        <v>2482</v>
      </c>
      <c r="AE2118" s="127">
        <v>3</v>
      </c>
      <c r="DA2118" s="122" t="s">
        <v>333</v>
      </c>
      <c r="DB2118" s="122" t="s">
        <v>7219</v>
      </c>
      <c r="DC2118" s="122" t="s">
        <v>882</v>
      </c>
      <c r="DD2118" s="127">
        <v>1</v>
      </c>
      <c r="DE2118" s="127">
        <v>1</v>
      </c>
      <c r="DG2118" s="405" t="s">
        <v>333</v>
      </c>
      <c r="DH2118" s="406" t="s">
        <v>882</v>
      </c>
      <c r="DI2118" s="406" t="str">
        <f t="shared" si="65"/>
        <v>MG, Senador Amaral</v>
      </c>
      <c r="DJ2118" s="406">
        <v>-22.587</v>
      </c>
      <c r="DK2118" s="80">
        <v>-46.177</v>
      </c>
      <c r="DL2118" s="80">
        <v>1505</v>
      </c>
      <c r="DM2118" s="64">
        <v>1</v>
      </c>
      <c r="DN2118" s="406" t="s">
        <v>6861</v>
      </c>
      <c r="DO2118" s="406">
        <v>-22.86</v>
      </c>
      <c r="DP2118" s="80">
        <v>1500</v>
      </c>
    </row>
    <row r="2119" spans="29:120" x14ac:dyDescent="0.25">
      <c r="AC2119" s="122" t="s">
        <v>298</v>
      </c>
      <c r="AD2119" s="122" t="s">
        <v>2483</v>
      </c>
      <c r="AE2119" s="127">
        <v>8</v>
      </c>
      <c r="DA2119" s="122" t="s">
        <v>333</v>
      </c>
      <c r="DB2119" s="122" t="s">
        <v>7220</v>
      </c>
      <c r="DC2119" s="122" t="s">
        <v>3426</v>
      </c>
      <c r="DD2119" s="127">
        <v>3</v>
      </c>
      <c r="DE2119" s="127">
        <v>3</v>
      </c>
      <c r="DG2119" s="405" t="s">
        <v>333</v>
      </c>
      <c r="DH2119" s="406" t="s">
        <v>3426</v>
      </c>
      <c r="DI2119" s="406" t="str">
        <f t="shared" si="65"/>
        <v>MG, Senador Cortes</v>
      </c>
      <c r="DJ2119" s="406">
        <v>-21.800999999999998</v>
      </c>
      <c r="DK2119" s="80">
        <v>-42.945999999999998</v>
      </c>
      <c r="DL2119" s="80">
        <v>585</v>
      </c>
      <c r="DM2119" s="64">
        <v>3</v>
      </c>
      <c r="DN2119" s="406" t="s">
        <v>6829</v>
      </c>
      <c r="DO2119" s="406">
        <v>-21.76</v>
      </c>
      <c r="DP2119" s="80">
        <v>950</v>
      </c>
    </row>
    <row r="2120" spans="29:120" x14ac:dyDescent="0.25">
      <c r="AC2120" s="122" t="s">
        <v>323</v>
      </c>
      <c r="AD2120" s="122" t="s">
        <v>2484</v>
      </c>
      <c r="AE2120" s="127">
        <v>8</v>
      </c>
      <c r="DA2120" s="122" t="s">
        <v>333</v>
      </c>
      <c r="DB2120" s="122" t="s">
        <v>7221</v>
      </c>
      <c r="DC2120" s="122" t="s">
        <v>698</v>
      </c>
      <c r="DD2120" s="127">
        <v>3</v>
      </c>
      <c r="DE2120" s="127">
        <v>3</v>
      </c>
      <c r="DG2120" s="405" t="s">
        <v>333</v>
      </c>
      <c r="DH2120" s="406" t="s">
        <v>698</v>
      </c>
      <c r="DI2120" s="406" t="str">
        <f t="shared" si="65"/>
        <v>MG, Senador Firmino</v>
      </c>
      <c r="DJ2120" s="406">
        <v>-20.911999999999999</v>
      </c>
      <c r="DK2120" s="80">
        <v>-43.097000000000001</v>
      </c>
      <c r="DL2120" s="80">
        <v>660</v>
      </c>
      <c r="DM2120" s="64">
        <v>3</v>
      </c>
      <c r="DN2120" s="406" t="s">
        <v>6797</v>
      </c>
      <c r="DO2120" s="406">
        <v>-20.75</v>
      </c>
      <c r="DP2120" s="80">
        <v>712</v>
      </c>
    </row>
    <row r="2121" spans="29:120" x14ac:dyDescent="0.25">
      <c r="AC2121" s="122" t="s">
        <v>323</v>
      </c>
      <c r="AD2121" s="122" t="s">
        <v>2485</v>
      </c>
      <c r="AE2121" s="127">
        <v>6</v>
      </c>
      <c r="DA2121" s="122" t="s">
        <v>333</v>
      </c>
      <c r="DB2121" s="122" t="s">
        <v>7222</v>
      </c>
      <c r="DC2121" s="122" t="s">
        <v>966</v>
      </c>
      <c r="DD2121" s="127">
        <v>2</v>
      </c>
      <c r="DE2121" s="127">
        <v>2</v>
      </c>
      <c r="DG2121" s="405" t="s">
        <v>333</v>
      </c>
      <c r="DH2121" s="406" t="s">
        <v>966</v>
      </c>
      <c r="DI2121" s="406" t="str">
        <f t="shared" si="65"/>
        <v>MG, Senador José Bento</v>
      </c>
      <c r="DJ2121" s="406">
        <v>-22.164000000000001</v>
      </c>
      <c r="DK2121" s="80">
        <v>-46.179000000000002</v>
      </c>
      <c r="DL2121" s="80">
        <v>885</v>
      </c>
      <c r="DM2121" s="64">
        <v>2</v>
      </c>
      <c r="DN2121" s="406" t="s">
        <v>6823</v>
      </c>
      <c r="DO2121" s="406">
        <v>-21.92</v>
      </c>
      <c r="DP2121" s="80">
        <v>1150</v>
      </c>
    </row>
    <row r="2122" spans="29:120" x14ac:dyDescent="0.25">
      <c r="AC2122" s="122" t="s">
        <v>323</v>
      </c>
      <c r="AD2122" s="122" t="s">
        <v>2486</v>
      </c>
      <c r="AE2122" s="127">
        <v>8</v>
      </c>
      <c r="DA2122" s="122" t="s">
        <v>333</v>
      </c>
      <c r="DB2122" s="122" t="s">
        <v>7223</v>
      </c>
      <c r="DC2122" s="122" t="s">
        <v>699</v>
      </c>
      <c r="DD2122" s="127">
        <v>3</v>
      </c>
      <c r="DE2122" s="127">
        <v>3</v>
      </c>
      <c r="DG2122" s="405" t="s">
        <v>333</v>
      </c>
      <c r="DH2122" s="406" t="s">
        <v>699</v>
      </c>
      <c r="DI2122" s="406" t="str">
        <f t="shared" si="65"/>
        <v>MG, Senador Modestino Gonçalves</v>
      </c>
      <c r="DJ2122" s="406">
        <v>-17.946999999999999</v>
      </c>
      <c r="DK2122" s="80">
        <v>-43.225000000000001</v>
      </c>
      <c r="DL2122" s="80">
        <v>743</v>
      </c>
      <c r="DM2122" s="64">
        <v>3</v>
      </c>
      <c r="DN2122" s="406" t="s">
        <v>6821</v>
      </c>
      <c r="DO2122" s="406">
        <v>-18.23</v>
      </c>
      <c r="DP2122" s="80">
        <v>1356</v>
      </c>
    </row>
    <row r="2123" spans="29:120" x14ac:dyDescent="0.25">
      <c r="AC2123" s="122" t="s">
        <v>323</v>
      </c>
      <c r="AD2123" s="122" t="s">
        <v>2487</v>
      </c>
      <c r="AE2123" s="127">
        <v>7</v>
      </c>
      <c r="DA2123" s="122" t="s">
        <v>333</v>
      </c>
      <c r="DB2123" s="122" t="s">
        <v>7224</v>
      </c>
      <c r="DC2123" s="122" t="s">
        <v>700</v>
      </c>
      <c r="DD2123" s="127">
        <v>3</v>
      </c>
      <c r="DE2123" s="127">
        <v>3</v>
      </c>
      <c r="DG2123" s="405" t="s">
        <v>333</v>
      </c>
      <c r="DH2123" s="406" t="s">
        <v>700</v>
      </c>
      <c r="DI2123" s="406" t="str">
        <f t="shared" si="65"/>
        <v>MG, Senhora de Oliveira</v>
      </c>
      <c r="DJ2123" s="406">
        <v>-20.794</v>
      </c>
      <c r="DK2123" s="80">
        <v>-43.344000000000001</v>
      </c>
      <c r="DL2123" s="80">
        <v>715</v>
      </c>
      <c r="DM2123" s="64">
        <v>3</v>
      </c>
      <c r="DN2123" s="406" t="s">
        <v>6848</v>
      </c>
      <c r="DO2123" s="406">
        <v>-20.52</v>
      </c>
      <c r="DP2123" s="80">
        <v>1061</v>
      </c>
    </row>
    <row r="2124" spans="29:120" x14ac:dyDescent="0.25">
      <c r="AC2124" s="122" t="s">
        <v>323</v>
      </c>
      <c r="AD2124" s="122" t="s">
        <v>2488</v>
      </c>
      <c r="AE2124" s="127">
        <v>7</v>
      </c>
      <c r="DA2124" s="122" t="s">
        <v>333</v>
      </c>
      <c r="DB2124" s="122" t="s">
        <v>7225</v>
      </c>
      <c r="DC2124" s="122" t="s">
        <v>3456</v>
      </c>
      <c r="DD2124" s="127">
        <v>3</v>
      </c>
      <c r="DE2124" s="127">
        <v>3</v>
      </c>
      <c r="DG2124" s="405" t="s">
        <v>333</v>
      </c>
      <c r="DH2124" s="406" t="s">
        <v>3456</v>
      </c>
      <c r="DI2124" s="406" t="str">
        <f t="shared" si="65"/>
        <v>MG, Senhora do Porto</v>
      </c>
      <c r="DJ2124" s="406">
        <v>-18.891999999999999</v>
      </c>
      <c r="DK2124" s="80">
        <v>-43.084000000000003</v>
      </c>
      <c r="DL2124" s="80">
        <v>591</v>
      </c>
      <c r="DM2124" s="64">
        <v>3</v>
      </c>
      <c r="DN2124" s="406" t="s">
        <v>6798</v>
      </c>
      <c r="DO2124" s="406">
        <v>-19.579999999999998</v>
      </c>
      <c r="DP2124" s="80">
        <v>333</v>
      </c>
    </row>
    <row r="2125" spans="29:120" x14ac:dyDescent="0.25">
      <c r="AC2125" s="122" t="s">
        <v>298</v>
      </c>
      <c r="AD2125" s="122" t="s">
        <v>2489</v>
      </c>
      <c r="AE2125" s="127">
        <v>8</v>
      </c>
      <c r="DA2125" s="122" t="s">
        <v>333</v>
      </c>
      <c r="DB2125" s="122" t="s">
        <v>7226</v>
      </c>
      <c r="DC2125" s="122" t="s">
        <v>701</v>
      </c>
      <c r="DD2125" s="127">
        <v>3</v>
      </c>
      <c r="DE2125" s="127">
        <v>3</v>
      </c>
      <c r="DG2125" s="405" t="s">
        <v>333</v>
      </c>
      <c r="DH2125" s="406" t="s">
        <v>701</v>
      </c>
      <c r="DI2125" s="406" t="str">
        <f t="shared" si="65"/>
        <v>MG, Senhora dos Remédios</v>
      </c>
      <c r="DJ2125" s="406">
        <v>-21.027999999999999</v>
      </c>
      <c r="DK2125" s="80">
        <v>-43.582999999999998</v>
      </c>
      <c r="DL2125" s="80">
        <v>810</v>
      </c>
      <c r="DM2125" s="64">
        <v>3</v>
      </c>
      <c r="DN2125" s="406" t="s">
        <v>6848</v>
      </c>
      <c r="DO2125" s="406">
        <v>-20.52</v>
      </c>
      <c r="DP2125" s="80">
        <v>1061</v>
      </c>
    </row>
    <row r="2126" spans="29:120" x14ac:dyDescent="0.25">
      <c r="AC2126" s="122" t="s">
        <v>323</v>
      </c>
      <c r="AD2126" s="122" t="s">
        <v>2490</v>
      </c>
      <c r="AE2126" s="127">
        <v>8</v>
      </c>
      <c r="DA2126" s="122" t="s">
        <v>333</v>
      </c>
      <c r="DB2126" s="122" t="s">
        <v>3350</v>
      </c>
      <c r="DC2126" s="122" t="s">
        <v>3350</v>
      </c>
      <c r="DD2126" s="127">
        <v>3</v>
      </c>
      <c r="DE2126" s="127">
        <v>3</v>
      </c>
      <c r="DG2126" s="405" t="s">
        <v>333</v>
      </c>
      <c r="DH2126" s="406" t="s">
        <v>3350</v>
      </c>
      <c r="DI2126" s="406" t="str">
        <f t="shared" si="65"/>
        <v>MG, Sericita</v>
      </c>
      <c r="DJ2126" s="406">
        <v>-20.474</v>
      </c>
      <c r="DK2126" s="80">
        <v>-42.481999999999999</v>
      </c>
      <c r="DL2126" s="80">
        <v>772</v>
      </c>
      <c r="DM2126" s="64">
        <v>3</v>
      </c>
      <c r="DN2126" s="406" t="s">
        <v>6797</v>
      </c>
      <c r="DO2126" s="406">
        <v>-20.75</v>
      </c>
      <c r="DP2126" s="80">
        <v>712</v>
      </c>
    </row>
    <row r="2127" spans="29:120" x14ac:dyDescent="0.25">
      <c r="AC2127" s="122" t="s">
        <v>323</v>
      </c>
      <c r="AD2127" s="122" t="s">
        <v>2491</v>
      </c>
      <c r="AE2127" s="127">
        <v>7</v>
      </c>
      <c r="DA2127" s="122" t="s">
        <v>333</v>
      </c>
      <c r="DB2127" s="122" t="s">
        <v>702</v>
      </c>
      <c r="DC2127" s="122" t="s">
        <v>702</v>
      </c>
      <c r="DD2127" s="127">
        <v>3</v>
      </c>
      <c r="DE2127" s="127">
        <v>3</v>
      </c>
      <c r="DG2127" s="405" t="s">
        <v>333</v>
      </c>
      <c r="DH2127" s="406" t="s">
        <v>702</v>
      </c>
      <c r="DI2127" s="406" t="str">
        <f t="shared" si="65"/>
        <v>MG, Seritinga</v>
      </c>
      <c r="DJ2127" s="406">
        <v>-21.908999999999999</v>
      </c>
      <c r="DK2127" s="80">
        <v>-44.518999999999998</v>
      </c>
      <c r="DL2127" s="80">
        <v>979</v>
      </c>
      <c r="DM2127" s="64">
        <v>3</v>
      </c>
      <c r="DN2127" s="406" t="s">
        <v>6807</v>
      </c>
      <c r="DO2127" s="406">
        <v>-22.47</v>
      </c>
      <c r="DP2127" s="80">
        <v>440</v>
      </c>
    </row>
    <row r="2128" spans="29:120" x14ac:dyDescent="0.25">
      <c r="AC2128" s="122" t="s">
        <v>323</v>
      </c>
      <c r="AD2128" s="122" t="s">
        <v>2492</v>
      </c>
      <c r="AE2128" s="127">
        <v>7</v>
      </c>
      <c r="DA2128" s="122" t="s">
        <v>333</v>
      </c>
      <c r="DB2128" s="122" t="s">
        <v>7227</v>
      </c>
      <c r="DC2128" s="122" t="s">
        <v>703</v>
      </c>
      <c r="DD2128" s="127">
        <v>2</v>
      </c>
      <c r="DE2128" s="127">
        <v>2</v>
      </c>
      <c r="DG2128" s="405" t="s">
        <v>333</v>
      </c>
      <c r="DH2128" s="406" t="s">
        <v>703</v>
      </c>
      <c r="DI2128" s="406" t="str">
        <f t="shared" si="65"/>
        <v>MG, Serra Azul de Minas</v>
      </c>
      <c r="DJ2128" s="406">
        <v>-18.361999999999998</v>
      </c>
      <c r="DK2128" s="80">
        <v>-43.17</v>
      </c>
      <c r="DL2128" s="80">
        <v>700</v>
      </c>
      <c r="DM2128" s="64">
        <v>2</v>
      </c>
      <c r="DN2128" s="406" t="s">
        <v>6821</v>
      </c>
      <c r="DO2128" s="406">
        <v>-18.23</v>
      </c>
      <c r="DP2128" s="80">
        <v>1356</v>
      </c>
    </row>
    <row r="2129" spans="29:120" x14ac:dyDescent="0.25">
      <c r="AC2129" s="122" t="s">
        <v>323</v>
      </c>
      <c r="AD2129" s="122" t="s">
        <v>2493</v>
      </c>
      <c r="AE2129" s="127">
        <v>8</v>
      </c>
      <c r="DA2129" s="122" t="s">
        <v>333</v>
      </c>
      <c r="DB2129" s="122" t="s">
        <v>7228</v>
      </c>
      <c r="DC2129" s="122" t="s">
        <v>2363</v>
      </c>
      <c r="DD2129" s="127">
        <v>3</v>
      </c>
      <c r="DE2129" s="127">
        <v>3</v>
      </c>
      <c r="DG2129" s="405" t="s">
        <v>333</v>
      </c>
      <c r="DH2129" s="406" t="s">
        <v>2363</v>
      </c>
      <c r="DI2129" s="406" t="str">
        <f t="shared" si="65"/>
        <v>MG, Serra da Saudade</v>
      </c>
      <c r="DJ2129" s="406">
        <v>-19.437999999999999</v>
      </c>
      <c r="DK2129" s="80">
        <v>-45.795999999999999</v>
      </c>
      <c r="DL2129" s="80">
        <v>738</v>
      </c>
      <c r="DM2129" s="64">
        <v>3</v>
      </c>
      <c r="DN2129" s="406" t="s">
        <v>6795</v>
      </c>
      <c r="DO2129" s="406">
        <v>-19.46</v>
      </c>
      <c r="DP2129" s="80">
        <v>722</v>
      </c>
    </row>
    <row r="2130" spans="29:120" x14ac:dyDescent="0.25">
      <c r="AC2130" s="122" t="s">
        <v>289</v>
      </c>
      <c r="AD2130" s="122" t="s">
        <v>2494</v>
      </c>
      <c r="AE2130" s="127">
        <v>8</v>
      </c>
      <c r="DA2130" s="122" t="s">
        <v>333</v>
      </c>
      <c r="DB2130" s="122" t="s">
        <v>7229</v>
      </c>
      <c r="DC2130" s="122" t="s">
        <v>2347</v>
      </c>
      <c r="DD2130" s="127">
        <v>4</v>
      </c>
      <c r="DE2130" s="127">
        <v>4</v>
      </c>
      <c r="DG2130" s="405" t="s">
        <v>333</v>
      </c>
      <c r="DH2130" s="406" t="s">
        <v>2347</v>
      </c>
      <c r="DI2130" s="406" t="str">
        <f t="shared" si="65"/>
        <v>MG, Serra do Salitre</v>
      </c>
      <c r="DJ2130" s="406">
        <v>-19.111000000000001</v>
      </c>
      <c r="DK2130" s="80">
        <v>-46.69</v>
      </c>
      <c r="DL2130" s="80">
        <v>1203</v>
      </c>
      <c r="DM2130" s="64">
        <v>4</v>
      </c>
      <c r="DN2130" s="406" t="s">
        <v>6794</v>
      </c>
      <c r="DO2130" s="406">
        <v>-18.940000000000001</v>
      </c>
      <c r="DP2130" s="80">
        <v>976</v>
      </c>
    </row>
    <row r="2131" spans="29:120" x14ac:dyDescent="0.25">
      <c r="AC2131" s="122" t="s">
        <v>333</v>
      </c>
      <c r="AD2131" s="122" t="s">
        <v>2495</v>
      </c>
      <c r="AE2131" s="127">
        <v>3</v>
      </c>
      <c r="DA2131" s="122" t="s">
        <v>333</v>
      </c>
      <c r="DB2131" s="122" t="s">
        <v>7230</v>
      </c>
      <c r="DC2131" s="122" t="s">
        <v>2013</v>
      </c>
      <c r="DD2131" s="127">
        <v>5</v>
      </c>
      <c r="DE2131" s="127">
        <v>5</v>
      </c>
      <c r="DG2131" s="405" t="s">
        <v>333</v>
      </c>
      <c r="DH2131" s="406" t="s">
        <v>2013</v>
      </c>
      <c r="DI2131" s="406" t="str">
        <f t="shared" si="65"/>
        <v>MG, Serra dos Aimorés</v>
      </c>
      <c r="DJ2131" s="406">
        <v>-17.783000000000001</v>
      </c>
      <c r="DK2131" s="80">
        <v>-40.247999999999998</v>
      </c>
      <c r="DL2131" s="80">
        <v>209</v>
      </c>
      <c r="DM2131" s="64">
        <v>5</v>
      </c>
      <c r="DN2131" s="406" t="s">
        <v>6290</v>
      </c>
      <c r="DO2131" s="406">
        <v>-17.78</v>
      </c>
      <c r="DP2131" s="80">
        <v>208</v>
      </c>
    </row>
    <row r="2132" spans="29:120" x14ac:dyDescent="0.25">
      <c r="AC2132" s="122" t="s">
        <v>289</v>
      </c>
      <c r="AD2132" s="122" t="s">
        <v>2496</v>
      </c>
      <c r="AE2132" s="127">
        <v>5</v>
      </c>
      <c r="DA2132" s="122" t="s">
        <v>333</v>
      </c>
      <c r="DB2132" s="122" t="s">
        <v>967</v>
      </c>
      <c r="DC2132" s="122" t="s">
        <v>967</v>
      </c>
      <c r="DD2132" s="127">
        <v>2</v>
      </c>
      <c r="DE2132" s="127">
        <v>2</v>
      </c>
      <c r="DG2132" s="405" t="s">
        <v>333</v>
      </c>
      <c r="DH2132" s="406" t="s">
        <v>967</v>
      </c>
      <c r="DI2132" s="406" t="str">
        <f t="shared" si="65"/>
        <v>MG, Serrania</v>
      </c>
      <c r="DJ2132" s="406">
        <v>-21.547999999999998</v>
      </c>
      <c r="DK2132" s="80">
        <v>-46.04</v>
      </c>
      <c r="DL2132" s="80">
        <v>875</v>
      </c>
      <c r="DM2132" s="64">
        <v>2</v>
      </c>
      <c r="DN2132" s="406" t="s">
        <v>6823</v>
      </c>
      <c r="DO2132" s="406">
        <v>-21.92</v>
      </c>
      <c r="DP2132" s="80">
        <v>1150</v>
      </c>
    </row>
    <row r="2133" spans="29:120" x14ac:dyDescent="0.25">
      <c r="AC2133" s="122" t="s">
        <v>333</v>
      </c>
      <c r="AD2133" s="122" t="s">
        <v>2497</v>
      </c>
      <c r="AE2133" s="127">
        <v>3</v>
      </c>
      <c r="DA2133" s="122" t="s">
        <v>333</v>
      </c>
      <c r="DB2133" s="122" t="s">
        <v>7231</v>
      </c>
      <c r="DC2133" s="122" t="s">
        <v>2641</v>
      </c>
      <c r="DD2133" s="127">
        <v>3</v>
      </c>
      <c r="DE2133" s="127">
        <v>3</v>
      </c>
      <c r="DG2133" s="405" t="s">
        <v>333</v>
      </c>
      <c r="DH2133" s="406" t="s">
        <v>2641</v>
      </c>
      <c r="DI2133" s="406" t="str">
        <f t="shared" si="65"/>
        <v>MG, Serranópolis de Minas</v>
      </c>
      <c r="DJ2133" s="406">
        <v>-15.829000000000001</v>
      </c>
      <c r="DK2133" s="80">
        <v>-42.871000000000002</v>
      </c>
      <c r="DL2133" s="80">
        <v>621</v>
      </c>
      <c r="DM2133" s="64">
        <v>3</v>
      </c>
      <c r="DN2133" s="406" t="s">
        <v>6993</v>
      </c>
      <c r="DO2133" s="406">
        <v>-15.72</v>
      </c>
      <c r="DP2133" s="80">
        <v>853</v>
      </c>
    </row>
    <row r="2134" spans="29:120" x14ac:dyDescent="0.25">
      <c r="AC2134" s="122" t="s">
        <v>298</v>
      </c>
      <c r="AD2134" s="122" t="s">
        <v>2498</v>
      </c>
      <c r="AE2134" s="127">
        <v>8</v>
      </c>
      <c r="DA2134" s="122" t="s">
        <v>333</v>
      </c>
      <c r="DB2134" s="122" t="s">
        <v>704</v>
      </c>
      <c r="DC2134" s="122" t="s">
        <v>704</v>
      </c>
      <c r="DD2134" s="127">
        <v>3</v>
      </c>
      <c r="DE2134" s="127">
        <v>3</v>
      </c>
      <c r="DG2134" s="405" t="s">
        <v>333</v>
      </c>
      <c r="DH2134" s="406" t="s">
        <v>704</v>
      </c>
      <c r="DI2134" s="406" t="str">
        <f t="shared" si="65"/>
        <v>MG, Serranos</v>
      </c>
      <c r="DJ2134" s="406">
        <v>-21.89</v>
      </c>
      <c r="DK2134" s="80">
        <v>-44.51</v>
      </c>
      <c r="DL2134" s="80">
        <v>1031</v>
      </c>
      <c r="DM2134" s="64">
        <v>3</v>
      </c>
      <c r="DN2134" s="406" t="s">
        <v>6807</v>
      </c>
      <c r="DO2134" s="406">
        <v>-22.47</v>
      </c>
      <c r="DP2134" s="80">
        <v>440</v>
      </c>
    </row>
    <row r="2135" spans="29:120" x14ac:dyDescent="0.25">
      <c r="AC2135" s="122" t="s">
        <v>323</v>
      </c>
      <c r="AD2135" s="122" t="s">
        <v>2499</v>
      </c>
      <c r="AE2135" s="127">
        <v>7</v>
      </c>
      <c r="DA2135" s="122" t="s">
        <v>333</v>
      </c>
      <c r="DB2135" s="122" t="s">
        <v>705</v>
      </c>
      <c r="DC2135" s="122" t="s">
        <v>705</v>
      </c>
      <c r="DD2135" s="127">
        <v>3</v>
      </c>
      <c r="DE2135" s="127">
        <v>3</v>
      </c>
      <c r="DG2135" s="405" t="s">
        <v>333</v>
      </c>
      <c r="DH2135" s="406" t="s">
        <v>705</v>
      </c>
      <c r="DI2135" s="406" t="str">
        <f t="shared" si="65"/>
        <v>MG, Serro</v>
      </c>
      <c r="DJ2135" s="406">
        <v>-18.605</v>
      </c>
      <c r="DK2135" s="80">
        <v>-43.378999999999998</v>
      </c>
      <c r="DL2135" s="80">
        <v>781</v>
      </c>
      <c r="DM2135" s="64">
        <v>3</v>
      </c>
      <c r="DN2135" s="406" t="s">
        <v>6821</v>
      </c>
      <c r="DO2135" s="406">
        <v>-18.23</v>
      </c>
      <c r="DP2135" s="80">
        <v>1356</v>
      </c>
    </row>
    <row r="2136" spans="29:120" x14ac:dyDescent="0.25">
      <c r="AC2136" s="122" t="s">
        <v>323</v>
      </c>
      <c r="AD2136" s="122" t="s">
        <v>2500</v>
      </c>
      <c r="AE2136" s="127">
        <v>7</v>
      </c>
      <c r="DA2136" s="122" t="s">
        <v>333</v>
      </c>
      <c r="DB2136" s="122" t="s">
        <v>7232</v>
      </c>
      <c r="DC2136" s="122" t="s">
        <v>2839</v>
      </c>
      <c r="DD2136" s="127">
        <v>4</v>
      </c>
      <c r="DE2136" s="127">
        <v>4</v>
      </c>
      <c r="DG2136" s="405" t="s">
        <v>333</v>
      </c>
      <c r="DH2136" s="406" t="s">
        <v>2839</v>
      </c>
      <c r="DI2136" s="406" t="str">
        <f t="shared" si="65"/>
        <v>MG, Sete Lagoas</v>
      </c>
      <c r="DJ2136" s="406">
        <v>-19.466000000000001</v>
      </c>
      <c r="DK2136" s="80">
        <v>-44.247</v>
      </c>
      <c r="DL2136" s="80">
        <v>761</v>
      </c>
      <c r="DM2136" s="64">
        <v>4</v>
      </c>
      <c r="DN2136" s="406" t="s">
        <v>6838</v>
      </c>
      <c r="DO2136" s="406">
        <v>-19.82</v>
      </c>
      <c r="DP2136" s="80">
        <v>869</v>
      </c>
    </row>
    <row r="2137" spans="29:120" x14ac:dyDescent="0.25">
      <c r="AC2137" s="122" t="s">
        <v>298</v>
      </c>
      <c r="AD2137" s="122" t="s">
        <v>1486</v>
      </c>
      <c r="AE2137" s="127">
        <v>8</v>
      </c>
      <c r="DA2137" s="122" t="s">
        <v>333</v>
      </c>
      <c r="DB2137" s="122" t="s">
        <v>2028</v>
      </c>
      <c r="DC2137" s="122" t="s">
        <v>2028</v>
      </c>
      <c r="DD2137" s="127">
        <v>3</v>
      </c>
      <c r="DE2137" s="127">
        <v>3</v>
      </c>
      <c r="DG2137" s="405" t="s">
        <v>333</v>
      </c>
      <c r="DH2137" s="406" t="s">
        <v>2028</v>
      </c>
      <c r="DI2137" s="406" t="str">
        <f t="shared" si="65"/>
        <v>MG, Setubinha</v>
      </c>
      <c r="DJ2137" s="406">
        <v>-17.600000000000001</v>
      </c>
      <c r="DK2137" s="80">
        <v>-42.158999999999999</v>
      </c>
      <c r="DL2137" s="80">
        <v>731</v>
      </c>
      <c r="DM2137" s="64">
        <v>3</v>
      </c>
      <c r="DN2137" s="406" t="s">
        <v>6800</v>
      </c>
      <c r="DO2137" s="406">
        <v>-17.690000000000001</v>
      </c>
      <c r="DP2137" s="80">
        <v>932</v>
      </c>
    </row>
    <row r="2138" spans="29:120" x14ac:dyDescent="0.25">
      <c r="AC2138" s="122" t="s">
        <v>298</v>
      </c>
      <c r="AD2138" s="122" t="s">
        <v>2501</v>
      </c>
      <c r="AE2138" s="127">
        <v>8</v>
      </c>
      <c r="DA2138" s="122" t="s">
        <v>333</v>
      </c>
      <c r="DB2138" s="122" t="s">
        <v>3521</v>
      </c>
      <c r="DC2138" s="122" t="s">
        <v>3521</v>
      </c>
      <c r="DD2138" s="127">
        <v>3</v>
      </c>
      <c r="DE2138" s="127">
        <v>3</v>
      </c>
      <c r="DG2138" s="405" t="s">
        <v>333</v>
      </c>
      <c r="DH2138" s="406" t="s">
        <v>3521</v>
      </c>
      <c r="DI2138" s="406" t="str">
        <f t="shared" si="65"/>
        <v>MG, Silveirânia</v>
      </c>
      <c r="DJ2138" s="406">
        <v>-21.158999999999999</v>
      </c>
      <c r="DK2138" s="80">
        <v>-43.215000000000003</v>
      </c>
      <c r="DL2138" s="80">
        <v>512</v>
      </c>
      <c r="DM2138" s="64">
        <v>3</v>
      </c>
      <c r="DN2138" s="406" t="s">
        <v>6797</v>
      </c>
      <c r="DO2138" s="406">
        <v>-20.75</v>
      </c>
      <c r="DP2138" s="80">
        <v>712</v>
      </c>
    </row>
    <row r="2139" spans="29:120" x14ac:dyDescent="0.25">
      <c r="AC2139" s="122" t="s">
        <v>289</v>
      </c>
      <c r="AD2139" s="122" t="s">
        <v>2502</v>
      </c>
      <c r="AE2139" s="127">
        <v>6</v>
      </c>
      <c r="DA2139" s="122" t="s">
        <v>333</v>
      </c>
      <c r="DB2139" s="122" t="s">
        <v>978</v>
      </c>
      <c r="DC2139" s="122" t="s">
        <v>978</v>
      </c>
      <c r="DD2139" s="127">
        <v>2</v>
      </c>
      <c r="DE2139" s="127">
        <v>2</v>
      </c>
      <c r="DG2139" s="405" t="s">
        <v>333</v>
      </c>
      <c r="DH2139" s="406" t="s">
        <v>978</v>
      </c>
      <c r="DI2139" s="406" t="str">
        <f t="shared" si="65"/>
        <v>MG, Silvianópolis</v>
      </c>
      <c r="DJ2139" s="406">
        <v>-22.029</v>
      </c>
      <c r="DK2139" s="80">
        <v>-45.835000000000001</v>
      </c>
      <c r="DL2139" s="80">
        <v>897</v>
      </c>
      <c r="DM2139" s="64">
        <v>2</v>
      </c>
      <c r="DN2139" s="406" t="s">
        <v>6881</v>
      </c>
      <c r="DO2139" s="406">
        <v>-22.31</v>
      </c>
      <c r="DP2139" s="80">
        <v>1276</v>
      </c>
    </row>
    <row r="2140" spans="29:120" x14ac:dyDescent="0.25">
      <c r="AC2140" s="122" t="s">
        <v>298</v>
      </c>
      <c r="AD2140" s="122" t="s">
        <v>2503</v>
      </c>
      <c r="AE2140" s="127">
        <v>8</v>
      </c>
      <c r="DA2140" s="122" t="s">
        <v>333</v>
      </c>
      <c r="DB2140" s="122" t="s">
        <v>7233</v>
      </c>
      <c r="DC2140" s="122" t="s">
        <v>544</v>
      </c>
      <c r="DD2140" s="127">
        <v>3</v>
      </c>
      <c r="DE2140" s="127">
        <v>3</v>
      </c>
      <c r="DG2140" s="405" t="s">
        <v>333</v>
      </c>
      <c r="DH2140" s="406" t="s">
        <v>544</v>
      </c>
      <c r="DI2140" s="406" t="str">
        <f t="shared" si="65"/>
        <v>MG, Simão Pereira</v>
      </c>
      <c r="DJ2140" s="406">
        <v>-21.963999999999999</v>
      </c>
      <c r="DK2140" s="80">
        <v>-43.311999999999998</v>
      </c>
      <c r="DL2140" s="80">
        <v>472</v>
      </c>
      <c r="DM2140" s="64">
        <v>3</v>
      </c>
      <c r="DN2140" s="406" t="s">
        <v>6829</v>
      </c>
      <c r="DO2140" s="406">
        <v>-21.76</v>
      </c>
      <c r="DP2140" s="80">
        <v>950</v>
      </c>
    </row>
    <row r="2141" spans="29:120" x14ac:dyDescent="0.25">
      <c r="AC2141" s="122" t="s">
        <v>298</v>
      </c>
      <c r="AD2141" s="122" t="s">
        <v>2504</v>
      </c>
      <c r="AE2141" s="127">
        <v>8</v>
      </c>
      <c r="DA2141" s="122" t="s">
        <v>333</v>
      </c>
      <c r="DB2141" s="122" t="s">
        <v>3469</v>
      </c>
      <c r="DC2141" s="122" t="s">
        <v>3469</v>
      </c>
      <c r="DD2141" s="127">
        <v>3</v>
      </c>
      <c r="DE2141" s="127">
        <v>3</v>
      </c>
      <c r="DG2141" s="405" t="s">
        <v>333</v>
      </c>
      <c r="DH2141" s="406" t="s">
        <v>3469</v>
      </c>
      <c r="DI2141" s="406" t="str">
        <f t="shared" si="65"/>
        <v>MG, Simonésia</v>
      </c>
      <c r="DJ2141" s="406">
        <v>-20.123999999999999</v>
      </c>
      <c r="DK2141" s="80">
        <v>-42.000999999999998</v>
      </c>
      <c r="DL2141" s="80">
        <v>591</v>
      </c>
      <c r="DM2141" s="64">
        <v>3</v>
      </c>
      <c r="DN2141" s="406" t="s">
        <v>6819</v>
      </c>
      <c r="DO2141" s="406">
        <v>-19.79</v>
      </c>
      <c r="DP2141" s="80">
        <v>615</v>
      </c>
    </row>
    <row r="2142" spans="29:120" x14ac:dyDescent="0.25">
      <c r="AC2142" s="122" t="s">
        <v>298</v>
      </c>
      <c r="AD2142" s="122" t="s">
        <v>2505</v>
      </c>
      <c r="AE2142" s="127">
        <v>8</v>
      </c>
      <c r="DA2142" s="122" t="s">
        <v>333</v>
      </c>
      <c r="DB2142" s="122" t="s">
        <v>2529</v>
      </c>
      <c r="DC2142" s="122" t="s">
        <v>2529</v>
      </c>
      <c r="DD2142" s="127">
        <v>5</v>
      </c>
      <c r="DE2142" s="127">
        <v>5</v>
      </c>
      <c r="DG2142" s="405" t="s">
        <v>333</v>
      </c>
      <c r="DH2142" s="406" t="s">
        <v>2529</v>
      </c>
      <c r="DI2142" s="406" t="str">
        <f t="shared" si="65"/>
        <v>MG, Sobrália</v>
      </c>
      <c r="DJ2142" s="406">
        <v>-19.234999999999999</v>
      </c>
      <c r="DK2142" s="80">
        <v>-42.097999999999999</v>
      </c>
      <c r="DL2142" s="80">
        <v>342</v>
      </c>
      <c r="DM2142" s="64">
        <v>5</v>
      </c>
      <c r="DN2142" s="406" t="s">
        <v>6814</v>
      </c>
      <c r="DO2142" s="406">
        <v>-18.850000000000001</v>
      </c>
      <c r="DP2142" s="80">
        <v>263</v>
      </c>
    </row>
    <row r="2143" spans="29:120" x14ac:dyDescent="0.25">
      <c r="AC2143" s="122" t="s">
        <v>298</v>
      </c>
      <c r="AD2143" s="122" t="s">
        <v>2506</v>
      </c>
      <c r="AE2143" s="127">
        <v>8</v>
      </c>
      <c r="DA2143" s="122" t="s">
        <v>333</v>
      </c>
      <c r="DB2143" s="122" t="s">
        <v>7234</v>
      </c>
      <c r="DC2143" s="122" t="s">
        <v>1012</v>
      </c>
      <c r="DD2143" s="127">
        <v>2</v>
      </c>
      <c r="DE2143" s="127">
        <v>2</v>
      </c>
      <c r="DG2143" s="405" t="s">
        <v>333</v>
      </c>
      <c r="DH2143" s="406" t="s">
        <v>1012</v>
      </c>
      <c r="DI2143" s="406" t="str">
        <f t="shared" si="65"/>
        <v>MG, Soledade de Minas</v>
      </c>
      <c r="DJ2143" s="406">
        <v>-22.06</v>
      </c>
      <c r="DK2143" s="80">
        <v>-45.045000000000002</v>
      </c>
      <c r="DL2143" s="80">
        <v>881</v>
      </c>
      <c r="DM2143" s="64">
        <v>2</v>
      </c>
      <c r="DN2143" s="406" t="s">
        <v>6837</v>
      </c>
      <c r="DO2143" s="406">
        <v>-22.39</v>
      </c>
      <c r="DP2143" s="80">
        <v>1040</v>
      </c>
    </row>
    <row r="2144" spans="29:120" x14ac:dyDescent="0.25">
      <c r="AC2144" s="122" t="s">
        <v>298</v>
      </c>
      <c r="AD2144" s="122" t="s">
        <v>2507</v>
      </c>
      <c r="AE2144" s="127">
        <v>8</v>
      </c>
      <c r="DA2144" s="122" t="s">
        <v>333</v>
      </c>
      <c r="DB2144" s="122" t="s">
        <v>3720</v>
      </c>
      <c r="DC2144" s="122" t="s">
        <v>3720</v>
      </c>
      <c r="DD2144" s="127">
        <v>3</v>
      </c>
      <c r="DE2144" s="127">
        <v>3</v>
      </c>
      <c r="DG2144" s="405" t="s">
        <v>333</v>
      </c>
      <c r="DH2144" s="406" t="s">
        <v>3720</v>
      </c>
      <c r="DI2144" s="406" t="str">
        <f t="shared" si="65"/>
        <v>MG, Tabuleiro</v>
      </c>
      <c r="DJ2144" s="406">
        <v>-21.359000000000002</v>
      </c>
      <c r="DK2144" s="80">
        <v>-43.247999999999998</v>
      </c>
      <c r="DL2144" s="80">
        <v>459</v>
      </c>
      <c r="DM2144" s="64">
        <v>3</v>
      </c>
      <c r="DN2144" s="406" t="s">
        <v>6829</v>
      </c>
      <c r="DO2144" s="406">
        <v>-21.76</v>
      </c>
      <c r="DP2144" s="80">
        <v>950</v>
      </c>
    </row>
    <row r="2145" spans="29:120" x14ac:dyDescent="0.25">
      <c r="AC2145" s="122" t="s">
        <v>322</v>
      </c>
      <c r="AD2145" s="122" t="s">
        <v>2508</v>
      </c>
      <c r="AE2145" s="127">
        <v>6</v>
      </c>
      <c r="DA2145" s="122" t="s">
        <v>333</v>
      </c>
      <c r="DB2145" s="122" t="s">
        <v>2848</v>
      </c>
      <c r="DC2145" s="122" t="s">
        <v>2848</v>
      </c>
      <c r="DD2145" s="127">
        <v>5</v>
      </c>
      <c r="DE2145" s="127">
        <v>5</v>
      </c>
      <c r="DG2145" s="405" t="s">
        <v>333</v>
      </c>
      <c r="DH2145" s="406" t="s">
        <v>2848</v>
      </c>
      <c r="DI2145" s="406" t="str">
        <f t="shared" si="65"/>
        <v>MG, Taiobeiras</v>
      </c>
      <c r="DJ2145" s="406">
        <v>-15.808</v>
      </c>
      <c r="DK2145" s="80">
        <v>-42.232999999999997</v>
      </c>
      <c r="DL2145" s="80">
        <v>821</v>
      </c>
      <c r="DM2145" s="64">
        <v>5</v>
      </c>
      <c r="DN2145" s="406" t="s">
        <v>6993</v>
      </c>
      <c r="DO2145" s="406">
        <v>-15.72</v>
      </c>
      <c r="DP2145" s="80">
        <v>853</v>
      </c>
    </row>
    <row r="2146" spans="29:120" x14ac:dyDescent="0.25">
      <c r="AC2146" s="122" t="s">
        <v>298</v>
      </c>
      <c r="AD2146" s="122" t="s">
        <v>2509</v>
      </c>
      <c r="AE2146" s="127">
        <v>8</v>
      </c>
      <c r="DA2146" s="122" t="s">
        <v>333</v>
      </c>
      <c r="DB2146" s="122" t="s">
        <v>2614</v>
      </c>
      <c r="DC2146" s="122" t="s">
        <v>2614</v>
      </c>
      <c r="DD2146" s="127">
        <v>3</v>
      </c>
      <c r="DE2146" s="127">
        <v>3</v>
      </c>
      <c r="DG2146" s="405" t="s">
        <v>333</v>
      </c>
      <c r="DH2146" s="406" t="s">
        <v>2614</v>
      </c>
      <c r="DI2146" s="406" t="str">
        <f t="shared" si="65"/>
        <v>MG, Taparuba</v>
      </c>
      <c r="DJ2146" s="406">
        <v>-19.759</v>
      </c>
      <c r="DK2146" s="80">
        <v>-41.616</v>
      </c>
      <c r="DL2146" s="80">
        <v>233</v>
      </c>
      <c r="DM2146" s="64">
        <v>3</v>
      </c>
      <c r="DN2146" s="406" t="s">
        <v>6819</v>
      </c>
      <c r="DO2146" s="406">
        <v>-19.79</v>
      </c>
      <c r="DP2146" s="80">
        <v>615</v>
      </c>
    </row>
    <row r="2147" spans="29:120" x14ac:dyDescent="0.25">
      <c r="AC2147" s="122" t="s">
        <v>298</v>
      </c>
      <c r="AD2147" s="122" t="s">
        <v>2510</v>
      </c>
      <c r="AE2147" s="127">
        <v>8</v>
      </c>
      <c r="DA2147" s="122" t="s">
        <v>333</v>
      </c>
      <c r="DB2147" s="122" t="s">
        <v>2331</v>
      </c>
      <c r="DC2147" s="122" t="s">
        <v>2331</v>
      </c>
      <c r="DD2147" s="127">
        <v>3</v>
      </c>
      <c r="DE2147" s="127">
        <v>3</v>
      </c>
      <c r="DG2147" s="405" t="s">
        <v>333</v>
      </c>
      <c r="DH2147" s="406" t="s">
        <v>2331</v>
      </c>
      <c r="DI2147" s="406" t="str">
        <f t="shared" si="65"/>
        <v>MG, Tapira</v>
      </c>
      <c r="DJ2147" s="406">
        <v>-19.922000000000001</v>
      </c>
      <c r="DK2147" s="80">
        <v>-46.823</v>
      </c>
      <c r="DL2147" s="80">
        <v>1091</v>
      </c>
      <c r="DM2147" s="64">
        <v>3</v>
      </c>
      <c r="DN2147" s="406" t="s">
        <v>6832</v>
      </c>
      <c r="DO2147" s="406">
        <v>-19.59</v>
      </c>
      <c r="DP2147" s="80">
        <v>1020</v>
      </c>
    </row>
    <row r="2148" spans="29:120" x14ac:dyDescent="0.25">
      <c r="AC2148" s="122" t="s">
        <v>333</v>
      </c>
      <c r="AD2148" s="122" t="s">
        <v>2511</v>
      </c>
      <c r="AE2148" s="127">
        <v>3</v>
      </c>
      <c r="DA2148" s="122" t="s">
        <v>333</v>
      </c>
      <c r="DB2148" s="122" t="s">
        <v>1767</v>
      </c>
      <c r="DC2148" s="122" t="s">
        <v>1767</v>
      </c>
      <c r="DD2148" s="127">
        <v>3</v>
      </c>
      <c r="DE2148" s="127">
        <v>3</v>
      </c>
      <c r="DG2148" s="405" t="s">
        <v>333</v>
      </c>
      <c r="DH2148" s="406" t="s">
        <v>1767</v>
      </c>
      <c r="DI2148" s="406" t="str">
        <f t="shared" si="65"/>
        <v>MG, Tapiraí</v>
      </c>
      <c r="DJ2148" s="406">
        <v>-19.888000000000002</v>
      </c>
      <c r="DK2148" s="80">
        <v>-46.02</v>
      </c>
      <c r="DL2148" s="80">
        <v>673</v>
      </c>
      <c r="DM2148" s="64">
        <v>3</v>
      </c>
      <c r="DN2148" s="406" t="s">
        <v>6795</v>
      </c>
      <c r="DO2148" s="406">
        <v>-19.46</v>
      </c>
      <c r="DP2148" s="80">
        <v>722</v>
      </c>
    </row>
    <row r="2149" spans="29:120" x14ac:dyDescent="0.25">
      <c r="AC2149" s="122" t="s">
        <v>333</v>
      </c>
      <c r="AD2149" s="122" t="s">
        <v>2512</v>
      </c>
      <c r="AE2149" s="127">
        <v>3</v>
      </c>
      <c r="DA2149" s="122" t="s">
        <v>333</v>
      </c>
      <c r="DB2149" s="122" t="s">
        <v>7235</v>
      </c>
      <c r="DC2149" s="122" t="s">
        <v>2221</v>
      </c>
      <c r="DD2149" s="127">
        <v>3</v>
      </c>
      <c r="DE2149" s="127">
        <v>3</v>
      </c>
      <c r="DG2149" s="405" t="s">
        <v>333</v>
      </c>
      <c r="DH2149" s="406" t="s">
        <v>2221</v>
      </c>
      <c r="DI2149" s="406" t="str">
        <f t="shared" si="65"/>
        <v>MG, Taquaraçu de Minas</v>
      </c>
      <c r="DJ2149" s="406">
        <v>-19.670000000000002</v>
      </c>
      <c r="DK2149" s="80">
        <v>-43.686999999999998</v>
      </c>
      <c r="DL2149" s="80">
        <v>742</v>
      </c>
      <c r="DM2149" s="64">
        <v>3</v>
      </c>
      <c r="DN2149" s="406" t="s">
        <v>6838</v>
      </c>
      <c r="DO2149" s="406">
        <v>-19.82</v>
      </c>
      <c r="DP2149" s="80">
        <v>869</v>
      </c>
    </row>
    <row r="2150" spans="29:120" x14ac:dyDescent="0.25">
      <c r="AC2150" s="122" t="s">
        <v>323</v>
      </c>
      <c r="AD2150" s="122" t="s">
        <v>2513</v>
      </c>
      <c r="AE2150" s="127">
        <v>7</v>
      </c>
      <c r="DA2150" s="122" t="s">
        <v>333</v>
      </c>
      <c r="DB2150" s="122" t="s">
        <v>2540</v>
      </c>
      <c r="DC2150" s="122" t="s">
        <v>2540</v>
      </c>
      <c r="DD2150" s="127">
        <v>5</v>
      </c>
      <c r="DE2150" s="127">
        <v>5</v>
      </c>
      <c r="DG2150" s="405" t="s">
        <v>333</v>
      </c>
      <c r="DH2150" s="406" t="s">
        <v>2540</v>
      </c>
      <c r="DI2150" s="406" t="str">
        <f t="shared" si="65"/>
        <v>MG, Tarumirim</v>
      </c>
      <c r="DJ2150" s="406">
        <v>-19.280999999999999</v>
      </c>
      <c r="DK2150" s="80">
        <v>-42.006999999999998</v>
      </c>
      <c r="DL2150" s="80">
        <v>284</v>
      </c>
      <c r="DM2150" s="64">
        <v>5</v>
      </c>
      <c r="DN2150" s="406" t="s">
        <v>6814</v>
      </c>
      <c r="DO2150" s="406">
        <v>-18.850000000000001</v>
      </c>
      <c r="DP2150" s="80">
        <v>263</v>
      </c>
    </row>
    <row r="2151" spans="29:120" x14ac:dyDescent="0.25">
      <c r="AC2151" s="122" t="s">
        <v>298</v>
      </c>
      <c r="AD2151" s="122" t="s">
        <v>2514</v>
      </c>
      <c r="AE2151" s="127">
        <v>8</v>
      </c>
      <c r="DA2151" s="122" t="s">
        <v>333</v>
      </c>
      <c r="DB2151" s="122" t="s">
        <v>706</v>
      </c>
      <c r="DC2151" s="122" t="s">
        <v>706</v>
      </c>
      <c r="DD2151" s="127">
        <v>3</v>
      </c>
      <c r="DE2151" s="127">
        <v>3</v>
      </c>
      <c r="DG2151" s="405" t="s">
        <v>333</v>
      </c>
      <c r="DH2151" s="406" t="s">
        <v>706</v>
      </c>
      <c r="DI2151" s="406" t="str">
        <f t="shared" si="65"/>
        <v>MG, Teixeiras</v>
      </c>
      <c r="DJ2151" s="406">
        <v>-20.651</v>
      </c>
      <c r="DK2151" s="80">
        <v>-42.856999999999999</v>
      </c>
      <c r="DL2151" s="80">
        <v>648</v>
      </c>
      <c r="DM2151" s="64">
        <v>3</v>
      </c>
      <c r="DN2151" s="406" t="s">
        <v>6797</v>
      </c>
      <c r="DO2151" s="406">
        <v>-20.75</v>
      </c>
      <c r="DP2151" s="80">
        <v>712</v>
      </c>
    </row>
    <row r="2152" spans="29:120" x14ac:dyDescent="0.25">
      <c r="AC2152" s="122" t="s">
        <v>323</v>
      </c>
      <c r="AD2152" s="122" t="s">
        <v>2515</v>
      </c>
      <c r="AE2152" s="127">
        <v>6</v>
      </c>
      <c r="DA2152" s="122" t="s">
        <v>333</v>
      </c>
      <c r="DB2152" s="122" t="s">
        <v>7236</v>
      </c>
      <c r="DC2152" s="122" t="s">
        <v>2035</v>
      </c>
      <c r="DD2152" s="127">
        <v>5</v>
      </c>
      <c r="DE2152" s="127">
        <v>5</v>
      </c>
      <c r="DG2152" s="405" t="s">
        <v>333</v>
      </c>
      <c r="DH2152" s="406" t="s">
        <v>2035</v>
      </c>
      <c r="DI2152" s="406" t="str">
        <f t="shared" si="65"/>
        <v>MG, Teófilo Otoni</v>
      </c>
      <c r="DJ2152" s="406">
        <v>-17.858000000000001</v>
      </c>
      <c r="DK2152" s="80">
        <v>-41.505000000000003</v>
      </c>
      <c r="DL2152" s="80">
        <v>334</v>
      </c>
      <c r="DM2152" s="64">
        <v>5</v>
      </c>
      <c r="DN2152" s="406" t="s">
        <v>6835</v>
      </c>
      <c r="DO2152" s="406">
        <v>-17.86</v>
      </c>
      <c r="DP2152" s="80">
        <v>475</v>
      </c>
    </row>
    <row r="2153" spans="29:120" x14ac:dyDescent="0.25">
      <c r="AC2153" s="122" t="s">
        <v>298</v>
      </c>
      <c r="AD2153" s="122" t="s">
        <v>2516</v>
      </c>
      <c r="AE2153" s="127">
        <v>8</v>
      </c>
      <c r="DA2153" s="122" t="s">
        <v>333</v>
      </c>
      <c r="DB2153" s="122" t="s">
        <v>1807</v>
      </c>
      <c r="DC2153" s="122" t="s">
        <v>1807</v>
      </c>
      <c r="DD2153" s="127">
        <v>3</v>
      </c>
      <c r="DE2153" s="127">
        <v>3</v>
      </c>
      <c r="DG2153" s="405" t="s">
        <v>333</v>
      </c>
      <c r="DH2153" s="406" t="s">
        <v>1807</v>
      </c>
      <c r="DI2153" s="406" t="str">
        <f t="shared" si="65"/>
        <v>MG, Timóteo</v>
      </c>
      <c r="DJ2153" s="406">
        <v>-19.582999999999998</v>
      </c>
      <c r="DK2153" s="80">
        <v>-42.643999999999998</v>
      </c>
      <c r="DL2153" s="80">
        <v>333</v>
      </c>
      <c r="DM2153" s="64">
        <v>3</v>
      </c>
      <c r="DN2153" s="406" t="s">
        <v>6798</v>
      </c>
      <c r="DO2153" s="406">
        <v>-19.579999999999998</v>
      </c>
      <c r="DP2153" s="80">
        <v>333</v>
      </c>
    </row>
    <row r="2154" spans="29:120" x14ac:dyDescent="0.25">
      <c r="AC2154" s="122" t="s">
        <v>333</v>
      </c>
      <c r="AD2154" s="122" t="s">
        <v>2517</v>
      </c>
      <c r="AE2154" s="127">
        <v>5</v>
      </c>
      <c r="DA2154" s="122" t="s">
        <v>333</v>
      </c>
      <c r="DB2154" s="122" t="s">
        <v>849</v>
      </c>
      <c r="DC2154" s="122" t="s">
        <v>849</v>
      </c>
      <c r="DD2154" s="127">
        <v>2</v>
      </c>
      <c r="DE2154" s="127">
        <v>2</v>
      </c>
      <c r="DG2154" s="405" t="s">
        <v>333</v>
      </c>
      <c r="DH2154" s="406" t="s">
        <v>849</v>
      </c>
      <c r="DI2154" s="406" t="str">
        <f t="shared" si="65"/>
        <v>MG, Tiradentes</v>
      </c>
      <c r="DJ2154" s="406">
        <v>-21.11</v>
      </c>
      <c r="DK2154" s="80">
        <v>-44.177999999999997</v>
      </c>
      <c r="DL2154" s="80">
        <v>927</v>
      </c>
      <c r="DM2154" s="64">
        <v>2</v>
      </c>
      <c r="DN2154" s="406" t="s">
        <v>6813</v>
      </c>
      <c r="DO2154" s="406">
        <v>-21.14</v>
      </c>
      <c r="DP2154" s="80">
        <v>991</v>
      </c>
    </row>
    <row r="2155" spans="29:120" x14ac:dyDescent="0.25">
      <c r="AC2155" s="122" t="s">
        <v>333</v>
      </c>
      <c r="AD2155" s="122" t="s">
        <v>2518</v>
      </c>
      <c r="AE2155" s="127">
        <v>5</v>
      </c>
      <c r="DA2155" s="122" t="s">
        <v>333</v>
      </c>
      <c r="DB2155" s="122" t="s">
        <v>3382</v>
      </c>
      <c r="DC2155" s="122" t="s">
        <v>3382</v>
      </c>
      <c r="DD2155" s="127">
        <v>4</v>
      </c>
      <c r="DE2155" s="127">
        <v>4</v>
      </c>
      <c r="DG2155" s="405" t="s">
        <v>333</v>
      </c>
      <c r="DH2155" s="406" t="s">
        <v>3382</v>
      </c>
      <c r="DI2155" s="406" t="str">
        <f t="shared" si="65"/>
        <v>MG, Tiros</v>
      </c>
      <c r="DJ2155" s="406">
        <v>-19.004000000000001</v>
      </c>
      <c r="DK2155" s="80">
        <v>-45.963999999999999</v>
      </c>
      <c r="DL2155" s="80">
        <v>1037</v>
      </c>
      <c r="DM2155" s="64">
        <v>4</v>
      </c>
      <c r="DN2155" s="406" t="s">
        <v>6795</v>
      </c>
      <c r="DO2155" s="406">
        <v>-19.46</v>
      </c>
      <c r="DP2155" s="80">
        <v>722</v>
      </c>
    </row>
    <row r="2156" spans="29:120" x14ac:dyDescent="0.25">
      <c r="AC2156" s="122" t="s">
        <v>323</v>
      </c>
      <c r="AD2156" s="122" t="s">
        <v>2519</v>
      </c>
      <c r="AE2156" s="127">
        <v>6</v>
      </c>
      <c r="DA2156" s="122" t="s">
        <v>333</v>
      </c>
      <c r="DB2156" s="122" t="s">
        <v>3728</v>
      </c>
      <c r="DC2156" s="122" t="s">
        <v>3728</v>
      </c>
      <c r="DD2156" s="127">
        <v>3</v>
      </c>
      <c r="DE2156" s="127">
        <v>3</v>
      </c>
      <c r="DG2156" s="405" t="s">
        <v>333</v>
      </c>
      <c r="DH2156" s="406" t="s">
        <v>3728</v>
      </c>
      <c r="DI2156" s="406" t="str">
        <f t="shared" si="65"/>
        <v>MG, Tocantins</v>
      </c>
      <c r="DJ2156" s="406">
        <v>-21.175000000000001</v>
      </c>
      <c r="DK2156" s="80">
        <v>-43.018000000000001</v>
      </c>
      <c r="DL2156" s="80">
        <v>363</v>
      </c>
      <c r="DM2156" s="64">
        <v>3</v>
      </c>
      <c r="DN2156" s="406" t="s">
        <v>6797</v>
      </c>
      <c r="DO2156" s="406">
        <v>-20.75</v>
      </c>
      <c r="DP2156" s="80">
        <v>712</v>
      </c>
    </row>
    <row r="2157" spans="29:120" x14ac:dyDescent="0.25">
      <c r="AC2157" s="122" t="s">
        <v>333</v>
      </c>
      <c r="AD2157" s="122" t="s">
        <v>2520</v>
      </c>
      <c r="AE2157" s="127">
        <v>3</v>
      </c>
      <c r="DA2157" s="122" t="s">
        <v>333</v>
      </c>
      <c r="DB2157" s="122" t="s">
        <v>7237</v>
      </c>
      <c r="DC2157" s="122" t="s">
        <v>905</v>
      </c>
      <c r="DD2157" s="127">
        <v>2</v>
      </c>
      <c r="DE2157" s="127">
        <v>2</v>
      </c>
      <c r="DG2157" s="405" t="s">
        <v>333</v>
      </c>
      <c r="DH2157" s="406" t="s">
        <v>905</v>
      </c>
      <c r="DI2157" s="406" t="str">
        <f t="shared" si="65"/>
        <v>MG, Tocos do Moji</v>
      </c>
      <c r="DJ2157" s="406">
        <v>-22.370999999999999</v>
      </c>
      <c r="DK2157" s="80">
        <v>-46.095999999999997</v>
      </c>
      <c r="DL2157" s="80">
        <v>1059</v>
      </c>
      <c r="DM2157" s="64">
        <v>2</v>
      </c>
      <c r="DN2157" s="406" t="s">
        <v>6861</v>
      </c>
      <c r="DO2157" s="406">
        <v>-22.86</v>
      </c>
      <c r="DP2157" s="80">
        <v>1500</v>
      </c>
    </row>
    <row r="2158" spans="29:120" x14ac:dyDescent="0.25">
      <c r="AC2158" s="122" t="s">
        <v>323</v>
      </c>
      <c r="AD2158" s="122" t="s">
        <v>2521</v>
      </c>
      <c r="AE2158" s="127">
        <v>7</v>
      </c>
      <c r="DA2158" s="122" t="s">
        <v>333</v>
      </c>
      <c r="DB2158" s="122" t="s">
        <v>1018</v>
      </c>
      <c r="DC2158" s="122" t="s">
        <v>1018</v>
      </c>
      <c r="DD2158" s="127">
        <v>2</v>
      </c>
      <c r="DE2158" s="127">
        <v>2</v>
      </c>
      <c r="DG2158" s="405" t="s">
        <v>333</v>
      </c>
      <c r="DH2158" s="406" t="s">
        <v>1018</v>
      </c>
      <c r="DI2158" s="406" t="str">
        <f t="shared" si="65"/>
        <v>MG, Toledo</v>
      </c>
      <c r="DJ2158" s="406">
        <v>-22.742999999999999</v>
      </c>
      <c r="DK2158" s="80">
        <v>-46.372</v>
      </c>
      <c r="DL2158" s="80">
        <v>1128</v>
      </c>
      <c r="DM2158" s="64">
        <v>2</v>
      </c>
      <c r="DN2158" s="406" t="s">
        <v>6861</v>
      </c>
      <c r="DO2158" s="406">
        <v>-22.86</v>
      </c>
      <c r="DP2158" s="80">
        <v>1500</v>
      </c>
    </row>
    <row r="2159" spans="29:120" x14ac:dyDescent="0.25">
      <c r="AC2159" s="122" t="s">
        <v>289</v>
      </c>
      <c r="AD2159" s="122" t="s">
        <v>2522</v>
      </c>
      <c r="AE2159" s="127">
        <v>6</v>
      </c>
      <c r="DA2159" s="122" t="s">
        <v>333</v>
      </c>
      <c r="DB2159" s="122" t="s">
        <v>3365</v>
      </c>
      <c r="DC2159" s="122" t="s">
        <v>3365</v>
      </c>
      <c r="DD2159" s="127">
        <v>3</v>
      </c>
      <c r="DE2159" s="127">
        <v>3</v>
      </c>
      <c r="DG2159" s="405" t="s">
        <v>333</v>
      </c>
      <c r="DH2159" s="406" t="s">
        <v>3365</v>
      </c>
      <c r="DI2159" s="406" t="str">
        <f t="shared" si="65"/>
        <v>MG, Tombos</v>
      </c>
      <c r="DJ2159" s="406">
        <v>-20.905000000000001</v>
      </c>
      <c r="DK2159" s="80">
        <v>-42.023000000000003</v>
      </c>
      <c r="DL2159" s="80">
        <v>273</v>
      </c>
      <c r="DM2159" s="64">
        <v>3</v>
      </c>
      <c r="DN2159" s="406" t="s">
        <v>6478</v>
      </c>
      <c r="DO2159" s="406">
        <v>-20.73</v>
      </c>
      <c r="DP2159" s="80">
        <v>399</v>
      </c>
    </row>
    <row r="2160" spans="29:120" x14ac:dyDescent="0.25">
      <c r="AC2160" s="122" t="s">
        <v>323</v>
      </c>
      <c r="AD2160" s="122" t="s">
        <v>2523</v>
      </c>
      <c r="AE2160" s="127">
        <v>6</v>
      </c>
      <c r="DA2160" s="122" t="s">
        <v>333</v>
      </c>
      <c r="DB2160" s="122" t="s">
        <v>7238</v>
      </c>
      <c r="DC2160" s="122" t="s">
        <v>986</v>
      </c>
      <c r="DD2160" s="127">
        <v>2</v>
      </c>
      <c r="DE2160" s="127">
        <v>2</v>
      </c>
      <c r="DG2160" s="405" t="s">
        <v>333</v>
      </c>
      <c r="DH2160" s="406" t="s">
        <v>986</v>
      </c>
      <c r="DI2160" s="406" t="str">
        <f t="shared" si="65"/>
        <v>MG, Três Corações</v>
      </c>
      <c r="DJ2160" s="406">
        <v>-21.696999999999999</v>
      </c>
      <c r="DK2160" s="80">
        <v>-45.253</v>
      </c>
      <c r="DL2160" s="80">
        <v>864</v>
      </c>
      <c r="DM2160" s="64">
        <v>2</v>
      </c>
      <c r="DN2160" s="406" t="s">
        <v>6811</v>
      </c>
      <c r="DO2160" s="406">
        <v>-21.55</v>
      </c>
      <c r="DP2160" s="80">
        <v>955</v>
      </c>
    </row>
    <row r="2161" spans="29:120" x14ac:dyDescent="0.25">
      <c r="AC2161" s="122" t="s">
        <v>323</v>
      </c>
      <c r="AD2161" s="122" t="s">
        <v>2524</v>
      </c>
      <c r="AE2161" s="127">
        <v>7</v>
      </c>
      <c r="DA2161" s="122" t="s">
        <v>333</v>
      </c>
      <c r="DB2161" s="122" t="s">
        <v>7239</v>
      </c>
      <c r="DC2161" s="122" t="s">
        <v>1989</v>
      </c>
      <c r="DD2161" s="127">
        <v>4</v>
      </c>
      <c r="DE2161" s="127">
        <v>4</v>
      </c>
      <c r="DG2161" s="405" t="s">
        <v>333</v>
      </c>
      <c r="DH2161" s="406" t="s">
        <v>1989</v>
      </c>
      <c r="DI2161" s="406" t="str">
        <f t="shared" si="65"/>
        <v>MG, Três Marias</v>
      </c>
      <c r="DJ2161" s="406">
        <v>-18.206</v>
      </c>
      <c r="DK2161" s="80">
        <v>-45.241999999999997</v>
      </c>
      <c r="DL2161" s="80">
        <v>538</v>
      </c>
      <c r="DM2161" s="64">
        <v>4</v>
      </c>
      <c r="DN2161" s="406" t="s">
        <v>6851</v>
      </c>
      <c r="DO2161" s="406">
        <v>-18.21</v>
      </c>
      <c r="DP2161" s="80">
        <v>921</v>
      </c>
    </row>
    <row r="2162" spans="29:120" x14ac:dyDescent="0.25">
      <c r="AC2162" s="122" t="s">
        <v>289</v>
      </c>
      <c r="AD2162" s="122" t="s">
        <v>2525</v>
      </c>
      <c r="AE2162" s="127">
        <v>5</v>
      </c>
      <c r="DA2162" s="122" t="s">
        <v>333</v>
      </c>
      <c r="DB2162" s="122" t="s">
        <v>7240</v>
      </c>
      <c r="DC2162" s="122" t="s">
        <v>707</v>
      </c>
      <c r="DD2162" s="127">
        <v>2</v>
      </c>
      <c r="DE2162" s="127">
        <v>2</v>
      </c>
      <c r="DG2162" s="405" t="s">
        <v>333</v>
      </c>
      <c r="DH2162" s="406" t="s">
        <v>707</v>
      </c>
      <c r="DI2162" s="406" t="str">
        <f t="shared" si="65"/>
        <v>MG, Três Pontas</v>
      </c>
      <c r="DJ2162" s="406">
        <v>-21.367000000000001</v>
      </c>
      <c r="DK2162" s="80">
        <v>-45.512999999999998</v>
      </c>
      <c r="DL2162" s="80">
        <v>885</v>
      </c>
      <c r="DM2162" s="64">
        <v>2</v>
      </c>
      <c r="DN2162" s="406" t="s">
        <v>6811</v>
      </c>
      <c r="DO2162" s="406">
        <v>-21.55</v>
      </c>
      <c r="DP2162" s="80">
        <v>955</v>
      </c>
    </row>
    <row r="2163" spans="29:120" x14ac:dyDescent="0.25">
      <c r="AC2163" s="122" t="s">
        <v>317</v>
      </c>
      <c r="AD2163" s="122" t="s">
        <v>2526</v>
      </c>
      <c r="AE2163" s="127">
        <v>8</v>
      </c>
      <c r="DA2163" s="122" t="s">
        <v>333</v>
      </c>
      <c r="DB2163" s="122" t="s">
        <v>1935</v>
      </c>
      <c r="DC2163" s="122" t="s">
        <v>1935</v>
      </c>
      <c r="DD2163" s="127">
        <v>5</v>
      </c>
      <c r="DE2163" s="127">
        <v>5</v>
      </c>
      <c r="DG2163" s="405" t="s">
        <v>333</v>
      </c>
      <c r="DH2163" s="406" t="s">
        <v>1935</v>
      </c>
      <c r="DI2163" s="406" t="str">
        <f t="shared" si="65"/>
        <v>MG, Tumiritinga</v>
      </c>
      <c r="DJ2163" s="406">
        <v>-18.978999999999999</v>
      </c>
      <c r="DK2163" s="80">
        <v>-41.645000000000003</v>
      </c>
      <c r="DL2163" s="80">
        <v>138</v>
      </c>
      <c r="DM2163" s="64">
        <v>5</v>
      </c>
      <c r="DN2163" s="406" t="s">
        <v>6814</v>
      </c>
      <c r="DO2163" s="406">
        <v>-18.850000000000001</v>
      </c>
      <c r="DP2163" s="80">
        <v>263</v>
      </c>
    </row>
    <row r="2164" spans="29:120" x14ac:dyDescent="0.25">
      <c r="AC2164" s="122" t="s">
        <v>298</v>
      </c>
      <c r="AD2164" s="122" t="s">
        <v>2527</v>
      </c>
      <c r="AE2164" s="127">
        <v>8</v>
      </c>
      <c r="DA2164" s="122" t="s">
        <v>333</v>
      </c>
      <c r="DB2164" s="122" t="s">
        <v>2907</v>
      </c>
      <c r="DC2164" s="122" t="s">
        <v>2907</v>
      </c>
      <c r="DD2164" s="127">
        <v>4</v>
      </c>
      <c r="DE2164" s="127">
        <v>4</v>
      </c>
      <c r="DG2164" s="405" t="s">
        <v>333</v>
      </c>
      <c r="DH2164" s="406" t="s">
        <v>2907</v>
      </c>
      <c r="DI2164" s="406" t="str">
        <f t="shared" si="65"/>
        <v>MG, Tupaciguara</v>
      </c>
      <c r="DJ2164" s="406">
        <v>-18.593</v>
      </c>
      <c r="DK2164" s="80">
        <v>-48.704999999999998</v>
      </c>
      <c r="DL2164" s="80">
        <v>865</v>
      </c>
      <c r="DM2164" s="64">
        <v>4</v>
      </c>
      <c r="DN2164" s="406" t="s">
        <v>6536</v>
      </c>
      <c r="DO2164" s="406">
        <v>-18.41</v>
      </c>
      <c r="DP2164" s="80">
        <v>488</v>
      </c>
    </row>
    <row r="2165" spans="29:120" x14ac:dyDescent="0.25">
      <c r="AC2165" s="122" t="s">
        <v>289</v>
      </c>
      <c r="AD2165" s="122" t="s">
        <v>2528</v>
      </c>
      <c r="AE2165" s="127">
        <v>6</v>
      </c>
      <c r="DA2165" s="122" t="s">
        <v>333</v>
      </c>
      <c r="DB2165" s="122" t="s">
        <v>2092</v>
      </c>
      <c r="DC2165" s="122" t="s">
        <v>2092</v>
      </c>
      <c r="DD2165" s="127">
        <v>3</v>
      </c>
      <c r="DE2165" s="127">
        <v>3</v>
      </c>
      <c r="DG2165" s="405" t="s">
        <v>333</v>
      </c>
      <c r="DH2165" s="406" t="s">
        <v>2092</v>
      </c>
      <c r="DI2165" s="406" t="str">
        <f t="shared" si="65"/>
        <v>MG, Turmalina</v>
      </c>
      <c r="DJ2165" s="406">
        <v>-17.286000000000001</v>
      </c>
      <c r="DK2165" s="80">
        <v>-42.73</v>
      </c>
      <c r="DL2165" s="80">
        <v>718</v>
      </c>
      <c r="DM2165" s="64">
        <v>3</v>
      </c>
      <c r="DN2165" s="406" t="s">
        <v>6800</v>
      </c>
      <c r="DO2165" s="406">
        <v>-17.690000000000001</v>
      </c>
      <c r="DP2165" s="80">
        <v>932</v>
      </c>
    </row>
    <row r="2166" spans="29:120" x14ac:dyDescent="0.25">
      <c r="AC2166" s="122" t="s">
        <v>333</v>
      </c>
      <c r="AD2166" s="122" t="s">
        <v>2529</v>
      </c>
      <c r="AE2166" s="127">
        <v>5</v>
      </c>
      <c r="DA2166" s="122" t="s">
        <v>333</v>
      </c>
      <c r="DB2166" s="122" t="s">
        <v>996</v>
      </c>
      <c r="DC2166" s="122" t="s">
        <v>996</v>
      </c>
      <c r="DD2166" s="127">
        <v>2</v>
      </c>
      <c r="DE2166" s="127">
        <v>2</v>
      </c>
      <c r="DG2166" s="405" t="s">
        <v>333</v>
      </c>
      <c r="DH2166" s="406" t="s">
        <v>996</v>
      </c>
      <c r="DI2166" s="406" t="str">
        <f t="shared" si="65"/>
        <v>MG, Turvolândia</v>
      </c>
      <c r="DJ2166" s="406">
        <v>-21.876000000000001</v>
      </c>
      <c r="DK2166" s="80">
        <v>-45.786999999999999</v>
      </c>
      <c r="DL2166" s="80">
        <v>840</v>
      </c>
      <c r="DM2166" s="64">
        <v>2</v>
      </c>
      <c r="DN2166" s="406" t="s">
        <v>6811</v>
      </c>
      <c r="DO2166" s="406">
        <v>-21.55</v>
      </c>
      <c r="DP2166" s="80">
        <v>955</v>
      </c>
    </row>
    <row r="2167" spans="29:120" x14ac:dyDescent="0.25">
      <c r="AC2167" s="122" t="s">
        <v>247</v>
      </c>
      <c r="AD2167" s="122" t="s">
        <v>2530</v>
      </c>
      <c r="AE2167" s="127">
        <v>8</v>
      </c>
      <c r="DA2167" s="122" t="s">
        <v>333</v>
      </c>
      <c r="DB2167" s="122" t="s">
        <v>3726</v>
      </c>
      <c r="DC2167" s="122" t="s">
        <v>3726</v>
      </c>
      <c r="DD2167" s="127">
        <v>3</v>
      </c>
      <c r="DE2167" s="127">
        <v>3</v>
      </c>
      <c r="DG2167" s="405" t="s">
        <v>333</v>
      </c>
      <c r="DH2167" s="406" t="s">
        <v>3726</v>
      </c>
      <c r="DI2167" s="406" t="str">
        <f t="shared" si="65"/>
        <v>MG, Ubá</v>
      </c>
      <c r="DJ2167" s="406">
        <v>-21.12</v>
      </c>
      <c r="DK2167" s="80">
        <v>-42.942999999999998</v>
      </c>
      <c r="DL2167" s="80">
        <v>338</v>
      </c>
      <c r="DM2167" s="64">
        <v>3</v>
      </c>
      <c r="DN2167" s="406" t="s">
        <v>6797</v>
      </c>
      <c r="DO2167" s="406">
        <v>-20.75</v>
      </c>
      <c r="DP2167" s="80">
        <v>712</v>
      </c>
    </row>
    <row r="2168" spans="29:120" x14ac:dyDescent="0.25">
      <c r="AC2168" s="122" t="s">
        <v>336</v>
      </c>
      <c r="AD2168" s="122" t="s">
        <v>2531</v>
      </c>
      <c r="AE2168" s="127">
        <v>8</v>
      </c>
      <c r="DA2168" s="122" t="s">
        <v>333</v>
      </c>
      <c r="DB2168" s="122" t="s">
        <v>3042</v>
      </c>
      <c r="DC2168" s="122" t="s">
        <v>3042</v>
      </c>
      <c r="DD2168" s="127">
        <v>6</v>
      </c>
      <c r="DE2168" s="127">
        <v>6</v>
      </c>
      <c r="DG2168" s="405" t="s">
        <v>333</v>
      </c>
      <c r="DH2168" s="406" t="s">
        <v>3042</v>
      </c>
      <c r="DI2168" s="406" t="str">
        <f t="shared" si="65"/>
        <v>MG, Ubaí</v>
      </c>
      <c r="DJ2168" s="406">
        <v>-16.285</v>
      </c>
      <c r="DK2168" s="80">
        <v>-44.777999999999999</v>
      </c>
      <c r="DL2168" s="80">
        <v>589</v>
      </c>
      <c r="DM2168" s="64">
        <v>6</v>
      </c>
      <c r="DN2168" s="406" t="s">
        <v>6872</v>
      </c>
      <c r="DO2168" s="406">
        <v>-16.37</v>
      </c>
      <c r="DP2168" s="80">
        <v>460</v>
      </c>
    </row>
    <row r="2169" spans="29:120" x14ac:dyDescent="0.25">
      <c r="AC2169" s="122" t="s">
        <v>298</v>
      </c>
      <c r="AD2169" s="122" t="s">
        <v>2532</v>
      </c>
      <c r="AE2169" s="127">
        <v>8</v>
      </c>
      <c r="DA2169" s="122" t="s">
        <v>333</v>
      </c>
      <c r="DB2169" s="122" t="s">
        <v>2056</v>
      </c>
      <c r="DC2169" s="122" t="s">
        <v>2056</v>
      </c>
      <c r="DD2169" s="127">
        <v>3</v>
      </c>
      <c r="DE2169" s="127">
        <v>3</v>
      </c>
      <c r="DG2169" s="405" t="s">
        <v>333</v>
      </c>
      <c r="DH2169" s="406" t="s">
        <v>2056</v>
      </c>
      <c r="DI2169" s="406" t="str">
        <f t="shared" si="65"/>
        <v>MG, Ubaporanga</v>
      </c>
      <c r="DJ2169" s="406">
        <v>-19.635000000000002</v>
      </c>
      <c r="DK2169" s="80">
        <v>-42.106000000000002</v>
      </c>
      <c r="DL2169" s="80">
        <v>505</v>
      </c>
      <c r="DM2169" s="64">
        <v>3</v>
      </c>
      <c r="DN2169" s="406" t="s">
        <v>6819</v>
      </c>
      <c r="DO2169" s="406">
        <v>-19.79</v>
      </c>
      <c r="DP2169" s="80">
        <v>615</v>
      </c>
    </row>
    <row r="2170" spans="29:120" x14ac:dyDescent="0.25">
      <c r="AC2170" s="122" t="s">
        <v>323</v>
      </c>
      <c r="AD2170" s="122" t="s">
        <v>2533</v>
      </c>
      <c r="AE2170" s="127">
        <v>7</v>
      </c>
      <c r="DA2170" s="122" t="s">
        <v>333</v>
      </c>
      <c r="DB2170" s="122" t="s">
        <v>2913</v>
      </c>
      <c r="DC2170" s="122" t="s">
        <v>2913</v>
      </c>
      <c r="DD2170" s="127">
        <v>3</v>
      </c>
      <c r="DE2170" s="127">
        <v>3</v>
      </c>
      <c r="DG2170" s="405" t="s">
        <v>333</v>
      </c>
      <c r="DH2170" s="406" t="s">
        <v>2913</v>
      </c>
      <c r="DI2170" s="406" t="str">
        <f t="shared" si="65"/>
        <v>MG, Uberaba</v>
      </c>
      <c r="DJ2170" s="406">
        <v>-19.748000000000001</v>
      </c>
      <c r="DK2170" s="80">
        <v>-47.932000000000002</v>
      </c>
      <c r="DL2170" s="80">
        <v>801</v>
      </c>
      <c r="DM2170" s="64">
        <v>3</v>
      </c>
      <c r="DN2170" s="406" t="s">
        <v>6927</v>
      </c>
      <c r="DO2170" s="406">
        <v>-19.86</v>
      </c>
      <c r="DP2170" s="80">
        <v>912</v>
      </c>
    </row>
    <row r="2171" spans="29:120" x14ac:dyDescent="0.25">
      <c r="AC2171" s="122" t="s">
        <v>289</v>
      </c>
      <c r="AD2171" s="122" t="s">
        <v>2534</v>
      </c>
      <c r="AE2171" s="127">
        <v>5</v>
      </c>
      <c r="DA2171" s="122" t="s">
        <v>333</v>
      </c>
      <c r="DB2171" s="122" t="s">
        <v>2339</v>
      </c>
      <c r="DC2171" s="122" t="s">
        <v>2339</v>
      </c>
      <c r="DD2171" s="127">
        <v>4</v>
      </c>
      <c r="DE2171" s="127">
        <v>4</v>
      </c>
      <c r="DG2171" s="405" t="s">
        <v>333</v>
      </c>
      <c r="DH2171" s="406" t="s">
        <v>2339</v>
      </c>
      <c r="DI2171" s="406" t="str">
        <f t="shared" si="65"/>
        <v>MG, Uberlândia</v>
      </c>
      <c r="DJ2171" s="406">
        <v>-18.919</v>
      </c>
      <c r="DK2171" s="80">
        <v>-48.277000000000001</v>
      </c>
      <c r="DL2171" s="80">
        <v>863</v>
      </c>
      <c r="DM2171" s="64">
        <v>4</v>
      </c>
      <c r="DN2171" s="406" t="s">
        <v>6831</v>
      </c>
      <c r="DO2171" s="406">
        <v>-18.920000000000002</v>
      </c>
      <c r="DP2171" s="80">
        <v>869</v>
      </c>
    </row>
    <row r="2172" spans="29:120" x14ac:dyDescent="0.25">
      <c r="AC2172" s="122" t="s">
        <v>322</v>
      </c>
      <c r="AD2172" s="122" t="s">
        <v>2535</v>
      </c>
      <c r="AE2172" s="127">
        <v>6</v>
      </c>
      <c r="DA2172" s="122" t="s">
        <v>333</v>
      </c>
      <c r="DB2172" s="122" t="s">
        <v>1879</v>
      </c>
      <c r="DC2172" s="122" t="s">
        <v>1879</v>
      </c>
      <c r="DD2172" s="127">
        <v>5</v>
      </c>
      <c r="DE2172" s="127">
        <v>5</v>
      </c>
      <c r="DG2172" s="405" t="s">
        <v>333</v>
      </c>
      <c r="DH2172" s="406" t="s">
        <v>1879</v>
      </c>
      <c r="DI2172" s="406" t="str">
        <f t="shared" si="65"/>
        <v>MG, Umburatiba</v>
      </c>
      <c r="DJ2172" s="406">
        <v>-17.256</v>
      </c>
      <c r="DK2172" s="80">
        <v>-40.573</v>
      </c>
      <c r="DL2172" s="80">
        <v>238</v>
      </c>
      <c r="DM2172" s="64">
        <v>5</v>
      </c>
      <c r="DN2172" s="406" t="s">
        <v>6290</v>
      </c>
      <c r="DO2172" s="406">
        <v>-17.78</v>
      </c>
      <c r="DP2172" s="80">
        <v>208</v>
      </c>
    </row>
    <row r="2173" spans="29:120" x14ac:dyDescent="0.25">
      <c r="AC2173" s="122" t="s">
        <v>340</v>
      </c>
      <c r="AD2173" s="122" t="s">
        <v>2536</v>
      </c>
      <c r="AE2173" s="127">
        <v>6</v>
      </c>
      <c r="DA2173" s="122" t="s">
        <v>333</v>
      </c>
      <c r="DB2173" s="122" t="s">
        <v>2964</v>
      </c>
      <c r="DC2173" s="122" t="s">
        <v>2964</v>
      </c>
      <c r="DD2173" s="127">
        <v>6</v>
      </c>
      <c r="DE2173" s="127">
        <v>6</v>
      </c>
      <c r="DG2173" s="405" t="s">
        <v>333</v>
      </c>
      <c r="DH2173" s="406" t="s">
        <v>2964</v>
      </c>
      <c r="DI2173" s="406" t="str">
        <f t="shared" si="65"/>
        <v>MG, Unaí</v>
      </c>
      <c r="DJ2173" s="406">
        <v>-16.358000000000001</v>
      </c>
      <c r="DK2173" s="80">
        <v>-46.905999999999999</v>
      </c>
      <c r="DL2173" s="80">
        <v>575</v>
      </c>
      <c r="DM2173" s="64">
        <v>6</v>
      </c>
      <c r="DN2173" s="406" t="s">
        <v>6864</v>
      </c>
      <c r="DO2173" s="406">
        <v>-16.36</v>
      </c>
      <c r="DP2173" s="80">
        <v>631</v>
      </c>
    </row>
    <row r="2174" spans="29:120" x14ac:dyDescent="0.25">
      <c r="AC2174" s="122" t="s">
        <v>333</v>
      </c>
      <c r="AD2174" s="122" t="s">
        <v>2537</v>
      </c>
      <c r="AE2174" s="127">
        <v>3</v>
      </c>
      <c r="DA2174" s="122" t="s">
        <v>333</v>
      </c>
      <c r="DB2174" s="122" t="s">
        <v>7241</v>
      </c>
      <c r="DC2174" s="122" t="s">
        <v>2962</v>
      </c>
      <c r="DD2174" s="127">
        <v>6</v>
      </c>
      <c r="DE2174" s="127">
        <v>6</v>
      </c>
      <c r="DG2174" s="405" t="s">
        <v>333</v>
      </c>
      <c r="DH2174" s="406" t="s">
        <v>2962</v>
      </c>
      <c r="DI2174" s="406" t="str">
        <f t="shared" si="65"/>
        <v>MG, União de Minas</v>
      </c>
      <c r="DJ2174" s="406">
        <v>-19.53</v>
      </c>
      <c r="DK2174" s="80">
        <v>-50.335999999999999</v>
      </c>
      <c r="DL2174" s="80">
        <v>521</v>
      </c>
      <c r="DM2174" s="64">
        <v>6</v>
      </c>
      <c r="DN2174" s="406" t="s">
        <v>6541</v>
      </c>
      <c r="DO2174" s="406">
        <v>-18.989999999999998</v>
      </c>
      <c r="DP2174" s="80">
        <v>489</v>
      </c>
    </row>
    <row r="2175" spans="29:120" x14ac:dyDescent="0.25">
      <c r="AC2175" s="122" t="s">
        <v>323</v>
      </c>
      <c r="AD2175" s="122" t="s">
        <v>2538</v>
      </c>
      <c r="AE2175" s="127">
        <v>6</v>
      </c>
      <c r="DA2175" s="122" t="s">
        <v>333</v>
      </c>
      <c r="DB2175" s="122" t="s">
        <v>7242</v>
      </c>
      <c r="DC2175" s="122" t="s">
        <v>2885</v>
      </c>
      <c r="DD2175" s="127">
        <v>6</v>
      </c>
      <c r="DE2175" s="127">
        <v>6</v>
      </c>
      <c r="DG2175" s="405" t="s">
        <v>333</v>
      </c>
      <c r="DH2175" s="406" t="s">
        <v>2885</v>
      </c>
      <c r="DI2175" s="406" t="str">
        <f t="shared" si="65"/>
        <v>MG, Uruana de Minas</v>
      </c>
      <c r="DJ2175" s="406">
        <v>-16.064</v>
      </c>
      <c r="DK2175" s="80">
        <v>-46.253999999999998</v>
      </c>
      <c r="DL2175" s="80">
        <v>530</v>
      </c>
      <c r="DM2175" s="64">
        <v>6</v>
      </c>
      <c r="DN2175" s="406" t="s">
        <v>6539</v>
      </c>
      <c r="DO2175" s="406">
        <v>-15.62</v>
      </c>
      <c r="DP2175" s="80">
        <v>894</v>
      </c>
    </row>
    <row r="2176" spans="29:120" x14ac:dyDescent="0.25">
      <c r="AC2176" s="122" t="s">
        <v>333</v>
      </c>
      <c r="AD2176" s="122" t="s">
        <v>2539</v>
      </c>
      <c r="AE2176" s="127">
        <v>5</v>
      </c>
      <c r="DA2176" s="122" t="s">
        <v>333</v>
      </c>
      <c r="DB2176" s="122" t="s">
        <v>524</v>
      </c>
      <c r="DC2176" s="122" t="s">
        <v>524</v>
      </c>
      <c r="DD2176" s="127">
        <v>3</v>
      </c>
      <c r="DE2176" s="127">
        <v>3</v>
      </c>
      <c r="DG2176" s="405" t="s">
        <v>333</v>
      </c>
      <c r="DH2176" s="406" t="s">
        <v>524</v>
      </c>
      <c r="DI2176" s="406" t="str">
        <f t="shared" si="65"/>
        <v>MG, Urucânia</v>
      </c>
      <c r="DJ2176" s="406">
        <v>-20.350999999999999</v>
      </c>
      <c r="DK2176" s="80">
        <v>-42.738999999999997</v>
      </c>
      <c r="DL2176" s="80">
        <v>437</v>
      </c>
      <c r="DM2176" s="64">
        <v>3</v>
      </c>
      <c r="DN2176" s="406" t="s">
        <v>6797</v>
      </c>
      <c r="DO2176" s="406">
        <v>-20.75</v>
      </c>
      <c r="DP2176" s="80">
        <v>712</v>
      </c>
    </row>
    <row r="2177" spans="29:120" x14ac:dyDescent="0.25">
      <c r="AC2177" s="122" t="s">
        <v>333</v>
      </c>
      <c r="AD2177" s="122" t="s">
        <v>2540</v>
      </c>
      <c r="AE2177" s="127">
        <v>5</v>
      </c>
      <c r="DA2177" s="122" t="s">
        <v>333</v>
      </c>
      <c r="DB2177" s="122" t="s">
        <v>2887</v>
      </c>
      <c r="DC2177" s="122" t="s">
        <v>2887</v>
      </c>
      <c r="DD2177" s="127">
        <v>6</v>
      </c>
      <c r="DE2177" s="127">
        <v>6</v>
      </c>
      <c r="DG2177" s="405" t="s">
        <v>333</v>
      </c>
      <c r="DH2177" s="406" t="s">
        <v>2887</v>
      </c>
      <c r="DI2177" s="406" t="str">
        <f t="shared" si="65"/>
        <v>MG, Urucuia</v>
      </c>
      <c r="DJ2177" s="406">
        <v>-16.132999999999999</v>
      </c>
      <c r="DK2177" s="80">
        <v>-45.741999999999997</v>
      </c>
      <c r="DL2177" s="80">
        <v>498</v>
      </c>
      <c r="DM2177" s="64">
        <v>6</v>
      </c>
      <c r="DN2177" s="406" t="s">
        <v>6872</v>
      </c>
      <c r="DO2177" s="406">
        <v>-16.37</v>
      </c>
      <c r="DP2177" s="80">
        <v>460</v>
      </c>
    </row>
    <row r="2178" spans="29:120" x14ac:dyDescent="0.25">
      <c r="AC2178" s="122" t="s">
        <v>298</v>
      </c>
      <c r="AD2178" s="122" t="s">
        <v>2541</v>
      </c>
      <c r="AE2178" s="127">
        <v>8</v>
      </c>
      <c r="DA2178" s="122" t="s">
        <v>333</v>
      </c>
      <c r="DB2178" s="122" t="s">
        <v>7243</v>
      </c>
      <c r="DC2178" s="122" t="s">
        <v>2023</v>
      </c>
      <c r="DD2178" s="127">
        <v>3</v>
      </c>
      <c r="DE2178" s="127">
        <v>3</v>
      </c>
      <c r="DG2178" s="405" t="s">
        <v>333</v>
      </c>
      <c r="DH2178" s="406" t="s">
        <v>2023</v>
      </c>
      <c r="DI2178" s="406" t="str">
        <f t="shared" si="65"/>
        <v>MG, Vargem Alegre</v>
      </c>
      <c r="DJ2178" s="406">
        <v>-19.608000000000001</v>
      </c>
      <c r="DK2178" s="80">
        <v>-42.298000000000002</v>
      </c>
      <c r="DL2178" s="80">
        <v>250</v>
      </c>
      <c r="DM2178" s="64">
        <v>3</v>
      </c>
      <c r="DN2178" s="406" t="s">
        <v>6819</v>
      </c>
      <c r="DO2178" s="406">
        <v>-19.79</v>
      </c>
      <c r="DP2178" s="80">
        <v>615</v>
      </c>
    </row>
    <row r="2179" spans="29:120" x14ac:dyDescent="0.25">
      <c r="AC2179" s="122" t="s">
        <v>317</v>
      </c>
      <c r="AD2179" s="122" t="s">
        <v>2542</v>
      </c>
      <c r="AE2179" s="127">
        <v>8</v>
      </c>
      <c r="DA2179" s="122" t="s">
        <v>333</v>
      </c>
      <c r="DB2179" s="122" t="s">
        <v>7244</v>
      </c>
      <c r="DC2179" s="122" t="s">
        <v>765</v>
      </c>
      <c r="DD2179" s="127">
        <v>3</v>
      </c>
      <c r="DE2179" s="127">
        <v>3</v>
      </c>
      <c r="DG2179" s="405" t="s">
        <v>333</v>
      </c>
      <c r="DH2179" s="406" t="s">
        <v>765</v>
      </c>
      <c r="DI2179" s="406" t="str">
        <f t="shared" ref="DI2179:DI2242" si="66">CONCATENATE(DG2179,", ",DH2179)</f>
        <v>MG, Vargem Bonita</v>
      </c>
      <c r="DJ2179" s="406">
        <v>-20.327000000000002</v>
      </c>
      <c r="DK2179" s="80">
        <v>-46.366</v>
      </c>
      <c r="DL2179" s="80">
        <v>768</v>
      </c>
      <c r="DM2179" s="64">
        <v>3</v>
      </c>
      <c r="DN2179" s="406" t="s">
        <v>6815</v>
      </c>
      <c r="DO2179" s="406">
        <v>-20.75</v>
      </c>
      <c r="DP2179" s="80">
        <v>875</v>
      </c>
    </row>
    <row r="2180" spans="29:120" x14ac:dyDescent="0.25">
      <c r="AC2180" s="122" t="s">
        <v>323</v>
      </c>
      <c r="AD2180" s="122" t="s">
        <v>2030</v>
      </c>
      <c r="AE2180" s="127">
        <v>7</v>
      </c>
      <c r="DA2180" s="122" t="s">
        <v>333</v>
      </c>
      <c r="DB2180" s="122" t="s">
        <v>7245</v>
      </c>
      <c r="DC2180" s="122" t="s">
        <v>2062</v>
      </c>
      <c r="DD2180" s="127">
        <v>6</v>
      </c>
      <c r="DE2180" s="127">
        <v>6</v>
      </c>
      <c r="DG2180" s="405" t="s">
        <v>333</v>
      </c>
      <c r="DH2180" s="406" t="s">
        <v>2062</v>
      </c>
      <c r="DI2180" s="406" t="str">
        <f t="shared" si="66"/>
        <v>MG, Vargem Grande do Rio Pardo</v>
      </c>
      <c r="DJ2180" s="406">
        <v>-15.403</v>
      </c>
      <c r="DK2180" s="80">
        <v>-42.308</v>
      </c>
      <c r="DL2180" s="80">
        <v>800</v>
      </c>
      <c r="DM2180" s="64">
        <v>6</v>
      </c>
      <c r="DN2180" s="406" t="s">
        <v>6993</v>
      </c>
      <c r="DO2180" s="406">
        <v>-15.72</v>
      </c>
      <c r="DP2180" s="80">
        <v>853</v>
      </c>
    </row>
    <row r="2181" spans="29:120" x14ac:dyDescent="0.25">
      <c r="AC2181" s="122" t="s">
        <v>289</v>
      </c>
      <c r="AD2181" s="122" t="s">
        <v>2543</v>
      </c>
      <c r="AE2181" s="127">
        <v>8</v>
      </c>
      <c r="DA2181" s="122" t="s">
        <v>333</v>
      </c>
      <c r="DB2181" s="122" t="s">
        <v>708</v>
      </c>
      <c r="DC2181" s="122" t="s">
        <v>708</v>
      </c>
      <c r="DD2181" s="127">
        <v>2</v>
      </c>
      <c r="DE2181" s="127">
        <v>2</v>
      </c>
      <c r="DG2181" s="405" t="s">
        <v>333</v>
      </c>
      <c r="DH2181" s="406" t="s">
        <v>708</v>
      </c>
      <c r="DI2181" s="406" t="str">
        <f t="shared" si="66"/>
        <v>MG, Varginha</v>
      </c>
      <c r="DJ2181" s="406">
        <v>-21.550999999999998</v>
      </c>
      <c r="DK2181" s="80">
        <v>-45.43</v>
      </c>
      <c r="DL2181" s="80">
        <v>916</v>
      </c>
      <c r="DM2181" s="64">
        <v>2</v>
      </c>
      <c r="DN2181" s="406" t="s">
        <v>6811</v>
      </c>
      <c r="DO2181" s="406">
        <v>-21.55</v>
      </c>
      <c r="DP2181" s="80">
        <v>955</v>
      </c>
    </row>
    <row r="2182" spans="29:120" x14ac:dyDescent="0.25">
      <c r="AC2182" s="122" t="s">
        <v>333</v>
      </c>
      <c r="AD2182" s="122" t="s">
        <v>2544</v>
      </c>
      <c r="AE2182" s="127">
        <v>5</v>
      </c>
      <c r="DA2182" s="122" t="s">
        <v>333</v>
      </c>
      <c r="DB2182" s="122" t="s">
        <v>7246</v>
      </c>
      <c r="DC2182" s="122" t="s">
        <v>2107</v>
      </c>
      <c r="DD2182" s="127">
        <v>4</v>
      </c>
      <c r="DE2182" s="127">
        <v>4</v>
      </c>
      <c r="DG2182" s="405" t="s">
        <v>333</v>
      </c>
      <c r="DH2182" s="406" t="s">
        <v>2107</v>
      </c>
      <c r="DI2182" s="406" t="str">
        <f t="shared" si="66"/>
        <v>MG, Varjão de Minas</v>
      </c>
      <c r="DJ2182" s="406">
        <v>-18.378</v>
      </c>
      <c r="DK2182" s="80">
        <v>-46.031999999999996</v>
      </c>
      <c r="DL2182" s="80">
        <v>900</v>
      </c>
      <c r="DM2182" s="64">
        <v>4</v>
      </c>
      <c r="DN2182" s="406" t="s">
        <v>6870</v>
      </c>
      <c r="DO2182" s="406">
        <v>-17.78</v>
      </c>
      <c r="DP2182" s="80">
        <v>870</v>
      </c>
    </row>
    <row r="2183" spans="29:120" x14ac:dyDescent="0.25">
      <c r="AC2183" s="122" t="s">
        <v>333</v>
      </c>
      <c r="AD2183" s="122" t="s">
        <v>2545</v>
      </c>
      <c r="AE2183" s="127">
        <v>5</v>
      </c>
      <c r="DA2183" s="122" t="s">
        <v>333</v>
      </c>
      <c r="DB2183" s="122" t="s">
        <v>7247</v>
      </c>
      <c r="DC2183" s="122" t="s">
        <v>3351</v>
      </c>
      <c r="DD2183" s="127">
        <v>4</v>
      </c>
      <c r="DE2183" s="127">
        <v>4</v>
      </c>
      <c r="DG2183" s="405" t="s">
        <v>333</v>
      </c>
      <c r="DH2183" s="406" t="s">
        <v>3351</v>
      </c>
      <c r="DI2183" s="406" t="str">
        <f t="shared" si="66"/>
        <v>MG, Várzea da Palma</v>
      </c>
      <c r="DJ2183" s="406">
        <v>-17.597999999999999</v>
      </c>
      <c r="DK2183" s="80">
        <v>-44.731000000000002</v>
      </c>
      <c r="DL2183" s="80">
        <v>515</v>
      </c>
      <c r="DM2183" s="64">
        <v>4</v>
      </c>
      <c r="DN2183" s="406" t="s">
        <v>6875</v>
      </c>
      <c r="DO2183" s="406">
        <v>-17.34</v>
      </c>
      <c r="DP2183" s="80">
        <v>489</v>
      </c>
    </row>
    <row r="2184" spans="29:120" x14ac:dyDescent="0.25">
      <c r="AC2184" s="122" t="s">
        <v>298</v>
      </c>
      <c r="AD2184" s="122" t="s">
        <v>2546</v>
      </c>
      <c r="AE2184" s="127">
        <v>8</v>
      </c>
      <c r="DA2184" s="122" t="s">
        <v>333</v>
      </c>
      <c r="DB2184" s="122" t="s">
        <v>2999</v>
      </c>
      <c r="DC2184" s="122" t="s">
        <v>2999</v>
      </c>
      <c r="DD2184" s="127">
        <v>6</v>
      </c>
      <c r="DE2184" s="127">
        <v>6</v>
      </c>
      <c r="DG2184" s="405" t="s">
        <v>333</v>
      </c>
      <c r="DH2184" s="406" t="s">
        <v>2999</v>
      </c>
      <c r="DI2184" s="406" t="str">
        <f t="shared" si="66"/>
        <v>MG, Varzelândia</v>
      </c>
      <c r="DJ2184" s="406">
        <v>-15.701000000000001</v>
      </c>
      <c r="DK2184" s="80">
        <v>-44.027999999999999</v>
      </c>
      <c r="DL2184" s="80">
        <v>483</v>
      </c>
      <c r="DM2184" s="64">
        <v>6</v>
      </c>
      <c r="DN2184" s="406" t="s">
        <v>6853</v>
      </c>
      <c r="DO2184" s="406">
        <v>-16.739999999999998</v>
      </c>
      <c r="DP2184" s="80">
        <v>646</v>
      </c>
    </row>
    <row r="2185" spans="29:120" x14ac:dyDescent="0.25">
      <c r="AC2185" s="122" t="s">
        <v>298</v>
      </c>
      <c r="AD2185" s="122" t="s">
        <v>2547</v>
      </c>
      <c r="AE2185" s="127">
        <v>8</v>
      </c>
      <c r="DA2185" s="122" t="s">
        <v>333</v>
      </c>
      <c r="DB2185" s="122" t="s">
        <v>2126</v>
      </c>
      <c r="DC2185" s="122" t="s">
        <v>2126</v>
      </c>
      <c r="DD2185" s="127">
        <v>6</v>
      </c>
      <c r="DE2185" s="127">
        <v>6</v>
      </c>
      <c r="DG2185" s="405" t="s">
        <v>333</v>
      </c>
      <c r="DH2185" s="406" t="s">
        <v>2126</v>
      </c>
      <c r="DI2185" s="406" t="str">
        <f t="shared" si="66"/>
        <v>MG, Vazante</v>
      </c>
      <c r="DJ2185" s="406">
        <v>-17.986999999999998</v>
      </c>
      <c r="DK2185" s="80">
        <v>-46.908000000000001</v>
      </c>
      <c r="DL2185" s="80">
        <v>680</v>
      </c>
      <c r="DM2185" s="64">
        <v>6</v>
      </c>
      <c r="DN2185" s="406" t="s">
        <v>6989</v>
      </c>
      <c r="DO2185" s="406">
        <v>-17.77</v>
      </c>
      <c r="DP2185" s="80">
        <v>616</v>
      </c>
    </row>
    <row r="2186" spans="29:120" x14ac:dyDescent="0.25">
      <c r="AC2186" s="122" t="s">
        <v>333</v>
      </c>
      <c r="AD2186" s="122" t="s">
        <v>2548</v>
      </c>
      <c r="AE2186" s="127">
        <v>5</v>
      </c>
      <c r="DA2186" s="122" t="s">
        <v>333</v>
      </c>
      <c r="DB2186" s="122" t="s">
        <v>5530</v>
      </c>
      <c r="DC2186" s="122" t="s">
        <v>5530</v>
      </c>
      <c r="DD2186" s="127">
        <v>6</v>
      </c>
      <c r="DE2186" s="127">
        <v>6</v>
      </c>
      <c r="DG2186" s="405" t="s">
        <v>333</v>
      </c>
      <c r="DH2186" s="406" t="s">
        <v>5530</v>
      </c>
      <c r="DI2186" s="406" t="str">
        <f t="shared" si="66"/>
        <v>MG, Verdelândia</v>
      </c>
      <c r="DJ2186" s="406">
        <v>-15.589</v>
      </c>
      <c r="DK2186" s="80">
        <v>-43.603000000000002</v>
      </c>
      <c r="DL2186" s="80">
        <v>480</v>
      </c>
      <c r="DM2186" s="64">
        <v>6</v>
      </c>
      <c r="DN2186" s="406" t="s">
        <v>6909</v>
      </c>
      <c r="DO2186" s="406">
        <v>-15.09</v>
      </c>
      <c r="DP2186" s="80">
        <v>460</v>
      </c>
    </row>
    <row r="2187" spans="29:120" x14ac:dyDescent="0.25">
      <c r="AC2187" s="122" t="s">
        <v>333</v>
      </c>
      <c r="AD2187" s="122" t="s">
        <v>2549</v>
      </c>
      <c r="AE2187" s="127">
        <v>5</v>
      </c>
      <c r="DA2187" s="122" t="s">
        <v>333</v>
      </c>
      <c r="DB2187" s="122" t="s">
        <v>2639</v>
      </c>
      <c r="DC2187" s="122" t="s">
        <v>2639</v>
      </c>
      <c r="DD2187" s="127">
        <v>3</v>
      </c>
      <c r="DE2187" s="127">
        <v>3</v>
      </c>
      <c r="DG2187" s="405" t="s">
        <v>333</v>
      </c>
      <c r="DH2187" s="406" t="s">
        <v>2639</v>
      </c>
      <c r="DI2187" s="406" t="str">
        <f t="shared" si="66"/>
        <v>MG, Veredinha</v>
      </c>
      <c r="DJ2187" s="406">
        <v>-17.399000000000001</v>
      </c>
      <c r="DK2187" s="80">
        <v>-42.735999999999997</v>
      </c>
      <c r="DL2187" s="80">
        <v>832</v>
      </c>
      <c r="DM2187" s="64">
        <v>3</v>
      </c>
      <c r="DN2187" s="406" t="s">
        <v>6800</v>
      </c>
      <c r="DO2187" s="406">
        <v>-17.690000000000001</v>
      </c>
      <c r="DP2187" s="80">
        <v>932</v>
      </c>
    </row>
    <row r="2188" spans="29:120" x14ac:dyDescent="0.25">
      <c r="AC2188" s="122" t="s">
        <v>247</v>
      </c>
      <c r="AD2188" s="122" t="s">
        <v>1232</v>
      </c>
      <c r="AE2188" s="127">
        <v>8</v>
      </c>
      <c r="DA2188" s="122" t="s">
        <v>333</v>
      </c>
      <c r="DB2188" s="122" t="s">
        <v>2856</v>
      </c>
      <c r="DC2188" s="122" t="s">
        <v>2856</v>
      </c>
      <c r="DD2188" s="127">
        <v>6</v>
      </c>
      <c r="DE2188" s="127">
        <v>6</v>
      </c>
      <c r="DG2188" s="405" t="s">
        <v>333</v>
      </c>
      <c r="DH2188" s="406" t="s">
        <v>2856</v>
      </c>
      <c r="DI2188" s="406" t="str">
        <f t="shared" si="66"/>
        <v>MG, Veríssimo</v>
      </c>
      <c r="DJ2188" s="406">
        <v>-19.663</v>
      </c>
      <c r="DK2188" s="80">
        <v>-48.308</v>
      </c>
      <c r="DL2188" s="80">
        <v>674</v>
      </c>
      <c r="DM2188" s="64">
        <v>6</v>
      </c>
      <c r="DN2188" s="406" t="s">
        <v>6802</v>
      </c>
      <c r="DO2188" s="406">
        <v>-19.989999999999998</v>
      </c>
      <c r="DP2188" s="80">
        <v>568</v>
      </c>
    </row>
    <row r="2189" spans="29:120" x14ac:dyDescent="0.25">
      <c r="AC2189" s="122" t="s">
        <v>298</v>
      </c>
      <c r="AD2189" s="122" t="s">
        <v>2550</v>
      </c>
      <c r="AE2189" s="127">
        <v>8</v>
      </c>
      <c r="DA2189" s="122" t="s">
        <v>333</v>
      </c>
      <c r="DB2189" s="122" t="s">
        <v>7248</v>
      </c>
      <c r="DC2189" s="122" t="s">
        <v>2127</v>
      </c>
      <c r="DD2189" s="127">
        <v>3</v>
      </c>
      <c r="DE2189" s="127">
        <v>3</v>
      </c>
      <c r="DG2189" s="405" t="s">
        <v>333</v>
      </c>
      <c r="DH2189" s="406" t="s">
        <v>2127</v>
      </c>
      <c r="DI2189" s="406" t="str">
        <f t="shared" si="66"/>
        <v>MG, Vermelho Novo</v>
      </c>
      <c r="DJ2189" s="406">
        <v>-20.036000000000001</v>
      </c>
      <c r="DK2189" s="80">
        <v>-42.267000000000003</v>
      </c>
      <c r="DL2189" s="80">
        <v>640</v>
      </c>
      <c r="DM2189" s="64">
        <v>3</v>
      </c>
      <c r="DN2189" s="406" t="s">
        <v>6819</v>
      </c>
      <c r="DO2189" s="406">
        <v>-19.79</v>
      </c>
      <c r="DP2189" s="80">
        <v>615</v>
      </c>
    </row>
    <row r="2190" spans="29:120" x14ac:dyDescent="0.25">
      <c r="AC2190" s="122" t="s">
        <v>289</v>
      </c>
      <c r="AD2190" s="122" t="s">
        <v>2551</v>
      </c>
      <c r="AE2190" s="127">
        <v>5</v>
      </c>
      <c r="DA2190" s="122" t="s">
        <v>333</v>
      </c>
      <c r="DB2190" s="122" t="s">
        <v>2171</v>
      </c>
      <c r="DC2190" s="122" t="s">
        <v>2171</v>
      </c>
      <c r="DD2190" s="127">
        <v>2</v>
      </c>
      <c r="DE2190" s="127">
        <v>2</v>
      </c>
      <c r="DG2190" s="405" t="s">
        <v>333</v>
      </c>
      <c r="DH2190" s="406" t="s">
        <v>2171</v>
      </c>
      <c r="DI2190" s="406" t="str">
        <f t="shared" si="66"/>
        <v>MG, Vespasiano</v>
      </c>
      <c r="DJ2190" s="406">
        <v>-19.692</v>
      </c>
      <c r="DK2190" s="80">
        <v>-43.923000000000002</v>
      </c>
      <c r="DL2190" s="80">
        <v>693</v>
      </c>
      <c r="DM2190" s="64">
        <v>2</v>
      </c>
      <c r="DN2190" s="406" t="s">
        <v>6838</v>
      </c>
      <c r="DO2190" s="406">
        <v>-19.82</v>
      </c>
      <c r="DP2190" s="80">
        <v>869</v>
      </c>
    </row>
    <row r="2191" spans="29:120" x14ac:dyDescent="0.25">
      <c r="AC2191" s="122" t="s">
        <v>323</v>
      </c>
      <c r="AD2191" s="122" t="s">
        <v>2552</v>
      </c>
      <c r="AE2191" s="127">
        <v>7</v>
      </c>
      <c r="DA2191" s="122" t="s">
        <v>333</v>
      </c>
      <c r="DB2191" s="122" t="s">
        <v>709</v>
      </c>
      <c r="DC2191" s="122" t="s">
        <v>709</v>
      </c>
      <c r="DD2191" s="127">
        <v>3</v>
      </c>
      <c r="DE2191" s="127">
        <v>3</v>
      </c>
      <c r="DG2191" s="405" t="s">
        <v>333</v>
      </c>
      <c r="DH2191" s="406" t="s">
        <v>709</v>
      </c>
      <c r="DI2191" s="406" t="str">
        <f t="shared" si="66"/>
        <v>MG, Viçosa</v>
      </c>
      <c r="DJ2191" s="406">
        <v>-20.754000000000001</v>
      </c>
      <c r="DK2191" s="80">
        <v>-42.881999999999998</v>
      </c>
      <c r="DL2191" s="80">
        <v>648</v>
      </c>
      <c r="DM2191" s="64">
        <v>3</v>
      </c>
      <c r="DN2191" s="406" t="s">
        <v>6797</v>
      </c>
      <c r="DO2191" s="406">
        <v>-20.75</v>
      </c>
      <c r="DP2191" s="80">
        <v>712</v>
      </c>
    </row>
    <row r="2192" spans="29:120" x14ac:dyDescent="0.25">
      <c r="AC2192" s="122" t="s">
        <v>289</v>
      </c>
      <c r="AD2192" s="122" t="s">
        <v>2553</v>
      </c>
      <c r="AE2192" s="127">
        <v>8</v>
      </c>
      <c r="DA2192" s="122" t="s">
        <v>333</v>
      </c>
      <c r="DB2192" s="122" t="s">
        <v>3297</v>
      </c>
      <c r="DC2192" s="122" t="s">
        <v>3297</v>
      </c>
      <c r="DD2192" s="127">
        <v>3</v>
      </c>
      <c r="DE2192" s="127">
        <v>3</v>
      </c>
      <c r="DG2192" s="405" t="s">
        <v>333</v>
      </c>
      <c r="DH2192" s="406" t="s">
        <v>3297</v>
      </c>
      <c r="DI2192" s="406" t="str">
        <f t="shared" si="66"/>
        <v>MG, Vieiras</v>
      </c>
      <c r="DJ2192" s="406">
        <v>-20.866</v>
      </c>
      <c r="DK2192" s="80">
        <v>-42.244</v>
      </c>
      <c r="DL2192" s="80">
        <v>718</v>
      </c>
      <c r="DM2192" s="64">
        <v>3</v>
      </c>
      <c r="DN2192" s="406" t="s">
        <v>6478</v>
      </c>
      <c r="DO2192" s="406">
        <v>-20.73</v>
      </c>
      <c r="DP2192" s="80">
        <v>399</v>
      </c>
    </row>
    <row r="2193" spans="29:120" x14ac:dyDescent="0.25">
      <c r="AC2193" s="122" t="s">
        <v>298</v>
      </c>
      <c r="AD2193" s="122" t="s">
        <v>2554</v>
      </c>
      <c r="AE2193" s="127">
        <v>8</v>
      </c>
      <c r="DA2193" s="122" t="s">
        <v>333</v>
      </c>
      <c r="DB2193" s="122" t="s">
        <v>7249</v>
      </c>
      <c r="DC2193" s="122" t="s">
        <v>2678</v>
      </c>
      <c r="DD2193" s="127">
        <v>5</v>
      </c>
      <c r="DE2193" s="127">
        <v>5</v>
      </c>
      <c r="DG2193" s="405" t="s">
        <v>333</v>
      </c>
      <c r="DH2193" s="406" t="s">
        <v>2678</v>
      </c>
      <c r="DI2193" s="406" t="str">
        <f t="shared" si="66"/>
        <v>MG, Virgem da Lapa</v>
      </c>
      <c r="DJ2193" s="406">
        <v>-16.803999999999998</v>
      </c>
      <c r="DK2193" s="80">
        <v>-42.343000000000004</v>
      </c>
      <c r="DL2193" s="80">
        <v>385</v>
      </c>
      <c r="DM2193" s="64">
        <v>5</v>
      </c>
      <c r="DN2193" s="406" t="s">
        <v>6830</v>
      </c>
      <c r="DO2193" s="406">
        <v>-16.170000000000002</v>
      </c>
      <c r="DP2193" s="80">
        <v>495</v>
      </c>
    </row>
    <row r="2194" spans="29:120" x14ac:dyDescent="0.25">
      <c r="AC2194" s="122" t="s">
        <v>289</v>
      </c>
      <c r="AD2194" s="122" t="s">
        <v>2555</v>
      </c>
      <c r="AE2194" s="127">
        <v>6</v>
      </c>
      <c r="DA2194" s="122" t="s">
        <v>333</v>
      </c>
      <c r="DB2194" s="122" t="s">
        <v>961</v>
      </c>
      <c r="DC2194" s="122" t="s">
        <v>961</v>
      </c>
      <c r="DD2194" s="127">
        <v>2</v>
      </c>
      <c r="DE2194" s="127">
        <v>2</v>
      </c>
      <c r="DG2194" s="405" t="s">
        <v>333</v>
      </c>
      <c r="DH2194" s="406" t="s">
        <v>961</v>
      </c>
      <c r="DI2194" s="406" t="str">
        <f t="shared" si="66"/>
        <v>MG, Virgínia</v>
      </c>
      <c r="DJ2194" s="406">
        <v>-22.332999999999998</v>
      </c>
      <c r="DK2194" s="80">
        <v>-45.091999999999999</v>
      </c>
      <c r="DL2194" s="80">
        <v>945</v>
      </c>
      <c r="DM2194" s="64">
        <v>2</v>
      </c>
      <c r="DN2194" s="406" t="s">
        <v>6837</v>
      </c>
      <c r="DO2194" s="406">
        <v>-22.39</v>
      </c>
      <c r="DP2194" s="80">
        <v>1040</v>
      </c>
    </row>
    <row r="2195" spans="29:120" x14ac:dyDescent="0.25">
      <c r="AC2195" s="122" t="s">
        <v>247</v>
      </c>
      <c r="AD2195" s="122" t="s">
        <v>2556</v>
      </c>
      <c r="AE2195" s="127">
        <v>8</v>
      </c>
      <c r="DA2195" s="122" t="s">
        <v>333</v>
      </c>
      <c r="DB2195" s="122" t="s">
        <v>3408</v>
      </c>
      <c r="DC2195" s="122" t="s">
        <v>3408</v>
      </c>
      <c r="DD2195" s="127">
        <v>3</v>
      </c>
      <c r="DE2195" s="127">
        <v>3</v>
      </c>
      <c r="DG2195" s="405" t="s">
        <v>333</v>
      </c>
      <c r="DH2195" s="406" t="s">
        <v>3408</v>
      </c>
      <c r="DI2195" s="406" t="str">
        <f t="shared" si="66"/>
        <v>MG, Virginópolis</v>
      </c>
      <c r="DJ2195" s="406">
        <v>-18.823</v>
      </c>
      <c r="DK2195" s="80">
        <v>-42.704000000000001</v>
      </c>
      <c r="DL2195" s="80">
        <v>750</v>
      </c>
      <c r="DM2195" s="64">
        <v>3</v>
      </c>
      <c r="DN2195" s="406" t="s">
        <v>6814</v>
      </c>
      <c r="DO2195" s="406">
        <v>-18.850000000000001</v>
      </c>
      <c r="DP2195" s="80">
        <v>263</v>
      </c>
    </row>
    <row r="2196" spans="29:120" x14ac:dyDescent="0.25">
      <c r="AC2196" s="122" t="s">
        <v>333</v>
      </c>
      <c r="AD2196" s="122" t="s">
        <v>2557</v>
      </c>
      <c r="AE2196" s="127">
        <v>5</v>
      </c>
      <c r="DA2196" s="122" t="s">
        <v>333</v>
      </c>
      <c r="DB2196" s="122" t="s">
        <v>3352</v>
      </c>
      <c r="DC2196" s="122" t="s">
        <v>3352</v>
      </c>
      <c r="DD2196" s="127">
        <v>3</v>
      </c>
      <c r="DE2196" s="127">
        <v>3</v>
      </c>
      <c r="DG2196" s="405" t="s">
        <v>333</v>
      </c>
      <c r="DH2196" s="406" t="s">
        <v>3352</v>
      </c>
      <c r="DI2196" s="406" t="str">
        <f t="shared" si="66"/>
        <v>MG, Virgolândia</v>
      </c>
      <c r="DJ2196" s="406">
        <v>-18.475999999999999</v>
      </c>
      <c r="DK2196" s="80">
        <v>-42.307000000000002</v>
      </c>
      <c r="DL2196" s="80">
        <v>444</v>
      </c>
      <c r="DM2196" s="64">
        <v>3</v>
      </c>
      <c r="DN2196" s="406" t="s">
        <v>6814</v>
      </c>
      <c r="DO2196" s="406">
        <v>-18.850000000000001</v>
      </c>
      <c r="DP2196" s="80">
        <v>263</v>
      </c>
    </row>
    <row r="2197" spans="29:120" x14ac:dyDescent="0.25">
      <c r="AC2197" s="122" t="s">
        <v>247</v>
      </c>
      <c r="AD2197" s="122" t="s">
        <v>2558</v>
      </c>
      <c r="AE2197" s="127">
        <v>8</v>
      </c>
      <c r="DA2197" s="122" t="s">
        <v>333</v>
      </c>
      <c r="DB2197" s="122" t="s">
        <v>7250</v>
      </c>
      <c r="DC2197" s="122" t="s">
        <v>3446</v>
      </c>
      <c r="DD2197" s="127">
        <v>3</v>
      </c>
      <c r="DE2197" s="127">
        <v>3</v>
      </c>
      <c r="DG2197" s="405" t="s">
        <v>333</v>
      </c>
      <c r="DH2197" s="406" t="s">
        <v>3446</v>
      </c>
      <c r="DI2197" s="406" t="str">
        <f t="shared" si="66"/>
        <v>MG, Visconde do Rio Branco</v>
      </c>
      <c r="DJ2197" s="406">
        <v>-21.01</v>
      </c>
      <c r="DK2197" s="80">
        <v>-42.841000000000001</v>
      </c>
      <c r="DL2197" s="80">
        <v>352</v>
      </c>
      <c r="DM2197" s="64">
        <v>3</v>
      </c>
      <c r="DN2197" s="406" t="s">
        <v>6797</v>
      </c>
      <c r="DO2197" s="406">
        <v>-20.75</v>
      </c>
      <c r="DP2197" s="80">
        <v>712</v>
      </c>
    </row>
    <row r="2198" spans="29:120" x14ac:dyDescent="0.25">
      <c r="AC2198" s="122" t="s">
        <v>333</v>
      </c>
      <c r="AD2198" s="122" t="s">
        <v>2559</v>
      </c>
      <c r="AE2198" s="127">
        <v>5</v>
      </c>
      <c r="DA2198" s="122" t="s">
        <v>333</v>
      </c>
      <c r="DB2198" s="122" t="s">
        <v>7251</v>
      </c>
      <c r="DC2198" s="122" t="s">
        <v>3625</v>
      </c>
      <c r="DD2198" s="127">
        <v>3</v>
      </c>
      <c r="DE2198" s="127">
        <v>3</v>
      </c>
      <c r="DG2198" s="405" t="s">
        <v>333</v>
      </c>
      <c r="DH2198" s="406" t="s">
        <v>3625</v>
      </c>
      <c r="DI2198" s="406" t="str">
        <f t="shared" si="66"/>
        <v>MG, Volta Grande</v>
      </c>
      <c r="DJ2198" s="406">
        <v>-21.771000000000001</v>
      </c>
      <c r="DK2198" s="80">
        <v>-42.539000000000001</v>
      </c>
      <c r="DL2198" s="80">
        <v>209</v>
      </c>
      <c r="DM2198" s="64">
        <v>3</v>
      </c>
      <c r="DN2198" s="406" t="s">
        <v>6969</v>
      </c>
      <c r="DO2198" s="406">
        <v>-21.58</v>
      </c>
      <c r="DP2198" s="80">
        <v>35</v>
      </c>
    </row>
    <row r="2199" spans="29:120" x14ac:dyDescent="0.25">
      <c r="AC2199" s="122" t="s">
        <v>323</v>
      </c>
      <c r="AD2199" s="122" t="s">
        <v>2560</v>
      </c>
      <c r="AE2199" s="127">
        <v>8</v>
      </c>
      <c r="DA2199" s="122" t="s">
        <v>333</v>
      </c>
      <c r="DB2199" s="122" t="s">
        <v>7252</v>
      </c>
      <c r="DC2199" s="122" t="s">
        <v>874</v>
      </c>
      <c r="DD2199" s="127">
        <v>2</v>
      </c>
      <c r="DE2199" s="127">
        <v>2</v>
      </c>
      <c r="DG2199" s="405" t="s">
        <v>333</v>
      </c>
      <c r="DH2199" s="406" t="s">
        <v>874</v>
      </c>
      <c r="DI2199" s="406" t="str">
        <f t="shared" si="66"/>
        <v>MG, Wenceslau Braz</v>
      </c>
      <c r="DJ2199" s="406">
        <v>-22.533999999999999</v>
      </c>
      <c r="DK2199" s="80">
        <v>-45.363</v>
      </c>
      <c r="DL2199" s="80">
        <v>1005</v>
      </c>
      <c r="DM2199" s="64">
        <v>2</v>
      </c>
      <c r="DN2199" s="406" t="s">
        <v>6881</v>
      </c>
      <c r="DO2199" s="406">
        <v>-22.31</v>
      </c>
      <c r="DP2199" s="80">
        <v>1276</v>
      </c>
    </row>
    <row r="2200" spans="29:120" x14ac:dyDescent="0.25">
      <c r="AC2200" s="122" t="s">
        <v>247</v>
      </c>
      <c r="AD2200" s="122" t="s">
        <v>2561</v>
      </c>
      <c r="AE2200" s="127">
        <v>8</v>
      </c>
      <c r="DA2200" s="122" t="s">
        <v>336</v>
      </c>
      <c r="DB2200" s="122" t="s">
        <v>7253</v>
      </c>
      <c r="DC2200" s="122" t="s">
        <v>3324</v>
      </c>
      <c r="DD2200" s="127">
        <v>6</v>
      </c>
      <c r="DE2200" s="127">
        <v>6</v>
      </c>
      <c r="DG2200" s="405" t="s">
        <v>336</v>
      </c>
      <c r="DH2200" s="406" t="s">
        <v>3324</v>
      </c>
      <c r="DI2200" s="406" t="str">
        <f t="shared" si="66"/>
        <v>MS, Água Clara</v>
      </c>
      <c r="DJ2200" s="406">
        <v>-20.448</v>
      </c>
      <c r="DK2200" s="80">
        <v>-52.878</v>
      </c>
      <c r="DL2200" s="80">
        <v>303</v>
      </c>
      <c r="DM2200" s="64">
        <v>6</v>
      </c>
      <c r="DN2200" s="406" t="s">
        <v>7254</v>
      </c>
      <c r="DO2200" s="406">
        <v>-20.75</v>
      </c>
      <c r="DP2200" s="80">
        <v>313</v>
      </c>
    </row>
    <row r="2201" spans="29:120" x14ac:dyDescent="0.25">
      <c r="AC2201" s="122" t="s">
        <v>247</v>
      </c>
      <c r="AD2201" s="122" t="s">
        <v>2562</v>
      </c>
      <c r="AE2201" s="127">
        <v>8</v>
      </c>
      <c r="DA2201" s="122" t="s">
        <v>336</v>
      </c>
      <c r="DB2201" s="122" t="s">
        <v>2387</v>
      </c>
      <c r="DC2201" s="122" t="s">
        <v>2387</v>
      </c>
      <c r="DD2201" s="127">
        <v>6</v>
      </c>
      <c r="DE2201" s="127">
        <v>6</v>
      </c>
      <c r="DG2201" s="405" t="s">
        <v>336</v>
      </c>
      <c r="DH2201" s="406" t="s">
        <v>2387</v>
      </c>
      <c r="DI2201" s="406" t="str">
        <f t="shared" si="66"/>
        <v>MS, Alcinópolis</v>
      </c>
      <c r="DJ2201" s="406">
        <v>-18.324000000000002</v>
      </c>
      <c r="DK2201" s="80">
        <v>-53.706000000000003</v>
      </c>
      <c r="DL2201" s="80">
        <v>443</v>
      </c>
      <c r="DM2201" s="64">
        <v>6</v>
      </c>
      <c r="DN2201" s="406" t="s">
        <v>6606</v>
      </c>
      <c r="DO2201" s="406">
        <v>-17.82</v>
      </c>
      <c r="DP2201" s="80">
        <v>875</v>
      </c>
    </row>
    <row r="2202" spans="29:120" x14ac:dyDescent="0.25">
      <c r="AC2202" s="122" t="s">
        <v>298</v>
      </c>
      <c r="AD2202" s="122" t="s">
        <v>2563</v>
      </c>
      <c r="AE2202" s="127">
        <v>8</v>
      </c>
      <c r="DA2202" s="122" t="s">
        <v>336</v>
      </c>
      <c r="DB2202" s="122" t="s">
        <v>3683</v>
      </c>
      <c r="DC2202" s="122" t="s">
        <v>3683</v>
      </c>
      <c r="DD2202" s="127">
        <v>3</v>
      </c>
      <c r="DE2202" s="127">
        <v>3</v>
      </c>
      <c r="DG2202" s="405" t="s">
        <v>336</v>
      </c>
      <c r="DH2202" s="406" t="s">
        <v>3683</v>
      </c>
      <c r="DI2202" s="406" t="str">
        <f t="shared" si="66"/>
        <v>MS, Amambaí</v>
      </c>
      <c r="DJ2202" s="406">
        <v>-23.103999999999999</v>
      </c>
      <c r="DK2202" s="80">
        <v>-55.225999999999999</v>
      </c>
      <c r="DL2202" s="80">
        <v>480</v>
      </c>
      <c r="DM2202" s="64">
        <v>3</v>
      </c>
      <c r="DN2202" s="406" t="s">
        <v>7255</v>
      </c>
      <c r="DO2202" s="406">
        <v>-23</v>
      </c>
      <c r="DP2202" s="80">
        <v>431</v>
      </c>
    </row>
    <row r="2203" spans="29:120" x14ac:dyDescent="0.25">
      <c r="AC2203" s="122" t="s">
        <v>289</v>
      </c>
      <c r="AD2203" s="122" t="s">
        <v>2564</v>
      </c>
      <c r="AE2203" s="127">
        <v>5</v>
      </c>
      <c r="DA2203" s="122" t="s">
        <v>336</v>
      </c>
      <c r="DB2203" s="122" t="s">
        <v>2389</v>
      </c>
      <c r="DC2203" s="122" t="s">
        <v>2389</v>
      </c>
      <c r="DD2203" s="127">
        <v>5</v>
      </c>
      <c r="DE2203" s="127">
        <v>5</v>
      </c>
      <c r="DG2203" s="405" t="s">
        <v>336</v>
      </c>
      <c r="DH2203" s="406" t="s">
        <v>2389</v>
      </c>
      <c r="DI2203" s="406" t="str">
        <f t="shared" si="66"/>
        <v>MS, Anastácio</v>
      </c>
      <c r="DJ2203" s="406">
        <v>-20.484000000000002</v>
      </c>
      <c r="DK2203" s="80">
        <v>-55.807000000000002</v>
      </c>
      <c r="DL2203" s="80">
        <v>160</v>
      </c>
      <c r="DM2203" s="64">
        <v>5</v>
      </c>
      <c r="DN2203" s="406" t="s">
        <v>7256</v>
      </c>
      <c r="DO2203" s="406">
        <v>-20.239999999999998</v>
      </c>
      <c r="DP2203" s="80">
        <v>140</v>
      </c>
    </row>
    <row r="2204" spans="29:120" x14ac:dyDescent="0.25">
      <c r="AC2204" s="122" t="s">
        <v>247</v>
      </c>
      <c r="AD2204" s="122" t="s">
        <v>2565</v>
      </c>
      <c r="AE2204" s="127">
        <v>8</v>
      </c>
      <c r="DA2204" s="122" t="s">
        <v>336</v>
      </c>
      <c r="DB2204" s="122" t="s">
        <v>3523</v>
      </c>
      <c r="DC2204" s="122" t="s">
        <v>3523</v>
      </c>
      <c r="DD2204" s="127">
        <v>3</v>
      </c>
      <c r="DE2204" s="127">
        <v>3</v>
      </c>
      <c r="DG2204" s="405" t="s">
        <v>336</v>
      </c>
      <c r="DH2204" s="406" t="s">
        <v>3523</v>
      </c>
      <c r="DI2204" s="406" t="str">
        <f t="shared" si="66"/>
        <v>MS, Anaurilândia</v>
      </c>
      <c r="DJ2204" s="406">
        <v>-22.187999999999999</v>
      </c>
      <c r="DK2204" s="80">
        <v>-52.718000000000004</v>
      </c>
      <c r="DL2204" s="80">
        <v>312</v>
      </c>
      <c r="DM2204" s="64">
        <v>3</v>
      </c>
      <c r="DN2204" s="406" t="s">
        <v>7257</v>
      </c>
      <c r="DO2204" s="406">
        <v>-22.64</v>
      </c>
      <c r="DP2204" s="80">
        <v>362</v>
      </c>
    </row>
    <row r="2205" spans="29:120" x14ac:dyDescent="0.25">
      <c r="AC2205" s="122" t="s">
        <v>247</v>
      </c>
      <c r="AD2205" s="122" t="s">
        <v>2566</v>
      </c>
      <c r="AE2205" s="127">
        <v>8</v>
      </c>
      <c r="DA2205" s="122" t="s">
        <v>336</v>
      </c>
      <c r="DB2205" s="122" t="s">
        <v>3430</v>
      </c>
      <c r="DC2205" s="122" t="s">
        <v>3430</v>
      </c>
      <c r="DD2205" s="127">
        <v>5</v>
      </c>
      <c r="DE2205" s="127">
        <v>5</v>
      </c>
      <c r="DG2205" s="405" t="s">
        <v>336</v>
      </c>
      <c r="DH2205" s="406" t="s">
        <v>3430</v>
      </c>
      <c r="DI2205" s="406" t="str">
        <f t="shared" si="66"/>
        <v>MS, Angélica</v>
      </c>
      <c r="DJ2205" s="406">
        <v>-22.152999999999999</v>
      </c>
      <c r="DK2205" s="80">
        <v>-53.771000000000001</v>
      </c>
      <c r="DL2205" s="80">
        <v>358</v>
      </c>
      <c r="DM2205" s="64">
        <v>5</v>
      </c>
      <c r="DN2205" s="406" t="s">
        <v>7258</v>
      </c>
      <c r="DO2205" s="406">
        <v>-22.31</v>
      </c>
      <c r="DP2205" s="80">
        <v>373</v>
      </c>
    </row>
    <row r="2206" spans="29:120" x14ac:dyDescent="0.25">
      <c r="AC2206" s="122" t="s">
        <v>289</v>
      </c>
      <c r="AD2206" s="122" t="s">
        <v>2567</v>
      </c>
      <c r="AE2206" s="127">
        <v>6</v>
      </c>
      <c r="DA2206" s="122" t="s">
        <v>336</v>
      </c>
      <c r="DB2206" s="122" t="s">
        <v>7259</v>
      </c>
      <c r="DC2206" s="122" t="s">
        <v>3449</v>
      </c>
      <c r="DD2206" s="127">
        <v>3</v>
      </c>
      <c r="DE2206" s="127">
        <v>3</v>
      </c>
      <c r="DG2206" s="405" t="s">
        <v>336</v>
      </c>
      <c r="DH2206" s="406" t="s">
        <v>3449</v>
      </c>
      <c r="DI2206" s="406" t="str">
        <f t="shared" si="66"/>
        <v>MS, Antônio João</v>
      </c>
      <c r="DJ2206" s="406">
        <v>-22.190999999999999</v>
      </c>
      <c r="DK2206" s="80">
        <v>-55.948</v>
      </c>
      <c r="DL2206" s="80">
        <v>681</v>
      </c>
      <c r="DM2206" s="64">
        <v>3</v>
      </c>
      <c r="DN2206" s="406" t="s">
        <v>7260</v>
      </c>
      <c r="DO2206" s="406">
        <v>-22.54</v>
      </c>
      <c r="DP2206" s="80">
        <v>650</v>
      </c>
    </row>
    <row r="2207" spans="29:120" x14ac:dyDescent="0.25">
      <c r="AC2207" s="122" t="s">
        <v>247</v>
      </c>
      <c r="AD2207" s="122" t="s">
        <v>2568</v>
      </c>
      <c r="AE2207" s="127">
        <v>8</v>
      </c>
      <c r="DA2207" s="122" t="s">
        <v>336</v>
      </c>
      <c r="DB2207" s="122" t="s">
        <v>7261</v>
      </c>
      <c r="DC2207" s="122" t="s">
        <v>3935</v>
      </c>
      <c r="DD2207" s="127">
        <v>6</v>
      </c>
      <c r="DE2207" s="127">
        <v>6</v>
      </c>
      <c r="DG2207" s="405" t="s">
        <v>336</v>
      </c>
      <c r="DH2207" s="406" t="s">
        <v>3935</v>
      </c>
      <c r="DI2207" s="406" t="str">
        <f t="shared" si="66"/>
        <v>MS, Aparecida do Taboado</v>
      </c>
      <c r="DJ2207" s="406">
        <v>-20.087</v>
      </c>
      <c r="DK2207" s="80">
        <v>-51.094000000000001</v>
      </c>
      <c r="DL2207" s="80">
        <v>392</v>
      </c>
      <c r="DM2207" s="64">
        <v>6</v>
      </c>
      <c r="DN2207" s="406" t="s">
        <v>6904</v>
      </c>
      <c r="DO2207" s="406">
        <v>-20.27</v>
      </c>
      <c r="DP2207" s="80">
        <v>457</v>
      </c>
    </row>
    <row r="2208" spans="29:120" x14ac:dyDescent="0.25">
      <c r="AC2208" s="122" t="s">
        <v>247</v>
      </c>
      <c r="AD2208" s="122" t="s">
        <v>2569</v>
      </c>
      <c r="AE2208" s="127">
        <v>8</v>
      </c>
      <c r="DA2208" s="122" t="s">
        <v>336</v>
      </c>
      <c r="DB2208" s="122" t="s">
        <v>2391</v>
      </c>
      <c r="DC2208" s="122" t="s">
        <v>2391</v>
      </c>
      <c r="DD2208" s="127">
        <v>5</v>
      </c>
      <c r="DE2208" s="127">
        <v>5</v>
      </c>
      <c r="DG2208" s="405" t="s">
        <v>336</v>
      </c>
      <c r="DH2208" s="406" t="s">
        <v>2391</v>
      </c>
      <c r="DI2208" s="406" t="str">
        <f t="shared" si="66"/>
        <v>MS, Aquidauana</v>
      </c>
      <c r="DJ2208" s="406">
        <v>-20.471</v>
      </c>
      <c r="DK2208" s="80">
        <v>-55.786999999999999</v>
      </c>
      <c r="DL2208" s="80">
        <v>147</v>
      </c>
      <c r="DM2208" s="64">
        <v>5</v>
      </c>
      <c r="DN2208" s="406" t="s">
        <v>7256</v>
      </c>
      <c r="DO2208" s="406">
        <v>-20.239999999999998</v>
      </c>
      <c r="DP2208" s="80">
        <v>140</v>
      </c>
    </row>
    <row r="2209" spans="29:120" x14ac:dyDescent="0.25">
      <c r="AC2209" s="122" t="s">
        <v>333</v>
      </c>
      <c r="AD2209" s="122" t="s">
        <v>2570</v>
      </c>
      <c r="AE2209" s="127">
        <v>6</v>
      </c>
      <c r="DA2209" s="122" t="s">
        <v>336</v>
      </c>
      <c r="DB2209" s="122" t="s">
        <v>7262</v>
      </c>
      <c r="DC2209" s="122" t="s">
        <v>3499</v>
      </c>
      <c r="DD2209" s="127">
        <v>3</v>
      </c>
      <c r="DE2209" s="127">
        <v>3</v>
      </c>
      <c r="DG2209" s="405" t="s">
        <v>336</v>
      </c>
      <c r="DH2209" s="406" t="s">
        <v>3499</v>
      </c>
      <c r="DI2209" s="406" t="str">
        <f t="shared" si="66"/>
        <v>MS, Aral Moreira</v>
      </c>
      <c r="DJ2209" s="406">
        <v>-22.934000000000001</v>
      </c>
      <c r="DK2209" s="80">
        <v>-55.634999999999998</v>
      </c>
      <c r="DL2209" s="80">
        <v>609</v>
      </c>
      <c r="DM2209" s="64">
        <v>3</v>
      </c>
      <c r="DN2209" s="406" t="s">
        <v>7255</v>
      </c>
      <c r="DO2209" s="406">
        <v>-23</v>
      </c>
      <c r="DP2209" s="80">
        <v>431</v>
      </c>
    </row>
    <row r="2210" spans="29:120" x14ac:dyDescent="0.25">
      <c r="AC2210" s="122" t="s">
        <v>298</v>
      </c>
      <c r="AD2210" s="122" t="s">
        <v>2571</v>
      </c>
      <c r="AE2210" s="127">
        <v>8</v>
      </c>
      <c r="DA2210" s="122" t="s">
        <v>336</v>
      </c>
      <c r="DB2210" s="122" t="s">
        <v>2341</v>
      </c>
      <c r="DC2210" s="122" t="s">
        <v>2341</v>
      </c>
      <c r="DD2210" s="127">
        <v>6</v>
      </c>
      <c r="DE2210" s="127">
        <v>6</v>
      </c>
      <c r="DG2210" s="405" t="s">
        <v>336</v>
      </c>
      <c r="DH2210" s="406" t="s">
        <v>2341</v>
      </c>
      <c r="DI2210" s="406" t="str">
        <f t="shared" si="66"/>
        <v>MS, Bandeirantes</v>
      </c>
      <c r="DJ2210" s="406">
        <v>-19.917999999999999</v>
      </c>
      <c r="DK2210" s="80">
        <v>-54.363999999999997</v>
      </c>
      <c r="DL2210" s="80">
        <v>629</v>
      </c>
      <c r="DM2210" s="64">
        <v>6</v>
      </c>
      <c r="DN2210" s="406" t="s">
        <v>7263</v>
      </c>
      <c r="DO2210" s="406">
        <v>-20.440000000000001</v>
      </c>
      <c r="DP2210" s="80">
        <v>530</v>
      </c>
    </row>
    <row r="2211" spans="29:120" x14ac:dyDescent="0.25">
      <c r="AC2211" s="122" t="s">
        <v>247</v>
      </c>
      <c r="AD2211" s="122" t="s">
        <v>2572</v>
      </c>
      <c r="AE2211" s="127">
        <v>8</v>
      </c>
      <c r="DA2211" s="122" t="s">
        <v>336</v>
      </c>
      <c r="DB2211" s="122" t="s">
        <v>3554</v>
      </c>
      <c r="DC2211" s="122" t="s">
        <v>3554</v>
      </c>
      <c r="DD2211" s="127">
        <v>3</v>
      </c>
      <c r="DE2211" s="127">
        <v>3</v>
      </c>
      <c r="DG2211" s="405" t="s">
        <v>336</v>
      </c>
      <c r="DH2211" s="406" t="s">
        <v>3554</v>
      </c>
      <c r="DI2211" s="406" t="str">
        <f t="shared" si="66"/>
        <v>MS, Bataguassu</v>
      </c>
      <c r="DJ2211" s="406">
        <v>-21.713999999999999</v>
      </c>
      <c r="DK2211" s="80">
        <v>-52.421999999999997</v>
      </c>
      <c r="DL2211" s="80">
        <v>329</v>
      </c>
      <c r="DM2211" s="64">
        <v>3</v>
      </c>
      <c r="DN2211" s="406" t="s">
        <v>7264</v>
      </c>
      <c r="DO2211" s="406">
        <v>-22.49</v>
      </c>
      <c r="DP2211" s="80">
        <v>311</v>
      </c>
    </row>
    <row r="2212" spans="29:120" x14ac:dyDescent="0.25">
      <c r="AC2212" s="122" t="s">
        <v>247</v>
      </c>
      <c r="AD2212" s="122" t="s">
        <v>2573</v>
      </c>
      <c r="AE2212" s="127">
        <v>8</v>
      </c>
      <c r="DA2212" s="122" t="s">
        <v>336</v>
      </c>
      <c r="DB2212" s="122" t="s">
        <v>3400</v>
      </c>
      <c r="DC2212" s="122" t="s">
        <v>3400</v>
      </c>
      <c r="DD2212" s="127">
        <v>3</v>
      </c>
      <c r="DE2212" s="127">
        <v>3</v>
      </c>
      <c r="DG2212" s="405" t="s">
        <v>336</v>
      </c>
      <c r="DH2212" s="406" t="s">
        <v>5720</v>
      </c>
      <c r="DI2212" s="406" t="str">
        <f t="shared" si="66"/>
        <v>MS, Batayporã</v>
      </c>
      <c r="DJ2212" s="406">
        <v>-22.295000000000002</v>
      </c>
      <c r="DK2212" s="80">
        <v>-53.271000000000001</v>
      </c>
      <c r="DL2212" s="80">
        <v>334</v>
      </c>
      <c r="DM2212" s="64">
        <v>3</v>
      </c>
      <c r="DN2212" s="406" t="s">
        <v>7258</v>
      </c>
      <c r="DO2212" s="406">
        <v>-22.31</v>
      </c>
      <c r="DP2212" s="80">
        <v>373</v>
      </c>
    </row>
    <row r="2213" spans="29:120" x14ac:dyDescent="0.25">
      <c r="AC2213" s="122" t="s">
        <v>323</v>
      </c>
      <c r="AD2213" s="122" t="s">
        <v>2574</v>
      </c>
      <c r="AE2213" s="127">
        <v>7</v>
      </c>
      <c r="DA2213" s="122" t="s">
        <v>336</v>
      </c>
      <c r="DB2213" s="122" t="s">
        <v>7265</v>
      </c>
      <c r="DC2213" s="122" t="s">
        <v>3363</v>
      </c>
      <c r="DD2213" s="127">
        <v>3</v>
      </c>
      <c r="DE2213" s="127">
        <v>3</v>
      </c>
      <c r="DG2213" s="405" t="s">
        <v>336</v>
      </c>
      <c r="DH2213" s="406" t="s">
        <v>3363</v>
      </c>
      <c r="DI2213" s="406" t="str">
        <f t="shared" si="66"/>
        <v>MS, Bela Vista</v>
      </c>
      <c r="DJ2213" s="406">
        <v>-22.109000000000002</v>
      </c>
      <c r="DK2213" s="80">
        <v>-56.521000000000001</v>
      </c>
      <c r="DL2213" s="80">
        <v>180</v>
      </c>
      <c r="DM2213" s="64">
        <v>3</v>
      </c>
      <c r="DN2213" s="406" t="s">
        <v>7260</v>
      </c>
      <c r="DO2213" s="406">
        <v>-22.54</v>
      </c>
      <c r="DP2213" s="80">
        <v>650</v>
      </c>
    </row>
    <row r="2214" spans="29:120" x14ac:dyDescent="0.25">
      <c r="AC2214" s="122" t="s">
        <v>333</v>
      </c>
      <c r="AD2214" s="122" t="s">
        <v>2575</v>
      </c>
      <c r="AE2214" s="127">
        <v>5</v>
      </c>
      <c r="DA2214" s="122" t="s">
        <v>336</v>
      </c>
      <c r="DB2214" s="122" t="s">
        <v>3550</v>
      </c>
      <c r="DC2214" s="122" t="s">
        <v>3550</v>
      </c>
      <c r="DD2214" s="127">
        <v>5</v>
      </c>
      <c r="DE2214" s="127">
        <v>5</v>
      </c>
      <c r="DG2214" s="405" t="s">
        <v>336</v>
      </c>
      <c r="DH2214" s="406" t="s">
        <v>3550</v>
      </c>
      <c r="DI2214" s="406" t="str">
        <f t="shared" si="66"/>
        <v>MS, Bodoquena</v>
      </c>
      <c r="DJ2214" s="406">
        <v>-20.539000000000001</v>
      </c>
      <c r="DK2214" s="80">
        <v>-56.715000000000003</v>
      </c>
      <c r="DL2214" s="80">
        <v>132</v>
      </c>
      <c r="DM2214" s="64">
        <v>5</v>
      </c>
      <c r="DN2214" s="406" t="s">
        <v>7256</v>
      </c>
      <c r="DO2214" s="406">
        <v>-20.239999999999998</v>
      </c>
      <c r="DP2214" s="80">
        <v>140</v>
      </c>
    </row>
    <row r="2215" spans="29:120" x14ac:dyDescent="0.25">
      <c r="AC2215" s="122" t="s">
        <v>348</v>
      </c>
      <c r="AD2215" s="122" t="s">
        <v>2576</v>
      </c>
      <c r="AE2215" s="127">
        <v>7</v>
      </c>
      <c r="DA2215" s="122" t="s">
        <v>336</v>
      </c>
      <c r="DB2215" s="122" t="s">
        <v>2018</v>
      </c>
      <c r="DC2215" s="122" t="s">
        <v>2018</v>
      </c>
      <c r="DD2215" s="127">
        <v>5</v>
      </c>
      <c r="DE2215" s="127">
        <v>5</v>
      </c>
      <c r="DG2215" s="405" t="s">
        <v>336</v>
      </c>
      <c r="DH2215" s="406" t="s">
        <v>2018</v>
      </c>
      <c r="DI2215" s="406" t="str">
        <f t="shared" si="66"/>
        <v>MS, Bonito</v>
      </c>
      <c r="DJ2215" s="406">
        <v>-21.120999999999999</v>
      </c>
      <c r="DK2215" s="80">
        <v>-56.481999999999999</v>
      </c>
      <c r="DL2215" s="80">
        <v>315</v>
      </c>
      <c r="DM2215" s="64">
        <v>5</v>
      </c>
      <c r="DN2215" s="406" t="s">
        <v>7256</v>
      </c>
      <c r="DO2215" s="406">
        <v>-20.239999999999998</v>
      </c>
      <c r="DP2215" s="80">
        <v>140</v>
      </c>
    </row>
    <row r="2216" spans="29:120" x14ac:dyDescent="0.25">
      <c r="AC2216" s="122" t="s">
        <v>323</v>
      </c>
      <c r="AD2216" s="122" t="s">
        <v>2577</v>
      </c>
      <c r="AE2216" s="127">
        <v>6</v>
      </c>
      <c r="DA2216" s="122" t="s">
        <v>336</v>
      </c>
      <c r="DB2216" s="122" t="s">
        <v>3916</v>
      </c>
      <c r="DC2216" s="122" t="s">
        <v>3916</v>
      </c>
      <c r="DD2216" s="127">
        <v>6</v>
      </c>
      <c r="DE2216" s="127">
        <v>6</v>
      </c>
      <c r="DG2216" s="405" t="s">
        <v>336</v>
      </c>
      <c r="DH2216" s="406" t="s">
        <v>3916</v>
      </c>
      <c r="DI2216" s="406" t="str">
        <f t="shared" si="66"/>
        <v>MS, Brasilândia</v>
      </c>
      <c r="DJ2216" s="406">
        <v>-21.256</v>
      </c>
      <c r="DK2216" s="80">
        <v>-52.036999999999999</v>
      </c>
      <c r="DL2216" s="80">
        <v>343</v>
      </c>
      <c r="DM2216" s="64">
        <v>6</v>
      </c>
      <c r="DN2216" s="406" t="s">
        <v>7254</v>
      </c>
      <c r="DO2216" s="406">
        <v>-20.75</v>
      </c>
      <c r="DP2216" s="80">
        <v>313</v>
      </c>
    </row>
    <row r="2217" spans="29:120" x14ac:dyDescent="0.25">
      <c r="AC2217" s="122" t="s">
        <v>348</v>
      </c>
      <c r="AD2217" s="122" t="s">
        <v>2578</v>
      </c>
      <c r="AE2217" s="127">
        <v>7</v>
      </c>
      <c r="DA2217" s="122" t="s">
        <v>336</v>
      </c>
      <c r="DB2217" s="122" t="s">
        <v>3338</v>
      </c>
      <c r="DC2217" s="122" t="s">
        <v>3338</v>
      </c>
      <c r="DD2217" s="127">
        <v>3</v>
      </c>
      <c r="DE2217" s="127">
        <v>3</v>
      </c>
      <c r="DG2217" s="405" t="s">
        <v>336</v>
      </c>
      <c r="DH2217" s="406" t="s">
        <v>3338</v>
      </c>
      <c r="DI2217" s="406" t="str">
        <f t="shared" si="66"/>
        <v>MS, Caarapó</v>
      </c>
      <c r="DJ2217" s="406">
        <v>-22.634</v>
      </c>
      <c r="DK2217" s="80">
        <v>-54.822000000000003</v>
      </c>
      <c r="DL2217" s="80">
        <v>471</v>
      </c>
      <c r="DM2217" s="64">
        <v>3</v>
      </c>
      <c r="DN2217" s="406" t="s">
        <v>7266</v>
      </c>
      <c r="DO2217" s="406">
        <v>-22.86</v>
      </c>
      <c r="DP2217" s="80">
        <v>379</v>
      </c>
    </row>
    <row r="2218" spans="29:120" x14ac:dyDescent="0.25">
      <c r="AC2218" s="122" t="s">
        <v>322</v>
      </c>
      <c r="AD2218" s="122" t="s">
        <v>2579</v>
      </c>
      <c r="AE2218" s="127">
        <v>7</v>
      </c>
      <c r="DA2218" s="122" t="s">
        <v>336</v>
      </c>
      <c r="DB2218" s="122" t="s">
        <v>2299</v>
      </c>
      <c r="DC2218" s="122" t="s">
        <v>2299</v>
      </c>
      <c r="DD2218" s="127">
        <v>6</v>
      </c>
      <c r="DE2218" s="127">
        <v>6</v>
      </c>
      <c r="DG2218" s="405" t="s">
        <v>336</v>
      </c>
      <c r="DH2218" s="406" t="s">
        <v>2299</v>
      </c>
      <c r="DI2218" s="406" t="str">
        <f t="shared" si="66"/>
        <v>MS, Camapuã</v>
      </c>
      <c r="DJ2218" s="406">
        <v>-19.530999999999999</v>
      </c>
      <c r="DK2218" s="80">
        <v>-54.043999999999997</v>
      </c>
      <c r="DL2218" s="80">
        <v>409</v>
      </c>
      <c r="DM2218" s="64">
        <v>6</v>
      </c>
      <c r="DN2218" s="406" t="s">
        <v>7267</v>
      </c>
      <c r="DO2218" s="406">
        <v>-19.010000000000002</v>
      </c>
      <c r="DP2218" s="80">
        <v>126</v>
      </c>
    </row>
    <row r="2219" spans="29:120" x14ac:dyDescent="0.25">
      <c r="AC2219" s="122" t="s">
        <v>300</v>
      </c>
      <c r="AD2219" s="122" t="s">
        <v>2580</v>
      </c>
      <c r="AE2219" s="127">
        <v>7</v>
      </c>
      <c r="DA2219" s="122" t="s">
        <v>336</v>
      </c>
      <c r="DB2219" s="122" t="s">
        <v>6099</v>
      </c>
      <c r="DC2219" s="122" t="s">
        <v>2358</v>
      </c>
      <c r="DD2219" s="127">
        <v>6</v>
      </c>
      <c r="DE2219" s="127">
        <v>6</v>
      </c>
      <c r="DG2219" s="405" t="s">
        <v>336</v>
      </c>
      <c r="DH2219" s="406" t="s">
        <v>2358</v>
      </c>
      <c r="DI2219" s="406" t="str">
        <f t="shared" si="66"/>
        <v>MS, Campo Grande</v>
      </c>
      <c r="DJ2219" s="406">
        <v>-20.443000000000001</v>
      </c>
      <c r="DK2219" s="80">
        <v>-54.646000000000001</v>
      </c>
      <c r="DL2219" s="80">
        <v>532</v>
      </c>
      <c r="DM2219" s="64">
        <v>6</v>
      </c>
      <c r="DN2219" s="406" t="s">
        <v>7263</v>
      </c>
      <c r="DO2219" s="406">
        <v>-20.440000000000001</v>
      </c>
      <c r="DP2219" s="80">
        <v>530</v>
      </c>
    </row>
    <row r="2220" spans="29:120" x14ac:dyDescent="0.25">
      <c r="AC2220" s="122" t="s">
        <v>322</v>
      </c>
      <c r="AD2220" s="122" t="s">
        <v>2581</v>
      </c>
      <c r="AE2220" s="127">
        <v>6</v>
      </c>
      <c r="DA2220" s="122" t="s">
        <v>336</v>
      </c>
      <c r="DB2220" s="122" t="s">
        <v>3294</v>
      </c>
      <c r="DC2220" s="122" t="s">
        <v>3294</v>
      </c>
      <c r="DD2220" s="127">
        <v>5</v>
      </c>
      <c r="DE2220" s="127">
        <v>5</v>
      </c>
      <c r="DG2220" s="405" t="s">
        <v>336</v>
      </c>
      <c r="DH2220" s="406" t="s">
        <v>3294</v>
      </c>
      <c r="DI2220" s="406" t="str">
        <f t="shared" si="66"/>
        <v>MS, Caracol</v>
      </c>
      <c r="DJ2220" s="406">
        <v>-22.013999999999999</v>
      </c>
      <c r="DK2220" s="80">
        <v>-57.024000000000001</v>
      </c>
      <c r="DL2220" s="80">
        <v>212</v>
      </c>
      <c r="DM2220" s="64">
        <v>5</v>
      </c>
      <c r="DN2220" s="406" t="s">
        <v>7268</v>
      </c>
      <c r="DO2220" s="406">
        <v>-21.7</v>
      </c>
      <c r="DP2220" s="80">
        <v>85</v>
      </c>
    </row>
    <row r="2221" spans="29:120" x14ac:dyDescent="0.25">
      <c r="AC2221" s="122" t="s">
        <v>317</v>
      </c>
      <c r="AD2221" s="122" t="s">
        <v>2582</v>
      </c>
      <c r="AE2221" s="127">
        <v>8</v>
      </c>
      <c r="DA2221" s="122" t="s">
        <v>336</v>
      </c>
      <c r="DB2221" s="122" t="s">
        <v>3037</v>
      </c>
      <c r="DC2221" s="122" t="s">
        <v>3037</v>
      </c>
      <c r="DD2221" s="127">
        <v>6</v>
      </c>
      <c r="DE2221" s="127">
        <v>6</v>
      </c>
      <c r="DG2221" s="405" t="s">
        <v>336</v>
      </c>
      <c r="DH2221" s="406" t="s">
        <v>3037</v>
      </c>
      <c r="DI2221" s="406" t="str">
        <f t="shared" si="66"/>
        <v>MS, Cassilândia</v>
      </c>
      <c r="DJ2221" s="406">
        <v>-19.113</v>
      </c>
      <c r="DK2221" s="80">
        <v>-51.734000000000002</v>
      </c>
      <c r="DL2221" s="80">
        <v>470</v>
      </c>
      <c r="DM2221" s="64">
        <v>6</v>
      </c>
      <c r="DN2221" s="406" t="s">
        <v>6527</v>
      </c>
      <c r="DO2221" s="406">
        <v>-18.79</v>
      </c>
      <c r="DP2221" s="80">
        <v>818</v>
      </c>
    </row>
    <row r="2222" spans="29:120" x14ac:dyDescent="0.25">
      <c r="AC2222" s="122" t="s">
        <v>333</v>
      </c>
      <c r="AD2222" s="122" t="s">
        <v>2583</v>
      </c>
      <c r="AE2222" s="127">
        <v>5</v>
      </c>
      <c r="DA2222" s="122" t="s">
        <v>336</v>
      </c>
      <c r="DB2222" s="122" t="s">
        <v>7269</v>
      </c>
      <c r="DC2222" s="122" t="s">
        <v>2388</v>
      </c>
      <c r="DD2222" s="127">
        <v>6</v>
      </c>
      <c r="DE2222" s="127">
        <v>6</v>
      </c>
      <c r="DG2222" s="405" t="s">
        <v>336</v>
      </c>
      <c r="DH2222" s="406" t="s">
        <v>2388</v>
      </c>
      <c r="DI2222" s="406" t="str">
        <f t="shared" si="66"/>
        <v>MS, Chapadão do Sul</v>
      </c>
      <c r="DJ2222" s="406">
        <v>-18.794</v>
      </c>
      <c r="DK2222" s="80">
        <v>-52.622999999999998</v>
      </c>
      <c r="DL2222" s="80">
        <v>790</v>
      </c>
      <c r="DM2222" s="64">
        <v>6</v>
      </c>
      <c r="DN2222" s="406" t="s">
        <v>6527</v>
      </c>
      <c r="DO2222" s="406">
        <v>-18.79</v>
      </c>
      <c r="DP2222" s="80">
        <v>818</v>
      </c>
    </row>
    <row r="2223" spans="29:120" x14ac:dyDescent="0.25">
      <c r="AC2223" s="122" t="s">
        <v>289</v>
      </c>
      <c r="AD2223" s="122" t="s">
        <v>2584</v>
      </c>
      <c r="AE2223" s="127">
        <v>5</v>
      </c>
      <c r="DA2223" s="122" t="s">
        <v>336</v>
      </c>
      <c r="DB2223" s="122" t="s">
        <v>2926</v>
      </c>
      <c r="DC2223" s="122" t="s">
        <v>2926</v>
      </c>
      <c r="DD2223" s="127">
        <v>6</v>
      </c>
      <c r="DE2223" s="127">
        <v>6</v>
      </c>
      <c r="DG2223" s="405" t="s">
        <v>336</v>
      </c>
      <c r="DH2223" s="406" t="s">
        <v>2926</v>
      </c>
      <c r="DI2223" s="406" t="str">
        <f t="shared" si="66"/>
        <v>MS, Corguinho</v>
      </c>
      <c r="DJ2223" s="406">
        <v>-19.832000000000001</v>
      </c>
      <c r="DK2223" s="80">
        <v>-54.829000000000001</v>
      </c>
      <c r="DL2223" s="80">
        <v>320</v>
      </c>
      <c r="DM2223" s="64">
        <v>6</v>
      </c>
      <c r="DN2223" s="406" t="s">
        <v>7263</v>
      </c>
      <c r="DO2223" s="406">
        <v>-20.440000000000001</v>
      </c>
      <c r="DP2223" s="80">
        <v>530</v>
      </c>
    </row>
    <row r="2224" spans="29:120" x14ac:dyDescent="0.25">
      <c r="AC2224" s="122" t="s">
        <v>289</v>
      </c>
      <c r="AD2224" s="122" t="s">
        <v>2585</v>
      </c>
      <c r="AE2224" s="127">
        <v>6</v>
      </c>
      <c r="DA2224" s="122" t="s">
        <v>336</v>
      </c>
      <c r="DB2224" s="122" t="s">
        <v>7270</v>
      </c>
      <c r="DC2224" s="122" t="s">
        <v>3646</v>
      </c>
      <c r="DD2224" s="127">
        <v>3</v>
      </c>
      <c r="DE2224" s="127">
        <v>3</v>
      </c>
      <c r="DG2224" s="405" t="s">
        <v>336</v>
      </c>
      <c r="DH2224" s="406" t="s">
        <v>3646</v>
      </c>
      <c r="DI2224" s="406" t="str">
        <f t="shared" si="66"/>
        <v>MS, Coronel Sapucaia</v>
      </c>
      <c r="DJ2224" s="406">
        <v>-23.271999999999998</v>
      </c>
      <c r="DK2224" s="80">
        <v>-55.529000000000003</v>
      </c>
      <c r="DL2224" s="80">
        <v>510</v>
      </c>
      <c r="DM2224" s="64">
        <v>3</v>
      </c>
      <c r="DN2224" s="406" t="s">
        <v>7255</v>
      </c>
      <c r="DO2224" s="406">
        <v>-23</v>
      </c>
      <c r="DP2224" s="80">
        <v>431</v>
      </c>
    </row>
    <row r="2225" spans="29:120" x14ac:dyDescent="0.25">
      <c r="AC2225" s="122" t="s">
        <v>348</v>
      </c>
      <c r="AD2225" s="122" t="s">
        <v>2586</v>
      </c>
      <c r="AE2225" s="127">
        <v>6</v>
      </c>
      <c r="DA2225" s="122" t="s">
        <v>336</v>
      </c>
      <c r="DB2225" s="122" t="s">
        <v>3048</v>
      </c>
      <c r="DC2225" s="122" t="s">
        <v>3048</v>
      </c>
      <c r="DD2225" s="127">
        <v>8</v>
      </c>
      <c r="DE2225" s="127">
        <v>8</v>
      </c>
      <c r="DG2225" s="405" t="s">
        <v>336</v>
      </c>
      <c r="DH2225" s="406" t="s">
        <v>3048</v>
      </c>
      <c r="DI2225" s="406" t="str">
        <f t="shared" si="66"/>
        <v>MS, Corumbá</v>
      </c>
      <c r="DJ2225" s="406">
        <v>-18.507000000000001</v>
      </c>
      <c r="DK2225" s="80">
        <v>-54.76</v>
      </c>
      <c r="DL2225" s="80">
        <v>118</v>
      </c>
      <c r="DM2225" s="64">
        <v>8</v>
      </c>
      <c r="DN2225" s="406" t="s">
        <v>7271</v>
      </c>
      <c r="DO2225" s="406">
        <v>-18.989999999999998</v>
      </c>
      <c r="DP2225" s="80">
        <v>104</v>
      </c>
    </row>
    <row r="2226" spans="29:120" x14ac:dyDescent="0.25">
      <c r="AC2226" s="122" t="s">
        <v>247</v>
      </c>
      <c r="AD2226" s="122" t="s">
        <v>2587</v>
      </c>
      <c r="AE2226" s="127">
        <v>8</v>
      </c>
      <c r="DA2226" s="122" t="s">
        <v>336</v>
      </c>
      <c r="DB2226" s="122" t="s">
        <v>7272</v>
      </c>
      <c r="DC2226" s="122" t="s">
        <v>2351</v>
      </c>
      <c r="DD2226" s="127">
        <v>6</v>
      </c>
      <c r="DE2226" s="127">
        <v>6</v>
      </c>
      <c r="DG2226" s="405" t="s">
        <v>336</v>
      </c>
      <c r="DH2226" s="406" t="s">
        <v>2351</v>
      </c>
      <c r="DI2226" s="406" t="str">
        <f t="shared" si="66"/>
        <v>MS, Costa Rica</v>
      </c>
      <c r="DJ2226" s="406">
        <v>-18.544</v>
      </c>
      <c r="DK2226" s="80">
        <v>-53.128999999999998</v>
      </c>
      <c r="DL2226" s="80">
        <v>641</v>
      </c>
      <c r="DM2226" s="64">
        <v>6</v>
      </c>
      <c r="DN2226" s="406" t="s">
        <v>6527</v>
      </c>
      <c r="DO2226" s="406">
        <v>-18.79</v>
      </c>
      <c r="DP2226" s="80">
        <v>818</v>
      </c>
    </row>
    <row r="2227" spans="29:120" x14ac:dyDescent="0.25">
      <c r="AC2227" s="122" t="s">
        <v>247</v>
      </c>
      <c r="AD2227" s="122" t="s">
        <v>709</v>
      </c>
      <c r="AE2227" s="127">
        <v>8</v>
      </c>
      <c r="DA2227" s="122" t="s">
        <v>336</v>
      </c>
      <c r="DB2227" s="122" t="s">
        <v>5194</v>
      </c>
      <c r="DC2227" s="122" t="s">
        <v>5194</v>
      </c>
      <c r="DD2227" s="127">
        <v>6</v>
      </c>
      <c r="DE2227" s="127">
        <v>6</v>
      </c>
      <c r="DG2227" s="405" t="s">
        <v>336</v>
      </c>
      <c r="DH2227" s="406" t="s">
        <v>5194</v>
      </c>
      <c r="DI2227" s="406" t="str">
        <f t="shared" si="66"/>
        <v>MS, Coxim</v>
      </c>
      <c r="DJ2227" s="406">
        <v>-19.009</v>
      </c>
      <c r="DK2227" s="80">
        <v>-57.652999999999999</v>
      </c>
      <c r="DL2227" s="80">
        <v>238</v>
      </c>
      <c r="DM2227" s="64">
        <v>6</v>
      </c>
      <c r="DN2227" s="406" t="s">
        <v>7273</v>
      </c>
      <c r="DO2227" s="406">
        <v>-18.3</v>
      </c>
      <c r="DP2227" s="80">
        <v>252</v>
      </c>
    </row>
    <row r="2228" spans="29:120" x14ac:dyDescent="0.25">
      <c r="AC2228" s="122" t="s">
        <v>333</v>
      </c>
      <c r="AD2228" s="122" t="s">
        <v>2588</v>
      </c>
      <c r="AE2228" s="127">
        <v>3</v>
      </c>
      <c r="DA2228" s="122" t="s">
        <v>336</v>
      </c>
      <c r="DB2228" s="122" t="s">
        <v>3364</v>
      </c>
      <c r="DC2228" s="122" t="s">
        <v>3364</v>
      </c>
      <c r="DD2228" s="127">
        <v>5</v>
      </c>
      <c r="DE2228" s="127">
        <v>5</v>
      </c>
      <c r="DG2228" s="405" t="s">
        <v>336</v>
      </c>
      <c r="DH2228" s="406" t="s">
        <v>3364</v>
      </c>
      <c r="DI2228" s="406" t="str">
        <f t="shared" si="66"/>
        <v>MS, Deodápolis</v>
      </c>
      <c r="DJ2228" s="406">
        <v>-22.276</v>
      </c>
      <c r="DK2228" s="80">
        <v>-54.164999999999999</v>
      </c>
      <c r="DL2228" s="80">
        <v>418</v>
      </c>
      <c r="DM2228" s="64">
        <v>5</v>
      </c>
      <c r="DN2228" s="406" t="s">
        <v>7258</v>
      </c>
      <c r="DO2228" s="406">
        <v>-22.31</v>
      </c>
      <c r="DP2228" s="80">
        <v>373</v>
      </c>
    </row>
    <row r="2229" spans="29:120" x14ac:dyDescent="0.25">
      <c r="AC2229" s="122" t="s">
        <v>333</v>
      </c>
      <c r="AD2229" s="122" t="s">
        <v>2589</v>
      </c>
      <c r="AE2229" s="127">
        <v>5</v>
      </c>
      <c r="DA2229" s="122" t="s">
        <v>336</v>
      </c>
      <c r="DB2229" s="122" t="s">
        <v>7274</v>
      </c>
      <c r="DC2229" s="122" t="s">
        <v>3484</v>
      </c>
      <c r="DD2229" s="127">
        <v>5</v>
      </c>
      <c r="DE2229" s="127">
        <v>5</v>
      </c>
      <c r="DG2229" s="405" t="s">
        <v>336</v>
      </c>
      <c r="DH2229" s="406" t="s">
        <v>3484</v>
      </c>
      <c r="DI2229" s="406" t="str">
        <f t="shared" si="66"/>
        <v>MS, Dois Irmãos do Buriti</v>
      </c>
      <c r="DJ2229" s="406">
        <v>-20.68</v>
      </c>
      <c r="DK2229" s="80">
        <v>-55.295999999999999</v>
      </c>
      <c r="DL2229" s="80">
        <v>320</v>
      </c>
      <c r="DM2229" s="64">
        <v>5</v>
      </c>
      <c r="DN2229" s="406" t="s">
        <v>7275</v>
      </c>
      <c r="DO2229" s="406">
        <v>-20.98</v>
      </c>
      <c r="DP2229" s="80">
        <v>464</v>
      </c>
    </row>
    <row r="2230" spans="29:120" x14ac:dyDescent="0.25">
      <c r="AC2230" s="122" t="s">
        <v>289</v>
      </c>
      <c r="AD2230" s="122" t="s">
        <v>2590</v>
      </c>
      <c r="AE2230" s="127">
        <v>6</v>
      </c>
      <c r="DA2230" s="122" t="s">
        <v>336</v>
      </c>
      <c r="DB2230" s="122" t="s">
        <v>3192</v>
      </c>
      <c r="DC2230" s="122" t="s">
        <v>3192</v>
      </c>
      <c r="DD2230" s="127">
        <v>3</v>
      </c>
      <c r="DE2230" s="127">
        <v>3</v>
      </c>
      <c r="DG2230" s="405" t="s">
        <v>336</v>
      </c>
      <c r="DH2230" s="406" t="s">
        <v>3192</v>
      </c>
      <c r="DI2230" s="406" t="str">
        <f t="shared" si="66"/>
        <v>MS, Douradina</v>
      </c>
      <c r="DJ2230" s="406">
        <v>-22.04</v>
      </c>
      <c r="DK2230" s="80">
        <v>-54.613</v>
      </c>
      <c r="DL2230" s="80">
        <v>553</v>
      </c>
      <c r="DM2230" s="64">
        <v>3</v>
      </c>
      <c r="DN2230" s="406" t="s">
        <v>7276</v>
      </c>
      <c r="DO2230" s="406">
        <v>-22.22</v>
      </c>
      <c r="DP2230" s="80">
        <v>469</v>
      </c>
    </row>
    <row r="2231" spans="29:120" x14ac:dyDescent="0.25">
      <c r="AC2231" s="122" t="s">
        <v>247</v>
      </c>
      <c r="AD2231" s="122" t="s">
        <v>2591</v>
      </c>
      <c r="AE2231" s="127">
        <v>8</v>
      </c>
      <c r="DA2231" s="122" t="s">
        <v>336</v>
      </c>
      <c r="DB2231" s="122" t="s">
        <v>3515</v>
      </c>
      <c r="DC2231" s="122" t="s">
        <v>3515</v>
      </c>
      <c r="DD2231" s="127">
        <v>3</v>
      </c>
      <c r="DE2231" s="127">
        <v>3</v>
      </c>
      <c r="DG2231" s="405" t="s">
        <v>336</v>
      </c>
      <c r="DH2231" s="406" t="s">
        <v>3515</v>
      </c>
      <c r="DI2231" s="406" t="str">
        <f t="shared" si="66"/>
        <v>MS, Dourados</v>
      </c>
      <c r="DJ2231" s="406">
        <v>-22.221</v>
      </c>
      <c r="DK2231" s="80">
        <v>-54.805999999999997</v>
      </c>
      <c r="DL2231" s="80">
        <v>430</v>
      </c>
      <c r="DM2231" s="64">
        <v>3</v>
      </c>
      <c r="DN2231" s="406" t="s">
        <v>7276</v>
      </c>
      <c r="DO2231" s="406">
        <v>-22.22</v>
      </c>
      <c r="DP2231" s="80">
        <v>469</v>
      </c>
    </row>
    <row r="2232" spans="29:120" x14ac:dyDescent="0.25">
      <c r="AC2232" s="122" t="s">
        <v>247</v>
      </c>
      <c r="AD2232" s="122" t="s">
        <v>2592</v>
      </c>
      <c r="AE2232" s="127">
        <v>8</v>
      </c>
      <c r="DA2232" s="122" t="s">
        <v>336</v>
      </c>
      <c r="DB2232" s="122" t="s">
        <v>3072</v>
      </c>
      <c r="DC2232" s="122" t="s">
        <v>3072</v>
      </c>
      <c r="DD2232" s="127">
        <v>3</v>
      </c>
      <c r="DE2232" s="127">
        <v>3</v>
      </c>
      <c r="DG2232" s="405" t="s">
        <v>336</v>
      </c>
      <c r="DH2232" s="406" t="s">
        <v>3072</v>
      </c>
      <c r="DI2232" s="406" t="str">
        <f t="shared" si="66"/>
        <v>MS, Eldorado</v>
      </c>
      <c r="DJ2232" s="406">
        <v>-23.786999999999999</v>
      </c>
      <c r="DK2232" s="80">
        <v>-54.283999999999999</v>
      </c>
      <c r="DL2232" s="80">
        <v>342</v>
      </c>
      <c r="DM2232" s="64">
        <v>3</v>
      </c>
      <c r="DN2232" s="406" t="s">
        <v>7277</v>
      </c>
      <c r="DO2232" s="406">
        <v>-23.97</v>
      </c>
      <c r="DP2232" s="80">
        <v>402</v>
      </c>
    </row>
    <row r="2233" spans="29:120" x14ac:dyDescent="0.25">
      <c r="AC2233" s="122" t="s">
        <v>322</v>
      </c>
      <c r="AD2233" s="122" t="s">
        <v>2593</v>
      </c>
      <c r="AE2233" s="127">
        <v>6</v>
      </c>
      <c r="DA2233" s="122" t="s">
        <v>336</v>
      </c>
      <c r="DB2233" s="122" t="s">
        <v>7278</v>
      </c>
      <c r="DC2233" s="122" t="s">
        <v>3342</v>
      </c>
      <c r="DD2233" s="127">
        <v>5</v>
      </c>
      <c r="DE2233" s="127">
        <v>5</v>
      </c>
      <c r="DG2233" s="405" t="s">
        <v>336</v>
      </c>
      <c r="DH2233" s="406" t="s">
        <v>3342</v>
      </c>
      <c r="DI2233" s="406" t="str">
        <f t="shared" si="66"/>
        <v>MS, Fátima do Sul</v>
      </c>
      <c r="DJ2233" s="406">
        <v>-22.373999999999999</v>
      </c>
      <c r="DK2233" s="80">
        <v>-54.514000000000003</v>
      </c>
      <c r="DL2233" s="80">
        <v>352</v>
      </c>
      <c r="DM2233" s="64">
        <v>5</v>
      </c>
      <c r="DN2233" s="406" t="s">
        <v>7276</v>
      </c>
      <c r="DO2233" s="406">
        <v>-22.22</v>
      </c>
      <c r="DP2233" s="80">
        <v>469</v>
      </c>
    </row>
    <row r="2234" spans="29:120" x14ac:dyDescent="0.25">
      <c r="AC2234" s="122" t="s">
        <v>311</v>
      </c>
      <c r="AD2234" s="122" t="s">
        <v>2594</v>
      </c>
      <c r="AE2234" s="127">
        <v>3</v>
      </c>
      <c r="DA2234" s="122" t="s">
        <v>336</v>
      </c>
      <c r="DB2234" s="122" t="s">
        <v>2355</v>
      </c>
      <c r="DC2234" s="122" t="s">
        <v>2355</v>
      </c>
      <c r="DD2234" s="127">
        <v>6</v>
      </c>
      <c r="DE2234" s="127">
        <v>6</v>
      </c>
      <c r="DG2234" s="405" t="s">
        <v>336</v>
      </c>
      <c r="DH2234" s="406" t="s">
        <v>2355</v>
      </c>
      <c r="DI2234" s="406" t="str">
        <f t="shared" si="66"/>
        <v>MS, Figueirão</v>
      </c>
      <c r="DJ2234" s="406">
        <v>-18.686</v>
      </c>
      <c r="DK2234" s="80">
        <v>-53.631</v>
      </c>
      <c r="DL2234" s="80">
        <v>434</v>
      </c>
      <c r="DM2234" s="64">
        <v>6</v>
      </c>
      <c r="DN2234" s="406" t="s">
        <v>6606</v>
      </c>
      <c r="DO2234" s="406">
        <v>-17.82</v>
      </c>
      <c r="DP2234" s="80">
        <v>875</v>
      </c>
    </row>
    <row r="2235" spans="29:120" x14ac:dyDescent="0.25">
      <c r="AC2235" s="122" t="s">
        <v>247</v>
      </c>
      <c r="AD2235" s="122" t="s">
        <v>542</v>
      </c>
      <c r="AE2235" s="127">
        <v>8</v>
      </c>
      <c r="DA2235" s="122" t="s">
        <v>336</v>
      </c>
      <c r="DB2235" s="122" t="s">
        <v>7279</v>
      </c>
      <c r="DC2235" s="122" t="s">
        <v>3274</v>
      </c>
      <c r="DD2235" s="127">
        <v>5</v>
      </c>
      <c r="DE2235" s="127">
        <v>5</v>
      </c>
      <c r="DG2235" s="405" t="s">
        <v>336</v>
      </c>
      <c r="DH2235" s="406" t="s">
        <v>3274</v>
      </c>
      <c r="DI2235" s="406" t="str">
        <f t="shared" si="66"/>
        <v>MS, Glória de Dourados</v>
      </c>
      <c r="DJ2235" s="406">
        <v>-22.417999999999999</v>
      </c>
      <c r="DK2235" s="80">
        <v>-54.232999999999997</v>
      </c>
      <c r="DL2235" s="80">
        <v>400</v>
      </c>
      <c r="DM2235" s="64">
        <v>5</v>
      </c>
      <c r="DN2235" s="406" t="s">
        <v>7258</v>
      </c>
      <c r="DO2235" s="406">
        <v>-22.31</v>
      </c>
      <c r="DP2235" s="80">
        <v>373</v>
      </c>
    </row>
    <row r="2236" spans="29:120" x14ac:dyDescent="0.25">
      <c r="AC2236" s="122" t="s">
        <v>289</v>
      </c>
      <c r="AD2236" s="122" t="s">
        <v>2595</v>
      </c>
      <c r="AE2236" s="127">
        <v>6</v>
      </c>
      <c r="DA2236" s="122" t="s">
        <v>336</v>
      </c>
      <c r="DB2236" s="122" t="s">
        <v>7280</v>
      </c>
      <c r="DC2236" s="122" t="s">
        <v>3445</v>
      </c>
      <c r="DD2236" s="127">
        <v>5</v>
      </c>
      <c r="DE2236" s="127">
        <v>5</v>
      </c>
      <c r="DG2236" s="405" t="s">
        <v>336</v>
      </c>
      <c r="DH2236" s="406" t="s">
        <v>3445</v>
      </c>
      <c r="DI2236" s="406" t="str">
        <f t="shared" si="66"/>
        <v>MS, Guia Lopes da Laguna</v>
      </c>
      <c r="DJ2236" s="406">
        <v>-21.457999999999998</v>
      </c>
      <c r="DK2236" s="80">
        <v>-56.113999999999997</v>
      </c>
      <c r="DL2236" s="80">
        <v>272</v>
      </c>
      <c r="DM2236" s="64">
        <v>5</v>
      </c>
      <c r="DN2236" s="406" t="s">
        <v>7260</v>
      </c>
      <c r="DO2236" s="406">
        <v>-22.54</v>
      </c>
      <c r="DP2236" s="80">
        <v>650</v>
      </c>
    </row>
    <row r="2237" spans="29:120" x14ac:dyDescent="0.25">
      <c r="AC2237" s="122" t="s">
        <v>333</v>
      </c>
      <c r="AD2237" s="122" t="s">
        <v>2596</v>
      </c>
      <c r="AE2237" s="127">
        <v>5</v>
      </c>
      <c r="DA2237" s="122" t="s">
        <v>336</v>
      </c>
      <c r="DB2237" s="122" t="s">
        <v>3122</v>
      </c>
      <c r="DC2237" s="122" t="s">
        <v>3122</v>
      </c>
      <c r="DD2237" s="127">
        <v>3</v>
      </c>
      <c r="DE2237" s="127">
        <v>3</v>
      </c>
      <c r="DG2237" s="405" t="s">
        <v>336</v>
      </c>
      <c r="DH2237" s="406" t="s">
        <v>3122</v>
      </c>
      <c r="DI2237" s="406" t="str">
        <f t="shared" si="66"/>
        <v>MS, Iguatemi</v>
      </c>
      <c r="DJ2237" s="406">
        <v>-23.68</v>
      </c>
      <c r="DK2237" s="80">
        <v>-54.561</v>
      </c>
      <c r="DL2237" s="80">
        <v>342</v>
      </c>
      <c r="DM2237" s="64">
        <v>3</v>
      </c>
      <c r="DN2237" s="406" t="s">
        <v>7277</v>
      </c>
      <c r="DO2237" s="406">
        <v>-23.97</v>
      </c>
      <c r="DP2237" s="80">
        <v>402</v>
      </c>
    </row>
    <row r="2238" spans="29:120" x14ac:dyDescent="0.25">
      <c r="AC2238" s="122" t="s">
        <v>247</v>
      </c>
      <c r="AD2238" s="122" t="s">
        <v>2597</v>
      </c>
      <c r="AE2238" s="127">
        <v>8</v>
      </c>
      <c r="DA2238" s="122" t="s">
        <v>336</v>
      </c>
      <c r="DB2238" s="122" t="s">
        <v>2801</v>
      </c>
      <c r="DC2238" s="122" t="s">
        <v>2801</v>
      </c>
      <c r="DD2238" s="127">
        <v>6</v>
      </c>
      <c r="DE2238" s="127">
        <v>6</v>
      </c>
      <c r="DG2238" s="405" t="s">
        <v>336</v>
      </c>
      <c r="DH2238" s="406" t="s">
        <v>2801</v>
      </c>
      <c r="DI2238" s="406" t="str">
        <f t="shared" si="66"/>
        <v>MS, Inocência</v>
      </c>
      <c r="DJ2238" s="406">
        <v>-19.725999999999999</v>
      </c>
      <c r="DK2238" s="80">
        <v>-51.93</v>
      </c>
      <c r="DL2238" s="80">
        <v>502</v>
      </c>
      <c r="DM2238" s="64">
        <v>6</v>
      </c>
      <c r="DN2238" s="406" t="s">
        <v>7254</v>
      </c>
      <c r="DO2238" s="406">
        <v>-20.75</v>
      </c>
      <c r="DP2238" s="80">
        <v>313</v>
      </c>
    </row>
    <row r="2239" spans="29:120" x14ac:dyDescent="0.25">
      <c r="AC2239" s="122" t="s">
        <v>247</v>
      </c>
      <c r="AD2239" s="122" t="s">
        <v>2598</v>
      </c>
      <c r="AE2239" s="127">
        <v>8</v>
      </c>
      <c r="DA2239" s="122" t="s">
        <v>336</v>
      </c>
      <c r="DB2239" s="122" t="s">
        <v>3528</v>
      </c>
      <c r="DC2239" s="122" t="s">
        <v>3528</v>
      </c>
      <c r="DD2239" s="127">
        <v>3</v>
      </c>
      <c r="DE2239" s="127">
        <v>3</v>
      </c>
      <c r="DG2239" s="405" t="s">
        <v>336</v>
      </c>
      <c r="DH2239" s="406" t="s">
        <v>3528</v>
      </c>
      <c r="DI2239" s="406" t="str">
        <f t="shared" si="66"/>
        <v>MS, Itaporã</v>
      </c>
      <c r="DJ2239" s="406">
        <v>-22.079000000000001</v>
      </c>
      <c r="DK2239" s="80">
        <v>-54.789000000000001</v>
      </c>
      <c r="DL2239" s="80">
        <v>390</v>
      </c>
      <c r="DM2239" s="64">
        <v>3</v>
      </c>
      <c r="DN2239" s="406" t="s">
        <v>7276</v>
      </c>
      <c r="DO2239" s="406">
        <v>-22.22</v>
      </c>
      <c r="DP2239" s="80">
        <v>469</v>
      </c>
    </row>
    <row r="2240" spans="29:120" x14ac:dyDescent="0.25">
      <c r="AC2240" s="122" t="s">
        <v>289</v>
      </c>
      <c r="AD2240" s="122" t="s">
        <v>2599</v>
      </c>
      <c r="AE2240" s="127">
        <v>6</v>
      </c>
      <c r="DA2240" s="122" t="s">
        <v>336</v>
      </c>
      <c r="DB2240" s="122" t="s">
        <v>3630</v>
      </c>
      <c r="DC2240" s="122" t="s">
        <v>3630</v>
      </c>
      <c r="DD2240" s="127">
        <v>3</v>
      </c>
      <c r="DE2240" s="127">
        <v>3</v>
      </c>
      <c r="DG2240" s="405" t="s">
        <v>336</v>
      </c>
      <c r="DH2240" s="406" t="s">
        <v>3630</v>
      </c>
      <c r="DI2240" s="406" t="str">
        <f t="shared" si="66"/>
        <v>MS, Itaquiraí</v>
      </c>
      <c r="DJ2240" s="406">
        <v>-23.474</v>
      </c>
      <c r="DK2240" s="80">
        <v>-54.185000000000002</v>
      </c>
      <c r="DL2240" s="80">
        <v>340</v>
      </c>
      <c r="DM2240" s="64">
        <v>3</v>
      </c>
      <c r="DN2240" s="406" t="s">
        <v>7281</v>
      </c>
      <c r="DO2240" s="406">
        <v>-23.4</v>
      </c>
      <c r="DP2240" s="80">
        <v>385</v>
      </c>
    </row>
    <row r="2241" spans="29:120" x14ac:dyDescent="0.25">
      <c r="AC2241" s="122" t="s">
        <v>247</v>
      </c>
      <c r="AD2241" s="122" t="s">
        <v>2600</v>
      </c>
      <c r="AE2241" s="127">
        <v>8</v>
      </c>
      <c r="DA2241" s="122" t="s">
        <v>336</v>
      </c>
      <c r="DB2241" s="122" t="s">
        <v>3409</v>
      </c>
      <c r="DC2241" s="122" t="s">
        <v>3409</v>
      </c>
      <c r="DD2241" s="127">
        <v>5</v>
      </c>
      <c r="DE2241" s="127">
        <v>5</v>
      </c>
      <c r="DG2241" s="405" t="s">
        <v>336</v>
      </c>
      <c r="DH2241" s="406" t="s">
        <v>3409</v>
      </c>
      <c r="DI2241" s="406" t="str">
        <f t="shared" si="66"/>
        <v>MS, Ivinhema</v>
      </c>
      <c r="DJ2241" s="406">
        <v>-22.305</v>
      </c>
      <c r="DK2241" s="80">
        <v>-53.814999999999998</v>
      </c>
      <c r="DL2241" s="80">
        <v>362</v>
      </c>
      <c r="DM2241" s="64">
        <v>5</v>
      </c>
      <c r="DN2241" s="406" t="s">
        <v>7258</v>
      </c>
      <c r="DO2241" s="406">
        <v>-22.31</v>
      </c>
      <c r="DP2241" s="80">
        <v>373</v>
      </c>
    </row>
    <row r="2242" spans="29:120" x14ac:dyDescent="0.25">
      <c r="AC2242" s="122" t="s">
        <v>247</v>
      </c>
      <c r="AD2242" s="122" t="s">
        <v>2601</v>
      </c>
      <c r="AE2242" s="127">
        <v>8</v>
      </c>
      <c r="DA2242" s="122" t="s">
        <v>336</v>
      </c>
      <c r="DB2242" s="122" t="s">
        <v>3074</v>
      </c>
      <c r="DC2242" s="122" t="s">
        <v>3074</v>
      </c>
      <c r="DD2242" s="127">
        <v>3</v>
      </c>
      <c r="DE2242" s="127">
        <v>3</v>
      </c>
      <c r="DG2242" s="405" t="s">
        <v>336</v>
      </c>
      <c r="DH2242" s="406" t="s">
        <v>3074</v>
      </c>
      <c r="DI2242" s="406" t="str">
        <f t="shared" si="66"/>
        <v>MS, Japorã</v>
      </c>
      <c r="DJ2242" s="406">
        <v>-23.890999999999998</v>
      </c>
      <c r="DK2242" s="80">
        <v>-54.404000000000003</v>
      </c>
      <c r="DL2242" s="80">
        <v>357</v>
      </c>
      <c r="DM2242" s="64">
        <v>3</v>
      </c>
      <c r="DN2242" s="406" t="s">
        <v>7277</v>
      </c>
      <c r="DO2242" s="406">
        <v>-23.97</v>
      </c>
      <c r="DP2242" s="80">
        <v>402</v>
      </c>
    </row>
    <row r="2243" spans="29:120" x14ac:dyDescent="0.25">
      <c r="AC2243" s="122" t="s">
        <v>247</v>
      </c>
      <c r="AD2243" s="122" t="s">
        <v>2602</v>
      </c>
      <c r="AE2243" s="127">
        <v>8</v>
      </c>
      <c r="DA2243" s="122" t="s">
        <v>336</v>
      </c>
      <c r="DB2243" s="122" t="s">
        <v>2320</v>
      </c>
      <c r="DC2243" s="122" t="s">
        <v>2320</v>
      </c>
      <c r="DD2243" s="127">
        <v>6</v>
      </c>
      <c r="DE2243" s="127">
        <v>6</v>
      </c>
      <c r="DG2243" s="405" t="s">
        <v>336</v>
      </c>
      <c r="DH2243" s="406" t="s">
        <v>2320</v>
      </c>
      <c r="DI2243" s="406" t="str">
        <f t="shared" ref="DI2243:DI2306" si="67">CONCATENATE(DG2243,", ",DH2243)</f>
        <v>MS, Jaraguari</v>
      </c>
      <c r="DJ2243" s="406">
        <v>-20.141999999999999</v>
      </c>
      <c r="DK2243" s="80">
        <v>-54.399000000000001</v>
      </c>
      <c r="DL2243" s="80">
        <v>589</v>
      </c>
      <c r="DM2243" s="64">
        <v>6</v>
      </c>
      <c r="DN2243" s="406" t="s">
        <v>7263</v>
      </c>
      <c r="DO2243" s="406">
        <v>-20.440000000000001</v>
      </c>
      <c r="DP2243" s="80">
        <v>530</v>
      </c>
    </row>
    <row r="2244" spans="29:120" x14ac:dyDescent="0.25">
      <c r="AC2244" s="122" t="s">
        <v>247</v>
      </c>
      <c r="AD2244" s="122" t="s">
        <v>2603</v>
      </c>
      <c r="AE2244" s="127">
        <v>8</v>
      </c>
      <c r="DA2244" s="122" t="s">
        <v>336</v>
      </c>
      <c r="DB2244" s="122" t="s">
        <v>3443</v>
      </c>
      <c r="DC2244" s="122" t="s">
        <v>3443</v>
      </c>
      <c r="DD2244" s="127">
        <v>3</v>
      </c>
      <c r="DE2244" s="127">
        <v>3</v>
      </c>
      <c r="DG2244" s="405" t="s">
        <v>336</v>
      </c>
      <c r="DH2244" s="406" t="s">
        <v>3443</v>
      </c>
      <c r="DI2244" s="406" t="str">
        <f t="shared" si="67"/>
        <v>MS, Jardim</v>
      </c>
      <c r="DJ2244" s="406">
        <v>-21.48</v>
      </c>
      <c r="DK2244" s="80">
        <v>-56.137999999999998</v>
      </c>
      <c r="DL2244" s="80">
        <v>259</v>
      </c>
      <c r="DM2244" s="64">
        <v>3</v>
      </c>
      <c r="DN2244" s="406" t="s">
        <v>7260</v>
      </c>
      <c r="DO2244" s="406">
        <v>-22.54</v>
      </c>
      <c r="DP2244" s="80">
        <v>650</v>
      </c>
    </row>
    <row r="2245" spans="29:120" x14ac:dyDescent="0.25">
      <c r="AC2245" s="122" t="s">
        <v>322</v>
      </c>
      <c r="AD2245" s="122" t="s">
        <v>2604</v>
      </c>
      <c r="AE2245" s="127">
        <v>6</v>
      </c>
      <c r="DA2245" s="122" t="s">
        <v>336</v>
      </c>
      <c r="DB2245" s="122" t="s">
        <v>3261</v>
      </c>
      <c r="DC2245" s="122" t="s">
        <v>3261</v>
      </c>
      <c r="DD2245" s="127">
        <v>3</v>
      </c>
      <c r="DE2245" s="127">
        <v>3</v>
      </c>
      <c r="DG2245" s="405" t="s">
        <v>336</v>
      </c>
      <c r="DH2245" s="406" t="s">
        <v>3261</v>
      </c>
      <c r="DI2245" s="406" t="str">
        <f t="shared" si="67"/>
        <v>MS, Jateí</v>
      </c>
      <c r="DJ2245" s="406">
        <v>-22.481999999999999</v>
      </c>
      <c r="DK2245" s="80">
        <v>-54.302999999999997</v>
      </c>
      <c r="DL2245" s="80">
        <v>396</v>
      </c>
      <c r="DM2245" s="64">
        <v>3</v>
      </c>
      <c r="DN2245" s="406" t="s">
        <v>7266</v>
      </c>
      <c r="DO2245" s="406">
        <v>-22.86</v>
      </c>
      <c r="DP2245" s="80">
        <v>379</v>
      </c>
    </row>
    <row r="2246" spans="29:120" x14ac:dyDescent="0.25">
      <c r="AC2246" s="122" t="s">
        <v>322</v>
      </c>
      <c r="AD2246" s="122" t="s">
        <v>2605</v>
      </c>
      <c r="AE2246" s="127">
        <v>6</v>
      </c>
      <c r="DA2246" s="122" t="s">
        <v>336</v>
      </c>
      <c r="DB2246" s="122" t="s">
        <v>3500</v>
      </c>
      <c r="DC2246" s="122" t="s">
        <v>3500</v>
      </c>
      <c r="DD2246" s="127">
        <v>3</v>
      </c>
      <c r="DE2246" s="127">
        <v>3</v>
      </c>
      <c r="DG2246" s="405" t="s">
        <v>336</v>
      </c>
      <c r="DH2246" s="406" t="s">
        <v>3500</v>
      </c>
      <c r="DI2246" s="406" t="str">
        <f t="shared" si="67"/>
        <v>MS, Juti</v>
      </c>
      <c r="DJ2246" s="406">
        <v>-22.861000000000001</v>
      </c>
      <c r="DK2246" s="80">
        <v>-54.603000000000002</v>
      </c>
      <c r="DL2246" s="80">
        <v>373</v>
      </c>
      <c r="DM2246" s="64">
        <v>3</v>
      </c>
      <c r="DN2246" s="406" t="s">
        <v>7266</v>
      </c>
      <c r="DO2246" s="406">
        <v>-22.86</v>
      </c>
      <c r="DP2246" s="80">
        <v>379</v>
      </c>
    </row>
    <row r="2247" spans="29:120" x14ac:dyDescent="0.25">
      <c r="AC2247" s="122" t="s">
        <v>247</v>
      </c>
      <c r="AD2247" s="122" t="s">
        <v>2606</v>
      </c>
      <c r="AE2247" s="127">
        <v>8</v>
      </c>
      <c r="DA2247" s="122" t="s">
        <v>336</v>
      </c>
      <c r="DB2247" s="122" t="s">
        <v>2531</v>
      </c>
      <c r="DC2247" s="122" t="s">
        <v>2531</v>
      </c>
      <c r="DD2247" s="127">
        <v>8</v>
      </c>
      <c r="DE2247" s="127">
        <v>8</v>
      </c>
      <c r="DG2247" s="405" t="s">
        <v>336</v>
      </c>
      <c r="DH2247" s="406" t="s">
        <v>2531</v>
      </c>
      <c r="DI2247" s="406" t="str">
        <f t="shared" si="67"/>
        <v>MS, Ladário</v>
      </c>
      <c r="DJ2247" s="406">
        <v>-19.004999999999999</v>
      </c>
      <c r="DK2247" s="80">
        <v>-57.601999999999997</v>
      </c>
      <c r="DL2247" s="80">
        <v>114</v>
      </c>
      <c r="DM2247" s="64">
        <v>8</v>
      </c>
      <c r="DN2247" s="406" t="s">
        <v>7273</v>
      </c>
      <c r="DO2247" s="406">
        <v>-18.3</v>
      </c>
      <c r="DP2247" s="80">
        <v>252</v>
      </c>
    </row>
    <row r="2248" spans="29:120" x14ac:dyDescent="0.25">
      <c r="AC2248" s="122" t="s">
        <v>289</v>
      </c>
      <c r="AD2248" s="122" t="s">
        <v>2607</v>
      </c>
      <c r="AE2248" s="127">
        <v>6</v>
      </c>
      <c r="DA2248" s="122" t="s">
        <v>336</v>
      </c>
      <c r="DB2248" s="122" t="s">
        <v>7282</v>
      </c>
      <c r="DC2248" s="122" t="s">
        <v>3447</v>
      </c>
      <c r="DD2248" s="127">
        <v>3</v>
      </c>
      <c r="DE2248" s="127">
        <v>3</v>
      </c>
      <c r="DG2248" s="405" t="s">
        <v>336</v>
      </c>
      <c r="DH2248" s="406" t="s">
        <v>3447</v>
      </c>
      <c r="DI2248" s="406" t="str">
        <f t="shared" si="67"/>
        <v>MS, Laguna Carapã</v>
      </c>
      <c r="DJ2248" s="406">
        <v>-22.545999999999999</v>
      </c>
      <c r="DK2248" s="80">
        <v>-55.15</v>
      </c>
      <c r="DL2248" s="80">
        <v>509</v>
      </c>
      <c r="DM2248" s="64">
        <v>3</v>
      </c>
      <c r="DN2248" s="406" t="s">
        <v>7276</v>
      </c>
      <c r="DO2248" s="406">
        <v>-22.22</v>
      </c>
      <c r="DP2248" s="80">
        <v>469</v>
      </c>
    </row>
    <row r="2249" spans="29:120" x14ac:dyDescent="0.25">
      <c r="AC2249" s="122" t="s">
        <v>289</v>
      </c>
      <c r="AD2249" s="122" t="s">
        <v>2608</v>
      </c>
      <c r="AE2249" s="127">
        <v>8</v>
      </c>
      <c r="DA2249" s="122" t="s">
        <v>336</v>
      </c>
      <c r="DB2249" s="122" t="s">
        <v>3412</v>
      </c>
      <c r="DC2249" s="122" t="s">
        <v>3412</v>
      </c>
      <c r="DD2249" s="127">
        <v>3</v>
      </c>
      <c r="DE2249" s="127">
        <v>3</v>
      </c>
      <c r="DG2249" s="405" t="s">
        <v>336</v>
      </c>
      <c r="DH2249" s="406" t="s">
        <v>3412</v>
      </c>
      <c r="DI2249" s="406" t="str">
        <f t="shared" si="67"/>
        <v>MS, Maracaju</v>
      </c>
      <c r="DJ2249" s="406">
        <v>-21.614000000000001</v>
      </c>
      <c r="DK2249" s="80">
        <v>-55.167999999999999</v>
      </c>
      <c r="DL2249" s="80">
        <v>384</v>
      </c>
      <c r="DM2249" s="64">
        <v>3</v>
      </c>
      <c r="DN2249" s="406" t="s">
        <v>7283</v>
      </c>
      <c r="DO2249" s="406">
        <v>-21.78</v>
      </c>
      <c r="DP2249" s="80">
        <v>329</v>
      </c>
    </row>
    <row r="2250" spans="29:120" x14ac:dyDescent="0.25">
      <c r="AC2250" s="122" t="s">
        <v>333</v>
      </c>
      <c r="AD2250" s="122" t="s">
        <v>2609</v>
      </c>
      <c r="AE2250" s="127">
        <v>4</v>
      </c>
      <c r="DA2250" s="122" t="s">
        <v>336</v>
      </c>
      <c r="DB2250" s="122" t="s">
        <v>5667</v>
      </c>
      <c r="DC2250" s="122" t="s">
        <v>5667</v>
      </c>
      <c r="DD2250" s="127">
        <v>5</v>
      </c>
      <c r="DE2250" s="127">
        <v>5</v>
      </c>
      <c r="DG2250" s="405" t="s">
        <v>336</v>
      </c>
      <c r="DH2250" s="406" t="s">
        <v>5667</v>
      </c>
      <c r="DI2250" s="406" t="str">
        <f t="shared" si="67"/>
        <v>MS, Miranda</v>
      </c>
      <c r="DJ2250" s="406">
        <v>-20.241</v>
      </c>
      <c r="DK2250" s="80">
        <v>-56.378</v>
      </c>
      <c r="DL2250" s="80">
        <v>125</v>
      </c>
      <c r="DM2250" s="64">
        <v>5</v>
      </c>
      <c r="DN2250" s="406" t="s">
        <v>7256</v>
      </c>
      <c r="DO2250" s="406">
        <v>-20.239999999999998</v>
      </c>
      <c r="DP2250" s="80">
        <v>140</v>
      </c>
    </row>
    <row r="2251" spans="29:120" x14ac:dyDescent="0.25">
      <c r="AC2251" s="122" t="s">
        <v>333</v>
      </c>
      <c r="AD2251" s="122" t="s">
        <v>2610</v>
      </c>
      <c r="AE2251" s="127">
        <v>3</v>
      </c>
      <c r="DA2251" s="122" t="s">
        <v>336</v>
      </c>
      <c r="DB2251" s="122" t="s">
        <v>6313</v>
      </c>
      <c r="DC2251" s="122" t="s">
        <v>2183</v>
      </c>
      <c r="DD2251" s="127">
        <v>3</v>
      </c>
      <c r="DE2251" s="127">
        <v>3</v>
      </c>
      <c r="DG2251" s="405" t="s">
        <v>336</v>
      </c>
      <c r="DH2251" s="406" t="s">
        <v>2183</v>
      </c>
      <c r="DI2251" s="406" t="str">
        <f t="shared" si="67"/>
        <v>MS, Mundo Novo</v>
      </c>
      <c r="DJ2251" s="406">
        <v>-23.937999999999999</v>
      </c>
      <c r="DK2251" s="80">
        <v>-54.271000000000001</v>
      </c>
      <c r="DL2251" s="80">
        <v>324</v>
      </c>
      <c r="DM2251" s="64">
        <v>3</v>
      </c>
      <c r="DN2251" s="406" t="s">
        <v>7284</v>
      </c>
      <c r="DO2251" s="406">
        <v>-24.56</v>
      </c>
      <c r="DP2251" s="80">
        <v>392</v>
      </c>
    </row>
    <row r="2252" spans="29:120" x14ac:dyDescent="0.25">
      <c r="AC2252" s="122" t="s">
        <v>247</v>
      </c>
      <c r="AD2252" s="122" t="s">
        <v>2611</v>
      </c>
      <c r="AE2252" s="127">
        <v>8</v>
      </c>
      <c r="DA2252" s="122" t="s">
        <v>336</v>
      </c>
      <c r="DB2252" s="122" t="s">
        <v>3123</v>
      </c>
      <c r="DC2252" s="122" t="s">
        <v>3123</v>
      </c>
      <c r="DD2252" s="127">
        <v>3</v>
      </c>
      <c r="DE2252" s="127">
        <v>3</v>
      </c>
      <c r="DG2252" s="405" t="s">
        <v>336</v>
      </c>
      <c r="DH2252" s="406" t="s">
        <v>3123</v>
      </c>
      <c r="DI2252" s="406" t="str">
        <f t="shared" si="67"/>
        <v>MS, Naviraí</v>
      </c>
      <c r="DJ2252" s="406">
        <v>-23.065000000000001</v>
      </c>
      <c r="DK2252" s="80">
        <v>-54.191000000000003</v>
      </c>
      <c r="DL2252" s="80">
        <v>362</v>
      </c>
      <c r="DM2252" s="64">
        <v>3</v>
      </c>
      <c r="DN2252" s="406" t="s">
        <v>7266</v>
      </c>
      <c r="DO2252" s="406">
        <v>-22.86</v>
      </c>
      <c r="DP2252" s="80">
        <v>379</v>
      </c>
    </row>
    <row r="2253" spans="29:120" x14ac:dyDescent="0.25">
      <c r="AC2253" s="122" t="s">
        <v>333</v>
      </c>
      <c r="AD2253" s="122" t="s">
        <v>2612</v>
      </c>
      <c r="AE2253" s="127">
        <v>3</v>
      </c>
      <c r="DA2253" s="122" t="s">
        <v>336</v>
      </c>
      <c r="DB2253" s="122" t="s">
        <v>3491</v>
      </c>
      <c r="DC2253" s="122" t="s">
        <v>3491</v>
      </c>
      <c r="DD2253" s="127">
        <v>3</v>
      </c>
      <c r="DE2253" s="127">
        <v>3</v>
      </c>
      <c r="DG2253" s="405" t="s">
        <v>336</v>
      </c>
      <c r="DH2253" s="406" t="s">
        <v>3491</v>
      </c>
      <c r="DI2253" s="406" t="str">
        <f t="shared" si="67"/>
        <v>MS, Nioaque</v>
      </c>
      <c r="DJ2253" s="406">
        <v>-21.135000000000002</v>
      </c>
      <c r="DK2253" s="80">
        <v>-55.83</v>
      </c>
      <c r="DL2253" s="80">
        <v>200</v>
      </c>
      <c r="DM2253" s="64">
        <v>3</v>
      </c>
      <c r="DN2253" s="406" t="s">
        <v>7275</v>
      </c>
      <c r="DO2253" s="406">
        <v>-20.98</v>
      </c>
      <c r="DP2253" s="80">
        <v>464</v>
      </c>
    </row>
    <row r="2254" spans="29:120" x14ac:dyDescent="0.25">
      <c r="AC2254" s="122" t="s">
        <v>247</v>
      </c>
      <c r="AD2254" s="122" t="s">
        <v>2613</v>
      </c>
      <c r="AE2254" s="127">
        <v>8</v>
      </c>
      <c r="DA2254" s="122" t="s">
        <v>336</v>
      </c>
      <c r="DB2254" s="122" t="s">
        <v>7285</v>
      </c>
      <c r="DC2254" s="122" t="s">
        <v>3710</v>
      </c>
      <c r="DD2254" s="127">
        <v>5</v>
      </c>
      <c r="DE2254" s="127">
        <v>5</v>
      </c>
      <c r="DG2254" s="405" t="s">
        <v>336</v>
      </c>
      <c r="DH2254" s="406" t="s">
        <v>3710</v>
      </c>
      <c r="DI2254" s="406" t="str">
        <f t="shared" si="67"/>
        <v>MS, Nova Alvorada do Sul</v>
      </c>
      <c r="DJ2254" s="406">
        <v>-21.466000000000001</v>
      </c>
      <c r="DK2254" s="80">
        <v>-54.384</v>
      </c>
      <c r="DL2254" s="80">
        <v>407</v>
      </c>
      <c r="DM2254" s="64">
        <v>5</v>
      </c>
      <c r="DN2254" s="406" t="s">
        <v>7283</v>
      </c>
      <c r="DO2254" s="406">
        <v>-21.78</v>
      </c>
      <c r="DP2254" s="80">
        <v>329</v>
      </c>
    </row>
    <row r="2255" spans="29:120" x14ac:dyDescent="0.25">
      <c r="AC2255" s="122" t="s">
        <v>333</v>
      </c>
      <c r="AD2255" s="122" t="s">
        <v>2614</v>
      </c>
      <c r="AE2255" s="127">
        <v>3</v>
      </c>
      <c r="DA2255" s="122" t="s">
        <v>336</v>
      </c>
      <c r="DB2255" s="122" t="s">
        <v>7286</v>
      </c>
      <c r="DC2255" s="122" t="s">
        <v>3416</v>
      </c>
      <c r="DD2255" s="127">
        <v>3</v>
      </c>
      <c r="DE2255" s="127">
        <v>3</v>
      </c>
      <c r="DG2255" s="405" t="s">
        <v>336</v>
      </c>
      <c r="DH2255" s="406" t="s">
        <v>3416</v>
      </c>
      <c r="DI2255" s="406" t="str">
        <f t="shared" si="67"/>
        <v>MS, Nova Andradina</v>
      </c>
      <c r="DJ2255" s="406">
        <v>-22.233000000000001</v>
      </c>
      <c r="DK2255" s="80">
        <v>-53.343000000000004</v>
      </c>
      <c r="DL2255" s="80">
        <v>380</v>
      </c>
      <c r="DM2255" s="64">
        <v>3</v>
      </c>
      <c r="DN2255" s="406" t="s">
        <v>7258</v>
      </c>
      <c r="DO2255" s="406">
        <v>-22.31</v>
      </c>
      <c r="DP2255" s="80">
        <v>373</v>
      </c>
    </row>
    <row r="2256" spans="29:120" x14ac:dyDescent="0.25">
      <c r="AC2256" s="122" t="s">
        <v>247</v>
      </c>
      <c r="AD2256" s="122" t="s">
        <v>2615</v>
      </c>
      <c r="AE2256" s="127">
        <v>8</v>
      </c>
      <c r="DA2256" s="122" t="s">
        <v>336</v>
      </c>
      <c r="DB2256" s="122" t="s">
        <v>7287</v>
      </c>
      <c r="DC2256" s="122" t="s">
        <v>3206</v>
      </c>
      <c r="DD2256" s="127">
        <v>3</v>
      </c>
      <c r="DE2256" s="127">
        <v>3</v>
      </c>
      <c r="DG2256" s="405" t="s">
        <v>336</v>
      </c>
      <c r="DH2256" s="406" t="s">
        <v>3206</v>
      </c>
      <c r="DI2256" s="406" t="str">
        <f t="shared" si="67"/>
        <v>MS, Novo Horizonte do Sul</v>
      </c>
      <c r="DJ2256" s="406">
        <v>-22.669</v>
      </c>
      <c r="DK2256" s="80">
        <v>-53.86</v>
      </c>
      <c r="DL2256" s="80">
        <v>320</v>
      </c>
      <c r="DM2256" s="64">
        <v>3</v>
      </c>
      <c r="DN2256" s="406" t="s">
        <v>7258</v>
      </c>
      <c r="DO2256" s="406">
        <v>-22.31</v>
      </c>
      <c r="DP2256" s="80">
        <v>373</v>
      </c>
    </row>
    <row r="2257" spans="29:120" x14ac:dyDescent="0.25">
      <c r="AC2257" s="122" t="s">
        <v>333</v>
      </c>
      <c r="AD2257" s="122" t="s">
        <v>2616</v>
      </c>
      <c r="AE2257" s="127">
        <v>5</v>
      </c>
      <c r="DA2257" s="122" t="s">
        <v>336</v>
      </c>
      <c r="DB2257" s="122" t="s">
        <v>5551</v>
      </c>
      <c r="DC2257" s="122" t="s">
        <v>5551</v>
      </c>
      <c r="DD2257" s="127">
        <v>6</v>
      </c>
      <c r="DE2257" s="127">
        <v>6</v>
      </c>
      <c r="DG2257" s="405" t="s">
        <v>336</v>
      </c>
      <c r="DH2257" s="406" t="s">
        <v>5551</v>
      </c>
      <c r="DI2257" s="406" t="str">
        <f t="shared" si="67"/>
        <v>MS, Paranaíba</v>
      </c>
      <c r="DJ2257" s="406">
        <v>-19.677</v>
      </c>
      <c r="DK2257" s="80">
        <v>-51.191000000000003</v>
      </c>
      <c r="DL2257" s="80">
        <v>374</v>
      </c>
      <c r="DM2257" s="64">
        <v>6</v>
      </c>
      <c r="DN2257" s="406" t="s">
        <v>6904</v>
      </c>
      <c r="DO2257" s="406">
        <v>-20.27</v>
      </c>
      <c r="DP2257" s="80">
        <v>457</v>
      </c>
    </row>
    <row r="2258" spans="29:120" x14ac:dyDescent="0.25">
      <c r="AC2258" s="122" t="s">
        <v>333</v>
      </c>
      <c r="AD2258" s="122" t="s">
        <v>2617</v>
      </c>
      <c r="AE2258" s="127">
        <v>6</v>
      </c>
      <c r="DA2258" s="122" t="s">
        <v>336</v>
      </c>
      <c r="DB2258" s="122" t="s">
        <v>3256</v>
      </c>
      <c r="DC2258" s="122" t="s">
        <v>3256</v>
      </c>
      <c r="DD2258" s="127">
        <v>3</v>
      </c>
      <c r="DE2258" s="127">
        <v>3</v>
      </c>
      <c r="DG2258" s="405" t="s">
        <v>336</v>
      </c>
      <c r="DH2258" s="406" t="s">
        <v>3256</v>
      </c>
      <c r="DI2258" s="406" t="str">
        <f t="shared" si="67"/>
        <v>MS, Paranhos</v>
      </c>
      <c r="DJ2258" s="406">
        <v>-23.893000000000001</v>
      </c>
      <c r="DK2258" s="80">
        <v>-55.430999999999997</v>
      </c>
      <c r="DL2258" s="80">
        <v>429</v>
      </c>
      <c r="DM2258" s="64">
        <v>3</v>
      </c>
      <c r="DN2258" s="406" t="s">
        <v>7277</v>
      </c>
      <c r="DO2258" s="406">
        <v>-23.97</v>
      </c>
      <c r="DP2258" s="80">
        <v>402</v>
      </c>
    </row>
    <row r="2259" spans="29:120" x14ac:dyDescent="0.25">
      <c r="AC2259" s="122" t="s">
        <v>289</v>
      </c>
      <c r="AD2259" s="122" t="s">
        <v>1111</v>
      </c>
      <c r="AE2259" s="127">
        <v>5</v>
      </c>
      <c r="DA2259" s="122" t="s">
        <v>336</v>
      </c>
      <c r="DB2259" s="122" t="s">
        <v>7288</v>
      </c>
      <c r="DC2259" s="122" t="s">
        <v>5689</v>
      </c>
      <c r="DD2259" s="127">
        <v>6</v>
      </c>
      <c r="DE2259" s="127">
        <v>6</v>
      </c>
      <c r="DG2259" s="405" t="s">
        <v>336</v>
      </c>
      <c r="DH2259" s="406" t="s">
        <v>5689</v>
      </c>
      <c r="DI2259" s="406" t="str">
        <f t="shared" si="67"/>
        <v>MS, Pedro Gomes</v>
      </c>
      <c r="DJ2259" s="406">
        <v>-18.100999999999999</v>
      </c>
      <c r="DK2259" s="80">
        <v>-54.552</v>
      </c>
      <c r="DL2259" s="80">
        <v>282</v>
      </c>
      <c r="DM2259" s="64">
        <v>6</v>
      </c>
      <c r="DN2259" s="406" t="s">
        <v>7271</v>
      </c>
      <c r="DO2259" s="406">
        <v>-18.989999999999998</v>
      </c>
      <c r="DP2259" s="80">
        <v>104</v>
      </c>
    </row>
    <row r="2260" spans="29:120" x14ac:dyDescent="0.25">
      <c r="AC2260" s="122" t="s">
        <v>289</v>
      </c>
      <c r="AD2260" s="122" t="s">
        <v>2618</v>
      </c>
      <c r="AE2260" s="127">
        <v>6</v>
      </c>
      <c r="DA2260" s="122" t="s">
        <v>336</v>
      </c>
      <c r="DB2260" s="122" t="s">
        <v>7289</v>
      </c>
      <c r="DC2260" s="122" t="s">
        <v>3518</v>
      </c>
      <c r="DD2260" s="127">
        <v>3</v>
      </c>
      <c r="DE2260" s="127">
        <v>3</v>
      </c>
      <c r="DG2260" s="405" t="s">
        <v>336</v>
      </c>
      <c r="DH2260" s="406" t="s">
        <v>3518</v>
      </c>
      <c r="DI2260" s="406" t="str">
        <f t="shared" si="67"/>
        <v>MS, Ponta Porã</v>
      </c>
      <c r="DJ2260" s="406">
        <v>-22.536000000000001</v>
      </c>
      <c r="DK2260" s="80">
        <v>-55.725999999999999</v>
      </c>
      <c r="DL2260" s="80">
        <v>655</v>
      </c>
      <c r="DM2260" s="64">
        <v>3</v>
      </c>
      <c r="DN2260" s="406" t="s">
        <v>7260</v>
      </c>
      <c r="DO2260" s="406">
        <v>-22.54</v>
      </c>
      <c r="DP2260" s="80">
        <v>650</v>
      </c>
    </row>
    <row r="2261" spans="29:120" x14ac:dyDescent="0.25">
      <c r="AC2261" s="122" t="s">
        <v>333</v>
      </c>
      <c r="AD2261" s="122" t="s">
        <v>2619</v>
      </c>
      <c r="AE2261" s="127">
        <v>6</v>
      </c>
      <c r="DA2261" s="122" t="s">
        <v>336</v>
      </c>
      <c r="DB2261" s="122" t="s">
        <v>7290</v>
      </c>
      <c r="DC2261" s="122" t="s">
        <v>5536</v>
      </c>
      <c r="DD2261" s="127">
        <v>5</v>
      </c>
      <c r="DE2261" s="127">
        <v>5</v>
      </c>
      <c r="DG2261" s="405" t="s">
        <v>336</v>
      </c>
      <c r="DH2261" s="406" t="s">
        <v>5536</v>
      </c>
      <c r="DI2261" s="406" t="str">
        <f t="shared" si="67"/>
        <v>MS, Porto Murtinho</v>
      </c>
      <c r="DJ2261" s="406">
        <v>-21.699000000000002</v>
      </c>
      <c r="DK2261" s="80">
        <v>-57.883000000000003</v>
      </c>
      <c r="DL2261" s="80">
        <v>90</v>
      </c>
      <c r="DM2261" s="64">
        <v>5</v>
      </c>
      <c r="DN2261" s="406" t="s">
        <v>7268</v>
      </c>
      <c r="DO2261" s="406">
        <v>-21.7</v>
      </c>
      <c r="DP2261" s="80">
        <v>85</v>
      </c>
    </row>
    <row r="2262" spans="29:120" x14ac:dyDescent="0.25">
      <c r="AC2262" s="122" t="s">
        <v>333</v>
      </c>
      <c r="AD2262" s="122" t="s">
        <v>2620</v>
      </c>
      <c r="AE2262" s="127">
        <v>3</v>
      </c>
      <c r="DA2262" s="122" t="s">
        <v>336</v>
      </c>
      <c r="DB2262" s="122" t="s">
        <v>7291</v>
      </c>
      <c r="DC2262" s="122" t="s">
        <v>2153</v>
      </c>
      <c r="DD2262" s="127">
        <v>6</v>
      </c>
      <c r="DE2262" s="127">
        <v>6</v>
      </c>
      <c r="DG2262" s="405" t="s">
        <v>336</v>
      </c>
      <c r="DH2262" s="406" t="s">
        <v>2153</v>
      </c>
      <c r="DI2262" s="406" t="str">
        <f t="shared" si="67"/>
        <v>MS, Ribas do Rio Pardo</v>
      </c>
      <c r="DJ2262" s="406">
        <v>-20.443000000000001</v>
      </c>
      <c r="DK2262" s="80">
        <v>-53.759</v>
      </c>
      <c r="DL2262" s="80">
        <v>369</v>
      </c>
      <c r="DM2262" s="64">
        <v>6</v>
      </c>
      <c r="DN2262" s="406" t="s">
        <v>7263</v>
      </c>
      <c r="DO2262" s="406">
        <v>-20.440000000000001</v>
      </c>
      <c r="DP2262" s="80">
        <v>530</v>
      </c>
    </row>
    <row r="2263" spans="29:120" x14ac:dyDescent="0.25">
      <c r="AC2263" s="122" t="s">
        <v>289</v>
      </c>
      <c r="AD2263" s="122" t="s">
        <v>2621</v>
      </c>
      <c r="AE2263" s="127">
        <v>8</v>
      </c>
      <c r="DA2263" s="122" t="s">
        <v>336</v>
      </c>
      <c r="DB2263" s="122" t="s">
        <v>7292</v>
      </c>
      <c r="DC2263" s="122" t="s">
        <v>3854</v>
      </c>
      <c r="DD2263" s="127">
        <v>3</v>
      </c>
      <c r="DE2263" s="127">
        <v>3</v>
      </c>
      <c r="DG2263" s="405" t="s">
        <v>336</v>
      </c>
      <c r="DH2263" s="406" t="s">
        <v>3854</v>
      </c>
      <c r="DI2263" s="406" t="str">
        <f t="shared" si="67"/>
        <v>MS, Rio Brilhante</v>
      </c>
      <c r="DJ2263" s="406">
        <v>-21.802</v>
      </c>
      <c r="DK2263" s="80">
        <v>-54.545999999999999</v>
      </c>
      <c r="DL2263" s="80">
        <v>312</v>
      </c>
      <c r="DM2263" s="64">
        <v>3</v>
      </c>
      <c r="DN2263" s="406" t="s">
        <v>7283</v>
      </c>
      <c r="DO2263" s="406">
        <v>-21.78</v>
      </c>
      <c r="DP2263" s="80">
        <v>329</v>
      </c>
    </row>
    <row r="2264" spans="29:120" x14ac:dyDescent="0.25">
      <c r="AC2264" s="122" t="s">
        <v>289</v>
      </c>
      <c r="AD2264" s="122" t="s">
        <v>2622</v>
      </c>
      <c r="AE2264" s="127">
        <v>6</v>
      </c>
      <c r="DA2264" s="122" t="s">
        <v>336</v>
      </c>
      <c r="DB2264" s="122" t="s">
        <v>7293</v>
      </c>
      <c r="DC2264" s="122" t="s">
        <v>1659</v>
      </c>
      <c r="DD2264" s="127">
        <v>6</v>
      </c>
      <c r="DE2264" s="127">
        <v>6</v>
      </c>
      <c r="DG2264" s="405" t="s">
        <v>336</v>
      </c>
      <c r="DH2264" s="406" t="s">
        <v>1659</v>
      </c>
      <c r="DI2264" s="406" t="str">
        <f t="shared" si="67"/>
        <v>MS, Rio Negro</v>
      </c>
      <c r="DJ2264" s="406">
        <v>-19.449000000000002</v>
      </c>
      <c r="DK2264" s="80">
        <v>-54.987000000000002</v>
      </c>
      <c r="DL2264" s="80">
        <v>279</v>
      </c>
      <c r="DM2264" s="64">
        <v>6</v>
      </c>
      <c r="DN2264" s="406" t="s">
        <v>7267</v>
      </c>
      <c r="DO2264" s="406">
        <v>-19.010000000000002</v>
      </c>
      <c r="DP2264" s="80">
        <v>126</v>
      </c>
    </row>
    <row r="2265" spans="29:120" x14ac:dyDescent="0.25">
      <c r="AC2265" s="122" t="s">
        <v>322</v>
      </c>
      <c r="AD2265" s="122" t="s">
        <v>2623</v>
      </c>
      <c r="AE2265" s="127">
        <v>6</v>
      </c>
      <c r="DA2265" s="122" t="s">
        <v>336</v>
      </c>
      <c r="DB2265" s="122" t="s">
        <v>7294</v>
      </c>
      <c r="DC2265" s="122" t="s">
        <v>3026</v>
      </c>
      <c r="DD2265" s="127">
        <v>6</v>
      </c>
      <c r="DE2265" s="127">
        <v>6</v>
      </c>
      <c r="DG2265" s="405" t="s">
        <v>336</v>
      </c>
      <c r="DH2265" s="406" t="s">
        <v>3026</v>
      </c>
      <c r="DI2265" s="406" t="str">
        <f t="shared" si="67"/>
        <v>MS, Rio Verde de Mato Grosso</v>
      </c>
      <c r="DJ2265" s="406">
        <v>-18.917999999999999</v>
      </c>
      <c r="DK2265" s="80">
        <v>-54.844000000000001</v>
      </c>
      <c r="DL2265" s="80">
        <v>330</v>
      </c>
      <c r="DM2265" s="64">
        <v>6</v>
      </c>
      <c r="DN2265" s="406" t="s">
        <v>7271</v>
      </c>
      <c r="DO2265" s="406">
        <v>-18.989999999999998</v>
      </c>
      <c r="DP2265" s="80">
        <v>104</v>
      </c>
    </row>
    <row r="2266" spans="29:120" x14ac:dyDescent="0.25">
      <c r="AC2266" s="122" t="s">
        <v>247</v>
      </c>
      <c r="AD2266" s="122" t="s">
        <v>2624</v>
      </c>
      <c r="AE2266" s="127">
        <v>8</v>
      </c>
      <c r="DA2266" s="122" t="s">
        <v>336</v>
      </c>
      <c r="DB2266" s="122" t="s">
        <v>2898</v>
      </c>
      <c r="DC2266" s="122" t="s">
        <v>2898</v>
      </c>
      <c r="DD2266" s="127">
        <v>6</v>
      </c>
      <c r="DE2266" s="127">
        <v>6</v>
      </c>
      <c r="DG2266" s="405" t="s">
        <v>336</v>
      </c>
      <c r="DH2266" s="406" t="s">
        <v>2898</v>
      </c>
      <c r="DI2266" s="406" t="str">
        <f t="shared" si="67"/>
        <v>MS, Rochedo</v>
      </c>
      <c r="DJ2266" s="406">
        <v>-19.952999999999999</v>
      </c>
      <c r="DK2266" s="80">
        <v>-54.893000000000001</v>
      </c>
      <c r="DL2266" s="80">
        <v>260</v>
      </c>
      <c r="DM2266" s="64">
        <v>6</v>
      </c>
      <c r="DN2266" s="406" t="s">
        <v>7263</v>
      </c>
      <c r="DO2266" s="406">
        <v>-20.440000000000001</v>
      </c>
      <c r="DP2266" s="80">
        <v>530</v>
      </c>
    </row>
    <row r="2267" spans="29:120" x14ac:dyDescent="0.25">
      <c r="AC2267" s="122" t="s">
        <v>247</v>
      </c>
      <c r="AD2267" s="122" t="s">
        <v>2625</v>
      </c>
      <c r="AE2267" s="127">
        <v>5</v>
      </c>
      <c r="DA2267" s="122" t="s">
        <v>336</v>
      </c>
      <c r="DB2267" s="122" t="s">
        <v>7295</v>
      </c>
      <c r="DC2267" s="122" t="s">
        <v>3524</v>
      </c>
      <c r="DD2267" s="127">
        <v>5</v>
      </c>
      <c r="DE2267" s="127">
        <v>5</v>
      </c>
      <c r="DG2267" s="405" t="s">
        <v>336</v>
      </c>
      <c r="DH2267" s="406" t="s">
        <v>3524</v>
      </c>
      <c r="DI2267" s="406" t="str">
        <f t="shared" si="67"/>
        <v>MS, Santa Rita do Pardo</v>
      </c>
      <c r="DJ2267" s="406">
        <v>-21.303000000000001</v>
      </c>
      <c r="DK2267" s="80">
        <v>-52.831000000000003</v>
      </c>
      <c r="DL2267" s="80">
        <v>360</v>
      </c>
      <c r="DM2267" s="64">
        <v>5</v>
      </c>
      <c r="DN2267" s="406" t="s">
        <v>7254</v>
      </c>
      <c r="DO2267" s="406">
        <v>-20.75</v>
      </c>
      <c r="DP2267" s="80">
        <v>313</v>
      </c>
    </row>
    <row r="2268" spans="29:120" x14ac:dyDescent="0.25">
      <c r="AC2268" s="122" t="s">
        <v>322</v>
      </c>
      <c r="AD2268" s="122" t="s">
        <v>2626</v>
      </c>
      <c r="AE2268" s="127">
        <v>4</v>
      </c>
      <c r="DA2268" s="122" t="s">
        <v>336</v>
      </c>
      <c r="DB2268" s="122" t="s">
        <v>7296</v>
      </c>
      <c r="DC2268" s="122" t="s">
        <v>2953</v>
      </c>
      <c r="DD2268" s="127">
        <v>6</v>
      </c>
      <c r="DE2268" s="127">
        <v>6</v>
      </c>
      <c r="DG2268" s="405" t="s">
        <v>336</v>
      </c>
      <c r="DH2268" s="406" t="s">
        <v>2953</v>
      </c>
      <c r="DI2268" s="406" t="str">
        <f t="shared" si="67"/>
        <v>MS, São Gabriel do Oeste</v>
      </c>
      <c r="DJ2268" s="406">
        <v>-19.395</v>
      </c>
      <c r="DK2268" s="80">
        <v>-54.566000000000003</v>
      </c>
      <c r="DL2268" s="80">
        <v>658</v>
      </c>
      <c r="DM2268" s="64">
        <v>6</v>
      </c>
      <c r="DN2268" s="406" t="s">
        <v>7267</v>
      </c>
      <c r="DO2268" s="406">
        <v>-19.010000000000002</v>
      </c>
      <c r="DP2268" s="80">
        <v>126</v>
      </c>
    </row>
    <row r="2269" spans="29:120" x14ac:dyDescent="0.25">
      <c r="AC2269" s="122" t="s">
        <v>289</v>
      </c>
      <c r="AD2269" s="122" t="s">
        <v>2627</v>
      </c>
      <c r="AE2269" s="127">
        <v>5</v>
      </c>
      <c r="DA2269" s="122" t="s">
        <v>336</v>
      </c>
      <c r="DB2269" s="122" t="s">
        <v>3771</v>
      </c>
      <c r="DC2269" s="122" t="s">
        <v>3771</v>
      </c>
      <c r="DD2269" s="127">
        <v>6</v>
      </c>
      <c r="DE2269" s="127">
        <v>6</v>
      </c>
      <c r="DG2269" s="405" t="s">
        <v>336</v>
      </c>
      <c r="DH2269" s="406" t="s">
        <v>3771</v>
      </c>
      <c r="DI2269" s="406" t="str">
        <f t="shared" si="67"/>
        <v>MS, Selvíria</v>
      </c>
      <c r="DJ2269" s="406">
        <v>-20.367000000000001</v>
      </c>
      <c r="DK2269" s="80">
        <v>-51.418999999999997</v>
      </c>
      <c r="DL2269" s="80">
        <v>357</v>
      </c>
      <c r="DM2269" s="64">
        <v>6</v>
      </c>
      <c r="DN2269" s="406" t="s">
        <v>7254</v>
      </c>
      <c r="DO2269" s="406">
        <v>-20.75</v>
      </c>
      <c r="DP2269" s="80">
        <v>313</v>
      </c>
    </row>
    <row r="2270" spans="29:120" x14ac:dyDescent="0.25">
      <c r="AC2270" s="122" t="s">
        <v>289</v>
      </c>
      <c r="AD2270" s="122" t="s">
        <v>2628</v>
      </c>
      <c r="AE2270" s="127">
        <v>6</v>
      </c>
      <c r="DA2270" s="122" t="s">
        <v>336</v>
      </c>
      <c r="DB2270" s="122" t="s">
        <v>7297</v>
      </c>
      <c r="DC2270" s="122" t="s">
        <v>3315</v>
      </c>
      <c r="DD2270" s="127">
        <v>3</v>
      </c>
      <c r="DE2270" s="127">
        <v>3</v>
      </c>
      <c r="DG2270" s="405" t="s">
        <v>336</v>
      </c>
      <c r="DH2270" s="406" t="s">
        <v>3315</v>
      </c>
      <c r="DI2270" s="406" t="str">
        <f t="shared" si="67"/>
        <v>MS, Sete Quedas</v>
      </c>
      <c r="DJ2270" s="406">
        <v>-23.97</v>
      </c>
      <c r="DK2270" s="80">
        <v>-55.036000000000001</v>
      </c>
      <c r="DL2270" s="80">
        <v>407</v>
      </c>
      <c r="DM2270" s="64">
        <v>3</v>
      </c>
      <c r="DN2270" s="406" t="s">
        <v>7277</v>
      </c>
      <c r="DO2270" s="406">
        <v>-23.97</v>
      </c>
      <c r="DP2270" s="80">
        <v>402</v>
      </c>
    </row>
    <row r="2271" spans="29:120" x14ac:dyDescent="0.25">
      <c r="AC2271" s="122" t="s">
        <v>333</v>
      </c>
      <c r="AD2271" s="122" t="s">
        <v>2629</v>
      </c>
      <c r="AE2271" s="127">
        <v>5</v>
      </c>
      <c r="DA2271" s="122" t="s">
        <v>336</v>
      </c>
      <c r="DB2271" s="122" t="s">
        <v>3395</v>
      </c>
      <c r="DC2271" s="122" t="s">
        <v>3395</v>
      </c>
      <c r="DD2271" s="127">
        <v>5</v>
      </c>
      <c r="DE2271" s="127">
        <v>5</v>
      </c>
      <c r="DG2271" s="405" t="s">
        <v>336</v>
      </c>
      <c r="DH2271" s="406" t="s">
        <v>3395</v>
      </c>
      <c r="DI2271" s="406" t="str">
        <f t="shared" si="67"/>
        <v>MS, Sidrolândia</v>
      </c>
      <c r="DJ2271" s="406">
        <v>-20.931999999999999</v>
      </c>
      <c r="DK2271" s="80">
        <v>-54.960999999999999</v>
      </c>
      <c r="DL2271" s="80">
        <v>484</v>
      </c>
      <c r="DM2271" s="64">
        <v>5</v>
      </c>
      <c r="DN2271" s="406" t="s">
        <v>7275</v>
      </c>
      <c r="DO2271" s="406">
        <v>-20.98</v>
      </c>
      <c r="DP2271" s="80">
        <v>464</v>
      </c>
    </row>
    <row r="2272" spans="29:120" x14ac:dyDescent="0.25">
      <c r="AC2272" s="122" t="s">
        <v>323</v>
      </c>
      <c r="AD2272" s="122" t="s">
        <v>2630</v>
      </c>
      <c r="AE2272" s="127">
        <v>7</v>
      </c>
      <c r="DA2272" s="122" t="s">
        <v>336</v>
      </c>
      <c r="DB2272" s="122" t="s">
        <v>2397</v>
      </c>
      <c r="DC2272" s="122" t="s">
        <v>2397</v>
      </c>
      <c r="DD2272" s="127">
        <v>6</v>
      </c>
      <c r="DE2272" s="127">
        <v>6</v>
      </c>
      <c r="DG2272" s="405" t="s">
        <v>336</v>
      </c>
      <c r="DH2272" s="406" t="s">
        <v>2397</v>
      </c>
      <c r="DI2272" s="406" t="str">
        <f t="shared" si="67"/>
        <v>MS, Sonora</v>
      </c>
      <c r="DJ2272" s="406">
        <v>-17.577000000000002</v>
      </c>
      <c r="DK2272" s="80">
        <v>-54.758000000000003</v>
      </c>
      <c r="DL2272" s="80">
        <v>442</v>
      </c>
      <c r="DM2272" s="64">
        <v>6</v>
      </c>
      <c r="DN2272" s="406" t="s">
        <v>7298</v>
      </c>
      <c r="DO2272" s="406">
        <v>-17.18</v>
      </c>
      <c r="DP2272" s="80">
        <v>585</v>
      </c>
    </row>
    <row r="2273" spans="29:120" x14ac:dyDescent="0.25">
      <c r="AC2273" s="122" t="s">
        <v>322</v>
      </c>
      <c r="AD2273" s="122" t="s">
        <v>2631</v>
      </c>
      <c r="AE2273" s="127">
        <v>6</v>
      </c>
      <c r="DA2273" s="122" t="s">
        <v>336</v>
      </c>
      <c r="DB2273" s="122" t="s">
        <v>3311</v>
      </c>
      <c r="DC2273" s="122" t="s">
        <v>3311</v>
      </c>
      <c r="DD2273" s="127">
        <v>3</v>
      </c>
      <c r="DE2273" s="127">
        <v>3</v>
      </c>
      <c r="DG2273" s="405" t="s">
        <v>336</v>
      </c>
      <c r="DH2273" s="406" t="s">
        <v>3311</v>
      </c>
      <c r="DI2273" s="406" t="str">
        <f t="shared" si="67"/>
        <v>MS, Tacuru</v>
      </c>
      <c r="DJ2273" s="406">
        <v>-23.632999999999999</v>
      </c>
      <c r="DK2273" s="80">
        <v>-55.015999999999998</v>
      </c>
      <c r="DL2273" s="80">
        <v>372</v>
      </c>
      <c r="DM2273" s="64">
        <v>3</v>
      </c>
      <c r="DN2273" s="406" t="s">
        <v>7277</v>
      </c>
      <c r="DO2273" s="406">
        <v>-23.97</v>
      </c>
      <c r="DP2273" s="80">
        <v>402</v>
      </c>
    </row>
    <row r="2274" spans="29:120" x14ac:dyDescent="0.25">
      <c r="AC2274" s="122" t="s">
        <v>333</v>
      </c>
      <c r="AD2274" s="122" t="s">
        <v>2632</v>
      </c>
      <c r="AE2274" s="127">
        <v>3</v>
      </c>
      <c r="DA2274" s="122" t="s">
        <v>336</v>
      </c>
      <c r="DB2274" s="122" t="s">
        <v>3326</v>
      </c>
      <c r="DC2274" s="122" t="s">
        <v>3326</v>
      </c>
      <c r="DD2274" s="127">
        <v>3</v>
      </c>
      <c r="DE2274" s="127">
        <v>3</v>
      </c>
      <c r="DG2274" s="405" t="s">
        <v>336</v>
      </c>
      <c r="DH2274" s="406" t="s">
        <v>3326</v>
      </c>
      <c r="DI2274" s="406" t="str">
        <f t="shared" si="67"/>
        <v>MS, Taquarussu</v>
      </c>
      <c r="DJ2274" s="406">
        <v>-22.488</v>
      </c>
      <c r="DK2274" s="80">
        <v>-53.350999999999999</v>
      </c>
      <c r="DL2274" s="80">
        <v>276</v>
      </c>
      <c r="DM2274" s="64">
        <v>3</v>
      </c>
      <c r="DN2274" s="406" t="s">
        <v>7258</v>
      </c>
      <c r="DO2274" s="406">
        <v>-22.31</v>
      </c>
      <c r="DP2274" s="80">
        <v>373</v>
      </c>
    </row>
    <row r="2275" spans="29:120" x14ac:dyDescent="0.25">
      <c r="AC2275" s="122" t="s">
        <v>348</v>
      </c>
      <c r="AD2275" s="122" t="s">
        <v>2633</v>
      </c>
      <c r="AE2275" s="127">
        <v>6</v>
      </c>
      <c r="DA2275" s="122" t="s">
        <v>336</v>
      </c>
      <c r="DB2275" s="122" t="s">
        <v>2336</v>
      </c>
      <c r="DC2275" s="122" t="s">
        <v>2336</v>
      </c>
      <c r="DD2275" s="127">
        <v>6</v>
      </c>
      <c r="DE2275" s="127">
        <v>6</v>
      </c>
      <c r="DG2275" s="405" t="s">
        <v>336</v>
      </c>
      <c r="DH2275" s="406" t="s">
        <v>2336</v>
      </c>
      <c r="DI2275" s="406" t="str">
        <f t="shared" si="67"/>
        <v>MS, Terenos</v>
      </c>
      <c r="DJ2275" s="406">
        <v>-20.442</v>
      </c>
      <c r="DK2275" s="80">
        <v>-54.86</v>
      </c>
      <c r="DL2275" s="80">
        <v>437</v>
      </c>
      <c r="DM2275" s="64">
        <v>6</v>
      </c>
      <c r="DN2275" s="406" t="s">
        <v>7263</v>
      </c>
      <c r="DO2275" s="406">
        <v>-20.440000000000001</v>
      </c>
      <c r="DP2275" s="80">
        <v>530</v>
      </c>
    </row>
    <row r="2276" spans="29:120" x14ac:dyDescent="0.25">
      <c r="AC2276" s="122" t="s">
        <v>333</v>
      </c>
      <c r="AD2276" s="122" t="s">
        <v>2634</v>
      </c>
      <c r="AE2276" s="127">
        <v>6</v>
      </c>
      <c r="DA2276" s="122" t="s">
        <v>336</v>
      </c>
      <c r="DB2276" s="122" t="s">
        <v>7299</v>
      </c>
      <c r="DC2276" s="122" t="s">
        <v>3551</v>
      </c>
      <c r="DD2276" s="127">
        <v>6</v>
      </c>
      <c r="DE2276" s="127">
        <v>6</v>
      </c>
      <c r="DG2276" s="405" t="s">
        <v>336</v>
      </c>
      <c r="DH2276" s="406" t="s">
        <v>3551</v>
      </c>
      <c r="DI2276" s="406" t="str">
        <f t="shared" si="67"/>
        <v>MS, Três Lagoas</v>
      </c>
      <c r="DJ2276" s="406">
        <v>-20.751000000000001</v>
      </c>
      <c r="DK2276" s="80">
        <v>-51.677999999999997</v>
      </c>
      <c r="DL2276" s="80">
        <v>319</v>
      </c>
      <c r="DM2276" s="64">
        <v>6</v>
      </c>
      <c r="DN2276" s="406" t="s">
        <v>7254</v>
      </c>
      <c r="DO2276" s="406">
        <v>-20.75</v>
      </c>
      <c r="DP2276" s="80">
        <v>313</v>
      </c>
    </row>
    <row r="2277" spans="29:120" x14ac:dyDescent="0.25">
      <c r="AC2277" s="122" t="s">
        <v>333</v>
      </c>
      <c r="AD2277" s="122" t="s">
        <v>2635</v>
      </c>
      <c r="AE2277" s="127">
        <v>4</v>
      </c>
      <c r="DA2277" s="122" t="s">
        <v>336</v>
      </c>
      <c r="DB2277" s="122" t="s">
        <v>3336</v>
      </c>
      <c r="DC2277" s="122" t="s">
        <v>3336</v>
      </c>
      <c r="DD2277" s="127">
        <v>5</v>
      </c>
      <c r="DE2277" s="127">
        <v>5</v>
      </c>
      <c r="DG2277" s="405" t="s">
        <v>336</v>
      </c>
      <c r="DH2277" s="406" t="s">
        <v>3336</v>
      </c>
      <c r="DI2277" s="406" t="str">
        <f t="shared" si="67"/>
        <v>MS, Vicentina</v>
      </c>
      <c r="DJ2277" s="406">
        <v>-22.408999999999999</v>
      </c>
      <c r="DK2277" s="80">
        <v>-54.436</v>
      </c>
      <c r="DL2277" s="80">
        <v>368</v>
      </c>
      <c r="DM2277" s="64">
        <v>5</v>
      </c>
      <c r="DN2277" s="406" t="s">
        <v>7276</v>
      </c>
      <c r="DO2277" s="406">
        <v>-22.22</v>
      </c>
      <c r="DP2277" s="80">
        <v>469</v>
      </c>
    </row>
    <row r="2278" spans="29:120" x14ac:dyDescent="0.25">
      <c r="AC2278" s="122" t="s">
        <v>289</v>
      </c>
      <c r="AD2278" s="122" t="s">
        <v>2636</v>
      </c>
      <c r="AE2278" s="127">
        <v>8</v>
      </c>
      <c r="DA2278" s="122" t="s">
        <v>340</v>
      </c>
      <c r="DB2278" s="122" t="s">
        <v>5630</v>
      </c>
      <c r="DC2278" s="122" t="s">
        <v>5630</v>
      </c>
      <c r="DD2278" s="127">
        <v>7</v>
      </c>
      <c r="DE2278" s="127">
        <v>7</v>
      </c>
      <c r="DG2278" s="405" t="s">
        <v>340</v>
      </c>
      <c r="DH2278" s="406" t="s">
        <v>5630</v>
      </c>
      <c r="DI2278" s="406" t="str">
        <f t="shared" si="67"/>
        <v>MT, Acorizal</v>
      </c>
      <c r="DJ2278" s="406">
        <v>-15.205</v>
      </c>
      <c r="DK2278" s="80">
        <v>-56.366</v>
      </c>
      <c r="DL2278" s="80">
        <v>164</v>
      </c>
      <c r="DM2278" s="64">
        <v>7</v>
      </c>
      <c r="DN2278" s="406" t="s">
        <v>7300</v>
      </c>
      <c r="DO2278" s="406">
        <v>-15.62</v>
      </c>
      <c r="DP2278" s="80">
        <v>151</v>
      </c>
    </row>
    <row r="2279" spans="29:120" x14ac:dyDescent="0.25">
      <c r="AC2279" s="122" t="s">
        <v>322</v>
      </c>
      <c r="AD2279" s="122" t="s">
        <v>2637</v>
      </c>
      <c r="AE2279" s="127">
        <v>6</v>
      </c>
      <c r="DA2279" s="122" t="s">
        <v>340</v>
      </c>
      <c r="DB2279" s="122" t="s">
        <v>6799</v>
      </c>
      <c r="DC2279" s="122" t="s">
        <v>2075</v>
      </c>
      <c r="DD2279" s="127">
        <v>6</v>
      </c>
      <c r="DE2279" s="127">
        <v>6</v>
      </c>
      <c r="DG2279" s="405" t="s">
        <v>340</v>
      </c>
      <c r="DH2279" s="406" t="s">
        <v>2075</v>
      </c>
      <c r="DI2279" s="406" t="str">
        <f t="shared" si="67"/>
        <v>MT, Água Boa</v>
      </c>
      <c r="DJ2279" s="406">
        <v>-14.05</v>
      </c>
      <c r="DK2279" s="80">
        <v>-52.158999999999999</v>
      </c>
      <c r="DL2279" s="80">
        <v>400</v>
      </c>
      <c r="DM2279" s="64">
        <v>6</v>
      </c>
      <c r="DN2279" s="406" t="s">
        <v>6530</v>
      </c>
      <c r="DO2279" s="406">
        <v>-14.05</v>
      </c>
      <c r="DP2279" s="80">
        <v>432</v>
      </c>
    </row>
    <row r="2280" spans="29:120" x14ac:dyDescent="0.25">
      <c r="AC2280" s="122" t="s">
        <v>372</v>
      </c>
      <c r="AD2280" s="122" t="s">
        <v>2638</v>
      </c>
      <c r="AE2280" s="127">
        <v>8</v>
      </c>
      <c r="DA2280" s="122" t="s">
        <v>340</v>
      </c>
      <c r="DB2280" s="122" t="s">
        <v>7301</v>
      </c>
      <c r="DC2280" s="122" t="s">
        <v>5513</v>
      </c>
      <c r="DD2280" s="127">
        <v>8</v>
      </c>
      <c r="DE2280" s="127">
        <v>8</v>
      </c>
      <c r="DG2280" s="405" t="s">
        <v>340</v>
      </c>
      <c r="DH2280" s="406" t="s">
        <v>5513</v>
      </c>
      <c r="DI2280" s="406" t="str">
        <f t="shared" si="67"/>
        <v>MT, Alta Floresta</v>
      </c>
      <c r="DJ2280" s="406">
        <v>-9.8759999999999994</v>
      </c>
      <c r="DK2280" s="80">
        <v>-56.085999999999999</v>
      </c>
      <c r="DL2280" s="80">
        <v>283</v>
      </c>
      <c r="DM2280" s="64">
        <v>8</v>
      </c>
      <c r="DN2280" s="406" t="s">
        <v>7302</v>
      </c>
      <c r="DO2280" s="406">
        <v>-9.9700000000000006</v>
      </c>
      <c r="DP2280" s="80">
        <v>300</v>
      </c>
    </row>
    <row r="2281" spans="29:120" x14ac:dyDescent="0.25">
      <c r="AC2281" s="122" t="s">
        <v>333</v>
      </c>
      <c r="AD2281" s="122" t="s">
        <v>2639</v>
      </c>
      <c r="AE2281" s="127">
        <v>3</v>
      </c>
      <c r="DA2281" s="122" t="s">
        <v>340</v>
      </c>
      <c r="DB2281" s="122" t="s">
        <v>7303</v>
      </c>
      <c r="DC2281" s="122" t="s">
        <v>2536</v>
      </c>
      <c r="DD2281" s="127">
        <v>6</v>
      </c>
      <c r="DE2281" s="127">
        <v>6</v>
      </c>
      <c r="DG2281" s="405" t="s">
        <v>340</v>
      </c>
      <c r="DH2281" s="406" t="s">
        <v>2536</v>
      </c>
      <c r="DI2281" s="406" t="str">
        <f t="shared" si="67"/>
        <v>MT, Alto Araguaia</v>
      </c>
      <c r="DJ2281" s="406">
        <v>-17.315000000000001</v>
      </c>
      <c r="DK2281" s="80">
        <v>-53.215000000000003</v>
      </c>
      <c r="DL2281" s="80">
        <v>692</v>
      </c>
      <c r="DM2281" s="64">
        <v>6</v>
      </c>
      <c r="DN2281" s="406" t="s">
        <v>6606</v>
      </c>
      <c r="DO2281" s="406">
        <v>-17.82</v>
      </c>
      <c r="DP2281" s="80">
        <v>875</v>
      </c>
    </row>
    <row r="2282" spans="29:120" x14ac:dyDescent="0.25">
      <c r="AC2282" s="122" t="s">
        <v>333</v>
      </c>
      <c r="AD2282" s="122" t="s">
        <v>2640</v>
      </c>
      <c r="AE2282" s="127">
        <v>5</v>
      </c>
      <c r="DA2282" s="122" t="s">
        <v>340</v>
      </c>
      <c r="DB2282" s="122" t="s">
        <v>7304</v>
      </c>
      <c r="DC2282" s="122" t="s">
        <v>4881</v>
      </c>
      <c r="DD2282" s="127">
        <v>7</v>
      </c>
      <c r="DE2282" s="127">
        <v>7</v>
      </c>
      <c r="DG2282" s="405" t="s">
        <v>340</v>
      </c>
      <c r="DH2282" s="406" t="s">
        <v>4881</v>
      </c>
      <c r="DI2282" s="406" t="str">
        <f t="shared" si="67"/>
        <v>MT, Alto Boa Vista</v>
      </c>
      <c r="DJ2282" s="406">
        <v>-11.673999999999999</v>
      </c>
      <c r="DK2282" s="80">
        <v>-51.387999999999998</v>
      </c>
      <c r="DL2282" s="80">
        <v>230</v>
      </c>
      <c r="DM2282" s="64">
        <v>7</v>
      </c>
      <c r="DN2282" s="406" t="s">
        <v>7305</v>
      </c>
      <c r="DO2282" s="406">
        <v>-11.62</v>
      </c>
      <c r="DP2282" s="80">
        <v>218</v>
      </c>
    </row>
    <row r="2283" spans="29:120" x14ac:dyDescent="0.25">
      <c r="AC2283" s="122" t="s">
        <v>333</v>
      </c>
      <c r="AD2283" s="122" t="s">
        <v>2641</v>
      </c>
      <c r="AE2283" s="127">
        <v>3</v>
      </c>
      <c r="DA2283" s="122" t="s">
        <v>340</v>
      </c>
      <c r="DB2283" s="122" t="s">
        <v>7306</v>
      </c>
      <c r="DC2283" s="122" t="s">
        <v>2843</v>
      </c>
      <c r="DD2283" s="127">
        <v>6</v>
      </c>
      <c r="DE2283" s="127">
        <v>6</v>
      </c>
      <c r="DG2283" s="405" t="s">
        <v>340</v>
      </c>
      <c r="DH2283" s="406" t="s">
        <v>2843</v>
      </c>
      <c r="DI2283" s="406" t="str">
        <f t="shared" si="67"/>
        <v>MT, Alto Garças</v>
      </c>
      <c r="DJ2283" s="406">
        <v>-16.943999999999999</v>
      </c>
      <c r="DK2283" s="80">
        <v>-53.527999999999999</v>
      </c>
      <c r="DL2283" s="80">
        <v>754</v>
      </c>
      <c r="DM2283" s="64">
        <v>6</v>
      </c>
      <c r="DN2283" s="406" t="s">
        <v>7298</v>
      </c>
      <c r="DO2283" s="406">
        <v>-17.18</v>
      </c>
      <c r="DP2283" s="80">
        <v>585</v>
      </c>
    </row>
    <row r="2284" spans="29:120" x14ac:dyDescent="0.25">
      <c r="AC2284" s="122" t="s">
        <v>333</v>
      </c>
      <c r="AD2284" s="122" t="s">
        <v>2642</v>
      </c>
      <c r="AE2284" s="127">
        <v>3</v>
      </c>
      <c r="DA2284" s="122" t="s">
        <v>340</v>
      </c>
      <c r="DB2284" s="122" t="s">
        <v>7307</v>
      </c>
      <c r="DC2284" s="122" t="s">
        <v>5624</v>
      </c>
      <c r="DD2284" s="127">
        <v>7</v>
      </c>
      <c r="DE2284" s="127">
        <v>7</v>
      </c>
      <c r="DG2284" s="405" t="s">
        <v>340</v>
      </c>
      <c r="DH2284" s="406" t="s">
        <v>5624</v>
      </c>
      <c r="DI2284" s="406" t="str">
        <f t="shared" si="67"/>
        <v>MT, Alto Paraguai</v>
      </c>
      <c r="DJ2284" s="406">
        <v>-14.513999999999999</v>
      </c>
      <c r="DK2284" s="80">
        <v>-56.482999999999997</v>
      </c>
      <c r="DL2284" s="80">
        <v>238</v>
      </c>
      <c r="DM2284" s="64">
        <v>7</v>
      </c>
      <c r="DN2284" s="406" t="s">
        <v>7308</v>
      </c>
      <c r="DO2284" s="406">
        <v>-14.62</v>
      </c>
      <c r="DP2284" s="80">
        <v>322</v>
      </c>
    </row>
    <row r="2285" spans="29:120" x14ac:dyDescent="0.25">
      <c r="AC2285" s="122" t="s">
        <v>289</v>
      </c>
      <c r="AD2285" s="122" t="s">
        <v>1755</v>
      </c>
      <c r="AE2285" s="127">
        <v>6</v>
      </c>
      <c r="DA2285" s="122" t="s">
        <v>340</v>
      </c>
      <c r="DB2285" s="122" t="s">
        <v>7309</v>
      </c>
      <c r="DC2285" s="122" t="s">
        <v>2376</v>
      </c>
      <c r="DD2285" s="127">
        <v>6</v>
      </c>
      <c r="DE2285" s="127">
        <v>6</v>
      </c>
      <c r="DG2285" s="405" t="s">
        <v>340</v>
      </c>
      <c r="DH2285" s="406" t="s">
        <v>2376</v>
      </c>
      <c r="DI2285" s="406" t="str">
        <f t="shared" si="67"/>
        <v>MT, Alto Taquari</v>
      </c>
      <c r="DJ2285" s="406">
        <v>-17.826000000000001</v>
      </c>
      <c r="DK2285" s="80">
        <v>-53.281999999999996</v>
      </c>
      <c r="DL2285" s="80">
        <v>851</v>
      </c>
      <c r="DM2285" s="64">
        <v>6</v>
      </c>
      <c r="DN2285" s="406" t="s">
        <v>6606</v>
      </c>
      <c r="DO2285" s="406">
        <v>-17.82</v>
      </c>
      <c r="DP2285" s="80">
        <v>875</v>
      </c>
    </row>
    <row r="2286" spans="29:120" x14ac:dyDescent="0.25">
      <c r="AC2286" s="122" t="s">
        <v>289</v>
      </c>
      <c r="AD2286" s="122" t="s">
        <v>2643</v>
      </c>
      <c r="AE2286" s="127">
        <v>6</v>
      </c>
      <c r="DA2286" s="122" t="s">
        <v>340</v>
      </c>
      <c r="DB2286" s="122" t="s">
        <v>5003</v>
      </c>
      <c r="DC2286" s="122" t="s">
        <v>5003</v>
      </c>
      <c r="DD2286" s="127">
        <v>8</v>
      </c>
      <c r="DE2286" s="127">
        <v>8</v>
      </c>
      <c r="DG2286" s="405" t="s">
        <v>340</v>
      </c>
      <c r="DH2286" s="406" t="s">
        <v>5003</v>
      </c>
      <c r="DI2286" s="406" t="str">
        <f t="shared" si="67"/>
        <v>MT, Apiacás</v>
      </c>
      <c r="DJ2286" s="406">
        <v>-9.5440000000000005</v>
      </c>
      <c r="DK2286" s="80">
        <v>-57.448999999999998</v>
      </c>
      <c r="DL2286" s="80">
        <v>220</v>
      </c>
      <c r="DM2286" s="64">
        <v>8</v>
      </c>
      <c r="DN2286" s="406" t="s">
        <v>7310</v>
      </c>
      <c r="DO2286" s="406">
        <v>-9.5399999999999991</v>
      </c>
      <c r="DP2286" s="80">
        <v>220</v>
      </c>
    </row>
    <row r="2287" spans="29:120" x14ac:dyDescent="0.25">
      <c r="AC2287" s="122" t="s">
        <v>289</v>
      </c>
      <c r="AD2287" s="122" t="s">
        <v>2644</v>
      </c>
      <c r="AE2287" s="127">
        <v>6</v>
      </c>
      <c r="DA2287" s="122" t="s">
        <v>340</v>
      </c>
      <c r="DB2287" s="122" t="s">
        <v>5672</v>
      </c>
      <c r="DC2287" s="122" t="s">
        <v>5672</v>
      </c>
      <c r="DD2287" s="127">
        <v>6</v>
      </c>
      <c r="DE2287" s="127">
        <v>6</v>
      </c>
      <c r="DG2287" s="405" t="s">
        <v>340</v>
      </c>
      <c r="DH2287" s="406" t="s">
        <v>5672</v>
      </c>
      <c r="DI2287" s="406" t="str">
        <f t="shared" si="67"/>
        <v>MT, Araguaiana</v>
      </c>
      <c r="DJ2287" s="406">
        <v>-15.734</v>
      </c>
      <c r="DK2287" s="80">
        <v>-51.831000000000003</v>
      </c>
      <c r="DL2287" s="80">
        <v>269</v>
      </c>
      <c r="DM2287" s="64">
        <v>6</v>
      </c>
      <c r="DN2287" s="406" t="s">
        <v>6528</v>
      </c>
      <c r="DO2287" s="406">
        <v>-15.9</v>
      </c>
      <c r="DP2287" s="80">
        <v>347</v>
      </c>
    </row>
    <row r="2288" spans="29:120" x14ac:dyDescent="0.25">
      <c r="AC2288" s="122" t="s">
        <v>289</v>
      </c>
      <c r="AD2288" s="122" t="s">
        <v>2645</v>
      </c>
      <c r="AE2288" s="127">
        <v>6</v>
      </c>
      <c r="DA2288" s="122" t="s">
        <v>340</v>
      </c>
      <c r="DB2288" s="122" t="s">
        <v>2939</v>
      </c>
      <c r="DC2288" s="122" t="s">
        <v>2939</v>
      </c>
      <c r="DD2288" s="127">
        <v>6</v>
      </c>
      <c r="DE2288" s="127">
        <v>6</v>
      </c>
      <c r="DG2288" s="405" t="s">
        <v>340</v>
      </c>
      <c r="DH2288" s="406" t="s">
        <v>2939</v>
      </c>
      <c r="DI2288" s="406" t="str">
        <f t="shared" si="67"/>
        <v>MT, Araguainha</v>
      </c>
      <c r="DJ2288" s="406">
        <v>-16.856000000000002</v>
      </c>
      <c r="DK2288" s="80">
        <v>-53.033000000000001</v>
      </c>
      <c r="DL2288" s="80">
        <v>462</v>
      </c>
      <c r="DM2288" s="64">
        <v>6</v>
      </c>
      <c r="DN2288" s="406" t="s">
        <v>6573</v>
      </c>
      <c r="DO2288" s="406">
        <v>-17.57</v>
      </c>
      <c r="DP2288" s="80">
        <v>706</v>
      </c>
    </row>
    <row r="2289" spans="29:120" x14ac:dyDescent="0.25">
      <c r="AC2289" s="122" t="s">
        <v>333</v>
      </c>
      <c r="AD2289" s="122" t="s">
        <v>2646</v>
      </c>
      <c r="AE2289" s="127">
        <v>6</v>
      </c>
      <c r="DA2289" s="122" t="s">
        <v>340</v>
      </c>
      <c r="DB2289" s="122" t="s">
        <v>5594</v>
      </c>
      <c r="DC2289" s="122" t="s">
        <v>5594</v>
      </c>
      <c r="DD2289" s="127">
        <v>5</v>
      </c>
      <c r="DE2289" s="127">
        <v>5</v>
      </c>
      <c r="DG2289" s="405" t="s">
        <v>340</v>
      </c>
      <c r="DH2289" s="406" t="s">
        <v>5594</v>
      </c>
      <c r="DI2289" s="406" t="str">
        <f t="shared" si="67"/>
        <v>MT, Araputanga</v>
      </c>
      <c r="DJ2289" s="406">
        <v>-15.471</v>
      </c>
      <c r="DK2289" s="80">
        <v>-58.353000000000002</v>
      </c>
      <c r="DL2289" s="80">
        <v>200</v>
      </c>
      <c r="DM2289" s="64">
        <v>5</v>
      </c>
      <c r="DN2289" s="406" t="s">
        <v>7311</v>
      </c>
      <c r="DO2289" s="406">
        <v>-15.12</v>
      </c>
      <c r="DP2289" s="80">
        <v>303</v>
      </c>
    </row>
    <row r="2290" spans="29:120" x14ac:dyDescent="0.25">
      <c r="AC2290" s="122" t="s">
        <v>322</v>
      </c>
      <c r="AD2290" s="122" t="s">
        <v>2647</v>
      </c>
      <c r="AE2290" s="127">
        <v>6</v>
      </c>
      <c r="DA2290" s="122" t="s">
        <v>340</v>
      </c>
      <c r="DB2290" s="122" t="s">
        <v>5640</v>
      </c>
      <c r="DC2290" s="122" t="s">
        <v>5640</v>
      </c>
      <c r="DD2290" s="127">
        <v>7</v>
      </c>
      <c r="DE2290" s="127">
        <v>7</v>
      </c>
      <c r="DG2290" s="405" t="s">
        <v>340</v>
      </c>
      <c r="DH2290" s="406" t="s">
        <v>5640</v>
      </c>
      <c r="DI2290" s="406" t="str">
        <f t="shared" si="67"/>
        <v>MT, Arenápolis</v>
      </c>
      <c r="DJ2290" s="406">
        <v>-14.45</v>
      </c>
      <c r="DK2290" s="80">
        <v>-56.845999999999997</v>
      </c>
      <c r="DL2290" s="80">
        <v>247</v>
      </c>
      <c r="DM2290" s="64">
        <v>7</v>
      </c>
      <c r="DN2290" s="406" t="s">
        <v>7308</v>
      </c>
      <c r="DO2290" s="406">
        <v>-14.62</v>
      </c>
      <c r="DP2290" s="80">
        <v>322</v>
      </c>
    </row>
    <row r="2291" spans="29:120" x14ac:dyDescent="0.25">
      <c r="AC2291" s="122" t="s">
        <v>322</v>
      </c>
      <c r="AD2291" s="122" t="s">
        <v>2648</v>
      </c>
      <c r="AE2291" s="127">
        <v>6</v>
      </c>
      <c r="DA2291" s="122" t="s">
        <v>340</v>
      </c>
      <c r="DB2291" s="122" t="s">
        <v>5429</v>
      </c>
      <c r="DC2291" s="122" t="s">
        <v>5429</v>
      </c>
      <c r="DD2291" s="127">
        <v>8</v>
      </c>
      <c r="DE2291" s="127">
        <v>8</v>
      </c>
      <c r="DG2291" s="405" t="s">
        <v>340</v>
      </c>
      <c r="DH2291" s="406" t="s">
        <v>5429</v>
      </c>
      <c r="DI2291" s="406" t="str">
        <f t="shared" si="67"/>
        <v>MT, Aripuanã</v>
      </c>
      <c r="DJ2291" s="406">
        <v>-10.167</v>
      </c>
      <c r="DK2291" s="80">
        <v>-59.459000000000003</v>
      </c>
      <c r="DL2291" s="80">
        <v>105</v>
      </c>
      <c r="DM2291" s="64">
        <v>8</v>
      </c>
      <c r="DN2291" s="406" t="s">
        <v>6156</v>
      </c>
      <c r="DO2291" s="406">
        <v>-9.86</v>
      </c>
      <c r="DP2291" s="80">
        <v>261</v>
      </c>
    </row>
    <row r="2292" spans="29:120" x14ac:dyDescent="0.25">
      <c r="AC2292" s="122" t="s">
        <v>289</v>
      </c>
      <c r="AD2292" s="122" t="s">
        <v>2649</v>
      </c>
      <c r="AE2292" s="127">
        <v>6</v>
      </c>
      <c r="DA2292" s="122" t="s">
        <v>340</v>
      </c>
      <c r="DB2292" s="122" t="s">
        <v>7312</v>
      </c>
      <c r="DC2292" s="122" t="s">
        <v>5617</v>
      </c>
      <c r="DD2292" s="127">
        <v>7</v>
      </c>
      <c r="DE2292" s="127">
        <v>7</v>
      </c>
      <c r="DG2292" s="405" t="s">
        <v>340</v>
      </c>
      <c r="DH2292" s="406" t="s">
        <v>5617</v>
      </c>
      <c r="DI2292" s="406" t="str">
        <f t="shared" si="67"/>
        <v>MT, Barão de Melgaço</v>
      </c>
      <c r="DJ2292" s="406">
        <v>-16.279</v>
      </c>
      <c r="DK2292" s="80">
        <v>-55.957999999999998</v>
      </c>
      <c r="DL2292" s="80">
        <v>156</v>
      </c>
      <c r="DM2292" s="64">
        <v>7</v>
      </c>
      <c r="DN2292" s="406" t="s">
        <v>7300</v>
      </c>
      <c r="DO2292" s="406">
        <v>-15.62</v>
      </c>
      <c r="DP2292" s="80">
        <v>151</v>
      </c>
    </row>
    <row r="2293" spans="29:120" x14ac:dyDescent="0.25">
      <c r="AC2293" s="122" t="s">
        <v>333</v>
      </c>
      <c r="AD2293" s="122" t="s">
        <v>2650</v>
      </c>
      <c r="AE2293" s="127">
        <v>6</v>
      </c>
      <c r="DA2293" s="122" t="s">
        <v>340</v>
      </c>
      <c r="DB2293" s="122" t="s">
        <v>7313</v>
      </c>
      <c r="DC2293" s="122" t="s">
        <v>5681</v>
      </c>
      <c r="DD2293" s="127">
        <v>7</v>
      </c>
      <c r="DE2293" s="127">
        <v>7</v>
      </c>
      <c r="DG2293" s="405" t="s">
        <v>340</v>
      </c>
      <c r="DH2293" s="406" t="s">
        <v>5681</v>
      </c>
      <c r="DI2293" s="406" t="str">
        <f t="shared" si="67"/>
        <v>MT, Barra do Bugres</v>
      </c>
      <c r="DJ2293" s="406">
        <v>-15.073</v>
      </c>
      <c r="DK2293" s="80">
        <v>-57.180999999999997</v>
      </c>
      <c r="DL2293" s="80">
        <v>171</v>
      </c>
      <c r="DM2293" s="64">
        <v>7</v>
      </c>
      <c r="DN2293" s="406" t="s">
        <v>7314</v>
      </c>
      <c r="DO2293" s="406">
        <v>-15.32</v>
      </c>
      <c r="DP2293" s="80">
        <v>145</v>
      </c>
    </row>
    <row r="2294" spans="29:120" x14ac:dyDescent="0.25">
      <c r="AC2294" s="122" t="s">
        <v>289</v>
      </c>
      <c r="AD2294" s="122" t="s">
        <v>2651</v>
      </c>
      <c r="AE2294" s="127">
        <v>6</v>
      </c>
      <c r="DA2294" s="122" t="s">
        <v>340</v>
      </c>
      <c r="DB2294" s="122" t="s">
        <v>7315</v>
      </c>
      <c r="DC2294" s="122" t="s">
        <v>5675</v>
      </c>
      <c r="DD2294" s="127">
        <v>6</v>
      </c>
      <c r="DE2294" s="127">
        <v>6</v>
      </c>
      <c r="DG2294" s="405" t="s">
        <v>340</v>
      </c>
      <c r="DH2294" s="406" t="s">
        <v>5675</v>
      </c>
      <c r="DI2294" s="406" t="str">
        <f t="shared" si="67"/>
        <v>MT, Barra do Garças</v>
      </c>
      <c r="DJ2294" s="406">
        <v>-15.89</v>
      </c>
      <c r="DK2294" s="80">
        <v>-52.256999999999998</v>
      </c>
      <c r="DL2294" s="80">
        <v>318</v>
      </c>
      <c r="DM2294" s="64">
        <v>6</v>
      </c>
      <c r="DN2294" s="406" t="s">
        <v>6528</v>
      </c>
      <c r="DO2294" s="406">
        <v>-15.9</v>
      </c>
      <c r="DP2294" s="80">
        <v>347</v>
      </c>
    </row>
    <row r="2295" spans="29:120" x14ac:dyDescent="0.25">
      <c r="AC2295" s="122" t="s">
        <v>289</v>
      </c>
      <c r="AD2295" s="122" t="s">
        <v>2652</v>
      </c>
      <c r="AE2295" s="127">
        <v>6</v>
      </c>
      <c r="DA2295" s="122" t="s">
        <v>340</v>
      </c>
      <c r="DB2295" s="122" t="s">
        <v>7316</v>
      </c>
      <c r="DC2295" s="122" t="s">
        <v>4859</v>
      </c>
      <c r="DD2295" s="127">
        <v>7</v>
      </c>
      <c r="DE2295" s="127">
        <v>7</v>
      </c>
      <c r="DG2295" s="405" t="s">
        <v>340</v>
      </c>
      <c r="DH2295" s="406" t="s">
        <v>4859</v>
      </c>
      <c r="DI2295" s="406" t="str">
        <f t="shared" si="67"/>
        <v>MT, Bom Jesus do Araguaia</v>
      </c>
      <c r="DJ2295" s="406">
        <v>-12.175000000000001</v>
      </c>
      <c r="DK2295" s="80">
        <v>-51.503</v>
      </c>
      <c r="DL2295" s="80">
        <v>274</v>
      </c>
      <c r="DM2295" s="64">
        <v>7</v>
      </c>
      <c r="DN2295" s="406" t="s">
        <v>7317</v>
      </c>
      <c r="DO2295" s="406">
        <v>-12.63</v>
      </c>
      <c r="DP2295" s="80">
        <v>382</v>
      </c>
    </row>
    <row r="2296" spans="29:120" x14ac:dyDescent="0.25">
      <c r="AC2296" s="122" t="s">
        <v>289</v>
      </c>
      <c r="AD2296" s="122" t="s">
        <v>2653</v>
      </c>
      <c r="AE2296" s="127">
        <v>6</v>
      </c>
      <c r="DA2296" s="122" t="s">
        <v>340</v>
      </c>
      <c r="DB2296" s="122" t="s">
        <v>4896</v>
      </c>
      <c r="DC2296" s="122" t="s">
        <v>4896</v>
      </c>
      <c r="DD2296" s="127">
        <v>8</v>
      </c>
      <c r="DE2296" s="127">
        <v>8</v>
      </c>
      <c r="DG2296" s="405" t="s">
        <v>340</v>
      </c>
      <c r="DH2296" s="406" t="s">
        <v>4896</v>
      </c>
      <c r="DI2296" s="406" t="str">
        <f t="shared" si="67"/>
        <v>MT, Brasnorte</v>
      </c>
      <c r="DJ2296" s="406">
        <v>-12.154999999999999</v>
      </c>
      <c r="DK2296" s="80">
        <v>-57.978999999999999</v>
      </c>
      <c r="DL2296" s="80">
        <v>317</v>
      </c>
      <c r="DM2296" s="64">
        <v>8</v>
      </c>
      <c r="DN2296" s="406" t="s">
        <v>7318</v>
      </c>
      <c r="DO2296" s="406">
        <v>-11.26</v>
      </c>
      <c r="DP2296" s="80">
        <v>260</v>
      </c>
    </row>
    <row r="2297" spans="29:120" x14ac:dyDescent="0.25">
      <c r="AC2297" s="122" t="s">
        <v>333</v>
      </c>
      <c r="AD2297" s="122" t="s">
        <v>2654</v>
      </c>
      <c r="AE2297" s="127">
        <v>3</v>
      </c>
      <c r="DA2297" s="122" t="s">
        <v>340</v>
      </c>
      <c r="DB2297" s="122" t="s">
        <v>5622</v>
      </c>
      <c r="DC2297" s="122" t="s">
        <v>5622</v>
      </c>
      <c r="DD2297" s="127">
        <v>8</v>
      </c>
      <c r="DE2297" s="127">
        <v>8</v>
      </c>
      <c r="DG2297" s="405" t="s">
        <v>340</v>
      </c>
      <c r="DH2297" s="406" t="s">
        <v>5622</v>
      </c>
      <c r="DI2297" s="406" t="str">
        <f t="shared" si="67"/>
        <v>MT, Cáceres</v>
      </c>
      <c r="DJ2297" s="406">
        <v>-16.071000000000002</v>
      </c>
      <c r="DK2297" s="80">
        <v>-57.679000000000002</v>
      </c>
      <c r="DL2297" s="80">
        <v>118</v>
      </c>
      <c r="DM2297" s="64">
        <v>8</v>
      </c>
      <c r="DN2297" s="406" t="s">
        <v>7314</v>
      </c>
      <c r="DO2297" s="406">
        <v>-15.32</v>
      </c>
      <c r="DP2297" s="80">
        <v>145</v>
      </c>
    </row>
    <row r="2298" spans="29:120" x14ac:dyDescent="0.25">
      <c r="AC2298" s="122" t="s">
        <v>322</v>
      </c>
      <c r="AD2298" s="122" t="s">
        <v>2655</v>
      </c>
      <c r="AE2298" s="127">
        <v>6</v>
      </c>
      <c r="DA2298" s="122" t="s">
        <v>340</v>
      </c>
      <c r="DB2298" s="122" t="s">
        <v>4969</v>
      </c>
      <c r="DC2298" s="122" t="s">
        <v>4969</v>
      </c>
      <c r="DD2298" s="127">
        <v>6</v>
      </c>
      <c r="DE2298" s="127">
        <v>6</v>
      </c>
      <c r="DG2298" s="405" t="s">
        <v>340</v>
      </c>
      <c r="DH2298" s="406" t="s">
        <v>4969</v>
      </c>
      <c r="DI2298" s="406" t="str">
        <f t="shared" si="67"/>
        <v>MT, Campinápolis</v>
      </c>
      <c r="DJ2298" s="406">
        <v>-14.516</v>
      </c>
      <c r="DK2298" s="80">
        <v>-52.895000000000003</v>
      </c>
      <c r="DL2298" s="80">
        <v>450</v>
      </c>
      <c r="DM2298" s="64">
        <v>6</v>
      </c>
      <c r="DN2298" s="406" t="s">
        <v>7319</v>
      </c>
      <c r="DO2298" s="406">
        <v>-14.93</v>
      </c>
      <c r="DP2298" s="80">
        <v>648</v>
      </c>
    </row>
    <row r="2299" spans="29:120" x14ac:dyDescent="0.25">
      <c r="AC2299" s="122" t="s">
        <v>333</v>
      </c>
      <c r="AD2299" s="122" t="s">
        <v>2656</v>
      </c>
      <c r="AE2299" s="127">
        <v>3</v>
      </c>
      <c r="DA2299" s="122" t="s">
        <v>340</v>
      </c>
      <c r="DB2299" s="122" t="s">
        <v>7320</v>
      </c>
      <c r="DC2299" s="122" t="s">
        <v>2402</v>
      </c>
      <c r="DD2299" s="127">
        <v>5</v>
      </c>
      <c r="DE2299" s="127">
        <v>5</v>
      </c>
      <c r="DG2299" s="405" t="s">
        <v>340</v>
      </c>
      <c r="DH2299" s="406" t="s">
        <v>2402</v>
      </c>
      <c r="DI2299" s="406" t="str">
        <f t="shared" si="67"/>
        <v>MT, Campo Novo do Parecis</v>
      </c>
      <c r="DJ2299" s="406">
        <v>-13.675000000000001</v>
      </c>
      <c r="DK2299" s="80">
        <v>-57.892000000000003</v>
      </c>
      <c r="DL2299" s="80">
        <v>572</v>
      </c>
      <c r="DM2299" s="64">
        <v>5</v>
      </c>
      <c r="DN2299" s="406" t="s">
        <v>7321</v>
      </c>
      <c r="DO2299" s="406">
        <v>-13.68</v>
      </c>
      <c r="DP2299" s="80">
        <v>570</v>
      </c>
    </row>
    <row r="2300" spans="29:120" x14ac:dyDescent="0.25">
      <c r="AC2300" s="122" t="s">
        <v>333</v>
      </c>
      <c r="AD2300" s="122" t="s">
        <v>2657</v>
      </c>
      <c r="AE2300" s="127">
        <v>5</v>
      </c>
      <c r="DA2300" s="122" t="s">
        <v>340</v>
      </c>
      <c r="DB2300" s="122" t="s">
        <v>7322</v>
      </c>
      <c r="DC2300" s="122" t="s">
        <v>2393</v>
      </c>
      <c r="DD2300" s="127">
        <v>6</v>
      </c>
      <c r="DE2300" s="127">
        <v>6</v>
      </c>
      <c r="DG2300" s="405" t="s">
        <v>340</v>
      </c>
      <c r="DH2300" s="406" t="s">
        <v>2393</v>
      </c>
      <c r="DI2300" s="406" t="str">
        <f t="shared" si="67"/>
        <v>MT, Campo Verde</v>
      </c>
      <c r="DJ2300" s="406">
        <v>-15.547000000000001</v>
      </c>
      <c r="DK2300" s="80">
        <v>-55.168999999999997</v>
      </c>
      <c r="DL2300" s="80">
        <v>736</v>
      </c>
      <c r="DM2300" s="64">
        <v>6</v>
      </c>
      <c r="DN2300" s="406" t="s">
        <v>7323</v>
      </c>
      <c r="DO2300" s="406">
        <v>-15.55</v>
      </c>
      <c r="DP2300" s="80">
        <v>749</v>
      </c>
    </row>
    <row r="2301" spans="29:120" x14ac:dyDescent="0.25">
      <c r="AC2301" s="122" t="s">
        <v>323</v>
      </c>
      <c r="AD2301" s="122" t="s">
        <v>2658</v>
      </c>
      <c r="AE2301" s="127">
        <v>6</v>
      </c>
      <c r="DA2301" s="122" t="s">
        <v>340</v>
      </c>
      <c r="DB2301" s="122" t="s">
        <v>7324</v>
      </c>
      <c r="DC2301" s="122" t="s">
        <v>2390</v>
      </c>
      <c r="DD2301" s="127">
        <v>5</v>
      </c>
      <c r="DE2301" s="127">
        <v>5</v>
      </c>
      <c r="DG2301" s="405" t="s">
        <v>340</v>
      </c>
      <c r="DH2301" s="406" t="s">
        <v>2390</v>
      </c>
      <c r="DI2301" s="406" t="str">
        <f t="shared" si="67"/>
        <v>MT, Campos de Júlio</v>
      </c>
      <c r="DJ2301" s="406">
        <v>-13.898999999999999</v>
      </c>
      <c r="DK2301" s="80">
        <v>-59.148000000000003</v>
      </c>
      <c r="DL2301" s="80">
        <v>612</v>
      </c>
      <c r="DM2301" s="64">
        <v>5</v>
      </c>
      <c r="DN2301" s="406" t="s">
        <v>7325</v>
      </c>
      <c r="DO2301" s="406">
        <v>-13.66</v>
      </c>
      <c r="DP2301" s="80">
        <v>591</v>
      </c>
    </row>
    <row r="2302" spans="29:120" x14ac:dyDescent="0.25">
      <c r="AC2302" s="122" t="s">
        <v>322</v>
      </c>
      <c r="AD2302" s="122" t="s">
        <v>2659</v>
      </c>
      <c r="AE2302" s="127">
        <v>6</v>
      </c>
      <c r="DA2302" s="122" t="s">
        <v>340</v>
      </c>
      <c r="DB2302" s="122" t="s">
        <v>7326</v>
      </c>
      <c r="DC2302" s="122" t="s">
        <v>4878</v>
      </c>
      <c r="DD2302" s="127">
        <v>7</v>
      </c>
      <c r="DE2302" s="127">
        <v>7</v>
      </c>
      <c r="DG2302" s="405" t="s">
        <v>340</v>
      </c>
      <c r="DH2302" s="406" t="s">
        <v>4878</v>
      </c>
      <c r="DI2302" s="406" t="str">
        <f t="shared" si="67"/>
        <v>MT, Canabrava do Norte</v>
      </c>
      <c r="DJ2302" s="406">
        <v>-11.054</v>
      </c>
      <c r="DK2302" s="80">
        <v>-51.831000000000003</v>
      </c>
      <c r="DL2302" s="80">
        <v>225</v>
      </c>
      <c r="DM2302" s="64">
        <v>7</v>
      </c>
      <c r="DN2302" s="406" t="s">
        <v>7327</v>
      </c>
      <c r="DO2302" s="406">
        <v>-10.65</v>
      </c>
      <c r="DP2302" s="80">
        <v>237</v>
      </c>
    </row>
    <row r="2303" spans="29:120" x14ac:dyDescent="0.25">
      <c r="AC2303" s="122" t="s">
        <v>333</v>
      </c>
      <c r="AD2303" s="122" t="s">
        <v>2660</v>
      </c>
      <c r="AE2303" s="127">
        <v>3</v>
      </c>
      <c r="DA2303" s="122" t="s">
        <v>340</v>
      </c>
      <c r="DB2303" s="122" t="s">
        <v>2551</v>
      </c>
      <c r="DC2303" s="122" t="s">
        <v>2551</v>
      </c>
      <c r="DD2303" s="127">
        <v>6</v>
      </c>
      <c r="DE2303" s="127">
        <v>6</v>
      </c>
      <c r="DG2303" s="405" t="s">
        <v>340</v>
      </c>
      <c r="DH2303" s="406" t="s">
        <v>2551</v>
      </c>
      <c r="DI2303" s="406" t="str">
        <f t="shared" si="67"/>
        <v>MT, Canarana</v>
      </c>
      <c r="DJ2303" s="406">
        <v>-13.55</v>
      </c>
      <c r="DK2303" s="80">
        <v>-52.165999999999997</v>
      </c>
      <c r="DL2303" s="80">
        <v>420</v>
      </c>
      <c r="DM2303" s="64">
        <v>6</v>
      </c>
      <c r="DN2303" s="406" t="s">
        <v>6530</v>
      </c>
      <c r="DO2303" s="406">
        <v>-14.05</v>
      </c>
      <c r="DP2303" s="80">
        <v>432</v>
      </c>
    </row>
    <row r="2304" spans="29:120" x14ac:dyDescent="0.25">
      <c r="AC2304" s="122" t="s">
        <v>322</v>
      </c>
      <c r="AD2304" s="122" t="s">
        <v>2661</v>
      </c>
      <c r="AE2304" s="127">
        <v>6</v>
      </c>
      <c r="DA2304" s="122" t="s">
        <v>340</v>
      </c>
      <c r="DB2304" s="122" t="s">
        <v>4463</v>
      </c>
      <c r="DC2304" s="122" t="s">
        <v>4463</v>
      </c>
      <c r="DD2304" s="127">
        <v>8</v>
      </c>
      <c r="DE2304" s="127">
        <v>8</v>
      </c>
      <c r="DG2304" s="405" t="s">
        <v>340</v>
      </c>
      <c r="DH2304" s="406" t="s">
        <v>4463</v>
      </c>
      <c r="DI2304" s="406" t="str">
        <f t="shared" si="67"/>
        <v>MT, Carlinda</v>
      </c>
      <c r="DJ2304" s="406">
        <v>-9.9580000000000002</v>
      </c>
      <c r="DK2304" s="80">
        <v>-55.832000000000001</v>
      </c>
      <c r="DL2304" s="80">
        <v>290</v>
      </c>
      <c r="DM2304" s="64">
        <v>8</v>
      </c>
      <c r="DN2304" s="406" t="s">
        <v>7302</v>
      </c>
      <c r="DO2304" s="406">
        <v>-9.9700000000000006</v>
      </c>
      <c r="DP2304" s="80">
        <v>300</v>
      </c>
    </row>
    <row r="2305" spans="29:120" x14ac:dyDescent="0.25">
      <c r="AC2305" s="122" t="s">
        <v>333</v>
      </c>
      <c r="AD2305" s="122" t="s">
        <v>2662</v>
      </c>
      <c r="AE2305" s="127">
        <v>3</v>
      </c>
      <c r="DA2305" s="122" t="s">
        <v>340</v>
      </c>
      <c r="DB2305" s="122" t="s">
        <v>4937</v>
      </c>
      <c r="DC2305" s="122" t="s">
        <v>4937</v>
      </c>
      <c r="DD2305" s="127">
        <v>8</v>
      </c>
      <c r="DE2305" s="127">
        <v>8</v>
      </c>
      <c r="DG2305" s="405" t="s">
        <v>340</v>
      </c>
      <c r="DH2305" s="406" t="s">
        <v>4937</v>
      </c>
      <c r="DI2305" s="406" t="str">
        <f t="shared" si="67"/>
        <v>MT, Castanheira</v>
      </c>
      <c r="DJ2305" s="406">
        <v>-11.132999999999999</v>
      </c>
      <c r="DK2305" s="80">
        <v>-58.603000000000002</v>
      </c>
      <c r="DL2305" s="80">
        <v>400</v>
      </c>
      <c r="DM2305" s="64">
        <v>8</v>
      </c>
      <c r="DN2305" s="406" t="s">
        <v>7328</v>
      </c>
      <c r="DO2305" s="406">
        <v>-11.38</v>
      </c>
      <c r="DP2305" s="80">
        <v>200</v>
      </c>
    </row>
    <row r="2306" spans="29:120" x14ac:dyDescent="0.25">
      <c r="AC2306" s="122" t="s">
        <v>322</v>
      </c>
      <c r="AD2306" s="122" t="s">
        <v>2663</v>
      </c>
      <c r="AE2306" s="127">
        <v>6</v>
      </c>
      <c r="DA2306" s="122" t="s">
        <v>340</v>
      </c>
      <c r="DB2306" s="122" t="s">
        <v>7329</v>
      </c>
      <c r="DC2306" s="122" t="s">
        <v>5227</v>
      </c>
      <c r="DD2306" s="127">
        <v>7</v>
      </c>
      <c r="DE2306" s="127">
        <v>7</v>
      </c>
      <c r="DG2306" s="405" t="s">
        <v>340</v>
      </c>
      <c r="DH2306" s="406" t="s">
        <v>5227</v>
      </c>
      <c r="DI2306" s="406" t="str">
        <f t="shared" si="67"/>
        <v>MT, Chapada dos Guimarães</v>
      </c>
      <c r="DJ2306" s="406">
        <v>-15.461</v>
      </c>
      <c r="DK2306" s="80">
        <v>-55.75</v>
      </c>
      <c r="DL2306" s="80">
        <v>811</v>
      </c>
      <c r="DM2306" s="64">
        <v>7</v>
      </c>
      <c r="DN2306" s="406" t="s">
        <v>7300</v>
      </c>
      <c r="DO2306" s="406">
        <v>-15.62</v>
      </c>
      <c r="DP2306" s="80">
        <v>151</v>
      </c>
    </row>
    <row r="2307" spans="29:120" x14ac:dyDescent="0.25">
      <c r="AC2307" s="122" t="s">
        <v>348</v>
      </c>
      <c r="AD2307" s="122" t="s">
        <v>2664</v>
      </c>
      <c r="AE2307" s="127">
        <v>7</v>
      </c>
      <c r="DA2307" s="122" t="s">
        <v>340</v>
      </c>
      <c r="DB2307" s="122" t="s">
        <v>4938</v>
      </c>
      <c r="DC2307" s="122" t="s">
        <v>4938</v>
      </c>
      <c r="DD2307" s="127">
        <v>8</v>
      </c>
      <c r="DE2307" s="127">
        <v>8</v>
      </c>
      <c r="DG2307" s="405" t="s">
        <v>340</v>
      </c>
      <c r="DH2307" s="406" t="s">
        <v>4938</v>
      </c>
      <c r="DI2307" s="406" t="str">
        <f t="shared" ref="DI2307:DI2370" si="68">CONCATENATE(DG2307,", ",DH2307)</f>
        <v>MT, Cláudia</v>
      </c>
      <c r="DJ2307" s="406">
        <v>-11.515000000000001</v>
      </c>
      <c r="DK2307" s="80">
        <v>-54.890999999999998</v>
      </c>
      <c r="DL2307" s="80">
        <v>368</v>
      </c>
      <c r="DM2307" s="64">
        <v>8</v>
      </c>
      <c r="DN2307" s="406" t="s">
        <v>7330</v>
      </c>
      <c r="DO2307" s="406">
        <v>-11.86</v>
      </c>
      <c r="DP2307" s="80">
        <v>371</v>
      </c>
    </row>
    <row r="2308" spans="29:120" x14ac:dyDescent="0.25">
      <c r="AC2308" s="122" t="s">
        <v>289</v>
      </c>
      <c r="AD2308" s="122" t="s">
        <v>2665</v>
      </c>
      <c r="AE2308" s="127">
        <v>5</v>
      </c>
      <c r="DA2308" s="122" t="s">
        <v>340</v>
      </c>
      <c r="DB2308" s="122" t="s">
        <v>4639</v>
      </c>
      <c r="DC2308" s="122" t="s">
        <v>4639</v>
      </c>
      <c r="DD2308" s="127">
        <v>6</v>
      </c>
      <c r="DE2308" s="127">
        <v>6</v>
      </c>
      <c r="DG2308" s="405" t="s">
        <v>340</v>
      </c>
      <c r="DH2308" s="406" t="s">
        <v>4639</v>
      </c>
      <c r="DI2308" s="406" t="str">
        <f t="shared" si="68"/>
        <v>MT, Cocalinho</v>
      </c>
      <c r="DJ2308" s="406">
        <v>-14.397</v>
      </c>
      <c r="DK2308" s="80">
        <v>-50.996000000000002</v>
      </c>
      <c r="DL2308" s="80">
        <v>241</v>
      </c>
      <c r="DM2308" s="64">
        <v>6</v>
      </c>
      <c r="DN2308" s="406" t="s">
        <v>6530</v>
      </c>
      <c r="DO2308" s="406">
        <v>-14.05</v>
      </c>
      <c r="DP2308" s="80">
        <v>432</v>
      </c>
    </row>
    <row r="2309" spans="29:120" x14ac:dyDescent="0.25">
      <c r="AC2309" s="122" t="s">
        <v>322</v>
      </c>
      <c r="AD2309" s="122" t="s">
        <v>2666</v>
      </c>
      <c r="AE2309" s="127">
        <v>6</v>
      </c>
      <c r="DA2309" s="122" t="s">
        <v>340</v>
      </c>
      <c r="DB2309" s="122" t="s">
        <v>4885</v>
      </c>
      <c r="DC2309" s="122" t="s">
        <v>4885</v>
      </c>
      <c r="DD2309" s="127">
        <v>8</v>
      </c>
      <c r="DE2309" s="127">
        <v>8</v>
      </c>
      <c r="DG2309" s="405" t="s">
        <v>340</v>
      </c>
      <c r="DH2309" s="406" t="s">
        <v>4885</v>
      </c>
      <c r="DI2309" s="406" t="str">
        <f t="shared" si="68"/>
        <v>MT, Colíder</v>
      </c>
      <c r="DJ2309" s="406">
        <v>-10.813000000000001</v>
      </c>
      <c r="DK2309" s="80">
        <v>-55.454999999999998</v>
      </c>
      <c r="DL2309" s="80">
        <v>265</v>
      </c>
      <c r="DM2309" s="64">
        <v>8</v>
      </c>
      <c r="DN2309" s="406" t="s">
        <v>7302</v>
      </c>
      <c r="DO2309" s="406">
        <v>-9.9700000000000006</v>
      </c>
      <c r="DP2309" s="80">
        <v>300</v>
      </c>
    </row>
    <row r="2310" spans="29:120" x14ac:dyDescent="0.25">
      <c r="AC2310" s="122" t="s">
        <v>323</v>
      </c>
      <c r="AD2310" s="122" t="s">
        <v>2263</v>
      </c>
      <c r="AE2310" s="127">
        <v>8</v>
      </c>
      <c r="DA2310" s="122" t="s">
        <v>340</v>
      </c>
      <c r="DB2310" s="122" t="s">
        <v>4853</v>
      </c>
      <c r="DC2310" s="122" t="s">
        <v>4853</v>
      </c>
      <c r="DD2310" s="127">
        <v>8</v>
      </c>
      <c r="DE2310" s="127">
        <v>8</v>
      </c>
      <c r="DG2310" s="405" t="s">
        <v>340</v>
      </c>
      <c r="DH2310" s="406" t="s">
        <v>4853</v>
      </c>
      <c r="DI2310" s="406" t="str">
        <f t="shared" si="68"/>
        <v>MT, Colniza</v>
      </c>
      <c r="DJ2310" s="406">
        <v>-9.4559999999999995</v>
      </c>
      <c r="DK2310" s="80">
        <v>-59.228999999999999</v>
      </c>
      <c r="DL2310" s="80">
        <v>129</v>
      </c>
      <c r="DM2310" s="64">
        <v>8</v>
      </c>
      <c r="DN2310" s="406" t="s">
        <v>6156</v>
      </c>
      <c r="DO2310" s="406">
        <v>-9.86</v>
      </c>
      <c r="DP2310" s="80">
        <v>261</v>
      </c>
    </row>
    <row r="2311" spans="29:120" x14ac:dyDescent="0.25">
      <c r="AC2311" s="122" t="s">
        <v>323</v>
      </c>
      <c r="AD2311" s="122" t="s">
        <v>2667</v>
      </c>
      <c r="AE2311" s="127">
        <v>8</v>
      </c>
      <c r="DA2311" s="122" t="s">
        <v>340</v>
      </c>
      <c r="DB2311" s="122" t="s">
        <v>3056</v>
      </c>
      <c r="DC2311" s="122" t="s">
        <v>3056</v>
      </c>
      <c r="DD2311" s="127">
        <v>5</v>
      </c>
      <c r="DE2311" s="127">
        <v>5</v>
      </c>
      <c r="DG2311" s="405" t="s">
        <v>340</v>
      </c>
      <c r="DH2311" s="406" t="s">
        <v>3056</v>
      </c>
      <c r="DI2311" s="406" t="str">
        <f t="shared" si="68"/>
        <v>MT, Comodoro</v>
      </c>
      <c r="DJ2311" s="406">
        <v>-13.663</v>
      </c>
      <c r="DK2311" s="80">
        <v>-59.786000000000001</v>
      </c>
      <c r="DL2311" s="80">
        <v>600</v>
      </c>
      <c r="DM2311" s="64">
        <v>5</v>
      </c>
      <c r="DN2311" s="406" t="s">
        <v>7325</v>
      </c>
      <c r="DO2311" s="406">
        <v>-13.66</v>
      </c>
      <c r="DP2311" s="80">
        <v>591</v>
      </c>
    </row>
    <row r="2312" spans="29:120" x14ac:dyDescent="0.25">
      <c r="AC2312" s="122" t="s">
        <v>333</v>
      </c>
      <c r="AD2312" s="122" t="s">
        <v>2668</v>
      </c>
      <c r="AE2312" s="127">
        <v>5</v>
      </c>
      <c r="DA2312" s="122" t="s">
        <v>340</v>
      </c>
      <c r="DB2312" s="122" t="s">
        <v>4897</v>
      </c>
      <c r="DC2312" s="122" t="s">
        <v>4897</v>
      </c>
      <c r="DD2312" s="127">
        <v>7</v>
      </c>
      <c r="DE2312" s="127">
        <v>7</v>
      </c>
      <c r="DG2312" s="405" t="s">
        <v>340</v>
      </c>
      <c r="DH2312" s="406" t="s">
        <v>4897</v>
      </c>
      <c r="DI2312" s="406" t="str">
        <f t="shared" si="68"/>
        <v>MT, Confresa</v>
      </c>
      <c r="DJ2312" s="406">
        <v>-10.644</v>
      </c>
      <c r="DK2312" s="80">
        <v>-51.569000000000003</v>
      </c>
      <c r="DL2312" s="80">
        <v>240</v>
      </c>
      <c r="DM2312" s="64">
        <v>7</v>
      </c>
      <c r="DN2312" s="406" t="s">
        <v>7327</v>
      </c>
      <c r="DO2312" s="406">
        <v>-10.65</v>
      </c>
      <c r="DP2312" s="80">
        <v>237</v>
      </c>
    </row>
    <row r="2313" spans="29:120" x14ac:dyDescent="0.25">
      <c r="AC2313" s="122" t="s">
        <v>376</v>
      </c>
      <c r="AD2313" s="122" t="s">
        <v>1612</v>
      </c>
      <c r="AE2313" s="127">
        <v>3</v>
      </c>
      <c r="DA2313" s="122" t="s">
        <v>340</v>
      </c>
      <c r="DB2313" s="122" t="s">
        <v>7331</v>
      </c>
      <c r="DC2313" s="122" t="s">
        <v>5638</v>
      </c>
      <c r="DD2313" s="127">
        <v>5</v>
      </c>
      <c r="DE2313" s="127">
        <v>5</v>
      </c>
      <c r="DG2313" s="405" t="s">
        <v>340</v>
      </c>
      <c r="DH2313" s="406" t="s">
        <v>5638</v>
      </c>
      <c r="DI2313" s="406" t="str">
        <f t="shared" si="68"/>
        <v>MT, Conquista d'Oeste</v>
      </c>
      <c r="DJ2313" s="406">
        <v>-14.541</v>
      </c>
      <c r="DK2313" s="80">
        <v>-59.548000000000002</v>
      </c>
      <c r="DL2313" s="80">
        <v>255</v>
      </c>
      <c r="DM2313" s="64">
        <v>5</v>
      </c>
      <c r="DN2313" s="406" t="s">
        <v>7332</v>
      </c>
      <c r="DO2313" s="406">
        <v>-15.01</v>
      </c>
      <c r="DP2313" s="80">
        <v>222</v>
      </c>
    </row>
    <row r="2314" spans="29:120" x14ac:dyDescent="0.25">
      <c r="AC2314" s="122" t="s">
        <v>333</v>
      </c>
      <c r="AD2314" s="122" t="s">
        <v>1767</v>
      </c>
      <c r="AE2314" s="127">
        <v>3</v>
      </c>
      <c r="DA2314" s="122" t="s">
        <v>340</v>
      </c>
      <c r="DB2314" s="122" t="s">
        <v>5002</v>
      </c>
      <c r="DC2314" s="122" t="s">
        <v>5002</v>
      </c>
      <c r="DD2314" s="127">
        <v>8</v>
      </c>
      <c r="DE2314" s="127">
        <v>8</v>
      </c>
      <c r="DG2314" s="405" t="s">
        <v>340</v>
      </c>
      <c r="DH2314" s="406" t="s">
        <v>5002</v>
      </c>
      <c r="DI2314" s="406" t="str">
        <f t="shared" si="68"/>
        <v>MT, Cotriguaçu</v>
      </c>
      <c r="DJ2314" s="406">
        <v>-9.8580000000000005</v>
      </c>
      <c r="DK2314" s="80">
        <v>-58.414000000000001</v>
      </c>
      <c r="DL2314" s="80">
        <v>200</v>
      </c>
      <c r="DM2314" s="64">
        <v>8</v>
      </c>
      <c r="DN2314" s="406" t="s">
        <v>6156</v>
      </c>
      <c r="DO2314" s="406">
        <v>-9.86</v>
      </c>
      <c r="DP2314" s="80">
        <v>261</v>
      </c>
    </row>
    <row r="2315" spans="29:120" x14ac:dyDescent="0.25">
      <c r="AC2315" s="122" t="s">
        <v>333</v>
      </c>
      <c r="AD2315" s="122" t="s">
        <v>2669</v>
      </c>
      <c r="AE2315" s="127">
        <v>6</v>
      </c>
      <c r="DA2315" s="122" t="s">
        <v>340</v>
      </c>
      <c r="DB2315" s="122" t="s">
        <v>5588</v>
      </c>
      <c r="DC2315" s="122" t="s">
        <v>5588</v>
      </c>
      <c r="DD2315" s="127">
        <v>7</v>
      </c>
      <c r="DE2315" s="127">
        <v>7</v>
      </c>
      <c r="DG2315" s="405" t="s">
        <v>340</v>
      </c>
      <c r="DH2315" s="406" t="s">
        <v>5588</v>
      </c>
      <c r="DI2315" s="406" t="str">
        <f t="shared" si="68"/>
        <v>MT, Cuiabá</v>
      </c>
      <c r="DJ2315" s="406">
        <v>-15.596</v>
      </c>
      <c r="DK2315" s="80">
        <v>-56.097000000000001</v>
      </c>
      <c r="DL2315" s="80">
        <v>176</v>
      </c>
      <c r="DM2315" s="64">
        <v>7</v>
      </c>
      <c r="DN2315" s="406" t="s">
        <v>7300</v>
      </c>
      <c r="DO2315" s="406">
        <v>-15.62</v>
      </c>
      <c r="DP2315" s="80">
        <v>151</v>
      </c>
    </row>
    <row r="2316" spans="29:120" x14ac:dyDescent="0.25">
      <c r="AC2316" s="122" t="s">
        <v>333</v>
      </c>
      <c r="AD2316" s="122" t="s">
        <v>2670</v>
      </c>
      <c r="AE2316" s="127">
        <v>6</v>
      </c>
      <c r="DA2316" s="122" t="s">
        <v>340</v>
      </c>
      <c r="DB2316" s="122" t="s">
        <v>5646</v>
      </c>
      <c r="DC2316" s="122" t="s">
        <v>5646</v>
      </c>
      <c r="DD2316" s="127">
        <v>8</v>
      </c>
      <c r="DE2316" s="127">
        <v>8</v>
      </c>
      <c r="DG2316" s="405" t="s">
        <v>340</v>
      </c>
      <c r="DH2316" s="406" t="s">
        <v>5646</v>
      </c>
      <c r="DI2316" s="406" t="str">
        <f t="shared" si="68"/>
        <v>MT, Curvelândia</v>
      </c>
      <c r="DJ2316" s="406">
        <v>-15.608000000000001</v>
      </c>
      <c r="DK2316" s="80">
        <v>-57.914999999999999</v>
      </c>
      <c r="DL2316" s="80">
        <v>172</v>
      </c>
      <c r="DM2316" s="64">
        <v>8</v>
      </c>
      <c r="DN2316" s="406" t="s">
        <v>7311</v>
      </c>
      <c r="DO2316" s="406">
        <v>-15.12</v>
      </c>
      <c r="DP2316" s="80">
        <v>303</v>
      </c>
    </row>
    <row r="2317" spans="29:120" x14ac:dyDescent="0.25">
      <c r="AC2317" s="122" t="s">
        <v>333</v>
      </c>
      <c r="AD2317" s="122" t="s">
        <v>2671</v>
      </c>
      <c r="AE2317" s="127">
        <v>6</v>
      </c>
      <c r="DA2317" s="122" t="s">
        <v>340</v>
      </c>
      <c r="DB2317" s="122" t="s">
        <v>5643</v>
      </c>
      <c r="DC2317" s="122" t="s">
        <v>5643</v>
      </c>
      <c r="DD2317" s="127">
        <v>7</v>
      </c>
      <c r="DE2317" s="127">
        <v>7</v>
      </c>
      <c r="DG2317" s="405" t="s">
        <v>340</v>
      </c>
      <c r="DH2317" s="406" t="s">
        <v>5643</v>
      </c>
      <c r="DI2317" s="406" t="str">
        <f t="shared" si="68"/>
        <v>MT, Denise</v>
      </c>
      <c r="DJ2317" s="406">
        <v>-14.74</v>
      </c>
      <c r="DK2317" s="80">
        <v>-57.054000000000002</v>
      </c>
      <c r="DL2317" s="80">
        <v>211</v>
      </c>
      <c r="DM2317" s="64">
        <v>7</v>
      </c>
      <c r="DN2317" s="406" t="s">
        <v>7308</v>
      </c>
      <c r="DO2317" s="406">
        <v>-14.62</v>
      </c>
      <c r="DP2317" s="80">
        <v>322</v>
      </c>
    </row>
    <row r="2318" spans="29:120" x14ac:dyDescent="0.25">
      <c r="AC2318" s="122" t="s">
        <v>322</v>
      </c>
      <c r="AD2318" s="122" t="s">
        <v>2672</v>
      </c>
      <c r="AE2318" s="127">
        <v>6</v>
      </c>
      <c r="DA2318" s="122" t="s">
        <v>340</v>
      </c>
      <c r="DB2318" s="122" t="s">
        <v>5626</v>
      </c>
      <c r="DC2318" s="122" t="s">
        <v>5626</v>
      </c>
      <c r="DD2318" s="127">
        <v>7</v>
      </c>
      <c r="DE2318" s="127">
        <v>7</v>
      </c>
      <c r="DG2318" s="405" t="s">
        <v>340</v>
      </c>
      <c r="DH2318" s="406" t="s">
        <v>5626</v>
      </c>
      <c r="DI2318" s="406" t="str">
        <f t="shared" si="68"/>
        <v>MT, Diamantino</v>
      </c>
      <c r="DJ2318" s="406">
        <v>-14.409000000000001</v>
      </c>
      <c r="DK2318" s="80">
        <v>-56.445999999999998</v>
      </c>
      <c r="DL2318" s="80">
        <v>269</v>
      </c>
      <c r="DM2318" s="64">
        <v>7</v>
      </c>
      <c r="DN2318" s="406" t="s">
        <v>7333</v>
      </c>
      <c r="DO2318" s="406">
        <v>-13.45</v>
      </c>
      <c r="DP2318" s="80">
        <v>350</v>
      </c>
    </row>
    <row r="2319" spans="29:120" x14ac:dyDescent="0.25">
      <c r="AC2319" s="122" t="s">
        <v>289</v>
      </c>
      <c r="AD2319" s="122" t="s">
        <v>2673</v>
      </c>
      <c r="AE2319" s="127">
        <v>6</v>
      </c>
      <c r="DA2319" s="122" t="s">
        <v>340</v>
      </c>
      <c r="DB2319" s="122" t="s">
        <v>7334</v>
      </c>
      <c r="DC2319" s="122" t="s">
        <v>2403</v>
      </c>
      <c r="DD2319" s="127">
        <v>6</v>
      </c>
      <c r="DE2319" s="127">
        <v>6</v>
      </c>
      <c r="DG2319" s="405" t="s">
        <v>340</v>
      </c>
      <c r="DH2319" s="406" t="s">
        <v>2403</v>
      </c>
      <c r="DI2319" s="406" t="str">
        <f t="shared" si="68"/>
        <v>MT, Dom Aquino</v>
      </c>
      <c r="DJ2319" s="406">
        <v>-15.811</v>
      </c>
      <c r="DK2319" s="80">
        <v>-54.917999999999999</v>
      </c>
      <c r="DL2319" s="80">
        <v>283</v>
      </c>
      <c r="DM2319" s="64">
        <v>6</v>
      </c>
      <c r="DN2319" s="406" t="s">
        <v>7323</v>
      </c>
      <c r="DO2319" s="406">
        <v>-15.55</v>
      </c>
      <c r="DP2319" s="80">
        <v>749</v>
      </c>
    </row>
    <row r="2320" spans="29:120" x14ac:dyDescent="0.25">
      <c r="AC2320" s="122" t="s">
        <v>333</v>
      </c>
      <c r="AD2320" s="122" t="s">
        <v>2674</v>
      </c>
      <c r="AE2320" s="127">
        <v>6</v>
      </c>
      <c r="DA2320" s="122" t="s">
        <v>340</v>
      </c>
      <c r="DB2320" s="122" t="s">
        <v>7335</v>
      </c>
      <c r="DC2320" s="122" t="s">
        <v>4974</v>
      </c>
      <c r="DD2320" s="127">
        <v>5</v>
      </c>
      <c r="DE2320" s="127">
        <v>5</v>
      </c>
      <c r="DG2320" s="405" t="s">
        <v>340</v>
      </c>
      <c r="DH2320" s="406" t="s">
        <v>4974</v>
      </c>
      <c r="DI2320" s="406" t="str">
        <f t="shared" si="68"/>
        <v>MT, Feliz Natal</v>
      </c>
      <c r="DJ2320" s="406">
        <v>-12.385999999999999</v>
      </c>
      <c r="DK2320" s="80">
        <v>-54.92</v>
      </c>
      <c r="DL2320" s="80">
        <v>370</v>
      </c>
      <c r="DM2320" s="64">
        <v>5</v>
      </c>
      <c r="DN2320" s="406" t="s">
        <v>7336</v>
      </c>
      <c r="DO2320" s="406">
        <v>-12.52</v>
      </c>
      <c r="DP2320" s="80">
        <v>431</v>
      </c>
    </row>
    <row r="2321" spans="29:120" x14ac:dyDescent="0.25">
      <c r="AC2321" s="122" t="s">
        <v>333</v>
      </c>
      <c r="AD2321" s="122" t="s">
        <v>2675</v>
      </c>
      <c r="AE2321" s="127">
        <v>5</v>
      </c>
      <c r="DA2321" s="122" t="s">
        <v>340</v>
      </c>
      <c r="DB2321" s="122" t="s">
        <v>7337</v>
      </c>
      <c r="DC2321" s="122" t="s">
        <v>5547</v>
      </c>
      <c r="DD2321" s="127">
        <v>5</v>
      </c>
      <c r="DE2321" s="127">
        <v>5</v>
      </c>
      <c r="DG2321" s="405" t="s">
        <v>340</v>
      </c>
      <c r="DH2321" s="406" t="s">
        <v>5547</v>
      </c>
      <c r="DI2321" s="406" t="str">
        <f t="shared" si="68"/>
        <v>MT, Figueirópolis d'Oeste</v>
      </c>
      <c r="DJ2321" s="406">
        <v>-15.445</v>
      </c>
      <c r="DK2321" s="80">
        <v>-58.74</v>
      </c>
      <c r="DL2321" s="80">
        <v>300</v>
      </c>
      <c r="DM2321" s="64">
        <v>5</v>
      </c>
      <c r="DN2321" s="406" t="s">
        <v>7338</v>
      </c>
      <c r="DO2321" s="406">
        <v>-15.25</v>
      </c>
      <c r="DP2321" s="80">
        <v>256</v>
      </c>
    </row>
    <row r="2322" spans="29:120" x14ac:dyDescent="0.25">
      <c r="AC2322" s="122" t="s">
        <v>333</v>
      </c>
      <c r="AD2322" s="122" t="s">
        <v>2676</v>
      </c>
      <c r="AE2322" s="127">
        <v>3</v>
      </c>
      <c r="DA2322" s="122" t="s">
        <v>340</v>
      </c>
      <c r="DB2322" s="122" t="s">
        <v>7339</v>
      </c>
      <c r="DC2322" s="122" t="s">
        <v>4935</v>
      </c>
      <c r="DD2322" s="127">
        <v>6</v>
      </c>
      <c r="DE2322" s="127">
        <v>6</v>
      </c>
      <c r="DG2322" s="405" t="s">
        <v>340</v>
      </c>
      <c r="DH2322" s="406" t="s">
        <v>4935</v>
      </c>
      <c r="DI2322" s="406" t="str">
        <f t="shared" si="68"/>
        <v>MT, Gaúcha do Norte</v>
      </c>
      <c r="DJ2322" s="406">
        <v>-13.242000000000001</v>
      </c>
      <c r="DK2322" s="80">
        <v>-53.08</v>
      </c>
      <c r="DL2322" s="80">
        <v>399</v>
      </c>
      <c r="DM2322" s="64">
        <v>6</v>
      </c>
      <c r="DN2322" s="406" t="s">
        <v>7340</v>
      </c>
      <c r="DO2322" s="406">
        <v>-13.18</v>
      </c>
      <c r="DP2322" s="80">
        <v>379</v>
      </c>
    </row>
    <row r="2323" spans="29:120" x14ac:dyDescent="0.25">
      <c r="AC2323" s="122" t="s">
        <v>289</v>
      </c>
      <c r="AD2323" s="122" t="s">
        <v>2677</v>
      </c>
      <c r="AE2323" s="127">
        <v>6</v>
      </c>
      <c r="DA2323" s="122" t="s">
        <v>340</v>
      </c>
      <c r="DB2323" s="122" t="s">
        <v>7341</v>
      </c>
      <c r="DC2323" s="122" t="s">
        <v>1751</v>
      </c>
      <c r="DD2323" s="127">
        <v>6</v>
      </c>
      <c r="DE2323" s="127">
        <v>6</v>
      </c>
      <c r="DG2323" s="405" t="s">
        <v>340</v>
      </c>
      <c r="DH2323" s="406" t="s">
        <v>1751</v>
      </c>
      <c r="DI2323" s="406" t="str">
        <f t="shared" si="68"/>
        <v>MT, General Carneiro</v>
      </c>
      <c r="DJ2323" s="406">
        <v>-15.711</v>
      </c>
      <c r="DK2323" s="80">
        <v>-52.755000000000003</v>
      </c>
      <c r="DL2323" s="80">
        <v>343</v>
      </c>
      <c r="DM2323" s="64">
        <v>6</v>
      </c>
      <c r="DN2323" s="406" t="s">
        <v>6528</v>
      </c>
      <c r="DO2323" s="406">
        <v>-15.9</v>
      </c>
      <c r="DP2323" s="80">
        <v>347</v>
      </c>
    </row>
    <row r="2324" spans="29:120" x14ac:dyDescent="0.25">
      <c r="AC2324" s="122" t="s">
        <v>333</v>
      </c>
      <c r="AD2324" s="122" t="s">
        <v>2678</v>
      </c>
      <c r="AE2324" s="127">
        <v>5</v>
      </c>
      <c r="DA2324" s="122" t="s">
        <v>340</v>
      </c>
      <c r="DB2324" s="122" t="s">
        <v>7342</v>
      </c>
      <c r="DC2324" s="122" t="s">
        <v>5597</v>
      </c>
      <c r="DD2324" s="127">
        <v>5</v>
      </c>
      <c r="DE2324" s="127">
        <v>5</v>
      </c>
      <c r="DG2324" s="405" t="s">
        <v>340</v>
      </c>
      <c r="DH2324" s="406" t="s">
        <v>5597</v>
      </c>
      <c r="DI2324" s="406" t="str">
        <f t="shared" si="68"/>
        <v>MT, Glória d'Oeste</v>
      </c>
      <c r="DJ2324" s="406">
        <v>-15.768000000000001</v>
      </c>
      <c r="DK2324" s="80">
        <v>-58.356000000000002</v>
      </c>
      <c r="DL2324" s="80">
        <v>195</v>
      </c>
      <c r="DM2324" s="64">
        <v>5</v>
      </c>
      <c r="DN2324" s="406" t="s">
        <v>7311</v>
      </c>
      <c r="DO2324" s="406">
        <v>-15.12</v>
      </c>
      <c r="DP2324" s="80">
        <v>303</v>
      </c>
    </row>
    <row r="2325" spans="29:120" x14ac:dyDescent="0.25">
      <c r="AC2325" s="122" t="s">
        <v>333</v>
      </c>
      <c r="AD2325" s="122" t="s">
        <v>2679</v>
      </c>
      <c r="AE2325" s="127">
        <v>5</v>
      </c>
      <c r="DA2325" s="122" t="s">
        <v>340</v>
      </c>
      <c r="DB2325" s="122" t="s">
        <v>7343</v>
      </c>
      <c r="DC2325" s="122" t="s">
        <v>4988</v>
      </c>
      <c r="DD2325" s="127">
        <v>8</v>
      </c>
      <c r="DE2325" s="127">
        <v>8</v>
      </c>
      <c r="DG2325" s="405" t="s">
        <v>340</v>
      </c>
      <c r="DH2325" s="406" t="s">
        <v>4988</v>
      </c>
      <c r="DI2325" s="406" t="str">
        <f t="shared" si="68"/>
        <v>MT, Guarantã do Norte</v>
      </c>
      <c r="DJ2325" s="406">
        <v>-9.7880000000000003</v>
      </c>
      <c r="DK2325" s="80">
        <v>-54.91</v>
      </c>
      <c r="DL2325" s="80">
        <v>345</v>
      </c>
      <c r="DM2325" s="64">
        <v>8</v>
      </c>
      <c r="DN2325" s="406" t="s">
        <v>7344</v>
      </c>
      <c r="DO2325" s="406">
        <v>-9.7899999999999991</v>
      </c>
      <c r="DP2325" s="80">
        <v>320</v>
      </c>
    </row>
    <row r="2326" spans="29:120" x14ac:dyDescent="0.25">
      <c r="AC2326" s="122" t="s">
        <v>322</v>
      </c>
      <c r="AD2326" s="122" t="s">
        <v>2680</v>
      </c>
      <c r="AE2326" s="127">
        <v>6</v>
      </c>
      <c r="DA2326" s="122" t="s">
        <v>340</v>
      </c>
      <c r="DB2326" s="122" t="s">
        <v>5665</v>
      </c>
      <c r="DC2326" s="122" t="s">
        <v>5665</v>
      </c>
      <c r="DD2326" s="127">
        <v>6</v>
      </c>
      <c r="DE2326" s="127">
        <v>6</v>
      </c>
      <c r="DG2326" s="405" t="s">
        <v>340</v>
      </c>
      <c r="DH2326" s="406" t="s">
        <v>5665</v>
      </c>
      <c r="DI2326" s="406" t="str">
        <f t="shared" si="68"/>
        <v>MT, Guiratinga</v>
      </c>
      <c r="DJ2326" s="406">
        <v>-16.349</v>
      </c>
      <c r="DK2326" s="80">
        <v>-53.758000000000003</v>
      </c>
      <c r="DL2326" s="80">
        <v>510</v>
      </c>
      <c r="DM2326" s="64">
        <v>6</v>
      </c>
      <c r="DN2326" s="406" t="s">
        <v>7345</v>
      </c>
      <c r="DO2326" s="406">
        <v>-16.34</v>
      </c>
      <c r="DP2326" s="80">
        <v>526</v>
      </c>
    </row>
    <row r="2327" spans="29:120" x14ac:dyDescent="0.25">
      <c r="AC2327" s="122" t="s">
        <v>333</v>
      </c>
      <c r="AD2327" s="122" t="s">
        <v>2681</v>
      </c>
      <c r="AE2327" s="127">
        <v>3</v>
      </c>
      <c r="DA2327" s="122" t="s">
        <v>340</v>
      </c>
      <c r="DB2327" s="122" t="s">
        <v>5558</v>
      </c>
      <c r="DC2327" s="122" t="s">
        <v>5558</v>
      </c>
      <c r="DD2327" s="127">
        <v>5</v>
      </c>
      <c r="DE2327" s="127">
        <v>5</v>
      </c>
      <c r="DG2327" s="405" t="s">
        <v>340</v>
      </c>
      <c r="DH2327" s="406" t="s">
        <v>5558</v>
      </c>
      <c r="DI2327" s="406" t="str">
        <f t="shared" si="68"/>
        <v>MT, Indiavaí</v>
      </c>
      <c r="DJ2327" s="406">
        <v>-15.494</v>
      </c>
      <c r="DK2327" s="80">
        <v>-58.573</v>
      </c>
      <c r="DL2327" s="80">
        <v>215</v>
      </c>
      <c r="DM2327" s="64">
        <v>5</v>
      </c>
      <c r="DN2327" s="406" t="s">
        <v>7311</v>
      </c>
      <c r="DO2327" s="406">
        <v>-15.12</v>
      </c>
      <c r="DP2327" s="80">
        <v>303</v>
      </c>
    </row>
    <row r="2328" spans="29:120" x14ac:dyDescent="0.25">
      <c r="AC2328" s="122" t="s">
        <v>333</v>
      </c>
      <c r="AD2328" s="122" t="s">
        <v>2682</v>
      </c>
      <c r="AE2328" s="127">
        <v>5</v>
      </c>
      <c r="DA2328" s="122" t="s">
        <v>340</v>
      </c>
      <c r="DB2328" s="122" t="s">
        <v>7346</v>
      </c>
      <c r="DC2328" s="122" t="s">
        <v>2398</v>
      </c>
      <c r="DD2328" s="127">
        <v>5</v>
      </c>
      <c r="DE2328" s="127">
        <v>5</v>
      </c>
      <c r="DG2328" s="405" t="s">
        <v>340</v>
      </c>
      <c r="DH2328" s="406" t="s">
        <v>2398</v>
      </c>
      <c r="DI2328" s="406" t="str">
        <f t="shared" si="68"/>
        <v>MT, Ipiranga do Norte</v>
      </c>
      <c r="DJ2328" s="406">
        <v>-12.241</v>
      </c>
      <c r="DK2328" s="80">
        <v>-56.146000000000001</v>
      </c>
      <c r="DL2328" s="80">
        <v>379</v>
      </c>
      <c r="DM2328" s="64">
        <v>5</v>
      </c>
      <c r="DN2328" s="406" t="s">
        <v>7347</v>
      </c>
      <c r="DO2328" s="406">
        <v>-12.55</v>
      </c>
      <c r="DP2328" s="80">
        <v>380</v>
      </c>
    </row>
    <row r="2329" spans="29:120" x14ac:dyDescent="0.25">
      <c r="AC2329" s="122" t="s">
        <v>333</v>
      </c>
      <c r="AD2329" s="122" t="s">
        <v>2683</v>
      </c>
      <c r="AE2329" s="127">
        <v>5</v>
      </c>
      <c r="DA2329" s="122" t="s">
        <v>340</v>
      </c>
      <c r="DB2329" s="122" t="s">
        <v>2383</v>
      </c>
      <c r="DC2329" s="122" t="s">
        <v>2383</v>
      </c>
      <c r="DD2329" s="127">
        <v>5</v>
      </c>
      <c r="DE2329" s="127">
        <v>5</v>
      </c>
      <c r="DG2329" s="405" t="s">
        <v>340</v>
      </c>
      <c r="DH2329" s="406" t="s">
        <v>5736</v>
      </c>
      <c r="DI2329" s="406" t="str">
        <f t="shared" si="68"/>
        <v>MT, Itanhangá</v>
      </c>
      <c r="DJ2329" s="406">
        <v>-12.172000000000001</v>
      </c>
      <c r="DK2329" s="80">
        <v>-56.68</v>
      </c>
      <c r="DL2329" s="80">
        <v>305</v>
      </c>
      <c r="DM2329" s="64">
        <v>5</v>
      </c>
      <c r="DN2329" s="406" t="s">
        <v>7348</v>
      </c>
      <c r="DO2329" s="406">
        <v>-13.04</v>
      </c>
      <c r="DP2329" s="80">
        <v>353</v>
      </c>
    </row>
    <row r="2330" spans="29:120" x14ac:dyDescent="0.25">
      <c r="AC2330" s="122" t="s">
        <v>322</v>
      </c>
      <c r="AD2330" s="122" t="s">
        <v>2684</v>
      </c>
      <c r="AE2330" s="127">
        <v>6</v>
      </c>
      <c r="DA2330" s="122" t="s">
        <v>340</v>
      </c>
      <c r="DB2330" s="122" t="s">
        <v>4892</v>
      </c>
      <c r="DC2330" s="122" t="s">
        <v>4892</v>
      </c>
      <c r="DD2330" s="127">
        <v>8</v>
      </c>
      <c r="DE2330" s="127">
        <v>8</v>
      </c>
      <c r="DG2330" s="405" t="s">
        <v>340</v>
      </c>
      <c r="DH2330" s="406" t="s">
        <v>4892</v>
      </c>
      <c r="DI2330" s="406" t="str">
        <f t="shared" si="68"/>
        <v>MT, Itaúba</v>
      </c>
      <c r="DJ2330" s="406">
        <v>-11.061999999999999</v>
      </c>
      <c r="DK2330" s="80">
        <v>-55.276000000000003</v>
      </c>
      <c r="DL2330" s="80">
        <v>240</v>
      </c>
      <c r="DM2330" s="64">
        <v>8</v>
      </c>
      <c r="DN2330" s="406" t="s">
        <v>7330</v>
      </c>
      <c r="DO2330" s="406">
        <v>-11.86</v>
      </c>
      <c r="DP2330" s="80">
        <v>371</v>
      </c>
    </row>
    <row r="2331" spans="29:120" x14ac:dyDescent="0.25">
      <c r="AC2331" s="122" t="s">
        <v>333</v>
      </c>
      <c r="AD2331" s="122" t="s">
        <v>2685</v>
      </c>
      <c r="AE2331" s="127">
        <v>4</v>
      </c>
      <c r="DA2331" s="122" t="s">
        <v>340</v>
      </c>
      <c r="DB2331" s="122" t="s">
        <v>2382</v>
      </c>
      <c r="DC2331" s="122" t="s">
        <v>2382</v>
      </c>
      <c r="DD2331" s="127">
        <v>6</v>
      </c>
      <c r="DE2331" s="127">
        <v>6</v>
      </c>
      <c r="DG2331" s="405" t="s">
        <v>340</v>
      </c>
      <c r="DH2331" s="406" t="s">
        <v>2382</v>
      </c>
      <c r="DI2331" s="406" t="str">
        <f t="shared" si="68"/>
        <v>MT, Itiquira</v>
      </c>
      <c r="DJ2331" s="406">
        <v>-17.209</v>
      </c>
      <c r="DK2331" s="80">
        <v>-54.15</v>
      </c>
      <c r="DL2331" s="80">
        <v>522</v>
      </c>
      <c r="DM2331" s="64">
        <v>6</v>
      </c>
      <c r="DN2331" s="406" t="s">
        <v>7298</v>
      </c>
      <c r="DO2331" s="406">
        <v>-17.18</v>
      </c>
      <c r="DP2331" s="80">
        <v>585</v>
      </c>
    </row>
    <row r="2332" spans="29:120" x14ac:dyDescent="0.25">
      <c r="AC2332" s="122" t="s">
        <v>333</v>
      </c>
      <c r="AD2332" s="122" t="s">
        <v>2686</v>
      </c>
      <c r="AE2332" s="127">
        <v>4</v>
      </c>
      <c r="DA2332" s="122" t="s">
        <v>340</v>
      </c>
      <c r="DB2332" s="122" t="s">
        <v>2404</v>
      </c>
      <c r="DC2332" s="122" t="s">
        <v>2404</v>
      </c>
      <c r="DD2332" s="127">
        <v>6</v>
      </c>
      <c r="DE2332" s="127">
        <v>6</v>
      </c>
      <c r="DG2332" s="405" t="s">
        <v>340</v>
      </c>
      <c r="DH2332" s="406" t="s">
        <v>2404</v>
      </c>
      <c r="DI2332" s="406" t="str">
        <f t="shared" si="68"/>
        <v>MT, Jaciara</v>
      </c>
      <c r="DJ2332" s="406">
        <v>-15.965</v>
      </c>
      <c r="DK2332" s="80">
        <v>-54.968000000000004</v>
      </c>
      <c r="DL2332" s="80">
        <v>367</v>
      </c>
      <c r="DM2332" s="64">
        <v>6</v>
      </c>
      <c r="DN2332" s="406" t="s">
        <v>7323</v>
      </c>
      <c r="DO2332" s="406">
        <v>-15.55</v>
      </c>
      <c r="DP2332" s="80">
        <v>749</v>
      </c>
    </row>
    <row r="2333" spans="29:120" x14ac:dyDescent="0.25">
      <c r="AC2333" s="122" t="s">
        <v>289</v>
      </c>
      <c r="AD2333" s="122" t="s">
        <v>2687</v>
      </c>
      <c r="AE2333" s="127">
        <v>6</v>
      </c>
      <c r="DA2333" s="122" t="s">
        <v>340</v>
      </c>
      <c r="DB2333" s="122" t="s">
        <v>5651</v>
      </c>
      <c r="DC2333" s="122" t="s">
        <v>5651</v>
      </c>
      <c r="DD2333" s="127">
        <v>7</v>
      </c>
      <c r="DE2333" s="127">
        <v>7</v>
      </c>
      <c r="DG2333" s="405" t="s">
        <v>340</v>
      </c>
      <c r="DH2333" s="406" t="s">
        <v>5651</v>
      </c>
      <c r="DI2333" s="406" t="str">
        <f t="shared" si="68"/>
        <v>MT, Jangada</v>
      </c>
      <c r="DJ2333" s="406">
        <v>-15.236000000000001</v>
      </c>
      <c r="DK2333" s="80">
        <v>-56.488999999999997</v>
      </c>
      <c r="DL2333" s="80">
        <v>178</v>
      </c>
      <c r="DM2333" s="64">
        <v>7</v>
      </c>
      <c r="DN2333" s="406" t="s">
        <v>7300</v>
      </c>
      <c r="DO2333" s="406">
        <v>-15.62</v>
      </c>
      <c r="DP2333" s="80">
        <v>151</v>
      </c>
    </row>
    <row r="2334" spans="29:120" x14ac:dyDescent="0.25">
      <c r="AC2334" s="122" t="s">
        <v>333</v>
      </c>
      <c r="AD2334" s="122" t="s">
        <v>2688</v>
      </c>
      <c r="AE2334" s="127">
        <v>3</v>
      </c>
      <c r="DA2334" s="122" t="s">
        <v>340</v>
      </c>
      <c r="DB2334" s="122" t="s">
        <v>5279</v>
      </c>
      <c r="DC2334" s="122" t="s">
        <v>5279</v>
      </c>
      <c r="DD2334" s="127">
        <v>5</v>
      </c>
      <c r="DE2334" s="127">
        <v>5</v>
      </c>
      <c r="DG2334" s="405" t="s">
        <v>340</v>
      </c>
      <c r="DH2334" s="406" t="s">
        <v>5279</v>
      </c>
      <c r="DI2334" s="406" t="str">
        <f t="shared" si="68"/>
        <v>MT, Jauru</v>
      </c>
      <c r="DJ2334" s="406">
        <v>-15.342000000000001</v>
      </c>
      <c r="DK2334" s="80">
        <v>-58.866</v>
      </c>
      <c r="DL2334" s="80">
        <v>405</v>
      </c>
      <c r="DM2334" s="64">
        <v>5</v>
      </c>
      <c r="DN2334" s="406" t="s">
        <v>7338</v>
      </c>
      <c r="DO2334" s="406">
        <v>-15.25</v>
      </c>
      <c r="DP2334" s="80">
        <v>256</v>
      </c>
    </row>
    <row r="2335" spans="29:120" x14ac:dyDescent="0.25">
      <c r="AC2335" s="122" t="s">
        <v>247</v>
      </c>
      <c r="AD2335" s="122" t="s">
        <v>2689</v>
      </c>
      <c r="AE2335" s="127">
        <v>8</v>
      </c>
      <c r="DA2335" s="122" t="s">
        <v>340</v>
      </c>
      <c r="DB2335" s="122" t="s">
        <v>5004</v>
      </c>
      <c r="DC2335" s="122" t="s">
        <v>5004</v>
      </c>
      <c r="DD2335" s="127">
        <v>8</v>
      </c>
      <c r="DE2335" s="127">
        <v>8</v>
      </c>
      <c r="DG2335" s="405" t="s">
        <v>340</v>
      </c>
      <c r="DH2335" s="406" t="s">
        <v>5004</v>
      </c>
      <c r="DI2335" s="406" t="str">
        <f t="shared" si="68"/>
        <v>MT, Juara</v>
      </c>
      <c r="DJ2335" s="406">
        <v>-11.255000000000001</v>
      </c>
      <c r="DK2335" s="80">
        <v>-57.52</v>
      </c>
      <c r="DL2335" s="80">
        <v>292</v>
      </c>
      <c r="DM2335" s="64">
        <v>8</v>
      </c>
      <c r="DN2335" s="406" t="s">
        <v>7318</v>
      </c>
      <c r="DO2335" s="406">
        <v>-11.26</v>
      </c>
      <c r="DP2335" s="80">
        <v>260</v>
      </c>
    </row>
    <row r="2336" spans="29:120" x14ac:dyDescent="0.25">
      <c r="AC2336" s="122" t="s">
        <v>333</v>
      </c>
      <c r="AD2336" s="122" t="s">
        <v>2690</v>
      </c>
      <c r="AE2336" s="127">
        <v>3</v>
      </c>
      <c r="DA2336" s="122" t="s">
        <v>340</v>
      </c>
      <c r="DB2336" s="122" t="s">
        <v>4464</v>
      </c>
      <c r="DC2336" s="122" t="s">
        <v>4464</v>
      </c>
      <c r="DD2336" s="127">
        <v>8</v>
      </c>
      <c r="DE2336" s="127">
        <v>8</v>
      </c>
      <c r="DG2336" s="405" t="s">
        <v>340</v>
      </c>
      <c r="DH2336" s="406" t="s">
        <v>4464</v>
      </c>
      <c r="DI2336" s="406" t="str">
        <f t="shared" si="68"/>
        <v>MT, Juína</v>
      </c>
      <c r="DJ2336" s="406">
        <v>-11.378</v>
      </c>
      <c r="DK2336" s="80">
        <v>-58.741</v>
      </c>
      <c r="DL2336" s="80">
        <v>442</v>
      </c>
      <c r="DM2336" s="64">
        <v>8</v>
      </c>
      <c r="DN2336" s="406" t="s">
        <v>7328</v>
      </c>
      <c r="DO2336" s="406">
        <v>-11.38</v>
      </c>
      <c r="DP2336" s="80">
        <v>200</v>
      </c>
    </row>
    <row r="2337" spans="29:120" x14ac:dyDescent="0.25">
      <c r="AC2337" s="122" t="s">
        <v>322</v>
      </c>
      <c r="AD2337" s="122" t="s">
        <v>2691</v>
      </c>
      <c r="AE2337" s="127">
        <v>6</v>
      </c>
      <c r="DA2337" s="122" t="s">
        <v>340</v>
      </c>
      <c r="DB2337" s="122" t="s">
        <v>4993</v>
      </c>
      <c r="DC2337" s="122" t="s">
        <v>4993</v>
      </c>
      <c r="DD2337" s="127">
        <v>8</v>
      </c>
      <c r="DE2337" s="127">
        <v>8</v>
      </c>
      <c r="DG2337" s="405" t="s">
        <v>340</v>
      </c>
      <c r="DH2337" s="406" t="s">
        <v>4993</v>
      </c>
      <c r="DI2337" s="406" t="str">
        <f t="shared" si="68"/>
        <v>MT, Juruena</v>
      </c>
      <c r="DJ2337" s="406">
        <v>-10.318</v>
      </c>
      <c r="DK2337" s="80">
        <v>-58.359000000000002</v>
      </c>
      <c r="DL2337" s="80">
        <v>300</v>
      </c>
      <c r="DM2337" s="64">
        <v>8</v>
      </c>
      <c r="DN2337" s="406" t="s">
        <v>6156</v>
      </c>
      <c r="DO2337" s="406">
        <v>-9.86</v>
      </c>
      <c r="DP2337" s="80">
        <v>261</v>
      </c>
    </row>
    <row r="2338" spans="29:120" x14ac:dyDescent="0.25">
      <c r="AC2338" s="122" t="s">
        <v>322</v>
      </c>
      <c r="AD2338" s="122" t="s">
        <v>2692</v>
      </c>
      <c r="AE2338" s="127">
        <v>4</v>
      </c>
      <c r="DA2338" s="122" t="s">
        <v>340</v>
      </c>
      <c r="DB2338" s="122" t="s">
        <v>5319</v>
      </c>
      <c r="DC2338" s="122" t="s">
        <v>5319</v>
      </c>
      <c r="DD2338" s="127">
        <v>6</v>
      </c>
      <c r="DE2338" s="127">
        <v>6</v>
      </c>
      <c r="DG2338" s="405" t="s">
        <v>340</v>
      </c>
      <c r="DH2338" s="406" t="s">
        <v>5319</v>
      </c>
      <c r="DI2338" s="406" t="str">
        <f t="shared" si="68"/>
        <v>MT, Juscimeira</v>
      </c>
      <c r="DJ2338" s="406">
        <v>-16.050999999999998</v>
      </c>
      <c r="DK2338" s="80">
        <v>-54.884</v>
      </c>
      <c r="DL2338" s="80">
        <v>251</v>
      </c>
      <c r="DM2338" s="64">
        <v>6</v>
      </c>
      <c r="DN2338" s="406" t="s">
        <v>7349</v>
      </c>
      <c r="DO2338" s="406">
        <v>-16.47</v>
      </c>
      <c r="DP2338" s="80">
        <v>284</v>
      </c>
    </row>
    <row r="2339" spans="29:120" x14ac:dyDescent="0.25">
      <c r="AC2339" s="122" t="s">
        <v>289</v>
      </c>
      <c r="AD2339" s="122" t="s">
        <v>2693</v>
      </c>
      <c r="AE2339" s="127">
        <v>5</v>
      </c>
      <c r="DA2339" s="122" t="s">
        <v>340</v>
      </c>
      <c r="DB2339" s="122" t="s">
        <v>7350</v>
      </c>
      <c r="DC2339" s="122" t="s">
        <v>5637</v>
      </c>
      <c r="DD2339" s="127">
        <v>5</v>
      </c>
      <c r="DE2339" s="127">
        <v>5</v>
      </c>
      <c r="DG2339" s="405" t="s">
        <v>340</v>
      </c>
      <c r="DH2339" s="406" t="s">
        <v>5637</v>
      </c>
      <c r="DI2339" s="406" t="str">
        <f t="shared" si="68"/>
        <v>MT, Lambari d'Oeste</v>
      </c>
      <c r="DJ2339" s="406">
        <v>-15.323</v>
      </c>
      <c r="DK2339" s="80">
        <v>-58.003999999999998</v>
      </c>
      <c r="DL2339" s="80">
        <v>186</v>
      </c>
      <c r="DM2339" s="64">
        <v>5</v>
      </c>
      <c r="DN2339" s="406" t="s">
        <v>7311</v>
      </c>
      <c r="DO2339" s="406">
        <v>-15.12</v>
      </c>
      <c r="DP2339" s="80">
        <v>303</v>
      </c>
    </row>
    <row r="2340" spans="29:120" x14ac:dyDescent="0.25">
      <c r="AC2340" s="122" t="s">
        <v>348</v>
      </c>
      <c r="AD2340" s="122" t="s">
        <v>2694</v>
      </c>
      <c r="AE2340" s="127">
        <v>8</v>
      </c>
      <c r="DA2340" s="122" t="s">
        <v>340</v>
      </c>
      <c r="DB2340" s="122" t="s">
        <v>7351</v>
      </c>
      <c r="DC2340" s="122" t="s">
        <v>4949</v>
      </c>
      <c r="DD2340" s="127">
        <v>5</v>
      </c>
      <c r="DE2340" s="127">
        <v>5</v>
      </c>
      <c r="DG2340" s="405" t="s">
        <v>340</v>
      </c>
      <c r="DH2340" s="406" t="s">
        <v>4949</v>
      </c>
      <c r="DI2340" s="406" t="str">
        <f t="shared" si="68"/>
        <v>MT, Lucas do Rio Verde</v>
      </c>
      <c r="DJ2340" s="406">
        <v>-13.05</v>
      </c>
      <c r="DK2340" s="80">
        <v>-55.911000000000001</v>
      </c>
      <c r="DL2340" s="80">
        <v>390</v>
      </c>
      <c r="DM2340" s="64">
        <v>5</v>
      </c>
      <c r="DN2340" s="406" t="s">
        <v>7347</v>
      </c>
      <c r="DO2340" s="406">
        <v>-12.55</v>
      </c>
      <c r="DP2340" s="80">
        <v>380</v>
      </c>
    </row>
    <row r="2341" spans="29:120" x14ac:dyDescent="0.25">
      <c r="AC2341" s="122" t="s">
        <v>322</v>
      </c>
      <c r="AD2341" s="122" t="s">
        <v>2695</v>
      </c>
      <c r="AE2341" s="127">
        <v>6</v>
      </c>
      <c r="DA2341" s="122" t="s">
        <v>340</v>
      </c>
      <c r="DB2341" s="122" t="s">
        <v>4403</v>
      </c>
      <c r="DC2341" s="122" t="s">
        <v>4403</v>
      </c>
      <c r="DD2341" s="127">
        <v>7</v>
      </c>
      <c r="DE2341" s="127">
        <v>7</v>
      </c>
      <c r="DG2341" s="405" t="s">
        <v>340</v>
      </c>
      <c r="DH2341" s="406" t="s">
        <v>4403</v>
      </c>
      <c r="DI2341" s="406" t="str">
        <f t="shared" si="68"/>
        <v>MT, Luciara</v>
      </c>
      <c r="DJ2341" s="406">
        <v>-11.222</v>
      </c>
      <c r="DK2341" s="80">
        <v>-50.668999999999997</v>
      </c>
      <c r="DL2341" s="80">
        <v>197</v>
      </c>
      <c r="DM2341" s="64">
        <v>7</v>
      </c>
      <c r="DN2341" s="406" t="s">
        <v>7305</v>
      </c>
      <c r="DO2341" s="406">
        <v>-11.62</v>
      </c>
      <c r="DP2341" s="80">
        <v>218</v>
      </c>
    </row>
    <row r="2342" spans="29:120" x14ac:dyDescent="0.25">
      <c r="AC2342" s="122" t="s">
        <v>322</v>
      </c>
      <c r="AD2342" s="122" t="s">
        <v>2696</v>
      </c>
      <c r="AE2342" s="127">
        <v>6</v>
      </c>
      <c r="DA2342" s="122" t="s">
        <v>340</v>
      </c>
      <c r="DB2342" s="122" t="s">
        <v>4867</v>
      </c>
      <c r="DC2342" s="122" t="s">
        <v>4867</v>
      </c>
      <c r="DD2342" s="127">
        <v>8</v>
      </c>
      <c r="DE2342" s="127">
        <v>8</v>
      </c>
      <c r="DG2342" s="405" t="s">
        <v>340</v>
      </c>
      <c r="DH2342" s="406" t="s">
        <v>4867</v>
      </c>
      <c r="DI2342" s="406" t="str">
        <f t="shared" si="68"/>
        <v>MT, Marcelândia</v>
      </c>
      <c r="DJ2342" s="406">
        <v>-11.132999999999999</v>
      </c>
      <c r="DK2342" s="80">
        <v>-54.597000000000001</v>
      </c>
      <c r="DL2342" s="80">
        <v>290</v>
      </c>
      <c r="DM2342" s="64">
        <v>8</v>
      </c>
      <c r="DN2342" s="406" t="s">
        <v>7330</v>
      </c>
      <c r="DO2342" s="406">
        <v>-11.86</v>
      </c>
      <c r="DP2342" s="80">
        <v>371</v>
      </c>
    </row>
    <row r="2343" spans="29:120" x14ac:dyDescent="0.25">
      <c r="AC2343" s="122" t="s">
        <v>333</v>
      </c>
      <c r="AD2343" s="122" t="s">
        <v>2697</v>
      </c>
      <c r="AE2343" s="127">
        <v>5</v>
      </c>
      <c r="DA2343" s="122" t="s">
        <v>340</v>
      </c>
      <c r="DB2343" s="122" t="s">
        <v>4984</v>
      </c>
      <c r="DC2343" s="122" t="s">
        <v>4984</v>
      </c>
      <c r="DD2343" s="127">
        <v>8</v>
      </c>
      <c r="DE2343" s="127">
        <v>8</v>
      </c>
      <c r="DG2343" s="405" t="s">
        <v>340</v>
      </c>
      <c r="DH2343" s="406" t="s">
        <v>4984</v>
      </c>
      <c r="DI2343" s="406" t="str">
        <f t="shared" si="68"/>
        <v>MT, Matupá</v>
      </c>
      <c r="DJ2343" s="406">
        <v>-10.057</v>
      </c>
      <c r="DK2343" s="80">
        <v>-54.933</v>
      </c>
      <c r="DL2343" s="80">
        <v>280</v>
      </c>
      <c r="DM2343" s="64">
        <v>8</v>
      </c>
      <c r="DN2343" s="406" t="s">
        <v>7344</v>
      </c>
      <c r="DO2343" s="406">
        <v>-9.7899999999999991</v>
      </c>
      <c r="DP2343" s="80">
        <v>320</v>
      </c>
    </row>
    <row r="2344" spans="29:120" x14ac:dyDescent="0.25">
      <c r="AC2344" s="122" t="s">
        <v>322</v>
      </c>
      <c r="AD2344" s="122" t="s">
        <v>2698</v>
      </c>
      <c r="AE2344" s="127">
        <v>6</v>
      </c>
      <c r="DA2344" s="122" t="s">
        <v>340</v>
      </c>
      <c r="DB2344" s="122" t="s">
        <v>7352</v>
      </c>
      <c r="DC2344" s="122" t="s">
        <v>5620</v>
      </c>
      <c r="DD2344" s="127">
        <v>8</v>
      </c>
      <c r="DE2344" s="127">
        <v>8</v>
      </c>
      <c r="DG2344" s="405" t="s">
        <v>340</v>
      </c>
      <c r="DH2344" s="406" t="s">
        <v>5620</v>
      </c>
      <c r="DI2344" s="406" t="str">
        <f t="shared" si="68"/>
        <v>MT, Mirassol d'Oeste</v>
      </c>
      <c r="DJ2344" s="406">
        <v>-15.675000000000001</v>
      </c>
      <c r="DK2344" s="80">
        <v>-58.095999999999997</v>
      </c>
      <c r="DL2344" s="80">
        <v>260</v>
      </c>
      <c r="DM2344" s="64">
        <v>8</v>
      </c>
      <c r="DN2344" s="406" t="s">
        <v>7311</v>
      </c>
      <c r="DO2344" s="406">
        <v>-15.12</v>
      </c>
      <c r="DP2344" s="80">
        <v>303</v>
      </c>
    </row>
    <row r="2345" spans="29:120" x14ac:dyDescent="0.25">
      <c r="AC2345" s="122" t="s">
        <v>289</v>
      </c>
      <c r="AD2345" s="122" t="s">
        <v>2699</v>
      </c>
      <c r="AE2345" s="127">
        <v>6</v>
      </c>
      <c r="DA2345" s="122" t="s">
        <v>340</v>
      </c>
      <c r="DB2345" s="122" t="s">
        <v>5604</v>
      </c>
      <c r="DC2345" s="122" t="s">
        <v>5604</v>
      </c>
      <c r="DD2345" s="127">
        <v>7</v>
      </c>
      <c r="DE2345" s="127">
        <v>7</v>
      </c>
      <c r="DG2345" s="405" t="s">
        <v>340</v>
      </c>
      <c r="DH2345" s="406" t="s">
        <v>5604</v>
      </c>
      <c r="DI2345" s="406" t="str">
        <f t="shared" si="68"/>
        <v>MT, Nobres</v>
      </c>
      <c r="DJ2345" s="406">
        <v>-14.72</v>
      </c>
      <c r="DK2345" s="80">
        <v>-56.328000000000003</v>
      </c>
      <c r="DL2345" s="80">
        <v>200</v>
      </c>
      <c r="DM2345" s="64">
        <v>7</v>
      </c>
      <c r="DN2345" s="406" t="s">
        <v>7300</v>
      </c>
      <c r="DO2345" s="406">
        <v>-15.62</v>
      </c>
      <c r="DP2345" s="80">
        <v>151</v>
      </c>
    </row>
    <row r="2346" spans="29:120" x14ac:dyDescent="0.25">
      <c r="AC2346" s="122" t="s">
        <v>333</v>
      </c>
      <c r="AD2346" s="122" t="s">
        <v>2700</v>
      </c>
      <c r="AE2346" s="127">
        <v>3</v>
      </c>
      <c r="DA2346" s="122" t="s">
        <v>340</v>
      </c>
      <c r="DB2346" s="122" t="s">
        <v>5635</v>
      </c>
      <c r="DC2346" s="122" t="s">
        <v>5635</v>
      </c>
      <c r="DD2346" s="127">
        <v>7</v>
      </c>
      <c r="DE2346" s="127">
        <v>7</v>
      </c>
      <c r="DG2346" s="405" t="s">
        <v>340</v>
      </c>
      <c r="DH2346" s="406" t="s">
        <v>5635</v>
      </c>
      <c r="DI2346" s="406" t="str">
        <f t="shared" si="68"/>
        <v>MT, Nortelândia</v>
      </c>
      <c r="DJ2346" s="406">
        <v>-14.455</v>
      </c>
      <c r="DK2346" s="80">
        <v>-56.802999999999997</v>
      </c>
      <c r="DL2346" s="80">
        <v>244</v>
      </c>
      <c r="DM2346" s="64">
        <v>7</v>
      </c>
      <c r="DN2346" s="406" t="s">
        <v>7308</v>
      </c>
      <c r="DO2346" s="406">
        <v>-14.62</v>
      </c>
      <c r="DP2346" s="80">
        <v>322</v>
      </c>
    </row>
    <row r="2347" spans="29:120" x14ac:dyDescent="0.25">
      <c r="AC2347" s="122" t="s">
        <v>333</v>
      </c>
      <c r="AD2347" s="122" t="s">
        <v>2701</v>
      </c>
      <c r="AE2347" s="127">
        <v>3</v>
      </c>
      <c r="DA2347" s="122" t="s">
        <v>340</v>
      </c>
      <c r="DB2347" s="122" t="s">
        <v>7353</v>
      </c>
      <c r="DC2347" s="122" t="s">
        <v>5662</v>
      </c>
      <c r="DD2347" s="127">
        <v>7</v>
      </c>
      <c r="DE2347" s="127">
        <v>7</v>
      </c>
      <c r="DG2347" s="405" t="s">
        <v>340</v>
      </c>
      <c r="DH2347" s="406" t="s">
        <v>5662</v>
      </c>
      <c r="DI2347" s="406" t="str">
        <f t="shared" si="68"/>
        <v>MT, Nossa Senhora do Livramento</v>
      </c>
      <c r="DJ2347" s="406">
        <v>-15.775</v>
      </c>
      <c r="DK2347" s="80">
        <v>-56.345999999999997</v>
      </c>
      <c r="DL2347" s="80">
        <v>232</v>
      </c>
      <c r="DM2347" s="64">
        <v>7</v>
      </c>
      <c r="DN2347" s="406" t="s">
        <v>7300</v>
      </c>
      <c r="DO2347" s="406">
        <v>-15.62</v>
      </c>
      <c r="DP2347" s="80">
        <v>151</v>
      </c>
    </row>
    <row r="2348" spans="29:120" x14ac:dyDescent="0.25">
      <c r="AC2348" s="122" t="s">
        <v>372</v>
      </c>
      <c r="AD2348" s="122" t="s">
        <v>2702</v>
      </c>
      <c r="AE2348" s="127">
        <v>8</v>
      </c>
      <c r="DA2348" s="122" t="s">
        <v>340</v>
      </c>
      <c r="DB2348" s="122" t="s">
        <v>7354</v>
      </c>
      <c r="DC2348" s="122" t="s">
        <v>5005</v>
      </c>
      <c r="DD2348" s="127">
        <v>8</v>
      </c>
      <c r="DE2348" s="127">
        <v>8</v>
      </c>
      <c r="DG2348" s="405" t="s">
        <v>340</v>
      </c>
      <c r="DH2348" s="406" t="s">
        <v>5005</v>
      </c>
      <c r="DI2348" s="406" t="str">
        <f t="shared" si="68"/>
        <v>MT, Nova Bandeirantes</v>
      </c>
      <c r="DJ2348" s="406">
        <v>-9.8140000000000001</v>
      </c>
      <c r="DK2348" s="80">
        <v>-57.862000000000002</v>
      </c>
      <c r="DL2348" s="80">
        <v>200</v>
      </c>
      <c r="DM2348" s="64">
        <v>8</v>
      </c>
      <c r="DN2348" s="406" t="s">
        <v>7310</v>
      </c>
      <c r="DO2348" s="406">
        <v>-9.5399999999999991</v>
      </c>
      <c r="DP2348" s="80">
        <v>220</v>
      </c>
    </row>
    <row r="2349" spans="29:120" x14ac:dyDescent="0.25">
      <c r="AC2349" s="122" t="s">
        <v>322</v>
      </c>
      <c r="AD2349" s="122" t="s">
        <v>2703</v>
      </c>
      <c r="AE2349" s="127">
        <v>6</v>
      </c>
      <c r="DA2349" s="122" t="s">
        <v>340</v>
      </c>
      <c r="DB2349" s="122" t="s">
        <v>7355</v>
      </c>
      <c r="DC2349" s="122" t="s">
        <v>2995</v>
      </c>
      <c r="DD2349" s="127">
        <v>6</v>
      </c>
      <c r="DE2349" s="127">
        <v>6</v>
      </c>
      <c r="DG2349" s="405" t="s">
        <v>340</v>
      </c>
      <c r="DH2349" s="406" t="s">
        <v>2995</v>
      </c>
      <c r="DI2349" s="406" t="str">
        <f t="shared" si="68"/>
        <v>MT, Nova Brasilândia</v>
      </c>
      <c r="DJ2349" s="406">
        <v>-14.957000000000001</v>
      </c>
      <c r="DK2349" s="80">
        <v>-54.966000000000001</v>
      </c>
      <c r="DL2349" s="80">
        <v>540</v>
      </c>
      <c r="DM2349" s="64">
        <v>6</v>
      </c>
      <c r="DN2349" s="406" t="s">
        <v>7323</v>
      </c>
      <c r="DO2349" s="406">
        <v>-15.55</v>
      </c>
      <c r="DP2349" s="80">
        <v>749</v>
      </c>
    </row>
    <row r="2350" spans="29:120" x14ac:dyDescent="0.25">
      <c r="AC2350" s="122" t="s">
        <v>322</v>
      </c>
      <c r="AD2350" s="122" t="s">
        <v>2704</v>
      </c>
      <c r="AE2350" s="127">
        <v>6</v>
      </c>
      <c r="DA2350" s="122" t="s">
        <v>340</v>
      </c>
      <c r="DB2350" s="122" t="s">
        <v>7356</v>
      </c>
      <c r="DC2350" s="122" t="s">
        <v>4845</v>
      </c>
      <c r="DD2350" s="127">
        <v>8</v>
      </c>
      <c r="DE2350" s="127">
        <v>8</v>
      </c>
      <c r="DG2350" s="405" t="s">
        <v>340</v>
      </c>
      <c r="DH2350" s="406" t="s">
        <v>4845</v>
      </c>
      <c r="DI2350" s="406" t="str">
        <f t="shared" si="68"/>
        <v>MT, Nova Canaã do Norte</v>
      </c>
      <c r="DJ2350" s="406">
        <v>-10.558</v>
      </c>
      <c r="DK2350" s="80">
        <v>-55.953000000000003</v>
      </c>
      <c r="DL2350" s="80">
        <v>301</v>
      </c>
      <c r="DM2350" s="64">
        <v>8</v>
      </c>
      <c r="DN2350" s="406" t="s">
        <v>7302</v>
      </c>
      <c r="DO2350" s="406">
        <v>-9.9700000000000006</v>
      </c>
      <c r="DP2350" s="80">
        <v>300</v>
      </c>
    </row>
    <row r="2351" spans="29:120" x14ac:dyDescent="0.25">
      <c r="AC2351" s="122" t="s">
        <v>333</v>
      </c>
      <c r="AD2351" s="122" t="s">
        <v>2705</v>
      </c>
      <c r="AE2351" s="127">
        <v>3</v>
      </c>
      <c r="DA2351" s="122" t="s">
        <v>340</v>
      </c>
      <c r="DB2351" s="122" t="s">
        <v>7357</v>
      </c>
      <c r="DC2351" s="122" t="s">
        <v>4927</v>
      </c>
      <c r="DD2351" s="127">
        <v>8</v>
      </c>
      <c r="DE2351" s="127">
        <v>8</v>
      </c>
      <c r="DG2351" s="405" t="s">
        <v>340</v>
      </c>
      <c r="DH2351" s="406" t="s">
        <v>4927</v>
      </c>
      <c r="DI2351" s="406" t="str">
        <f t="shared" si="68"/>
        <v>MT, Nova Guarita</v>
      </c>
      <c r="DJ2351" s="406">
        <v>-10.316000000000001</v>
      </c>
      <c r="DK2351" s="80">
        <v>-55.41</v>
      </c>
      <c r="DL2351" s="80">
        <v>300</v>
      </c>
      <c r="DM2351" s="64">
        <v>8</v>
      </c>
      <c r="DN2351" s="406" t="s">
        <v>7302</v>
      </c>
      <c r="DO2351" s="406">
        <v>-9.9700000000000006</v>
      </c>
      <c r="DP2351" s="80">
        <v>300</v>
      </c>
    </row>
    <row r="2352" spans="29:120" x14ac:dyDescent="0.25">
      <c r="AC2352" s="122" t="s">
        <v>289</v>
      </c>
      <c r="AD2352" s="122" t="s">
        <v>2706</v>
      </c>
      <c r="AE2352" s="127">
        <v>5</v>
      </c>
      <c r="DA2352" s="122" t="s">
        <v>340</v>
      </c>
      <c r="DB2352" s="122" t="s">
        <v>7358</v>
      </c>
      <c r="DC2352" s="122" t="s">
        <v>5657</v>
      </c>
      <c r="DD2352" s="127">
        <v>5</v>
      </c>
      <c r="DE2352" s="127">
        <v>5</v>
      </c>
      <c r="DG2352" s="405" t="s">
        <v>340</v>
      </c>
      <c r="DH2352" s="406" t="s">
        <v>5657</v>
      </c>
      <c r="DI2352" s="406" t="str">
        <f t="shared" si="68"/>
        <v>MT, Nova Lacerda</v>
      </c>
      <c r="DJ2352" s="406">
        <v>-14.476000000000001</v>
      </c>
      <c r="DK2352" s="80">
        <v>-59.609000000000002</v>
      </c>
      <c r="DL2352" s="80">
        <v>190</v>
      </c>
      <c r="DM2352" s="64">
        <v>5</v>
      </c>
      <c r="DN2352" s="406" t="s">
        <v>7332</v>
      </c>
      <c r="DO2352" s="406">
        <v>-15.01</v>
      </c>
      <c r="DP2352" s="80">
        <v>222</v>
      </c>
    </row>
    <row r="2353" spans="29:120" x14ac:dyDescent="0.25">
      <c r="AC2353" s="122" t="s">
        <v>322</v>
      </c>
      <c r="AD2353" s="122" t="s">
        <v>2707</v>
      </c>
      <c r="AE2353" s="127">
        <v>6</v>
      </c>
      <c r="DA2353" s="122" t="s">
        <v>340</v>
      </c>
      <c r="DB2353" s="122" t="s">
        <v>7359</v>
      </c>
      <c r="DC2353" s="122" t="s">
        <v>4905</v>
      </c>
      <c r="DD2353" s="127">
        <v>7</v>
      </c>
      <c r="DE2353" s="127">
        <v>7</v>
      </c>
      <c r="DG2353" s="405" t="s">
        <v>340</v>
      </c>
      <c r="DH2353" s="406" t="s">
        <v>4905</v>
      </c>
      <c r="DI2353" s="406" t="str">
        <f t="shared" si="68"/>
        <v>MT, Nova Marilândia</v>
      </c>
      <c r="DJ2353" s="406">
        <v>-14.364000000000001</v>
      </c>
      <c r="DK2353" s="80">
        <v>-56.969000000000001</v>
      </c>
      <c r="DL2353" s="80">
        <v>300</v>
      </c>
      <c r="DM2353" s="64">
        <v>7</v>
      </c>
      <c r="DN2353" s="406" t="s">
        <v>7308</v>
      </c>
      <c r="DO2353" s="406">
        <v>-14.62</v>
      </c>
      <c r="DP2353" s="80">
        <v>322</v>
      </c>
    </row>
    <row r="2354" spans="29:120" x14ac:dyDescent="0.25">
      <c r="AC2354" s="122" t="s">
        <v>300</v>
      </c>
      <c r="AD2354" s="122" t="s">
        <v>2708</v>
      </c>
      <c r="AE2354" s="127">
        <v>7</v>
      </c>
      <c r="DA2354" s="122" t="s">
        <v>340</v>
      </c>
      <c r="DB2354" s="122" t="s">
        <v>7360</v>
      </c>
      <c r="DC2354" s="122" t="s">
        <v>5666</v>
      </c>
      <c r="DD2354" s="127">
        <v>5</v>
      </c>
      <c r="DE2354" s="127">
        <v>5</v>
      </c>
      <c r="DG2354" s="405" t="s">
        <v>340</v>
      </c>
      <c r="DH2354" s="406" t="s">
        <v>5666</v>
      </c>
      <c r="DI2354" s="406" t="str">
        <f t="shared" si="68"/>
        <v>MT, Nova Maringá</v>
      </c>
      <c r="DJ2354" s="406">
        <v>-13.026</v>
      </c>
      <c r="DK2354" s="80">
        <v>-57.073999999999998</v>
      </c>
      <c r="DL2354" s="80">
        <v>370</v>
      </c>
      <c r="DM2354" s="64">
        <v>5</v>
      </c>
      <c r="DN2354" s="406" t="s">
        <v>7348</v>
      </c>
      <c r="DO2354" s="406">
        <v>-13.04</v>
      </c>
      <c r="DP2354" s="80">
        <v>353</v>
      </c>
    </row>
    <row r="2355" spans="29:120" x14ac:dyDescent="0.25">
      <c r="AC2355" s="122" t="s">
        <v>322</v>
      </c>
      <c r="AD2355" s="122" t="s">
        <v>2709</v>
      </c>
      <c r="AE2355" s="127">
        <v>6</v>
      </c>
      <c r="DA2355" s="122" t="s">
        <v>340</v>
      </c>
      <c r="DB2355" s="122" t="s">
        <v>7361</v>
      </c>
      <c r="DC2355" s="122" t="s">
        <v>4999</v>
      </c>
      <c r="DD2355" s="127">
        <v>8</v>
      </c>
      <c r="DE2355" s="127">
        <v>8</v>
      </c>
      <c r="DG2355" s="405" t="s">
        <v>340</v>
      </c>
      <c r="DH2355" s="406" t="s">
        <v>4999</v>
      </c>
      <c r="DI2355" s="406" t="str">
        <f t="shared" si="68"/>
        <v>MT, Nova Monte Verde</v>
      </c>
      <c r="DJ2355" s="406">
        <v>-9.9819999999999993</v>
      </c>
      <c r="DK2355" s="80">
        <v>-57.534999999999997</v>
      </c>
      <c r="DL2355" s="80">
        <v>330</v>
      </c>
      <c r="DM2355" s="64">
        <v>8</v>
      </c>
      <c r="DN2355" s="406" t="s">
        <v>7310</v>
      </c>
      <c r="DO2355" s="406">
        <v>-9.5399999999999991</v>
      </c>
      <c r="DP2355" s="80">
        <v>220</v>
      </c>
    </row>
    <row r="2356" spans="29:120" x14ac:dyDescent="0.25">
      <c r="AC2356" s="122" t="s">
        <v>322</v>
      </c>
      <c r="AD2356" s="122" t="s">
        <v>2710</v>
      </c>
      <c r="AE2356" s="127">
        <v>6</v>
      </c>
      <c r="DA2356" s="122" t="s">
        <v>340</v>
      </c>
      <c r="DB2356" s="122" t="s">
        <v>7362</v>
      </c>
      <c r="DC2356" s="122" t="s">
        <v>4934</v>
      </c>
      <c r="DD2356" s="127">
        <v>7</v>
      </c>
      <c r="DE2356" s="127">
        <v>7</v>
      </c>
      <c r="DG2356" s="405" t="s">
        <v>340</v>
      </c>
      <c r="DH2356" s="406" t="s">
        <v>4934</v>
      </c>
      <c r="DI2356" s="406" t="str">
        <f t="shared" si="68"/>
        <v>MT, Nova Mutum</v>
      </c>
      <c r="DJ2356" s="406">
        <v>-13.837999999999999</v>
      </c>
      <c r="DK2356" s="80">
        <v>-56.084000000000003</v>
      </c>
      <c r="DL2356" s="80">
        <v>460</v>
      </c>
      <c r="DM2356" s="64">
        <v>7</v>
      </c>
      <c r="DN2356" s="406" t="s">
        <v>7333</v>
      </c>
      <c r="DO2356" s="406">
        <v>-13.45</v>
      </c>
      <c r="DP2356" s="80">
        <v>350</v>
      </c>
    </row>
    <row r="2357" spans="29:120" x14ac:dyDescent="0.25">
      <c r="AC2357" s="122" t="s">
        <v>322</v>
      </c>
      <c r="AD2357" s="122" t="s">
        <v>2711</v>
      </c>
      <c r="AE2357" s="127">
        <v>6</v>
      </c>
      <c r="DA2357" s="122" t="s">
        <v>340</v>
      </c>
      <c r="DB2357" s="122" t="s">
        <v>7363</v>
      </c>
      <c r="DC2357" s="122" t="s">
        <v>4842</v>
      </c>
      <c r="DD2357" s="127">
        <v>6</v>
      </c>
      <c r="DE2357" s="127">
        <v>6</v>
      </c>
      <c r="DG2357" s="405" t="s">
        <v>340</v>
      </c>
      <c r="DH2357" s="406" t="s">
        <v>4842</v>
      </c>
      <c r="DI2357" s="406" t="str">
        <f t="shared" si="68"/>
        <v>MT, Nova Nazaré</v>
      </c>
      <c r="DJ2357" s="406">
        <v>-13.99</v>
      </c>
      <c r="DK2357" s="80">
        <v>-51.798000000000002</v>
      </c>
      <c r="DL2357" s="80">
        <v>236</v>
      </c>
      <c r="DM2357" s="64">
        <v>6</v>
      </c>
      <c r="DN2357" s="406" t="s">
        <v>6530</v>
      </c>
      <c r="DO2357" s="406">
        <v>-14.05</v>
      </c>
      <c r="DP2357" s="80">
        <v>432</v>
      </c>
    </row>
    <row r="2358" spans="29:120" x14ac:dyDescent="0.25">
      <c r="AC2358" s="122" t="s">
        <v>247</v>
      </c>
      <c r="AD2358" s="122" t="s">
        <v>2712</v>
      </c>
      <c r="AE2358" s="127">
        <v>8</v>
      </c>
      <c r="DA2358" s="122" t="s">
        <v>340</v>
      </c>
      <c r="DB2358" s="122" t="s">
        <v>7364</v>
      </c>
      <c r="DC2358" s="122" t="s">
        <v>3179</v>
      </c>
      <c r="DD2358" s="127">
        <v>7</v>
      </c>
      <c r="DE2358" s="127">
        <v>7</v>
      </c>
      <c r="DG2358" s="405" t="s">
        <v>340</v>
      </c>
      <c r="DH2358" s="406" t="s">
        <v>3179</v>
      </c>
      <c r="DI2358" s="406" t="str">
        <f t="shared" si="68"/>
        <v>MT, Nova Olímpia</v>
      </c>
      <c r="DJ2358" s="406">
        <v>-14.797000000000001</v>
      </c>
      <c r="DK2358" s="80">
        <v>-57.287999999999997</v>
      </c>
      <c r="DL2358" s="80">
        <v>228</v>
      </c>
      <c r="DM2358" s="64">
        <v>7</v>
      </c>
      <c r="DN2358" s="406" t="s">
        <v>7308</v>
      </c>
      <c r="DO2358" s="406">
        <v>-14.62</v>
      </c>
      <c r="DP2358" s="80">
        <v>322</v>
      </c>
    </row>
    <row r="2359" spans="29:120" x14ac:dyDescent="0.25">
      <c r="AC2359" s="122" t="s">
        <v>333</v>
      </c>
      <c r="AD2359" s="122" t="s">
        <v>2713</v>
      </c>
      <c r="AE2359" s="127">
        <v>6</v>
      </c>
      <c r="DA2359" s="122" t="s">
        <v>340</v>
      </c>
      <c r="DB2359" s="122" t="s">
        <v>7365</v>
      </c>
      <c r="DC2359" s="122" t="s">
        <v>4879</v>
      </c>
      <c r="DD2359" s="127">
        <v>8</v>
      </c>
      <c r="DE2359" s="127">
        <v>8</v>
      </c>
      <c r="DG2359" s="405" t="s">
        <v>340</v>
      </c>
      <c r="DH2359" s="406" t="s">
        <v>4879</v>
      </c>
      <c r="DI2359" s="406" t="str">
        <f t="shared" si="68"/>
        <v>MT, Nova Santa Helena</v>
      </c>
      <c r="DJ2359" s="406">
        <v>-10.852</v>
      </c>
      <c r="DK2359" s="80">
        <v>-55.177</v>
      </c>
      <c r="DL2359" s="80">
        <v>349</v>
      </c>
      <c r="DM2359" s="64">
        <v>8</v>
      </c>
      <c r="DN2359" s="406" t="s">
        <v>7330</v>
      </c>
      <c r="DO2359" s="406">
        <v>-11.86</v>
      </c>
      <c r="DP2359" s="80">
        <v>371</v>
      </c>
    </row>
    <row r="2360" spans="29:120" x14ac:dyDescent="0.25">
      <c r="AC2360" s="122" t="s">
        <v>333</v>
      </c>
      <c r="AD2360" s="122" t="s">
        <v>2714</v>
      </c>
      <c r="AE2360" s="127">
        <v>2</v>
      </c>
      <c r="DA2360" s="122" t="s">
        <v>340</v>
      </c>
      <c r="DB2360" s="122" t="s">
        <v>7366</v>
      </c>
      <c r="DC2360" s="122" t="s">
        <v>5690</v>
      </c>
      <c r="DD2360" s="127">
        <v>5</v>
      </c>
      <c r="DE2360" s="127">
        <v>5</v>
      </c>
      <c r="DG2360" s="405" t="s">
        <v>340</v>
      </c>
      <c r="DH2360" s="406" t="s">
        <v>5690</v>
      </c>
      <c r="DI2360" s="406" t="str">
        <f t="shared" si="68"/>
        <v>MT, Nova Ubiratã</v>
      </c>
      <c r="DJ2360" s="406">
        <v>-12.991</v>
      </c>
      <c r="DK2360" s="80">
        <v>-55.255000000000003</v>
      </c>
      <c r="DL2360" s="80">
        <v>400</v>
      </c>
      <c r="DM2360" s="64">
        <v>5</v>
      </c>
      <c r="DN2360" s="406" t="s">
        <v>7336</v>
      </c>
      <c r="DO2360" s="406">
        <v>-12.52</v>
      </c>
      <c r="DP2360" s="80">
        <v>431</v>
      </c>
    </row>
    <row r="2361" spans="29:120" x14ac:dyDescent="0.25">
      <c r="AC2361" s="122" t="s">
        <v>289</v>
      </c>
      <c r="AD2361" s="122" t="s">
        <v>2715</v>
      </c>
      <c r="AE2361" s="127">
        <v>6</v>
      </c>
      <c r="DA2361" s="122" t="s">
        <v>340</v>
      </c>
      <c r="DB2361" s="122" t="s">
        <v>7367</v>
      </c>
      <c r="DC2361" s="122" t="s">
        <v>5694</v>
      </c>
      <c r="DD2361" s="127">
        <v>6</v>
      </c>
      <c r="DE2361" s="127">
        <v>6</v>
      </c>
      <c r="DG2361" s="405" t="s">
        <v>340</v>
      </c>
      <c r="DH2361" s="406" t="s">
        <v>5694</v>
      </c>
      <c r="DI2361" s="406" t="str">
        <f t="shared" si="68"/>
        <v>MT, Nova Xavantina</v>
      </c>
      <c r="DJ2361" s="406">
        <v>-14.673</v>
      </c>
      <c r="DK2361" s="80">
        <v>-52.353000000000002</v>
      </c>
      <c r="DL2361" s="80">
        <v>275</v>
      </c>
      <c r="DM2361" s="64">
        <v>6</v>
      </c>
      <c r="DN2361" s="406" t="s">
        <v>6530</v>
      </c>
      <c r="DO2361" s="406">
        <v>-14.05</v>
      </c>
      <c r="DP2361" s="80">
        <v>432</v>
      </c>
    </row>
    <row r="2362" spans="29:120" x14ac:dyDescent="0.25">
      <c r="AC2362" s="122" t="s">
        <v>322</v>
      </c>
      <c r="AD2362" s="122" t="s">
        <v>2716</v>
      </c>
      <c r="AE2362" s="127">
        <v>6</v>
      </c>
      <c r="DA2362" s="122" t="s">
        <v>340</v>
      </c>
      <c r="DB2362" s="122" t="s">
        <v>7368</v>
      </c>
      <c r="DC2362" s="122" t="s">
        <v>5645</v>
      </c>
      <c r="DD2362" s="127">
        <v>8</v>
      </c>
      <c r="DE2362" s="127">
        <v>8</v>
      </c>
      <c r="DG2362" s="405" t="s">
        <v>340</v>
      </c>
      <c r="DH2362" s="406" t="s">
        <v>5645</v>
      </c>
      <c r="DI2362" s="406" t="str">
        <f t="shared" si="68"/>
        <v>MT, Novo Horizonte do Norte</v>
      </c>
      <c r="DJ2362" s="406">
        <v>-11.413</v>
      </c>
      <c r="DK2362" s="80">
        <v>-57.351999999999997</v>
      </c>
      <c r="DL2362" s="80">
        <v>220</v>
      </c>
      <c r="DM2362" s="64">
        <v>8</v>
      </c>
      <c r="DN2362" s="406" t="s">
        <v>7318</v>
      </c>
      <c r="DO2362" s="406">
        <v>-11.26</v>
      </c>
      <c r="DP2362" s="80">
        <v>260</v>
      </c>
    </row>
    <row r="2363" spans="29:120" x14ac:dyDescent="0.25">
      <c r="AC2363" s="122" t="s">
        <v>322</v>
      </c>
      <c r="AD2363" s="122" t="s">
        <v>2717</v>
      </c>
      <c r="AE2363" s="127">
        <v>6</v>
      </c>
      <c r="DA2363" s="122" t="s">
        <v>340</v>
      </c>
      <c r="DB2363" s="122" t="s">
        <v>7369</v>
      </c>
      <c r="DC2363" s="122" t="s">
        <v>4977</v>
      </c>
      <c r="DD2363" s="127">
        <v>8</v>
      </c>
      <c r="DE2363" s="127">
        <v>8</v>
      </c>
      <c r="DG2363" s="405" t="s">
        <v>340</v>
      </c>
      <c r="DH2363" s="406" t="s">
        <v>4977</v>
      </c>
      <c r="DI2363" s="406" t="str">
        <f t="shared" si="68"/>
        <v>MT, Novo Mundo</v>
      </c>
      <c r="DJ2363" s="406">
        <v>-9.9499999999999993</v>
      </c>
      <c r="DK2363" s="80">
        <v>-55.198</v>
      </c>
      <c r="DL2363" s="80">
        <v>330</v>
      </c>
      <c r="DM2363" s="64">
        <v>8</v>
      </c>
      <c r="DN2363" s="406" t="s">
        <v>7344</v>
      </c>
      <c r="DO2363" s="406">
        <v>-9.7899999999999991</v>
      </c>
      <c r="DP2363" s="80">
        <v>320</v>
      </c>
    </row>
    <row r="2364" spans="29:120" x14ac:dyDescent="0.25">
      <c r="AC2364" s="122" t="s">
        <v>333</v>
      </c>
      <c r="AD2364" s="122" t="s">
        <v>2718</v>
      </c>
      <c r="AE2364" s="127">
        <v>5</v>
      </c>
      <c r="DA2364" s="122" t="s">
        <v>340</v>
      </c>
      <c r="DB2364" s="122" t="s">
        <v>7370</v>
      </c>
      <c r="DC2364" s="122" t="s">
        <v>4749</v>
      </c>
      <c r="DD2364" s="127">
        <v>7</v>
      </c>
      <c r="DE2364" s="127">
        <v>7</v>
      </c>
      <c r="DG2364" s="405" t="s">
        <v>340</v>
      </c>
      <c r="DH2364" s="406" t="s">
        <v>4749</v>
      </c>
      <c r="DI2364" s="406" t="str">
        <f t="shared" si="68"/>
        <v>MT, Novo Santo Antônio</v>
      </c>
      <c r="DJ2364" s="406">
        <v>-12.29</v>
      </c>
      <c r="DK2364" s="80">
        <v>-50.968000000000004</v>
      </c>
      <c r="DL2364" s="80">
        <v>200</v>
      </c>
      <c r="DM2364" s="64">
        <v>7</v>
      </c>
      <c r="DN2364" s="406" t="s">
        <v>7305</v>
      </c>
      <c r="DO2364" s="406">
        <v>-11.62</v>
      </c>
      <c r="DP2364" s="80">
        <v>218</v>
      </c>
    </row>
    <row r="2365" spans="29:120" x14ac:dyDescent="0.25">
      <c r="AC2365" s="122" t="s">
        <v>333</v>
      </c>
      <c r="AD2365" s="122" t="s">
        <v>2719</v>
      </c>
      <c r="AE2365" s="127">
        <v>3</v>
      </c>
      <c r="DA2365" s="122" t="s">
        <v>340</v>
      </c>
      <c r="DB2365" s="122" t="s">
        <v>7371</v>
      </c>
      <c r="DC2365" s="122" t="s">
        <v>5688</v>
      </c>
      <c r="DD2365" s="127">
        <v>6</v>
      </c>
      <c r="DE2365" s="127">
        <v>6</v>
      </c>
      <c r="DG2365" s="405" t="s">
        <v>340</v>
      </c>
      <c r="DH2365" s="406" t="s">
        <v>5688</v>
      </c>
      <c r="DI2365" s="406" t="str">
        <f t="shared" si="68"/>
        <v>MT, Novo São Joaquim</v>
      </c>
      <c r="DJ2365" s="406">
        <v>-14.906000000000001</v>
      </c>
      <c r="DK2365" s="80">
        <v>-53.018000000000001</v>
      </c>
      <c r="DL2365" s="80">
        <v>400</v>
      </c>
      <c r="DM2365" s="64">
        <v>6</v>
      </c>
      <c r="DN2365" s="406" t="s">
        <v>7319</v>
      </c>
      <c r="DO2365" s="406">
        <v>-14.93</v>
      </c>
      <c r="DP2365" s="80">
        <v>648</v>
      </c>
    </row>
    <row r="2366" spans="29:120" x14ac:dyDescent="0.25">
      <c r="AC2366" s="122" t="s">
        <v>322</v>
      </c>
      <c r="AD2366" s="122" t="s">
        <v>2720</v>
      </c>
      <c r="AE2366" s="127">
        <v>6</v>
      </c>
      <c r="DA2366" s="122" t="s">
        <v>340</v>
      </c>
      <c r="DB2366" s="122" t="s">
        <v>4825</v>
      </c>
      <c r="DC2366" s="122" t="s">
        <v>4825</v>
      </c>
      <c r="DD2366" s="127">
        <v>8</v>
      </c>
      <c r="DE2366" s="127">
        <v>8</v>
      </c>
      <c r="DG2366" s="405" t="s">
        <v>340</v>
      </c>
      <c r="DH2366" s="406" t="s">
        <v>4825</v>
      </c>
      <c r="DI2366" s="406" t="str">
        <f t="shared" si="68"/>
        <v>MT, Paranaíta</v>
      </c>
      <c r="DJ2366" s="406">
        <v>-9.6649999999999991</v>
      </c>
      <c r="DK2366" s="80">
        <v>-56.476999999999997</v>
      </c>
      <c r="DL2366" s="80">
        <v>249</v>
      </c>
      <c r="DM2366" s="64">
        <v>8</v>
      </c>
      <c r="DN2366" s="406" t="s">
        <v>7302</v>
      </c>
      <c r="DO2366" s="406">
        <v>-9.9700000000000006</v>
      </c>
      <c r="DP2366" s="80">
        <v>300</v>
      </c>
    </row>
    <row r="2367" spans="29:120" x14ac:dyDescent="0.25">
      <c r="AC2367" s="122" t="s">
        <v>348</v>
      </c>
      <c r="AD2367" s="122" t="s">
        <v>2199</v>
      </c>
      <c r="AE2367" s="127">
        <v>6</v>
      </c>
      <c r="DA2367" s="122" t="s">
        <v>340</v>
      </c>
      <c r="DB2367" s="122" t="s">
        <v>3057</v>
      </c>
      <c r="DC2367" s="122" t="s">
        <v>3057</v>
      </c>
      <c r="DD2367" s="127">
        <v>6</v>
      </c>
      <c r="DE2367" s="127">
        <v>6</v>
      </c>
      <c r="DG2367" s="405" t="s">
        <v>340</v>
      </c>
      <c r="DH2367" s="406" t="s">
        <v>3057</v>
      </c>
      <c r="DI2367" s="406" t="str">
        <f t="shared" si="68"/>
        <v>MT, Paranatinga</v>
      </c>
      <c r="DJ2367" s="406">
        <v>-14.432</v>
      </c>
      <c r="DK2367" s="80">
        <v>-54.051000000000002</v>
      </c>
      <c r="DL2367" s="80">
        <v>460</v>
      </c>
      <c r="DM2367" s="64">
        <v>6</v>
      </c>
      <c r="DN2367" s="406" t="s">
        <v>7372</v>
      </c>
      <c r="DO2367" s="406">
        <v>-14.43</v>
      </c>
      <c r="DP2367" s="80">
        <v>474</v>
      </c>
    </row>
    <row r="2368" spans="29:120" x14ac:dyDescent="0.25">
      <c r="AC2368" s="122" t="s">
        <v>322</v>
      </c>
      <c r="AD2368" s="122" t="s">
        <v>2721</v>
      </c>
      <c r="AE2368" s="127">
        <v>6</v>
      </c>
      <c r="DA2368" s="122" t="s">
        <v>340</v>
      </c>
      <c r="DB2368" s="122" t="s">
        <v>7373</v>
      </c>
      <c r="DC2368" s="122" t="s">
        <v>4129</v>
      </c>
      <c r="DD2368" s="127">
        <v>6</v>
      </c>
      <c r="DE2368" s="127">
        <v>6</v>
      </c>
      <c r="DG2368" s="405" t="s">
        <v>340</v>
      </c>
      <c r="DH2368" s="406" t="s">
        <v>4129</v>
      </c>
      <c r="DI2368" s="406" t="str">
        <f t="shared" si="68"/>
        <v>MT, Pedra Preta</v>
      </c>
      <c r="DJ2368" s="406">
        <v>-16.623000000000001</v>
      </c>
      <c r="DK2368" s="80">
        <v>-54.473999999999997</v>
      </c>
      <c r="DL2368" s="80">
        <v>248</v>
      </c>
      <c r="DM2368" s="64">
        <v>6</v>
      </c>
      <c r="DN2368" s="406" t="s">
        <v>7349</v>
      </c>
      <c r="DO2368" s="406">
        <v>-16.47</v>
      </c>
      <c r="DP2368" s="80">
        <v>284</v>
      </c>
    </row>
    <row r="2369" spans="29:120" x14ac:dyDescent="0.25">
      <c r="AC2369" s="122" t="s">
        <v>333</v>
      </c>
      <c r="AD2369" s="122" t="s">
        <v>2722</v>
      </c>
      <c r="AE2369" s="127">
        <v>6</v>
      </c>
      <c r="DA2369" s="122" t="s">
        <v>340</v>
      </c>
      <c r="DB2369" s="122" t="s">
        <v>7374</v>
      </c>
      <c r="DC2369" s="122" t="s">
        <v>4976</v>
      </c>
      <c r="DD2369" s="127">
        <v>8</v>
      </c>
      <c r="DE2369" s="127">
        <v>8</v>
      </c>
      <c r="DG2369" s="405" t="s">
        <v>340</v>
      </c>
      <c r="DH2369" s="406" t="s">
        <v>4976</v>
      </c>
      <c r="DI2369" s="406" t="str">
        <f t="shared" si="68"/>
        <v>MT, Peixoto de Azevedo</v>
      </c>
      <c r="DJ2369" s="406">
        <v>-10.228999999999999</v>
      </c>
      <c r="DK2369" s="80">
        <v>-54.982999999999997</v>
      </c>
      <c r="DL2369" s="80">
        <v>346</v>
      </c>
      <c r="DM2369" s="64">
        <v>8</v>
      </c>
      <c r="DN2369" s="406" t="s">
        <v>7344</v>
      </c>
      <c r="DO2369" s="406">
        <v>-9.7899999999999991</v>
      </c>
      <c r="DP2369" s="80">
        <v>320</v>
      </c>
    </row>
    <row r="2370" spans="29:120" x14ac:dyDescent="0.25">
      <c r="AC2370" s="122" t="s">
        <v>333</v>
      </c>
      <c r="AD2370" s="122" t="s">
        <v>2723</v>
      </c>
      <c r="AE2370" s="127">
        <v>3</v>
      </c>
      <c r="DA2370" s="122" t="s">
        <v>340</v>
      </c>
      <c r="DB2370" s="122" t="s">
        <v>7375</v>
      </c>
      <c r="DC2370" s="122" t="s">
        <v>3016</v>
      </c>
      <c r="DD2370" s="127">
        <v>8</v>
      </c>
      <c r="DE2370" s="127">
        <v>8</v>
      </c>
      <c r="DG2370" s="405" t="s">
        <v>340</v>
      </c>
      <c r="DH2370" s="406" t="s">
        <v>3016</v>
      </c>
      <c r="DI2370" s="406" t="str">
        <f t="shared" si="68"/>
        <v>MT, Planalto da Serra</v>
      </c>
      <c r="DJ2370" s="406">
        <v>-14.657999999999999</v>
      </c>
      <c r="DK2370" s="80">
        <v>-54.774000000000001</v>
      </c>
      <c r="DL2370" s="80">
        <v>319</v>
      </c>
      <c r="DM2370" s="64">
        <v>8</v>
      </c>
      <c r="DN2370" s="406" t="s">
        <v>7372</v>
      </c>
      <c r="DO2370" s="406">
        <v>-14.43</v>
      </c>
      <c r="DP2370" s="80">
        <v>474</v>
      </c>
    </row>
    <row r="2371" spans="29:120" x14ac:dyDescent="0.25">
      <c r="AC2371" s="122" t="s">
        <v>289</v>
      </c>
      <c r="AD2371" s="122" t="s">
        <v>2724</v>
      </c>
      <c r="AE2371" s="127">
        <v>7</v>
      </c>
      <c r="DA2371" s="122" t="s">
        <v>340</v>
      </c>
      <c r="DB2371" s="122" t="s">
        <v>5650</v>
      </c>
      <c r="DC2371" s="122" t="s">
        <v>5650</v>
      </c>
      <c r="DD2371" s="127">
        <v>7</v>
      </c>
      <c r="DE2371" s="127">
        <v>7</v>
      </c>
      <c r="DG2371" s="405" t="s">
        <v>340</v>
      </c>
      <c r="DH2371" s="406" t="s">
        <v>5650</v>
      </c>
      <c r="DI2371" s="406" t="str">
        <f t="shared" ref="DI2371:DI2434" si="69">CONCATENATE(DG2371,", ",DH2371)</f>
        <v>MT, Poconé</v>
      </c>
      <c r="DJ2371" s="406">
        <v>-16.257000000000001</v>
      </c>
      <c r="DK2371" s="80">
        <v>-56.622999999999998</v>
      </c>
      <c r="DL2371" s="80">
        <v>142</v>
      </c>
      <c r="DM2371" s="64">
        <v>7</v>
      </c>
      <c r="DN2371" s="406" t="s">
        <v>7300</v>
      </c>
      <c r="DO2371" s="406">
        <v>-15.62</v>
      </c>
      <c r="DP2371" s="80">
        <v>151</v>
      </c>
    </row>
    <row r="2372" spans="29:120" x14ac:dyDescent="0.25">
      <c r="AC2372" s="122" t="s">
        <v>333</v>
      </c>
      <c r="AD2372" s="122" t="s">
        <v>2725</v>
      </c>
      <c r="AE2372" s="127">
        <v>3</v>
      </c>
      <c r="DA2372" s="122" t="s">
        <v>340</v>
      </c>
      <c r="DB2372" s="122" t="s">
        <v>7376</v>
      </c>
      <c r="DC2372" s="122" t="s">
        <v>5684</v>
      </c>
      <c r="DD2372" s="127">
        <v>6</v>
      </c>
      <c r="DE2372" s="127">
        <v>6</v>
      </c>
      <c r="DG2372" s="405" t="s">
        <v>340</v>
      </c>
      <c r="DH2372" s="406" t="s">
        <v>5684</v>
      </c>
      <c r="DI2372" s="406" t="str">
        <f t="shared" si="69"/>
        <v>MT, Pontal do Araguaia</v>
      </c>
      <c r="DJ2372" s="406">
        <v>-15.933999999999999</v>
      </c>
      <c r="DK2372" s="80">
        <v>-52.317</v>
      </c>
      <c r="DL2372" s="80">
        <v>370</v>
      </c>
      <c r="DM2372" s="64">
        <v>6</v>
      </c>
      <c r="DN2372" s="406" t="s">
        <v>6528</v>
      </c>
      <c r="DO2372" s="406">
        <v>-15.9</v>
      </c>
      <c r="DP2372" s="80">
        <v>347</v>
      </c>
    </row>
    <row r="2373" spans="29:120" x14ac:dyDescent="0.25">
      <c r="AC2373" s="122" t="s">
        <v>333</v>
      </c>
      <c r="AD2373" s="122" t="s">
        <v>2726</v>
      </c>
      <c r="AE2373" s="127">
        <v>4</v>
      </c>
      <c r="DA2373" s="122" t="s">
        <v>340</v>
      </c>
      <c r="DB2373" s="122" t="s">
        <v>7377</v>
      </c>
      <c r="DC2373" s="122" t="s">
        <v>2997</v>
      </c>
      <c r="DD2373" s="127">
        <v>6</v>
      </c>
      <c r="DE2373" s="127">
        <v>6</v>
      </c>
      <c r="DG2373" s="405" t="s">
        <v>340</v>
      </c>
      <c r="DH2373" s="406" t="s">
        <v>2997</v>
      </c>
      <c r="DI2373" s="406" t="str">
        <f t="shared" si="69"/>
        <v>MT, Ponte Branca</v>
      </c>
      <c r="DJ2373" s="406">
        <v>-16.763999999999999</v>
      </c>
      <c r="DK2373" s="80">
        <v>-52.832999999999998</v>
      </c>
      <c r="DL2373" s="80">
        <v>424</v>
      </c>
      <c r="DM2373" s="64">
        <v>6</v>
      </c>
      <c r="DN2373" s="406" t="s">
        <v>6573</v>
      </c>
      <c r="DO2373" s="406">
        <v>-17.57</v>
      </c>
      <c r="DP2373" s="80">
        <v>706</v>
      </c>
    </row>
    <row r="2374" spans="29:120" x14ac:dyDescent="0.25">
      <c r="AC2374" s="122" t="s">
        <v>322</v>
      </c>
      <c r="AD2374" s="122" t="s">
        <v>2727</v>
      </c>
      <c r="AE2374" s="127">
        <v>6</v>
      </c>
      <c r="DA2374" s="122" t="s">
        <v>340</v>
      </c>
      <c r="DB2374" s="122" t="s">
        <v>7378</v>
      </c>
      <c r="DC2374" s="122" t="s">
        <v>5537</v>
      </c>
      <c r="DD2374" s="127">
        <v>5</v>
      </c>
      <c r="DE2374" s="127">
        <v>5</v>
      </c>
      <c r="DG2374" s="405" t="s">
        <v>340</v>
      </c>
      <c r="DH2374" s="406" t="s">
        <v>5537</v>
      </c>
      <c r="DI2374" s="406" t="str">
        <f t="shared" si="69"/>
        <v>MT, Pontes e Lacerda</v>
      </c>
      <c r="DJ2374" s="406">
        <v>-15.226000000000001</v>
      </c>
      <c r="DK2374" s="80">
        <v>-59.335000000000001</v>
      </c>
      <c r="DL2374" s="80">
        <v>254</v>
      </c>
      <c r="DM2374" s="64">
        <v>5</v>
      </c>
      <c r="DN2374" s="406" t="s">
        <v>7338</v>
      </c>
      <c r="DO2374" s="406">
        <v>-15.25</v>
      </c>
      <c r="DP2374" s="80">
        <v>256</v>
      </c>
    </row>
    <row r="2375" spans="29:120" x14ac:dyDescent="0.25">
      <c r="AC2375" s="122" t="s">
        <v>323</v>
      </c>
      <c r="AD2375" s="122" t="s">
        <v>2728</v>
      </c>
      <c r="AE2375" s="127">
        <v>8</v>
      </c>
      <c r="DA2375" s="122" t="s">
        <v>340</v>
      </c>
      <c r="DB2375" s="122" t="s">
        <v>7379</v>
      </c>
      <c r="DC2375" s="122" t="s">
        <v>4893</v>
      </c>
      <c r="DD2375" s="127">
        <v>7</v>
      </c>
      <c r="DE2375" s="127">
        <v>7</v>
      </c>
      <c r="DG2375" s="405" t="s">
        <v>340</v>
      </c>
      <c r="DH2375" s="406" t="s">
        <v>4893</v>
      </c>
      <c r="DI2375" s="406" t="str">
        <f t="shared" si="69"/>
        <v>MT, Porto Alegre do Norte</v>
      </c>
      <c r="DJ2375" s="406">
        <v>-10.878</v>
      </c>
      <c r="DK2375" s="80">
        <v>-51.633000000000003</v>
      </c>
      <c r="DL2375" s="80">
        <v>205</v>
      </c>
      <c r="DM2375" s="64">
        <v>7</v>
      </c>
      <c r="DN2375" s="406" t="s">
        <v>7327</v>
      </c>
      <c r="DO2375" s="406">
        <v>-10.65</v>
      </c>
      <c r="DP2375" s="80">
        <v>237</v>
      </c>
    </row>
    <row r="2376" spans="29:120" x14ac:dyDescent="0.25">
      <c r="AC2376" s="122" t="s">
        <v>333</v>
      </c>
      <c r="AD2376" s="122" t="s">
        <v>2729</v>
      </c>
      <c r="AE2376" s="127">
        <v>4</v>
      </c>
      <c r="DA2376" s="122" t="s">
        <v>340</v>
      </c>
      <c r="DB2376" s="122" t="s">
        <v>7380</v>
      </c>
      <c r="DC2376" s="122" t="s">
        <v>2776</v>
      </c>
      <c r="DD2376" s="127">
        <v>8</v>
      </c>
      <c r="DE2376" s="127">
        <v>8</v>
      </c>
      <c r="DG2376" s="405" t="s">
        <v>340</v>
      </c>
      <c r="DH2376" s="406" t="s">
        <v>2776</v>
      </c>
      <c r="DI2376" s="406" t="str">
        <f t="shared" si="69"/>
        <v>MT, Porto dos Gaúchos</v>
      </c>
      <c r="DJ2376" s="406">
        <v>-11.535</v>
      </c>
      <c r="DK2376" s="80">
        <v>-57.414000000000001</v>
      </c>
      <c r="DL2376" s="80">
        <v>259</v>
      </c>
      <c r="DM2376" s="64">
        <v>8</v>
      </c>
      <c r="DN2376" s="406" t="s">
        <v>7318</v>
      </c>
      <c r="DO2376" s="406">
        <v>-11.26</v>
      </c>
      <c r="DP2376" s="80">
        <v>260</v>
      </c>
    </row>
    <row r="2377" spans="29:120" x14ac:dyDescent="0.25">
      <c r="AC2377" s="122" t="s">
        <v>333</v>
      </c>
      <c r="AD2377" s="122" t="s">
        <v>2730</v>
      </c>
      <c r="AE2377" s="127">
        <v>4</v>
      </c>
      <c r="DA2377" s="122" t="s">
        <v>340</v>
      </c>
      <c r="DB2377" s="122" t="s">
        <v>7381</v>
      </c>
      <c r="DC2377" s="122" t="s">
        <v>5582</v>
      </c>
      <c r="DD2377" s="127">
        <v>5</v>
      </c>
      <c r="DE2377" s="127">
        <v>5</v>
      </c>
      <c r="DG2377" s="405" t="s">
        <v>340</v>
      </c>
      <c r="DH2377" s="406" t="s">
        <v>5582</v>
      </c>
      <c r="DI2377" s="406" t="str">
        <f t="shared" si="69"/>
        <v>MT, Porto Esperidião</v>
      </c>
      <c r="DJ2377" s="406">
        <v>-15.853</v>
      </c>
      <c r="DK2377" s="80">
        <v>-58.46</v>
      </c>
      <c r="DL2377" s="80">
        <v>160</v>
      </c>
      <c r="DM2377" s="64">
        <v>5</v>
      </c>
      <c r="DN2377" s="406" t="s">
        <v>7311</v>
      </c>
      <c r="DO2377" s="406">
        <v>-15.12</v>
      </c>
      <c r="DP2377" s="80">
        <v>303</v>
      </c>
    </row>
    <row r="2378" spans="29:120" x14ac:dyDescent="0.25">
      <c r="AC2378" s="122" t="s">
        <v>322</v>
      </c>
      <c r="AD2378" s="122" t="s">
        <v>2731</v>
      </c>
      <c r="AE2378" s="127">
        <v>6</v>
      </c>
      <c r="DA2378" s="122" t="s">
        <v>340</v>
      </c>
      <c r="DB2378" s="122" t="s">
        <v>7382</v>
      </c>
      <c r="DC2378" s="122" t="s">
        <v>5693</v>
      </c>
      <c r="DD2378" s="127">
        <v>8</v>
      </c>
      <c r="DE2378" s="127">
        <v>8</v>
      </c>
      <c r="DG2378" s="405" t="s">
        <v>340</v>
      </c>
      <c r="DH2378" s="406" t="s">
        <v>5693</v>
      </c>
      <c r="DI2378" s="406" t="str">
        <f t="shared" si="69"/>
        <v>MT, Porto Estrela</v>
      </c>
      <c r="DJ2378" s="406">
        <v>-15.324</v>
      </c>
      <c r="DK2378" s="80">
        <v>-57.228000000000002</v>
      </c>
      <c r="DL2378" s="80">
        <v>134</v>
      </c>
      <c r="DM2378" s="64">
        <v>8</v>
      </c>
      <c r="DN2378" s="406" t="s">
        <v>7314</v>
      </c>
      <c r="DO2378" s="406">
        <v>-15.32</v>
      </c>
      <c r="DP2378" s="80">
        <v>145</v>
      </c>
    </row>
    <row r="2379" spans="29:120" x14ac:dyDescent="0.25">
      <c r="AC2379" s="122" t="s">
        <v>336</v>
      </c>
      <c r="AD2379" s="122" t="s">
        <v>2018</v>
      </c>
      <c r="AE2379" s="127">
        <v>5</v>
      </c>
      <c r="DA2379" s="122" t="s">
        <v>340</v>
      </c>
      <c r="DB2379" s="122" t="s">
        <v>5692</v>
      </c>
      <c r="DC2379" s="122" t="s">
        <v>5692</v>
      </c>
      <c r="DD2379" s="127">
        <v>6</v>
      </c>
      <c r="DE2379" s="127">
        <v>6</v>
      </c>
      <c r="DG2379" s="405" t="s">
        <v>340</v>
      </c>
      <c r="DH2379" s="406" t="s">
        <v>5692</v>
      </c>
      <c r="DI2379" s="406" t="str">
        <f t="shared" si="69"/>
        <v>MT, Poxoréo</v>
      </c>
      <c r="DJ2379" s="406">
        <v>-15.837</v>
      </c>
      <c r="DK2379" s="80">
        <v>-54.389000000000003</v>
      </c>
      <c r="DL2379" s="80">
        <v>360</v>
      </c>
      <c r="DM2379" s="64">
        <v>6</v>
      </c>
      <c r="DN2379" s="406" t="s">
        <v>7349</v>
      </c>
      <c r="DO2379" s="406">
        <v>-16.47</v>
      </c>
      <c r="DP2379" s="80">
        <v>284</v>
      </c>
    </row>
    <row r="2380" spans="29:120" x14ac:dyDescent="0.25">
      <c r="AC2380" s="122" t="s">
        <v>289</v>
      </c>
      <c r="AD2380" s="122" t="s">
        <v>2732</v>
      </c>
      <c r="AE2380" s="127">
        <v>6</v>
      </c>
      <c r="DA2380" s="122" t="s">
        <v>340</v>
      </c>
      <c r="DB2380" s="122" t="s">
        <v>7383</v>
      </c>
      <c r="DC2380" s="122" t="s">
        <v>3053</v>
      </c>
      <c r="DD2380" s="127">
        <v>6</v>
      </c>
      <c r="DE2380" s="127">
        <v>6</v>
      </c>
      <c r="DG2380" s="405" t="s">
        <v>340</v>
      </c>
      <c r="DH2380" s="406" t="s">
        <v>3053</v>
      </c>
      <c r="DI2380" s="406" t="str">
        <f t="shared" si="69"/>
        <v>MT, Primavera do Leste</v>
      </c>
      <c r="DJ2380" s="406">
        <v>-15.528</v>
      </c>
      <c r="DK2380" s="80">
        <v>-54.345999999999997</v>
      </c>
      <c r="DL2380" s="80">
        <v>465</v>
      </c>
      <c r="DM2380" s="64">
        <v>6</v>
      </c>
      <c r="DN2380" s="406" t="s">
        <v>7323</v>
      </c>
      <c r="DO2380" s="406">
        <v>-15.55</v>
      </c>
      <c r="DP2380" s="80">
        <v>749</v>
      </c>
    </row>
    <row r="2381" spans="29:120" x14ac:dyDescent="0.25">
      <c r="AC2381" s="122" t="s">
        <v>376</v>
      </c>
      <c r="AD2381" s="122" t="s">
        <v>2733</v>
      </c>
      <c r="AE2381" s="127">
        <v>3</v>
      </c>
      <c r="DA2381" s="122" t="s">
        <v>340</v>
      </c>
      <c r="DB2381" s="122" t="s">
        <v>4931</v>
      </c>
      <c r="DC2381" s="122" t="s">
        <v>4931</v>
      </c>
      <c r="DD2381" s="127">
        <v>7</v>
      </c>
      <c r="DE2381" s="127">
        <v>7</v>
      </c>
      <c r="DG2381" s="405" t="s">
        <v>340</v>
      </c>
      <c r="DH2381" s="406" t="s">
        <v>4931</v>
      </c>
      <c r="DI2381" s="406" t="str">
        <f t="shared" si="69"/>
        <v>MT, Querência</v>
      </c>
      <c r="DJ2381" s="406">
        <v>-12.476000000000001</v>
      </c>
      <c r="DK2381" s="80">
        <v>-52.378</v>
      </c>
      <c r="DL2381" s="80">
        <v>353</v>
      </c>
      <c r="DM2381" s="64">
        <v>7</v>
      </c>
      <c r="DN2381" s="406" t="s">
        <v>7317</v>
      </c>
      <c r="DO2381" s="406">
        <v>-12.63</v>
      </c>
      <c r="DP2381" s="80">
        <v>382</v>
      </c>
    </row>
    <row r="2382" spans="29:120" x14ac:dyDescent="0.25">
      <c r="AC2382" s="122" t="s">
        <v>333</v>
      </c>
      <c r="AD2382" s="122" t="s">
        <v>2734</v>
      </c>
      <c r="AE2382" s="127">
        <v>6</v>
      </c>
      <c r="DA2382" s="122" t="s">
        <v>340</v>
      </c>
      <c r="DB2382" s="122" t="s">
        <v>7384</v>
      </c>
      <c r="DC2382" s="122" t="s">
        <v>5566</v>
      </c>
      <c r="DD2382" s="127">
        <v>5</v>
      </c>
      <c r="DE2382" s="127">
        <v>5</v>
      </c>
      <c r="DG2382" s="405" t="s">
        <v>340</v>
      </c>
      <c r="DH2382" s="406" t="s">
        <v>5566</v>
      </c>
      <c r="DI2382" s="406" t="str">
        <f t="shared" si="69"/>
        <v>MT, Reserva do Cabaçal</v>
      </c>
      <c r="DJ2382" s="406">
        <v>-15.08</v>
      </c>
      <c r="DK2382" s="80">
        <v>-58.466000000000001</v>
      </c>
      <c r="DL2382" s="80">
        <v>335</v>
      </c>
      <c r="DM2382" s="64">
        <v>5</v>
      </c>
      <c r="DN2382" s="406" t="s">
        <v>7311</v>
      </c>
      <c r="DO2382" s="406">
        <v>-15.12</v>
      </c>
      <c r="DP2382" s="80">
        <v>303</v>
      </c>
    </row>
    <row r="2383" spans="29:120" x14ac:dyDescent="0.25">
      <c r="AC2383" s="122" t="s">
        <v>333</v>
      </c>
      <c r="AD2383" s="122" t="s">
        <v>2735</v>
      </c>
      <c r="AE2383" s="127">
        <v>2</v>
      </c>
      <c r="DA2383" s="122" t="s">
        <v>340</v>
      </c>
      <c r="DB2383" s="122" t="s">
        <v>7385</v>
      </c>
      <c r="DC2383" s="122" t="s">
        <v>4857</v>
      </c>
      <c r="DD2383" s="127">
        <v>7</v>
      </c>
      <c r="DE2383" s="127">
        <v>7</v>
      </c>
      <c r="DG2383" s="405" t="s">
        <v>340</v>
      </c>
      <c r="DH2383" s="406" t="s">
        <v>4857</v>
      </c>
      <c r="DI2383" s="406" t="str">
        <f t="shared" si="69"/>
        <v>MT, Ribeirão Cascalheira</v>
      </c>
      <c r="DJ2383" s="406">
        <v>-12.942</v>
      </c>
      <c r="DK2383" s="80">
        <v>-51.823999999999998</v>
      </c>
      <c r="DL2383" s="80">
        <v>386</v>
      </c>
      <c r="DM2383" s="64">
        <v>7</v>
      </c>
      <c r="DN2383" s="406" t="s">
        <v>7317</v>
      </c>
      <c r="DO2383" s="406">
        <v>-12.63</v>
      </c>
      <c r="DP2383" s="80">
        <v>382</v>
      </c>
    </row>
    <row r="2384" spans="29:120" x14ac:dyDescent="0.25">
      <c r="AC2384" s="122" t="s">
        <v>333</v>
      </c>
      <c r="AD2384" s="122" t="s">
        <v>2736</v>
      </c>
      <c r="AE2384" s="127">
        <v>4</v>
      </c>
      <c r="DA2384" s="122" t="s">
        <v>340</v>
      </c>
      <c r="DB2384" s="122" t="s">
        <v>3035</v>
      </c>
      <c r="DC2384" s="122" t="s">
        <v>3035</v>
      </c>
      <c r="DD2384" s="127">
        <v>6</v>
      </c>
      <c r="DE2384" s="127">
        <v>6</v>
      </c>
      <c r="DG2384" s="405" t="s">
        <v>340</v>
      </c>
      <c r="DH2384" s="406" t="s">
        <v>3035</v>
      </c>
      <c r="DI2384" s="406" t="str">
        <f t="shared" si="69"/>
        <v>MT, Ribeirãozinho</v>
      </c>
      <c r="DJ2384" s="406">
        <v>-16.484999999999999</v>
      </c>
      <c r="DK2384" s="80">
        <v>-52.692</v>
      </c>
      <c r="DL2384" s="80">
        <v>477</v>
      </c>
      <c r="DM2384" s="64">
        <v>6</v>
      </c>
      <c r="DN2384" s="406" t="s">
        <v>6528</v>
      </c>
      <c r="DO2384" s="406">
        <v>-15.9</v>
      </c>
      <c r="DP2384" s="80">
        <v>347</v>
      </c>
    </row>
    <row r="2385" spans="29:120" x14ac:dyDescent="0.25">
      <c r="AC2385" s="122" t="s">
        <v>289</v>
      </c>
      <c r="AD2385" s="122" t="s">
        <v>2737</v>
      </c>
      <c r="AE2385" s="127">
        <v>6</v>
      </c>
      <c r="DA2385" s="122" t="s">
        <v>340</v>
      </c>
      <c r="DB2385" s="122" t="s">
        <v>6081</v>
      </c>
      <c r="DC2385" s="122" t="s">
        <v>4776</v>
      </c>
      <c r="DD2385" s="127">
        <v>5</v>
      </c>
      <c r="DE2385" s="127">
        <v>5</v>
      </c>
      <c r="DG2385" s="405" t="s">
        <v>340</v>
      </c>
      <c r="DH2385" s="406" t="s">
        <v>4776</v>
      </c>
      <c r="DI2385" s="406" t="str">
        <f t="shared" si="69"/>
        <v>MT, Rio Branco</v>
      </c>
      <c r="DJ2385" s="406">
        <v>-15.241</v>
      </c>
      <c r="DK2385" s="80">
        <v>-58.116</v>
      </c>
      <c r="DL2385" s="80">
        <v>180</v>
      </c>
      <c r="DM2385" s="64">
        <v>5</v>
      </c>
      <c r="DN2385" s="406" t="s">
        <v>7311</v>
      </c>
      <c r="DO2385" s="406">
        <v>-15.12</v>
      </c>
      <c r="DP2385" s="80">
        <v>303</v>
      </c>
    </row>
    <row r="2386" spans="29:120" x14ac:dyDescent="0.25">
      <c r="AC2386" s="122" t="s">
        <v>333</v>
      </c>
      <c r="AD2386" s="122" t="s">
        <v>2738</v>
      </c>
      <c r="AE2386" s="127">
        <v>4</v>
      </c>
      <c r="DA2386" s="122" t="s">
        <v>340</v>
      </c>
      <c r="DB2386" s="122" t="s">
        <v>4774</v>
      </c>
      <c r="DC2386" s="122" t="s">
        <v>4774</v>
      </c>
      <c r="DD2386" s="127">
        <v>8</v>
      </c>
      <c r="DE2386" s="127">
        <v>8</v>
      </c>
      <c r="DG2386" s="405" t="s">
        <v>340</v>
      </c>
      <c r="DH2386" s="406" t="s">
        <v>4774</v>
      </c>
      <c r="DI2386" s="406" t="str">
        <f t="shared" si="69"/>
        <v>MT, Rondolândia</v>
      </c>
      <c r="DJ2386" s="406">
        <v>-10.837999999999999</v>
      </c>
      <c r="DK2386" s="80">
        <v>-61.470999999999997</v>
      </c>
      <c r="DL2386" s="80">
        <v>214</v>
      </c>
      <c r="DM2386" s="64">
        <v>8</v>
      </c>
      <c r="DN2386" s="406" t="s">
        <v>7386</v>
      </c>
      <c r="DO2386" s="406">
        <v>-11.45</v>
      </c>
      <c r="DP2386" s="80">
        <v>210</v>
      </c>
    </row>
    <row r="2387" spans="29:120" x14ac:dyDescent="0.25">
      <c r="AC2387" s="122" t="s">
        <v>322</v>
      </c>
      <c r="AD2387" s="122" t="s">
        <v>2739</v>
      </c>
      <c r="AE2387" s="127">
        <v>6</v>
      </c>
      <c r="DA2387" s="122" t="s">
        <v>340</v>
      </c>
      <c r="DB2387" s="122" t="s">
        <v>5683</v>
      </c>
      <c r="DC2387" s="122" t="s">
        <v>5683</v>
      </c>
      <c r="DD2387" s="127">
        <v>6</v>
      </c>
      <c r="DE2387" s="127">
        <v>6</v>
      </c>
      <c r="DG2387" s="405" t="s">
        <v>340</v>
      </c>
      <c r="DH2387" s="406" t="s">
        <v>5683</v>
      </c>
      <c r="DI2387" s="406" t="str">
        <f t="shared" si="69"/>
        <v>MT, Rondonópolis</v>
      </c>
      <c r="DJ2387" s="406">
        <v>-16.471</v>
      </c>
      <c r="DK2387" s="80">
        <v>-54.636000000000003</v>
      </c>
      <c r="DL2387" s="80">
        <v>227</v>
      </c>
      <c r="DM2387" s="64">
        <v>6</v>
      </c>
      <c r="DN2387" s="406" t="s">
        <v>7349</v>
      </c>
      <c r="DO2387" s="406">
        <v>-16.47</v>
      </c>
      <c r="DP2387" s="80">
        <v>284</v>
      </c>
    </row>
    <row r="2388" spans="29:120" x14ac:dyDescent="0.25">
      <c r="AC2388" s="122" t="s">
        <v>376</v>
      </c>
      <c r="AD2388" s="122" t="s">
        <v>2740</v>
      </c>
      <c r="AE2388" s="127">
        <v>4</v>
      </c>
      <c r="DA2388" s="122" t="s">
        <v>340</v>
      </c>
      <c r="DB2388" s="122" t="s">
        <v>7387</v>
      </c>
      <c r="DC2388" s="122" t="s">
        <v>5629</v>
      </c>
      <c r="DD2388" s="127">
        <v>7</v>
      </c>
      <c r="DE2388" s="127">
        <v>7</v>
      </c>
      <c r="DG2388" s="405" t="s">
        <v>340</v>
      </c>
      <c r="DH2388" s="406" t="s">
        <v>5629</v>
      </c>
      <c r="DI2388" s="406" t="str">
        <f t="shared" si="69"/>
        <v>MT, Rosário Oeste</v>
      </c>
      <c r="DJ2388" s="406">
        <v>-14.836</v>
      </c>
      <c r="DK2388" s="80">
        <v>-56.427999999999997</v>
      </c>
      <c r="DL2388" s="80">
        <v>192</v>
      </c>
      <c r="DM2388" s="64">
        <v>7</v>
      </c>
      <c r="DN2388" s="406" t="s">
        <v>7300</v>
      </c>
      <c r="DO2388" s="406">
        <v>-15.62</v>
      </c>
      <c r="DP2388" s="80">
        <v>151</v>
      </c>
    </row>
    <row r="2389" spans="29:120" x14ac:dyDescent="0.25">
      <c r="AC2389" s="122" t="s">
        <v>333</v>
      </c>
      <c r="AD2389" s="122" t="s">
        <v>2741</v>
      </c>
      <c r="AE2389" s="127">
        <v>5</v>
      </c>
      <c r="DA2389" s="122" t="s">
        <v>340</v>
      </c>
      <c r="DB2389" s="122" t="s">
        <v>7388</v>
      </c>
      <c r="DC2389" s="122" t="s">
        <v>5625</v>
      </c>
      <c r="DD2389" s="127">
        <v>5</v>
      </c>
      <c r="DE2389" s="127">
        <v>5</v>
      </c>
      <c r="DG2389" s="405" t="s">
        <v>340</v>
      </c>
      <c r="DH2389" s="406" t="s">
        <v>5625</v>
      </c>
      <c r="DI2389" s="406" t="str">
        <f t="shared" si="69"/>
        <v>MT, Salto do Céu</v>
      </c>
      <c r="DJ2389" s="406">
        <v>-15.13</v>
      </c>
      <c r="DK2389" s="80">
        <v>-58.127000000000002</v>
      </c>
      <c r="DL2389" s="80">
        <v>300</v>
      </c>
      <c r="DM2389" s="64">
        <v>5</v>
      </c>
      <c r="DN2389" s="406" t="s">
        <v>7311</v>
      </c>
      <c r="DO2389" s="406">
        <v>-15.12</v>
      </c>
      <c r="DP2389" s="80">
        <v>303</v>
      </c>
    </row>
    <row r="2390" spans="29:120" x14ac:dyDescent="0.25">
      <c r="AC2390" s="122" t="s">
        <v>322</v>
      </c>
      <c r="AD2390" s="122" t="s">
        <v>2742</v>
      </c>
      <c r="AE2390" s="127">
        <v>6</v>
      </c>
      <c r="DA2390" s="122" t="s">
        <v>340</v>
      </c>
      <c r="DB2390" s="122" t="s">
        <v>7389</v>
      </c>
      <c r="DC2390" s="122" t="s">
        <v>4986</v>
      </c>
      <c r="DD2390" s="127">
        <v>8</v>
      </c>
      <c r="DE2390" s="127">
        <v>8</v>
      </c>
      <c r="DG2390" s="405" t="s">
        <v>340</v>
      </c>
      <c r="DH2390" s="406" t="s">
        <v>4986</v>
      </c>
      <c r="DI2390" s="406" t="str">
        <f t="shared" si="69"/>
        <v>MT, Santa Carmem</v>
      </c>
      <c r="DJ2390" s="406">
        <v>-11.913</v>
      </c>
      <c r="DK2390" s="80">
        <v>-55.225999999999999</v>
      </c>
      <c r="DL2390" s="80">
        <v>386</v>
      </c>
      <c r="DM2390" s="64">
        <v>8</v>
      </c>
      <c r="DN2390" s="406" t="s">
        <v>7330</v>
      </c>
      <c r="DO2390" s="406">
        <v>-11.86</v>
      </c>
      <c r="DP2390" s="80">
        <v>371</v>
      </c>
    </row>
    <row r="2391" spans="29:120" x14ac:dyDescent="0.25">
      <c r="AC2391" s="122" t="s">
        <v>333</v>
      </c>
      <c r="AD2391" s="122" t="s">
        <v>2743</v>
      </c>
      <c r="AE2391" s="127">
        <v>3</v>
      </c>
      <c r="DA2391" s="122" t="s">
        <v>340</v>
      </c>
      <c r="DB2391" s="122" t="s">
        <v>7390</v>
      </c>
      <c r="DC2391" s="122" t="s">
        <v>5281</v>
      </c>
      <c r="DD2391" s="127">
        <v>8</v>
      </c>
      <c r="DE2391" s="127">
        <v>8</v>
      </c>
      <c r="DG2391" s="405" t="s">
        <v>340</v>
      </c>
      <c r="DH2391" s="406" t="s">
        <v>5281</v>
      </c>
      <c r="DI2391" s="406" t="str">
        <f t="shared" si="69"/>
        <v>MT, Santa Cruz do Xingu</v>
      </c>
      <c r="DJ2391" s="406">
        <v>-10.154999999999999</v>
      </c>
      <c r="DK2391" s="80">
        <v>-52.392000000000003</v>
      </c>
      <c r="DL2391" s="80">
        <v>337</v>
      </c>
      <c r="DM2391" s="64">
        <v>8</v>
      </c>
      <c r="DN2391" s="406" t="s">
        <v>7327</v>
      </c>
      <c r="DO2391" s="406">
        <v>-10.65</v>
      </c>
      <c r="DP2391" s="80">
        <v>237</v>
      </c>
    </row>
    <row r="2392" spans="29:120" x14ac:dyDescent="0.25">
      <c r="AC2392" s="122" t="s">
        <v>322</v>
      </c>
      <c r="AD2392" s="122" t="s">
        <v>2744</v>
      </c>
      <c r="AE2392" s="127">
        <v>6</v>
      </c>
      <c r="DA2392" s="122" t="s">
        <v>340</v>
      </c>
      <c r="DB2392" s="122" t="s">
        <v>7391</v>
      </c>
      <c r="DC2392" s="122" t="s">
        <v>4798</v>
      </c>
      <c r="DD2392" s="127">
        <v>6</v>
      </c>
      <c r="DE2392" s="127">
        <v>6</v>
      </c>
      <c r="DG2392" s="405" t="s">
        <v>340</v>
      </c>
      <c r="DH2392" s="406" t="s">
        <v>4798</v>
      </c>
      <c r="DI2392" s="406" t="str">
        <f t="shared" si="69"/>
        <v>MT, Santa Rita do Trivelato</v>
      </c>
      <c r="DJ2392" s="406">
        <v>-13.813000000000001</v>
      </c>
      <c r="DK2392" s="80">
        <v>-55.267000000000003</v>
      </c>
      <c r="DL2392" s="80">
        <v>524</v>
      </c>
      <c r="DM2392" s="64">
        <v>6</v>
      </c>
      <c r="DN2392" s="406" t="s">
        <v>7336</v>
      </c>
      <c r="DO2392" s="406">
        <v>-12.52</v>
      </c>
      <c r="DP2392" s="80">
        <v>431</v>
      </c>
    </row>
    <row r="2393" spans="29:120" x14ac:dyDescent="0.25">
      <c r="AC2393" s="122" t="s">
        <v>322</v>
      </c>
      <c r="AD2393" s="122" t="s">
        <v>2745</v>
      </c>
      <c r="AE2393" s="127">
        <v>6</v>
      </c>
      <c r="DA2393" s="122" t="s">
        <v>340</v>
      </c>
      <c r="DB2393" s="122" t="s">
        <v>7392</v>
      </c>
      <c r="DC2393" s="122" t="s">
        <v>1488</v>
      </c>
      <c r="DD2393" s="127">
        <v>7</v>
      </c>
      <c r="DE2393" s="127">
        <v>7</v>
      </c>
      <c r="DG2393" s="405" t="s">
        <v>340</v>
      </c>
      <c r="DH2393" s="406" t="s">
        <v>1488</v>
      </c>
      <c r="DI2393" s="406" t="str">
        <f t="shared" si="69"/>
        <v>MT, Santa Terezinha</v>
      </c>
      <c r="DJ2393" s="406">
        <v>-10.47</v>
      </c>
      <c r="DK2393" s="80">
        <v>-50.503</v>
      </c>
      <c r="DL2393" s="80">
        <v>198</v>
      </c>
      <c r="DM2393" s="64">
        <v>7</v>
      </c>
      <c r="DN2393" s="406" t="s">
        <v>7327</v>
      </c>
      <c r="DO2393" s="406">
        <v>-10.65</v>
      </c>
      <c r="DP2393" s="80">
        <v>237</v>
      </c>
    </row>
    <row r="2394" spans="29:120" x14ac:dyDescent="0.25">
      <c r="AC2394" s="122" t="s">
        <v>333</v>
      </c>
      <c r="AD2394" s="122" t="s">
        <v>2746</v>
      </c>
      <c r="AE2394" s="127">
        <v>5</v>
      </c>
      <c r="DA2394" s="122" t="s">
        <v>340</v>
      </c>
      <c r="DB2394" s="122" t="s">
        <v>7393</v>
      </c>
      <c r="DC2394" s="122" t="s">
        <v>5633</v>
      </c>
      <c r="DD2394" s="127">
        <v>7</v>
      </c>
      <c r="DE2394" s="127">
        <v>7</v>
      </c>
      <c r="DG2394" s="405" t="s">
        <v>340</v>
      </c>
      <c r="DH2394" s="406" t="s">
        <v>5633</v>
      </c>
      <c r="DI2394" s="406" t="str">
        <f t="shared" si="69"/>
        <v>MT, Santo Afonso</v>
      </c>
      <c r="DJ2394" s="406">
        <v>-14.497999999999999</v>
      </c>
      <c r="DK2394" s="80">
        <v>-57.002000000000002</v>
      </c>
      <c r="DL2394" s="80">
        <v>400</v>
      </c>
      <c r="DM2394" s="64">
        <v>7</v>
      </c>
      <c r="DN2394" s="406" t="s">
        <v>7308</v>
      </c>
      <c r="DO2394" s="406">
        <v>-14.62</v>
      </c>
      <c r="DP2394" s="80">
        <v>322</v>
      </c>
    </row>
    <row r="2395" spans="29:120" x14ac:dyDescent="0.25">
      <c r="AC2395" s="122" t="s">
        <v>333</v>
      </c>
      <c r="AD2395" s="122" t="s">
        <v>2747</v>
      </c>
      <c r="AE2395" s="127">
        <v>4</v>
      </c>
      <c r="DA2395" s="122" t="s">
        <v>340</v>
      </c>
      <c r="DB2395" s="122" t="s">
        <v>7394</v>
      </c>
      <c r="DC2395" s="122" t="s">
        <v>3040</v>
      </c>
      <c r="DD2395" s="127">
        <v>6</v>
      </c>
      <c r="DE2395" s="127">
        <v>6</v>
      </c>
      <c r="DG2395" s="405" t="s">
        <v>340</v>
      </c>
      <c r="DH2395" s="406" t="s">
        <v>3040</v>
      </c>
      <c r="DI2395" s="406" t="str">
        <f t="shared" si="69"/>
        <v>MT, Santo Antônio do Leste</v>
      </c>
      <c r="DJ2395" s="406">
        <v>-14.795999999999999</v>
      </c>
      <c r="DK2395" s="80">
        <v>-53.64</v>
      </c>
      <c r="DL2395" s="80">
        <v>672</v>
      </c>
      <c r="DM2395" s="64">
        <v>6</v>
      </c>
      <c r="DN2395" s="406" t="s">
        <v>7319</v>
      </c>
      <c r="DO2395" s="406">
        <v>-14.93</v>
      </c>
      <c r="DP2395" s="80">
        <v>648</v>
      </c>
    </row>
    <row r="2396" spans="29:120" x14ac:dyDescent="0.25">
      <c r="AC2396" s="122" t="s">
        <v>333</v>
      </c>
      <c r="AD2396" s="122" t="s">
        <v>2748</v>
      </c>
      <c r="AE2396" s="127">
        <v>5</v>
      </c>
      <c r="DA2396" s="122" t="s">
        <v>340</v>
      </c>
      <c r="DB2396" s="122" t="s">
        <v>7395</v>
      </c>
      <c r="DC2396" s="122" t="s">
        <v>5676</v>
      </c>
      <c r="DD2396" s="127">
        <v>7</v>
      </c>
      <c r="DE2396" s="127">
        <v>7</v>
      </c>
      <c r="DG2396" s="405" t="s">
        <v>340</v>
      </c>
      <c r="DH2396" s="406" t="s">
        <v>5676</v>
      </c>
      <c r="DI2396" s="406" t="str">
        <f t="shared" si="69"/>
        <v>MT, Santo Antônio do Leverger</v>
      </c>
      <c r="DJ2396" s="406">
        <v>-15.866</v>
      </c>
      <c r="DK2396" s="80">
        <v>-56.076999999999998</v>
      </c>
      <c r="DL2396" s="80">
        <v>141</v>
      </c>
      <c r="DM2396" s="64">
        <v>7</v>
      </c>
      <c r="DN2396" s="406" t="s">
        <v>7300</v>
      </c>
      <c r="DO2396" s="406">
        <v>-15.62</v>
      </c>
      <c r="DP2396" s="80">
        <v>151</v>
      </c>
    </row>
    <row r="2397" spans="29:120" x14ac:dyDescent="0.25">
      <c r="AC2397" s="122" t="s">
        <v>322</v>
      </c>
      <c r="AD2397" s="122" t="s">
        <v>2749</v>
      </c>
      <c r="AE2397" s="127">
        <v>6</v>
      </c>
      <c r="DA2397" s="122" t="s">
        <v>340</v>
      </c>
      <c r="DB2397" s="122" t="s">
        <v>7396</v>
      </c>
      <c r="DC2397" s="122" t="s">
        <v>4797</v>
      </c>
      <c r="DD2397" s="127">
        <v>7</v>
      </c>
      <c r="DE2397" s="127">
        <v>7</v>
      </c>
      <c r="DG2397" s="405" t="s">
        <v>340</v>
      </c>
      <c r="DH2397" s="406" t="s">
        <v>4797</v>
      </c>
      <c r="DI2397" s="406" t="str">
        <f t="shared" si="69"/>
        <v>MT, São Félix do Araguaia</v>
      </c>
      <c r="DJ2397" s="406">
        <v>-11.617000000000001</v>
      </c>
      <c r="DK2397" s="80">
        <v>-50.668999999999997</v>
      </c>
      <c r="DL2397" s="80">
        <v>195</v>
      </c>
      <c r="DM2397" s="64">
        <v>7</v>
      </c>
      <c r="DN2397" s="406" t="s">
        <v>7305</v>
      </c>
      <c r="DO2397" s="406">
        <v>-11.62</v>
      </c>
      <c r="DP2397" s="80">
        <v>218</v>
      </c>
    </row>
    <row r="2398" spans="29:120" x14ac:dyDescent="0.25">
      <c r="AC2398" s="122" t="s">
        <v>289</v>
      </c>
      <c r="AD2398" s="122" t="s">
        <v>2750</v>
      </c>
      <c r="AE2398" s="127">
        <v>6</v>
      </c>
      <c r="DA2398" s="122" t="s">
        <v>340</v>
      </c>
      <c r="DB2398" s="122" t="s">
        <v>7397</v>
      </c>
      <c r="DC2398" s="122" t="s">
        <v>5671</v>
      </c>
      <c r="DD2398" s="127">
        <v>6</v>
      </c>
      <c r="DE2398" s="127">
        <v>6</v>
      </c>
      <c r="DG2398" s="405" t="s">
        <v>340</v>
      </c>
      <c r="DH2398" s="406" t="s">
        <v>5671</v>
      </c>
      <c r="DI2398" s="406" t="str">
        <f t="shared" si="69"/>
        <v>MT, São José do Povo</v>
      </c>
      <c r="DJ2398" s="406">
        <v>-16.465</v>
      </c>
      <c r="DK2398" s="80">
        <v>-54.255000000000003</v>
      </c>
      <c r="DL2398" s="80">
        <v>281</v>
      </c>
      <c r="DM2398" s="64">
        <v>6</v>
      </c>
      <c r="DN2398" s="406" t="s">
        <v>7349</v>
      </c>
      <c r="DO2398" s="406">
        <v>-16.47</v>
      </c>
      <c r="DP2398" s="80">
        <v>284</v>
      </c>
    </row>
    <row r="2399" spans="29:120" x14ac:dyDescent="0.25">
      <c r="AC2399" s="122" t="s">
        <v>322</v>
      </c>
      <c r="AD2399" s="122" t="s">
        <v>2751</v>
      </c>
      <c r="AE2399" s="127">
        <v>6</v>
      </c>
      <c r="DA2399" s="122" t="s">
        <v>340</v>
      </c>
      <c r="DB2399" s="122" t="s">
        <v>7398</v>
      </c>
      <c r="DC2399" s="122" t="s">
        <v>5691</v>
      </c>
      <c r="DD2399" s="127">
        <v>5</v>
      </c>
      <c r="DE2399" s="127">
        <v>5</v>
      </c>
      <c r="DG2399" s="405" t="s">
        <v>340</v>
      </c>
      <c r="DH2399" s="406" t="s">
        <v>5691</v>
      </c>
      <c r="DI2399" s="406" t="str">
        <f t="shared" si="69"/>
        <v>MT, São José do Rio Claro</v>
      </c>
      <c r="DJ2399" s="406">
        <v>-13.446999999999999</v>
      </c>
      <c r="DK2399" s="80">
        <v>-56.720999999999997</v>
      </c>
      <c r="DL2399" s="80">
        <v>350</v>
      </c>
      <c r="DM2399" s="64">
        <v>5</v>
      </c>
      <c r="DN2399" s="406" t="s">
        <v>7333</v>
      </c>
      <c r="DO2399" s="406">
        <v>-13.45</v>
      </c>
      <c r="DP2399" s="80">
        <v>350</v>
      </c>
    </row>
    <row r="2400" spans="29:120" x14ac:dyDescent="0.25">
      <c r="AC2400" s="122" t="s">
        <v>333</v>
      </c>
      <c r="AD2400" s="122" t="s">
        <v>2752</v>
      </c>
      <c r="AE2400" s="127">
        <v>6</v>
      </c>
      <c r="DA2400" s="122" t="s">
        <v>340</v>
      </c>
      <c r="DB2400" s="122" t="s">
        <v>7399</v>
      </c>
      <c r="DC2400" s="122" t="s">
        <v>5299</v>
      </c>
      <c r="DD2400" s="127">
        <v>8</v>
      </c>
      <c r="DE2400" s="127">
        <v>8</v>
      </c>
      <c r="DG2400" s="405" t="s">
        <v>340</v>
      </c>
      <c r="DH2400" s="406" t="s">
        <v>5299</v>
      </c>
      <c r="DI2400" s="406" t="str">
        <f t="shared" si="69"/>
        <v>MT, São José do Xingu</v>
      </c>
      <c r="DJ2400" s="406">
        <v>-10.804</v>
      </c>
      <c r="DK2400" s="80">
        <v>-52.744</v>
      </c>
      <c r="DL2400" s="80">
        <v>337</v>
      </c>
      <c r="DM2400" s="64">
        <v>8</v>
      </c>
      <c r="DN2400" s="406" t="s">
        <v>7327</v>
      </c>
      <c r="DO2400" s="406">
        <v>-10.65</v>
      </c>
      <c r="DP2400" s="80">
        <v>237</v>
      </c>
    </row>
    <row r="2401" spans="29:120" x14ac:dyDescent="0.25">
      <c r="AC2401" s="122" t="s">
        <v>333</v>
      </c>
      <c r="AD2401" s="122" t="s">
        <v>2753</v>
      </c>
      <c r="AE2401" s="127">
        <v>6</v>
      </c>
      <c r="DA2401" s="122" t="s">
        <v>340</v>
      </c>
      <c r="DB2401" s="122" t="s">
        <v>7400</v>
      </c>
      <c r="DC2401" s="122" t="s">
        <v>5619</v>
      </c>
      <c r="DD2401" s="127">
        <v>8</v>
      </c>
      <c r="DE2401" s="127">
        <v>8</v>
      </c>
      <c r="DG2401" s="405" t="s">
        <v>340</v>
      </c>
      <c r="DH2401" s="406" t="s">
        <v>5619</v>
      </c>
      <c r="DI2401" s="406" t="str">
        <f t="shared" si="69"/>
        <v>MT, São José dos Quatro Marcos</v>
      </c>
      <c r="DJ2401" s="406">
        <v>-15.621</v>
      </c>
      <c r="DK2401" s="80">
        <v>-58.176000000000002</v>
      </c>
      <c r="DL2401" s="80">
        <v>230</v>
      </c>
      <c r="DM2401" s="64">
        <v>8</v>
      </c>
      <c r="DN2401" s="406" t="s">
        <v>7311</v>
      </c>
      <c r="DO2401" s="406">
        <v>-15.12</v>
      </c>
      <c r="DP2401" s="80">
        <v>303</v>
      </c>
    </row>
    <row r="2402" spans="29:120" x14ac:dyDescent="0.25">
      <c r="AC2402" s="122" t="s">
        <v>376</v>
      </c>
      <c r="AD2402" s="122" t="s">
        <v>2754</v>
      </c>
      <c r="AE2402" s="127">
        <v>6</v>
      </c>
      <c r="DA2402" s="122" t="s">
        <v>340</v>
      </c>
      <c r="DB2402" s="122" t="s">
        <v>7401</v>
      </c>
      <c r="DC2402" s="122" t="s">
        <v>2405</v>
      </c>
      <c r="DD2402" s="127">
        <v>6</v>
      </c>
      <c r="DE2402" s="127">
        <v>6</v>
      </c>
      <c r="DG2402" s="405" t="s">
        <v>340</v>
      </c>
      <c r="DH2402" s="406" t="s">
        <v>2405</v>
      </c>
      <c r="DI2402" s="406" t="str">
        <f t="shared" si="69"/>
        <v>MT, São Pedro da Cipa</v>
      </c>
      <c r="DJ2402" s="406">
        <v>-16.001000000000001</v>
      </c>
      <c r="DK2402" s="80">
        <v>-54.920999999999999</v>
      </c>
      <c r="DL2402" s="80">
        <v>264</v>
      </c>
      <c r="DM2402" s="64">
        <v>6</v>
      </c>
      <c r="DN2402" s="406" t="s">
        <v>7323</v>
      </c>
      <c r="DO2402" s="406">
        <v>-15.55</v>
      </c>
      <c r="DP2402" s="80">
        <v>749</v>
      </c>
    </row>
    <row r="2403" spans="29:120" x14ac:dyDescent="0.25">
      <c r="AC2403" s="122" t="s">
        <v>333</v>
      </c>
      <c r="AD2403" s="122" t="s">
        <v>2755</v>
      </c>
      <c r="AE2403" s="127">
        <v>5</v>
      </c>
      <c r="DA2403" s="122" t="s">
        <v>340</v>
      </c>
      <c r="DB2403" s="122" t="s">
        <v>4440</v>
      </c>
      <c r="DC2403" s="122" t="s">
        <v>4440</v>
      </c>
      <c r="DD2403" s="127">
        <v>8</v>
      </c>
      <c r="DE2403" s="127">
        <v>8</v>
      </c>
      <c r="DG2403" s="405" t="s">
        <v>340</v>
      </c>
      <c r="DH2403" s="406" t="s">
        <v>4440</v>
      </c>
      <c r="DI2403" s="406" t="str">
        <f t="shared" si="69"/>
        <v>MT, Sapezal</v>
      </c>
      <c r="DJ2403" s="406">
        <v>-12.989000000000001</v>
      </c>
      <c r="DK2403" s="80">
        <v>-58.764000000000003</v>
      </c>
      <c r="DL2403" s="80">
        <v>370</v>
      </c>
      <c r="DM2403" s="64">
        <v>8</v>
      </c>
      <c r="DN2403" s="406" t="s">
        <v>7321</v>
      </c>
      <c r="DO2403" s="406">
        <v>-13.68</v>
      </c>
      <c r="DP2403" s="80">
        <v>570</v>
      </c>
    </row>
    <row r="2404" spans="29:120" x14ac:dyDescent="0.25">
      <c r="AC2404" s="122" t="s">
        <v>322</v>
      </c>
      <c r="AD2404" s="122" t="s">
        <v>2756</v>
      </c>
      <c r="AE2404" s="127">
        <v>6</v>
      </c>
      <c r="DA2404" s="122" t="s">
        <v>340</v>
      </c>
      <c r="DB2404" s="122" t="s">
        <v>7402</v>
      </c>
      <c r="DC2404" s="122" t="s">
        <v>4852</v>
      </c>
      <c r="DD2404" s="127">
        <v>7</v>
      </c>
      <c r="DE2404" s="127">
        <v>7</v>
      </c>
      <c r="DG2404" s="405" t="s">
        <v>340</v>
      </c>
      <c r="DH2404" s="406" t="s">
        <v>4852</v>
      </c>
      <c r="DI2404" s="406" t="str">
        <f t="shared" si="69"/>
        <v>MT, Serra Nova Dourada</v>
      </c>
      <c r="DJ2404" s="406">
        <v>-12.092000000000001</v>
      </c>
      <c r="DK2404" s="80">
        <v>-51.402000000000001</v>
      </c>
      <c r="DL2404" s="80">
        <v>287</v>
      </c>
      <c r="DM2404" s="64">
        <v>7</v>
      </c>
      <c r="DN2404" s="406" t="s">
        <v>7305</v>
      </c>
      <c r="DO2404" s="406">
        <v>-11.62</v>
      </c>
      <c r="DP2404" s="80">
        <v>218</v>
      </c>
    </row>
    <row r="2405" spans="29:120" x14ac:dyDescent="0.25">
      <c r="AC2405" s="122" t="s">
        <v>323</v>
      </c>
      <c r="AD2405" s="122" t="s">
        <v>2757</v>
      </c>
      <c r="AE2405" s="127">
        <v>6</v>
      </c>
      <c r="DA2405" s="122" t="s">
        <v>340</v>
      </c>
      <c r="DB2405" s="122" t="s">
        <v>4995</v>
      </c>
      <c r="DC2405" s="122" t="s">
        <v>4995</v>
      </c>
      <c r="DD2405" s="127">
        <v>8</v>
      </c>
      <c r="DE2405" s="127">
        <v>8</v>
      </c>
      <c r="DG2405" s="405" t="s">
        <v>340</v>
      </c>
      <c r="DH2405" s="406" t="s">
        <v>4995</v>
      </c>
      <c r="DI2405" s="406" t="str">
        <f t="shared" si="69"/>
        <v>MT, Sinop</v>
      </c>
      <c r="DJ2405" s="406">
        <v>-11.864000000000001</v>
      </c>
      <c r="DK2405" s="80">
        <v>-55.503999999999998</v>
      </c>
      <c r="DL2405" s="80">
        <v>345</v>
      </c>
      <c r="DM2405" s="64">
        <v>8</v>
      </c>
      <c r="DN2405" s="406" t="s">
        <v>7330</v>
      </c>
      <c r="DO2405" s="406">
        <v>-11.86</v>
      </c>
      <c r="DP2405" s="80">
        <v>371</v>
      </c>
    </row>
    <row r="2406" spans="29:120" x14ac:dyDescent="0.25">
      <c r="AC2406" s="122" t="s">
        <v>322</v>
      </c>
      <c r="AD2406" s="122" t="s">
        <v>2758</v>
      </c>
      <c r="AE2406" s="127">
        <v>6</v>
      </c>
      <c r="DA2406" s="122" t="s">
        <v>340</v>
      </c>
      <c r="DB2406" s="122" t="s">
        <v>4973</v>
      </c>
      <c r="DC2406" s="122" t="s">
        <v>4973</v>
      </c>
      <c r="DD2406" s="127">
        <v>5</v>
      </c>
      <c r="DE2406" s="127">
        <v>5</v>
      </c>
      <c r="DG2406" s="405" t="s">
        <v>340</v>
      </c>
      <c r="DH2406" s="406" t="s">
        <v>4973</v>
      </c>
      <c r="DI2406" s="406" t="str">
        <f t="shared" si="69"/>
        <v>MT, Sorriso</v>
      </c>
      <c r="DJ2406" s="406">
        <v>-12.545</v>
      </c>
      <c r="DK2406" s="80">
        <v>-55.710999999999999</v>
      </c>
      <c r="DL2406" s="80">
        <v>365</v>
      </c>
      <c r="DM2406" s="64">
        <v>5</v>
      </c>
      <c r="DN2406" s="406" t="s">
        <v>7347</v>
      </c>
      <c r="DO2406" s="406">
        <v>-12.55</v>
      </c>
      <c r="DP2406" s="80">
        <v>380</v>
      </c>
    </row>
    <row r="2407" spans="29:120" x14ac:dyDescent="0.25">
      <c r="AC2407" s="122" t="s">
        <v>333</v>
      </c>
      <c r="AD2407" s="122" t="s">
        <v>2759</v>
      </c>
      <c r="AE2407" s="127">
        <v>3</v>
      </c>
      <c r="DA2407" s="122" t="s">
        <v>340</v>
      </c>
      <c r="DB2407" s="122" t="s">
        <v>4901</v>
      </c>
      <c r="DC2407" s="122" t="s">
        <v>4901</v>
      </c>
      <c r="DD2407" s="127">
        <v>8</v>
      </c>
      <c r="DE2407" s="127">
        <v>8</v>
      </c>
      <c r="DG2407" s="405" t="s">
        <v>340</v>
      </c>
      <c r="DH2407" s="406" t="s">
        <v>4901</v>
      </c>
      <c r="DI2407" s="406" t="str">
        <f t="shared" si="69"/>
        <v>MT, Tabaporã</v>
      </c>
      <c r="DJ2407" s="406">
        <v>-10.807</v>
      </c>
      <c r="DK2407" s="80">
        <v>-56.62</v>
      </c>
      <c r="DL2407" s="80">
        <v>336</v>
      </c>
      <c r="DM2407" s="64">
        <v>8</v>
      </c>
      <c r="DN2407" s="406" t="s">
        <v>7318</v>
      </c>
      <c r="DO2407" s="406">
        <v>-11.26</v>
      </c>
      <c r="DP2407" s="80">
        <v>260</v>
      </c>
    </row>
    <row r="2408" spans="29:120" x14ac:dyDescent="0.25">
      <c r="AC2408" s="122" t="s">
        <v>333</v>
      </c>
      <c r="AD2408" s="122" t="s">
        <v>2760</v>
      </c>
      <c r="AE2408" s="127">
        <v>3</v>
      </c>
      <c r="DA2408" s="122" t="s">
        <v>340</v>
      </c>
      <c r="DB2408" s="122" t="s">
        <v>7403</v>
      </c>
      <c r="DC2408" s="122" t="s">
        <v>5284</v>
      </c>
      <c r="DD2408" s="127">
        <v>7</v>
      </c>
      <c r="DE2408" s="127">
        <v>7</v>
      </c>
      <c r="DG2408" s="405" t="s">
        <v>340</v>
      </c>
      <c r="DH2408" s="406" t="s">
        <v>5284</v>
      </c>
      <c r="DI2408" s="406" t="str">
        <f t="shared" si="69"/>
        <v>MT, Tangará da Serra</v>
      </c>
      <c r="DJ2408" s="406">
        <v>-14.619</v>
      </c>
      <c r="DK2408" s="80">
        <v>-57.485999999999997</v>
      </c>
      <c r="DL2408" s="80">
        <v>387</v>
      </c>
      <c r="DM2408" s="64">
        <v>7</v>
      </c>
      <c r="DN2408" s="406" t="s">
        <v>7308</v>
      </c>
      <c r="DO2408" s="406">
        <v>-14.62</v>
      </c>
      <c r="DP2408" s="80">
        <v>322</v>
      </c>
    </row>
    <row r="2409" spans="29:120" x14ac:dyDescent="0.25">
      <c r="AC2409" s="122" t="s">
        <v>322</v>
      </c>
      <c r="AD2409" s="122" t="s">
        <v>2761</v>
      </c>
      <c r="AE2409" s="127">
        <v>6</v>
      </c>
      <c r="DA2409" s="122" t="s">
        <v>340</v>
      </c>
      <c r="DB2409" s="122" t="s">
        <v>2362</v>
      </c>
      <c r="DC2409" s="122" t="s">
        <v>2362</v>
      </c>
      <c r="DD2409" s="127">
        <v>5</v>
      </c>
      <c r="DE2409" s="127">
        <v>5</v>
      </c>
      <c r="DG2409" s="405" t="s">
        <v>340</v>
      </c>
      <c r="DH2409" s="406" t="s">
        <v>2362</v>
      </c>
      <c r="DI2409" s="406" t="str">
        <f t="shared" si="69"/>
        <v>MT, Tapurah</v>
      </c>
      <c r="DJ2409" s="406">
        <v>-12.772</v>
      </c>
      <c r="DK2409" s="80">
        <v>-56.554000000000002</v>
      </c>
      <c r="DL2409" s="80">
        <v>393</v>
      </c>
      <c r="DM2409" s="64">
        <v>5</v>
      </c>
      <c r="DN2409" s="406" t="s">
        <v>7348</v>
      </c>
      <c r="DO2409" s="406">
        <v>-13.04</v>
      </c>
      <c r="DP2409" s="80">
        <v>353</v>
      </c>
    </row>
    <row r="2410" spans="29:120" x14ac:dyDescent="0.25">
      <c r="AC2410" s="122" t="s">
        <v>322</v>
      </c>
      <c r="AD2410" s="122" t="s">
        <v>2762</v>
      </c>
      <c r="AE2410" s="127">
        <v>6</v>
      </c>
      <c r="DA2410" s="122" t="s">
        <v>340</v>
      </c>
      <c r="DB2410" s="122" t="s">
        <v>7404</v>
      </c>
      <c r="DC2410" s="122" t="s">
        <v>4921</v>
      </c>
      <c r="DD2410" s="127">
        <v>8</v>
      </c>
      <c r="DE2410" s="127">
        <v>8</v>
      </c>
      <c r="DG2410" s="405" t="s">
        <v>340</v>
      </c>
      <c r="DH2410" s="406" t="s">
        <v>4921</v>
      </c>
      <c r="DI2410" s="406" t="str">
        <f t="shared" si="69"/>
        <v>MT, Terra Nova do Norte</v>
      </c>
      <c r="DJ2410" s="406">
        <v>-10.516999999999999</v>
      </c>
      <c r="DK2410" s="80">
        <v>-55.231000000000002</v>
      </c>
      <c r="DL2410" s="80">
        <v>250</v>
      </c>
      <c r="DM2410" s="64">
        <v>8</v>
      </c>
      <c r="DN2410" s="406" t="s">
        <v>7344</v>
      </c>
      <c r="DO2410" s="406">
        <v>-9.7899999999999991</v>
      </c>
      <c r="DP2410" s="80">
        <v>320</v>
      </c>
    </row>
    <row r="2411" spans="29:120" x14ac:dyDescent="0.25">
      <c r="AC2411" s="122" t="s">
        <v>333</v>
      </c>
      <c r="AD2411" s="122" t="s">
        <v>2763</v>
      </c>
      <c r="AE2411" s="127">
        <v>3</v>
      </c>
      <c r="DA2411" s="122" t="s">
        <v>340</v>
      </c>
      <c r="DB2411" s="122" t="s">
        <v>3049</v>
      </c>
      <c r="DC2411" s="122" t="s">
        <v>3049</v>
      </c>
      <c r="DD2411" s="127">
        <v>6</v>
      </c>
      <c r="DE2411" s="127">
        <v>6</v>
      </c>
      <c r="DG2411" s="405" t="s">
        <v>340</v>
      </c>
      <c r="DH2411" s="406" t="s">
        <v>3049</v>
      </c>
      <c r="DI2411" s="406" t="str">
        <f t="shared" si="69"/>
        <v>MT, Tesouro</v>
      </c>
      <c r="DJ2411" s="406">
        <v>-16.079000000000001</v>
      </c>
      <c r="DK2411" s="80">
        <v>-53.552999999999997</v>
      </c>
      <c r="DL2411" s="80">
        <v>410</v>
      </c>
      <c r="DM2411" s="64">
        <v>6</v>
      </c>
      <c r="DN2411" s="406" t="s">
        <v>7345</v>
      </c>
      <c r="DO2411" s="406">
        <v>-16.34</v>
      </c>
      <c r="DP2411" s="80">
        <v>526</v>
      </c>
    </row>
    <row r="2412" spans="29:120" x14ac:dyDescent="0.25">
      <c r="AC2412" s="122" t="s">
        <v>322</v>
      </c>
      <c r="AD2412" s="122" t="s">
        <v>2764</v>
      </c>
      <c r="AE2412" s="127">
        <v>6</v>
      </c>
      <c r="DA2412" s="122" t="s">
        <v>340</v>
      </c>
      <c r="DB2412" s="122" t="s">
        <v>5679</v>
      </c>
      <c r="DC2412" s="122" t="s">
        <v>5679</v>
      </c>
      <c r="DD2412" s="127">
        <v>6</v>
      </c>
      <c r="DE2412" s="127">
        <v>6</v>
      </c>
      <c r="DG2412" s="405" t="s">
        <v>340</v>
      </c>
      <c r="DH2412" s="406" t="s">
        <v>5679</v>
      </c>
      <c r="DI2412" s="406" t="str">
        <f t="shared" si="69"/>
        <v>MT, Torixoréu</v>
      </c>
      <c r="DJ2412" s="406">
        <v>-16.199000000000002</v>
      </c>
      <c r="DK2412" s="80">
        <v>-52.555999999999997</v>
      </c>
      <c r="DL2412" s="80">
        <v>335</v>
      </c>
      <c r="DM2412" s="64">
        <v>6</v>
      </c>
      <c r="DN2412" s="406" t="s">
        <v>6528</v>
      </c>
      <c r="DO2412" s="406">
        <v>-15.9</v>
      </c>
      <c r="DP2412" s="80">
        <v>347</v>
      </c>
    </row>
    <row r="2413" spans="29:120" x14ac:dyDescent="0.25">
      <c r="AC2413" s="122" t="s">
        <v>322</v>
      </c>
      <c r="AD2413" s="122" t="s">
        <v>2765</v>
      </c>
      <c r="AE2413" s="127">
        <v>4</v>
      </c>
      <c r="DA2413" s="122" t="s">
        <v>340</v>
      </c>
      <c r="DB2413" s="122" t="s">
        <v>7405</v>
      </c>
      <c r="DC2413" s="122" t="s">
        <v>4902</v>
      </c>
      <c r="DD2413" s="127">
        <v>8</v>
      </c>
      <c r="DE2413" s="127">
        <v>8</v>
      </c>
      <c r="DG2413" s="405" t="s">
        <v>340</v>
      </c>
      <c r="DH2413" s="406" t="s">
        <v>4902</v>
      </c>
      <c r="DI2413" s="406" t="str">
        <f t="shared" si="69"/>
        <v>MT, União do Sul</v>
      </c>
      <c r="DJ2413" s="406">
        <v>-11.532999999999999</v>
      </c>
      <c r="DK2413" s="80">
        <v>-54.353000000000002</v>
      </c>
      <c r="DL2413" s="80">
        <v>350</v>
      </c>
      <c r="DM2413" s="64">
        <v>8</v>
      </c>
      <c r="DN2413" s="406" t="s">
        <v>7330</v>
      </c>
      <c r="DO2413" s="406">
        <v>-11.86</v>
      </c>
      <c r="DP2413" s="80">
        <v>371</v>
      </c>
    </row>
    <row r="2414" spans="29:120" x14ac:dyDescent="0.25">
      <c r="AC2414" s="122" t="s">
        <v>323</v>
      </c>
      <c r="AD2414" s="122" t="s">
        <v>2766</v>
      </c>
      <c r="AE2414" s="127">
        <v>8</v>
      </c>
      <c r="DA2414" s="122" t="s">
        <v>340</v>
      </c>
      <c r="DB2414" s="122" t="s">
        <v>7406</v>
      </c>
      <c r="DC2414" s="122" t="s">
        <v>5273</v>
      </c>
      <c r="DD2414" s="127">
        <v>5</v>
      </c>
      <c r="DE2414" s="127">
        <v>5</v>
      </c>
      <c r="DG2414" s="405" t="s">
        <v>340</v>
      </c>
      <c r="DH2414" s="406" t="s">
        <v>5273</v>
      </c>
      <c r="DI2414" s="406" t="str">
        <f t="shared" si="69"/>
        <v>MT, Vale de São Domingos</v>
      </c>
      <c r="DJ2414" s="406">
        <v>-15.294</v>
      </c>
      <c r="DK2414" s="80">
        <v>-59.061</v>
      </c>
      <c r="DL2414" s="80">
        <v>304</v>
      </c>
      <c r="DM2414" s="64">
        <v>5</v>
      </c>
      <c r="DN2414" s="406" t="s">
        <v>7338</v>
      </c>
      <c r="DO2414" s="406">
        <v>-15.25</v>
      </c>
      <c r="DP2414" s="80">
        <v>256</v>
      </c>
    </row>
    <row r="2415" spans="29:120" x14ac:dyDescent="0.25">
      <c r="AC2415" s="122" t="s">
        <v>333</v>
      </c>
      <c r="AD2415" s="122" t="s">
        <v>2767</v>
      </c>
      <c r="AE2415" s="127">
        <v>2</v>
      </c>
      <c r="DA2415" s="122" t="s">
        <v>340</v>
      </c>
      <c r="DB2415" s="122" t="s">
        <v>7407</v>
      </c>
      <c r="DC2415" s="122" t="s">
        <v>5615</v>
      </c>
      <c r="DD2415" s="127">
        <v>7</v>
      </c>
      <c r="DE2415" s="127">
        <v>7</v>
      </c>
      <c r="DG2415" s="405" t="s">
        <v>340</v>
      </c>
      <c r="DH2415" s="406" t="s">
        <v>5615</v>
      </c>
      <c r="DI2415" s="406" t="str">
        <f t="shared" si="69"/>
        <v>MT, Várzea Grande</v>
      </c>
      <c r="DJ2415" s="406">
        <v>-15.647</v>
      </c>
      <c r="DK2415" s="80">
        <v>-56.133000000000003</v>
      </c>
      <c r="DL2415" s="80">
        <v>190</v>
      </c>
      <c r="DM2415" s="64">
        <v>7</v>
      </c>
      <c r="DN2415" s="406" t="s">
        <v>7300</v>
      </c>
      <c r="DO2415" s="406">
        <v>-15.62</v>
      </c>
      <c r="DP2415" s="80">
        <v>151</v>
      </c>
    </row>
    <row r="2416" spans="29:120" x14ac:dyDescent="0.25">
      <c r="AC2416" s="122" t="s">
        <v>333</v>
      </c>
      <c r="AD2416" s="122" t="s">
        <v>2768</v>
      </c>
      <c r="AE2416" s="127">
        <v>5</v>
      </c>
      <c r="DA2416" s="122" t="s">
        <v>340</v>
      </c>
      <c r="DB2416" s="122" t="s">
        <v>5668</v>
      </c>
      <c r="DC2416" s="122" t="s">
        <v>5668</v>
      </c>
      <c r="DD2416" s="127">
        <v>5</v>
      </c>
      <c r="DE2416" s="127">
        <v>5</v>
      </c>
      <c r="DG2416" s="405" t="s">
        <v>340</v>
      </c>
      <c r="DH2416" s="406" t="s">
        <v>5668</v>
      </c>
      <c r="DI2416" s="406" t="str">
        <f t="shared" si="69"/>
        <v>MT, Vera</v>
      </c>
      <c r="DJ2416" s="406">
        <v>-12.305999999999999</v>
      </c>
      <c r="DK2416" s="80">
        <v>-55.317</v>
      </c>
      <c r="DL2416" s="80">
        <v>383</v>
      </c>
      <c r="DM2416" s="64">
        <v>5</v>
      </c>
      <c r="DN2416" s="406" t="s">
        <v>7336</v>
      </c>
      <c r="DO2416" s="406">
        <v>-12.52</v>
      </c>
      <c r="DP2416" s="80">
        <v>431</v>
      </c>
    </row>
    <row r="2417" spans="29:120" x14ac:dyDescent="0.25">
      <c r="AC2417" s="122" t="s">
        <v>322</v>
      </c>
      <c r="AD2417" s="122" t="s">
        <v>2769</v>
      </c>
      <c r="AE2417" s="127">
        <v>4</v>
      </c>
      <c r="DA2417" s="122" t="s">
        <v>340</v>
      </c>
      <c r="DB2417" s="122" t="s">
        <v>7408</v>
      </c>
      <c r="DC2417" s="122" t="s">
        <v>5677</v>
      </c>
      <c r="DD2417" s="127">
        <v>5</v>
      </c>
      <c r="DE2417" s="127">
        <v>5</v>
      </c>
      <c r="DG2417" s="405" t="s">
        <v>340</v>
      </c>
      <c r="DH2417" s="406" t="s">
        <v>5677</v>
      </c>
      <c r="DI2417" s="406" t="str">
        <f t="shared" si="69"/>
        <v>MT, Vila Bela da Santíssima Trindade</v>
      </c>
      <c r="DJ2417" s="406">
        <v>-15.007999999999999</v>
      </c>
      <c r="DK2417" s="80">
        <v>-59.951000000000001</v>
      </c>
      <c r="DL2417" s="80">
        <v>198</v>
      </c>
      <c r="DM2417" s="64">
        <v>5</v>
      </c>
      <c r="DN2417" s="406" t="s">
        <v>7332</v>
      </c>
      <c r="DO2417" s="406">
        <v>-15.01</v>
      </c>
      <c r="DP2417" s="80">
        <v>222</v>
      </c>
    </row>
    <row r="2418" spans="29:120" x14ac:dyDescent="0.25">
      <c r="AC2418" s="122" t="s">
        <v>322</v>
      </c>
      <c r="AD2418" s="122" t="s">
        <v>2770</v>
      </c>
      <c r="AE2418" s="127">
        <v>6</v>
      </c>
      <c r="DA2418" s="122" t="s">
        <v>340</v>
      </c>
      <c r="DB2418" s="122" t="s">
        <v>7409</v>
      </c>
      <c r="DC2418" s="122" t="s">
        <v>5256</v>
      </c>
      <c r="DD2418" s="127">
        <v>7</v>
      </c>
      <c r="DE2418" s="127">
        <v>7</v>
      </c>
      <c r="DG2418" s="405" t="s">
        <v>340</v>
      </c>
      <c r="DH2418" s="406" t="s">
        <v>5256</v>
      </c>
      <c r="DI2418" s="406" t="str">
        <f t="shared" si="69"/>
        <v>MT, Vila Rica</v>
      </c>
      <c r="DJ2418" s="406">
        <v>-10.012</v>
      </c>
      <c r="DK2418" s="80">
        <v>-51.116</v>
      </c>
      <c r="DL2418" s="80">
        <v>255</v>
      </c>
      <c r="DM2418" s="64">
        <v>7</v>
      </c>
      <c r="DN2418" s="406" t="s">
        <v>7327</v>
      </c>
      <c r="DO2418" s="406">
        <v>-10.65</v>
      </c>
      <c r="DP2418" s="80">
        <v>237</v>
      </c>
    </row>
    <row r="2419" spans="29:120" x14ac:dyDescent="0.25">
      <c r="AC2419" s="122" t="s">
        <v>333</v>
      </c>
      <c r="AD2419" s="122" t="s">
        <v>2770</v>
      </c>
      <c r="AE2419" s="127">
        <v>6</v>
      </c>
      <c r="DA2419" s="122" t="s">
        <v>344</v>
      </c>
      <c r="DB2419" s="122" t="s">
        <v>4124</v>
      </c>
      <c r="DC2419" s="122" t="s">
        <v>4124</v>
      </c>
      <c r="DD2419" s="127">
        <v>8</v>
      </c>
      <c r="DE2419" s="127">
        <v>8</v>
      </c>
      <c r="DG2419" s="405" t="s">
        <v>344</v>
      </c>
      <c r="DH2419" s="406" t="s">
        <v>4124</v>
      </c>
      <c r="DI2419" s="406" t="str">
        <f t="shared" si="69"/>
        <v>PA, Abaetetuba</v>
      </c>
      <c r="DJ2419" s="406">
        <v>-1.718</v>
      </c>
      <c r="DK2419" s="80">
        <v>-48.883000000000003</v>
      </c>
      <c r="DL2419" s="80">
        <v>10</v>
      </c>
      <c r="DM2419" s="64">
        <v>8</v>
      </c>
      <c r="DN2419" s="406" t="s">
        <v>7410</v>
      </c>
      <c r="DO2419" s="406">
        <v>-1.46</v>
      </c>
      <c r="DP2419" s="80">
        <v>24</v>
      </c>
    </row>
    <row r="2420" spans="29:120" x14ac:dyDescent="0.25">
      <c r="AC2420" s="122" t="s">
        <v>322</v>
      </c>
      <c r="AD2420" s="122" t="s">
        <v>2771</v>
      </c>
      <c r="AE2420" s="127">
        <v>6</v>
      </c>
      <c r="DA2420" s="122" t="s">
        <v>344</v>
      </c>
      <c r="DB2420" s="122" t="s">
        <v>7411</v>
      </c>
      <c r="DC2420" s="122" t="s">
        <v>4419</v>
      </c>
      <c r="DD2420" s="127">
        <v>8</v>
      </c>
      <c r="DE2420" s="127">
        <v>8</v>
      </c>
      <c r="DG2420" s="405" t="s">
        <v>344</v>
      </c>
      <c r="DH2420" s="406" t="s">
        <v>4419</v>
      </c>
      <c r="DI2420" s="406" t="str">
        <f t="shared" si="69"/>
        <v>PA, Abel Figueiredo</v>
      </c>
      <c r="DJ2420" s="406">
        <v>-4.9539999999999997</v>
      </c>
      <c r="DK2420" s="80">
        <v>-48.393000000000001</v>
      </c>
      <c r="DL2420" s="80">
        <v>197</v>
      </c>
      <c r="DM2420" s="64">
        <v>8</v>
      </c>
      <c r="DN2420" s="406" t="s">
        <v>6632</v>
      </c>
      <c r="DO2420" s="406">
        <v>-4.78</v>
      </c>
      <c r="DP2420" s="80">
        <v>221</v>
      </c>
    </row>
    <row r="2421" spans="29:120" x14ac:dyDescent="0.25">
      <c r="AC2421" s="122" t="s">
        <v>322</v>
      </c>
      <c r="AD2421" s="122" t="s">
        <v>2772</v>
      </c>
      <c r="AE2421" s="127">
        <v>6</v>
      </c>
      <c r="DA2421" s="122" t="s">
        <v>344</v>
      </c>
      <c r="DB2421" s="122" t="s">
        <v>4313</v>
      </c>
      <c r="DC2421" s="122" t="s">
        <v>4313</v>
      </c>
      <c r="DD2421" s="127">
        <v>8</v>
      </c>
      <c r="DE2421" s="127">
        <v>8</v>
      </c>
      <c r="DG2421" s="405" t="s">
        <v>344</v>
      </c>
      <c r="DH2421" s="406" t="s">
        <v>4313</v>
      </c>
      <c r="DI2421" s="406" t="str">
        <f t="shared" si="69"/>
        <v>PA, Acará</v>
      </c>
      <c r="DJ2421" s="406">
        <v>-1.9610000000000001</v>
      </c>
      <c r="DK2421" s="80">
        <v>-48.197000000000003</v>
      </c>
      <c r="DL2421" s="80">
        <v>25</v>
      </c>
      <c r="DM2421" s="64">
        <v>8</v>
      </c>
      <c r="DN2421" s="406" t="s">
        <v>7410</v>
      </c>
      <c r="DO2421" s="406">
        <v>-1.46</v>
      </c>
      <c r="DP2421" s="80">
        <v>24</v>
      </c>
    </row>
    <row r="2422" spans="29:120" x14ac:dyDescent="0.25">
      <c r="AC2422" s="122" t="s">
        <v>322</v>
      </c>
      <c r="AD2422" s="122" t="s">
        <v>2773</v>
      </c>
      <c r="AE2422" s="127">
        <v>6</v>
      </c>
      <c r="DA2422" s="122" t="s">
        <v>344</v>
      </c>
      <c r="DB2422" s="122" t="s">
        <v>4247</v>
      </c>
      <c r="DC2422" s="122" t="s">
        <v>4247</v>
      </c>
      <c r="DD2422" s="127">
        <v>8</v>
      </c>
      <c r="DE2422" s="127">
        <v>8</v>
      </c>
      <c r="DG2422" s="405" t="s">
        <v>344</v>
      </c>
      <c r="DH2422" s="406" t="s">
        <v>4247</v>
      </c>
      <c r="DI2422" s="406" t="str">
        <f t="shared" si="69"/>
        <v>PA, Afuá</v>
      </c>
      <c r="DJ2422" s="406">
        <v>-0.157</v>
      </c>
      <c r="DK2422" s="80">
        <v>-50.387</v>
      </c>
      <c r="DL2422" s="80">
        <v>8</v>
      </c>
      <c r="DM2422" s="64">
        <v>8</v>
      </c>
      <c r="DN2422" s="406" t="s">
        <v>6186</v>
      </c>
      <c r="DO2422" s="406">
        <v>0.04</v>
      </c>
      <c r="DP2422" s="80">
        <v>15</v>
      </c>
    </row>
    <row r="2423" spans="29:120" x14ac:dyDescent="0.25">
      <c r="AC2423" s="122" t="s">
        <v>376</v>
      </c>
      <c r="AD2423" s="122" t="s">
        <v>2774</v>
      </c>
      <c r="AE2423" s="127">
        <v>4</v>
      </c>
      <c r="DA2423" s="122" t="s">
        <v>344</v>
      </c>
      <c r="DB2423" s="122" t="s">
        <v>7412</v>
      </c>
      <c r="DC2423" s="122" t="s">
        <v>5158</v>
      </c>
      <c r="DD2423" s="127">
        <v>8</v>
      </c>
      <c r="DE2423" s="127">
        <v>8</v>
      </c>
      <c r="DG2423" s="405" t="s">
        <v>344</v>
      </c>
      <c r="DH2423" s="406" t="s">
        <v>5158</v>
      </c>
      <c r="DI2423" s="406" t="str">
        <f t="shared" si="69"/>
        <v>PA, Água Azul do Norte</v>
      </c>
      <c r="DJ2423" s="406">
        <v>-6.7910000000000004</v>
      </c>
      <c r="DK2423" s="80">
        <v>-50.466999999999999</v>
      </c>
      <c r="DL2423" s="80">
        <v>289</v>
      </c>
      <c r="DM2423" s="64">
        <v>8</v>
      </c>
      <c r="DN2423" s="406" t="s">
        <v>7413</v>
      </c>
      <c r="DO2423" s="406">
        <v>-6.08</v>
      </c>
      <c r="DP2423" s="80">
        <v>719</v>
      </c>
    </row>
    <row r="2424" spans="29:120" x14ac:dyDescent="0.25">
      <c r="AC2424" s="122" t="s">
        <v>322</v>
      </c>
      <c r="AD2424" s="122" t="s">
        <v>2775</v>
      </c>
      <c r="AE2424" s="127">
        <v>6</v>
      </c>
      <c r="DA2424" s="122" t="s">
        <v>344</v>
      </c>
      <c r="DB2424" s="122" t="s">
        <v>4228</v>
      </c>
      <c r="DC2424" s="122" t="s">
        <v>4228</v>
      </c>
      <c r="DD2424" s="127">
        <v>8</v>
      </c>
      <c r="DE2424" s="127">
        <v>8</v>
      </c>
      <c r="DG2424" s="405" t="s">
        <v>344</v>
      </c>
      <c r="DH2424" s="406" t="s">
        <v>4228</v>
      </c>
      <c r="DI2424" s="406" t="str">
        <f t="shared" si="69"/>
        <v>PA, Alenquer</v>
      </c>
      <c r="DJ2424" s="406">
        <v>-1.9419999999999999</v>
      </c>
      <c r="DK2424" s="80">
        <v>-54.738</v>
      </c>
      <c r="DL2424" s="80">
        <v>52</v>
      </c>
      <c r="DM2424" s="64">
        <v>8</v>
      </c>
      <c r="DN2424" s="406" t="s">
        <v>7414</v>
      </c>
      <c r="DO2424" s="406">
        <v>-3.86</v>
      </c>
      <c r="DP2424" s="80">
        <v>96</v>
      </c>
    </row>
    <row r="2425" spans="29:120" x14ac:dyDescent="0.25">
      <c r="AC2425" s="122" t="s">
        <v>340</v>
      </c>
      <c r="AD2425" s="122" t="s">
        <v>2776</v>
      </c>
      <c r="AE2425" s="127">
        <v>8</v>
      </c>
      <c r="DA2425" s="122" t="s">
        <v>344</v>
      </c>
      <c r="DB2425" s="122" t="s">
        <v>4717</v>
      </c>
      <c r="DC2425" s="122" t="s">
        <v>4717</v>
      </c>
      <c r="DD2425" s="127">
        <v>8</v>
      </c>
      <c r="DE2425" s="127">
        <v>8</v>
      </c>
      <c r="DG2425" s="405" t="s">
        <v>344</v>
      </c>
      <c r="DH2425" s="406" t="s">
        <v>4717</v>
      </c>
      <c r="DI2425" s="406" t="str">
        <f t="shared" si="69"/>
        <v>PA, Almeirim</v>
      </c>
      <c r="DJ2425" s="406">
        <v>-1.5229999999999999</v>
      </c>
      <c r="DK2425" s="80">
        <v>-52.582000000000001</v>
      </c>
      <c r="DL2425" s="80">
        <v>65</v>
      </c>
      <c r="DM2425" s="64">
        <v>8</v>
      </c>
      <c r="DN2425" s="406" t="s">
        <v>6186</v>
      </c>
      <c r="DO2425" s="406">
        <v>0.04</v>
      </c>
      <c r="DP2425" s="80">
        <v>15</v>
      </c>
    </row>
    <row r="2426" spans="29:120" x14ac:dyDescent="0.25">
      <c r="AC2426" s="122" t="s">
        <v>247</v>
      </c>
      <c r="AD2426" s="122" t="s">
        <v>2777</v>
      </c>
      <c r="AE2426" s="127">
        <v>8</v>
      </c>
      <c r="DA2426" s="122" t="s">
        <v>344</v>
      </c>
      <c r="DB2426" s="122" t="s">
        <v>4563</v>
      </c>
      <c r="DC2426" s="122" t="s">
        <v>4563</v>
      </c>
      <c r="DD2426" s="127">
        <v>8</v>
      </c>
      <c r="DE2426" s="127">
        <v>8</v>
      </c>
      <c r="DG2426" s="405" t="s">
        <v>344</v>
      </c>
      <c r="DH2426" s="406" t="s">
        <v>4563</v>
      </c>
      <c r="DI2426" s="406" t="str">
        <f t="shared" si="69"/>
        <v>PA, Altamira</v>
      </c>
      <c r="DJ2426" s="406">
        <v>-3.2029999999999998</v>
      </c>
      <c r="DK2426" s="80">
        <v>-52.206000000000003</v>
      </c>
      <c r="DL2426" s="80">
        <v>109</v>
      </c>
      <c r="DM2426" s="64">
        <v>8</v>
      </c>
      <c r="DN2426" s="406" t="s">
        <v>7415</v>
      </c>
      <c r="DO2426" s="406">
        <v>-3.84</v>
      </c>
      <c r="DP2426" s="80">
        <v>108</v>
      </c>
    </row>
    <row r="2427" spans="29:120" x14ac:dyDescent="0.25">
      <c r="AC2427" s="122" t="s">
        <v>333</v>
      </c>
      <c r="AD2427" s="122" t="s">
        <v>2778</v>
      </c>
      <c r="AE2427" s="127">
        <v>3</v>
      </c>
      <c r="DA2427" s="122" t="s">
        <v>344</v>
      </c>
      <c r="DB2427" s="122" t="s">
        <v>4114</v>
      </c>
      <c r="DC2427" s="122" t="s">
        <v>4114</v>
      </c>
      <c r="DD2427" s="127">
        <v>8</v>
      </c>
      <c r="DE2427" s="127">
        <v>8</v>
      </c>
      <c r="DG2427" s="405" t="s">
        <v>344</v>
      </c>
      <c r="DH2427" s="406" t="s">
        <v>4114</v>
      </c>
      <c r="DI2427" s="406" t="str">
        <f t="shared" si="69"/>
        <v>PA, Anajás</v>
      </c>
      <c r="DJ2427" s="406">
        <v>-0.98699999999999999</v>
      </c>
      <c r="DK2427" s="80">
        <v>-49.94</v>
      </c>
      <c r="DL2427" s="80">
        <v>10</v>
      </c>
      <c r="DM2427" s="64">
        <v>8</v>
      </c>
      <c r="DN2427" s="406" t="s">
        <v>7416</v>
      </c>
      <c r="DO2427" s="406">
        <v>-2.25</v>
      </c>
      <c r="DP2427" s="80">
        <v>22</v>
      </c>
    </row>
    <row r="2428" spans="29:120" x14ac:dyDescent="0.25">
      <c r="AC2428" s="122" t="s">
        <v>333</v>
      </c>
      <c r="AD2428" s="122" t="s">
        <v>2779</v>
      </c>
      <c r="AE2428" s="127">
        <v>3</v>
      </c>
      <c r="DA2428" s="122" t="s">
        <v>344</v>
      </c>
      <c r="DB2428" s="122" t="s">
        <v>4123</v>
      </c>
      <c r="DC2428" s="122" t="s">
        <v>4123</v>
      </c>
      <c r="DD2428" s="127">
        <v>8</v>
      </c>
      <c r="DE2428" s="127">
        <v>8</v>
      </c>
      <c r="DG2428" s="405" t="s">
        <v>344</v>
      </c>
      <c r="DH2428" s="406" t="s">
        <v>4123</v>
      </c>
      <c r="DI2428" s="406" t="str">
        <f t="shared" si="69"/>
        <v>PA, Ananindeua</v>
      </c>
      <c r="DJ2428" s="406">
        <v>-1.3660000000000001</v>
      </c>
      <c r="DK2428" s="80">
        <v>-48.372</v>
      </c>
      <c r="DL2428" s="80">
        <v>17</v>
      </c>
      <c r="DM2428" s="64">
        <v>8</v>
      </c>
      <c r="DN2428" s="406" t="s">
        <v>7410</v>
      </c>
      <c r="DO2428" s="406">
        <v>-1.46</v>
      </c>
      <c r="DP2428" s="80">
        <v>24</v>
      </c>
    </row>
    <row r="2429" spans="29:120" x14ac:dyDescent="0.25">
      <c r="AC2429" s="122" t="s">
        <v>322</v>
      </c>
      <c r="AD2429" s="122" t="s">
        <v>2780</v>
      </c>
      <c r="AE2429" s="127">
        <v>6</v>
      </c>
      <c r="DA2429" s="122" t="s">
        <v>344</v>
      </c>
      <c r="DB2429" s="122" t="s">
        <v>4374</v>
      </c>
      <c r="DC2429" s="122" t="s">
        <v>4374</v>
      </c>
      <c r="DD2429" s="127">
        <v>8</v>
      </c>
      <c r="DE2429" s="127">
        <v>8</v>
      </c>
      <c r="DG2429" s="405" t="s">
        <v>344</v>
      </c>
      <c r="DH2429" s="406" t="s">
        <v>4374</v>
      </c>
      <c r="DI2429" s="406" t="str">
        <f t="shared" si="69"/>
        <v>PA, Anapu</v>
      </c>
      <c r="DJ2429" s="406">
        <v>-3.472</v>
      </c>
      <c r="DK2429" s="80">
        <v>-51.198</v>
      </c>
      <c r="DL2429" s="80">
        <v>96</v>
      </c>
      <c r="DM2429" s="64">
        <v>8</v>
      </c>
      <c r="DN2429" s="406" t="s">
        <v>7415</v>
      </c>
      <c r="DO2429" s="406">
        <v>-3.84</v>
      </c>
      <c r="DP2429" s="80">
        <v>108</v>
      </c>
    </row>
    <row r="2430" spans="29:120" x14ac:dyDescent="0.25">
      <c r="AC2430" s="122" t="s">
        <v>333</v>
      </c>
      <c r="AD2430" s="122" t="s">
        <v>2781</v>
      </c>
      <c r="AE2430" s="127">
        <v>3</v>
      </c>
      <c r="DA2430" s="122" t="s">
        <v>344</v>
      </c>
      <c r="DB2430" s="122" t="s">
        <v>7417</v>
      </c>
      <c r="DC2430" s="122" t="s">
        <v>4170</v>
      </c>
      <c r="DD2430" s="127">
        <v>8</v>
      </c>
      <c r="DE2430" s="127">
        <v>8</v>
      </c>
      <c r="DG2430" s="405" t="s">
        <v>344</v>
      </c>
      <c r="DH2430" s="406" t="s">
        <v>4170</v>
      </c>
      <c r="DI2430" s="406" t="str">
        <f t="shared" si="69"/>
        <v>PA, Augusto Corrêa</v>
      </c>
      <c r="DJ2430" s="406">
        <v>-1.022</v>
      </c>
      <c r="DK2430" s="80">
        <v>-46.645000000000003</v>
      </c>
      <c r="DL2430" s="80">
        <v>20</v>
      </c>
      <c r="DM2430" s="64">
        <v>8</v>
      </c>
      <c r="DN2430" s="406" t="s">
        <v>6661</v>
      </c>
      <c r="DO2430" s="406">
        <v>-1.05</v>
      </c>
      <c r="DP2430" s="80">
        <v>33</v>
      </c>
    </row>
    <row r="2431" spans="29:120" x14ac:dyDescent="0.25">
      <c r="AC2431" s="122" t="s">
        <v>376</v>
      </c>
      <c r="AD2431" s="122" t="s">
        <v>2782</v>
      </c>
      <c r="AE2431" s="127">
        <v>6</v>
      </c>
      <c r="DA2431" s="122" t="s">
        <v>344</v>
      </c>
      <c r="DB2431" s="122" t="s">
        <v>7418</v>
      </c>
      <c r="DC2431" s="122" t="s">
        <v>4371</v>
      </c>
      <c r="DD2431" s="127">
        <v>8</v>
      </c>
      <c r="DE2431" s="127">
        <v>8</v>
      </c>
      <c r="DG2431" s="405" t="s">
        <v>344</v>
      </c>
      <c r="DH2431" s="406" t="s">
        <v>4371</v>
      </c>
      <c r="DI2431" s="406" t="str">
        <f t="shared" si="69"/>
        <v>PA, Aurora do Pará</v>
      </c>
      <c r="DJ2431" s="406">
        <v>-2.1339999999999999</v>
      </c>
      <c r="DK2431" s="80">
        <v>-47.563000000000002</v>
      </c>
      <c r="DL2431" s="80">
        <v>50</v>
      </c>
      <c r="DM2431" s="64">
        <v>8</v>
      </c>
      <c r="DN2431" s="406" t="s">
        <v>7419</v>
      </c>
      <c r="DO2431" s="406">
        <v>-2.59</v>
      </c>
      <c r="DP2431" s="80">
        <v>38</v>
      </c>
    </row>
    <row r="2432" spans="29:120" x14ac:dyDescent="0.25">
      <c r="AC2432" s="122" t="s">
        <v>322</v>
      </c>
      <c r="AD2432" s="122" t="s">
        <v>2783</v>
      </c>
      <c r="AE2432" s="127">
        <v>4</v>
      </c>
      <c r="DA2432" s="122" t="s">
        <v>344</v>
      </c>
      <c r="DB2432" s="122" t="s">
        <v>4361</v>
      </c>
      <c r="DC2432" s="122" t="s">
        <v>4361</v>
      </c>
      <c r="DD2432" s="127">
        <v>8</v>
      </c>
      <c r="DE2432" s="127">
        <v>8</v>
      </c>
      <c r="DG2432" s="405" t="s">
        <v>344</v>
      </c>
      <c r="DH2432" s="406" t="s">
        <v>4361</v>
      </c>
      <c r="DI2432" s="406" t="str">
        <f t="shared" si="69"/>
        <v>PA, Aveiro</v>
      </c>
      <c r="DJ2432" s="406">
        <v>-3.6059999999999999</v>
      </c>
      <c r="DK2432" s="80">
        <v>-55.332000000000001</v>
      </c>
      <c r="DL2432" s="80">
        <v>28</v>
      </c>
      <c r="DM2432" s="64">
        <v>8</v>
      </c>
      <c r="DN2432" s="406" t="s">
        <v>7420</v>
      </c>
      <c r="DO2432" s="406">
        <v>-4.28</v>
      </c>
      <c r="DP2432" s="80">
        <v>13</v>
      </c>
    </row>
    <row r="2433" spans="29:120" x14ac:dyDescent="0.25">
      <c r="AC2433" s="122" t="s">
        <v>322</v>
      </c>
      <c r="AD2433" s="122" t="s">
        <v>2784</v>
      </c>
      <c r="AE2433" s="127">
        <v>4</v>
      </c>
      <c r="DA2433" s="122" t="s">
        <v>344</v>
      </c>
      <c r="DB2433" s="122" t="s">
        <v>4137</v>
      </c>
      <c r="DC2433" s="122" t="s">
        <v>4137</v>
      </c>
      <c r="DD2433" s="127">
        <v>8</v>
      </c>
      <c r="DE2433" s="127">
        <v>8</v>
      </c>
      <c r="DG2433" s="405" t="s">
        <v>344</v>
      </c>
      <c r="DH2433" s="406" t="s">
        <v>4137</v>
      </c>
      <c r="DI2433" s="406" t="str">
        <f t="shared" si="69"/>
        <v>PA, Bagre</v>
      </c>
      <c r="DJ2433" s="406">
        <v>-1.9</v>
      </c>
      <c r="DK2433" s="80">
        <v>-50.164000000000001</v>
      </c>
      <c r="DL2433" s="80">
        <v>31</v>
      </c>
      <c r="DM2433" s="64">
        <v>8</v>
      </c>
      <c r="DN2433" s="406" t="s">
        <v>7416</v>
      </c>
      <c r="DO2433" s="406">
        <v>-2.25</v>
      </c>
      <c r="DP2433" s="80">
        <v>22</v>
      </c>
    </row>
    <row r="2434" spans="29:120" x14ac:dyDescent="0.25">
      <c r="AC2434" s="122" t="s">
        <v>322</v>
      </c>
      <c r="AD2434" s="122" t="s">
        <v>2785</v>
      </c>
      <c r="AE2434" s="127">
        <v>6</v>
      </c>
      <c r="DA2434" s="122" t="s">
        <v>344</v>
      </c>
      <c r="DB2434" s="122" t="s">
        <v>4217</v>
      </c>
      <c r="DC2434" s="122" t="s">
        <v>4217</v>
      </c>
      <c r="DD2434" s="127">
        <v>8</v>
      </c>
      <c r="DE2434" s="127">
        <v>8</v>
      </c>
      <c r="DG2434" s="405" t="s">
        <v>344</v>
      </c>
      <c r="DH2434" s="406" t="s">
        <v>4217</v>
      </c>
      <c r="DI2434" s="406" t="str">
        <f t="shared" si="69"/>
        <v>PA, Baião</v>
      </c>
      <c r="DJ2434" s="406">
        <v>-2.7909999999999999</v>
      </c>
      <c r="DK2434" s="80">
        <v>-49.671999999999997</v>
      </c>
      <c r="DL2434" s="80">
        <v>30</v>
      </c>
      <c r="DM2434" s="64">
        <v>8</v>
      </c>
      <c r="DN2434" s="406" t="s">
        <v>7416</v>
      </c>
      <c r="DO2434" s="406">
        <v>-2.25</v>
      </c>
      <c r="DP2434" s="80">
        <v>22</v>
      </c>
    </row>
    <row r="2435" spans="29:120" x14ac:dyDescent="0.25">
      <c r="AC2435" s="122" t="s">
        <v>322</v>
      </c>
      <c r="AD2435" s="122" t="s">
        <v>2786</v>
      </c>
      <c r="AE2435" s="127">
        <v>6</v>
      </c>
      <c r="DA2435" s="122" t="s">
        <v>344</v>
      </c>
      <c r="DB2435" s="122" t="s">
        <v>5228</v>
      </c>
      <c r="DC2435" s="122" t="s">
        <v>5228</v>
      </c>
      <c r="DD2435" s="127">
        <v>8</v>
      </c>
      <c r="DE2435" s="127">
        <v>8</v>
      </c>
      <c r="DG2435" s="405" t="s">
        <v>344</v>
      </c>
      <c r="DH2435" s="406" t="s">
        <v>5228</v>
      </c>
      <c r="DI2435" s="406" t="str">
        <f t="shared" ref="DI2435:DI2498" si="70">CONCATENATE(DG2435,", ",DH2435)</f>
        <v>PA, Bannach</v>
      </c>
      <c r="DJ2435" s="406">
        <v>-7.3479999999999999</v>
      </c>
      <c r="DK2435" s="80">
        <v>-50.396000000000001</v>
      </c>
      <c r="DL2435" s="80">
        <v>420</v>
      </c>
      <c r="DM2435" s="64">
        <v>8</v>
      </c>
      <c r="DN2435" s="406" t="s">
        <v>7413</v>
      </c>
      <c r="DO2435" s="406">
        <v>-6.08</v>
      </c>
      <c r="DP2435" s="80">
        <v>719</v>
      </c>
    </row>
    <row r="2436" spans="29:120" x14ac:dyDescent="0.25">
      <c r="AC2436" s="122" t="s">
        <v>322</v>
      </c>
      <c r="AD2436" s="122" t="s">
        <v>2787</v>
      </c>
      <c r="AE2436" s="127">
        <v>6</v>
      </c>
      <c r="DA2436" s="122" t="s">
        <v>344</v>
      </c>
      <c r="DB2436" s="122" t="s">
        <v>4100</v>
      </c>
      <c r="DC2436" s="122" t="s">
        <v>4100</v>
      </c>
      <c r="DD2436" s="127">
        <v>8</v>
      </c>
      <c r="DE2436" s="127">
        <v>8</v>
      </c>
      <c r="DG2436" s="405" t="s">
        <v>344</v>
      </c>
      <c r="DH2436" s="406" t="s">
        <v>4100</v>
      </c>
      <c r="DI2436" s="406" t="str">
        <f t="shared" si="70"/>
        <v>PA, Barcarena</v>
      </c>
      <c r="DJ2436" s="406">
        <v>-1.506</v>
      </c>
      <c r="DK2436" s="80">
        <v>-48.625999999999998</v>
      </c>
      <c r="DL2436" s="80">
        <v>15</v>
      </c>
      <c r="DM2436" s="64">
        <v>8</v>
      </c>
      <c r="DN2436" s="406" t="s">
        <v>7410</v>
      </c>
      <c r="DO2436" s="406">
        <v>-1.46</v>
      </c>
      <c r="DP2436" s="80">
        <v>24</v>
      </c>
    </row>
    <row r="2437" spans="29:120" x14ac:dyDescent="0.25">
      <c r="AC2437" s="122" t="s">
        <v>322</v>
      </c>
      <c r="AD2437" s="122" t="s">
        <v>2788</v>
      </c>
      <c r="AE2437" s="127">
        <v>6</v>
      </c>
      <c r="DA2437" s="122" t="s">
        <v>344</v>
      </c>
      <c r="DB2437" s="122" t="s">
        <v>2167</v>
      </c>
      <c r="DC2437" s="122" t="s">
        <v>2167</v>
      </c>
      <c r="DD2437" s="127">
        <v>8</v>
      </c>
      <c r="DE2437" s="127">
        <v>8</v>
      </c>
      <c r="DG2437" s="405" t="s">
        <v>344</v>
      </c>
      <c r="DH2437" s="406" t="s">
        <v>2167</v>
      </c>
      <c r="DI2437" s="406" t="str">
        <f t="shared" si="70"/>
        <v>PA, Belém</v>
      </c>
      <c r="DJ2437" s="406">
        <v>-1.456</v>
      </c>
      <c r="DK2437" s="80">
        <v>-48.503999999999998</v>
      </c>
      <c r="DL2437" s="80">
        <v>10</v>
      </c>
      <c r="DM2437" s="64">
        <v>8</v>
      </c>
      <c r="DN2437" s="406" t="s">
        <v>7410</v>
      </c>
      <c r="DO2437" s="406">
        <v>-1.46</v>
      </c>
      <c r="DP2437" s="80">
        <v>24</v>
      </c>
    </row>
    <row r="2438" spans="29:120" x14ac:dyDescent="0.25">
      <c r="AC2438" s="122" t="s">
        <v>322</v>
      </c>
      <c r="AD2438" s="122" t="s">
        <v>2789</v>
      </c>
      <c r="AE2438" s="127">
        <v>6</v>
      </c>
      <c r="DA2438" s="122" t="s">
        <v>344</v>
      </c>
      <c r="DB2438" s="122" t="s">
        <v>4255</v>
      </c>
      <c r="DC2438" s="122" t="s">
        <v>4255</v>
      </c>
      <c r="DD2438" s="127">
        <v>8</v>
      </c>
      <c r="DE2438" s="127">
        <v>8</v>
      </c>
      <c r="DG2438" s="405" t="s">
        <v>344</v>
      </c>
      <c r="DH2438" s="406" t="s">
        <v>4255</v>
      </c>
      <c r="DI2438" s="406" t="str">
        <f t="shared" si="70"/>
        <v>PA, Belterra</v>
      </c>
      <c r="DJ2438" s="406">
        <v>-2.6360000000000001</v>
      </c>
      <c r="DK2438" s="80">
        <v>-54.936999999999998</v>
      </c>
      <c r="DL2438" s="80">
        <v>152</v>
      </c>
      <c r="DM2438" s="64">
        <v>8</v>
      </c>
      <c r="DN2438" s="406" t="s">
        <v>7414</v>
      </c>
      <c r="DO2438" s="406">
        <v>-3.86</v>
      </c>
      <c r="DP2438" s="80">
        <v>96</v>
      </c>
    </row>
    <row r="2439" spans="29:120" x14ac:dyDescent="0.25">
      <c r="AC2439" s="122" t="s">
        <v>322</v>
      </c>
      <c r="AD2439" s="122" t="s">
        <v>2790</v>
      </c>
      <c r="AE2439" s="127">
        <v>6</v>
      </c>
      <c r="DA2439" s="122" t="s">
        <v>344</v>
      </c>
      <c r="DB2439" s="122" t="s">
        <v>4180</v>
      </c>
      <c r="DC2439" s="122" t="s">
        <v>4180</v>
      </c>
      <c r="DD2439" s="127">
        <v>8</v>
      </c>
      <c r="DE2439" s="127">
        <v>8</v>
      </c>
      <c r="DG2439" s="405" t="s">
        <v>344</v>
      </c>
      <c r="DH2439" s="406" t="s">
        <v>4180</v>
      </c>
      <c r="DI2439" s="406" t="str">
        <f t="shared" si="70"/>
        <v>PA, Benevides</v>
      </c>
      <c r="DJ2439" s="406">
        <v>-1.361</v>
      </c>
      <c r="DK2439" s="80">
        <v>-48.244999999999997</v>
      </c>
      <c r="DL2439" s="80">
        <v>28</v>
      </c>
      <c r="DM2439" s="64">
        <v>8</v>
      </c>
      <c r="DN2439" s="406" t="s">
        <v>7410</v>
      </c>
      <c r="DO2439" s="406">
        <v>-1.46</v>
      </c>
      <c r="DP2439" s="80">
        <v>24</v>
      </c>
    </row>
    <row r="2440" spans="29:120" x14ac:dyDescent="0.25">
      <c r="AC2440" s="122" t="s">
        <v>376</v>
      </c>
      <c r="AD2440" s="122" t="s">
        <v>2791</v>
      </c>
      <c r="AE2440" s="127">
        <v>4</v>
      </c>
      <c r="DA2440" s="122" t="s">
        <v>344</v>
      </c>
      <c r="DB2440" s="122" t="s">
        <v>7421</v>
      </c>
      <c r="DC2440" s="122" t="s">
        <v>4415</v>
      </c>
      <c r="DD2440" s="127">
        <v>8</v>
      </c>
      <c r="DE2440" s="127">
        <v>8</v>
      </c>
      <c r="DG2440" s="405" t="s">
        <v>344</v>
      </c>
      <c r="DH2440" s="406" t="s">
        <v>4415</v>
      </c>
      <c r="DI2440" s="406" t="str">
        <f t="shared" si="70"/>
        <v>PA, Bom Jesus do Tocantins</v>
      </c>
      <c r="DJ2440" s="406">
        <v>-5.0510000000000002</v>
      </c>
      <c r="DK2440" s="80">
        <v>-48.609000000000002</v>
      </c>
      <c r="DL2440" s="80">
        <v>175</v>
      </c>
      <c r="DM2440" s="64">
        <v>8</v>
      </c>
      <c r="DN2440" s="406" t="s">
        <v>7422</v>
      </c>
      <c r="DO2440" s="406">
        <v>-5.37</v>
      </c>
      <c r="DP2440" s="80">
        <v>84</v>
      </c>
    </row>
    <row r="2441" spans="29:120" x14ac:dyDescent="0.25">
      <c r="AC2441" s="122" t="s">
        <v>322</v>
      </c>
      <c r="AD2441" s="122" t="s">
        <v>2792</v>
      </c>
      <c r="AE2441" s="127">
        <v>7</v>
      </c>
      <c r="DA2441" s="122" t="s">
        <v>344</v>
      </c>
      <c r="DB2441" s="122" t="s">
        <v>2018</v>
      </c>
      <c r="DC2441" s="122" t="s">
        <v>2018</v>
      </c>
      <c r="DD2441" s="127">
        <v>8</v>
      </c>
      <c r="DE2441" s="127">
        <v>8</v>
      </c>
      <c r="DG2441" s="405" t="s">
        <v>344</v>
      </c>
      <c r="DH2441" s="406" t="s">
        <v>2018</v>
      </c>
      <c r="DI2441" s="406" t="str">
        <f t="shared" si="70"/>
        <v>PA, Bonito</v>
      </c>
      <c r="DJ2441" s="406">
        <v>-1.363</v>
      </c>
      <c r="DK2441" s="80">
        <v>-47.307000000000002</v>
      </c>
      <c r="DL2441" s="80">
        <v>49</v>
      </c>
      <c r="DM2441" s="64">
        <v>8</v>
      </c>
      <c r="DN2441" s="406" t="s">
        <v>7423</v>
      </c>
      <c r="DO2441" s="406">
        <v>-1.3</v>
      </c>
      <c r="DP2441" s="80">
        <v>65</v>
      </c>
    </row>
    <row r="2442" spans="29:120" x14ac:dyDescent="0.25">
      <c r="AC2442" s="122" t="s">
        <v>322</v>
      </c>
      <c r="AD2442" s="122" t="s">
        <v>2793</v>
      </c>
      <c r="AE2442" s="127">
        <v>6</v>
      </c>
      <c r="DA2442" s="122" t="s">
        <v>344</v>
      </c>
      <c r="DB2442" s="122" t="s">
        <v>4204</v>
      </c>
      <c r="DC2442" s="122" t="s">
        <v>4204</v>
      </c>
      <c r="DD2442" s="127">
        <v>8</v>
      </c>
      <c r="DE2442" s="127">
        <v>8</v>
      </c>
      <c r="DG2442" s="405" t="s">
        <v>344</v>
      </c>
      <c r="DH2442" s="406" t="s">
        <v>4204</v>
      </c>
      <c r="DI2442" s="406" t="str">
        <f t="shared" si="70"/>
        <v>PA, Bragança</v>
      </c>
      <c r="DJ2442" s="406">
        <v>-1.0629999999999999</v>
      </c>
      <c r="DK2442" s="80">
        <v>-46.773000000000003</v>
      </c>
      <c r="DL2442" s="80">
        <v>19</v>
      </c>
      <c r="DM2442" s="64">
        <v>8</v>
      </c>
      <c r="DN2442" s="406" t="s">
        <v>6661</v>
      </c>
      <c r="DO2442" s="406">
        <v>-1.05</v>
      </c>
      <c r="DP2442" s="80">
        <v>33</v>
      </c>
    </row>
    <row r="2443" spans="29:120" x14ac:dyDescent="0.25">
      <c r="AC2443" s="122" t="s">
        <v>333</v>
      </c>
      <c r="AD2443" s="122" t="s">
        <v>2794</v>
      </c>
      <c r="AE2443" s="127">
        <v>6</v>
      </c>
      <c r="DA2443" s="122" t="s">
        <v>344</v>
      </c>
      <c r="DB2443" s="122" t="s">
        <v>7424</v>
      </c>
      <c r="DC2443" s="122" t="s">
        <v>4338</v>
      </c>
      <c r="DD2443" s="127">
        <v>8</v>
      </c>
      <c r="DE2443" s="127">
        <v>8</v>
      </c>
      <c r="DG2443" s="405" t="s">
        <v>344</v>
      </c>
      <c r="DH2443" s="406" t="s">
        <v>4338</v>
      </c>
      <c r="DI2443" s="406" t="str">
        <f t="shared" si="70"/>
        <v>PA, Brasil Novo</v>
      </c>
      <c r="DJ2443" s="406">
        <v>-3.262</v>
      </c>
      <c r="DK2443" s="80">
        <v>-52.667999999999999</v>
      </c>
      <c r="DL2443" s="80">
        <v>206</v>
      </c>
      <c r="DM2443" s="64">
        <v>8</v>
      </c>
      <c r="DN2443" s="406" t="s">
        <v>7414</v>
      </c>
      <c r="DO2443" s="406">
        <v>-3.86</v>
      </c>
      <c r="DP2443" s="80">
        <v>96</v>
      </c>
    </row>
    <row r="2444" spans="29:120" x14ac:dyDescent="0.25">
      <c r="AC2444" s="122" t="s">
        <v>333</v>
      </c>
      <c r="AD2444" s="122" t="s">
        <v>2795</v>
      </c>
      <c r="AE2444" s="127">
        <v>6</v>
      </c>
      <c r="DA2444" s="122" t="s">
        <v>344</v>
      </c>
      <c r="DB2444" s="122" t="s">
        <v>7425</v>
      </c>
      <c r="DC2444" s="122" t="s">
        <v>4818</v>
      </c>
      <c r="DD2444" s="127">
        <v>8</v>
      </c>
      <c r="DE2444" s="127">
        <v>8</v>
      </c>
      <c r="DG2444" s="405" t="s">
        <v>344</v>
      </c>
      <c r="DH2444" s="406" t="s">
        <v>4818</v>
      </c>
      <c r="DI2444" s="406" t="str">
        <f t="shared" si="70"/>
        <v>PA, Brejo Grande do Araguaia</v>
      </c>
      <c r="DJ2444" s="406">
        <v>-5.6989999999999998</v>
      </c>
      <c r="DK2444" s="80">
        <v>-48.412999999999997</v>
      </c>
      <c r="DL2444" s="80">
        <v>110</v>
      </c>
      <c r="DM2444" s="64">
        <v>8</v>
      </c>
      <c r="DN2444" s="406" t="s">
        <v>7426</v>
      </c>
      <c r="DO2444" s="406">
        <v>-5.64</v>
      </c>
      <c r="DP2444" s="80">
        <v>117</v>
      </c>
    </row>
    <row r="2445" spans="29:120" x14ac:dyDescent="0.25">
      <c r="AC2445" s="122" t="s">
        <v>333</v>
      </c>
      <c r="AD2445" s="122" t="s">
        <v>2796</v>
      </c>
      <c r="AE2445" s="127">
        <v>6</v>
      </c>
      <c r="DA2445" s="122" t="s">
        <v>344</v>
      </c>
      <c r="DB2445" s="122" t="s">
        <v>7427</v>
      </c>
      <c r="DC2445" s="122" t="s">
        <v>4225</v>
      </c>
      <c r="DD2445" s="127">
        <v>8</v>
      </c>
      <c r="DE2445" s="127">
        <v>8</v>
      </c>
      <c r="DG2445" s="405" t="s">
        <v>344</v>
      </c>
      <c r="DH2445" s="406" t="s">
        <v>4225</v>
      </c>
      <c r="DI2445" s="406" t="str">
        <f t="shared" si="70"/>
        <v>PA, Breu Branco</v>
      </c>
      <c r="DJ2445" s="406">
        <v>-4.0090000000000003</v>
      </c>
      <c r="DK2445" s="80">
        <v>-49.460999999999999</v>
      </c>
      <c r="DL2445" s="80">
        <v>96</v>
      </c>
      <c r="DM2445" s="64">
        <v>8</v>
      </c>
      <c r="DN2445" s="406" t="s">
        <v>7428</v>
      </c>
      <c r="DO2445" s="406">
        <v>-3.82</v>
      </c>
      <c r="DP2445" s="80">
        <v>148</v>
      </c>
    </row>
    <row r="2446" spans="29:120" x14ac:dyDescent="0.25">
      <c r="AC2446" s="122" t="s">
        <v>322</v>
      </c>
      <c r="AD2446" s="122" t="s">
        <v>2797</v>
      </c>
      <c r="AE2446" s="127">
        <v>6</v>
      </c>
      <c r="DA2446" s="122" t="s">
        <v>344</v>
      </c>
      <c r="DB2446" s="122" t="s">
        <v>4205</v>
      </c>
      <c r="DC2446" s="122" t="s">
        <v>4205</v>
      </c>
      <c r="DD2446" s="127">
        <v>8</v>
      </c>
      <c r="DE2446" s="127">
        <v>8</v>
      </c>
      <c r="DG2446" s="405" t="s">
        <v>344</v>
      </c>
      <c r="DH2446" s="406" t="s">
        <v>4205</v>
      </c>
      <c r="DI2446" s="406" t="str">
        <f t="shared" si="70"/>
        <v>PA, Breves</v>
      </c>
      <c r="DJ2446" s="406">
        <v>-1.6819999999999999</v>
      </c>
      <c r="DK2446" s="80">
        <v>-50.48</v>
      </c>
      <c r="DL2446" s="80">
        <v>40</v>
      </c>
      <c r="DM2446" s="64">
        <v>8</v>
      </c>
      <c r="DN2446" s="406" t="s">
        <v>7416</v>
      </c>
      <c r="DO2446" s="406">
        <v>-2.25</v>
      </c>
      <c r="DP2446" s="80">
        <v>22</v>
      </c>
    </row>
    <row r="2447" spans="29:120" x14ac:dyDescent="0.25">
      <c r="AC2447" s="122" t="s">
        <v>322</v>
      </c>
      <c r="AD2447" s="122" t="s">
        <v>2798</v>
      </c>
      <c r="AE2447" s="127">
        <v>6</v>
      </c>
      <c r="DA2447" s="122" t="s">
        <v>344</v>
      </c>
      <c r="DB2447" s="122" t="s">
        <v>4284</v>
      </c>
      <c r="DC2447" s="122" t="s">
        <v>4284</v>
      </c>
      <c r="DD2447" s="127">
        <v>8</v>
      </c>
      <c r="DE2447" s="127">
        <v>8</v>
      </c>
      <c r="DG2447" s="405" t="s">
        <v>344</v>
      </c>
      <c r="DH2447" s="406" t="s">
        <v>4284</v>
      </c>
      <c r="DI2447" s="406" t="str">
        <f t="shared" si="70"/>
        <v>PA, Bujaru</v>
      </c>
      <c r="DJ2447" s="406">
        <v>-1.5149999999999999</v>
      </c>
      <c r="DK2447" s="80">
        <v>-48.045000000000002</v>
      </c>
      <c r="DL2447" s="80">
        <v>10</v>
      </c>
      <c r="DM2447" s="64">
        <v>8</v>
      </c>
      <c r="DN2447" s="406" t="s">
        <v>7423</v>
      </c>
      <c r="DO2447" s="406">
        <v>-1.3</v>
      </c>
      <c r="DP2447" s="80">
        <v>65</v>
      </c>
    </row>
    <row r="2448" spans="29:120" x14ac:dyDescent="0.25">
      <c r="AC2448" s="122" t="s">
        <v>322</v>
      </c>
      <c r="AD2448" s="122" t="s">
        <v>2799</v>
      </c>
      <c r="AE2448" s="127">
        <v>6</v>
      </c>
      <c r="DA2448" s="122" t="s">
        <v>344</v>
      </c>
      <c r="DB2448" s="122" t="s">
        <v>7429</v>
      </c>
      <c r="DC2448" s="122" t="s">
        <v>4051</v>
      </c>
      <c r="DD2448" s="127">
        <v>8</v>
      </c>
      <c r="DE2448" s="127">
        <v>8</v>
      </c>
      <c r="DG2448" s="405" t="s">
        <v>344</v>
      </c>
      <c r="DH2448" s="406" t="s">
        <v>4051</v>
      </c>
      <c r="DI2448" s="406" t="str">
        <f t="shared" si="70"/>
        <v>PA, Cachoeira do Arari</v>
      </c>
      <c r="DJ2448" s="406">
        <v>-1.0109999999999999</v>
      </c>
      <c r="DK2448" s="80">
        <v>-48.963000000000001</v>
      </c>
      <c r="DL2448" s="80">
        <v>20</v>
      </c>
      <c r="DM2448" s="64">
        <v>8</v>
      </c>
      <c r="DN2448" s="406" t="s">
        <v>7430</v>
      </c>
      <c r="DO2448" s="406">
        <v>-0.81</v>
      </c>
      <c r="DP2448" s="80">
        <v>11</v>
      </c>
    </row>
    <row r="2449" spans="29:120" x14ac:dyDescent="0.25">
      <c r="AC2449" s="122" t="s">
        <v>333</v>
      </c>
      <c r="AD2449" s="122" t="s">
        <v>2800</v>
      </c>
      <c r="AE2449" s="127">
        <v>4</v>
      </c>
      <c r="DA2449" s="122" t="s">
        <v>344</v>
      </c>
      <c r="DB2449" s="122" t="s">
        <v>7431</v>
      </c>
      <c r="DC2449" s="122" t="s">
        <v>4243</v>
      </c>
      <c r="DD2449" s="127">
        <v>8</v>
      </c>
      <c r="DE2449" s="127">
        <v>8</v>
      </c>
      <c r="DG2449" s="405" t="s">
        <v>344</v>
      </c>
      <c r="DH2449" s="406" t="s">
        <v>4243</v>
      </c>
      <c r="DI2449" s="406" t="str">
        <f t="shared" si="70"/>
        <v>PA, Cachoeira do Piriá</v>
      </c>
      <c r="DJ2449" s="406">
        <v>-1.671</v>
      </c>
      <c r="DK2449" s="80">
        <v>-46.529000000000003</v>
      </c>
      <c r="DL2449" s="80">
        <v>19</v>
      </c>
      <c r="DM2449" s="64">
        <v>8</v>
      </c>
      <c r="DN2449" s="406" t="s">
        <v>6661</v>
      </c>
      <c r="DO2449" s="406">
        <v>-1.05</v>
      </c>
      <c r="DP2449" s="80">
        <v>33</v>
      </c>
    </row>
    <row r="2450" spans="29:120" x14ac:dyDescent="0.25">
      <c r="AC2450" s="122" t="s">
        <v>336</v>
      </c>
      <c r="AD2450" s="122" t="s">
        <v>2801</v>
      </c>
      <c r="AE2450" s="127">
        <v>6</v>
      </c>
      <c r="DA2450" s="122" t="s">
        <v>344</v>
      </c>
      <c r="DB2450" s="122" t="s">
        <v>4194</v>
      </c>
      <c r="DC2450" s="122" t="s">
        <v>4194</v>
      </c>
      <c r="DD2450" s="127">
        <v>8</v>
      </c>
      <c r="DE2450" s="127">
        <v>8</v>
      </c>
      <c r="DG2450" s="405" t="s">
        <v>344</v>
      </c>
      <c r="DH2450" s="406" t="s">
        <v>4194</v>
      </c>
      <c r="DI2450" s="406" t="str">
        <f t="shared" si="70"/>
        <v>PA, Cametá</v>
      </c>
      <c r="DJ2450" s="406">
        <v>-2.2440000000000002</v>
      </c>
      <c r="DK2450" s="80">
        <v>-49.496000000000002</v>
      </c>
      <c r="DL2450" s="80">
        <v>150</v>
      </c>
      <c r="DM2450" s="64">
        <v>8</v>
      </c>
      <c r="DN2450" s="406" t="s">
        <v>7416</v>
      </c>
      <c r="DO2450" s="406">
        <v>-2.25</v>
      </c>
      <c r="DP2450" s="80">
        <v>22</v>
      </c>
    </row>
    <row r="2451" spans="29:120" x14ac:dyDescent="0.25">
      <c r="AC2451" s="122" t="s">
        <v>322</v>
      </c>
      <c r="AD2451" s="122" t="s">
        <v>2802</v>
      </c>
      <c r="AE2451" s="127">
        <v>6</v>
      </c>
      <c r="DA2451" s="122" t="s">
        <v>344</v>
      </c>
      <c r="DB2451" s="122" t="s">
        <v>7432</v>
      </c>
      <c r="DC2451" s="122" t="s">
        <v>4335</v>
      </c>
      <c r="DD2451" s="127">
        <v>8</v>
      </c>
      <c r="DE2451" s="127">
        <v>8</v>
      </c>
      <c r="DG2451" s="405" t="s">
        <v>344</v>
      </c>
      <c r="DH2451" s="406" t="s">
        <v>4335</v>
      </c>
      <c r="DI2451" s="406" t="str">
        <f t="shared" si="70"/>
        <v>PA, Canaã dos Carajás</v>
      </c>
      <c r="DJ2451" s="406">
        <v>-6.4969999999999999</v>
      </c>
      <c r="DK2451" s="80">
        <v>-49.878</v>
      </c>
      <c r="DL2451" s="80">
        <v>210</v>
      </c>
      <c r="DM2451" s="64">
        <v>8</v>
      </c>
      <c r="DN2451" s="406" t="s">
        <v>7413</v>
      </c>
      <c r="DO2451" s="406">
        <v>-6.08</v>
      </c>
      <c r="DP2451" s="80">
        <v>719</v>
      </c>
    </row>
    <row r="2452" spans="29:120" x14ac:dyDescent="0.25">
      <c r="AC2452" s="122" t="s">
        <v>333</v>
      </c>
      <c r="AD2452" s="122" t="s">
        <v>2803</v>
      </c>
      <c r="AE2452" s="127">
        <v>4</v>
      </c>
      <c r="DA2452" s="122" t="s">
        <v>344</v>
      </c>
      <c r="DB2452" s="122" t="s">
        <v>3309</v>
      </c>
      <c r="DC2452" s="122" t="s">
        <v>3309</v>
      </c>
      <c r="DD2452" s="127">
        <v>8</v>
      </c>
      <c r="DE2452" s="127">
        <v>8</v>
      </c>
      <c r="DG2452" s="405" t="s">
        <v>344</v>
      </c>
      <c r="DH2452" s="406" t="s">
        <v>3309</v>
      </c>
      <c r="DI2452" s="406" t="str">
        <f t="shared" si="70"/>
        <v>PA, Capanema</v>
      </c>
      <c r="DJ2452" s="406">
        <v>-1.196</v>
      </c>
      <c r="DK2452" s="80">
        <v>-47.180999999999997</v>
      </c>
      <c r="DL2452" s="80">
        <v>24</v>
      </c>
      <c r="DM2452" s="64">
        <v>8</v>
      </c>
      <c r="DN2452" s="406" t="s">
        <v>6661</v>
      </c>
      <c r="DO2452" s="406">
        <v>-1.05</v>
      </c>
      <c r="DP2452" s="80">
        <v>33</v>
      </c>
    </row>
    <row r="2453" spans="29:120" x14ac:dyDescent="0.25">
      <c r="AC2453" s="122" t="s">
        <v>333</v>
      </c>
      <c r="AD2453" s="122" t="s">
        <v>2804</v>
      </c>
      <c r="AE2453" s="127">
        <v>3</v>
      </c>
      <c r="DA2453" s="122" t="s">
        <v>344</v>
      </c>
      <c r="DB2453" s="122" t="s">
        <v>7433</v>
      </c>
      <c r="DC2453" s="122" t="s">
        <v>4294</v>
      </c>
      <c r="DD2453" s="127">
        <v>8</v>
      </c>
      <c r="DE2453" s="127">
        <v>8</v>
      </c>
      <c r="DG2453" s="405" t="s">
        <v>344</v>
      </c>
      <c r="DH2453" s="406" t="s">
        <v>4294</v>
      </c>
      <c r="DI2453" s="406" t="str">
        <f t="shared" si="70"/>
        <v>PA, Capitão Poço</v>
      </c>
      <c r="DJ2453" s="406">
        <v>-1.7450000000000001</v>
      </c>
      <c r="DK2453" s="80">
        <v>-47.064999999999998</v>
      </c>
      <c r="DL2453" s="80">
        <v>73</v>
      </c>
      <c r="DM2453" s="64">
        <v>8</v>
      </c>
      <c r="DN2453" s="406" t="s">
        <v>6661</v>
      </c>
      <c r="DO2453" s="406">
        <v>-1.05</v>
      </c>
      <c r="DP2453" s="80">
        <v>33</v>
      </c>
    </row>
    <row r="2454" spans="29:120" x14ac:dyDescent="0.25">
      <c r="AC2454" s="122" t="s">
        <v>333</v>
      </c>
      <c r="AD2454" s="122" t="s">
        <v>2805</v>
      </c>
      <c r="AE2454" s="127">
        <v>4</v>
      </c>
      <c r="DA2454" s="122" t="s">
        <v>344</v>
      </c>
      <c r="DB2454" s="122" t="s">
        <v>4336</v>
      </c>
      <c r="DC2454" s="122" t="s">
        <v>4336</v>
      </c>
      <c r="DD2454" s="127">
        <v>8</v>
      </c>
      <c r="DE2454" s="127">
        <v>8</v>
      </c>
      <c r="DG2454" s="405" t="s">
        <v>344</v>
      </c>
      <c r="DH2454" s="406" t="s">
        <v>4336</v>
      </c>
      <c r="DI2454" s="406" t="str">
        <f t="shared" si="70"/>
        <v>PA, Castanhal</v>
      </c>
      <c r="DJ2454" s="406">
        <v>-1.2969999999999999</v>
      </c>
      <c r="DK2454" s="80">
        <v>-47.921999999999997</v>
      </c>
      <c r="DL2454" s="80">
        <v>41</v>
      </c>
      <c r="DM2454" s="64">
        <v>8</v>
      </c>
      <c r="DN2454" s="406" t="s">
        <v>7423</v>
      </c>
      <c r="DO2454" s="406">
        <v>-1.3</v>
      </c>
      <c r="DP2454" s="80">
        <v>65</v>
      </c>
    </row>
    <row r="2455" spans="29:120" x14ac:dyDescent="0.25">
      <c r="AC2455" s="122" t="s">
        <v>333</v>
      </c>
      <c r="AD2455" s="122" t="s">
        <v>2806</v>
      </c>
      <c r="AE2455" s="127">
        <v>4</v>
      </c>
      <c r="DA2455" s="122" t="s">
        <v>344</v>
      </c>
      <c r="DB2455" s="122" t="s">
        <v>4111</v>
      </c>
      <c r="DC2455" s="122" t="s">
        <v>4111</v>
      </c>
      <c r="DD2455" s="127">
        <v>8</v>
      </c>
      <c r="DE2455" s="127">
        <v>8</v>
      </c>
      <c r="DG2455" s="405" t="s">
        <v>344</v>
      </c>
      <c r="DH2455" s="406" t="s">
        <v>4111</v>
      </c>
      <c r="DI2455" s="406" t="str">
        <f t="shared" si="70"/>
        <v>PA, Chaves</v>
      </c>
      <c r="DJ2455" s="406">
        <v>-0.16</v>
      </c>
      <c r="DK2455" s="80">
        <v>-49.988</v>
      </c>
      <c r="DL2455" s="80">
        <v>6</v>
      </c>
      <c r="DM2455" s="64">
        <v>8</v>
      </c>
      <c r="DN2455" s="406" t="s">
        <v>6186</v>
      </c>
      <c r="DO2455" s="406">
        <v>0.04</v>
      </c>
      <c r="DP2455" s="80">
        <v>15</v>
      </c>
    </row>
    <row r="2456" spans="29:120" x14ac:dyDescent="0.25">
      <c r="AC2456" s="122" t="s">
        <v>322</v>
      </c>
      <c r="AD2456" s="122" t="s">
        <v>2807</v>
      </c>
      <c r="AE2456" s="127">
        <v>6</v>
      </c>
      <c r="DA2456" s="122" t="s">
        <v>344</v>
      </c>
      <c r="DB2456" s="122" t="s">
        <v>4071</v>
      </c>
      <c r="DC2456" s="122" t="s">
        <v>4071</v>
      </c>
      <c r="DD2456" s="127">
        <v>8</v>
      </c>
      <c r="DE2456" s="127">
        <v>8</v>
      </c>
      <c r="DG2456" s="405" t="s">
        <v>344</v>
      </c>
      <c r="DH2456" s="406" t="s">
        <v>4071</v>
      </c>
      <c r="DI2456" s="406" t="str">
        <f t="shared" si="70"/>
        <v>PA, Colares</v>
      </c>
      <c r="DJ2456" s="406">
        <v>-0.93700000000000006</v>
      </c>
      <c r="DK2456" s="80">
        <v>-48.281999999999996</v>
      </c>
      <c r="DL2456" s="80">
        <v>15</v>
      </c>
      <c r="DM2456" s="64">
        <v>8</v>
      </c>
      <c r="DN2456" s="406" t="s">
        <v>7430</v>
      </c>
      <c r="DO2456" s="406">
        <v>-0.81</v>
      </c>
      <c r="DP2456" s="80">
        <v>11</v>
      </c>
    </row>
    <row r="2457" spans="29:120" x14ac:dyDescent="0.25">
      <c r="AC2457" s="122" t="s">
        <v>323</v>
      </c>
      <c r="AD2457" s="122" t="s">
        <v>2808</v>
      </c>
      <c r="AE2457" s="127">
        <v>8</v>
      </c>
      <c r="DA2457" s="122" t="s">
        <v>344</v>
      </c>
      <c r="DB2457" s="122" t="s">
        <v>7434</v>
      </c>
      <c r="DC2457" s="122" t="s">
        <v>5260</v>
      </c>
      <c r="DD2457" s="127">
        <v>8</v>
      </c>
      <c r="DE2457" s="127">
        <v>8</v>
      </c>
      <c r="DG2457" s="405" t="s">
        <v>344</v>
      </c>
      <c r="DH2457" s="406" t="s">
        <v>5260</v>
      </c>
      <c r="DI2457" s="406" t="str">
        <f t="shared" si="70"/>
        <v>PA, Conceição do Araguaia</v>
      </c>
      <c r="DJ2457" s="406">
        <v>-8.2579999999999991</v>
      </c>
      <c r="DK2457" s="80">
        <v>-49.265000000000001</v>
      </c>
      <c r="DL2457" s="80">
        <v>165</v>
      </c>
      <c r="DM2457" s="64">
        <v>8</v>
      </c>
      <c r="DN2457" s="406" t="s">
        <v>7435</v>
      </c>
      <c r="DO2457" s="406">
        <v>-8.9700000000000006</v>
      </c>
      <c r="DP2457" s="80">
        <v>189</v>
      </c>
    </row>
    <row r="2458" spans="29:120" x14ac:dyDescent="0.25">
      <c r="AC2458" s="122" t="s">
        <v>333</v>
      </c>
      <c r="AD2458" s="122" t="s">
        <v>2809</v>
      </c>
      <c r="AE2458" s="127">
        <v>6</v>
      </c>
      <c r="DA2458" s="122" t="s">
        <v>344</v>
      </c>
      <c r="DB2458" s="122" t="s">
        <v>7436</v>
      </c>
      <c r="DC2458" s="122" t="s">
        <v>4362</v>
      </c>
      <c r="DD2458" s="127">
        <v>8</v>
      </c>
      <c r="DE2458" s="127">
        <v>8</v>
      </c>
      <c r="DG2458" s="405" t="s">
        <v>344</v>
      </c>
      <c r="DH2458" s="406" t="s">
        <v>4362</v>
      </c>
      <c r="DI2458" s="406" t="str">
        <f t="shared" si="70"/>
        <v>PA, Concórdia do Pará</v>
      </c>
      <c r="DJ2458" s="406">
        <v>-1.9910000000000001</v>
      </c>
      <c r="DK2458" s="80">
        <v>-47.948999999999998</v>
      </c>
      <c r="DL2458" s="80">
        <v>440</v>
      </c>
      <c r="DM2458" s="64">
        <v>8</v>
      </c>
      <c r="DN2458" s="406" t="s">
        <v>7419</v>
      </c>
      <c r="DO2458" s="406">
        <v>-2.59</v>
      </c>
      <c r="DP2458" s="80">
        <v>38</v>
      </c>
    </row>
    <row r="2459" spans="29:120" x14ac:dyDescent="0.25">
      <c r="AC2459" s="122" t="s">
        <v>322</v>
      </c>
      <c r="AD2459" s="122" t="s">
        <v>2810</v>
      </c>
      <c r="AE2459" s="127">
        <v>6</v>
      </c>
      <c r="DA2459" s="122" t="s">
        <v>344</v>
      </c>
      <c r="DB2459" s="122" t="s">
        <v>7437</v>
      </c>
      <c r="DC2459" s="122" t="s">
        <v>5257</v>
      </c>
      <c r="DD2459" s="127">
        <v>8</v>
      </c>
      <c r="DE2459" s="127">
        <v>8</v>
      </c>
      <c r="DG2459" s="405" t="s">
        <v>344</v>
      </c>
      <c r="DH2459" s="406" t="s">
        <v>5257</v>
      </c>
      <c r="DI2459" s="406" t="str">
        <f t="shared" si="70"/>
        <v>PA, Cumaru do Norte</v>
      </c>
      <c r="DJ2459" s="406">
        <v>-7.8250000000000002</v>
      </c>
      <c r="DK2459" s="80">
        <v>-50.773000000000003</v>
      </c>
      <c r="DL2459" s="80">
        <v>299</v>
      </c>
      <c r="DM2459" s="64">
        <v>8</v>
      </c>
      <c r="DN2459" s="406" t="s">
        <v>7438</v>
      </c>
      <c r="DO2459" s="406">
        <v>-9.34</v>
      </c>
      <c r="DP2459" s="80">
        <v>168</v>
      </c>
    </row>
    <row r="2460" spans="29:120" x14ac:dyDescent="0.25">
      <c r="AC2460" s="122" t="s">
        <v>333</v>
      </c>
      <c r="AD2460" s="122" t="s">
        <v>2811</v>
      </c>
      <c r="AE2460" s="127">
        <v>4</v>
      </c>
      <c r="DA2460" s="122" t="s">
        <v>344</v>
      </c>
      <c r="DB2460" s="122" t="s">
        <v>4437</v>
      </c>
      <c r="DC2460" s="122" t="s">
        <v>4437</v>
      </c>
      <c r="DD2460" s="127">
        <v>8</v>
      </c>
      <c r="DE2460" s="127">
        <v>8</v>
      </c>
      <c r="DG2460" s="405" t="s">
        <v>344</v>
      </c>
      <c r="DH2460" s="406" t="s">
        <v>4437</v>
      </c>
      <c r="DI2460" s="406" t="str">
        <f t="shared" si="70"/>
        <v>PA, Curionópolis</v>
      </c>
      <c r="DJ2460" s="406">
        <v>-6.0910000000000002</v>
      </c>
      <c r="DK2460" s="80">
        <v>-49.540999999999997</v>
      </c>
      <c r="DL2460" s="80">
        <v>180</v>
      </c>
      <c r="DM2460" s="64">
        <v>8</v>
      </c>
      <c r="DN2460" s="406" t="s">
        <v>7439</v>
      </c>
      <c r="DO2460" s="406">
        <v>-6.28</v>
      </c>
      <c r="DP2460" s="80">
        <v>180</v>
      </c>
    </row>
    <row r="2461" spans="29:120" x14ac:dyDescent="0.25">
      <c r="AC2461" s="122" t="s">
        <v>376</v>
      </c>
      <c r="AD2461" s="122" t="s">
        <v>2812</v>
      </c>
      <c r="AE2461" s="127">
        <v>4</v>
      </c>
      <c r="DA2461" s="122" t="s">
        <v>344</v>
      </c>
      <c r="DB2461" s="122" t="s">
        <v>5130</v>
      </c>
      <c r="DC2461" s="122" t="s">
        <v>5130</v>
      </c>
      <c r="DD2461" s="127">
        <v>8</v>
      </c>
      <c r="DE2461" s="127">
        <v>8</v>
      </c>
      <c r="DG2461" s="405" t="s">
        <v>344</v>
      </c>
      <c r="DH2461" s="406" t="s">
        <v>5130</v>
      </c>
      <c r="DI2461" s="406" t="str">
        <f t="shared" si="70"/>
        <v>PA, Curralinho</v>
      </c>
      <c r="DJ2461" s="406">
        <v>-1.8140000000000001</v>
      </c>
      <c r="DK2461" s="80">
        <v>-49.795000000000002</v>
      </c>
      <c r="DL2461" s="80">
        <v>15</v>
      </c>
      <c r="DM2461" s="64">
        <v>8</v>
      </c>
      <c r="DN2461" s="406" t="s">
        <v>7416</v>
      </c>
      <c r="DO2461" s="406">
        <v>-2.25</v>
      </c>
      <c r="DP2461" s="80">
        <v>22</v>
      </c>
    </row>
    <row r="2462" spans="29:120" x14ac:dyDescent="0.25">
      <c r="AC2462" s="122" t="s">
        <v>333</v>
      </c>
      <c r="AD2462" s="122" t="s">
        <v>2813</v>
      </c>
      <c r="AE2462" s="127">
        <v>2</v>
      </c>
      <c r="DA2462" s="122" t="s">
        <v>344</v>
      </c>
      <c r="DB2462" s="122" t="s">
        <v>4218</v>
      </c>
      <c r="DC2462" s="122" t="s">
        <v>4218</v>
      </c>
      <c r="DD2462" s="127">
        <v>8</v>
      </c>
      <c r="DE2462" s="127">
        <v>8</v>
      </c>
      <c r="DG2462" s="405" t="s">
        <v>344</v>
      </c>
      <c r="DH2462" s="406" t="s">
        <v>4218</v>
      </c>
      <c r="DI2462" s="406" t="str">
        <f t="shared" si="70"/>
        <v>PA, Curuá</v>
      </c>
      <c r="DJ2462" s="406">
        <v>-1.8879999999999999</v>
      </c>
      <c r="DK2462" s="80">
        <v>-55.116999999999997</v>
      </c>
      <c r="DL2462" s="80">
        <v>22</v>
      </c>
      <c r="DM2462" s="64">
        <v>8</v>
      </c>
      <c r="DN2462" s="406" t="s">
        <v>6160</v>
      </c>
      <c r="DO2462" s="406">
        <v>-2.64</v>
      </c>
      <c r="DP2462" s="80">
        <v>35</v>
      </c>
    </row>
    <row r="2463" spans="29:120" x14ac:dyDescent="0.25">
      <c r="AC2463" s="122" t="s">
        <v>376</v>
      </c>
      <c r="AD2463" s="122" t="s">
        <v>2814</v>
      </c>
      <c r="AE2463" s="127">
        <v>6</v>
      </c>
      <c r="DA2463" s="122" t="s">
        <v>344</v>
      </c>
      <c r="DB2463" s="122" t="s">
        <v>4063</v>
      </c>
      <c r="DC2463" s="122" t="s">
        <v>4063</v>
      </c>
      <c r="DD2463" s="127">
        <v>8</v>
      </c>
      <c r="DE2463" s="127">
        <v>8</v>
      </c>
      <c r="DG2463" s="405" t="s">
        <v>344</v>
      </c>
      <c r="DH2463" s="406" t="s">
        <v>4063</v>
      </c>
      <c r="DI2463" s="406" t="str">
        <f t="shared" si="70"/>
        <v>PA, Curuçá</v>
      </c>
      <c r="DJ2463" s="406">
        <v>-0.73399999999999999</v>
      </c>
      <c r="DK2463" s="80">
        <v>-47.854999999999997</v>
      </c>
      <c r="DL2463" s="80">
        <v>37</v>
      </c>
      <c r="DM2463" s="64">
        <v>8</v>
      </c>
      <c r="DN2463" s="406" t="s">
        <v>7440</v>
      </c>
      <c r="DO2463" s="406">
        <v>-0.62</v>
      </c>
      <c r="DP2463" s="80">
        <v>20</v>
      </c>
    </row>
    <row r="2464" spans="29:120" x14ac:dyDescent="0.25">
      <c r="AC2464" s="122" t="s">
        <v>333</v>
      </c>
      <c r="AD2464" s="122" t="s">
        <v>2815</v>
      </c>
      <c r="AE2464" s="127">
        <v>4</v>
      </c>
      <c r="DA2464" s="122" t="s">
        <v>344</v>
      </c>
      <c r="DB2464" s="122" t="s">
        <v>7441</v>
      </c>
      <c r="DC2464" s="122" t="s">
        <v>4593</v>
      </c>
      <c r="DD2464" s="127">
        <v>8</v>
      </c>
      <c r="DE2464" s="127">
        <v>8</v>
      </c>
      <c r="DG2464" s="405" t="s">
        <v>344</v>
      </c>
      <c r="DH2464" s="406" t="s">
        <v>4593</v>
      </c>
      <c r="DI2464" s="406" t="str">
        <f t="shared" si="70"/>
        <v>PA, Dom Eliseu</v>
      </c>
      <c r="DJ2464" s="406">
        <v>-4.2850000000000001</v>
      </c>
      <c r="DK2464" s="80">
        <v>-47.505000000000003</v>
      </c>
      <c r="DL2464" s="80">
        <v>180</v>
      </c>
      <c r="DM2464" s="64">
        <v>8</v>
      </c>
      <c r="DN2464" s="406" t="s">
        <v>6632</v>
      </c>
      <c r="DO2464" s="406">
        <v>-4.78</v>
      </c>
      <c r="DP2464" s="80">
        <v>221</v>
      </c>
    </row>
    <row r="2465" spans="29:120" x14ac:dyDescent="0.25">
      <c r="AC2465" s="122" t="s">
        <v>322</v>
      </c>
      <c r="AD2465" s="122" t="s">
        <v>2816</v>
      </c>
      <c r="AE2465" s="127">
        <v>7</v>
      </c>
      <c r="DA2465" s="122" t="s">
        <v>344</v>
      </c>
      <c r="DB2465" s="122" t="s">
        <v>7442</v>
      </c>
      <c r="DC2465" s="122" t="s">
        <v>4877</v>
      </c>
      <c r="DD2465" s="127">
        <v>8</v>
      </c>
      <c r="DE2465" s="127">
        <v>8</v>
      </c>
      <c r="DG2465" s="405" t="s">
        <v>344</v>
      </c>
      <c r="DH2465" s="406" t="s">
        <v>4877</v>
      </c>
      <c r="DI2465" s="406" t="str">
        <f t="shared" si="70"/>
        <v>PA, Eldorado dos Carajás</v>
      </c>
      <c r="DJ2465" s="406">
        <v>-6.1040000000000001</v>
      </c>
      <c r="DK2465" s="80">
        <v>-49.354999999999997</v>
      </c>
      <c r="DL2465" s="80">
        <v>140</v>
      </c>
      <c r="DM2465" s="64">
        <v>8</v>
      </c>
      <c r="DN2465" s="406" t="s">
        <v>7439</v>
      </c>
      <c r="DO2465" s="406">
        <v>-6.28</v>
      </c>
      <c r="DP2465" s="80">
        <v>180</v>
      </c>
    </row>
    <row r="2466" spans="29:120" x14ac:dyDescent="0.25">
      <c r="AC2466" s="122" t="s">
        <v>376</v>
      </c>
      <c r="AD2466" s="122" t="s">
        <v>2817</v>
      </c>
      <c r="AE2466" s="127">
        <v>3</v>
      </c>
      <c r="DA2466" s="122" t="s">
        <v>344</v>
      </c>
      <c r="DB2466" s="122" t="s">
        <v>5148</v>
      </c>
      <c r="DC2466" s="122" t="s">
        <v>5148</v>
      </c>
      <c r="DD2466" s="127">
        <v>8</v>
      </c>
      <c r="DE2466" s="127">
        <v>8</v>
      </c>
      <c r="DG2466" s="405" t="s">
        <v>344</v>
      </c>
      <c r="DH2466" s="406" t="s">
        <v>5148</v>
      </c>
      <c r="DI2466" s="406" t="str">
        <f t="shared" si="70"/>
        <v>PA, Faro</v>
      </c>
      <c r="DJ2466" s="406">
        <v>-2.1709999999999998</v>
      </c>
      <c r="DK2466" s="80">
        <v>-56.744999999999997</v>
      </c>
      <c r="DL2466" s="80">
        <v>31</v>
      </c>
      <c r="DM2466" s="64">
        <v>8</v>
      </c>
      <c r="DN2466" s="406" t="s">
        <v>6160</v>
      </c>
      <c r="DO2466" s="406">
        <v>-2.64</v>
      </c>
      <c r="DP2466" s="80">
        <v>35</v>
      </c>
    </row>
    <row r="2467" spans="29:120" x14ac:dyDescent="0.25">
      <c r="AC2467" s="122" t="s">
        <v>333</v>
      </c>
      <c r="AD2467" s="122" t="s">
        <v>2818</v>
      </c>
      <c r="AE2467" s="127">
        <v>3</v>
      </c>
      <c r="DA2467" s="122" t="s">
        <v>344</v>
      </c>
      <c r="DB2467" s="122" t="s">
        <v>7443</v>
      </c>
      <c r="DC2467" s="122" t="s">
        <v>5254</v>
      </c>
      <c r="DD2467" s="127">
        <v>8</v>
      </c>
      <c r="DE2467" s="127">
        <v>8</v>
      </c>
      <c r="DG2467" s="405" t="s">
        <v>344</v>
      </c>
      <c r="DH2467" s="406" t="s">
        <v>5254</v>
      </c>
      <c r="DI2467" s="406" t="str">
        <f t="shared" si="70"/>
        <v>PA, Floresta do Araguaia</v>
      </c>
      <c r="DJ2467" s="406">
        <v>-7.5540000000000003</v>
      </c>
      <c r="DK2467" s="80">
        <v>-49.713000000000001</v>
      </c>
      <c r="DL2467" s="80">
        <v>190</v>
      </c>
      <c r="DM2467" s="64">
        <v>8</v>
      </c>
      <c r="DN2467" s="406" t="s">
        <v>7439</v>
      </c>
      <c r="DO2467" s="406">
        <v>-6.28</v>
      </c>
      <c r="DP2467" s="80">
        <v>180</v>
      </c>
    </row>
    <row r="2468" spans="29:120" x14ac:dyDescent="0.25">
      <c r="AC2468" s="122" t="s">
        <v>333</v>
      </c>
      <c r="AD2468" s="122" t="s">
        <v>2819</v>
      </c>
      <c r="AE2468" s="127">
        <v>3</v>
      </c>
      <c r="DA2468" s="122" t="s">
        <v>344</v>
      </c>
      <c r="DB2468" s="122" t="s">
        <v>7444</v>
      </c>
      <c r="DC2468" s="122" t="s">
        <v>4291</v>
      </c>
      <c r="DD2468" s="127">
        <v>8</v>
      </c>
      <c r="DE2468" s="127">
        <v>8</v>
      </c>
      <c r="DG2468" s="405" t="s">
        <v>344</v>
      </c>
      <c r="DH2468" s="406" t="s">
        <v>4291</v>
      </c>
      <c r="DI2468" s="406" t="str">
        <f t="shared" si="70"/>
        <v>PA, Garrafão do Norte</v>
      </c>
      <c r="DJ2468" s="406">
        <v>-1.9339999999999999</v>
      </c>
      <c r="DK2468" s="80">
        <v>-47.052999999999997</v>
      </c>
      <c r="DL2468" s="80">
        <v>56</v>
      </c>
      <c r="DM2468" s="64">
        <v>8</v>
      </c>
      <c r="DN2468" s="406" t="s">
        <v>6661</v>
      </c>
      <c r="DO2468" s="406">
        <v>-1.05</v>
      </c>
      <c r="DP2468" s="80">
        <v>33</v>
      </c>
    </row>
    <row r="2469" spans="29:120" x14ac:dyDescent="0.25">
      <c r="AC2469" s="122" t="s">
        <v>333</v>
      </c>
      <c r="AD2469" s="122" t="s">
        <v>2820</v>
      </c>
      <c r="AE2469" s="127">
        <v>4</v>
      </c>
      <c r="DA2469" s="122" t="s">
        <v>344</v>
      </c>
      <c r="DB2469" s="122" t="s">
        <v>7445</v>
      </c>
      <c r="DC2469" s="122" t="s">
        <v>4241</v>
      </c>
      <c r="DD2469" s="127">
        <v>8</v>
      </c>
      <c r="DE2469" s="127">
        <v>8</v>
      </c>
      <c r="DG2469" s="405" t="s">
        <v>344</v>
      </c>
      <c r="DH2469" s="406" t="s">
        <v>4241</v>
      </c>
      <c r="DI2469" s="406" t="str">
        <f t="shared" si="70"/>
        <v>PA, Goianésia do Pará</v>
      </c>
      <c r="DJ2469" s="406">
        <v>-3.843</v>
      </c>
      <c r="DK2469" s="80">
        <v>-49.097000000000001</v>
      </c>
      <c r="DL2469" s="80">
        <v>103</v>
      </c>
      <c r="DM2469" s="64">
        <v>8</v>
      </c>
      <c r="DN2469" s="406" t="s">
        <v>7428</v>
      </c>
      <c r="DO2469" s="406">
        <v>-3.82</v>
      </c>
      <c r="DP2469" s="80">
        <v>148</v>
      </c>
    </row>
    <row r="2470" spans="29:120" x14ac:dyDescent="0.25">
      <c r="AC2470" s="122" t="s">
        <v>322</v>
      </c>
      <c r="AD2470" s="122" t="s">
        <v>2821</v>
      </c>
      <c r="AE2470" s="127">
        <v>6</v>
      </c>
      <c r="DA2470" s="122" t="s">
        <v>344</v>
      </c>
      <c r="DB2470" s="122" t="s">
        <v>4263</v>
      </c>
      <c r="DC2470" s="122" t="s">
        <v>4263</v>
      </c>
      <c r="DD2470" s="127">
        <v>8</v>
      </c>
      <c r="DE2470" s="127">
        <v>8</v>
      </c>
      <c r="DG2470" s="405" t="s">
        <v>344</v>
      </c>
      <c r="DH2470" s="406" t="s">
        <v>4263</v>
      </c>
      <c r="DI2470" s="406" t="str">
        <f t="shared" si="70"/>
        <v>PA, Gurupá</v>
      </c>
      <c r="DJ2470" s="406">
        <v>-1.405</v>
      </c>
      <c r="DK2470" s="80">
        <v>-51.64</v>
      </c>
      <c r="DL2470" s="80">
        <v>20</v>
      </c>
      <c r="DM2470" s="64">
        <v>8</v>
      </c>
      <c r="DN2470" s="406" t="s">
        <v>6186</v>
      </c>
      <c r="DO2470" s="406">
        <v>0.04</v>
      </c>
      <c r="DP2470" s="80">
        <v>15</v>
      </c>
    </row>
    <row r="2471" spans="29:120" x14ac:dyDescent="0.25">
      <c r="AC2471" s="122" t="s">
        <v>322</v>
      </c>
      <c r="AD2471" s="122" t="s">
        <v>2822</v>
      </c>
      <c r="AE2471" s="127">
        <v>6</v>
      </c>
      <c r="DA2471" s="122" t="s">
        <v>344</v>
      </c>
      <c r="DB2471" s="122" t="s">
        <v>4213</v>
      </c>
      <c r="DC2471" s="122" t="s">
        <v>4213</v>
      </c>
      <c r="DD2471" s="127">
        <v>8</v>
      </c>
      <c r="DE2471" s="127">
        <v>8</v>
      </c>
      <c r="DG2471" s="405" t="s">
        <v>344</v>
      </c>
      <c r="DH2471" s="406" t="s">
        <v>4213</v>
      </c>
      <c r="DI2471" s="406" t="str">
        <f t="shared" si="70"/>
        <v>PA, Igarapé-Açu</v>
      </c>
      <c r="DJ2471" s="406">
        <v>-1.127</v>
      </c>
      <c r="DK2471" s="80">
        <v>-47.618000000000002</v>
      </c>
      <c r="DL2471" s="80">
        <v>50</v>
      </c>
      <c r="DM2471" s="64">
        <v>8</v>
      </c>
      <c r="DN2471" s="406" t="s">
        <v>7423</v>
      </c>
      <c r="DO2471" s="406">
        <v>-1.3</v>
      </c>
      <c r="DP2471" s="80">
        <v>65</v>
      </c>
    </row>
    <row r="2472" spans="29:120" x14ac:dyDescent="0.25">
      <c r="AC2472" s="122" t="s">
        <v>333</v>
      </c>
      <c r="AD2472" s="122" t="s">
        <v>2823</v>
      </c>
      <c r="AE2472" s="127">
        <v>3</v>
      </c>
      <c r="DA2472" s="122" t="s">
        <v>344</v>
      </c>
      <c r="DB2472" s="122" t="s">
        <v>4183</v>
      </c>
      <c r="DC2472" s="122" t="s">
        <v>4183</v>
      </c>
      <c r="DD2472" s="127">
        <v>8</v>
      </c>
      <c r="DE2472" s="127">
        <v>8</v>
      </c>
      <c r="DG2472" s="405" t="s">
        <v>344</v>
      </c>
      <c r="DH2472" s="406" t="s">
        <v>4183</v>
      </c>
      <c r="DI2472" s="406" t="str">
        <f t="shared" si="70"/>
        <v>PA, Igarapé-Miri</v>
      </c>
      <c r="DJ2472" s="406">
        <v>-1.9750000000000001</v>
      </c>
      <c r="DK2472" s="80">
        <v>-48.96</v>
      </c>
      <c r="DL2472" s="80">
        <v>17</v>
      </c>
      <c r="DM2472" s="64">
        <v>8</v>
      </c>
      <c r="DN2472" s="406" t="s">
        <v>7416</v>
      </c>
      <c r="DO2472" s="406">
        <v>-2.25</v>
      </c>
      <c r="DP2472" s="80">
        <v>22</v>
      </c>
    </row>
    <row r="2473" spans="29:120" x14ac:dyDescent="0.25">
      <c r="AC2473" s="122" t="s">
        <v>322</v>
      </c>
      <c r="AD2473" s="122" t="s">
        <v>2824</v>
      </c>
      <c r="AE2473" s="127">
        <v>7</v>
      </c>
      <c r="DA2473" s="122" t="s">
        <v>344</v>
      </c>
      <c r="DB2473" s="122" t="s">
        <v>4318</v>
      </c>
      <c r="DC2473" s="122" t="s">
        <v>4318</v>
      </c>
      <c r="DD2473" s="127">
        <v>8</v>
      </c>
      <c r="DE2473" s="127">
        <v>8</v>
      </c>
      <c r="DG2473" s="405" t="s">
        <v>344</v>
      </c>
      <c r="DH2473" s="406" t="s">
        <v>4318</v>
      </c>
      <c r="DI2473" s="406" t="str">
        <f t="shared" si="70"/>
        <v>PA, Inhangapi</v>
      </c>
      <c r="DJ2473" s="406">
        <v>-1.43</v>
      </c>
      <c r="DK2473" s="80">
        <v>-47.917000000000002</v>
      </c>
      <c r="DL2473" s="80">
        <v>35</v>
      </c>
      <c r="DM2473" s="64">
        <v>8</v>
      </c>
      <c r="DN2473" s="406" t="s">
        <v>7423</v>
      </c>
      <c r="DO2473" s="406">
        <v>-1.3</v>
      </c>
      <c r="DP2473" s="80">
        <v>65</v>
      </c>
    </row>
    <row r="2474" spans="29:120" x14ac:dyDescent="0.25">
      <c r="AC2474" s="122" t="s">
        <v>289</v>
      </c>
      <c r="AD2474" s="122" t="s">
        <v>2825</v>
      </c>
      <c r="AE2474" s="127">
        <v>6</v>
      </c>
      <c r="DA2474" s="122" t="s">
        <v>344</v>
      </c>
      <c r="DB2474" s="122" t="s">
        <v>7446</v>
      </c>
      <c r="DC2474" s="122" t="s">
        <v>4408</v>
      </c>
      <c r="DD2474" s="127">
        <v>8</v>
      </c>
      <c r="DE2474" s="127">
        <v>8</v>
      </c>
      <c r="DG2474" s="405" t="s">
        <v>344</v>
      </c>
      <c r="DH2474" s="406" t="s">
        <v>4408</v>
      </c>
      <c r="DI2474" s="406" t="str">
        <f t="shared" si="70"/>
        <v>PA, Ipixuna do Pará</v>
      </c>
      <c r="DJ2474" s="406">
        <v>-2.5579999999999998</v>
      </c>
      <c r="DK2474" s="80">
        <v>-47.494</v>
      </c>
      <c r="DL2474" s="80">
        <v>50</v>
      </c>
      <c r="DM2474" s="64">
        <v>8</v>
      </c>
      <c r="DN2474" s="406" t="s">
        <v>7447</v>
      </c>
      <c r="DO2474" s="406">
        <v>-3.01</v>
      </c>
      <c r="DP2474" s="80">
        <v>101</v>
      </c>
    </row>
    <row r="2475" spans="29:120" x14ac:dyDescent="0.25">
      <c r="AC2475" s="122" t="s">
        <v>322</v>
      </c>
      <c r="AD2475" s="122" t="s">
        <v>2826</v>
      </c>
      <c r="AE2475" s="127">
        <v>6</v>
      </c>
      <c r="DA2475" s="122" t="s">
        <v>344</v>
      </c>
      <c r="DB2475" s="122" t="s">
        <v>4337</v>
      </c>
      <c r="DC2475" s="122" t="s">
        <v>4337</v>
      </c>
      <c r="DD2475" s="127">
        <v>8</v>
      </c>
      <c r="DE2475" s="127">
        <v>8</v>
      </c>
      <c r="DG2475" s="405" t="s">
        <v>344</v>
      </c>
      <c r="DH2475" s="406" t="s">
        <v>4337</v>
      </c>
      <c r="DI2475" s="406" t="str">
        <f t="shared" si="70"/>
        <v>PA, Irituia</v>
      </c>
      <c r="DJ2475" s="406">
        <v>-1.7689999999999999</v>
      </c>
      <c r="DK2475" s="80">
        <v>-47.439</v>
      </c>
      <c r="DL2475" s="80">
        <v>25</v>
      </c>
      <c r="DM2475" s="64">
        <v>8</v>
      </c>
      <c r="DN2475" s="406" t="s">
        <v>7423</v>
      </c>
      <c r="DO2475" s="406">
        <v>-1.3</v>
      </c>
      <c r="DP2475" s="80">
        <v>65</v>
      </c>
    </row>
    <row r="2476" spans="29:120" x14ac:dyDescent="0.25">
      <c r="AC2476" s="122" t="s">
        <v>323</v>
      </c>
      <c r="AD2476" s="122" t="s">
        <v>2827</v>
      </c>
      <c r="AE2476" s="127">
        <v>7</v>
      </c>
      <c r="DA2476" s="122" t="s">
        <v>344</v>
      </c>
      <c r="DB2476" s="122" t="s">
        <v>4398</v>
      </c>
      <c r="DC2476" s="122" t="s">
        <v>4398</v>
      </c>
      <c r="DD2476" s="127">
        <v>8</v>
      </c>
      <c r="DE2476" s="127">
        <v>8</v>
      </c>
      <c r="DG2476" s="405" t="s">
        <v>344</v>
      </c>
      <c r="DH2476" s="406" t="s">
        <v>4398</v>
      </c>
      <c r="DI2476" s="406" t="str">
        <f t="shared" si="70"/>
        <v>PA, Itaituba</v>
      </c>
      <c r="DJ2476" s="406">
        <v>-4.2759999999999998</v>
      </c>
      <c r="DK2476" s="80">
        <v>-55.984000000000002</v>
      </c>
      <c r="DL2476" s="80">
        <v>15</v>
      </c>
      <c r="DM2476" s="64">
        <v>8</v>
      </c>
      <c r="DN2476" s="406" t="s">
        <v>7420</v>
      </c>
      <c r="DO2476" s="406">
        <v>-4.28</v>
      </c>
      <c r="DP2476" s="80">
        <v>13</v>
      </c>
    </row>
    <row r="2477" spans="29:120" x14ac:dyDescent="0.25">
      <c r="AC2477" s="122" t="s">
        <v>322</v>
      </c>
      <c r="AD2477" s="122" t="s">
        <v>2828</v>
      </c>
      <c r="AE2477" s="127">
        <v>6</v>
      </c>
      <c r="DA2477" s="122" t="s">
        <v>344</v>
      </c>
      <c r="DB2477" s="122" t="s">
        <v>4397</v>
      </c>
      <c r="DC2477" s="122" t="s">
        <v>4397</v>
      </c>
      <c r="DD2477" s="127">
        <v>8</v>
      </c>
      <c r="DE2477" s="127">
        <v>8</v>
      </c>
      <c r="DG2477" s="405" t="s">
        <v>344</v>
      </c>
      <c r="DH2477" s="406" t="s">
        <v>4397</v>
      </c>
      <c r="DI2477" s="406" t="str">
        <f t="shared" si="70"/>
        <v>PA, Itupiranga</v>
      </c>
      <c r="DJ2477" s="406">
        <v>-5.1349999999999998</v>
      </c>
      <c r="DK2477" s="80">
        <v>-49.326999999999998</v>
      </c>
      <c r="DL2477" s="80">
        <v>89</v>
      </c>
      <c r="DM2477" s="64">
        <v>8</v>
      </c>
      <c r="DN2477" s="406" t="s">
        <v>7422</v>
      </c>
      <c r="DO2477" s="406">
        <v>-5.37</v>
      </c>
      <c r="DP2477" s="80">
        <v>84</v>
      </c>
    </row>
    <row r="2478" spans="29:120" x14ac:dyDescent="0.25">
      <c r="AC2478" s="122" t="s">
        <v>322</v>
      </c>
      <c r="AD2478" s="122" t="s">
        <v>2829</v>
      </c>
      <c r="AE2478" s="127">
        <v>6</v>
      </c>
      <c r="DA2478" s="122" t="s">
        <v>344</v>
      </c>
      <c r="DB2478" s="122" t="s">
        <v>5431</v>
      </c>
      <c r="DC2478" s="122" t="s">
        <v>5431</v>
      </c>
      <c r="DD2478" s="127">
        <v>8</v>
      </c>
      <c r="DE2478" s="127">
        <v>8</v>
      </c>
      <c r="DG2478" s="405" t="s">
        <v>344</v>
      </c>
      <c r="DH2478" s="406" t="s">
        <v>5431</v>
      </c>
      <c r="DI2478" s="406" t="str">
        <f t="shared" si="70"/>
        <v>PA, Jacareacanga</v>
      </c>
      <c r="DJ2478" s="406">
        <v>-6.2240000000000002</v>
      </c>
      <c r="DK2478" s="80">
        <v>-57.753999999999998</v>
      </c>
      <c r="DL2478" s="80">
        <v>70</v>
      </c>
      <c r="DM2478" s="64">
        <v>8</v>
      </c>
      <c r="DN2478" s="406" t="s">
        <v>7420</v>
      </c>
      <c r="DO2478" s="406">
        <v>-4.28</v>
      </c>
      <c r="DP2478" s="80">
        <v>13</v>
      </c>
    </row>
    <row r="2479" spans="29:120" x14ac:dyDescent="0.25">
      <c r="AC2479" s="122" t="s">
        <v>323</v>
      </c>
      <c r="AD2479" s="122" t="s">
        <v>2830</v>
      </c>
      <c r="AE2479" s="127">
        <v>8</v>
      </c>
      <c r="DA2479" s="122" t="s">
        <v>344</v>
      </c>
      <c r="DB2479" s="122" t="s">
        <v>4333</v>
      </c>
      <c r="DC2479" s="122" t="s">
        <v>4333</v>
      </c>
      <c r="DD2479" s="127">
        <v>8</v>
      </c>
      <c r="DE2479" s="127">
        <v>8</v>
      </c>
      <c r="DG2479" s="405" t="s">
        <v>344</v>
      </c>
      <c r="DH2479" s="406" t="s">
        <v>4333</v>
      </c>
      <c r="DI2479" s="406" t="str">
        <f t="shared" si="70"/>
        <v>PA, Jacundá</v>
      </c>
      <c r="DJ2479" s="406">
        <v>-4.4509999999999996</v>
      </c>
      <c r="DK2479" s="80">
        <v>-49.116</v>
      </c>
      <c r="DL2479" s="80">
        <v>108</v>
      </c>
      <c r="DM2479" s="64">
        <v>8</v>
      </c>
      <c r="DN2479" s="406" t="s">
        <v>7448</v>
      </c>
      <c r="DO2479" s="406">
        <v>-4.26</v>
      </c>
      <c r="DP2479" s="80">
        <v>113</v>
      </c>
    </row>
    <row r="2480" spans="29:120" x14ac:dyDescent="0.25">
      <c r="AC2480" s="122" t="s">
        <v>333</v>
      </c>
      <c r="AD2480" s="122" t="s">
        <v>2831</v>
      </c>
      <c r="AE2480" s="127">
        <v>5</v>
      </c>
      <c r="DA2480" s="122" t="s">
        <v>344</v>
      </c>
      <c r="DB2480" s="122" t="s">
        <v>4273</v>
      </c>
      <c r="DC2480" s="122" t="s">
        <v>4273</v>
      </c>
      <c r="DD2480" s="127">
        <v>8</v>
      </c>
      <c r="DE2480" s="127">
        <v>8</v>
      </c>
      <c r="DG2480" s="405" t="s">
        <v>344</v>
      </c>
      <c r="DH2480" s="406" t="s">
        <v>4273</v>
      </c>
      <c r="DI2480" s="406" t="str">
        <f t="shared" si="70"/>
        <v>PA, Juruti</v>
      </c>
      <c r="DJ2480" s="406">
        <v>-2.1520000000000001</v>
      </c>
      <c r="DK2480" s="80">
        <v>-56.091999999999999</v>
      </c>
      <c r="DL2480" s="80">
        <v>36</v>
      </c>
      <c r="DM2480" s="64">
        <v>8</v>
      </c>
      <c r="DN2480" s="406" t="s">
        <v>6160</v>
      </c>
      <c r="DO2480" s="406">
        <v>-2.64</v>
      </c>
      <c r="DP2480" s="80">
        <v>35</v>
      </c>
    </row>
    <row r="2481" spans="29:120" x14ac:dyDescent="0.25">
      <c r="AC2481" s="122" t="s">
        <v>322</v>
      </c>
      <c r="AD2481" s="122" t="s">
        <v>2832</v>
      </c>
      <c r="AE2481" s="127">
        <v>6</v>
      </c>
      <c r="DA2481" s="122" t="s">
        <v>344</v>
      </c>
      <c r="DB2481" s="122" t="s">
        <v>7449</v>
      </c>
      <c r="DC2481" s="122" t="s">
        <v>4122</v>
      </c>
      <c r="DD2481" s="127">
        <v>8</v>
      </c>
      <c r="DE2481" s="127">
        <v>8</v>
      </c>
      <c r="DG2481" s="405" t="s">
        <v>344</v>
      </c>
      <c r="DH2481" s="406" t="s">
        <v>4122</v>
      </c>
      <c r="DI2481" s="406" t="str">
        <f t="shared" si="70"/>
        <v>PA, Limoeiro do Ajuru</v>
      </c>
      <c r="DJ2481" s="406">
        <v>-1.895</v>
      </c>
      <c r="DK2481" s="80">
        <v>-49.381</v>
      </c>
      <c r="DL2481" s="80">
        <v>28</v>
      </c>
      <c r="DM2481" s="64">
        <v>8</v>
      </c>
      <c r="DN2481" s="406" t="s">
        <v>7416</v>
      </c>
      <c r="DO2481" s="406">
        <v>-2.25</v>
      </c>
      <c r="DP2481" s="80">
        <v>22</v>
      </c>
    </row>
    <row r="2482" spans="29:120" x14ac:dyDescent="0.25">
      <c r="AC2482" s="122" t="s">
        <v>322</v>
      </c>
      <c r="AD2482" s="122" t="s">
        <v>2833</v>
      </c>
      <c r="AE2482" s="127">
        <v>6</v>
      </c>
      <c r="DA2482" s="122" t="s">
        <v>344</v>
      </c>
      <c r="DB2482" s="122" t="s">
        <v>7450</v>
      </c>
      <c r="DC2482" s="122" t="s">
        <v>4368</v>
      </c>
      <c r="DD2482" s="127">
        <v>8</v>
      </c>
      <c r="DE2482" s="127">
        <v>8</v>
      </c>
      <c r="DG2482" s="405" t="s">
        <v>344</v>
      </c>
      <c r="DH2482" s="406" t="s">
        <v>4368</v>
      </c>
      <c r="DI2482" s="406" t="str">
        <f t="shared" si="70"/>
        <v>PA, Mãe do Rio</v>
      </c>
      <c r="DJ2482" s="406">
        <v>-2.06</v>
      </c>
      <c r="DK2482" s="80">
        <v>-47.552999999999997</v>
      </c>
      <c r="DL2482" s="80">
        <v>25</v>
      </c>
      <c r="DM2482" s="64">
        <v>8</v>
      </c>
      <c r="DN2482" s="406" t="s">
        <v>7419</v>
      </c>
      <c r="DO2482" s="406">
        <v>-2.59</v>
      </c>
      <c r="DP2482" s="80">
        <v>38</v>
      </c>
    </row>
    <row r="2483" spans="29:120" x14ac:dyDescent="0.25">
      <c r="AC2483" s="122" t="s">
        <v>333</v>
      </c>
      <c r="AD2483" s="122" t="s">
        <v>2834</v>
      </c>
      <c r="AE2483" s="127">
        <v>6</v>
      </c>
      <c r="DA2483" s="122" t="s">
        <v>344</v>
      </c>
      <c r="DB2483" s="122" t="s">
        <v>7451</v>
      </c>
      <c r="DC2483" s="122" t="s">
        <v>4067</v>
      </c>
      <c r="DD2483" s="127">
        <v>8</v>
      </c>
      <c r="DE2483" s="127">
        <v>8</v>
      </c>
      <c r="DG2483" s="405" t="s">
        <v>344</v>
      </c>
      <c r="DH2483" s="406" t="s">
        <v>4067</v>
      </c>
      <c r="DI2483" s="406" t="str">
        <f t="shared" si="70"/>
        <v>PA, Magalhães Barata</v>
      </c>
      <c r="DJ2483" s="406">
        <v>-0.79500000000000004</v>
      </c>
      <c r="DK2483" s="80">
        <v>-47.597999999999999</v>
      </c>
      <c r="DL2483" s="80">
        <v>50</v>
      </c>
      <c r="DM2483" s="64">
        <v>8</v>
      </c>
      <c r="DN2483" s="406" t="s">
        <v>7440</v>
      </c>
      <c r="DO2483" s="406">
        <v>-0.62</v>
      </c>
      <c r="DP2483" s="80">
        <v>20</v>
      </c>
    </row>
    <row r="2484" spans="29:120" x14ac:dyDescent="0.25">
      <c r="AC2484" s="122" t="s">
        <v>322</v>
      </c>
      <c r="AD2484" s="122" t="s">
        <v>2835</v>
      </c>
      <c r="AE2484" s="127">
        <v>6</v>
      </c>
      <c r="DA2484" s="122" t="s">
        <v>344</v>
      </c>
      <c r="DB2484" s="122" t="s">
        <v>4420</v>
      </c>
      <c r="DC2484" s="122" t="s">
        <v>4420</v>
      </c>
      <c r="DD2484" s="127">
        <v>8</v>
      </c>
      <c r="DE2484" s="127">
        <v>8</v>
      </c>
      <c r="DG2484" s="405" t="s">
        <v>344</v>
      </c>
      <c r="DH2484" s="406" t="s">
        <v>4420</v>
      </c>
      <c r="DI2484" s="406" t="str">
        <f t="shared" si="70"/>
        <v>PA, Marabá</v>
      </c>
      <c r="DJ2484" s="406">
        <v>-5.3689999999999998</v>
      </c>
      <c r="DK2484" s="80">
        <v>-49.118000000000002</v>
      </c>
      <c r="DL2484" s="80">
        <v>84</v>
      </c>
      <c r="DM2484" s="64">
        <v>8</v>
      </c>
      <c r="DN2484" s="406" t="s">
        <v>7422</v>
      </c>
      <c r="DO2484" s="406">
        <v>-5.37</v>
      </c>
      <c r="DP2484" s="80">
        <v>84</v>
      </c>
    </row>
    <row r="2485" spans="29:120" x14ac:dyDescent="0.25">
      <c r="AC2485" s="122" t="s">
        <v>333</v>
      </c>
      <c r="AD2485" s="122" t="s">
        <v>2836</v>
      </c>
      <c r="AE2485" s="127">
        <v>4</v>
      </c>
      <c r="DA2485" s="122" t="s">
        <v>344</v>
      </c>
      <c r="DB2485" s="122" t="s">
        <v>4072</v>
      </c>
      <c r="DC2485" s="122" t="s">
        <v>4072</v>
      </c>
      <c r="DD2485" s="127">
        <v>8</v>
      </c>
      <c r="DE2485" s="127">
        <v>8</v>
      </c>
      <c r="DG2485" s="405" t="s">
        <v>344</v>
      </c>
      <c r="DH2485" s="406" t="s">
        <v>4072</v>
      </c>
      <c r="DI2485" s="406" t="str">
        <f t="shared" si="70"/>
        <v>PA, Maracanã</v>
      </c>
      <c r="DJ2485" s="406">
        <v>-0.76500000000000001</v>
      </c>
      <c r="DK2485" s="80">
        <v>-47.45</v>
      </c>
      <c r="DL2485" s="80">
        <v>45</v>
      </c>
      <c r="DM2485" s="64">
        <v>8</v>
      </c>
      <c r="DN2485" s="406" t="s">
        <v>7440</v>
      </c>
      <c r="DO2485" s="406">
        <v>-0.62</v>
      </c>
      <c r="DP2485" s="80">
        <v>20</v>
      </c>
    </row>
    <row r="2486" spans="29:120" x14ac:dyDescent="0.25">
      <c r="AC2486" s="122" t="s">
        <v>322</v>
      </c>
      <c r="AD2486" s="122" t="s">
        <v>459</v>
      </c>
      <c r="AE2486" s="127">
        <v>6</v>
      </c>
      <c r="DA2486" s="122" t="s">
        <v>344</v>
      </c>
      <c r="DB2486" s="122" t="s">
        <v>4060</v>
      </c>
      <c r="DC2486" s="122" t="s">
        <v>4060</v>
      </c>
      <c r="DD2486" s="127">
        <v>8</v>
      </c>
      <c r="DE2486" s="127">
        <v>8</v>
      </c>
      <c r="DG2486" s="405" t="s">
        <v>344</v>
      </c>
      <c r="DH2486" s="406" t="s">
        <v>4060</v>
      </c>
      <c r="DI2486" s="406" t="str">
        <f t="shared" si="70"/>
        <v>PA, Marapanim</v>
      </c>
      <c r="DJ2486" s="406">
        <v>-0.71399999999999997</v>
      </c>
      <c r="DK2486" s="80">
        <v>-47.694000000000003</v>
      </c>
      <c r="DL2486" s="80">
        <v>40</v>
      </c>
      <c r="DM2486" s="64">
        <v>8</v>
      </c>
      <c r="DN2486" s="406" t="s">
        <v>7440</v>
      </c>
      <c r="DO2486" s="406">
        <v>-0.62</v>
      </c>
      <c r="DP2486" s="80">
        <v>20</v>
      </c>
    </row>
    <row r="2487" spans="29:120" x14ac:dyDescent="0.25">
      <c r="AC2487" s="122" t="s">
        <v>333</v>
      </c>
      <c r="AD2487" s="122" t="s">
        <v>2837</v>
      </c>
      <c r="AE2487" s="127">
        <v>4</v>
      </c>
      <c r="DA2487" s="122" t="s">
        <v>344</v>
      </c>
      <c r="DB2487" s="122" t="s">
        <v>4125</v>
      </c>
      <c r="DC2487" s="122" t="s">
        <v>4125</v>
      </c>
      <c r="DD2487" s="127">
        <v>8</v>
      </c>
      <c r="DE2487" s="127">
        <v>8</v>
      </c>
      <c r="DG2487" s="405" t="s">
        <v>344</v>
      </c>
      <c r="DH2487" s="406" t="s">
        <v>4125</v>
      </c>
      <c r="DI2487" s="406" t="str">
        <f t="shared" si="70"/>
        <v>PA, Marituba</v>
      </c>
      <c r="DJ2487" s="406">
        <v>-1.355</v>
      </c>
      <c r="DK2487" s="80">
        <v>-48.341999999999999</v>
      </c>
      <c r="DL2487" s="80">
        <v>18</v>
      </c>
      <c r="DM2487" s="64">
        <v>8</v>
      </c>
      <c r="DN2487" s="406" t="s">
        <v>7410</v>
      </c>
      <c r="DO2487" s="406">
        <v>-1.46</v>
      </c>
      <c r="DP2487" s="80">
        <v>24</v>
      </c>
    </row>
    <row r="2488" spans="29:120" x14ac:dyDescent="0.25">
      <c r="AC2488" s="122" t="s">
        <v>333</v>
      </c>
      <c r="AD2488" s="122" t="s">
        <v>2838</v>
      </c>
      <c r="AE2488" s="127">
        <v>6</v>
      </c>
      <c r="DA2488" s="122" t="s">
        <v>344</v>
      </c>
      <c r="DB2488" s="122" t="s">
        <v>4344</v>
      </c>
      <c r="DC2488" s="122" t="s">
        <v>4344</v>
      </c>
      <c r="DD2488" s="127">
        <v>8</v>
      </c>
      <c r="DE2488" s="127">
        <v>8</v>
      </c>
      <c r="DG2488" s="405" t="s">
        <v>344</v>
      </c>
      <c r="DH2488" s="406" t="s">
        <v>4344</v>
      </c>
      <c r="DI2488" s="406" t="str">
        <f t="shared" si="70"/>
        <v>PA, Medicilândia</v>
      </c>
      <c r="DJ2488" s="406">
        <v>-3.4460000000000002</v>
      </c>
      <c r="DK2488" s="80">
        <v>-52.889000000000003</v>
      </c>
      <c r="DL2488" s="80">
        <v>151</v>
      </c>
      <c r="DM2488" s="64">
        <v>8</v>
      </c>
      <c r="DN2488" s="406" t="s">
        <v>7414</v>
      </c>
      <c r="DO2488" s="406">
        <v>-3.86</v>
      </c>
      <c r="DP2488" s="80">
        <v>96</v>
      </c>
    </row>
    <row r="2489" spans="29:120" x14ac:dyDescent="0.25">
      <c r="AC2489" s="122" t="s">
        <v>333</v>
      </c>
      <c r="AD2489" s="122" t="s">
        <v>2839</v>
      </c>
      <c r="AE2489" s="127">
        <v>4</v>
      </c>
      <c r="DA2489" s="122" t="s">
        <v>344</v>
      </c>
      <c r="DB2489" s="122" t="s">
        <v>4221</v>
      </c>
      <c r="DC2489" s="122" t="s">
        <v>4221</v>
      </c>
      <c r="DD2489" s="127">
        <v>8</v>
      </c>
      <c r="DE2489" s="127">
        <v>8</v>
      </c>
      <c r="DG2489" s="405" t="s">
        <v>344</v>
      </c>
      <c r="DH2489" s="406" t="s">
        <v>4221</v>
      </c>
      <c r="DI2489" s="406" t="str">
        <f t="shared" si="70"/>
        <v>PA, Melgaço</v>
      </c>
      <c r="DJ2489" s="406">
        <v>-1.804</v>
      </c>
      <c r="DK2489" s="80">
        <v>-50.712000000000003</v>
      </c>
      <c r="DL2489" s="80">
        <v>12</v>
      </c>
      <c r="DM2489" s="64">
        <v>8</v>
      </c>
      <c r="DN2489" s="406" t="s">
        <v>7416</v>
      </c>
      <c r="DO2489" s="406">
        <v>-2.25</v>
      </c>
      <c r="DP2489" s="80">
        <v>22</v>
      </c>
    </row>
    <row r="2490" spans="29:120" x14ac:dyDescent="0.25">
      <c r="AC2490" s="122" t="s">
        <v>333</v>
      </c>
      <c r="AD2490" s="122" t="s">
        <v>2840</v>
      </c>
      <c r="AE2490" s="127">
        <v>3</v>
      </c>
      <c r="DA2490" s="122" t="s">
        <v>344</v>
      </c>
      <c r="DB2490" s="122" t="s">
        <v>4214</v>
      </c>
      <c r="DC2490" s="122" t="s">
        <v>4214</v>
      </c>
      <c r="DD2490" s="127">
        <v>8</v>
      </c>
      <c r="DE2490" s="127">
        <v>8</v>
      </c>
      <c r="DG2490" s="405" t="s">
        <v>344</v>
      </c>
      <c r="DH2490" s="406" t="s">
        <v>4214</v>
      </c>
      <c r="DI2490" s="406" t="str">
        <f t="shared" si="70"/>
        <v>PA, Mocajuba</v>
      </c>
      <c r="DJ2490" s="406">
        <v>-2.5840000000000001</v>
      </c>
      <c r="DK2490" s="80">
        <v>-49.506999999999998</v>
      </c>
      <c r="DL2490" s="80">
        <v>30</v>
      </c>
      <c r="DM2490" s="64">
        <v>8</v>
      </c>
      <c r="DN2490" s="406" t="s">
        <v>7416</v>
      </c>
      <c r="DO2490" s="406">
        <v>-2.25</v>
      </c>
      <c r="DP2490" s="80">
        <v>22</v>
      </c>
    </row>
    <row r="2491" spans="29:120" x14ac:dyDescent="0.25">
      <c r="AC2491" s="122" t="s">
        <v>376</v>
      </c>
      <c r="AD2491" s="122" t="s">
        <v>2841</v>
      </c>
      <c r="AE2491" s="127">
        <v>6</v>
      </c>
      <c r="DA2491" s="122" t="s">
        <v>344</v>
      </c>
      <c r="DB2491" s="122" t="s">
        <v>4185</v>
      </c>
      <c r="DC2491" s="122" t="s">
        <v>4185</v>
      </c>
      <c r="DD2491" s="127">
        <v>8</v>
      </c>
      <c r="DE2491" s="127">
        <v>8</v>
      </c>
      <c r="DG2491" s="405" t="s">
        <v>344</v>
      </c>
      <c r="DH2491" s="406" t="s">
        <v>4185</v>
      </c>
      <c r="DI2491" s="406" t="str">
        <f t="shared" si="70"/>
        <v>PA, Moju</v>
      </c>
      <c r="DJ2491" s="406">
        <v>-1.8839999999999999</v>
      </c>
      <c r="DK2491" s="80">
        <v>-48.768999999999998</v>
      </c>
      <c r="DL2491" s="80">
        <v>16</v>
      </c>
      <c r="DM2491" s="64">
        <v>8</v>
      </c>
      <c r="DN2491" s="406" t="s">
        <v>7410</v>
      </c>
      <c r="DO2491" s="406">
        <v>-1.46</v>
      </c>
      <c r="DP2491" s="80">
        <v>24</v>
      </c>
    </row>
    <row r="2492" spans="29:120" x14ac:dyDescent="0.25">
      <c r="AC2492" s="122" t="s">
        <v>322</v>
      </c>
      <c r="AD2492" s="122" t="s">
        <v>2842</v>
      </c>
      <c r="AE2492" s="127">
        <v>6</v>
      </c>
      <c r="DA2492" s="122" t="s">
        <v>344</v>
      </c>
      <c r="DB2492" s="122" t="s">
        <v>7452</v>
      </c>
      <c r="DC2492" s="122" t="s">
        <v>4193</v>
      </c>
      <c r="DD2492" s="127">
        <v>8</v>
      </c>
      <c r="DE2492" s="127">
        <v>8</v>
      </c>
      <c r="DG2492" s="405" t="s">
        <v>344</v>
      </c>
      <c r="DH2492" s="406" t="s">
        <v>4193</v>
      </c>
      <c r="DI2492" s="406" t="str">
        <f t="shared" si="70"/>
        <v>PA, Monte Alegre</v>
      </c>
      <c r="DJ2492" s="406">
        <v>-2.008</v>
      </c>
      <c r="DK2492" s="80">
        <v>-54.069000000000003</v>
      </c>
      <c r="DL2492" s="80">
        <v>38</v>
      </c>
      <c r="DM2492" s="64">
        <v>8</v>
      </c>
      <c r="DN2492" s="406" t="s">
        <v>7414</v>
      </c>
      <c r="DO2492" s="406">
        <v>-3.86</v>
      </c>
      <c r="DP2492" s="80">
        <v>96</v>
      </c>
    </row>
    <row r="2493" spans="29:120" x14ac:dyDescent="0.25">
      <c r="AC2493" s="122" t="s">
        <v>340</v>
      </c>
      <c r="AD2493" s="122" t="s">
        <v>2843</v>
      </c>
      <c r="AE2493" s="127">
        <v>6</v>
      </c>
      <c r="DA2493" s="122" t="s">
        <v>344</v>
      </c>
      <c r="DB2493" s="122" t="s">
        <v>4075</v>
      </c>
      <c r="DC2493" s="122" t="s">
        <v>4075</v>
      </c>
      <c r="DD2493" s="127">
        <v>8</v>
      </c>
      <c r="DE2493" s="127">
        <v>8</v>
      </c>
      <c r="DG2493" s="405" t="s">
        <v>344</v>
      </c>
      <c r="DH2493" s="406" t="s">
        <v>4075</v>
      </c>
      <c r="DI2493" s="406" t="str">
        <f t="shared" si="70"/>
        <v>PA, Muaná</v>
      </c>
      <c r="DJ2493" s="406">
        <v>-1.528</v>
      </c>
      <c r="DK2493" s="80">
        <v>-49.216999999999999</v>
      </c>
      <c r="DL2493" s="80">
        <v>22</v>
      </c>
      <c r="DM2493" s="64">
        <v>8</v>
      </c>
      <c r="DN2493" s="406" t="s">
        <v>7410</v>
      </c>
      <c r="DO2493" s="406">
        <v>-1.46</v>
      </c>
      <c r="DP2493" s="80">
        <v>24</v>
      </c>
    </row>
    <row r="2494" spans="29:120" x14ac:dyDescent="0.25">
      <c r="AC2494" s="122" t="s">
        <v>376</v>
      </c>
      <c r="AD2494" s="122" t="s">
        <v>2844</v>
      </c>
      <c r="AE2494" s="127">
        <v>4</v>
      </c>
      <c r="DA2494" s="122" t="s">
        <v>344</v>
      </c>
      <c r="DB2494" s="122" t="s">
        <v>7453</v>
      </c>
      <c r="DC2494" s="122" t="s">
        <v>4331</v>
      </c>
      <c r="DD2494" s="127">
        <v>8</v>
      </c>
      <c r="DE2494" s="127">
        <v>8</v>
      </c>
      <c r="DG2494" s="405" t="s">
        <v>344</v>
      </c>
      <c r="DH2494" s="406" t="s">
        <v>4331</v>
      </c>
      <c r="DI2494" s="406" t="str">
        <f t="shared" si="70"/>
        <v>PA, Nova Esperança do Piriá</v>
      </c>
      <c r="DJ2494" s="406">
        <v>-2.2690000000000001</v>
      </c>
      <c r="DK2494" s="80">
        <v>-46.966000000000001</v>
      </c>
      <c r="DL2494" s="80">
        <v>77</v>
      </c>
      <c r="DM2494" s="64">
        <v>8</v>
      </c>
      <c r="DN2494" s="406" t="s">
        <v>7447</v>
      </c>
      <c r="DO2494" s="406">
        <v>-3.01</v>
      </c>
      <c r="DP2494" s="80">
        <v>101</v>
      </c>
    </row>
    <row r="2495" spans="29:120" x14ac:dyDescent="0.25">
      <c r="AC2495" s="122" t="s">
        <v>322</v>
      </c>
      <c r="AD2495" s="122" t="s">
        <v>2845</v>
      </c>
      <c r="AE2495" s="127">
        <v>6</v>
      </c>
      <c r="DA2495" s="122" t="s">
        <v>344</v>
      </c>
      <c r="DB2495" s="122" t="s">
        <v>7454</v>
      </c>
      <c r="DC2495" s="122" t="s">
        <v>4395</v>
      </c>
      <c r="DD2495" s="127">
        <v>8</v>
      </c>
      <c r="DE2495" s="127">
        <v>8</v>
      </c>
      <c r="DG2495" s="405" t="s">
        <v>344</v>
      </c>
      <c r="DH2495" s="406" t="s">
        <v>4395</v>
      </c>
      <c r="DI2495" s="406" t="str">
        <f t="shared" si="70"/>
        <v>PA, Nova Ipixuna</v>
      </c>
      <c r="DJ2495" s="406">
        <v>-4.9210000000000003</v>
      </c>
      <c r="DK2495" s="80">
        <v>-49.076999999999998</v>
      </c>
      <c r="DL2495" s="80">
        <v>118</v>
      </c>
      <c r="DM2495" s="64">
        <v>8</v>
      </c>
      <c r="DN2495" s="406" t="s">
        <v>7422</v>
      </c>
      <c r="DO2495" s="406">
        <v>-5.37</v>
      </c>
      <c r="DP2495" s="80">
        <v>84</v>
      </c>
    </row>
    <row r="2496" spans="29:120" x14ac:dyDescent="0.25">
      <c r="AC2496" s="122" t="s">
        <v>322</v>
      </c>
      <c r="AD2496" s="122" t="s">
        <v>2846</v>
      </c>
      <c r="AE2496" s="127">
        <v>6</v>
      </c>
      <c r="DA2496" s="122" t="s">
        <v>344</v>
      </c>
      <c r="DB2496" s="122" t="s">
        <v>7455</v>
      </c>
      <c r="DC2496" s="122" t="s">
        <v>4280</v>
      </c>
      <c r="DD2496" s="127">
        <v>8</v>
      </c>
      <c r="DE2496" s="127">
        <v>8</v>
      </c>
      <c r="DG2496" s="405" t="s">
        <v>344</v>
      </c>
      <c r="DH2496" s="406" t="s">
        <v>4280</v>
      </c>
      <c r="DI2496" s="406" t="str">
        <f t="shared" si="70"/>
        <v>PA, Nova Timboteua</v>
      </c>
      <c r="DJ2496" s="406">
        <v>-1.206</v>
      </c>
      <c r="DK2496" s="80">
        <v>-47.386000000000003</v>
      </c>
      <c r="DL2496" s="80">
        <v>51</v>
      </c>
      <c r="DM2496" s="64">
        <v>8</v>
      </c>
      <c r="DN2496" s="406" t="s">
        <v>7423</v>
      </c>
      <c r="DO2496" s="406">
        <v>-1.3</v>
      </c>
      <c r="DP2496" s="80">
        <v>65</v>
      </c>
    </row>
    <row r="2497" spans="29:120" x14ac:dyDescent="0.25">
      <c r="AC2497" s="122" t="s">
        <v>322</v>
      </c>
      <c r="AD2497" s="122" t="s">
        <v>2847</v>
      </c>
      <c r="AE2497" s="127">
        <v>6</v>
      </c>
      <c r="DA2497" s="122" t="s">
        <v>344</v>
      </c>
      <c r="DB2497" s="122" t="s">
        <v>7456</v>
      </c>
      <c r="DC2497" s="122" t="s">
        <v>4679</v>
      </c>
      <c r="DD2497" s="127">
        <v>8</v>
      </c>
      <c r="DE2497" s="127">
        <v>8</v>
      </c>
      <c r="DG2497" s="405" t="s">
        <v>344</v>
      </c>
      <c r="DH2497" s="406" t="s">
        <v>4679</v>
      </c>
      <c r="DI2497" s="406" t="str">
        <f t="shared" si="70"/>
        <v>PA, Novo Progresso</v>
      </c>
      <c r="DJ2497" s="406">
        <v>-7.1470000000000002</v>
      </c>
      <c r="DK2497" s="80">
        <v>-55.381999999999998</v>
      </c>
      <c r="DL2497" s="80">
        <v>240</v>
      </c>
      <c r="DM2497" s="64">
        <v>8</v>
      </c>
      <c r="DN2497" s="406" t="s">
        <v>7344</v>
      </c>
      <c r="DO2497" s="406">
        <v>-9.7899999999999991</v>
      </c>
      <c r="DP2497" s="80">
        <v>320</v>
      </c>
    </row>
    <row r="2498" spans="29:120" x14ac:dyDescent="0.25">
      <c r="AC2498" s="122" t="s">
        <v>333</v>
      </c>
      <c r="AD2498" s="122" t="s">
        <v>2848</v>
      </c>
      <c r="AE2498" s="127">
        <v>5</v>
      </c>
      <c r="DA2498" s="122" t="s">
        <v>344</v>
      </c>
      <c r="DB2498" s="122" t="s">
        <v>7457</v>
      </c>
      <c r="DC2498" s="122" t="s">
        <v>4357</v>
      </c>
      <c r="DD2498" s="127">
        <v>8</v>
      </c>
      <c r="DE2498" s="127">
        <v>8</v>
      </c>
      <c r="DG2498" s="405" t="s">
        <v>344</v>
      </c>
      <c r="DH2498" s="406" t="s">
        <v>4357</v>
      </c>
      <c r="DI2498" s="406" t="str">
        <f t="shared" si="70"/>
        <v>PA, Novo Repartimento</v>
      </c>
      <c r="DJ2498" s="406">
        <v>-4.3310000000000004</v>
      </c>
      <c r="DK2498" s="80">
        <v>-49.795999999999999</v>
      </c>
      <c r="DL2498" s="80">
        <v>98</v>
      </c>
      <c r="DM2498" s="64">
        <v>8</v>
      </c>
      <c r="DN2498" s="406" t="s">
        <v>7448</v>
      </c>
      <c r="DO2498" s="406">
        <v>-4.26</v>
      </c>
      <c r="DP2498" s="80">
        <v>113</v>
      </c>
    </row>
    <row r="2499" spans="29:120" x14ac:dyDescent="0.25">
      <c r="AC2499" s="122" t="s">
        <v>322</v>
      </c>
      <c r="AD2499" s="122" t="s">
        <v>2849</v>
      </c>
      <c r="AE2499" s="127">
        <v>6</v>
      </c>
      <c r="DA2499" s="122" t="s">
        <v>344</v>
      </c>
      <c r="DB2499" s="122" t="s">
        <v>4231</v>
      </c>
      <c r="DC2499" s="122" t="s">
        <v>4231</v>
      </c>
      <c r="DD2499" s="127">
        <v>8</v>
      </c>
      <c r="DE2499" s="127">
        <v>8</v>
      </c>
      <c r="DG2499" s="405" t="s">
        <v>344</v>
      </c>
      <c r="DH2499" s="406" t="s">
        <v>4231</v>
      </c>
      <c r="DI2499" s="406" t="str">
        <f t="shared" ref="DI2499:DI2562" si="71">CONCATENATE(DG2499,", ",DH2499)</f>
        <v>PA, Óbidos</v>
      </c>
      <c r="DJ2499" s="406">
        <v>-1.9179999999999999</v>
      </c>
      <c r="DK2499" s="80">
        <v>-55.518000000000001</v>
      </c>
      <c r="DL2499" s="80">
        <v>45</v>
      </c>
      <c r="DM2499" s="64">
        <v>8</v>
      </c>
      <c r="DN2499" s="406" t="s">
        <v>6160</v>
      </c>
      <c r="DO2499" s="406">
        <v>-2.64</v>
      </c>
      <c r="DP2499" s="80">
        <v>35</v>
      </c>
    </row>
    <row r="2500" spans="29:120" x14ac:dyDescent="0.25">
      <c r="AC2500" s="122" t="s">
        <v>333</v>
      </c>
      <c r="AD2500" s="122" t="s">
        <v>2850</v>
      </c>
      <c r="AE2500" s="127">
        <v>5</v>
      </c>
      <c r="DA2500" s="122" t="s">
        <v>344</v>
      </c>
      <c r="DB2500" s="122" t="s">
        <v>7458</v>
      </c>
      <c r="DC2500" s="122" t="s">
        <v>5084</v>
      </c>
      <c r="DD2500" s="127">
        <v>8</v>
      </c>
      <c r="DE2500" s="127">
        <v>8</v>
      </c>
      <c r="DG2500" s="405" t="s">
        <v>344</v>
      </c>
      <c r="DH2500" s="406" t="s">
        <v>5084</v>
      </c>
      <c r="DI2500" s="406" t="str">
        <f t="shared" si="71"/>
        <v>PA, Oeiras do Pará</v>
      </c>
      <c r="DJ2500" s="406">
        <v>-2.0030000000000001</v>
      </c>
      <c r="DK2500" s="80">
        <v>-49.853999999999999</v>
      </c>
      <c r="DL2500" s="80">
        <v>2</v>
      </c>
      <c r="DM2500" s="64">
        <v>8</v>
      </c>
      <c r="DN2500" s="406" t="s">
        <v>7416</v>
      </c>
      <c r="DO2500" s="406">
        <v>-2.25</v>
      </c>
      <c r="DP2500" s="80">
        <v>22</v>
      </c>
    </row>
    <row r="2501" spans="29:120" x14ac:dyDescent="0.25">
      <c r="AC2501" s="122" t="s">
        <v>333</v>
      </c>
      <c r="AD2501" s="122" t="s">
        <v>2851</v>
      </c>
      <c r="AE2501" s="127">
        <v>4</v>
      </c>
      <c r="DA2501" s="122" t="s">
        <v>344</v>
      </c>
      <c r="DB2501" s="122" t="s">
        <v>4269</v>
      </c>
      <c r="DC2501" s="122" t="s">
        <v>4269</v>
      </c>
      <c r="DD2501" s="127">
        <v>8</v>
      </c>
      <c r="DE2501" s="127">
        <v>8</v>
      </c>
      <c r="DG2501" s="405" t="s">
        <v>344</v>
      </c>
      <c r="DH2501" s="406" t="s">
        <v>4269</v>
      </c>
      <c r="DI2501" s="406" t="str">
        <f t="shared" si="71"/>
        <v>PA, Oriximiná</v>
      </c>
      <c r="DJ2501" s="406">
        <v>-1.766</v>
      </c>
      <c r="DK2501" s="80">
        <v>-55.866</v>
      </c>
      <c r="DL2501" s="80">
        <v>46</v>
      </c>
      <c r="DM2501" s="64">
        <v>8</v>
      </c>
      <c r="DN2501" s="406" t="s">
        <v>6160</v>
      </c>
      <c r="DO2501" s="406">
        <v>-2.64</v>
      </c>
      <c r="DP2501" s="80">
        <v>35</v>
      </c>
    </row>
    <row r="2502" spans="29:120" x14ac:dyDescent="0.25">
      <c r="AC2502" s="122" t="s">
        <v>323</v>
      </c>
      <c r="AD2502" s="122" t="s">
        <v>2852</v>
      </c>
      <c r="AE2502" s="127">
        <v>8</v>
      </c>
      <c r="DA2502" s="122" t="s">
        <v>344</v>
      </c>
      <c r="DB2502" s="122" t="s">
        <v>4315</v>
      </c>
      <c r="DC2502" s="122" t="s">
        <v>4315</v>
      </c>
      <c r="DD2502" s="127">
        <v>8</v>
      </c>
      <c r="DE2502" s="127">
        <v>8</v>
      </c>
      <c r="DG2502" s="405" t="s">
        <v>344</v>
      </c>
      <c r="DH2502" s="406" t="s">
        <v>4315</v>
      </c>
      <c r="DI2502" s="406" t="str">
        <f t="shared" si="71"/>
        <v>PA, Ourém</v>
      </c>
      <c r="DJ2502" s="406">
        <v>-1.548</v>
      </c>
      <c r="DK2502" s="80">
        <v>-47.119</v>
      </c>
      <c r="DL2502" s="80">
        <v>40</v>
      </c>
      <c r="DM2502" s="64">
        <v>8</v>
      </c>
      <c r="DN2502" s="406" t="s">
        <v>6661</v>
      </c>
      <c r="DO2502" s="406">
        <v>-1.05</v>
      </c>
      <c r="DP2502" s="80">
        <v>33</v>
      </c>
    </row>
    <row r="2503" spans="29:120" x14ac:dyDescent="0.25">
      <c r="AC2503" s="122" t="s">
        <v>333</v>
      </c>
      <c r="AD2503" s="122" t="s">
        <v>2853</v>
      </c>
      <c r="AE2503" s="127">
        <v>4</v>
      </c>
      <c r="DA2503" s="122" t="s">
        <v>344</v>
      </c>
      <c r="DB2503" s="122" t="s">
        <v>7459</v>
      </c>
      <c r="DC2503" s="122" t="s">
        <v>5226</v>
      </c>
      <c r="DD2503" s="127">
        <v>8</v>
      </c>
      <c r="DE2503" s="127">
        <v>8</v>
      </c>
      <c r="DG2503" s="405" t="s">
        <v>344</v>
      </c>
      <c r="DH2503" s="406" t="s">
        <v>5226</v>
      </c>
      <c r="DI2503" s="406" t="str">
        <f t="shared" si="71"/>
        <v>PA, Ourilândia do Norte</v>
      </c>
      <c r="DJ2503" s="406">
        <v>-6.7549999999999999</v>
      </c>
      <c r="DK2503" s="80">
        <v>-51.084000000000003</v>
      </c>
      <c r="DL2503" s="80">
        <v>280</v>
      </c>
      <c r="DM2503" s="64">
        <v>8</v>
      </c>
      <c r="DN2503" s="406" t="s">
        <v>7413</v>
      </c>
      <c r="DO2503" s="406">
        <v>-6.08</v>
      </c>
      <c r="DP2503" s="80">
        <v>719</v>
      </c>
    </row>
    <row r="2504" spans="29:120" x14ac:dyDescent="0.25">
      <c r="AC2504" s="122" t="s">
        <v>333</v>
      </c>
      <c r="AD2504" s="122" t="s">
        <v>2854</v>
      </c>
      <c r="AE2504" s="127">
        <v>3</v>
      </c>
      <c r="DA2504" s="122" t="s">
        <v>344</v>
      </c>
      <c r="DB2504" s="122" t="s">
        <v>4423</v>
      </c>
      <c r="DC2504" s="122" t="s">
        <v>4423</v>
      </c>
      <c r="DD2504" s="127">
        <v>8</v>
      </c>
      <c r="DE2504" s="127">
        <v>8</v>
      </c>
      <c r="DG2504" s="405" t="s">
        <v>344</v>
      </c>
      <c r="DH2504" s="406" t="s">
        <v>4423</v>
      </c>
      <c r="DI2504" s="406" t="str">
        <f t="shared" si="71"/>
        <v>PA, Pacajá</v>
      </c>
      <c r="DJ2504" s="406">
        <v>-3.8380000000000001</v>
      </c>
      <c r="DK2504" s="80">
        <v>-50.637999999999998</v>
      </c>
      <c r="DL2504" s="80">
        <v>105</v>
      </c>
      <c r="DM2504" s="64">
        <v>8</v>
      </c>
      <c r="DN2504" s="406" t="s">
        <v>7415</v>
      </c>
      <c r="DO2504" s="406">
        <v>-3.84</v>
      </c>
      <c r="DP2504" s="80">
        <v>108</v>
      </c>
    </row>
    <row r="2505" spans="29:120" x14ac:dyDescent="0.25">
      <c r="AC2505" s="122" t="s">
        <v>322</v>
      </c>
      <c r="AD2505" s="122" t="s">
        <v>2855</v>
      </c>
      <c r="AE2505" s="127">
        <v>6</v>
      </c>
      <c r="DA2505" s="122" t="s">
        <v>344</v>
      </c>
      <c r="DB2505" s="122" t="s">
        <v>7460</v>
      </c>
      <c r="DC2505" s="122" t="s">
        <v>4820</v>
      </c>
      <c r="DD2505" s="127">
        <v>8</v>
      </c>
      <c r="DE2505" s="127">
        <v>8</v>
      </c>
      <c r="DG2505" s="405" t="s">
        <v>344</v>
      </c>
      <c r="DH2505" s="406" t="s">
        <v>4820</v>
      </c>
      <c r="DI2505" s="406" t="str">
        <f t="shared" si="71"/>
        <v>PA, Palestina do Pará</v>
      </c>
      <c r="DJ2505" s="406">
        <v>-5.742</v>
      </c>
      <c r="DK2505" s="80">
        <v>-48.317</v>
      </c>
      <c r="DL2505" s="80">
        <v>132</v>
      </c>
      <c r="DM2505" s="64">
        <v>8</v>
      </c>
      <c r="DN2505" s="406" t="s">
        <v>7426</v>
      </c>
      <c r="DO2505" s="406">
        <v>-5.64</v>
      </c>
      <c r="DP2505" s="80">
        <v>117</v>
      </c>
    </row>
    <row r="2506" spans="29:120" x14ac:dyDescent="0.25">
      <c r="AC2506" s="122" t="s">
        <v>333</v>
      </c>
      <c r="AD2506" s="122" t="s">
        <v>2856</v>
      </c>
      <c r="AE2506" s="127">
        <v>6</v>
      </c>
      <c r="DA2506" s="122" t="s">
        <v>344</v>
      </c>
      <c r="DB2506" s="122" t="s">
        <v>4752</v>
      </c>
      <c r="DC2506" s="122" t="s">
        <v>4752</v>
      </c>
      <c r="DD2506" s="127">
        <v>8</v>
      </c>
      <c r="DE2506" s="127">
        <v>8</v>
      </c>
      <c r="DG2506" s="405" t="s">
        <v>344</v>
      </c>
      <c r="DH2506" s="406" t="s">
        <v>4752</v>
      </c>
      <c r="DI2506" s="406" t="str">
        <f t="shared" si="71"/>
        <v>PA, Paragominas</v>
      </c>
      <c r="DJ2506" s="406">
        <v>-2.9950000000000001</v>
      </c>
      <c r="DK2506" s="80">
        <v>-47.353000000000002</v>
      </c>
      <c r="DL2506" s="80">
        <v>90</v>
      </c>
      <c r="DM2506" s="64">
        <v>8</v>
      </c>
      <c r="DN2506" s="406" t="s">
        <v>7447</v>
      </c>
      <c r="DO2506" s="406">
        <v>-3.01</v>
      </c>
      <c r="DP2506" s="80">
        <v>101</v>
      </c>
    </row>
    <row r="2507" spans="29:120" x14ac:dyDescent="0.25">
      <c r="AC2507" s="122" t="s">
        <v>333</v>
      </c>
      <c r="AD2507" s="122" t="s">
        <v>2857</v>
      </c>
      <c r="AE2507" s="127">
        <v>2</v>
      </c>
      <c r="DA2507" s="122" t="s">
        <v>344</v>
      </c>
      <c r="DB2507" s="122" t="s">
        <v>4298</v>
      </c>
      <c r="DC2507" s="122" t="s">
        <v>4298</v>
      </c>
      <c r="DD2507" s="127">
        <v>8</v>
      </c>
      <c r="DE2507" s="127">
        <v>8</v>
      </c>
      <c r="DG2507" s="405" t="s">
        <v>344</v>
      </c>
      <c r="DH2507" s="406" t="s">
        <v>4298</v>
      </c>
      <c r="DI2507" s="406" t="str">
        <f t="shared" si="71"/>
        <v>PA, Parauapebas</v>
      </c>
      <c r="DJ2507" s="406">
        <v>-6.0679999999999996</v>
      </c>
      <c r="DK2507" s="80">
        <v>-49.902000000000001</v>
      </c>
      <c r="DL2507" s="80">
        <v>18</v>
      </c>
      <c r="DM2507" s="64">
        <v>8</v>
      </c>
      <c r="DN2507" s="406" t="s">
        <v>7413</v>
      </c>
      <c r="DO2507" s="406">
        <v>-6.08</v>
      </c>
      <c r="DP2507" s="80">
        <v>719</v>
      </c>
    </row>
    <row r="2508" spans="29:120" x14ac:dyDescent="0.25">
      <c r="AC2508" s="122" t="s">
        <v>333</v>
      </c>
      <c r="AD2508" s="122" t="s">
        <v>2858</v>
      </c>
      <c r="AE2508" s="127">
        <v>6</v>
      </c>
      <c r="DA2508" s="122" t="s">
        <v>344</v>
      </c>
      <c r="DB2508" s="122" t="s">
        <v>7461</v>
      </c>
      <c r="DC2508" s="122" t="s">
        <v>5255</v>
      </c>
      <c r="DD2508" s="127">
        <v>8</v>
      </c>
      <c r="DE2508" s="127">
        <v>8</v>
      </c>
      <c r="DG2508" s="405" t="s">
        <v>344</v>
      </c>
      <c r="DH2508" s="406" t="s">
        <v>5255</v>
      </c>
      <c r="DI2508" s="406" t="str">
        <f t="shared" si="71"/>
        <v>PA, Pau d'Arco</v>
      </c>
      <c r="DJ2508" s="406">
        <v>-7.8330000000000002</v>
      </c>
      <c r="DK2508" s="80">
        <v>-50.043999999999997</v>
      </c>
      <c r="DL2508" s="80">
        <v>202</v>
      </c>
      <c r="DM2508" s="64">
        <v>8</v>
      </c>
      <c r="DN2508" s="406" t="s">
        <v>7438</v>
      </c>
      <c r="DO2508" s="406">
        <v>-9.34</v>
      </c>
      <c r="DP2508" s="80">
        <v>168</v>
      </c>
    </row>
    <row r="2509" spans="29:120" x14ac:dyDescent="0.25">
      <c r="AC2509" s="122" t="s">
        <v>247</v>
      </c>
      <c r="AD2509" s="122" t="s">
        <v>2859</v>
      </c>
      <c r="AE2509" s="127">
        <v>8</v>
      </c>
      <c r="DA2509" s="122" t="s">
        <v>344</v>
      </c>
      <c r="DB2509" s="122" t="s">
        <v>4270</v>
      </c>
      <c r="DC2509" s="122" t="s">
        <v>4270</v>
      </c>
      <c r="DD2509" s="127">
        <v>8</v>
      </c>
      <c r="DE2509" s="127">
        <v>8</v>
      </c>
      <c r="DG2509" s="405" t="s">
        <v>344</v>
      </c>
      <c r="DH2509" s="406" t="s">
        <v>4270</v>
      </c>
      <c r="DI2509" s="406" t="str">
        <f t="shared" si="71"/>
        <v>PA, Peixe-Boi</v>
      </c>
      <c r="DJ2509" s="406">
        <v>-1.1919999999999999</v>
      </c>
      <c r="DK2509" s="80">
        <v>-47.314</v>
      </c>
      <c r="DL2509" s="80">
        <v>34</v>
      </c>
      <c r="DM2509" s="64">
        <v>8</v>
      </c>
      <c r="DN2509" s="406" t="s">
        <v>6661</v>
      </c>
      <c r="DO2509" s="406">
        <v>-1.05</v>
      </c>
      <c r="DP2509" s="80">
        <v>33</v>
      </c>
    </row>
    <row r="2510" spans="29:120" x14ac:dyDescent="0.25">
      <c r="AC2510" s="122" t="s">
        <v>323</v>
      </c>
      <c r="AD2510" s="122" t="s">
        <v>2860</v>
      </c>
      <c r="AE2510" s="127">
        <v>8</v>
      </c>
      <c r="DA2510" s="122" t="s">
        <v>344</v>
      </c>
      <c r="DB2510" s="122" t="s">
        <v>4882</v>
      </c>
      <c r="DC2510" s="122" t="s">
        <v>4882</v>
      </c>
      <c r="DD2510" s="127">
        <v>8</v>
      </c>
      <c r="DE2510" s="127">
        <v>8</v>
      </c>
      <c r="DG2510" s="405" t="s">
        <v>344</v>
      </c>
      <c r="DH2510" s="406" t="s">
        <v>4882</v>
      </c>
      <c r="DI2510" s="406" t="str">
        <f t="shared" si="71"/>
        <v>PA, Piçarra</v>
      </c>
      <c r="DJ2510" s="406">
        <v>-6.4379999999999997</v>
      </c>
      <c r="DK2510" s="80">
        <v>-48.872</v>
      </c>
      <c r="DL2510" s="80">
        <v>215</v>
      </c>
      <c r="DM2510" s="64">
        <v>8</v>
      </c>
      <c r="DN2510" s="406" t="s">
        <v>7439</v>
      </c>
      <c r="DO2510" s="406">
        <v>-6.28</v>
      </c>
      <c r="DP2510" s="80">
        <v>180</v>
      </c>
    </row>
    <row r="2511" spans="29:120" x14ac:dyDescent="0.25">
      <c r="AC2511" s="122" t="s">
        <v>322</v>
      </c>
      <c r="AD2511" s="122" t="s">
        <v>2861</v>
      </c>
      <c r="AE2511" s="127">
        <v>6</v>
      </c>
      <c r="DA2511" s="122" t="s">
        <v>344</v>
      </c>
      <c r="DB2511" s="122" t="s">
        <v>4456</v>
      </c>
      <c r="DC2511" s="122" t="s">
        <v>4456</v>
      </c>
      <c r="DD2511" s="127">
        <v>8</v>
      </c>
      <c r="DE2511" s="127">
        <v>8</v>
      </c>
      <c r="DG2511" s="405" t="s">
        <v>344</v>
      </c>
      <c r="DH2511" s="406" t="s">
        <v>4456</v>
      </c>
      <c r="DI2511" s="406" t="str">
        <f t="shared" si="71"/>
        <v>PA, Placas</v>
      </c>
      <c r="DJ2511" s="406">
        <v>-3.8679999999999999</v>
      </c>
      <c r="DK2511" s="80">
        <v>-54.22</v>
      </c>
      <c r="DL2511" s="80">
        <v>95</v>
      </c>
      <c r="DM2511" s="64">
        <v>8</v>
      </c>
      <c r="DN2511" s="406" t="s">
        <v>7414</v>
      </c>
      <c r="DO2511" s="406">
        <v>-3.86</v>
      </c>
      <c r="DP2511" s="80">
        <v>96</v>
      </c>
    </row>
    <row r="2512" spans="29:120" x14ac:dyDescent="0.25">
      <c r="AC2512" s="122" t="s">
        <v>322</v>
      </c>
      <c r="AD2512" s="122" t="s">
        <v>2862</v>
      </c>
      <c r="AE2512" s="127">
        <v>6</v>
      </c>
      <c r="DA2512" s="122" t="s">
        <v>344</v>
      </c>
      <c r="DB2512" s="122" t="s">
        <v>7462</v>
      </c>
      <c r="DC2512" s="122" t="s">
        <v>4056</v>
      </c>
      <c r="DD2512" s="127">
        <v>8</v>
      </c>
      <c r="DE2512" s="127">
        <v>8</v>
      </c>
      <c r="DG2512" s="405" t="s">
        <v>344</v>
      </c>
      <c r="DH2512" s="406" t="s">
        <v>4056</v>
      </c>
      <c r="DI2512" s="406" t="str">
        <f t="shared" si="71"/>
        <v>PA, Ponta de Pedras</v>
      </c>
      <c r="DJ2512" s="406">
        <v>-1.39</v>
      </c>
      <c r="DK2512" s="80">
        <v>-48.871000000000002</v>
      </c>
      <c r="DL2512" s="80">
        <v>10</v>
      </c>
      <c r="DM2512" s="64">
        <v>8</v>
      </c>
      <c r="DN2512" s="406" t="s">
        <v>7410</v>
      </c>
      <c r="DO2512" s="406">
        <v>-1.46</v>
      </c>
      <c r="DP2512" s="80">
        <v>24</v>
      </c>
    </row>
    <row r="2513" spans="29:120" x14ac:dyDescent="0.25">
      <c r="AC2513" s="122" t="s">
        <v>322</v>
      </c>
      <c r="AD2513" s="122" t="s">
        <v>2863</v>
      </c>
      <c r="AE2513" s="127">
        <v>6</v>
      </c>
      <c r="DA2513" s="122" t="s">
        <v>344</v>
      </c>
      <c r="DB2513" s="122" t="s">
        <v>4212</v>
      </c>
      <c r="DC2513" s="122" t="s">
        <v>4212</v>
      </c>
      <c r="DD2513" s="127">
        <v>8</v>
      </c>
      <c r="DE2513" s="127">
        <v>8</v>
      </c>
      <c r="DG2513" s="405" t="s">
        <v>344</v>
      </c>
      <c r="DH2513" s="406" t="s">
        <v>4212</v>
      </c>
      <c r="DI2513" s="406" t="str">
        <f t="shared" si="71"/>
        <v>PA, Portel</v>
      </c>
      <c r="DJ2513" s="406">
        <v>-1.9359999999999999</v>
      </c>
      <c r="DK2513" s="80">
        <v>-50.820999999999998</v>
      </c>
      <c r="DL2513" s="80">
        <v>19</v>
      </c>
      <c r="DM2513" s="64">
        <v>8</v>
      </c>
      <c r="DN2513" s="406" t="s">
        <v>7416</v>
      </c>
      <c r="DO2513" s="406">
        <v>-2.25</v>
      </c>
      <c r="DP2513" s="80">
        <v>22</v>
      </c>
    </row>
    <row r="2514" spans="29:120" x14ac:dyDescent="0.25">
      <c r="AC2514" s="122" t="s">
        <v>333</v>
      </c>
      <c r="AD2514" s="122" t="s">
        <v>2864</v>
      </c>
      <c r="AE2514" s="127">
        <v>4</v>
      </c>
      <c r="DA2514" s="122" t="s">
        <v>344</v>
      </c>
      <c r="DB2514" s="122" t="s">
        <v>7463</v>
      </c>
      <c r="DC2514" s="122" t="s">
        <v>4245</v>
      </c>
      <c r="DD2514" s="127">
        <v>8</v>
      </c>
      <c r="DE2514" s="127">
        <v>8</v>
      </c>
      <c r="DG2514" s="405" t="s">
        <v>344</v>
      </c>
      <c r="DH2514" s="406" t="s">
        <v>4245</v>
      </c>
      <c r="DI2514" s="406" t="str">
        <f t="shared" si="71"/>
        <v>PA, Porto de Moz</v>
      </c>
      <c r="DJ2514" s="406">
        <v>-1.748</v>
      </c>
      <c r="DK2514" s="80">
        <v>-52.238</v>
      </c>
      <c r="DL2514" s="80">
        <v>15</v>
      </c>
      <c r="DM2514" s="64">
        <v>8</v>
      </c>
      <c r="DN2514" s="406" t="s">
        <v>6186</v>
      </c>
      <c r="DO2514" s="406">
        <v>0.04</v>
      </c>
      <c r="DP2514" s="80">
        <v>15</v>
      </c>
    </row>
    <row r="2515" spans="29:120" x14ac:dyDescent="0.25">
      <c r="AC2515" s="122" t="s">
        <v>322</v>
      </c>
      <c r="AD2515" s="122" t="s">
        <v>2865</v>
      </c>
      <c r="AE2515" s="127">
        <v>6</v>
      </c>
      <c r="DA2515" s="122" t="s">
        <v>344</v>
      </c>
      <c r="DB2515" s="122" t="s">
        <v>4261</v>
      </c>
      <c r="DC2515" s="122" t="s">
        <v>4261</v>
      </c>
      <c r="DD2515" s="127">
        <v>8</v>
      </c>
      <c r="DE2515" s="127">
        <v>8</v>
      </c>
      <c r="DG2515" s="405" t="s">
        <v>344</v>
      </c>
      <c r="DH2515" s="406" t="s">
        <v>4261</v>
      </c>
      <c r="DI2515" s="406" t="str">
        <f t="shared" si="71"/>
        <v>PA, Prainha</v>
      </c>
      <c r="DJ2515" s="406">
        <v>-1.8</v>
      </c>
      <c r="DK2515" s="80">
        <v>-53.48</v>
      </c>
      <c r="DL2515" s="80">
        <v>70</v>
      </c>
      <c r="DM2515" s="64">
        <v>8</v>
      </c>
      <c r="DN2515" s="406" t="s">
        <v>7414</v>
      </c>
      <c r="DO2515" s="406">
        <v>-3.86</v>
      </c>
      <c r="DP2515" s="80">
        <v>96</v>
      </c>
    </row>
    <row r="2516" spans="29:120" x14ac:dyDescent="0.25">
      <c r="AC2516" s="122" t="s">
        <v>333</v>
      </c>
      <c r="AD2516" s="122" t="s">
        <v>2866</v>
      </c>
      <c r="AE2516" s="127">
        <v>4</v>
      </c>
      <c r="DA2516" s="122" t="s">
        <v>344</v>
      </c>
      <c r="DB2516" s="122" t="s">
        <v>4216</v>
      </c>
      <c r="DC2516" s="122" t="s">
        <v>4216</v>
      </c>
      <c r="DD2516" s="127">
        <v>8</v>
      </c>
      <c r="DE2516" s="127">
        <v>8</v>
      </c>
      <c r="DG2516" s="405" t="s">
        <v>344</v>
      </c>
      <c r="DH2516" s="406" t="s">
        <v>4216</v>
      </c>
      <c r="DI2516" s="406" t="str">
        <f t="shared" si="71"/>
        <v>PA, Primavera</v>
      </c>
      <c r="DJ2516" s="406">
        <v>-0.94299999999999995</v>
      </c>
      <c r="DK2516" s="80">
        <v>-47.116</v>
      </c>
      <c r="DL2516" s="80">
        <v>48</v>
      </c>
      <c r="DM2516" s="64">
        <v>8</v>
      </c>
      <c r="DN2516" s="406" t="s">
        <v>6661</v>
      </c>
      <c r="DO2516" s="406">
        <v>-1.05</v>
      </c>
      <c r="DP2516" s="80">
        <v>33</v>
      </c>
    </row>
    <row r="2517" spans="29:120" x14ac:dyDescent="0.25">
      <c r="AC2517" s="122" t="s">
        <v>333</v>
      </c>
      <c r="AD2517" s="122" t="s">
        <v>2867</v>
      </c>
      <c r="AE2517" s="127">
        <v>4</v>
      </c>
      <c r="DA2517" s="122" t="s">
        <v>344</v>
      </c>
      <c r="DB2517" s="122" t="s">
        <v>4219</v>
      </c>
      <c r="DC2517" s="122" t="s">
        <v>4219</v>
      </c>
      <c r="DD2517" s="127">
        <v>8</v>
      </c>
      <c r="DE2517" s="127">
        <v>8</v>
      </c>
      <c r="DG2517" s="405" t="s">
        <v>344</v>
      </c>
      <c r="DH2517" s="406" t="s">
        <v>4219</v>
      </c>
      <c r="DI2517" s="406" t="str">
        <f t="shared" si="71"/>
        <v>PA, Quatipuru</v>
      </c>
      <c r="DJ2517" s="406">
        <v>-0.90100000000000002</v>
      </c>
      <c r="DK2517" s="80">
        <v>-47.006</v>
      </c>
      <c r="DL2517" s="80">
        <v>29</v>
      </c>
      <c r="DM2517" s="64">
        <v>8</v>
      </c>
      <c r="DN2517" s="406" t="s">
        <v>6661</v>
      </c>
      <c r="DO2517" s="406">
        <v>-1.05</v>
      </c>
      <c r="DP2517" s="80">
        <v>33</v>
      </c>
    </row>
    <row r="2518" spans="29:120" x14ac:dyDescent="0.25">
      <c r="AC2518" s="122" t="s">
        <v>333</v>
      </c>
      <c r="AD2518" s="122" t="s">
        <v>2868</v>
      </c>
      <c r="AE2518" s="127">
        <v>4</v>
      </c>
      <c r="DA2518" s="122" t="s">
        <v>344</v>
      </c>
      <c r="DB2518" s="122" t="s">
        <v>4289</v>
      </c>
      <c r="DC2518" s="122" t="s">
        <v>4289</v>
      </c>
      <c r="DD2518" s="127">
        <v>8</v>
      </c>
      <c r="DE2518" s="127">
        <v>8</v>
      </c>
      <c r="DG2518" s="405" t="s">
        <v>344</v>
      </c>
      <c r="DH2518" s="406" t="s">
        <v>4289</v>
      </c>
      <c r="DI2518" s="406" t="str">
        <f t="shared" si="71"/>
        <v>PA, Redenção</v>
      </c>
      <c r="DJ2518" s="406">
        <v>-8.0289999999999999</v>
      </c>
      <c r="DK2518" s="80">
        <v>-50.030999999999999</v>
      </c>
      <c r="DL2518" s="80">
        <v>227</v>
      </c>
      <c r="DM2518" s="64">
        <v>8</v>
      </c>
      <c r="DN2518" s="406" t="s">
        <v>7438</v>
      </c>
      <c r="DO2518" s="406">
        <v>-9.34</v>
      </c>
      <c r="DP2518" s="80">
        <v>168</v>
      </c>
    </row>
    <row r="2519" spans="29:120" x14ac:dyDescent="0.25">
      <c r="AC2519" s="122" t="s">
        <v>333</v>
      </c>
      <c r="AD2519" s="122" t="s">
        <v>2869</v>
      </c>
      <c r="AE2519" s="127">
        <v>5</v>
      </c>
      <c r="DA2519" s="122" t="s">
        <v>344</v>
      </c>
      <c r="DB2519" s="122" t="s">
        <v>7464</v>
      </c>
      <c r="DC2519" s="122" t="s">
        <v>5236</v>
      </c>
      <c r="DD2519" s="127">
        <v>8</v>
      </c>
      <c r="DE2519" s="127">
        <v>8</v>
      </c>
      <c r="DG2519" s="405" t="s">
        <v>344</v>
      </c>
      <c r="DH2519" s="406" t="s">
        <v>5236</v>
      </c>
      <c r="DI2519" s="406" t="str">
        <f t="shared" si="71"/>
        <v>PA, Rio Maria</v>
      </c>
      <c r="DJ2519" s="406">
        <v>-7.3109999999999999</v>
      </c>
      <c r="DK2519" s="80">
        <v>-50.048000000000002</v>
      </c>
      <c r="DL2519" s="80">
        <v>205</v>
      </c>
      <c r="DM2519" s="64">
        <v>8</v>
      </c>
      <c r="DN2519" s="406" t="s">
        <v>7413</v>
      </c>
      <c r="DO2519" s="406">
        <v>-6.08</v>
      </c>
      <c r="DP2519" s="80">
        <v>719</v>
      </c>
    </row>
    <row r="2520" spans="29:120" x14ac:dyDescent="0.25">
      <c r="AC2520" s="122" t="s">
        <v>322</v>
      </c>
      <c r="AD2520" s="122" t="s">
        <v>2870</v>
      </c>
      <c r="AE2520" s="127">
        <v>6</v>
      </c>
      <c r="DA2520" s="122" t="s">
        <v>344</v>
      </c>
      <c r="DB2520" s="122" t="s">
        <v>7465</v>
      </c>
      <c r="DC2520" s="122" t="s">
        <v>4754</v>
      </c>
      <c r="DD2520" s="127">
        <v>8</v>
      </c>
      <c r="DE2520" s="127">
        <v>8</v>
      </c>
      <c r="DG2520" s="405" t="s">
        <v>344</v>
      </c>
      <c r="DH2520" s="406" t="s">
        <v>4754</v>
      </c>
      <c r="DI2520" s="406" t="str">
        <f t="shared" si="71"/>
        <v>PA, Rondon do Pará</v>
      </c>
      <c r="DJ2520" s="406">
        <v>-4.7759999999999998</v>
      </c>
      <c r="DK2520" s="80">
        <v>-48.067</v>
      </c>
      <c r="DL2520" s="80">
        <v>195</v>
      </c>
      <c r="DM2520" s="64">
        <v>8</v>
      </c>
      <c r="DN2520" s="406" t="s">
        <v>6632</v>
      </c>
      <c r="DO2520" s="406">
        <v>-4.78</v>
      </c>
      <c r="DP2520" s="80">
        <v>221</v>
      </c>
    </row>
    <row r="2521" spans="29:120" x14ac:dyDescent="0.25">
      <c r="AC2521" s="122" t="s">
        <v>322</v>
      </c>
      <c r="AD2521" s="122" t="s">
        <v>2871</v>
      </c>
      <c r="AE2521" s="127">
        <v>6</v>
      </c>
      <c r="DA2521" s="122" t="s">
        <v>344</v>
      </c>
      <c r="DB2521" s="122" t="s">
        <v>5211</v>
      </c>
      <c r="DC2521" s="122" t="s">
        <v>5211</v>
      </c>
      <c r="DD2521" s="127">
        <v>8</v>
      </c>
      <c r="DE2521" s="127">
        <v>8</v>
      </c>
      <c r="DG2521" s="405" t="s">
        <v>344</v>
      </c>
      <c r="DH2521" s="406" t="s">
        <v>5211</v>
      </c>
      <c r="DI2521" s="406" t="str">
        <f t="shared" si="71"/>
        <v>PA, Rurópolis</v>
      </c>
      <c r="DJ2521" s="406">
        <v>-4.0960000000000001</v>
      </c>
      <c r="DK2521" s="80">
        <v>-54.91</v>
      </c>
      <c r="DL2521" s="80">
        <v>170</v>
      </c>
      <c r="DM2521" s="64">
        <v>8</v>
      </c>
      <c r="DN2521" s="406" t="s">
        <v>7414</v>
      </c>
      <c r="DO2521" s="406">
        <v>-3.86</v>
      </c>
      <c r="DP2521" s="80">
        <v>96</v>
      </c>
    </row>
    <row r="2522" spans="29:120" x14ac:dyDescent="0.25">
      <c r="AC2522" s="122" t="s">
        <v>323</v>
      </c>
      <c r="AD2522" s="122" t="s">
        <v>2872</v>
      </c>
      <c r="AE2522" s="127">
        <v>6</v>
      </c>
      <c r="DA2522" s="122" t="s">
        <v>344</v>
      </c>
      <c r="DB2522" s="122" t="s">
        <v>4101</v>
      </c>
      <c r="DC2522" s="122" t="s">
        <v>4101</v>
      </c>
      <c r="DD2522" s="127">
        <v>8</v>
      </c>
      <c r="DE2522" s="127">
        <v>8</v>
      </c>
      <c r="DG2522" s="405" t="s">
        <v>344</v>
      </c>
      <c r="DH2522" s="406" t="s">
        <v>4101</v>
      </c>
      <c r="DI2522" s="406" t="str">
        <f t="shared" si="71"/>
        <v>PA, Salinópolis</v>
      </c>
      <c r="DJ2522" s="406">
        <v>-0.629</v>
      </c>
      <c r="DK2522" s="80">
        <v>-47.356000000000002</v>
      </c>
      <c r="DL2522" s="80">
        <v>21</v>
      </c>
      <c r="DM2522" s="64">
        <v>8</v>
      </c>
      <c r="DN2522" s="406" t="s">
        <v>7440</v>
      </c>
      <c r="DO2522" s="406">
        <v>-0.62</v>
      </c>
      <c r="DP2522" s="80">
        <v>20</v>
      </c>
    </row>
    <row r="2523" spans="29:120" x14ac:dyDescent="0.25">
      <c r="AC2523" s="122" t="s">
        <v>333</v>
      </c>
      <c r="AD2523" s="122" t="s">
        <v>2873</v>
      </c>
      <c r="AE2523" s="127">
        <v>4</v>
      </c>
      <c r="DA2523" s="122" t="s">
        <v>344</v>
      </c>
      <c r="DB2523" s="122" t="s">
        <v>4128</v>
      </c>
      <c r="DC2523" s="122" t="s">
        <v>4128</v>
      </c>
      <c r="DD2523" s="127">
        <v>8</v>
      </c>
      <c r="DE2523" s="127">
        <v>8</v>
      </c>
      <c r="DG2523" s="405" t="s">
        <v>344</v>
      </c>
      <c r="DH2523" s="406" t="s">
        <v>4128</v>
      </c>
      <c r="DI2523" s="406" t="str">
        <f t="shared" si="71"/>
        <v>PA, Salvaterra</v>
      </c>
      <c r="DJ2523" s="406">
        <v>-0.753</v>
      </c>
      <c r="DK2523" s="80">
        <v>-48.517000000000003</v>
      </c>
      <c r="DL2523" s="80">
        <v>5</v>
      </c>
      <c r="DM2523" s="64">
        <v>8</v>
      </c>
      <c r="DN2523" s="406" t="s">
        <v>7430</v>
      </c>
      <c r="DO2523" s="406">
        <v>-0.81</v>
      </c>
      <c r="DP2523" s="80">
        <v>11</v>
      </c>
    </row>
    <row r="2524" spans="29:120" x14ac:dyDescent="0.25">
      <c r="AC2524" s="122" t="s">
        <v>333</v>
      </c>
      <c r="AD2524" s="122" t="s">
        <v>2874</v>
      </c>
      <c r="AE2524" s="127">
        <v>4</v>
      </c>
      <c r="DA2524" s="122" t="s">
        <v>344</v>
      </c>
      <c r="DB2524" s="122" t="s">
        <v>7466</v>
      </c>
      <c r="DC2524" s="122" t="s">
        <v>4117</v>
      </c>
      <c r="DD2524" s="127">
        <v>8</v>
      </c>
      <c r="DE2524" s="127">
        <v>8</v>
      </c>
      <c r="DG2524" s="405" t="s">
        <v>344</v>
      </c>
      <c r="DH2524" s="406" t="s">
        <v>4117</v>
      </c>
      <c r="DI2524" s="406" t="str">
        <f t="shared" si="71"/>
        <v>PA, Santa Bárbara do Pará</v>
      </c>
      <c r="DJ2524" s="406">
        <v>-1.224</v>
      </c>
      <c r="DK2524" s="80">
        <v>-48.293999999999997</v>
      </c>
      <c r="DL2524" s="80">
        <v>21</v>
      </c>
      <c r="DM2524" s="64">
        <v>8</v>
      </c>
      <c r="DN2524" s="406" t="s">
        <v>7410</v>
      </c>
      <c r="DO2524" s="406">
        <v>-1.46</v>
      </c>
      <c r="DP2524" s="80">
        <v>24</v>
      </c>
    </row>
    <row r="2525" spans="29:120" x14ac:dyDescent="0.25">
      <c r="AC2525" s="122" t="s">
        <v>333</v>
      </c>
      <c r="AD2525" s="122" t="s">
        <v>2875</v>
      </c>
      <c r="AE2525" s="127">
        <v>3</v>
      </c>
      <c r="DA2525" s="122" t="s">
        <v>344</v>
      </c>
      <c r="DB2525" s="122" t="s">
        <v>7467</v>
      </c>
      <c r="DC2525" s="122" t="s">
        <v>4050</v>
      </c>
      <c r="DD2525" s="127">
        <v>8</v>
      </c>
      <c r="DE2525" s="127">
        <v>8</v>
      </c>
      <c r="DG2525" s="405" t="s">
        <v>344</v>
      </c>
      <c r="DH2525" s="406" t="s">
        <v>4050</v>
      </c>
      <c r="DI2525" s="406" t="str">
        <f t="shared" si="71"/>
        <v>PA, Santa Cruz do Arari</v>
      </c>
      <c r="DJ2525" s="406">
        <v>-0.66400000000000003</v>
      </c>
      <c r="DK2525" s="80">
        <v>-49.162999999999997</v>
      </c>
      <c r="DL2525" s="80">
        <v>6</v>
      </c>
      <c r="DM2525" s="64">
        <v>8</v>
      </c>
      <c r="DN2525" s="406" t="s">
        <v>7430</v>
      </c>
      <c r="DO2525" s="406">
        <v>-0.81</v>
      </c>
      <c r="DP2525" s="80">
        <v>11</v>
      </c>
    </row>
    <row r="2526" spans="29:120" x14ac:dyDescent="0.25">
      <c r="AC2526" s="122" t="s">
        <v>376</v>
      </c>
      <c r="AD2526" s="122" t="s">
        <v>2876</v>
      </c>
      <c r="AE2526" s="127">
        <v>6</v>
      </c>
      <c r="DA2526" s="122" t="s">
        <v>344</v>
      </c>
      <c r="DB2526" s="122" t="s">
        <v>7468</v>
      </c>
      <c r="DC2526" s="122" t="s">
        <v>4192</v>
      </c>
      <c r="DD2526" s="127">
        <v>8</v>
      </c>
      <c r="DE2526" s="127">
        <v>8</v>
      </c>
      <c r="DG2526" s="405" t="s">
        <v>344</v>
      </c>
      <c r="DH2526" s="406" t="s">
        <v>4192</v>
      </c>
      <c r="DI2526" s="406" t="str">
        <f t="shared" si="71"/>
        <v>PA, Santa Isabel do Pará</v>
      </c>
      <c r="DJ2526" s="406">
        <v>-1.2989999999999999</v>
      </c>
      <c r="DK2526" s="80">
        <v>-48.161000000000001</v>
      </c>
      <c r="DL2526" s="80">
        <v>24</v>
      </c>
      <c r="DM2526" s="64">
        <v>8</v>
      </c>
      <c r="DN2526" s="406" t="s">
        <v>7423</v>
      </c>
      <c r="DO2526" s="406">
        <v>-1.3</v>
      </c>
      <c r="DP2526" s="80">
        <v>65</v>
      </c>
    </row>
    <row r="2527" spans="29:120" x14ac:dyDescent="0.25">
      <c r="AC2527" s="122" t="s">
        <v>322</v>
      </c>
      <c r="AD2527" s="122" t="s">
        <v>2877</v>
      </c>
      <c r="AE2527" s="127">
        <v>6</v>
      </c>
      <c r="DA2527" s="122" t="s">
        <v>344</v>
      </c>
      <c r="DB2527" s="122" t="s">
        <v>7469</v>
      </c>
      <c r="DC2527" s="122" t="s">
        <v>4307</v>
      </c>
      <c r="DD2527" s="127">
        <v>8</v>
      </c>
      <c r="DE2527" s="127">
        <v>8</v>
      </c>
      <c r="DG2527" s="405" t="s">
        <v>344</v>
      </c>
      <c r="DH2527" s="406" t="s">
        <v>4307</v>
      </c>
      <c r="DI2527" s="406" t="str">
        <f t="shared" si="71"/>
        <v>PA, Santa Luzia do Pará</v>
      </c>
      <c r="DJ2527" s="406">
        <v>-1.5169999999999999</v>
      </c>
      <c r="DK2527" s="80">
        <v>-46.942</v>
      </c>
      <c r="DL2527" s="80">
        <v>61</v>
      </c>
      <c r="DM2527" s="64">
        <v>8</v>
      </c>
      <c r="DN2527" s="406" t="s">
        <v>6661</v>
      </c>
      <c r="DO2527" s="406">
        <v>-1.05</v>
      </c>
      <c r="DP2527" s="80">
        <v>33</v>
      </c>
    </row>
    <row r="2528" spans="29:120" x14ac:dyDescent="0.25">
      <c r="AC2528" s="122" t="s">
        <v>322</v>
      </c>
      <c r="AD2528" s="122" t="s">
        <v>2878</v>
      </c>
      <c r="AE2528" s="127">
        <v>6</v>
      </c>
      <c r="DA2528" s="122" t="s">
        <v>344</v>
      </c>
      <c r="DB2528" s="122" t="s">
        <v>7470</v>
      </c>
      <c r="DC2528" s="122" t="s">
        <v>4431</v>
      </c>
      <c r="DD2528" s="127">
        <v>8</v>
      </c>
      <c r="DE2528" s="127">
        <v>8</v>
      </c>
      <c r="DG2528" s="405" t="s">
        <v>344</v>
      </c>
      <c r="DH2528" s="406" t="s">
        <v>4431</v>
      </c>
      <c r="DI2528" s="406" t="str">
        <f t="shared" si="71"/>
        <v>PA, Santa Maria das Barreiras</v>
      </c>
      <c r="DJ2528" s="406">
        <v>-8.8550000000000004</v>
      </c>
      <c r="DK2528" s="80">
        <v>-49.722000000000001</v>
      </c>
      <c r="DL2528" s="80">
        <v>150</v>
      </c>
      <c r="DM2528" s="64">
        <v>8</v>
      </c>
      <c r="DN2528" s="406" t="s">
        <v>7438</v>
      </c>
      <c r="DO2528" s="406">
        <v>-9.34</v>
      </c>
      <c r="DP2528" s="80">
        <v>168</v>
      </c>
    </row>
    <row r="2529" spans="29:120" x14ac:dyDescent="0.25">
      <c r="AC2529" s="122" t="s">
        <v>333</v>
      </c>
      <c r="AD2529" s="122" t="s">
        <v>2879</v>
      </c>
      <c r="AE2529" s="127">
        <v>4</v>
      </c>
      <c r="DA2529" s="122" t="s">
        <v>344</v>
      </c>
      <c r="DB2529" s="122" t="s">
        <v>7471</v>
      </c>
      <c r="DC2529" s="122" t="s">
        <v>4297</v>
      </c>
      <c r="DD2529" s="127">
        <v>8</v>
      </c>
      <c r="DE2529" s="127">
        <v>8</v>
      </c>
      <c r="DG2529" s="405" t="s">
        <v>344</v>
      </c>
      <c r="DH2529" s="406" t="s">
        <v>4297</v>
      </c>
      <c r="DI2529" s="406" t="str">
        <f t="shared" si="71"/>
        <v>PA, Santa Maria do Pará</v>
      </c>
      <c r="DJ2529" s="406">
        <v>-1.3520000000000001</v>
      </c>
      <c r="DK2529" s="80">
        <v>-47.576000000000001</v>
      </c>
      <c r="DL2529" s="80">
        <v>51</v>
      </c>
      <c r="DM2529" s="64">
        <v>8</v>
      </c>
      <c r="DN2529" s="406" t="s">
        <v>7423</v>
      </c>
      <c r="DO2529" s="406">
        <v>-1.3</v>
      </c>
      <c r="DP2529" s="80">
        <v>65</v>
      </c>
    </row>
    <row r="2530" spans="29:120" x14ac:dyDescent="0.25">
      <c r="AC2530" s="122" t="s">
        <v>322</v>
      </c>
      <c r="AD2530" s="122" t="s">
        <v>2880</v>
      </c>
      <c r="AE2530" s="127">
        <v>4</v>
      </c>
      <c r="DA2530" s="122" t="s">
        <v>344</v>
      </c>
      <c r="DB2530" s="122" t="s">
        <v>7472</v>
      </c>
      <c r="DC2530" s="122" t="s">
        <v>4805</v>
      </c>
      <c r="DD2530" s="127">
        <v>8</v>
      </c>
      <c r="DE2530" s="127">
        <v>8</v>
      </c>
      <c r="DG2530" s="405" t="s">
        <v>344</v>
      </c>
      <c r="DH2530" s="406" t="s">
        <v>4805</v>
      </c>
      <c r="DI2530" s="406" t="str">
        <f t="shared" si="71"/>
        <v>PA, Santana do Araguaia</v>
      </c>
      <c r="DJ2530" s="406">
        <v>-9.5050000000000008</v>
      </c>
      <c r="DK2530" s="80">
        <v>-50.625</v>
      </c>
      <c r="DL2530" s="80">
        <v>160</v>
      </c>
      <c r="DM2530" s="64">
        <v>8</v>
      </c>
      <c r="DN2530" s="406" t="s">
        <v>7438</v>
      </c>
      <c r="DO2530" s="406">
        <v>-9.34</v>
      </c>
      <c r="DP2530" s="80">
        <v>168</v>
      </c>
    </row>
    <row r="2531" spans="29:120" x14ac:dyDescent="0.25">
      <c r="AC2531" s="122" t="s">
        <v>333</v>
      </c>
      <c r="AD2531" s="122" t="s">
        <v>2881</v>
      </c>
      <c r="AE2531" s="127">
        <v>4</v>
      </c>
      <c r="DA2531" s="122" t="s">
        <v>344</v>
      </c>
      <c r="DB2531" s="122" t="s">
        <v>4215</v>
      </c>
      <c r="DC2531" s="122" t="s">
        <v>4215</v>
      </c>
      <c r="DD2531" s="127">
        <v>8</v>
      </c>
      <c r="DE2531" s="127">
        <v>8</v>
      </c>
      <c r="DG2531" s="405" t="s">
        <v>344</v>
      </c>
      <c r="DH2531" s="406" t="s">
        <v>4215</v>
      </c>
      <c r="DI2531" s="406" t="str">
        <f t="shared" si="71"/>
        <v>PA, Santarém</v>
      </c>
      <c r="DJ2531" s="406">
        <v>-2.4430000000000001</v>
      </c>
      <c r="DK2531" s="80">
        <v>-54.707999999999998</v>
      </c>
      <c r="DL2531" s="80">
        <v>51</v>
      </c>
      <c r="DM2531" s="64">
        <v>8</v>
      </c>
      <c r="DN2531" s="406" t="s">
        <v>7414</v>
      </c>
      <c r="DO2531" s="406">
        <v>-3.86</v>
      </c>
      <c r="DP2531" s="80">
        <v>96</v>
      </c>
    </row>
    <row r="2532" spans="29:120" x14ac:dyDescent="0.25">
      <c r="AC2532" s="122" t="s">
        <v>322</v>
      </c>
      <c r="AD2532" s="122" t="s">
        <v>2882</v>
      </c>
      <c r="AE2532" s="127">
        <v>6</v>
      </c>
      <c r="DA2532" s="122" t="s">
        <v>344</v>
      </c>
      <c r="DB2532" s="122" t="s">
        <v>7473</v>
      </c>
      <c r="DC2532" s="122" t="s">
        <v>4142</v>
      </c>
      <c r="DD2532" s="127">
        <v>8</v>
      </c>
      <c r="DE2532" s="127">
        <v>8</v>
      </c>
      <c r="DG2532" s="405" t="s">
        <v>344</v>
      </c>
      <c r="DH2532" s="406" t="s">
        <v>4142</v>
      </c>
      <c r="DI2532" s="406" t="str">
        <f t="shared" si="71"/>
        <v>PA, Santarém Novo</v>
      </c>
      <c r="DJ2532" s="406">
        <v>-0.92900000000000005</v>
      </c>
      <c r="DK2532" s="80">
        <v>-47.396999999999998</v>
      </c>
      <c r="DL2532" s="80">
        <v>30</v>
      </c>
      <c r="DM2532" s="64">
        <v>8</v>
      </c>
      <c r="DN2532" s="406" t="s">
        <v>7440</v>
      </c>
      <c r="DO2532" s="406">
        <v>-0.62</v>
      </c>
      <c r="DP2532" s="80">
        <v>20</v>
      </c>
    </row>
    <row r="2533" spans="29:120" x14ac:dyDescent="0.25">
      <c r="AC2533" s="122" t="s">
        <v>322</v>
      </c>
      <c r="AD2533" s="122" t="s">
        <v>2883</v>
      </c>
      <c r="AE2533" s="127">
        <v>6</v>
      </c>
      <c r="DA2533" s="122" t="s">
        <v>344</v>
      </c>
      <c r="DB2533" s="122" t="s">
        <v>7474</v>
      </c>
      <c r="DC2533" s="122" t="s">
        <v>4179</v>
      </c>
      <c r="DD2533" s="127">
        <v>8</v>
      </c>
      <c r="DE2533" s="127">
        <v>8</v>
      </c>
      <c r="DG2533" s="405" t="s">
        <v>344</v>
      </c>
      <c r="DH2533" s="406" t="s">
        <v>4179</v>
      </c>
      <c r="DI2533" s="406" t="str">
        <f t="shared" si="71"/>
        <v>PA, Santo Antônio do Tauá</v>
      </c>
      <c r="DJ2533" s="406">
        <v>-1.1519999999999999</v>
      </c>
      <c r="DK2533" s="80">
        <v>-48.128999999999998</v>
      </c>
      <c r="DL2533" s="80">
        <v>17</v>
      </c>
      <c r="DM2533" s="64">
        <v>8</v>
      </c>
      <c r="DN2533" s="406" t="s">
        <v>7423</v>
      </c>
      <c r="DO2533" s="406">
        <v>-1.3</v>
      </c>
      <c r="DP2533" s="80">
        <v>65</v>
      </c>
    </row>
    <row r="2534" spans="29:120" x14ac:dyDescent="0.25">
      <c r="AC2534" s="122" t="s">
        <v>376</v>
      </c>
      <c r="AD2534" s="122" t="s">
        <v>2884</v>
      </c>
      <c r="AE2534" s="127">
        <v>6</v>
      </c>
      <c r="DA2534" s="122" t="s">
        <v>344</v>
      </c>
      <c r="DB2534" s="122" t="s">
        <v>7475</v>
      </c>
      <c r="DC2534" s="122" t="s">
        <v>4070</v>
      </c>
      <c r="DD2534" s="127">
        <v>8</v>
      </c>
      <c r="DE2534" s="127">
        <v>8</v>
      </c>
      <c r="DG2534" s="405" t="s">
        <v>344</v>
      </c>
      <c r="DH2534" s="406" t="s">
        <v>4070</v>
      </c>
      <c r="DI2534" s="406" t="str">
        <f t="shared" si="71"/>
        <v>PA, São Caetano de Odivelas</v>
      </c>
      <c r="DJ2534" s="406">
        <v>-0.75</v>
      </c>
      <c r="DK2534" s="80">
        <v>-48.02</v>
      </c>
      <c r="DL2534" s="80">
        <v>5</v>
      </c>
      <c r="DM2534" s="64">
        <v>8</v>
      </c>
      <c r="DN2534" s="406" t="s">
        <v>7430</v>
      </c>
      <c r="DO2534" s="406">
        <v>-0.81</v>
      </c>
      <c r="DP2534" s="80">
        <v>11</v>
      </c>
    </row>
    <row r="2535" spans="29:120" x14ac:dyDescent="0.25">
      <c r="AC2535" s="122" t="s">
        <v>333</v>
      </c>
      <c r="AD2535" s="122" t="s">
        <v>2885</v>
      </c>
      <c r="AE2535" s="127">
        <v>6</v>
      </c>
      <c r="DA2535" s="122" t="s">
        <v>344</v>
      </c>
      <c r="DB2535" s="122" t="s">
        <v>7476</v>
      </c>
      <c r="DC2535" s="122" t="s">
        <v>4788</v>
      </c>
      <c r="DD2535" s="127">
        <v>8</v>
      </c>
      <c r="DE2535" s="127">
        <v>8</v>
      </c>
      <c r="DG2535" s="405" t="s">
        <v>344</v>
      </c>
      <c r="DH2535" s="406" t="s">
        <v>4788</v>
      </c>
      <c r="DI2535" s="406" t="str">
        <f t="shared" si="71"/>
        <v>PA, São Domingos do Araguaia</v>
      </c>
      <c r="DJ2535" s="406">
        <v>-5.5380000000000003</v>
      </c>
      <c r="DK2535" s="80">
        <v>-48.732999999999997</v>
      </c>
      <c r="DL2535" s="80">
        <v>130</v>
      </c>
      <c r="DM2535" s="64">
        <v>8</v>
      </c>
      <c r="DN2535" s="406" t="s">
        <v>7422</v>
      </c>
      <c r="DO2535" s="406">
        <v>-5.37</v>
      </c>
      <c r="DP2535" s="80">
        <v>84</v>
      </c>
    </row>
    <row r="2536" spans="29:120" x14ac:dyDescent="0.25">
      <c r="AC2536" s="122" t="s">
        <v>322</v>
      </c>
      <c r="AD2536" s="122" t="s">
        <v>2886</v>
      </c>
      <c r="AE2536" s="127">
        <v>6</v>
      </c>
      <c r="DA2536" s="122" t="s">
        <v>344</v>
      </c>
      <c r="DB2536" s="122" t="s">
        <v>7477</v>
      </c>
      <c r="DC2536" s="122" t="s">
        <v>4342</v>
      </c>
      <c r="DD2536" s="127">
        <v>8</v>
      </c>
      <c r="DE2536" s="127">
        <v>8</v>
      </c>
      <c r="DG2536" s="405" t="s">
        <v>344</v>
      </c>
      <c r="DH2536" s="406" t="s">
        <v>4342</v>
      </c>
      <c r="DI2536" s="406" t="str">
        <f t="shared" si="71"/>
        <v>PA, São Domingos do Capim</v>
      </c>
      <c r="DJ2536" s="406">
        <v>-1.675</v>
      </c>
      <c r="DK2536" s="80">
        <v>-47.774999999999999</v>
      </c>
      <c r="DL2536" s="80">
        <v>20</v>
      </c>
      <c r="DM2536" s="64">
        <v>8</v>
      </c>
      <c r="DN2536" s="406" t="s">
        <v>7423</v>
      </c>
      <c r="DO2536" s="406">
        <v>-1.3</v>
      </c>
      <c r="DP2536" s="80">
        <v>65</v>
      </c>
    </row>
    <row r="2537" spans="29:120" x14ac:dyDescent="0.25">
      <c r="AC2537" s="122" t="s">
        <v>333</v>
      </c>
      <c r="AD2537" s="122" t="s">
        <v>2887</v>
      </c>
      <c r="AE2537" s="127">
        <v>6</v>
      </c>
      <c r="DA2537" s="122" t="s">
        <v>344</v>
      </c>
      <c r="DB2537" s="122" t="s">
        <v>7478</v>
      </c>
      <c r="DC2537" s="122" t="s">
        <v>5320</v>
      </c>
      <c r="DD2537" s="127">
        <v>8</v>
      </c>
      <c r="DE2537" s="127">
        <v>8</v>
      </c>
      <c r="DG2537" s="405" t="s">
        <v>344</v>
      </c>
      <c r="DH2537" s="406" t="s">
        <v>5320</v>
      </c>
      <c r="DI2537" s="406" t="str">
        <f t="shared" si="71"/>
        <v>PA, São Félix do Xingu</v>
      </c>
      <c r="DJ2537" s="406">
        <v>-6.6449999999999996</v>
      </c>
      <c r="DK2537" s="80">
        <v>-51.994999999999997</v>
      </c>
      <c r="DL2537" s="80">
        <v>220</v>
      </c>
      <c r="DM2537" s="64">
        <v>8</v>
      </c>
      <c r="DN2537" s="406" t="s">
        <v>7413</v>
      </c>
      <c r="DO2537" s="406">
        <v>-6.08</v>
      </c>
      <c r="DP2537" s="80">
        <v>719</v>
      </c>
    </row>
    <row r="2538" spans="29:120" x14ac:dyDescent="0.25">
      <c r="AC2538" s="122" t="s">
        <v>333</v>
      </c>
      <c r="AD2538" s="122" t="s">
        <v>2888</v>
      </c>
      <c r="AE2538" s="127">
        <v>4</v>
      </c>
      <c r="DA2538" s="122" t="s">
        <v>344</v>
      </c>
      <c r="DB2538" s="122" t="s">
        <v>7479</v>
      </c>
      <c r="DC2538" s="122" t="s">
        <v>4256</v>
      </c>
      <c r="DD2538" s="127">
        <v>8</v>
      </c>
      <c r="DE2538" s="127">
        <v>8</v>
      </c>
      <c r="DG2538" s="405" t="s">
        <v>344</v>
      </c>
      <c r="DH2538" s="406" t="s">
        <v>4256</v>
      </c>
      <c r="DI2538" s="406" t="str">
        <f t="shared" si="71"/>
        <v>PA, São Francisco do Pará</v>
      </c>
      <c r="DJ2538" s="406">
        <v>-1.169</v>
      </c>
      <c r="DK2538" s="80">
        <v>-47.795000000000002</v>
      </c>
      <c r="DL2538" s="80">
        <v>46</v>
      </c>
      <c r="DM2538" s="64">
        <v>8</v>
      </c>
      <c r="DN2538" s="406" t="s">
        <v>7423</v>
      </c>
      <c r="DO2538" s="406">
        <v>-1.3</v>
      </c>
      <c r="DP2538" s="80">
        <v>65</v>
      </c>
    </row>
    <row r="2539" spans="29:120" x14ac:dyDescent="0.25">
      <c r="AC2539" s="122" t="s">
        <v>322</v>
      </c>
      <c r="AD2539" s="122" t="s">
        <v>2889</v>
      </c>
      <c r="AE2539" s="127">
        <v>6</v>
      </c>
      <c r="DA2539" s="122" t="s">
        <v>344</v>
      </c>
      <c r="DB2539" s="122" t="s">
        <v>7480</v>
      </c>
      <c r="DC2539" s="122" t="s">
        <v>4913</v>
      </c>
      <c r="DD2539" s="127">
        <v>8</v>
      </c>
      <c r="DE2539" s="127">
        <v>8</v>
      </c>
      <c r="DG2539" s="405" t="s">
        <v>344</v>
      </c>
      <c r="DH2539" s="406" t="s">
        <v>4913</v>
      </c>
      <c r="DI2539" s="406" t="str">
        <f t="shared" si="71"/>
        <v>PA, São Geraldo do Araguaia</v>
      </c>
      <c r="DJ2539" s="406">
        <v>-6.4009999999999998</v>
      </c>
      <c r="DK2539" s="80">
        <v>-48.555</v>
      </c>
      <c r="DL2539" s="80">
        <v>145</v>
      </c>
      <c r="DM2539" s="64">
        <v>8</v>
      </c>
      <c r="DN2539" s="406" t="s">
        <v>7439</v>
      </c>
      <c r="DO2539" s="406">
        <v>-6.28</v>
      </c>
      <c r="DP2539" s="80">
        <v>180</v>
      </c>
    </row>
    <row r="2540" spans="29:120" x14ac:dyDescent="0.25">
      <c r="AC2540" s="122" t="s">
        <v>322</v>
      </c>
      <c r="AD2540" s="122" t="s">
        <v>2890</v>
      </c>
      <c r="AE2540" s="127">
        <v>6</v>
      </c>
      <c r="DA2540" s="122" t="s">
        <v>344</v>
      </c>
      <c r="DB2540" s="122" t="s">
        <v>7481</v>
      </c>
      <c r="DC2540" s="122" t="s">
        <v>4078</v>
      </c>
      <c r="DD2540" s="127">
        <v>8</v>
      </c>
      <c r="DE2540" s="127">
        <v>8</v>
      </c>
      <c r="DG2540" s="405" t="s">
        <v>344</v>
      </c>
      <c r="DH2540" s="406" t="s">
        <v>4078</v>
      </c>
      <c r="DI2540" s="406" t="str">
        <f t="shared" si="71"/>
        <v>PA, São João da Ponta</v>
      </c>
      <c r="DJ2540" s="406">
        <v>-0.85</v>
      </c>
      <c r="DK2540" s="80">
        <v>-47.92</v>
      </c>
      <c r="DL2540" s="80">
        <v>34</v>
      </c>
      <c r="DM2540" s="64">
        <v>8</v>
      </c>
      <c r="DN2540" s="406" t="s">
        <v>7423</v>
      </c>
      <c r="DO2540" s="406">
        <v>-1.3</v>
      </c>
      <c r="DP2540" s="80">
        <v>65</v>
      </c>
    </row>
    <row r="2541" spans="29:120" x14ac:dyDescent="0.25">
      <c r="AC2541" s="122" t="s">
        <v>322</v>
      </c>
      <c r="AD2541" s="122" t="s">
        <v>2891</v>
      </c>
      <c r="AE2541" s="127">
        <v>6</v>
      </c>
      <c r="DA2541" s="122" t="s">
        <v>344</v>
      </c>
      <c r="DB2541" s="122" t="s">
        <v>7482</v>
      </c>
      <c r="DC2541" s="122" t="s">
        <v>4088</v>
      </c>
      <c r="DD2541" s="127">
        <v>8</v>
      </c>
      <c r="DE2541" s="127">
        <v>8</v>
      </c>
      <c r="DG2541" s="405" t="s">
        <v>344</v>
      </c>
      <c r="DH2541" s="406" t="s">
        <v>4088</v>
      </c>
      <c r="DI2541" s="406" t="str">
        <f t="shared" si="71"/>
        <v>PA, São João de Pirabas</v>
      </c>
      <c r="DJ2541" s="406">
        <v>-0.76900000000000002</v>
      </c>
      <c r="DK2541" s="80">
        <v>-47.173999999999999</v>
      </c>
      <c r="DL2541" s="80">
        <v>35</v>
      </c>
      <c r="DM2541" s="64">
        <v>8</v>
      </c>
      <c r="DN2541" s="406" t="s">
        <v>7440</v>
      </c>
      <c r="DO2541" s="406">
        <v>-0.62</v>
      </c>
      <c r="DP2541" s="80">
        <v>20</v>
      </c>
    </row>
    <row r="2542" spans="29:120" x14ac:dyDescent="0.25">
      <c r="AC2542" s="122" t="s">
        <v>376</v>
      </c>
      <c r="AD2542" s="122" t="s">
        <v>2892</v>
      </c>
      <c r="AE2542" s="127">
        <v>3</v>
      </c>
      <c r="DA2542" s="122" t="s">
        <v>344</v>
      </c>
      <c r="DB2542" s="122" t="s">
        <v>7483</v>
      </c>
      <c r="DC2542" s="122" t="s">
        <v>4426</v>
      </c>
      <c r="DD2542" s="127">
        <v>8</v>
      </c>
      <c r="DE2542" s="127">
        <v>8</v>
      </c>
      <c r="DG2542" s="405" t="s">
        <v>344</v>
      </c>
      <c r="DH2542" s="406" t="s">
        <v>4426</v>
      </c>
      <c r="DI2542" s="406" t="str">
        <f t="shared" si="71"/>
        <v>PA, São João do Araguaia</v>
      </c>
      <c r="DJ2542" s="406">
        <v>-5.3579999999999997</v>
      </c>
      <c r="DK2542" s="80">
        <v>-48.790999999999997</v>
      </c>
      <c r="DL2542" s="80">
        <v>99</v>
      </c>
      <c r="DM2542" s="64">
        <v>8</v>
      </c>
      <c r="DN2542" s="406" t="s">
        <v>7422</v>
      </c>
      <c r="DO2542" s="406">
        <v>-5.37</v>
      </c>
      <c r="DP2542" s="80">
        <v>84</v>
      </c>
    </row>
    <row r="2543" spans="29:120" x14ac:dyDescent="0.25">
      <c r="AC2543" s="122" t="s">
        <v>322</v>
      </c>
      <c r="AD2543" s="122" t="s">
        <v>2893</v>
      </c>
      <c r="AE2543" s="127">
        <v>6</v>
      </c>
      <c r="DA2543" s="122" t="s">
        <v>344</v>
      </c>
      <c r="DB2543" s="122" t="s">
        <v>7484</v>
      </c>
      <c r="DC2543" s="122" t="s">
        <v>4339</v>
      </c>
      <c r="DD2543" s="127">
        <v>8</v>
      </c>
      <c r="DE2543" s="127">
        <v>8</v>
      </c>
      <c r="DG2543" s="405" t="s">
        <v>344</v>
      </c>
      <c r="DH2543" s="406" t="s">
        <v>4339</v>
      </c>
      <c r="DI2543" s="406" t="str">
        <f t="shared" si="71"/>
        <v>PA, São Miguel do Guamá</v>
      </c>
      <c r="DJ2543" s="406">
        <v>-1.627</v>
      </c>
      <c r="DK2543" s="80">
        <v>-47.482999999999997</v>
      </c>
      <c r="DL2543" s="80">
        <v>10</v>
      </c>
      <c r="DM2543" s="64">
        <v>8</v>
      </c>
      <c r="DN2543" s="406" t="s">
        <v>7423</v>
      </c>
      <c r="DO2543" s="406">
        <v>-1.3</v>
      </c>
      <c r="DP2543" s="80">
        <v>65</v>
      </c>
    </row>
    <row r="2544" spans="29:120" x14ac:dyDescent="0.25">
      <c r="AC2544" s="122" t="s">
        <v>333</v>
      </c>
      <c r="AD2544" s="122" t="s">
        <v>2894</v>
      </c>
      <c r="AE2544" s="127">
        <v>4</v>
      </c>
      <c r="DA2544" s="122" t="s">
        <v>344</v>
      </c>
      <c r="DB2544" s="122" t="s">
        <v>7485</v>
      </c>
      <c r="DC2544" s="122" t="s">
        <v>5087</v>
      </c>
      <c r="DD2544" s="127">
        <v>8</v>
      </c>
      <c r="DE2544" s="127">
        <v>8</v>
      </c>
      <c r="DG2544" s="405" t="s">
        <v>344</v>
      </c>
      <c r="DH2544" s="406" t="s">
        <v>5087</v>
      </c>
      <c r="DI2544" s="406" t="str">
        <f t="shared" si="71"/>
        <v>PA, São Sebastião da Boa Vista</v>
      </c>
      <c r="DJ2544" s="406">
        <v>-1.718</v>
      </c>
      <c r="DK2544" s="80">
        <v>-49.540999999999997</v>
      </c>
      <c r="DL2544" s="80">
        <v>2</v>
      </c>
      <c r="DM2544" s="64">
        <v>8</v>
      </c>
      <c r="DN2544" s="406" t="s">
        <v>7416</v>
      </c>
      <c r="DO2544" s="406">
        <v>-2.25</v>
      </c>
      <c r="DP2544" s="80">
        <v>22</v>
      </c>
    </row>
    <row r="2545" spans="29:120" x14ac:dyDescent="0.25">
      <c r="AC2545" s="122" t="s">
        <v>289</v>
      </c>
      <c r="AD2545" s="122" t="s">
        <v>2895</v>
      </c>
      <c r="AE2545" s="127">
        <v>6</v>
      </c>
      <c r="DA2545" s="122" t="s">
        <v>344</v>
      </c>
      <c r="DB2545" s="122" t="s">
        <v>720</v>
      </c>
      <c r="DC2545" s="122" t="s">
        <v>720</v>
      </c>
      <c r="DD2545" s="127">
        <v>8</v>
      </c>
      <c r="DE2545" s="127">
        <v>8</v>
      </c>
      <c r="DG2545" s="405" t="s">
        <v>344</v>
      </c>
      <c r="DH2545" s="406" t="s">
        <v>720</v>
      </c>
      <c r="DI2545" s="406" t="str">
        <f t="shared" si="71"/>
        <v>PA, Sapucaia</v>
      </c>
      <c r="DJ2545" s="406">
        <v>-6.9470000000000001</v>
      </c>
      <c r="DK2545" s="80">
        <v>-49.682000000000002</v>
      </c>
      <c r="DL2545" s="80">
        <v>190</v>
      </c>
      <c r="DM2545" s="64">
        <v>8</v>
      </c>
      <c r="DN2545" s="406" t="s">
        <v>7439</v>
      </c>
      <c r="DO2545" s="406">
        <v>-6.28</v>
      </c>
      <c r="DP2545" s="80">
        <v>180</v>
      </c>
    </row>
    <row r="2546" spans="29:120" x14ac:dyDescent="0.25">
      <c r="AC2546" s="122" t="s">
        <v>333</v>
      </c>
      <c r="AD2546" s="122" t="s">
        <v>2896</v>
      </c>
      <c r="AE2546" s="127">
        <v>3</v>
      </c>
      <c r="DA2546" s="122" t="s">
        <v>344</v>
      </c>
      <c r="DB2546" s="122" t="s">
        <v>7486</v>
      </c>
      <c r="DC2546" s="122" t="s">
        <v>4295</v>
      </c>
      <c r="DD2546" s="127">
        <v>8</v>
      </c>
      <c r="DE2546" s="127">
        <v>8</v>
      </c>
      <c r="DG2546" s="405" t="s">
        <v>344</v>
      </c>
      <c r="DH2546" s="406" t="s">
        <v>4295</v>
      </c>
      <c r="DI2546" s="406" t="str">
        <f t="shared" si="71"/>
        <v>PA, Senador José Porfírio</v>
      </c>
      <c r="DJ2546" s="406">
        <v>-2.5910000000000002</v>
      </c>
      <c r="DK2546" s="80">
        <v>-51.954000000000001</v>
      </c>
      <c r="DL2546" s="80">
        <v>20</v>
      </c>
      <c r="DM2546" s="64">
        <v>8</v>
      </c>
      <c r="DN2546" s="406" t="s">
        <v>7415</v>
      </c>
      <c r="DO2546" s="406">
        <v>-3.84</v>
      </c>
      <c r="DP2546" s="80">
        <v>108</v>
      </c>
    </row>
    <row r="2547" spans="29:120" x14ac:dyDescent="0.25">
      <c r="AC2547" s="122" t="s">
        <v>322</v>
      </c>
      <c r="AD2547" s="122" t="s">
        <v>2897</v>
      </c>
      <c r="AE2547" s="127">
        <v>4</v>
      </c>
      <c r="DA2547" s="122" t="s">
        <v>344</v>
      </c>
      <c r="DB2547" s="122" t="s">
        <v>4121</v>
      </c>
      <c r="DC2547" s="122" t="s">
        <v>4121</v>
      </c>
      <c r="DD2547" s="127">
        <v>8</v>
      </c>
      <c r="DE2547" s="127">
        <v>8</v>
      </c>
      <c r="DG2547" s="405" t="s">
        <v>344</v>
      </c>
      <c r="DH2547" s="406" t="s">
        <v>4121</v>
      </c>
      <c r="DI2547" s="406" t="str">
        <f t="shared" si="71"/>
        <v>PA, Soure</v>
      </c>
      <c r="DJ2547" s="406">
        <v>-0.71699999999999997</v>
      </c>
      <c r="DK2547" s="80">
        <v>-48.523000000000003</v>
      </c>
      <c r="DL2547" s="80">
        <v>10</v>
      </c>
      <c r="DM2547" s="64">
        <v>8</v>
      </c>
      <c r="DN2547" s="406" t="s">
        <v>7430</v>
      </c>
      <c r="DO2547" s="406">
        <v>-0.81</v>
      </c>
      <c r="DP2547" s="80">
        <v>11</v>
      </c>
    </row>
    <row r="2548" spans="29:120" x14ac:dyDescent="0.25">
      <c r="AC2548" s="122" t="s">
        <v>336</v>
      </c>
      <c r="AD2548" s="122" t="s">
        <v>2898</v>
      </c>
      <c r="AE2548" s="127">
        <v>6</v>
      </c>
      <c r="DA2548" s="122" t="s">
        <v>344</v>
      </c>
      <c r="DB2548" s="122" t="s">
        <v>4299</v>
      </c>
      <c r="DC2548" s="122" t="s">
        <v>4299</v>
      </c>
      <c r="DD2548" s="127">
        <v>8</v>
      </c>
      <c r="DE2548" s="127">
        <v>8</v>
      </c>
      <c r="DG2548" s="405" t="s">
        <v>344</v>
      </c>
      <c r="DH2548" s="406" t="s">
        <v>4299</v>
      </c>
      <c r="DI2548" s="406" t="str">
        <f t="shared" si="71"/>
        <v>PA, Tailândia</v>
      </c>
      <c r="DJ2548" s="406">
        <v>-2.9470000000000001</v>
      </c>
      <c r="DK2548" s="80">
        <v>-48.953000000000003</v>
      </c>
      <c r="DL2548" s="80">
        <v>460</v>
      </c>
      <c r="DM2548" s="64">
        <v>8</v>
      </c>
      <c r="DN2548" s="406" t="s">
        <v>7419</v>
      </c>
      <c r="DO2548" s="406">
        <v>-2.59</v>
      </c>
      <c r="DP2548" s="80">
        <v>38</v>
      </c>
    </row>
    <row r="2549" spans="29:120" x14ac:dyDescent="0.25">
      <c r="AC2549" s="122" t="s">
        <v>322</v>
      </c>
      <c r="AD2549" s="122" t="s">
        <v>2899</v>
      </c>
      <c r="AE2549" s="127">
        <v>6</v>
      </c>
      <c r="DA2549" s="122" t="s">
        <v>344</v>
      </c>
      <c r="DB2549" s="122" t="s">
        <v>7487</v>
      </c>
      <c r="DC2549" s="122" t="s">
        <v>4189</v>
      </c>
      <c r="DD2549" s="127">
        <v>8</v>
      </c>
      <c r="DE2549" s="127">
        <v>8</v>
      </c>
      <c r="DG2549" s="405" t="s">
        <v>344</v>
      </c>
      <c r="DH2549" s="406" t="s">
        <v>4189</v>
      </c>
      <c r="DI2549" s="406" t="str">
        <f t="shared" si="71"/>
        <v>PA, Terra Alta</v>
      </c>
      <c r="DJ2549" s="406">
        <v>-1.038</v>
      </c>
      <c r="DK2549" s="80">
        <v>-47.908000000000001</v>
      </c>
      <c r="DL2549" s="80">
        <v>35</v>
      </c>
      <c r="DM2549" s="64">
        <v>8</v>
      </c>
      <c r="DN2549" s="406" t="s">
        <v>7423</v>
      </c>
      <c r="DO2549" s="406">
        <v>-1.3</v>
      </c>
      <c r="DP2549" s="80">
        <v>65</v>
      </c>
    </row>
    <row r="2550" spans="29:120" x14ac:dyDescent="0.25">
      <c r="AC2550" s="122" t="s">
        <v>322</v>
      </c>
      <c r="AD2550" s="122" t="s">
        <v>2900</v>
      </c>
      <c r="AE2550" s="127">
        <v>6</v>
      </c>
      <c r="DA2550" s="122" t="s">
        <v>344</v>
      </c>
      <c r="DB2550" s="122" t="s">
        <v>7488</v>
      </c>
      <c r="DC2550" s="122" t="s">
        <v>5138</v>
      </c>
      <c r="DD2550" s="127">
        <v>8</v>
      </c>
      <c r="DE2550" s="127">
        <v>8</v>
      </c>
      <c r="DG2550" s="405" t="s">
        <v>344</v>
      </c>
      <c r="DH2550" s="406" t="s">
        <v>5138</v>
      </c>
      <c r="DI2550" s="406" t="str">
        <f t="shared" si="71"/>
        <v>PA, Terra Santa</v>
      </c>
      <c r="DJ2550" s="406">
        <v>-2.1040000000000001</v>
      </c>
      <c r="DK2550" s="80">
        <v>-56.487000000000002</v>
      </c>
      <c r="DL2550" s="80">
        <v>18</v>
      </c>
      <c r="DM2550" s="64">
        <v>8</v>
      </c>
      <c r="DN2550" s="406" t="s">
        <v>6160</v>
      </c>
      <c r="DO2550" s="406">
        <v>-2.64</v>
      </c>
      <c r="DP2550" s="80">
        <v>35</v>
      </c>
    </row>
    <row r="2551" spans="29:120" x14ac:dyDescent="0.25">
      <c r="AC2551" s="122" t="s">
        <v>376</v>
      </c>
      <c r="AD2551" s="122" t="s">
        <v>2901</v>
      </c>
      <c r="AE2551" s="127">
        <v>4</v>
      </c>
      <c r="DA2551" s="122" t="s">
        <v>344</v>
      </c>
      <c r="DB2551" s="122" t="s">
        <v>4666</v>
      </c>
      <c r="DC2551" s="122" t="s">
        <v>4666</v>
      </c>
      <c r="DD2551" s="127">
        <v>8</v>
      </c>
      <c r="DE2551" s="127">
        <v>8</v>
      </c>
      <c r="DG2551" s="405" t="s">
        <v>344</v>
      </c>
      <c r="DH2551" s="406" t="s">
        <v>4666</v>
      </c>
      <c r="DI2551" s="406" t="str">
        <f t="shared" si="71"/>
        <v>PA, Tomé-Açu</v>
      </c>
      <c r="DJ2551" s="406">
        <v>-2.419</v>
      </c>
      <c r="DK2551" s="80">
        <v>-48.152000000000001</v>
      </c>
      <c r="DL2551" s="80">
        <v>45</v>
      </c>
      <c r="DM2551" s="64">
        <v>8</v>
      </c>
      <c r="DN2551" s="406" t="s">
        <v>7419</v>
      </c>
      <c r="DO2551" s="406">
        <v>-2.59</v>
      </c>
      <c r="DP2551" s="80">
        <v>38</v>
      </c>
    </row>
    <row r="2552" spans="29:120" x14ac:dyDescent="0.25">
      <c r="AC2552" s="122" t="s">
        <v>333</v>
      </c>
      <c r="AD2552" s="122" t="s">
        <v>2902</v>
      </c>
      <c r="AE2552" s="127">
        <v>3</v>
      </c>
      <c r="DA2552" s="122" t="s">
        <v>344</v>
      </c>
      <c r="DB2552" s="122" t="s">
        <v>4630</v>
      </c>
      <c r="DC2552" s="122" t="s">
        <v>4630</v>
      </c>
      <c r="DD2552" s="127">
        <v>8</v>
      </c>
      <c r="DE2552" s="127">
        <v>8</v>
      </c>
      <c r="DG2552" s="405" t="s">
        <v>344</v>
      </c>
      <c r="DH2552" s="406" t="s">
        <v>4630</v>
      </c>
      <c r="DI2552" s="406" t="str">
        <f t="shared" si="71"/>
        <v>PA, Tracuateua</v>
      </c>
      <c r="DJ2552" s="406">
        <v>-1.0720000000000001</v>
      </c>
      <c r="DK2552" s="80">
        <v>-46.896999999999998</v>
      </c>
      <c r="DL2552" s="80">
        <v>20</v>
      </c>
      <c r="DM2552" s="64">
        <v>8</v>
      </c>
      <c r="DN2552" s="406" t="s">
        <v>6661</v>
      </c>
      <c r="DO2552" s="406">
        <v>-1.05</v>
      </c>
      <c r="DP2552" s="80">
        <v>33</v>
      </c>
    </row>
    <row r="2553" spans="29:120" x14ac:dyDescent="0.25">
      <c r="AC2553" s="122" t="s">
        <v>333</v>
      </c>
      <c r="AD2553" s="122" t="s">
        <v>2903</v>
      </c>
      <c r="AE2553" s="127">
        <v>4</v>
      </c>
      <c r="DA2553" s="122" t="s">
        <v>344</v>
      </c>
      <c r="DB2553" s="122" t="s">
        <v>4391</v>
      </c>
      <c r="DC2553" s="122" t="s">
        <v>4391</v>
      </c>
      <c r="DD2553" s="127">
        <v>8</v>
      </c>
      <c r="DE2553" s="127">
        <v>8</v>
      </c>
      <c r="DG2553" s="405" t="s">
        <v>344</v>
      </c>
      <c r="DH2553" s="406" t="s">
        <v>4391</v>
      </c>
      <c r="DI2553" s="406" t="str">
        <f t="shared" si="71"/>
        <v>PA, Trairão</v>
      </c>
      <c r="DJ2553" s="406">
        <v>-4.5739999999999998</v>
      </c>
      <c r="DK2553" s="80">
        <v>-55.944000000000003</v>
      </c>
      <c r="DL2553" s="80">
        <v>105</v>
      </c>
      <c r="DM2553" s="64">
        <v>8</v>
      </c>
      <c r="DN2553" s="406" t="s">
        <v>7420</v>
      </c>
      <c r="DO2553" s="406">
        <v>-4.28</v>
      </c>
      <c r="DP2553" s="80">
        <v>13</v>
      </c>
    </row>
    <row r="2554" spans="29:120" x14ac:dyDescent="0.25">
      <c r="AC2554" s="122" t="s">
        <v>322</v>
      </c>
      <c r="AD2554" s="122" t="s">
        <v>2904</v>
      </c>
      <c r="AE2554" s="127">
        <v>6</v>
      </c>
      <c r="DA2554" s="122" t="s">
        <v>344</v>
      </c>
      <c r="DB2554" s="122" t="s">
        <v>5240</v>
      </c>
      <c r="DC2554" s="122" t="s">
        <v>5240</v>
      </c>
      <c r="DD2554" s="127">
        <v>8</v>
      </c>
      <c r="DE2554" s="127">
        <v>8</v>
      </c>
      <c r="DG2554" s="405" t="s">
        <v>344</v>
      </c>
      <c r="DH2554" s="406" t="s">
        <v>5240</v>
      </c>
      <c r="DI2554" s="406" t="str">
        <f t="shared" si="71"/>
        <v>PA, Tucumã</v>
      </c>
      <c r="DJ2554" s="406">
        <v>-6.7480000000000002</v>
      </c>
      <c r="DK2554" s="80">
        <v>-51.161000000000001</v>
      </c>
      <c r="DL2554" s="80">
        <v>34</v>
      </c>
      <c r="DM2554" s="64">
        <v>8</v>
      </c>
      <c r="DN2554" s="406" t="s">
        <v>7413</v>
      </c>
      <c r="DO2554" s="406">
        <v>-6.08</v>
      </c>
      <c r="DP2554" s="80">
        <v>719</v>
      </c>
    </row>
    <row r="2555" spans="29:120" x14ac:dyDescent="0.25">
      <c r="AC2555" s="122" t="s">
        <v>322</v>
      </c>
      <c r="AD2555" s="122" t="s">
        <v>2905</v>
      </c>
      <c r="AE2555" s="127">
        <v>6</v>
      </c>
      <c r="DA2555" s="122" t="s">
        <v>344</v>
      </c>
      <c r="DB2555" s="122" t="s">
        <v>4229</v>
      </c>
      <c r="DC2555" s="122" t="s">
        <v>4229</v>
      </c>
      <c r="DD2555" s="127">
        <v>8</v>
      </c>
      <c r="DE2555" s="127">
        <v>8</v>
      </c>
      <c r="DG2555" s="405" t="s">
        <v>344</v>
      </c>
      <c r="DH2555" s="406" t="s">
        <v>4229</v>
      </c>
      <c r="DI2555" s="406" t="str">
        <f t="shared" si="71"/>
        <v>PA, Tucuruí</v>
      </c>
      <c r="DJ2555" s="406">
        <v>-3.7679999999999998</v>
      </c>
      <c r="DK2555" s="80">
        <v>-49.673000000000002</v>
      </c>
      <c r="DL2555" s="80">
        <v>42</v>
      </c>
      <c r="DM2555" s="64">
        <v>8</v>
      </c>
      <c r="DN2555" s="406" t="s">
        <v>7428</v>
      </c>
      <c r="DO2555" s="406">
        <v>-3.82</v>
      </c>
      <c r="DP2555" s="80">
        <v>148</v>
      </c>
    </row>
    <row r="2556" spans="29:120" x14ac:dyDescent="0.25">
      <c r="AC2556" s="122" t="s">
        <v>289</v>
      </c>
      <c r="AD2556" s="122" t="s">
        <v>2906</v>
      </c>
      <c r="AE2556" s="127">
        <v>6</v>
      </c>
      <c r="DA2556" s="122" t="s">
        <v>344</v>
      </c>
      <c r="DB2556" s="122" t="s">
        <v>5462</v>
      </c>
      <c r="DC2556" s="122" t="s">
        <v>5462</v>
      </c>
      <c r="DD2556" s="127">
        <v>8</v>
      </c>
      <c r="DE2556" s="127">
        <v>8</v>
      </c>
      <c r="DG2556" s="405" t="s">
        <v>344</v>
      </c>
      <c r="DH2556" s="406" t="s">
        <v>5462</v>
      </c>
      <c r="DI2556" s="406" t="str">
        <f t="shared" si="71"/>
        <v>PA, Ulianópolis</v>
      </c>
      <c r="DJ2556" s="406">
        <v>-3.7559999999999998</v>
      </c>
      <c r="DK2556" s="80">
        <v>-47.500999999999998</v>
      </c>
      <c r="DL2556" s="80">
        <v>130</v>
      </c>
      <c r="DM2556" s="64">
        <v>8</v>
      </c>
      <c r="DN2556" s="406" t="s">
        <v>7447</v>
      </c>
      <c r="DO2556" s="406">
        <v>-3.01</v>
      </c>
      <c r="DP2556" s="80">
        <v>101</v>
      </c>
    </row>
    <row r="2557" spans="29:120" x14ac:dyDescent="0.25">
      <c r="AC2557" s="122" t="s">
        <v>333</v>
      </c>
      <c r="AD2557" s="122" t="s">
        <v>2907</v>
      </c>
      <c r="AE2557" s="127">
        <v>4</v>
      </c>
      <c r="DA2557" s="122" t="s">
        <v>344</v>
      </c>
      <c r="DB2557" s="122" t="s">
        <v>4416</v>
      </c>
      <c r="DC2557" s="122" t="s">
        <v>4416</v>
      </c>
      <c r="DD2557" s="127">
        <v>8</v>
      </c>
      <c r="DE2557" s="127">
        <v>8</v>
      </c>
      <c r="DG2557" s="405" t="s">
        <v>344</v>
      </c>
      <c r="DH2557" s="406" t="s">
        <v>4416</v>
      </c>
      <c r="DI2557" s="406" t="str">
        <f t="shared" si="71"/>
        <v>PA, Uruará</v>
      </c>
      <c r="DJ2557" s="406">
        <v>-3.718</v>
      </c>
      <c r="DK2557" s="80">
        <v>-53.737000000000002</v>
      </c>
      <c r="DL2557" s="80">
        <v>129</v>
      </c>
      <c r="DM2557" s="64">
        <v>8</v>
      </c>
      <c r="DN2557" s="406" t="s">
        <v>7414</v>
      </c>
      <c r="DO2557" s="406">
        <v>-3.86</v>
      </c>
      <c r="DP2557" s="80">
        <v>96</v>
      </c>
    </row>
    <row r="2558" spans="29:120" x14ac:dyDescent="0.25">
      <c r="AC2558" s="122" t="s">
        <v>333</v>
      </c>
      <c r="AD2558" s="122" t="s">
        <v>2908</v>
      </c>
      <c r="AE2558" s="127">
        <v>4</v>
      </c>
      <c r="DA2558" s="122" t="s">
        <v>344</v>
      </c>
      <c r="DB2558" s="122" t="s">
        <v>4066</v>
      </c>
      <c r="DC2558" s="122" t="s">
        <v>4066</v>
      </c>
      <c r="DD2558" s="127">
        <v>8</v>
      </c>
      <c r="DE2558" s="127">
        <v>8</v>
      </c>
      <c r="DG2558" s="405" t="s">
        <v>344</v>
      </c>
      <c r="DH2558" s="406" t="s">
        <v>4066</v>
      </c>
      <c r="DI2558" s="406" t="str">
        <f t="shared" si="71"/>
        <v>PA, Vigia</v>
      </c>
      <c r="DJ2558" s="406">
        <v>-0.85799999999999998</v>
      </c>
      <c r="DK2558" s="80">
        <v>-48.142000000000003</v>
      </c>
      <c r="DL2558" s="80">
        <v>6</v>
      </c>
      <c r="DM2558" s="64">
        <v>8</v>
      </c>
      <c r="DN2558" s="406" t="s">
        <v>7430</v>
      </c>
      <c r="DO2558" s="406">
        <v>-0.81</v>
      </c>
      <c r="DP2558" s="80">
        <v>11</v>
      </c>
    </row>
    <row r="2559" spans="29:120" x14ac:dyDescent="0.25">
      <c r="AC2559" s="122" t="s">
        <v>322</v>
      </c>
      <c r="AD2559" s="122" t="s">
        <v>2909</v>
      </c>
      <c r="AE2559" s="127">
        <v>6</v>
      </c>
      <c r="DA2559" s="122" t="s">
        <v>344</v>
      </c>
      <c r="DB2559" s="122" t="s">
        <v>4096</v>
      </c>
      <c r="DC2559" s="122" t="s">
        <v>4096</v>
      </c>
      <c r="DD2559" s="127">
        <v>8</v>
      </c>
      <c r="DE2559" s="127">
        <v>8</v>
      </c>
      <c r="DG2559" s="405" t="s">
        <v>344</v>
      </c>
      <c r="DH2559" s="406" t="s">
        <v>4096</v>
      </c>
      <c r="DI2559" s="406" t="str">
        <f t="shared" si="71"/>
        <v>PA, Viseu</v>
      </c>
      <c r="DJ2559" s="406">
        <v>-1.1970000000000001</v>
      </c>
      <c r="DK2559" s="80">
        <v>-46.14</v>
      </c>
      <c r="DL2559" s="80">
        <v>15</v>
      </c>
      <c r="DM2559" s="64">
        <v>8</v>
      </c>
      <c r="DN2559" s="406" t="s">
        <v>6661</v>
      </c>
      <c r="DO2559" s="406">
        <v>-1.05</v>
      </c>
      <c r="DP2559" s="80">
        <v>33</v>
      </c>
    </row>
    <row r="2560" spans="29:120" x14ac:dyDescent="0.25">
      <c r="AC2560" s="122" t="s">
        <v>322</v>
      </c>
      <c r="AD2560" s="122" t="s">
        <v>2910</v>
      </c>
      <c r="AE2560" s="127">
        <v>6</v>
      </c>
      <c r="DA2560" s="122" t="s">
        <v>344</v>
      </c>
      <c r="DB2560" s="122" t="s">
        <v>7489</v>
      </c>
      <c r="DC2560" s="122" t="s">
        <v>4312</v>
      </c>
      <c r="DD2560" s="127">
        <v>8</v>
      </c>
      <c r="DE2560" s="127">
        <v>8</v>
      </c>
      <c r="DG2560" s="405" t="s">
        <v>344</v>
      </c>
      <c r="DH2560" s="406" t="s">
        <v>4312</v>
      </c>
      <c r="DI2560" s="406" t="str">
        <f t="shared" si="71"/>
        <v>PA, Vitória do Xingu</v>
      </c>
      <c r="DJ2560" s="406">
        <v>-2.88</v>
      </c>
      <c r="DK2560" s="80">
        <v>-52.01</v>
      </c>
      <c r="DL2560" s="80">
        <v>11</v>
      </c>
      <c r="DM2560" s="64">
        <v>8</v>
      </c>
      <c r="DN2560" s="406" t="s">
        <v>7415</v>
      </c>
      <c r="DO2560" s="406">
        <v>-3.84</v>
      </c>
      <c r="DP2560" s="80">
        <v>108</v>
      </c>
    </row>
    <row r="2561" spans="29:120" x14ac:dyDescent="0.25">
      <c r="AC2561" s="122" t="s">
        <v>376</v>
      </c>
      <c r="AD2561" s="122" t="s">
        <v>2911</v>
      </c>
      <c r="AE2561" s="127">
        <v>4</v>
      </c>
      <c r="DA2561" s="122" t="s">
        <v>344</v>
      </c>
      <c r="DB2561" s="122" t="s">
        <v>5223</v>
      </c>
      <c r="DC2561" s="122" t="s">
        <v>5223</v>
      </c>
      <c r="DD2561" s="127">
        <v>8</v>
      </c>
      <c r="DE2561" s="127">
        <v>8</v>
      </c>
      <c r="DG2561" s="405" t="s">
        <v>344</v>
      </c>
      <c r="DH2561" s="406" t="s">
        <v>5223</v>
      </c>
      <c r="DI2561" s="406" t="str">
        <f t="shared" si="71"/>
        <v>PA, Xinguara</v>
      </c>
      <c r="DJ2561" s="406">
        <v>-7.0949999999999998</v>
      </c>
      <c r="DK2561" s="80">
        <v>-49.945999999999998</v>
      </c>
      <c r="DL2561" s="80">
        <v>279</v>
      </c>
      <c r="DM2561" s="64">
        <v>8</v>
      </c>
      <c r="DN2561" s="406" t="s">
        <v>7413</v>
      </c>
      <c r="DO2561" s="406">
        <v>-6.08</v>
      </c>
      <c r="DP2561" s="80">
        <v>719</v>
      </c>
    </row>
    <row r="2562" spans="29:120" x14ac:dyDescent="0.25">
      <c r="AC2562" s="122" t="s">
        <v>322</v>
      </c>
      <c r="AD2562" s="122" t="s">
        <v>2912</v>
      </c>
      <c r="AE2562" s="127">
        <v>6</v>
      </c>
      <c r="DA2562" s="122" t="s">
        <v>348</v>
      </c>
      <c r="DB2562" s="122" t="s">
        <v>6086</v>
      </c>
      <c r="DC2562" s="122" t="s">
        <v>2199</v>
      </c>
      <c r="DD2562" s="127">
        <v>6</v>
      </c>
      <c r="DE2562" s="127">
        <v>6</v>
      </c>
      <c r="DG2562" s="405" t="s">
        <v>348</v>
      </c>
      <c r="DH2562" s="406" t="s">
        <v>2199</v>
      </c>
      <c r="DI2562" s="406" t="str">
        <f t="shared" si="71"/>
        <v>PB, Água Branca</v>
      </c>
      <c r="DJ2562" s="406">
        <v>-7.5119999999999996</v>
      </c>
      <c r="DK2562" s="80">
        <v>-37.640999999999998</v>
      </c>
      <c r="DL2562" s="80">
        <v>735</v>
      </c>
      <c r="DM2562" s="64">
        <v>6</v>
      </c>
      <c r="DN2562" s="406" t="s">
        <v>7490</v>
      </c>
      <c r="DO2562" s="406">
        <v>-7.02</v>
      </c>
      <c r="DP2562" s="80">
        <v>249</v>
      </c>
    </row>
    <row r="2563" spans="29:120" x14ac:dyDescent="0.25">
      <c r="AC2563" s="122" t="s">
        <v>333</v>
      </c>
      <c r="AD2563" s="122" t="s">
        <v>2913</v>
      </c>
      <c r="AE2563" s="127">
        <v>3</v>
      </c>
      <c r="DA2563" s="122" t="s">
        <v>348</v>
      </c>
      <c r="DB2563" s="122" t="s">
        <v>5167</v>
      </c>
      <c r="DC2563" s="122" t="s">
        <v>5167</v>
      </c>
      <c r="DD2563" s="127">
        <v>7</v>
      </c>
      <c r="DE2563" s="127">
        <v>7</v>
      </c>
      <c r="DG2563" s="405" t="s">
        <v>348</v>
      </c>
      <c r="DH2563" s="406" t="s">
        <v>5167</v>
      </c>
      <c r="DI2563" s="406" t="str">
        <f t="shared" ref="DI2563:DI2626" si="72">CONCATENATE(DG2563,", ",DH2563)</f>
        <v>PB, Aguiar</v>
      </c>
      <c r="DJ2563" s="406">
        <v>-7.0919999999999996</v>
      </c>
      <c r="DK2563" s="80">
        <v>-38.170999999999999</v>
      </c>
      <c r="DL2563" s="80">
        <v>262</v>
      </c>
      <c r="DM2563" s="64">
        <v>7</v>
      </c>
      <c r="DN2563" s="406" t="s">
        <v>6414</v>
      </c>
      <c r="DO2563" s="406">
        <v>-6.84</v>
      </c>
      <c r="DP2563" s="80">
        <v>234</v>
      </c>
    </row>
    <row r="2564" spans="29:120" x14ac:dyDescent="0.25">
      <c r="AC2564" s="122" t="s">
        <v>333</v>
      </c>
      <c r="AD2564" s="122" t="s">
        <v>2914</v>
      </c>
      <c r="AE2564" s="127">
        <v>4</v>
      </c>
      <c r="DA2564" s="122" t="s">
        <v>348</v>
      </c>
      <c r="DB2564" s="122" t="s">
        <v>7491</v>
      </c>
      <c r="DC2564" s="122" t="s">
        <v>2296</v>
      </c>
      <c r="DD2564" s="127">
        <v>8</v>
      </c>
      <c r="DE2564" s="127">
        <v>8</v>
      </c>
      <c r="DG2564" s="405" t="s">
        <v>348</v>
      </c>
      <c r="DH2564" s="406" t="s">
        <v>2296</v>
      </c>
      <c r="DI2564" s="406" t="str">
        <f t="shared" si="72"/>
        <v>PB, Alagoa Grande</v>
      </c>
      <c r="DJ2564" s="406">
        <v>-7.0890000000000004</v>
      </c>
      <c r="DK2564" s="80">
        <v>-35.634999999999998</v>
      </c>
      <c r="DL2564" s="80">
        <v>143</v>
      </c>
      <c r="DM2564" s="64">
        <v>8</v>
      </c>
      <c r="DN2564" s="406" t="s">
        <v>7492</v>
      </c>
      <c r="DO2564" s="406">
        <v>-6.96</v>
      </c>
      <c r="DP2564" s="80">
        <v>575</v>
      </c>
    </row>
    <row r="2565" spans="29:120" x14ac:dyDescent="0.25">
      <c r="AC2565" s="122" t="s">
        <v>322</v>
      </c>
      <c r="AD2565" s="122" t="s">
        <v>2915</v>
      </c>
      <c r="AE2565" s="127">
        <v>6</v>
      </c>
      <c r="DA2565" s="122" t="s">
        <v>348</v>
      </c>
      <c r="DB2565" s="122" t="s">
        <v>7493</v>
      </c>
      <c r="DC2565" s="122" t="s">
        <v>2257</v>
      </c>
      <c r="DD2565" s="127">
        <v>8</v>
      </c>
      <c r="DE2565" s="127">
        <v>8</v>
      </c>
      <c r="DG2565" s="405" t="s">
        <v>348</v>
      </c>
      <c r="DH2565" s="406" t="s">
        <v>2257</v>
      </c>
      <c r="DI2565" s="406" t="str">
        <f t="shared" si="72"/>
        <v>PB, Alagoa Nova</v>
      </c>
      <c r="DJ2565" s="406">
        <v>-7.0709999999999997</v>
      </c>
      <c r="DK2565" s="80">
        <v>-35.758000000000003</v>
      </c>
      <c r="DL2565" s="80">
        <v>530</v>
      </c>
      <c r="DM2565" s="64">
        <v>8</v>
      </c>
      <c r="DN2565" s="406" t="s">
        <v>7492</v>
      </c>
      <c r="DO2565" s="406">
        <v>-6.96</v>
      </c>
      <c r="DP2565" s="80">
        <v>575</v>
      </c>
    </row>
    <row r="2566" spans="29:120" x14ac:dyDescent="0.25">
      <c r="AC2566" s="122" t="s">
        <v>322</v>
      </c>
      <c r="AD2566" s="122" t="s">
        <v>2916</v>
      </c>
      <c r="AE2566" s="127">
        <v>6</v>
      </c>
      <c r="DA2566" s="122" t="s">
        <v>348</v>
      </c>
      <c r="DB2566" s="122" t="s">
        <v>2263</v>
      </c>
      <c r="DC2566" s="122" t="s">
        <v>2263</v>
      </c>
      <c r="DD2566" s="127">
        <v>8</v>
      </c>
      <c r="DE2566" s="127">
        <v>8</v>
      </c>
      <c r="DG2566" s="405" t="s">
        <v>348</v>
      </c>
      <c r="DH2566" s="406" t="s">
        <v>2263</v>
      </c>
      <c r="DI2566" s="406" t="str">
        <f t="shared" si="72"/>
        <v>PB, Alagoinha</v>
      </c>
      <c r="DJ2566" s="406">
        <v>-6.95</v>
      </c>
      <c r="DK2566" s="80">
        <v>-35.545000000000002</v>
      </c>
      <c r="DL2566" s="80">
        <v>133</v>
      </c>
      <c r="DM2566" s="64">
        <v>8</v>
      </c>
      <c r="DN2566" s="406" t="s">
        <v>7492</v>
      </c>
      <c r="DO2566" s="406">
        <v>-6.96</v>
      </c>
      <c r="DP2566" s="80">
        <v>575</v>
      </c>
    </row>
    <row r="2567" spans="29:120" x14ac:dyDescent="0.25">
      <c r="AC2567" s="122" t="s">
        <v>322</v>
      </c>
      <c r="AD2567" s="122" t="s">
        <v>2917</v>
      </c>
      <c r="AE2567" s="127">
        <v>6</v>
      </c>
      <c r="DA2567" s="122" t="s">
        <v>348</v>
      </c>
      <c r="DB2567" s="122" t="s">
        <v>2118</v>
      </c>
      <c r="DC2567" s="122" t="s">
        <v>2118</v>
      </c>
      <c r="DD2567" s="127">
        <v>8</v>
      </c>
      <c r="DE2567" s="127">
        <v>8</v>
      </c>
      <c r="DG2567" s="405" t="s">
        <v>348</v>
      </c>
      <c r="DH2567" s="406" t="s">
        <v>2118</v>
      </c>
      <c r="DI2567" s="406" t="str">
        <f t="shared" si="72"/>
        <v>PB, Alcantil</v>
      </c>
      <c r="DJ2567" s="406">
        <v>-7.7439999999999998</v>
      </c>
      <c r="DK2567" s="80">
        <v>-36.055999999999997</v>
      </c>
      <c r="DL2567" s="80">
        <v>500</v>
      </c>
      <c r="DM2567" s="64">
        <v>8</v>
      </c>
      <c r="DN2567" s="406" t="s">
        <v>7494</v>
      </c>
      <c r="DO2567" s="406">
        <v>-7.84</v>
      </c>
      <c r="DP2567" s="80">
        <v>418</v>
      </c>
    </row>
    <row r="2568" spans="29:120" x14ac:dyDescent="0.25">
      <c r="AC2568" s="122" t="s">
        <v>333</v>
      </c>
      <c r="AD2568" s="122" t="s">
        <v>2918</v>
      </c>
      <c r="AE2568" s="127">
        <v>6</v>
      </c>
      <c r="DA2568" s="122" t="s">
        <v>348</v>
      </c>
      <c r="DB2568" s="122" t="s">
        <v>7495</v>
      </c>
      <c r="DC2568" s="122" t="s">
        <v>2300</v>
      </c>
      <c r="DD2568" s="127">
        <v>8</v>
      </c>
      <c r="DE2568" s="127">
        <v>8</v>
      </c>
      <c r="DG2568" s="405" t="s">
        <v>348</v>
      </c>
      <c r="DH2568" s="406" t="s">
        <v>2300</v>
      </c>
      <c r="DI2568" s="406" t="str">
        <f t="shared" si="72"/>
        <v>PB, Algodão de Jandaíra</v>
      </c>
      <c r="DJ2568" s="406">
        <v>-6.8159999999999998</v>
      </c>
      <c r="DK2568" s="80">
        <v>-35.921999999999997</v>
      </c>
      <c r="DL2568" s="80">
        <v>470</v>
      </c>
      <c r="DM2568" s="64">
        <v>8</v>
      </c>
      <c r="DN2568" s="406" t="s">
        <v>7492</v>
      </c>
      <c r="DO2568" s="406">
        <v>-6.96</v>
      </c>
      <c r="DP2568" s="80">
        <v>575</v>
      </c>
    </row>
    <row r="2569" spans="29:120" x14ac:dyDescent="0.25">
      <c r="AC2569" s="122" t="s">
        <v>333</v>
      </c>
      <c r="AD2569" s="122" t="s">
        <v>2919</v>
      </c>
      <c r="AE2569" s="127">
        <v>4</v>
      </c>
      <c r="DA2569" s="122" t="s">
        <v>348</v>
      </c>
      <c r="DB2569" s="122" t="s">
        <v>5034</v>
      </c>
      <c r="DC2569" s="122" t="s">
        <v>5034</v>
      </c>
      <c r="DD2569" s="127">
        <v>8</v>
      </c>
      <c r="DE2569" s="127">
        <v>8</v>
      </c>
      <c r="DG2569" s="405" t="s">
        <v>348</v>
      </c>
      <c r="DH2569" s="406" t="s">
        <v>5034</v>
      </c>
      <c r="DI2569" s="406" t="str">
        <f t="shared" si="72"/>
        <v>PB, Alhandra</v>
      </c>
      <c r="DJ2569" s="406">
        <v>-7.4390000000000001</v>
      </c>
      <c r="DK2569" s="80">
        <v>-34.914000000000001</v>
      </c>
      <c r="DL2569" s="80">
        <v>49</v>
      </c>
      <c r="DM2569" s="64">
        <v>8</v>
      </c>
      <c r="DN2569" s="406" t="s">
        <v>7496</v>
      </c>
      <c r="DO2569" s="406">
        <v>-7.11</v>
      </c>
      <c r="DP2569" s="80">
        <v>44</v>
      </c>
    </row>
    <row r="2570" spans="29:120" x14ac:dyDescent="0.25">
      <c r="AC2570" s="122" t="s">
        <v>322</v>
      </c>
      <c r="AD2570" s="122" t="s">
        <v>2920</v>
      </c>
      <c r="AE2570" s="127">
        <v>6</v>
      </c>
      <c r="DA2570" s="122" t="s">
        <v>348</v>
      </c>
      <c r="DB2570" s="122" t="s">
        <v>1083</v>
      </c>
      <c r="DC2570" s="122" t="s">
        <v>1083</v>
      </c>
      <c r="DD2570" s="127">
        <v>6</v>
      </c>
      <c r="DE2570" s="127">
        <v>6</v>
      </c>
      <c r="DG2570" s="405" t="s">
        <v>348</v>
      </c>
      <c r="DH2570" s="406" t="s">
        <v>1083</v>
      </c>
      <c r="DI2570" s="406" t="str">
        <f t="shared" si="72"/>
        <v>PB, Amparo</v>
      </c>
      <c r="DJ2570" s="406">
        <v>-7.5679999999999996</v>
      </c>
      <c r="DK2570" s="80">
        <v>-37.064</v>
      </c>
      <c r="DL2570" s="80">
        <v>635</v>
      </c>
      <c r="DM2570" s="64">
        <v>6</v>
      </c>
      <c r="DN2570" s="406" t="s">
        <v>7497</v>
      </c>
      <c r="DO2570" s="406">
        <v>-7.89</v>
      </c>
      <c r="DP2570" s="80">
        <v>604</v>
      </c>
    </row>
    <row r="2571" spans="29:120" x14ac:dyDescent="0.25">
      <c r="AC2571" s="122" t="s">
        <v>322</v>
      </c>
      <c r="AD2571" s="122" t="s">
        <v>2921</v>
      </c>
      <c r="AE2571" s="127">
        <v>6</v>
      </c>
      <c r="DA2571" s="122" t="s">
        <v>348</v>
      </c>
      <c r="DB2571" s="122" t="s">
        <v>3664</v>
      </c>
      <c r="DC2571" s="122" t="s">
        <v>3664</v>
      </c>
      <c r="DD2571" s="127">
        <v>7</v>
      </c>
      <c r="DE2571" s="127">
        <v>7</v>
      </c>
      <c r="DG2571" s="405" t="s">
        <v>348</v>
      </c>
      <c r="DH2571" s="406" t="s">
        <v>3664</v>
      </c>
      <c r="DI2571" s="406" t="str">
        <f t="shared" si="72"/>
        <v>PB, Aparecida</v>
      </c>
      <c r="DJ2571" s="406">
        <v>-6.7839999999999998</v>
      </c>
      <c r="DK2571" s="80">
        <v>-38.087000000000003</v>
      </c>
      <c r="DL2571" s="80">
        <v>214</v>
      </c>
      <c r="DM2571" s="64">
        <v>7</v>
      </c>
      <c r="DN2571" s="406" t="s">
        <v>6414</v>
      </c>
      <c r="DO2571" s="406">
        <v>-6.84</v>
      </c>
      <c r="DP2571" s="80">
        <v>234</v>
      </c>
    </row>
    <row r="2572" spans="29:120" x14ac:dyDescent="0.25">
      <c r="AC2572" s="122" t="s">
        <v>322</v>
      </c>
      <c r="AD2572" s="122" t="s">
        <v>2922</v>
      </c>
      <c r="AE2572" s="127">
        <v>6</v>
      </c>
      <c r="DA2572" s="122" t="s">
        <v>348</v>
      </c>
      <c r="DB2572" s="122" t="s">
        <v>5146</v>
      </c>
      <c r="DC2572" s="122" t="s">
        <v>5146</v>
      </c>
      <c r="DD2572" s="127">
        <v>8</v>
      </c>
      <c r="DE2572" s="127">
        <v>8</v>
      </c>
      <c r="DG2572" s="405" t="s">
        <v>348</v>
      </c>
      <c r="DH2572" s="406" t="s">
        <v>5146</v>
      </c>
      <c r="DI2572" s="406" t="str">
        <f t="shared" si="72"/>
        <v>PB, Araçagi</v>
      </c>
      <c r="DJ2572" s="406">
        <v>-6.8529999999999998</v>
      </c>
      <c r="DK2572" s="80">
        <v>-35.381</v>
      </c>
      <c r="DL2572" s="80">
        <v>57</v>
      </c>
      <c r="DM2572" s="64">
        <v>8</v>
      </c>
      <c r="DN2572" s="406" t="s">
        <v>7492</v>
      </c>
      <c r="DO2572" s="406">
        <v>-6.96</v>
      </c>
      <c r="DP2572" s="80">
        <v>575</v>
      </c>
    </row>
    <row r="2573" spans="29:120" x14ac:dyDescent="0.25">
      <c r="AC2573" s="122" t="s">
        <v>322</v>
      </c>
      <c r="AD2573" s="122" t="s">
        <v>2923</v>
      </c>
      <c r="AE2573" s="127">
        <v>6</v>
      </c>
      <c r="DA2573" s="122" t="s">
        <v>348</v>
      </c>
      <c r="DB2573" s="122" t="s">
        <v>2286</v>
      </c>
      <c r="DC2573" s="122" t="s">
        <v>2286</v>
      </c>
      <c r="DD2573" s="127">
        <v>8</v>
      </c>
      <c r="DE2573" s="127">
        <v>8</v>
      </c>
      <c r="DG2573" s="405" t="s">
        <v>348</v>
      </c>
      <c r="DH2573" s="406" t="s">
        <v>2286</v>
      </c>
      <c r="DI2573" s="406" t="str">
        <f t="shared" si="72"/>
        <v>PB, Arara</v>
      </c>
      <c r="DJ2573" s="406">
        <v>-6.8280000000000003</v>
      </c>
      <c r="DK2573" s="80">
        <v>-35.758000000000003</v>
      </c>
      <c r="DL2573" s="80">
        <v>467</v>
      </c>
      <c r="DM2573" s="64">
        <v>8</v>
      </c>
      <c r="DN2573" s="406" t="s">
        <v>7492</v>
      </c>
      <c r="DO2573" s="406">
        <v>-6.96</v>
      </c>
      <c r="DP2573" s="80">
        <v>575</v>
      </c>
    </row>
    <row r="2574" spans="29:120" x14ac:dyDescent="0.25">
      <c r="AC2574" s="122" t="s">
        <v>322</v>
      </c>
      <c r="AD2574" s="122" t="s">
        <v>2924</v>
      </c>
      <c r="AE2574" s="127">
        <v>4</v>
      </c>
      <c r="DA2574" s="122" t="s">
        <v>348</v>
      </c>
      <c r="DB2574" s="122" t="s">
        <v>1952</v>
      </c>
      <c r="DC2574" s="122" t="s">
        <v>1952</v>
      </c>
      <c r="DD2574" s="127">
        <v>8</v>
      </c>
      <c r="DE2574" s="127">
        <v>8</v>
      </c>
      <c r="DG2574" s="405" t="s">
        <v>348</v>
      </c>
      <c r="DH2574" s="406" t="s">
        <v>1952</v>
      </c>
      <c r="DI2574" s="406" t="str">
        <f t="shared" si="72"/>
        <v>PB, Araruna</v>
      </c>
      <c r="DJ2574" s="406">
        <v>-6.5579999999999998</v>
      </c>
      <c r="DK2574" s="80">
        <v>-35.741999999999997</v>
      </c>
      <c r="DL2574" s="80">
        <v>570</v>
      </c>
      <c r="DM2574" s="64">
        <v>8</v>
      </c>
      <c r="DN2574" s="406" t="s">
        <v>7492</v>
      </c>
      <c r="DO2574" s="406">
        <v>-6.96</v>
      </c>
      <c r="DP2574" s="80">
        <v>575</v>
      </c>
    </row>
    <row r="2575" spans="29:120" x14ac:dyDescent="0.25">
      <c r="AC2575" s="122" t="s">
        <v>333</v>
      </c>
      <c r="AD2575" s="122" t="s">
        <v>2925</v>
      </c>
      <c r="AE2575" s="127">
        <v>4</v>
      </c>
      <c r="DA2575" s="122" t="s">
        <v>348</v>
      </c>
      <c r="DB2575" s="122" t="s">
        <v>2340</v>
      </c>
      <c r="DC2575" s="122" t="s">
        <v>2340</v>
      </c>
      <c r="DD2575" s="127">
        <v>8</v>
      </c>
      <c r="DE2575" s="127">
        <v>8</v>
      </c>
      <c r="DG2575" s="405" t="s">
        <v>348</v>
      </c>
      <c r="DH2575" s="406" t="s">
        <v>2340</v>
      </c>
      <c r="DI2575" s="406" t="str">
        <f t="shared" si="72"/>
        <v>PB, Areia</v>
      </c>
      <c r="DJ2575" s="406">
        <v>-6.9630000000000001</v>
      </c>
      <c r="DK2575" s="80">
        <v>-35.692</v>
      </c>
      <c r="DL2575" s="80">
        <v>618</v>
      </c>
      <c r="DM2575" s="64">
        <v>8</v>
      </c>
      <c r="DN2575" s="406" t="s">
        <v>7492</v>
      </c>
      <c r="DO2575" s="406">
        <v>-6.96</v>
      </c>
      <c r="DP2575" s="80">
        <v>575</v>
      </c>
    </row>
    <row r="2576" spans="29:120" x14ac:dyDescent="0.25">
      <c r="AC2576" s="122" t="s">
        <v>336</v>
      </c>
      <c r="AD2576" s="122" t="s">
        <v>2926</v>
      </c>
      <c r="AE2576" s="127">
        <v>6</v>
      </c>
      <c r="DA2576" s="122" t="s">
        <v>348</v>
      </c>
      <c r="DB2576" s="122" t="s">
        <v>7498</v>
      </c>
      <c r="DC2576" s="122" t="s">
        <v>2174</v>
      </c>
      <c r="DD2576" s="127">
        <v>7</v>
      </c>
      <c r="DE2576" s="127">
        <v>7</v>
      </c>
      <c r="DG2576" s="405" t="s">
        <v>348</v>
      </c>
      <c r="DH2576" s="406" t="s">
        <v>2174</v>
      </c>
      <c r="DI2576" s="406" t="str">
        <f t="shared" si="72"/>
        <v>PB, Areia de Baraúnas</v>
      </c>
      <c r="DJ2576" s="406">
        <v>-7.1230000000000002</v>
      </c>
      <c r="DK2576" s="80">
        <v>-36.941000000000003</v>
      </c>
      <c r="DL2576" s="80">
        <v>371</v>
      </c>
      <c r="DM2576" s="64">
        <v>7</v>
      </c>
      <c r="DN2576" s="406" t="s">
        <v>7490</v>
      </c>
      <c r="DO2576" s="406">
        <v>-7.02</v>
      </c>
      <c r="DP2576" s="80">
        <v>249</v>
      </c>
    </row>
    <row r="2577" spans="29:120" x14ac:dyDescent="0.25">
      <c r="AC2577" s="122" t="s">
        <v>322</v>
      </c>
      <c r="AD2577" s="122" t="s">
        <v>2927</v>
      </c>
      <c r="AE2577" s="127">
        <v>6</v>
      </c>
      <c r="DA2577" s="122" t="s">
        <v>348</v>
      </c>
      <c r="DB2577" s="122" t="s">
        <v>2267</v>
      </c>
      <c r="DC2577" s="122" t="s">
        <v>2267</v>
      </c>
      <c r="DD2577" s="127">
        <v>8</v>
      </c>
      <c r="DE2577" s="127">
        <v>8</v>
      </c>
      <c r="DG2577" s="405" t="s">
        <v>348</v>
      </c>
      <c r="DH2577" s="406" t="s">
        <v>2267</v>
      </c>
      <c r="DI2577" s="406" t="str">
        <f t="shared" si="72"/>
        <v>PB, Areial</v>
      </c>
      <c r="DJ2577" s="406">
        <v>-7.048</v>
      </c>
      <c r="DK2577" s="80">
        <v>-35.930999999999997</v>
      </c>
      <c r="DL2577" s="80">
        <v>695</v>
      </c>
      <c r="DM2577" s="64">
        <v>8</v>
      </c>
      <c r="DN2577" s="406" t="s">
        <v>7499</v>
      </c>
      <c r="DO2577" s="406">
        <v>-7.23</v>
      </c>
      <c r="DP2577" s="80">
        <v>548</v>
      </c>
    </row>
    <row r="2578" spans="29:120" x14ac:dyDescent="0.25">
      <c r="AC2578" s="122" t="s">
        <v>322</v>
      </c>
      <c r="AD2578" s="122" t="s">
        <v>2928</v>
      </c>
      <c r="AE2578" s="127">
        <v>6</v>
      </c>
      <c r="DA2578" s="122" t="s">
        <v>348</v>
      </c>
      <c r="DB2578" s="122" t="s">
        <v>2224</v>
      </c>
      <c r="DC2578" s="122" t="s">
        <v>2224</v>
      </c>
      <c r="DD2578" s="127">
        <v>8</v>
      </c>
      <c r="DE2578" s="127">
        <v>8</v>
      </c>
      <c r="DG2578" s="405" t="s">
        <v>348</v>
      </c>
      <c r="DH2578" s="406" t="s">
        <v>2224</v>
      </c>
      <c r="DI2578" s="406" t="str">
        <f t="shared" si="72"/>
        <v>PB, Aroeiras</v>
      </c>
      <c r="DJ2578" s="406">
        <v>-7.5449999999999999</v>
      </c>
      <c r="DK2578" s="80">
        <v>-35.707999999999998</v>
      </c>
      <c r="DL2578" s="80">
        <v>363</v>
      </c>
      <c r="DM2578" s="64">
        <v>8</v>
      </c>
      <c r="DN2578" s="406" t="s">
        <v>7494</v>
      </c>
      <c r="DO2578" s="406">
        <v>-7.84</v>
      </c>
      <c r="DP2578" s="80">
        <v>418</v>
      </c>
    </row>
    <row r="2579" spans="29:120" x14ac:dyDescent="0.25">
      <c r="AC2579" s="122" t="s">
        <v>322</v>
      </c>
      <c r="AD2579" s="122" t="s">
        <v>2929</v>
      </c>
      <c r="AE2579" s="127">
        <v>6</v>
      </c>
      <c r="DA2579" s="122" t="s">
        <v>348</v>
      </c>
      <c r="DB2579" s="122" t="s">
        <v>2179</v>
      </c>
      <c r="DC2579" s="122" t="s">
        <v>2179</v>
      </c>
      <c r="DD2579" s="127">
        <v>8</v>
      </c>
      <c r="DE2579" s="127">
        <v>8</v>
      </c>
      <c r="DG2579" s="405" t="s">
        <v>348</v>
      </c>
      <c r="DH2579" s="406" t="s">
        <v>2179</v>
      </c>
      <c r="DI2579" s="406" t="str">
        <f t="shared" si="72"/>
        <v>PB, Assunção</v>
      </c>
      <c r="DJ2579" s="406">
        <v>-7.0739999999999998</v>
      </c>
      <c r="DK2579" s="80">
        <v>-36.731000000000002</v>
      </c>
      <c r="DL2579" s="80">
        <v>573</v>
      </c>
      <c r="DM2579" s="64">
        <v>8</v>
      </c>
      <c r="DN2579" s="406" t="s">
        <v>7490</v>
      </c>
      <c r="DO2579" s="406">
        <v>-7.02</v>
      </c>
      <c r="DP2579" s="80">
        <v>249</v>
      </c>
    </row>
    <row r="2580" spans="29:120" x14ac:dyDescent="0.25">
      <c r="AC2580" s="122" t="s">
        <v>333</v>
      </c>
      <c r="AD2580" s="122" t="s">
        <v>2930</v>
      </c>
      <c r="AE2580" s="127">
        <v>6</v>
      </c>
      <c r="DA2580" s="122" t="s">
        <v>348</v>
      </c>
      <c r="DB2580" s="122" t="s">
        <v>7500</v>
      </c>
      <c r="DC2580" s="122" t="s">
        <v>4099</v>
      </c>
      <c r="DD2580" s="127">
        <v>8</v>
      </c>
      <c r="DE2580" s="127">
        <v>8</v>
      </c>
      <c r="DG2580" s="405" t="s">
        <v>348</v>
      </c>
      <c r="DH2580" s="406" t="s">
        <v>4099</v>
      </c>
      <c r="DI2580" s="406" t="str">
        <f t="shared" si="72"/>
        <v>PB, Baía da Traição</v>
      </c>
      <c r="DJ2580" s="406">
        <v>-6.6879999999999997</v>
      </c>
      <c r="DK2580" s="80">
        <v>-34.936</v>
      </c>
      <c r="DL2580" s="80">
        <v>2</v>
      </c>
      <c r="DM2580" s="64">
        <v>8</v>
      </c>
      <c r="DN2580" s="406" t="s">
        <v>7501</v>
      </c>
      <c r="DO2580" s="406">
        <v>-6.61</v>
      </c>
      <c r="DP2580" s="80">
        <v>136</v>
      </c>
    </row>
    <row r="2581" spans="29:120" x14ac:dyDescent="0.25">
      <c r="AC2581" s="122" t="s">
        <v>333</v>
      </c>
      <c r="AD2581" s="122" t="s">
        <v>2931</v>
      </c>
      <c r="AE2581" s="127">
        <v>3</v>
      </c>
      <c r="DA2581" s="122" t="s">
        <v>348</v>
      </c>
      <c r="DB2581" s="122" t="s">
        <v>2275</v>
      </c>
      <c r="DC2581" s="122" t="s">
        <v>2275</v>
      </c>
      <c r="DD2581" s="127">
        <v>8</v>
      </c>
      <c r="DE2581" s="127">
        <v>8</v>
      </c>
      <c r="DG2581" s="405" t="s">
        <v>348</v>
      </c>
      <c r="DH2581" s="406" t="s">
        <v>2275</v>
      </c>
      <c r="DI2581" s="406" t="str">
        <f t="shared" si="72"/>
        <v>PB, Bananeiras</v>
      </c>
      <c r="DJ2581" s="406">
        <v>-6.75</v>
      </c>
      <c r="DK2581" s="80">
        <v>-35.633000000000003</v>
      </c>
      <c r="DL2581" s="80">
        <v>520</v>
      </c>
      <c r="DM2581" s="64">
        <v>8</v>
      </c>
      <c r="DN2581" s="406" t="s">
        <v>7492</v>
      </c>
      <c r="DO2581" s="406">
        <v>-6.96</v>
      </c>
      <c r="DP2581" s="80">
        <v>575</v>
      </c>
    </row>
    <row r="2582" spans="29:120" x14ac:dyDescent="0.25">
      <c r="AC2582" s="122" t="s">
        <v>323</v>
      </c>
      <c r="AD2582" s="122" t="s">
        <v>2932</v>
      </c>
      <c r="AE2582" s="127">
        <v>8</v>
      </c>
      <c r="DA2582" s="122" t="s">
        <v>348</v>
      </c>
      <c r="DB2582" s="122" t="s">
        <v>2291</v>
      </c>
      <c r="DC2582" s="122" t="s">
        <v>2291</v>
      </c>
      <c r="DD2582" s="127">
        <v>8</v>
      </c>
      <c r="DE2582" s="127">
        <v>8</v>
      </c>
      <c r="DG2582" s="405" t="s">
        <v>348</v>
      </c>
      <c r="DH2582" s="406" t="s">
        <v>2291</v>
      </c>
      <c r="DI2582" s="406" t="str">
        <f t="shared" si="72"/>
        <v>PB, Baraúna</v>
      </c>
      <c r="DJ2582" s="406">
        <v>-6.6429999999999998</v>
      </c>
      <c r="DK2582" s="80">
        <v>-36.253999999999998</v>
      </c>
      <c r="DL2582" s="80">
        <v>626</v>
      </c>
      <c r="DM2582" s="64">
        <v>8</v>
      </c>
      <c r="DN2582" s="406" t="s">
        <v>7492</v>
      </c>
      <c r="DO2582" s="406">
        <v>-6.96</v>
      </c>
      <c r="DP2582" s="80">
        <v>575</v>
      </c>
    </row>
    <row r="2583" spans="29:120" x14ac:dyDescent="0.25">
      <c r="AC2583" s="122" t="s">
        <v>322</v>
      </c>
      <c r="AD2583" s="122" t="s">
        <v>2933</v>
      </c>
      <c r="AE2583" s="127">
        <v>6</v>
      </c>
      <c r="DA2583" s="122" t="s">
        <v>348</v>
      </c>
      <c r="DB2583" s="122" t="s">
        <v>7502</v>
      </c>
      <c r="DC2583" s="122" t="s">
        <v>2303</v>
      </c>
      <c r="DD2583" s="127">
        <v>8</v>
      </c>
      <c r="DE2583" s="127">
        <v>8</v>
      </c>
      <c r="DG2583" s="405" t="s">
        <v>348</v>
      </c>
      <c r="DH2583" s="406" t="s">
        <v>2303</v>
      </c>
      <c r="DI2583" s="406" t="str">
        <f t="shared" si="72"/>
        <v>PB, Barra de Santa Rosa</v>
      </c>
      <c r="DJ2583" s="406">
        <v>-6.72</v>
      </c>
      <c r="DK2583" s="80">
        <v>-36.061</v>
      </c>
      <c r="DL2583" s="80">
        <v>457</v>
      </c>
      <c r="DM2583" s="64">
        <v>8</v>
      </c>
      <c r="DN2583" s="406" t="s">
        <v>7492</v>
      </c>
      <c r="DO2583" s="406">
        <v>-6.96</v>
      </c>
      <c r="DP2583" s="80">
        <v>575</v>
      </c>
    </row>
    <row r="2584" spans="29:120" x14ac:dyDescent="0.25">
      <c r="AC2584" s="122" t="s">
        <v>322</v>
      </c>
      <c r="AD2584" s="122" t="s">
        <v>2934</v>
      </c>
      <c r="AE2584" s="127">
        <v>6</v>
      </c>
      <c r="DA2584" s="122" t="s">
        <v>348</v>
      </c>
      <c r="DB2584" s="122" t="s">
        <v>7503</v>
      </c>
      <c r="DC2584" s="122" t="s">
        <v>2032</v>
      </c>
      <c r="DD2584" s="127">
        <v>8</v>
      </c>
      <c r="DE2584" s="127">
        <v>8</v>
      </c>
      <c r="DG2584" s="405" t="s">
        <v>348</v>
      </c>
      <c r="DH2584" s="406" t="s">
        <v>2032</v>
      </c>
      <c r="DI2584" s="406" t="str">
        <f t="shared" si="72"/>
        <v>PB, Barra de Santana</v>
      </c>
      <c r="DJ2584" s="406">
        <v>-7.52</v>
      </c>
      <c r="DK2584" s="80">
        <v>-36</v>
      </c>
      <c r="DL2584" s="80">
        <v>350</v>
      </c>
      <c r="DM2584" s="64">
        <v>8</v>
      </c>
      <c r="DN2584" s="406" t="s">
        <v>7504</v>
      </c>
      <c r="DO2584" s="406">
        <v>-7.48</v>
      </c>
      <c r="DP2584" s="80">
        <v>436</v>
      </c>
    </row>
    <row r="2585" spans="29:120" x14ac:dyDescent="0.25">
      <c r="AC2585" s="122" t="s">
        <v>322</v>
      </c>
      <c r="AD2585" s="122" t="s">
        <v>2935</v>
      </c>
      <c r="AE2585" s="127">
        <v>4</v>
      </c>
      <c r="DA2585" s="122" t="s">
        <v>348</v>
      </c>
      <c r="DB2585" s="122" t="s">
        <v>6092</v>
      </c>
      <c r="DC2585" s="122" t="s">
        <v>2247</v>
      </c>
      <c r="DD2585" s="127">
        <v>8</v>
      </c>
      <c r="DE2585" s="127">
        <v>8</v>
      </c>
      <c r="DG2585" s="405" t="s">
        <v>348</v>
      </c>
      <c r="DH2585" s="406" t="s">
        <v>2247</v>
      </c>
      <c r="DI2585" s="406" t="str">
        <f t="shared" si="72"/>
        <v>PB, Barra de São Miguel</v>
      </c>
      <c r="DJ2585" s="406">
        <v>-7.7510000000000003</v>
      </c>
      <c r="DK2585" s="80">
        <v>-36.317999999999998</v>
      </c>
      <c r="DL2585" s="80">
        <v>486</v>
      </c>
      <c r="DM2585" s="64">
        <v>8</v>
      </c>
      <c r="DN2585" s="406" t="s">
        <v>7504</v>
      </c>
      <c r="DO2585" s="406">
        <v>-7.48</v>
      </c>
      <c r="DP2585" s="80">
        <v>436</v>
      </c>
    </row>
    <row r="2586" spans="29:120" x14ac:dyDescent="0.25">
      <c r="AC2586" s="122" t="s">
        <v>376</v>
      </c>
      <c r="AD2586" s="122" t="s">
        <v>2936</v>
      </c>
      <c r="AE2586" s="127">
        <v>3</v>
      </c>
      <c r="DA2586" s="122" t="s">
        <v>348</v>
      </c>
      <c r="DB2586" s="122" t="s">
        <v>5024</v>
      </c>
      <c r="DC2586" s="122" t="s">
        <v>5024</v>
      </c>
      <c r="DD2586" s="127">
        <v>8</v>
      </c>
      <c r="DE2586" s="127">
        <v>8</v>
      </c>
      <c r="DG2586" s="405" t="s">
        <v>348</v>
      </c>
      <c r="DH2586" s="406" t="s">
        <v>5024</v>
      </c>
      <c r="DI2586" s="406" t="str">
        <f t="shared" si="72"/>
        <v>PB, Bayeux</v>
      </c>
      <c r="DJ2586" s="406">
        <v>-7.125</v>
      </c>
      <c r="DK2586" s="80">
        <v>-34.932000000000002</v>
      </c>
      <c r="DL2586" s="80">
        <v>11</v>
      </c>
      <c r="DM2586" s="64">
        <v>8</v>
      </c>
      <c r="DN2586" s="406" t="s">
        <v>7496</v>
      </c>
      <c r="DO2586" s="406">
        <v>-7.11</v>
      </c>
      <c r="DP2586" s="80">
        <v>44</v>
      </c>
    </row>
    <row r="2587" spans="29:120" x14ac:dyDescent="0.25">
      <c r="AC2587" s="122" t="s">
        <v>376</v>
      </c>
      <c r="AD2587" s="122" t="s">
        <v>2937</v>
      </c>
      <c r="AE2587" s="127">
        <v>6</v>
      </c>
      <c r="DA2587" s="122" t="s">
        <v>348</v>
      </c>
      <c r="DB2587" s="122" t="s">
        <v>2167</v>
      </c>
      <c r="DC2587" s="122" t="s">
        <v>2167</v>
      </c>
      <c r="DD2587" s="127">
        <v>8</v>
      </c>
      <c r="DE2587" s="127">
        <v>8</v>
      </c>
      <c r="DG2587" s="405" t="s">
        <v>348</v>
      </c>
      <c r="DH2587" s="406" t="s">
        <v>2167</v>
      </c>
      <c r="DI2587" s="406" t="str">
        <f t="shared" si="72"/>
        <v>PB, Belém</v>
      </c>
      <c r="DJ2587" s="406">
        <v>-6.7469999999999999</v>
      </c>
      <c r="DK2587" s="80">
        <v>-35.518999999999998</v>
      </c>
      <c r="DL2587" s="80">
        <v>149</v>
      </c>
      <c r="DM2587" s="64">
        <v>8</v>
      </c>
      <c r="DN2587" s="406" t="s">
        <v>7492</v>
      </c>
      <c r="DO2587" s="406">
        <v>-6.96</v>
      </c>
      <c r="DP2587" s="80">
        <v>575</v>
      </c>
    </row>
    <row r="2588" spans="29:120" x14ac:dyDescent="0.25">
      <c r="AC2588" s="122" t="s">
        <v>333</v>
      </c>
      <c r="AD2588" s="122" t="s">
        <v>2938</v>
      </c>
      <c r="AE2588" s="127">
        <v>6</v>
      </c>
      <c r="DA2588" s="122" t="s">
        <v>348</v>
      </c>
      <c r="DB2588" s="122" t="s">
        <v>7505</v>
      </c>
      <c r="DC2588" s="122" t="s">
        <v>4499</v>
      </c>
      <c r="DD2588" s="127">
        <v>7</v>
      </c>
      <c r="DE2588" s="127">
        <v>7</v>
      </c>
      <c r="DG2588" s="405" t="s">
        <v>348</v>
      </c>
      <c r="DH2588" s="406" t="s">
        <v>4499</v>
      </c>
      <c r="DI2588" s="406" t="str">
        <f t="shared" si="72"/>
        <v>PB, Belém do Brejo do Cruz</v>
      </c>
      <c r="DJ2588" s="406">
        <v>-6.1890000000000001</v>
      </c>
      <c r="DK2588" s="80">
        <v>-37.536000000000001</v>
      </c>
      <c r="DL2588" s="80">
        <v>176</v>
      </c>
      <c r="DM2588" s="64">
        <v>7</v>
      </c>
      <c r="DN2588" s="406" t="s">
        <v>7506</v>
      </c>
      <c r="DO2588" s="406">
        <v>-6.46</v>
      </c>
      <c r="DP2588" s="80">
        <v>170</v>
      </c>
    </row>
    <row r="2589" spans="29:120" x14ac:dyDescent="0.25">
      <c r="AC2589" s="122" t="s">
        <v>340</v>
      </c>
      <c r="AD2589" s="122" t="s">
        <v>2939</v>
      </c>
      <c r="AE2589" s="127">
        <v>6</v>
      </c>
      <c r="DA2589" s="122" t="s">
        <v>348</v>
      </c>
      <c r="DB2589" s="122" t="s">
        <v>7507</v>
      </c>
      <c r="DC2589" s="122" t="s">
        <v>4511</v>
      </c>
      <c r="DD2589" s="127">
        <v>7</v>
      </c>
      <c r="DE2589" s="127">
        <v>7</v>
      </c>
      <c r="DG2589" s="405" t="s">
        <v>348</v>
      </c>
      <c r="DH2589" s="406" t="s">
        <v>4511</v>
      </c>
      <c r="DI2589" s="406" t="str">
        <f t="shared" si="72"/>
        <v>PB, Bernardino Batista</v>
      </c>
      <c r="DJ2589" s="406">
        <v>-6.452</v>
      </c>
      <c r="DK2589" s="80">
        <v>-38.551000000000002</v>
      </c>
      <c r="DL2589" s="80">
        <v>700</v>
      </c>
      <c r="DM2589" s="64">
        <v>7</v>
      </c>
      <c r="DN2589" s="406" t="s">
        <v>6414</v>
      </c>
      <c r="DO2589" s="406">
        <v>-6.84</v>
      </c>
      <c r="DP2589" s="80">
        <v>234</v>
      </c>
    </row>
    <row r="2590" spans="29:120" x14ac:dyDescent="0.25">
      <c r="AC2590" s="122" t="s">
        <v>333</v>
      </c>
      <c r="AD2590" s="122" t="s">
        <v>2940</v>
      </c>
      <c r="AE2590" s="127">
        <v>6</v>
      </c>
      <c r="DA2590" s="122" t="s">
        <v>348</v>
      </c>
      <c r="DB2590" s="122" t="s">
        <v>7508</v>
      </c>
      <c r="DC2590" s="122" t="s">
        <v>5401</v>
      </c>
      <c r="DD2590" s="127">
        <v>7</v>
      </c>
      <c r="DE2590" s="127">
        <v>7</v>
      </c>
      <c r="DG2590" s="405" t="s">
        <v>348</v>
      </c>
      <c r="DH2590" s="406" t="s">
        <v>5401</v>
      </c>
      <c r="DI2590" s="406" t="str">
        <f t="shared" si="72"/>
        <v>PB, Boa Ventura</v>
      </c>
      <c r="DJ2590" s="406">
        <v>-7.4139999999999997</v>
      </c>
      <c r="DK2590" s="80">
        <v>-38.216000000000001</v>
      </c>
      <c r="DL2590" s="80">
        <v>303</v>
      </c>
      <c r="DM2590" s="64">
        <v>7</v>
      </c>
      <c r="DN2590" s="406" t="s">
        <v>7509</v>
      </c>
      <c r="DO2590" s="406">
        <v>-7.95</v>
      </c>
      <c r="DP2590" s="80">
        <v>461</v>
      </c>
    </row>
    <row r="2591" spans="29:120" x14ac:dyDescent="0.25">
      <c r="AC2591" s="122" t="s">
        <v>376</v>
      </c>
      <c r="AD2591" s="122" t="s">
        <v>2941</v>
      </c>
      <c r="AE2591" s="127">
        <v>6</v>
      </c>
      <c r="DA2591" s="122" t="s">
        <v>348</v>
      </c>
      <c r="DB2591" s="122" t="s">
        <v>7510</v>
      </c>
      <c r="DC2591" s="122" t="s">
        <v>2233</v>
      </c>
      <c r="DD2591" s="127">
        <v>8</v>
      </c>
      <c r="DE2591" s="127">
        <v>8</v>
      </c>
      <c r="DG2591" s="405" t="s">
        <v>348</v>
      </c>
      <c r="DH2591" s="406" t="s">
        <v>2233</v>
      </c>
      <c r="DI2591" s="406" t="str">
        <f t="shared" si="72"/>
        <v>PB, Boa Vista</v>
      </c>
      <c r="DJ2591" s="406">
        <v>-7.2590000000000003</v>
      </c>
      <c r="DK2591" s="80">
        <v>-36.24</v>
      </c>
      <c r="DL2591" s="80">
        <v>493</v>
      </c>
      <c r="DM2591" s="64">
        <v>8</v>
      </c>
      <c r="DN2591" s="406" t="s">
        <v>7504</v>
      </c>
      <c r="DO2591" s="406">
        <v>-7.48</v>
      </c>
      <c r="DP2591" s="80">
        <v>436</v>
      </c>
    </row>
    <row r="2592" spans="29:120" x14ac:dyDescent="0.25">
      <c r="AC2592" s="122" t="s">
        <v>376</v>
      </c>
      <c r="AD2592" s="122" t="s">
        <v>2942</v>
      </c>
      <c r="AE2592" s="127">
        <v>6</v>
      </c>
      <c r="DA2592" s="122" t="s">
        <v>348</v>
      </c>
      <c r="DB2592" s="122" t="s">
        <v>7511</v>
      </c>
      <c r="DC2592" s="122" t="s">
        <v>1517</v>
      </c>
      <c r="DD2592" s="127">
        <v>7</v>
      </c>
      <c r="DE2592" s="127">
        <v>7</v>
      </c>
      <c r="DG2592" s="405" t="s">
        <v>348</v>
      </c>
      <c r="DH2592" s="406" t="s">
        <v>1517</v>
      </c>
      <c r="DI2592" s="406" t="str">
        <f t="shared" si="72"/>
        <v>PB, Bom Jesus</v>
      </c>
      <c r="DJ2592" s="406">
        <v>-6.8170000000000002</v>
      </c>
      <c r="DK2592" s="80">
        <v>-38.65</v>
      </c>
      <c r="DL2592" s="80">
        <v>318</v>
      </c>
      <c r="DM2592" s="64">
        <v>7</v>
      </c>
      <c r="DN2592" s="406" t="s">
        <v>6414</v>
      </c>
      <c r="DO2592" s="406">
        <v>-6.84</v>
      </c>
      <c r="DP2592" s="80">
        <v>234</v>
      </c>
    </row>
    <row r="2593" spans="29:120" x14ac:dyDescent="0.25">
      <c r="AC2593" s="122" t="s">
        <v>322</v>
      </c>
      <c r="AD2593" s="122" t="s">
        <v>2943</v>
      </c>
      <c r="AE2593" s="127">
        <v>6</v>
      </c>
      <c r="DA2593" s="122" t="s">
        <v>348</v>
      </c>
      <c r="DB2593" s="122" t="s">
        <v>6862</v>
      </c>
      <c r="DC2593" s="122" t="s">
        <v>592</v>
      </c>
      <c r="DD2593" s="127">
        <v>7</v>
      </c>
      <c r="DE2593" s="127">
        <v>7</v>
      </c>
      <c r="DG2593" s="405" t="s">
        <v>348</v>
      </c>
      <c r="DH2593" s="406" t="s">
        <v>592</v>
      </c>
      <c r="DI2593" s="406" t="str">
        <f t="shared" si="72"/>
        <v>PB, Bom Sucesso</v>
      </c>
      <c r="DJ2593" s="406">
        <v>-6.4450000000000003</v>
      </c>
      <c r="DK2593" s="80">
        <v>-37.929000000000002</v>
      </c>
      <c r="DL2593" s="80">
        <v>312</v>
      </c>
      <c r="DM2593" s="64">
        <v>7</v>
      </c>
      <c r="DN2593" s="406" t="s">
        <v>6414</v>
      </c>
      <c r="DO2593" s="406">
        <v>-6.84</v>
      </c>
      <c r="DP2593" s="80">
        <v>234</v>
      </c>
    </row>
    <row r="2594" spans="29:120" x14ac:dyDescent="0.25">
      <c r="AC2594" s="122" t="s">
        <v>322</v>
      </c>
      <c r="AD2594" s="122" t="s">
        <v>2944</v>
      </c>
      <c r="AE2594" s="127">
        <v>6</v>
      </c>
      <c r="DA2594" s="122" t="s">
        <v>348</v>
      </c>
      <c r="DB2594" s="122" t="s">
        <v>7512</v>
      </c>
      <c r="DC2594" s="122" t="s">
        <v>2578</v>
      </c>
      <c r="DD2594" s="127">
        <v>7</v>
      </c>
      <c r="DE2594" s="127">
        <v>7</v>
      </c>
      <c r="DG2594" s="405" t="s">
        <v>348</v>
      </c>
      <c r="DH2594" s="406" t="s">
        <v>2578</v>
      </c>
      <c r="DI2594" s="406" t="str">
        <f t="shared" si="72"/>
        <v>PB, Bonito de Santa Fé</v>
      </c>
      <c r="DJ2594" s="406">
        <v>-7.3129999999999997</v>
      </c>
      <c r="DK2594" s="80">
        <v>-38.515000000000001</v>
      </c>
      <c r="DL2594" s="80">
        <v>593</v>
      </c>
      <c r="DM2594" s="64">
        <v>7</v>
      </c>
      <c r="DN2594" s="406" t="s">
        <v>6414</v>
      </c>
      <c r="DO2594" s="406">
        <v>-6.84</v>
      </c>
      <c r="DP2594" s="80">
        <v>234</v>
      </c>
    </row>
    <row r="2595" spans="29:120" x14ac:dyDescent="0.25">
      <c r="AC2595" s="122" t="s">
        <v>333</v>
      </c>
      <c r="AD2595" s="122" t="s">
        <v>2945</v>
      </c>
      <c r="AE2595" s="127">
        <v>6</v>
      </c>
      <c r="DA2595" s="122" t="s">
        <v>348</v>
      </c>
      <c r="DB2595" s="122" t="s">
        <v>3023</v>
      </c>
      <c r="DC2595" s="122" t="s">
        <v>3023</v>
      </c>
      <c r="DD2595" s="127">
        <v>8</v>
      </c>
      <c r="DE2595" s="127">
        <v>8</v>
      </c>
      <c r="DG2595" s="405" t="s">
        <v>348</v>
      </c>
      <c r="DH2595" s="406" t="s">
        <v>3023</v>
      </c>
      <c r="DI2595" s="406" t="str">
        <f t="shared" si="72"/>
        <v>PB, Boqueirão</v>
      </c>
      <c r="DJ2595" s="406">
        <v>-7.4820000000000002</v>
      </c>
      <c r="DK2595" s="80">
        <v>-36.134999999999998</v>
      </c>
      <c r="DL2595" s="80">
        <v>355</v>
      </c>
      <c r="DM2595" s="64">
        <v>8</v>
      </c>
      <c r="DN2595" s="406" t="s">
        <v>7504</v>
      </c>
      <c r="DO2595" s="406">
        <v>-7.48</v>
      </c>
      <c r="DP2595" s="80">
        <v>436</v>
      </c>
    </row>
    <row r="2596" spans="29:120" x14ac:dyDescent="0.25">
      <c r="AC2596" s="122" t="s">
        <v>333</v>
      </c>
      <c r="AD2596" s="122" t="s">
        <v>2946</v>
      </c>
      <c r="AE2596" s="127">
        <v>4</v>
      </c>
      <c r="DA2596" s="122" t="s">
        <v>348</v>
      </c>
      <c r="DB2596" s="122" t="s">
        <v>2276</v>
      </c>
      <c r="DC2596" s="122" t="s">
        <v>2276</v>
      </c>
      <c r="DD2596" s="127">
        <v>8</v>
      </c>
      <c r="DE2596" s="127">
        <v>8</v>
      </c>
      <c r="DG2596" s="405" t="s">
        <v>348</v>
      </c>
      <c r="DH2596" s="406" t="s">
        <v>2276</v>
      </c>
      <c r="DI2596" s="406" t="str">
        <f t="shared" si="72"/>
        <v>PB, Borborema</v>
      </c>
      <c r="DJ2596" s="406">
        <v>-6.8010000000000002</v>
      </c>
      <c r="DK2596" s="80">
        <v>-35.625999999999998</v>
      </c>
      <c r="DL2596" s="80">
        <v>368</v>
      </c>
      <c r="DM2596" s="64">
        <v>8</v>
      </c>
      <c r="DN2596" s="406" t="s">
        <v>7492</v>
      </c>
      <c r="DO2596" s="406">
        <v>-6.96</v>
      </c>
      <c r="DP2596" s="80">
        <v>575</v>
      </c>
    </row>
    <row r="2597" spans="29:120" x14ac:dyDescent="0.25">
      <c r="AC2597" s="122" t="s">
        <v>322</v>
      </c>
      <c r="AD2597" s="122" t="s">
        <v>2947</v>
      </c>
      <c r="AE2597" s="127">
        <v>6</v>
      </c>
      <c r="DA2597" s="122" t="s">
        <v>348</v>
      </c>
      <c r="DB2597" s="122" t="s">
        <v>7513</v>
      </c>
      <c r="DC2597" s="122" t="s">
        <v>4500</v>
      </c>
      <c r="DD2597" s="127">
        <v>7</v>
      </c>
      <c r="DE2597" s="127">
        <v>7</v>
      </c>
      <c r="DG2597" s="405" t="s">
        <v>348</v>
      </c>
      <c r="DH2597" s="406" t="s">
        <v>4500</v>
      </c>
      <c r="DI2597" s="406" t="str">
        <f t="shared" si="72"/>
        <v>PB, Brejo do Cruz</v>
      </c>
      <c r="DJ2597" s="406">
        <v>-6.3490000000000002</v>
      </c>
      <c r="DK2597" s="80">
        <v>-37.497999999999998</v>
      </c>
      <c r="DL2597" s="80">
        <v>199</v>
      </c>
      <c r="DM2597" s="64">
        <v>7</v>
      </c>
      <c r="DN2597" s="406" t="s">
        <v>7506</v>
      </c>
      <c r="DO2597" s="406">
        <v>-6.46</v>
      </c>
      <c r="DP2597" s="80">
        <v>170</v>
      </c>
    </row>
    <row r="2598" spans="29:120" x14ac:dyDescent="0.25">
      <c r="AC2598" s="122" t="s">
        <v>333</v>
      </c>
      <c r="AD2598" s="122" t="s">
        <v>2948</v>
      </c>
      <c r="AE2598" s="127">
        <v>4</v>
      </c>
      <c r="DA2598" s="122" t="s">
        <v>348</v>
      </c>
      <c r="DB2598" s="122" t="s">
        <v>7514</v>
      </c>
      <c r="DC2598" s="122" t="s">
        <v>4522</v>
      </c>
      <c r="DD2598" s="127">
        <v>7</v>
      </c>
      <c r="DE2598" s="127">
        <v>7</v>
      </c>
      <c r="DG2598" s="405" t="s">
        <v>348</v>
      </c>
      <c r="DH2598" s="406" t="s">
        <v>4522</v>
      </c>
      <c r="DI2598" s="406" t="str">
        <f t="shared" si="72"/>
        <v>PB, Brejo dos Santos</v>
      </c>
      <c r="DJ2598" s="406">
        <v>-6.3769999999999998</v>
      </c>
      <c r="DK2598" s="80">
        <v>-37.825000000000003</v>
      </c>
      <c r="DL2598" s="80">
        <v>328</v>
      </c>
      <c r="DM2598" s="64">
        <v>7</v>
      </c>
      <c r="DN2598" s="406" t="s">
        <v>6414</v>
      </c>
      <c r="DO2598" s="406">
        <v>-6.84</v>
      </c>
      <c r="DP2598" s="80">
        <v>234</v>
      </c>
    </row>
    <row r="2599" spans="29:120" x14ac:dyDescent="0.25">
      <c r="AC2599" s="122" t="s">
        <v>333</v>
      </c>
      <c r="AD2599" s="122" t="s">
        <v>2949</v>
      </c>
      <c r="AE2599" s="127">
        <v>4</v>
      </c>
      <c r="DA2599" s="122" t="s">
        <v>348</v>
      </c>
      <c r="DB2599" s="122" t="s">
        <v>5014</v>
      </c>
      <c r="DC2599" s="122" t="s">
        <v>5014</v>
      </c>
      <c r="DD2599" s="127">
        <v>8</v>
      </c>
      <c r="DE2599" s="127">
        <v>8</v>
      </c>
      <c r="DG2599" s="405" t="s">
        <v>348</v>
      </c>
      <c r="DH2599" s="406" t="s">
        <v>5014</v>
      </c>
      <c r="DI2599" s="406" t="str">
        <f t="shared" si="72"/>
        <v>PB, Caaporã</v>
      </c>
      <c r="DJ2599" s="406">
        <v>-7.516</v>
      </c>
      <c r="DK2599" s="80">
        <v>-34.908000000000001</v>
      </c>
      <c r="DL2599" s="80">
        <v>29</v>
      </c>
      <c r="DM2599" s="64">
        <v>8</v>
      </c>
      <c r="DN2599" s="406" t="s">
        <v>7496</v>
      </c>
      <c r="DO2599" s="406">
        <v>-7.11</v>
      </c>
      <c r="DP2599" s="80">
        <v>44</v>
      </c>
    </row>
    <row r="2600" spans="29:120" x14ac:dyDescent="0.25">
      <c r="AC2600" s="122" t="s">
        <v>333</v>
      </c>
      <c r="AD2600" s="122" t="s">
        <v>2950</v>
      </c>
      <c r="AE2600" s="127">
        <v>6</v>
      </c>
      <c r="DA2600" s="122" t="s">
        <v>348</v>
      </c>
      <c r="DB2600" s="122" t="s">
        <v>5192</v>
      </c>
      <c r="DC2600" s="122" t="s">
        <v>5192</v>
      </c>
      <c r="DD2600" s="127">
        <v>8</v>
      </c>
      <c r="DE2600" s="127">
        <v>8</v>
      </c>
      <c r="DG2600" s="405" t="s">
        <v>348</v>
      </c>
      <c r="DH2600" s="406" t="s">
        <v>5192</v>
      </c>
      <c r="DI2600" s="406" t="str">
        <f t="shared" si="72"/>
        <v>PB, Cabaceiras</v>
      </c>
      <c r="DJ2600" s="406">
        <v>-7.4889999999999999</v>
      </c>
      <c r="DK2600" s="80">
        <v>-36.286999999999999</v>
      </c>
      <c r="DL2600" s="80">
        <v>388</v>
      </c>
      <c r="DM2600" s="64">
        <v>8</v>
      </c>
      <c r="DN2600" s="406" t="s">
        <v>7504</v>
      </c>
      <c r="DO2600" s="406">
        <v>-7.48</v>
      </c>
      <c r="DP2600" s="80">
        <v>436</v>
      </c>
    </row>
    <row r="2601" spans="29:120" x14ac:dyDescent="0.25">
      <c r="AC2601" s="122" t="s">
        <v>333</v>
      </c>
      <c r="AD2601" s="122" t="s">
        <v>2951</v>
      </c>
      <c r="AE2601" s="127">
        <v>4</v>
      </c>
      <c r="DA2601" s="122" t="s">
        <v>348</v>
      </c>
      <c r="DB2601" s="122" t="s">
        <v>4069</v>
      </c>
      <c r="DC2601" s="122" t="s">
        <v>4069</v>
      </c>
      <c r="DD2601" s="127">
        <v>8</v>
      </c>
      <c r="DE2601" s="127">
        <v>8</v>
      </c>
      <c r="DG2601" s="405" t="s">
        <v>348</v>
      </c>
      <c r="DH2601" s="406" t="s">
        <v>4069</v>
      </c>
      <c r="DI2601" s="406" t="str">
        <f t="shared" si="72"/>
        <v>PB, Cabedelo</v>
      </c>
      <c r="DJ2601" s="406">
        <v>-6.9809999999999999</v>
      </c>
      <c r="DK2601" s="80">
        <v>-34.834000000000003</v>
      </c>
      <c r="DL2601" s="80">
        <v>3</v>
      </c>
      <c r="DM2601" s="64">
        <v>8</v>
      </c>
      <c r="DN2601" s="406" t="s">
        <v>7496</v>
      </c>
      <c r="DO2601" s="406">
        <v>-7.11</v>
      </c>
      <c r="DP2601" s="80">
        <v>44</v>
      </c>
    </row>
    <row r="2602" spans="29:120" x14ac:dyDescent="0.25">
      <c r="AC2602" s="122" t="s">
        <v>322</v>
      </c>
      <c r="AD2602" s="122" t="s">
        <v>2952</v>
      </c>
      <c r="AE2602" s="127">
        <v>6</v>
      </c>
      <c r="DA2602" s="122" t="s">
        <v>348</v>
      </c>
      <c r="DB2602" s="122" t="s">
        <v>7515</v>
      </c>
      <c r="DC2602" s="122" t="s">
        <v>5434</v>
      </c>
      <c r="DD2602" s="127">
        <v>7</v>
      </c>
      <c r="DE2602" s="127">
        <v>7</v>
      </c>
      <c r="DG2602" s="405" t="s">
        <v>348</v>
      </c>
      <c r="DH2602" s="406" t="s">
        <v>5434</v>
      </c>
      <c r="DI2602" s="406" t="str">
        <f t="shared" si="72"/>
        <v>PB, Cachoeira dos Índios</v>
      </c>
      <c r="DJ2602" s="406">
        <v>-6.9269999999999996</v>
      </c>
      <c r="DK2602" s="80">
        <v>-38.673999999999999</v>
      </c>
      <c r="DL2602" s="80">
        <v>319</v>
      </c>
      <c r="DM2602" s="64">
        <v>7</v>
      </c>
      <c r="DN2602" s="406" t="s">
        <v>6414</v>
      </c>
      <c r="DO2602" s="406">
        <v>-6.84</v>
      </c>
      <c r="DP2602" s="80">
        <v>234</v>
      </c>
    </row>
    <row r="2603" spans="29:120" x14ac:dyDescent="0.25">
      <c r="AC2603" s="122" t="s">
        <v>336</v>
      </c>
      <c r="AD2603" s="122" t="s">
        <v>2953</v>
      </c>
      <c r="AE2603" s="127">
        <v>6</v>
      </c>
      <c r="DA2603" s="122" t="s">
        <v>348</v>
      </c>
      <c r="DB2603" s="122" t="s">
        <v>7516</v>
      </c>
      <c r="DC2603" s="122" t="s">
        <v>5153</v>
      </c>
      <c r="DD2603" s="127">
        <v>7</v>
      </c>
      <c r="DE2603" s="127">
        <v>7</v>
      </c>
      <c r="DG2603" s="405" t="s">
        <v>348</v>
      </c>
      <c r="DH2603" s="406" t="s">
        <v>5153</v>
      </c>
      <c r="DI2603" s="406" t="str">
        <f t="shared" si="72"/>
        <v>PB, Cacimba de Areia</v>
      </c>
      <c r="DJ2603" s="406">
        <v>-7.1289999999999996</v>
      </c>
      <c r="DK2603" s="80">
        <v>-37.156999999999996</v>
      </c>
      <c r="DL2603" s="80">
        <v>272</v>
      </c>
      <c r="DM2603" s="64">
        <v>7</v>
      </c>
      <c r="DN2603" s="406" t="s">
        <v>7490</v>
      </c>
      <c r="DO2603" s="406">
        <v>-7.02</v>
      </c>
      <c r="DP2603" s="80">
        <v>249</v>
      </c>
    </row>
    <row r="2604" spans="29:120" x14ac:dyDescent="0.25">
      <c r="AC2604" s="122" t="s">
        <v>333</v>
      </c>
      <c r="AD2604" s="122" t="s">
        <v>2954</v>
      </c>
      <c r="AE2604" s="127">
        <v>3</v>
      </c>
      <c r="DA2604" s="122" t="s">
        <v>348</v>
      </c>
      <c r="DB2604" s="122" t="s">
        <v>7517</v>
      </c>
      <c r="DC2604" s="122" t="s">
        <v>2269</v>
      </c>
      <c r="DD2604" s="127">
        <v>8</v>
      </c>
      <c r="DE2604" s="127">
        <v>8</v>
      </c>
      <c r="DG2604" s="405" t="s">
        <v>348</v>
      </c>
      <c r="DH2604" s="406" t="s">
        <v>2269</v>
      </c>
      <c r="DI2604" s="406" t="str">
        <f t="shared" si="72"/>
        <v>PB, Cacimba de Dentro</v>
      </c>
      <c r="DJ2604" s="406">
        <v>-6.6420000000000003</v>
      </c>
      <c r="DK2604" s="80">
        <v>-35.79</v>
      </c>
      <c r="DL2604" s="80">
        <v>536</v>
      </c>
      <c r="DM2604" s="64">
        <v>8</v>
      </c>
      <c r="DN2604" s="406" t="s">
        <v>7492</v>
      </c>
      <c r="DO2604" s="406">
        <v>-6.96</v>
      </c>
      <c r="DP2604" s="80">
        <v>575</v>
      </c>
    </row>
    <row r="2605" spans="29:120" x14ac:dyDescent="0.25">
      <c r="AC2605" s="122" t="s">
        <v>289</v>
      </c>
      <c r="AD2605" s="122" t="s">
        <v>2955</v>
      </c>
      <c r="AE2605" s="127">
        <v>6</v>
      </c>
      <c r="DA2605" s="122" t="s">
        <v>348</v>
      </c>
      <c r="DB2605" s="122" t="s">
        <v>2128</v>
      </c>
      <c r="DC2605" s="122" t="s">
        <v>2128</v>
      </c>
      <c r="DD2605" s="127">
        <v>7</v>
      </c>
      <c r="DE2605" s="127">
        <v>7</v>
      </c>
      <c r="DG2605" s="405" t="s">
        <v>348</v>
      </c>
      <c r="DH2605" s="406" t="s">
        <v>2128</v>
      </c>
      <c r="DI2605" s="406" t="str">
        <f t="shared" si="72"/>
        <v>PB, Cacimbas</v>
      </c>
      <c r="DJ2605" s="406">
        <v>-7.2110000000000003</v>
      </c>
      <c r="DK2605" s="80">
        <v>-37.058</v>
      </c>
      <c r="DL2605" s="80">
        <v>645</v>
      </c>
      <c r="DM2605" s="64">
        <v>7</v>
      </c>
      <c r="DN2605" s="406" t="s">
        <v>7490</v>
      </c>
      <c r="DO2605" s="406">
        <v>-7.02</v>
      </c>
      <c r="DP2605" s="80">
        <v>249</v>
      </c>
    </row>
    <row r="2606" spans="29:120" x14ac:dyDescent="0.25">
      <c r="AC2606" s="122" t="s">
        <v>322</v>
      </c>
      <c r="AD2606" s="122" t="s">
        <v>2956</v>
      </c>
      <c r="AE2606" s="127">
        <v>6</v>
      </c>
      <c r="DA2606" s="122" t="s">
        <v>348</v>
      </c>
      <c r="DB2606" s="122" t="s">
        <v>1675</v>
      </c>
      <c r="DC2606" s="122" t="s">
        <v>1675</v>
      </c>
      <c r="DD2606" s="127">
        <v>8</v>
      </c>
      <c r="DE2606" s="127">
        <v>8</v>
      </c>
      <c r="DG2606" s="405" t="s">
        <v>348</v>
      </c>
      <c r="DH2606" s="406" t="s">
        <v>1675</v>
      </c>
      <c r="DI2606" s="406" t="str">
        <f t="shared" si="72"/>
        <v>PB, Caiçara</v>
      </c>
      <c r="DJ2606" s="406">
        <v>-6.5540000000000003</v>
      </c>
      <c r="DK2606" s="80">
        <v>-35.411000000000001</v>
      </c>
      <c r="DL2606" s="80">
        <v>150</v>
      </c>
      <c r="DM2606" s="64">
        <v>8</v>
      </c>
      <c r="DN2606" s="406" t="s">
        <v>7501</v>
      </c>
      <c r="DO2606" s="406">
        <v>-6.61</v>
      </c>
      <c r="DP2606" s="80">
        <v>136</v>
      </c>
    </row>
    <row r="2607" spans="29:120" x14ac:dyDescent="0.25">
      <c r="AC2607" s="122" t="s">
        <v>322</v>
      </c>
      <c r="AD2607" s="122" t="s">
        <v>2957</v>
      </c>
      <c r="AE2607" s="127">
        <v>6</v>
      </c>
      <c r="DA2607" s="122" t="s">
        <v>348</v>
      </c>
      <c r="DB2607" s="122" t="s">
        <v>5439</v>
      </c>
      <c r="DC2607" s="122" t="s">
        <v>5439</v>
      </c>
      <c r="DD2607" s="127">
        <v>7</v>
      </c>
      <c r="DE2607" s="127">
        <v>7</v>
      </c>
      <c r="DG2607" s="405" t="s">
        <v>348</v>
      </c>
      <c r="DH2607" s="406" t="s">
        <v>5439</v>
      </c>
      <c r="DI2607" s="406" t="str">
        <f t="shared" si="72"/>
        <v>PB, Cajazeiras</v>
      </c>
      <c r="DJ2607" s="406">
        <v>-6.89</v>
      </c>
      <c r="DK2607" s="80">
        <v>-38.561999999999998</v>
      </c>
      <c r="DL2607" s="80">
        <v>298</v>
      </c>
      <c r="DM2607" s="64">
        <v>7</v>
      </c>
      <c r="DN2607" s="406" t="s">
        <v>6414</v>
      </c>
      <c r="DO2607" s="406">
        <v>-6.84</v>
      </c>
      <c r="DP2607" s="80">
        <v>234</v>
      </c>
    </row>
    <row r="2608" spans="29:120" x14ac:dyDescent="0.25">
      <c r="AC2608" s="122" t="s">
        <v>333</v>
      </c>
      <c r="AD2608" s="122" t="s">
        <v>2958</v>
      </c>
      <c r="AE2608" s="127">
        <v>6</v>
      </c>
      <c r="DA2608" s="122" t="s">
        <v>348</v>
      </c>
      <c r="DB2608" s="122" t="s">
        <v>5427</v>
      </c>
      <c r="DC2608" s="122" t="s">
        <v>5427</v>
      </c>
      <c r="DD2608" s="127">
        <v>7</v>
      </c>
      <c r="DE2608" s="127">
        <v>7</v>
      </c>
      <c r="DG2608" s="405" t="s">
        <v>348</v>
      </c>
      <c r="DH2608" s="406" t="s">
        <v>5427</v>
      </c>
      <c r="DI2608" s="406" t="str">
        <f t="shared" si="72"/>
        <v>PB, Cajazeirinhas</v>
      </c>
      <c r="DJ2608" s="406">
        <v>-6.9610000000000003</v>
      </c>
      <c r="DK2608" s="80">
        <v>-37.805999999999997</v>
      </c>
      <c r="DL2608" s="80">
        <v>261</v>
      </c>
      <c r="DM2608" s="64">
        <v>7</v>
      </c>
      <c r="DN2608" s="406" t="s">
        <v>6414</v>
      </c>
      <c r="DO2608" s="406">
        <v>-6.84</v>
      </c>
      <c r="DP2608" s="80">
        <v>234</v>
      </c>
    </row>
    <row r="2609" spans="29:120" x14ac:dyDescent="0.25">
      <c r="AC2609" s="122" t="s">
        <v>333</v>
      </c>
      <c r="AD2609" s="122" t="s">
        <v>2959</v>
      </c>
      <c r="AE2609" s="127">
        <v>4</v>
      </c>
      <c r="DA2609" s="122" t="s">
        <v>348</v>
      </c>
      <c r="DB2609" s="122" t="s">
        <v>7518</v>
      </c>
      <c r="DC2609" s="122" t="s">
        <v>5092</v>
      </c>
      <c r="DD2609" s="127">
        <v>8</v>
      </c>
      <c r="DE2609" s="127">
        <v>8</v>
      </c>
      <c r="DG2609" s="405" t="s">
        <v>348</v>
      </c>
      <c r="DH2609" s="406" t="s">
        <v>5092</v>
      </c>
      <c r="DI2609" s="406" t="str">
        <f t="shared" si="72"/>
        <v>PB, Caldas Brandão</v>
      </c>
      <c r="DJ2609" s="406">
        <v>-7.1029999999999998</v>
      </c>
      <c r="DK2609" s="80">
        <v>-35.326000000000001</v>
      </c>
      <c r="DL2609" s="80">
        <v>75</v>
      </c>
      <c r="DM2609" s="64">
        <v>8</v>
      </c>
      <c r="DN2609" s="406" t="s">
        <v>7492</v>
      </c>
      <c r="DO2609" s="406">
        <v>-6.96</v>
      </c>
      <c r="DP2609" s="80">
        <v>575</v>
      </c>
    </row>
    <row r="2610" spans="29:120" x14ac:dyDescent="0.25">
      <c r="AC2610" s="122" t="s">
        <v>322</v>
      </c>
      <c r="AD2610" s="122" t="s">
        <v>2960</v>
      </c>
      <c r="AE2610" s="127">
        <v>6</v>
      </c>
      <c r="DA2610" s="122" t="s">
        <v>348</v>
      </c>
      <c r="DB2610" s="122" t="s">
        <v>2237</v>
      </c>
      <c r="DC2610" s="122" t="s">
        <v>2237</v>
      </c>
      <c r="DD2610" s="127">
        <v>5</v>
      </c>
      <c r="DE2610" s="127">
        <v>5</v>
      </c>
      <c r="DG2610" s="405" t="s">
        <v>348</v>
      </c>
      <c r="DH2610" s="406" t="s">
        <v>2237</v>
      </c>
      <c r="DI2610" s="406" t="str">
        <f t="shared" si="72"/>
        <v>PB, Camalaú</v>
      </c>
      <c r="DJ2610" s="406">
        <v>-7.8890000000000002</v>
      </c>
      <c r="DK2610" s="80">
        <v>-36.823</v>
      </c>
      <c r="DL2610" s="80">
        <v>521</v>
      </c>
      <c r="DM2610" s="64">
        <v>5</v>
      </c>
      <c r="DN2610" s="406" t="s">
        <v>7497</v>
      </c>
      <c r="DO2610" s="406">
        <v>-7.89</v>
      </c>
      <c r="DP2610" s="80">
        <v>604</v>
      </c>
    </row>
    <row r="2611" spans="29:120" x14ac:dyDescent="0.25">
      <c r="AC2611" s="122" t="s">
        <v>348</v>
      </c>
      <c r="AD2611" s="122" t="s">
        <v>2961</v>
      </c>
      <c r="AE2611" s="127">
        <v>8</v>
      </c>
      <c r="DA2611" s="122" t="s">
        <v>348</v>
      </c>
      <c r="DB2611" s="122" t="s">
        <v>7519</v>
      </c>
      <c r="DC2611" s="122" t="s">
        <v>2308</v>
      </c>
      <c r="DD2611" s="127">
        <v>8</v>
      </c>
      <c r="DE2611" s="127">
        <v>8</v>
      </c>
      <c r="DG2611" s="405" t="s">
        <v>348</v>
      </c>
      <c r="DH2611" s="406" t="s">
        <v>2308</v>
      </c>
      <c r="DI2611" s="406" t="str">
        <f t="shared" si="72"/>
        <v>PB, Campina Grande</v>
      </c>
      <c r="DJ2611" s="406">
        <v>-7.2309999999999999</v>
      </c>
      <c r="DK2611" s="80">
        <v>-35.881</v>
      </c>
      <c r="DL2611" s="80">
        <v>551</v>
      </c>
      <c r="DM2611" s="64">
        <v>8</v>
      </c>
      <c r="DN2611" s="406" t="s">
        <v>7499</v>
      </c>
      <c r="DO2611" s="406">
        <v>-7.23</v>
      </c>
      <c r="DP2611" s="80">
        <v>548</v>
      </c>
    </row>
    <row r="2612" spans="29:120" x14ac:dyDescent="0.25">
      <c r="AC2612" s="122" t="s">
        <v>333</v>
      </c>
      <c r="AD2612" s="122" t="s">
        <v>2962</v>
      </c>
      <c r="AE2612" s="127">
        <v>6</v>
      </c>
      <c r="DA2612" s="122" t="s">
        <v>348</v>
      </c>
      <c r="DB2612" s="122" t="s">
        <v>7520</v>
      </c>
      <c r="DC2612" s="122" t="s">
        <v>1939</v>
      </c>
      <c r="DD2612" s="127">
        <v>8</v>
      </c>
      <c r="DE2612" s="127">
        <v>8</v>
      </c>
      <c r="DG2612" s="405" t="s">
        <v>348</v>
      </c>
      <c r="DH2612" s="406" t="s">
        <v>1939</v>
      </c>
      <c r="DI2612" s="406" t="str">
        <f t="shared" si="72"/>
        <v>PB, Campo de Santana</v>
      </c>
      <c r="DJ2612" s="406">
        <v>-6.4880000000000004</v>
      </c>
      <c r="DK2612" s="80">
        <v>-35.637</v>
      </c>
      <c r="DL2612" s="80">
        <v>168</v>
      </c>
      <c r="DM2612" s="64">
        <v>8</v>
      </c>
      <c r="DN2612" s="406" t="s">
        <v>7492</v>
      </c>
      <c r="DO2612" s="406">
        <v>-6.96</v>
      </c>
      <c r="DP2612" s="80">
        <v>575</v>
      </c>
    </row>
    <row r="2613" spans="29:120" x14ac:dyDescent="0.25">
      <c r="AC2613" s="122" t="s">
        <v>322</v>
      </c>
      <c r="AD2613" s="122" t="s">
        <v>2963</v>
      </c>
      <c r="AE2613" s="127">
        <v>6</v>
      </c>
      <c r="DA2613" s="122" t="s">
        <v>348</v>
      </c>
      <c r="DB2613" s="122" t="s">
        <v>4182</v>
      </c>
      <c r="DC2613" s="122" t="s">
        <v>4182</v>
      </c>
      <c r="DD2613" s="127">
        <v>8</v>
      </c>
      <c r="DE2613" s="127">
        <v>8</v>
      </c>
      <c r="DG2613" s="405" t="s">
        <v>348</v>
      </c>
      <c r="DH2613" s="406" t="s">
        <v>4182</v>
      </c>
      <c r="DI2613" s="406" t="str">
        <f t="shared" si="72"/>
        <v>PB, Capim</v>
      </c>
      <c r="DJ2613" s="406">
        <v>-6.9160000000000004</v>
      </c>
      <c r="DK2613" s="80">
        <v>-35.171999999999997</v>
      </c>
      <c r="DL2613" s="80">
        <v>101</v>
      </c>
      <c r="DM2613" s="64">
        <v>8</v>
      </c>
      <c r="DN2613" s="406" t="s">
        <v>7501</v>
      </c>
      <c r="DO2613" s="406">
        <v>-6.61</v>
      </c>
      <c r="DP2613" s="80">
        <v>136</v>
      </c>
    </row>
    <row r="2614" spans="29:120" x14ac:dyDescent="0.25">
      <c r="AC2614" s="122" t="s">
        <v>333</v>
      </c>
      <c r="AD2614" s="122" t="s">
        <v>2964</v>
      </c>
      <c r="AE2614" s="127">
        <v>6</v>
      </c>
      <c r="DA2614" s="122" t="s">
        <v>348</v>
      </c>
      <c r="DB2614" s="122" t="s">
        <v>2185</v>
      </c>
      <c r="DC2614" s="122" t="s">
        <v>2185</v>
      </c>
      <c r="DD2614" s="127">
        <v>8</v>
      </c>
      <c r="DE2614" s="127">
        <v>8</v>
      </c>
      <c r="DG2614" s="405" t="s">
        <v>348</v>
      </c>
      <c r="DH2614" s="406" t="s">
        <v>2185</v>
      </c>
      <c r="DI2614" s="406" t="str">
        <f t="shared" si="72"/>
        <v>PB, Caraúbas</v>
      </c>
      <c r="DJ2614" s="406">
        <v>-7.7270000000000003</v>
      </c>
      <c r="DK2614" s="80">
        <v>-36.491999999999997</v>
      </c>
      <c r="DL2614" s="80">
        <v>451</v>
      </c>
      <c r="DM2614" s="64">
        <v>8</v>
      </c>
      <c r="DN2614" s="406" t="s">
        <v>7504</v>
      </c>
      <c r="DO2614" s="406">
        <v>-7.48</v>
      </c>
      <c r="DP2614" s="80">
        <v>436</v>
      </c>
    </row>
    <row r="2615" spans="29:120" x14ac:dyDescent="0.25">
      <c r="AC2615" s="122" t="s">
        <v>333</v>
      </c>
      <c r="AD2615" s="122" t="s">
        <v>2965</v>
      </c>
      <c r="AE2615" s="127">
        <v>6</v>
      </c>
      <c r="DA2615" s="122" t="s">
        <v>348</v>
      </c>
      <c r="DB2615" s="122" t="s">
        <v>5419</v>
      </c>
      <c r="DC2615" s="122" t="s">
        <v>5419</v>
      </c>
      <c r="DD2615" s="127">
        <v>7</v>
      </c>
      <c r="DE2615" s="127">
        <v>7</v>
      </c>
      <c r="DG2615" s="405" t="s">
        <v>348</v>
      </c>
      <c r="DH2615" s="406" t="s">
        <v>5419</v>
      </c>
      <c r="DI2615" s="406" t="str">
        <f t="shared" si="72"/>
        <v>PB, Carrapateira</v>
      </c>
      <c r="DJ2615" s="406">
        <v>-7.0389999999999997</v>
      </c>
      <c r="DK2615" s="80">
        <v>-38.344000000000001</v>
      </c>
      <c r="DL2615" s="80">
        <v>372</v>
      </c>
      <c r="DM2615" s="64">
        <v>7</v>
      </c>
      <c r="DN2615" s="406" t="s">
        <v>6414</v>
      </c>
      <c r="DO2615" s="406">
        <v>-6.84</v>
      </c>
      <c r="DP2615" s="80">
        <v>234</v>
      </c>
    </row>
    <row r="2616" spans="29:120" x14ac:dyDescent="0.25">
      <c r="AC2616" s="122" t="s">
        <v>322</v>
      </c>
      <c r="AD2616" s="122" t="s">
        <v>2966</v>
      </c>
      <c r="AE2616" s="127">
        <v>4</v>
      </c>
      <c r="DA2616" s="122" t="s">
        <v>348</v>
      </c>
      <c r="DB2616" s="122" t="s">
        <v>2280</v>
      </c>
      <c r="DC2616" s="122" t="s">
        <v>2280</v>
      </c>
      <c r="DD2616" s="127">
        <v>8</v>
      </c>
      <c r="DE2616" s="127">
        <v>8</v>
      </c>
      <c r="DG2616" s="405" t="s">
        <v>348</v>
      </c>
      <c r="DH2616" s="406" t="s">
        <v>2280</v>
      </c>
      <c r="DI2616" s="406" t="str">
        <f t="shared" si="72"/>
        <v>PB, Casserengue</v>
      </c>
      <c r="DJ2616" s="406">
        <v>-6.7830000000000004</v>
      </c>
      <c r="DK2616" s="80">
        <v>-35.820999999999998</v>
      </c>
      <c r="DL2616" s="80">
        <v>467</v>
      </c>
      <c r="DM2616" s="64">
        <v>8</v>
      </c>
      <c r="DN2616" s="406" t="s">
        <v>7492</v>
      </c>
      <c r="DO2616" s="406">
        <v>-6.96</v>
      </c>
      <c r="DP2616" s="80">
        <v>575</v>
      </c>
    </row>
    <row r="2617" spans="29:120" x14ac:dyDescent="0.25">
      <c r="AC2617" s="122" t="s">
        <v>333</v>
      </c>
      <c r="AD2617" s="122" t="s">
        <v>2967</v>
      </c>
      <c r="AE2617" s="127">
        <v>3</v>
      </c>
      <c r="DA2617" s="122" t="s">
        <v>348</v>
      </c>
      <c r="DB2617" s="122" t="s">
        <v>5411</v>
      </c>
      <c r="DC2617" s="122" t="s">
        <v>5411</v>
      </c>
      <c r="DD2617" s="127">
        <v>7</v>
      </c>
      <c r="DE2617" s="127">
        <v>7</v>
      </c>
      <c r="DG2617" s="405" t="s">
        <v>348</v>
      </c>
      <c r="DH2617" s="406" t="s">
        <v>5411</v>
      </c>
      <c r="DI2617" s="406" t="str">
        <f t="shared" si="72"/>
        <v>PB, Catingueira</v>
      </c>
      <c r="DJ2617" s="406">
        <v>-7.1260000000000003</v>
      </c>
      <c r="DK2617" s="80">
        <v>-37.609000000000002</v>
      </c>
      <c r="DL2617" s="80">
        <v>287</v>
      </c>
      <c r="DM2617" s="64">
        <v>7</v>
      </c>
      <c r="DN2617" s="406" t="s">
        <v>7490</v>
      </c>
      <c r="DO2617" s="406">
        <v>-7.02</v>
      </c>
      <c r="DP2617" s="80">
        <v>249</v>
      </c>
    </row>
    <row r="2618" spans="29:120" x14ac:dyDescent="0.25">
      <c r="AC2618" s="122" t="s">
        <v>333</v>
      </c>
      <c r="AD2618" s="122" t="s">
        <v>2968</v>
      </c>
      <c r="AE2618" s="127">
        <v>6</v>
      </c>
      <c r="DA2618" s="122" t="s">
        <v>348</v>
      </c>
      <c r="DB2618" s="122" t="s">
        <v>7521</v>
      </c>
      <c r="DC2618" s="122" t="s">
        <v>4510</v>
      </c>
      <c r="DD2618" s="127">
        <v>7</v>
      </c>
      <c r="DE2618" s="127">
        <v>7</v>
      </c>
      <c r="DG2618" s="405" t="s">
        <v>348</v>
      </c>
      <c r="DH2618" s="406" t="s">
        <v>4510</v>
      </c>
      <c r="DI2618" s="406" t="str">
        <f t="shared" si="72"/>
        <v>PB, Catolé do Rocha</v>
      </c>
      <c r="DJ2618" s="406">
        <v>-6.3440000000000003</v>
      </c>
      <c r="DK2618" s="80">
        <v>-37.747</v>
      </c>
      <c r="DL2618" s="80">
        <v>272</v>
      </c>
      <c r="DM2618" s="64">
        <v>7</v>
      </c>
      <c r="DN2618" s="406" t="s">
        <v>7506</v>
      </c>
      <c r="DO2618" s="406">
        <v>-6.46</v>
      </c>
      <c r="DP2618" s="80">
        <v>170</v>
      </c>
    </row>
    <row r="2619" spans="29:120" x14ac:dyDescent="0.25">
      <c r="AC2619" s="122" t="s">
        <v>322</v>
      </c>
      <c r="AD2619" s="122" t="s">
        <v>2969</v>
      </c>
      <c r="AE2619" s="127">
        <v>6</v>
      </c>
      <c r="DA2619" s="122" t="s">
        <v>348</v>
      </c>
      <c r="DB2619" s="122" t="s">
        <v>2456</v>
      </c>
      <c r="DC2619" s="122" t="s">
        <v>2456</v>
      </c>
      <c r="DD2619" s="127">
        <v>8</v>
      </c>
      <c r="DE2619" s="127">
        <v>8</v>
      </c>
      <c r="DG2619" s="405" t="s">
        <v>348</v>
      </c>
      <c r="DH2619" s="406" t="s">
        <v>2456</v>
      </c>
      <c r="DI2619" s="406" t="str">
        <f t="shared" si="72"/>
        <v>PB, Caturité</v>
      </c>
      <c r="DJ2619" s="406">
        <v>-7.42</v>
      </c>
      <c r="DK2619" s="80">
        <v>-36.027000000000001</v>
      </c>
      <c r="DL2619" s="80">
        <v>405</v>
      </c>
      <c r="DM2619" s="64">
        <v>8</v>
      </c>
      <c r="DN2619" s="406" t="s">
        <v>7499</v>
      </c>
      <c r="DO2619" s="406">
        <v>-7.23</v>
      </c>
      <c r="DP2619" s="80">
        <v>548</v>
      </c>
    </row>
    <row r="2620" spans="29:120" x14ac:dyDescent="0.25">
      <c r="AC2620" s="122" t="s">
        <v>333</v>
      </c>
      <c r="AD2620" s="122" t="s">
        <v>2970</v>
      </c>
      <c r="AE2620" s="127">
        <v>6</v>
      </c>
      <c r="DA2620" s="122" t="s">
        <v>348</v>
      </c>
      <c r="DB2620" s="122" t="s">
        <v>5150</v>
      </c>
      <c r="DC2620" s="122" t="s">
        <v>5150</v>
      </c>
      <c r="DD2620" s="127">
        <v>7</v>
      </c>
      <c r="DE2620" s="127">
        <v>7</v>
      </c>
      <c r="DG2620" s="405" t="s">
        <v>348</v>
      </c>
      <c r="DH2620" s="406" t="s">
        <v>5150</v>
      </c>
      <c r="DI2620" s="406" t="str">
        <f t="shared" si="72"/>
        <v>PB, Conceição</v>
      </c>
      <c r="DJ2620" s="406">
        <v>-7.5620000000000003</v>
      </c>
      <c r="DK2620" s="80">
        <v>-38.509</v>
      </c>
      <c r="DL2620" s="80">
        <v>376</v>
      </c>
      <c r="DM2620" s="64">
        <v>7</v>
      </c>
      <c r="DN2620" s="406" t="s">
        <v>7509</v>
      </c>
      <c r="DO2620" s="406">
        <v>-7.95</v>
      </c>
      <c r="DP2620" s="80">
        <v>461</v>
      </c>
    </row>
    <row r="2621" spans="29:120" x14ac:dyDescent="0.25">
      <c r="AC2621" s="122" t="s">
        <v>376</v>
      </c>
      <c r="AD2621" s="122" t="s">
        <v>2971</v>
      </c>
      <c r="AE2621" s="127">
        <v>6</v>
      </c>
      <c r="DA2621" s="122" t="s">
        <v>348</v>
      </c>
      <c r="DB2621" s="122" t="s">
        <v>4507</v>
      </c>
      <c r="DC2621" s="122" t="s">
        <v>4507</v>
      </c>
      <c r="DD2621" s="127">
        <v>7</v>
      </c>
      <c r="DE2621" s="127">
        <v>7</v>
      </c>
      <c r="DG2621" s="405" t="s">
        <v>348</v>
      </c>
      <c r="DH2621" s="406" t="s">
        <v>4507</v>
      </c>
      <c r="DI2621" s="406" t="str">
        <f t="shared" si="72"/>
        <v>PB, Condado</v>
      </c>
      <c r="DJ2621" s="406">
        <v>-6.91</v>
      </c>
      <c r="DK2621" s="80">
        <v>-37.600999999999999</v>
      </c>
      <c r="DL2621" s="80">
        <v>253</v>
      </c>
      <c r="DM2621" s="64">
        <v>7</v>
      </c>
      <c r="DN2621" s="406" t="s">
        <v>7490</v>
      </c>
      <c r="DO2621" s="406">
        <v>-7.02</v>
      </c>
      <c r="DP2621" s="80">
        <v>249</v>
      </c>
    </row>
    <row r="2622" spans="29:120" x14ac:dyDescent="0.25">
      <c r="AC2622" s="122" t="s">
        <v>322</v>
      </c>
      <c r="AD2622" s="122" t="s">
        <v>2972</v>
      </c>
      <c r="AE2622" s="127">
        <v>6</v>
      </c>
      <c r="DA2622" s="122" t="s">
        <v>348</v>
      </c>
      <c r="DB2622" s="122" t="s">
        <v>5013</v>
      </c>
      <c r="DC2622" s="122" t="s">
        <v>5013</v>
      </c>
      <c r="DD2622" s="127">
        <v>8</v>
      </c>
      <c r="DE2622" s="127">
        <v>8</v>
      </c>
      <c r="DG2622" s="405" t="s">
        <v>348</v>
      </c>
      <c r="DH2622" s="406" t="s">
        <v>5013</v>
      </c>
      <c r="DI2622" s="406" t="str">
        <f t="shared" si="72"/>
        <v>PB, Conde</v>
      </c>
      <c r="DJ2622" s="406">
        <v>-7.26</v>
      </c>
      <c r="DK2622" s="80">
        <v>-34.908000000000001</v>
      </c>
      <c r="DL2622" s="80">
        <v>112</v>
      </c>
      <c r="DM2622" s="64">
        <v>8</v>
      </c>
      <c r="DN2622" s="406" t="s">
        <v>7496</v>
      </c>
      <c r="DO2622" s="406">
        <v>-7.11</v>
      </c>
      <c r="DP2622" s="80">
        <v>44</v>
      </c>
    </row>
    <row r="2623" spans="29:120" x14ac:dyDescent="0.25">
      <c r="AC2623" s="122" t="s">
        <v>333</v>
      </c>
      <c r="AD2623" s="122" t="s">
        <v>2973</v>
      </c>
      <c r="AE2623" s="127">
        <v>6</v>
      </c>
      <c r="DA2623" s="122" t="s">
        <v>348</v>
      </c>
      <c r="DB2623" s="122" t="s">
        <v>2222</v>
      </c>
      <c r="DC2623" s="122" t="s">
        <v>2222</v>
      </c>
      <c r="DD2623" s="127">
        <v>8</v>
      </c>
      <c r="DE2623" s="127">
        <v>8</v>
      </c>
      <c r="DG2623" s="405" t="s">
        <v>348</v>
      </c>
      <c r="DH2623" s="406" t="s">
        <v>2222</v>
      </c>
      <c r="DI2623" s="406" t="str">
        <f t="shared" si="72"/>
        <v>PB, Congo</v>
      </c>
      <c r="DJ2623" s="406">
        <v>-7.7969999999999997</v>
      </c>
      <c r="DK2623" s="80">
        <v>-36.659999999999997</v>
      </c>
      <c r="DL2623" s="80">
        <v>480</v>
      </c>
      <c r="DM2623" s="64">
        <v>8</v>
      </c>
      <c r="DN2623" s="406" t="s">
        <v>7497</v>
      </c>
      <c r="DO2623" s="406">
        <v>-7.89</v>
      </c>
      <c r="DP2623" s="80">
        <v>604</v>
      </c>
    </row>
    <row r="2624" spans="29:120" x14ac:dyDescent="0.25">
      <c r="AC2624" s="122" t="s">
        <v>333</v>
      </c>
      <c r="AD2624" s="122" t="s">
        <v>2974</v>
      </c>
      <c r="AE2624" s="127">
        <v>6</v>
      </c>
      <c r="DA2624" s="122" t="s">
        <v>348</v>
      </c>
      <c r="DB2624" s="122" t="s">
        <v>5440</v>
      </c>
      <c r="DC2624" s="122" t="s">
        <v>5440</v>
      </c>
      <c r="DD2624" s="127">
        <v>7</v>
      </c>
      <c r="DE2624" s="127">
        <v>7</v>
      </c>
      <c r="DG2624" s="405" t="s">
        <v>348</v>
      </c>
      <c r="DH2624" s="406" t="s">
        <v>5440</v>
      </c>
      <c r="DI2624" s="406" t="str">
        <f t="shared" si="72"/>
        <v>PB, Coremas</v>
      </c>
      <c r="DJ2624" s="406">
        <v>-7.0140000000000002</v>
      </c>
      <c r="DK2624" s="80">
        <v>-37.945999999999998</v>
      </c>
      <c r="DL2624" s="80">
        <v>218</v>
      </c>
      <c r="DM2624" s="64">
        <v>7</v>
      </c>
      <c r="DN2624" s="406" t="s">
        <v>6414</v>
      </c>
      <c r="DO2624" s="406">
        <v>-6.84</v>
      </c>
      <c r="DP2624" s="80">
        <v>234</v>
      </c>
    </row>
    <row r="2625" spans="29:120" x14ac:dyDescent="0.25">
      <c r="AC2625" s="122" t="s">
        <v>333</v>
      </c>
      <c r="AD2625" s="122" t="s">
        <v>2975</v>
      </c>
      <c r="AE2625" s="127">
        <v>3</v>
      </c>
      <c r="DA2625" s="122" t="s">
        <v>348</v>
      </c>
      <c r="DB2625" s="122" t="s">
        <v>2285</v>
      </c>
      <c r="DC2625" s="122" t="s">
        <v>2285</v>
      </c>
      <c r="DD2625" s="127">
        <v>8</v>
      </c>
      <c r="DE2625" s="127">
        <v>8</v>
      </c>
      <c r="DG2625" s="405" t="s">
        <v>348</v>
      </c>
      <c r="DH2625" s="406" t="s">
        <v>2285</v>
      </c>
      <c r="DI2625" s="406" t="str">
        <f t="shared" si="72"/>
        <v>PB, Coxixola</v>
      </c>
      <c r="DJ2625" s="406">
        <v>-7.6269999999999998</v>
      </c>
      <c r="DK2625" s="80">
        <v>-36.606000000000002</v>
      </c>
      <c r="DL2625" s="80">
        <v>475</v>
      </c>
      <c r="DM2625" s="64">
        <v>8</v>
      </c>
      <c r="DN2625" s="406" t="s">
        <v>7504</v>
      </c>
      <c r="DO2625" s="406">
        <v>-7.48</v>
      </c>
      <c r="DP2625" s="80">
        <v>436</v>
      </c>
    </row>
    <row r="2626" spans="29:120" x14ac:dyDescent="0.25">
      <c r="AC2626" s="122" t="s">
        <v>322</v>
      </c>
      <c r="AD2626" s="122" t="s">
        <v>2976</v>
      </c>
      <c r="AE2626" s="127">
        <v>6</v>
      </c>
      <c r="DA2626" s="122" t="s">
        <v>348</v>
      </c>
      <c r="DB2626" s="122" t="s">
        <v>7522</v>
      </c>
      <c r="DC2626" s="122" t="s">
        <v>5044</v>
      </c>
      <c r="DD2626" s="127">
        <v>8</v>
      </c>
      <c r="DE2626" s="127">
        <v>8</v>
      </c>
      <c r="DG2626" s="405" t="s">
        <v>348</v>
      </c>
      <c r="DH2626" s="406" t="s">
        <v>5044</v>
      </c>
      <c r="DI2626" s="406" t="str">
        <f t="shared" si="72"/>
        <v>PB, Cruz do Espírito Santo</v>
      </c>
      <c r="DJ2626" s="406">
        <v>-7.14</v>
      </c>
      <c r="DK2626" s="80">
        <v>-35.085999999999999</v>
      </c>
      <c r="DL2626" s="80">
        <v>19</v>
      </c>
      <c r="DM2626" s="64">
        <v>8</v>
      </c>
      <c r="DN2626" s="406" t="s">
        <v>7496</v>
      </c>
      <c r="DO2626" s="406">
        <v>-7.11</v>
      </c>
      <c r="DP2626" s="80">
        <v>44</v>
      </c>
    </row>
    <row r="2627" spans="29:120" x14ac:dyDescent="0.25">
      <c r="AC2627" s="122" t="s">
        <v>322</v>
      </c>
      <c r="AD2627" s="122" t="s">
        <v>2977</v>
      </c>
      <c r="AE2627" s="127">
        <v>6</v>
      </c>
      <c r="DA2627" s="122" t="s">
        <v>348</v>
      </c>
      <c r="DB2627" s="122" t="s">
        <v>2125</v>
      </c>
      <c r="DC2627" s="122" t="s">
        <v>2125</v>
      </c>
      <c r="DD2627" s="127">
        <v>8</v>
      </c>
      <c r="DE2627" s="127">
        <v>8</v>
      </c>
      <c r="DG2627" s="405" t="s">
        <v>348</v>
      </c>
      <c r="DH2627" s="406" t="s">
        <v>2125</v>
      </c>
      <c r="DI2627" s="406" t="str">
        <f t="shared" ref="DI2627:DI2690" si="73">CONCATENATE(DG2627,", ",DH2627)</f>
        <v>PB, Cubati</v>
      </c>
      <c r="DJ2627" s="406">
        <v>-6.8680000000000003</v>
      </c>
      <c r="DK2627" s="80">
        <v>-36.350999999999999</v>
      </c>
      <c r="DL2627" s="80">
        <v>555</v>
      </c>
      <c r="DM2627" s="64">
        <v>8</v>
      </c>
      <c r="DN2627" s="406" t="s">
        <v>7499</v>
      </c>
      <c r="DO2627" s="406">
        <v>-7.23</v>
      </c>
      <c r="DP2627" s="80">
        <v>548</v>
      </c>
    </row>
    <row r="2628" spans="29:120" x14ac:dyDescent="0.25">
      <c r="AC2628" s="122" t="s">
        <v>376</v>
      </c>
      <c r="AD2628" s="122" t="s">
        <v>2978</v>
      </c>
      <c r="AE2628" s="127">
        <v>6</v>
      </c>
      <c r="DA2628" s="122" t="s">
        <v>348</v>
      </c>
      <c r="DB2628" s="122" t="s">
        <v>2235</v>
      </c>
      <c r="DC2628" s="122" t="s">
        <v>2235</v>
      </c>
      <c r="DD2628" s="127">
        <v>8</v>
      </c>
      <c r="DE2628" s="127">
        <v>8</v>
      </c>
      <c r="DG2628" s="405" t="s">
        <v>348</v>
      </c>
      <c r="DH2628" s="406" t="s">
        <v>2235</v>
      </c>
      <c r="DI2628" s="406" t="str">
        <f t="shared" si="73"/>
        <v>PB, Cuité</v>
      </c>
      <c r="DJ2628" s="406">
        <v>-6.4850000000000003</v>
      </c>
      <c r="DK2628" s="80">
        <v>-36.156999999999996</v>
      </c>
      <c r="DL2628" s="80">
        <v>649</v>
      </c>
      <c r="DM2628" s="64">
        <v>8</v>
      </c>
      <c r="DN2628" s="406" t="s">
        <v>7492</v>
      </c>
      <c r="DO2628" s="406">
        <v>-6.96</v>
      </c>
      <c r="DP2628" s="80">
        <v>575</v>
      </c>
    </row>
    <row r="2629" spans="29:120" x14ac:dyDescent="0.25">
      <c r="AC2629" s="122" t="s">
        <v>322</v>
      </c>
      <c r="AD2629" s="122" t="s">
        <v>2502</v>
      </c>
      <c r="AE2629" s="127">
        <v>6</v>
      </c>
      <c r="DA2629" s="122" t="s">
        <v>348</v>
      </c>
      <c r="DB2629" s="122" t="s">
        <v>7523</v>
      </c>
      <c r="DC2629" s="122" t="s">
        <v>4234</v>
      </c>
      <c r="DD2629" s="127">
        <v>8</v>
      </c>
      <c r="DE2629" s="127">
        <v>8</v>
      </c>
      <c r="DG2629" s="405" t="s">
        <v>348</v>
      </c>
      <c r="DH2629" s="406" t="s">
        <v>4234</v>
      </c>
      <c r="DI2629" s="406" t="str">
        <f t="shared" si="73"/>
        <v>PB, Cuité de Mamanguape</v>
      </c>
      <c r="DJ2629" s="406">
        <v>-6.915</v>
      </c>
      <c r="DK2629" s="80">
        <v>-35.252000000000002</v>
      </c>
      <c r="DL2629" s="80">
        <v>75</v>
      </c>
      <c r="DM2629" s="64">
        <v>8</v>
      </c>
      <c r="DN2629" s="406" t="s">
        <v>7501</v>
      </c>
      <c r="DO2629" s="406">
        <v>-6.61</v>
      </c>
      <c r="DP2629" s="80">
        <v>136</v>
      </c>
    </row>
    <row r="2630" spans="29:120" x14ac:dyDescent="0.25">
      <c r="AC2630" s="122" t="s">
        <v>333</v>
      </c>
      <c r="AD2630" s="122" t="s">
        <v>2979</v>
      </c>
      <c r="AE2630" s="127">
        <v>6</v>
      </c>
      <c r="DA2630" s="122" t="s">
        <v>348</v>
      </c>
      <c r="DB2630" s="122" t="s">
        <v>5177</v>
      </c>
      <c r="DC2630" s="122" t="s">
        <v>5177</v>
      </c>
      <c r="DD2630" s="127">
        <v>8</v>
      </c>
      <c r="DE2630" s="127">
        <v>8</v>
      </c>
      <c r="DG2630" s="405" t="s">
        <v>348</v>
      </c>
      <c r="DH2630" s="406" t="s">
        <v>5177</v>
      </c>
      <c r="DI2630" s="406" t="str">
        <f t="shared" si="73"/>
        <v>PB, Cuitegi</v>
      </c>
      <c r="DJ2630" s="406">
        <v>-6.8929999999999998</v>
      </c>
      <c r="DK2630" s="80">
        <v>-35.523000000000003</v>
      </c>
      <c r="DL2630" s="80">
        <v>90</v>
      </c>
      <c r="DM2630" s="64">
        <v>8</v>
      </c>
      <c r="DN2630" s="406" t="s">
        <v>7492</v>
      </c>
      <c r="DO2630" s="406">
        <v>-6.96</v>
      </c>
      <c r="DP2630" s="80">
        <v>575</v>
      </c>
    </row>
    <row r="2631" spans="29:120" x14ac:dyDescent="0.25">
      <c r="AC2631" s="122" t="s">
        <v>322</v>
      </c>
      <c r="AD2631" s="122" t="s">
        <v>2980</v>
      </c>
      <c r="AE2631" s="127">
        <v>6</v>
      </c>
      <c r="DA2631" s="122" t="s">
        <v>348</v>
      </c>
      <c r="DB2631" s="122" t="s">
        <v>7524</v>
      </c>
      <c r="DC2631" s="122" t="s">
        <v>4240</v>
      </c>
      <c r="DD2631" s="127">
        <v>8</v>
      </c>
      <c r="DE2631" s="127">
        <v>8</v>
      </c>
      <c r="DG2631" s="405" t="s">
        <v>348</v>
      </c>
      <c r="DH2631" s="406" t="s">
        <v>4240</v>
      </c>
      <c r="DI2631" s="406" t="str">
        <f t="shared" si="73"/>
        <v>PB, Curral de Cima</v>
      </c>
      <c r="DJ2631" s="406">
        <v>-6.7169999999999996</v>
      </c>
      <c r="DK2631" s="80">
        <v>-35.268999999999998</v>
      </c>
      <c r="DL2631" s="80">
        <v>75</v>
      </c>
      <c r="DM2631" s="64">
        <v>8</v>
      </c>
      <c r="DN2631" s="406" t="s">
        <v>7501</v>
      </c>
      <c r="DO2631" s="406">
        <v>-6.61</v>
      </c>
      <c r="DP2631" s="80">
        <v>136</v>
      </c>
    </row>
    <row r="2632" spans="29:120" x14ac:dyDescent="0.25">
      <c r="AC2632" s="122" t="s">
        <v>376</v>
      </c>
      <c r="AD2632" s="122" t="s">
        <v>2981</v>
      </c>
      <c r="AE2632" s="127">
        <v>6</v>
      </c>
      <c r="DA2632" s="122" t="s">
        <v>348</v>
      </c>
      <c r="DB2632" s="122" t="s">
        <v>7525</v>
      </c>
      <c r="DC2632" s="122" t="s">
        <v>5445</v>
      </c>
      <c r="DD2632" s="127">
        <v>6</v>
      </c>
      <c r="DE2632" s="127">
        <v>6</v>
      </c>
      <c r="DG2632" s="405" t="s">
        <v>348</v>
      </c>
      <c r="DH2632" s="406" t="s">
        <v>5445</v>
      </c>
      <c r="DI2632" s="406" t="str">
        <f t="shared" si="73"/>
        <v>PB, Curral Velho</v>
      </c>
      <c r="DJ2632" s="406">
        <v>-7.5810000000000004</v>
      </c>
      <c r="DK2632" s="80">
        <v>-38.198</v>
      </c>
      <c r="DL2632" s="80">
        <v>338</v>
      </c>
      <c r="DM2632" s="64">
        <v>6</v>
      </c>
      <c r="DN2632" s="406" t="s">
        <v>7509</v>
      </c>
      <c r="DO2632" s="406">
        <v>-7.95</v>
      </c>
      <c r="DP2632" s="80">
        <v>461</v>
      </c>
    </row>
    <row r="2633" spans="29:120" x14ac:dyDescent="0.25">
      <c r="AC2633" s="122" t="s">
        <v>333</v>
      </c>
      <c r="AD2633" s="122" t="s">
        <v>2982</v>
      </c>
      <c r="AE2633" s="127">
        <v>6</v>
      </c>
      <c r="DA2633" s="122" t="s">
        <v>348</v>
      </c>
      <c r="DB2633" s="122" t="s">
        <v>2194</v>
      </c>
      <c r="DC2633" s="122" t="s">
        <v>2194</v>
      </c>
      <c r="DD2633" s="127">
        <v>8</v>
      </c>
      <c r="DE2633" s="127">
        <v>8</v>
      </c>
      <c r="DG2633" s="405" t="s">
        <v>348</v>
      </c>
      <c r="DH2633" s="406" t="s">
        <v>2194</v>
      </c>
      <c r="DI2633" s="406" t="str">
        <f t="shared" si="73"/>
        <v>PB, Damião</v>
      </c>
      <c r="DJ2633" s="406">
        <v>-6.6319999999999997</v>
      </c>
      <c r="DK2633" s="80">
        <v>-35.909999999999997</v>
      </c>
      <c r="DL2633" s="80">
        <v>570</v>
      </c>
      <c r="DM2633" s="64">
        <v>8</v>
      </c>
      <c r="DN2633" s="406" t="s">
        <v>7492</v>
      </c>
      <c r="DO2633" s="406">
        <v>-6.96</v>
      </c>
      <c r="DP2633" s="80">
        <v>575</v>
      </c>
    </row>
    <row r="2634" spans="29:120" x14ac:dyDescent="0.25">
      <c r="AC2634" s="122" t="s">
        <v>333</v>
      </c>
      <c r="AD2634" s="122" t="s">
        <v>2983</v>
      </c>
      <c r="AE2634" s="127">
        <v>6</v>
      </c>
      <c r="DA2634" s="122" t="s">
        <v>348</v>
      </c>
      <c r="DB2634" s="122" t="s">
        <v>2113</v>
      </c>
      <c r="DC2634" s="122" t="s">
        <v>2113</v>
      </c>
      <c r="DD2634" s="127">
        <v>7</v>
      </c>
      <c r="DE2634" s="127">
        <v>7</v>
      </c>
      <c r="DG2634" s="405" t="s">
        <v>348</v>
      </c>
      <c r="DH2634" s="406" t="s">
        <v>2113</v>
      </c>
      <c r="DI2634" s="406" t="str">
        <f t="shared" si="73"/>
        <v>PB, Desterro</v>
      </c>
      <c r="DJ2634" s="406">
        <v>-7.2910000000000004</v>
      </c>
      <c r="DK2634" s="80">
        <v>-37.094000000000001</v>
      </c>
      <c r="DL2634" s="80">
        <v>591</v>
      </c>
      <c r="DM2634" s="64">
        <v>7</v>
      </c>
      <c r="DN2634" s="406" t="s">
        <v>7490</v>
      </c>
      <c r="DO2634" s="406">
        <v>-7.02</v>
      </c>
      <c r="DP2634" s="80">
        <v>249</v>
      </c>
    </row>
    <row r="2635" spans="29:120" x14ac:dyDescent="0.25">
      <c r="AC2635" s="122" t="s">
        <v>333</v>
      </c>
      <c r="AD2635" s="122" t="s">
        <v>2984</v>
      </c>
      <c r="AE2635" s="127">
        <v>4</v>
      </c>
      <c r="DA2635" s="122" t="s">
        <v>348</v>
      </c>
      <c r="DB2635" s="122" t="s">
        <v>5395</v>
      </c>
      <c r="DC2635" s="122" t="s">
        <v>5395</v>
      </c>
      <c r="DD2635" s="127">
        <v>7</v>
      </c>
      <c r="DE2635" s="127">
        <v>7</v>
      </c>
      <c r="DG2635" s="405" t="s">
        <v>348</v>
      </c>
      <c r="DH2635" s="406" t="s">
        <v>5395</v>
      </c>
      <c r="DI2635" s="406" t="str">
        <f t="shared" si="73"/>
        <v>PB, Diamante</v>
      </c>
      <c r="DJ2635" s="406">
        <v>-7.4279999999999999</v>
      </c>
      <c r="DK2635" s="80">
        <v>-38.264000000000003</v>
      </c>
      <c r="DL2635" s="80">
        <v>315</v>
      </c>
      <c r="DM2635" s="64">
        <v>7</v>
      </c>
      <c r="DN2635" s="406" t="s">
        <v>7509</v>
      </c>
      <c r="DO2635" s="406">
        <v>-7.95</v>
      </c>
      <c r="DP2635" s="80">
        <v>461</v>
      </c>
    </row>
    <row r="2636" spans="29:120" x14ac:dyDescent="0.25">
      <c r="AC2636" s="122" t="s">
        <v>333</v>
      </c>
      <c r="AD2636" s="122" t="s">
        <v>2985</v>
      </c>
      <c r="AE2636" s="127">
        <v>6</v>
      </c>
      <c r="DA2636" s="122" t="s">
        <v>348</v>
      </c>
      <c r="DB2636" s="122" t="s">
        <v>7526</v>
      </c>
      <c r="DC2636" s="122" t="s">
        <v>2064</v>
      </c>
      <c r="DD2636" s="127">
        <v>8</v>
      </c>
      <c r="DE2636" s="127">
        <v>8</v>
      </c>
      <c r="DG2636" s="405" t="s">
        <v>348</v>
      </c>
      <c r="DH2636" s="406" t="s">
        <v>2064</v>
      </c>
      <c r="DI2636" s="406" t="str">
        <f t="shared" si="73"/>
        <v>PB, Dona Inês</v>
      </c>
      <c r="DJ2636" s="406">
        <v>-6.6180000000000003</v>
      </c>
      <c r="DK2636" s="80">
        <v>-35.631999999999998</v>
      </c>
      <c r="DL2636" s="80">
        <v>421</v>
      </c>
      <c r="DM2636" s="64">
        <v>8</v>
      </c>
      <c r="DN2636" s="406" t="s">
        <v>7492</v>
      </c>
      <c r="DO2636" s="406">
        <v>-6.96</v>
      </c>
      <c r="DP2636" s="80">
        <v>575</v>
      </c>
    </row>
    <row r="2637" spans="29:120" x14ac:dyDescent="0.25">
      <c r="AC2637" s="122" t="s">
        <v>322</v>
      </c>
      <c r="AD2637" s="122" t="s">
        <v>2986</v>
      </c>
      <c r="AE2637" s="127">
        <v>6</v>
      </c>
      <c r="DA2637" s="122" t="s">
        <v>348</v>
      </c>
      <c r="DB2637" s="122" t="s">
        <v>7527</v>
      </c>
      <c r="DC2637" s="122" t="s">
        <v>2141</v>
      </c>
      <c r="DD2637" s="127">
        <v>8</v>
      </c>
      <c r="DE2637" s="127">
        <v>8</v>
      </c>
      <c r="DG2637" s="405" t="s">
        <v>348</v>
      </c>
      <c r="DH2637" s="406" t="s">
        <v>2141</v>
      </c>
      <c r="DI2637" s="406" t="str">
        <f t="shared" si="73"/>
        <v>PB, Duas Estradas</v>
      </c>
      <c r="DJ2637" s="406">
        <v>-6.6849999999999996</v>
      </c>
      <c r="DK2637" s="80">
        <v>-35.417999999999999</v>
      </c>
      <c r="DL2637" s="80">
        <v>144</v>
      </c>
      <c r="DM2637" s="64">
        <v>8</v>
      </c>
      <c r="DN2637" s="406" t="s">
        <v>7501</v>
      </c>
      <c r="DO2637" s="406">
        <v>-6.61</v>
      </c>
      <c r="DP2637" s="80">
        <v>136</v>
      </c>
    </row>
    <row r="2638" spans="29:120" x14ac:dyDescent="0.25">
      <c r="AC2638" s="122" t="s">
        <v>333</v>
      </c>
      <c r="AD2638" s="122" t="s">
        <v>2987</v>
      </c>
      <c r="AE2638" s="127">
        <v>6</v>
      </c>
      <c r="DA2638" s="122" t="s">
        <v>348</v>
      </c>
      <c r="DB2638" s="122" t="s">
        <v>5407</v>
      </c>
      <c r="DC2638" s="122" t="s">
        <v>5407</v>
      </c>
      <c r="DD2638" s="127">
        <v>7</v>
      </c>
      <c r="DE2638" s="127">
        <v>7</v>
      </c>
      <c r="DG2638" s="405" t="s">
        <v>348</v>
      </c>
      <c r="DH2638" s="406" t="s">
        <v>5407</v>
      </c>
      <c r="DI2638" s="406" t="str">
        <f t="shared" si="73"/>
        <v>PB, Emas</v>
      </c>
      <c r="DJ2638" s="406">
        <v>-7.1079999999999997</v>
      </c>
      <c r="DK2638" s="80">
        <v>-37.716000000000001</v>
      </c>
      <c r="DL2638" s="80">
        <v>268</v>
      </c>
      <c r="DM2638" s="64">
        <v>7</v>
      </c>
      <c r="DN2638" s="406" t="s">
        <v>7490</v>
      </c>
      <c r="DO2638" s="406">
        <v>-7.02</v>
      </c>
      <c r="DP2638" s="80">
        <v>249</v>
      </c>
    </row>
    <row r="2639" spans="29:120" x14ac:dyDescent="0.25">
      <c r="AC2639" s="122" t="s">
        <v>333</v>
      </c>
      <c r="AD2639" s="122" t="s">
        <v>2988</v>
      </c>
      <c r="AE2639" s="127">
        <v>3</v>
      </c>
      <c r="DA2639" s="122" t="s">
        <v>348</v>
      </c>
      <c r="DB2639" s="122" t="s">
        <v>2290</v>
      </c>
      <c r="DC2639" s="122" t="s">
        <v>2290</v>
      </c>
      <c r="DD2639" s="127">
        <v>8</v>
      </c>
      <c r="DE2639" s="127">
        <v>8</v>
      </c>
      <c r="DG2639" s="405" t="s">
        <v>348</v>
      </c>
      <c r="DH2639" s="406" t="s">
        <v>2290</v>
      </c>
      <c r="DI2639" s="406" t="str">
        <f t="shared" si="73"/>
        <v>PB, Esperança</v>
      </c>
      <c r="DJ2639" s="406">
        <v>-7.0229999999999997</v>
      </c>
      <c r="DK2639" s="80">
        <v>-35.86</v>
      </c>
      <c r="DL2639" s="80">
        <v>631</v>
      </c>
      <c r="DM2639" s="64">
        <v>8</v>
      </c>
      <c r="DN2639" s="406" t="s">
        <v>7492</v>
      </c>
      <c r="DO2639" s="406">
        <v>-6.96</v>
      </c>
      <c r="DP2639" s="80">
        <v>575</v>
      </c>
    </row>
    <row r="2640" spans="29:120" x14ac:dyDescent="0.25">
      <c r="AC2640" s="122" t="s">
        <v>333</v>
      </c>
      <c r="AD2640" s="122" t="s">
        <v>2989</v>
      </c>
      <c r="AE2640" s="127">
        <v>6</v>
      </c>
      <c r="DA2640" s="122" t="s">
        <v>348</v>
      </c>
      <c r="DB2640" s="122" t="s">
        <v>2232</v>
      </c>
      <c r="DC2640" s="122" t="s">
        <v>2232</v>
      </c>
      <c r="DD2640" s="127">
        <v>8</v>
      </c>
      <c r="DE2640" s="127">
        <v>8</v>
      </c>
      <c r="DG2640" s="405" t="s">
        <v>348</v>
      </c>
      <c r="DH2640" s="406" t="s">
        <v>2232</v>
      </c>
      <c r="DI2640" s="406" t="str">
        <f t="shared" si="73"/>
        <v>PB, Fagundes</v>
      </c>
      <c r="DJ2640" s="406">
        <v>-7.3550000000000004</v>
      </c>
      <c r="DK2640" s="80">
        <v>-35.774999999999999</v>
      </c>
      <c r="DL2640" s="80">
        <v>505</v>
      </c>
      <c r="DM2640" s="64">
        <v>8</v>
      </c>
      <c r="DN2640" s="406" t="s">
        <v>7499</v>
      </c>
      <c r="DO2640" s="406">
        <v>-7.23</v>
      </c>
      <c r="DP2640" s="80">
        <v>548</v>
      </c>
    </row>
    <row r="2641" spans="29:120" x14ac:dyDescent="0.25">
      <c r="AC2641" s="122" t="s">
        <v>336</v>
      </c>
      <c r="AD2641" s="122" t="s">
        <v>1659</v>
      </c>
      <c r="AE2641" s="127">
        <v>6</v>
      </c>
      <c r="DA2641" s="122" t="s">
        <v>348</v>
      </c>
      <c r="DB2641" s="122" t="s">
        <v>7528</v>
      </c>
      <c r="DC2641" s="122" t="s">
        <v>4517</v>
      </c>
      <c r="DD2641" s="127">
        <v>7</v>
      </c>
      <c r="DE2641" s="127">
        <v>7</v>
      </c>
      <c r="DG2641" s="405" t="s">
        <v>348</v>
      </c>
      <c r="DH2641" s="406" t="s">
        <v>4517</v>
      </c>
      <c r="DI2641" s="406" t="str">
        <f t="shared" si="73"/>
        <v>PB, Frei Martinho</v>
      </c>
      <c r="DJ2641" s="406">
        <v>-6.4029999999999996</v>
      </c>
      <c r="DK2641" s="80">
        <v>-36.456000000000003</v>
      </c>
      <c r="DL2641" s="80">
        <v>369</v>
      </c>
      <c r="DM2641" s="64">
        <v>7</v>
      </c>
      <c r="DN2641" s="406" t="s">
        <v>7506</v>
      </c>
      <c r="DO2641" s="406">
        <v>-6.46</v>
      </c>
      <c r="DP2641" s="80">
        <v>170</v>
      </c>
    </row>
    <row r="2642" spans="29:120" x14ac:dyDescent="0.25">
      <c r="AC2642" s="122" t="s">
        <v>289</v>
      </c>
      <c r="AD2642" s="122" t="s">
        <v>2990</v>
      </c>
      <c r="AE2642" s="127">
        <v>6</v>
      </c>
      <c r="DA2642" s="122" t="s">
        <v>348</v>
      </c>
      <c r="DB2642" s="122" t="s">
        <v>7529</v>
      </c>
      <c r="DC2642" s="122" t="s">
        <v>2274</v>
      </c>
      <c r="DD2642" s="127">
        <v>8</v>
      </c>
      <c r="DE2642" s="127">
        <v>8</v>
      </c>
      <c r="DG2642" s="405" t="s">
        <v>348</v>
      </c>
      <c r="DH2642" s="406" t="s">
        <v>2274</v>
      </c>
      <c r="DI2642" s="406" t="str">
        <f t="shared" si="73"/>
        <v>PB, Gado Bravo</v>
      </c>
      <c r="DJ2642" s="406">
        <v>-7.5830000000000002</v>
      </c>
      <c r="DK2642" s="80">
        <v>-35.790999999999997</v>
      </c>
      <c r="DL2642" s="80">
        <v>400</v>
      </c>
      <c r="DM2642" s="64">
        <v>8</v>
      </c>
      <c r="DN2642" s="406" t="s">
        <v>7494</v>
      </c>
      <c r="DO2642" s="406">
        <v>-7.84</v>
      </c>
      <c r="DP2642" s="80">
        <v>418</v>
      </c>
    </row>
    <row r="2643" spans="29:120" x14ac:dyDescent="0.25">
      <c r="AC2643" s="122" t="s">
        <v>322</v>
      </c>
      <c r="AD2643" s="122" t="s">
        <v>2991</v>
      </c>
      <c r="AE2643" s="127">
        <v>6</v>
      </c>
      <c r="DA2643" s="122" t="s">
        <v>348</v>
      </c>
      <c r="DB2643" s="122" t="s">
        <v>5197</v>
      </c>
      <c r="DC2643" s="122" t="s">
        <v>5197</v>
      </c>
      <c r="DD2643" s="127">
        <v>8</v>
      </c>
      <c r="DE2643" s="127">
        <v>8</v>
      </c>
      <c r="DG2643" s="405" t="s">
        <v>348</v>
      </c>
      <c r="DH2643" s="406" t="s">
        <v>5197</v>
      </c>
      <c r="DI2643" s="406" t="str">
        <f t="shared" si="73"/>
        <v>PB, Guarabira</v>
      </c>
      <c r="DJ2643" s="406">
        <v>-6.8550000000000004</v>
      </c>
      <c r="DK2643" s="80">
        <v>-35.49</v>
      </c>
      <c r="DL2643" s="80">
        <v>97</v>
      </c>
      <c r="DM2643" s="64">
        <v>8</v>
      </c>
      <c r="DN2643" s="406" t="s">
        <v>7492</v>
      </c>
      <c r="DO2643" s="406">
        <v>-6.96</v>
      </c>
      <c r="DP2643" s="80">
        <v>575</v>
      </c>
    </row>
    <row r="2644" spans="29:120" x14ac:dyDescent="0.25">
      <c r="AC2644" s="122" t="s">
        <v>322</v>
      </c>
      <c r="AD2644" s="122" t="s">
        <v>2992</v>
      </c>
      <c r="AE2644" s="127">
        <v>6</v>
      </c>
      <c r="DA2644" s="122" t="s">
        <v>348</v>
      </c>
      <c r="DB2644" s="122" t="s">
        <v>5119</v>
      </c>
      <c r="DC2644" s="122" t="s">
        <v>5119</v>
      </c>
      <c r="DD2644" s="127">
        <v>8</v>
      </c>
      <c r="DE2644" s="127">
        <v>8</v>
      </c>
      <c r="DG2644" s="405" t="s">
        <v>348</v>
      </c>
      <c r="DH2644" s="406" t="s">
        <v>5119</v>
      </c>
      <c r="DI2644" s="406" t="str">
        <f t="shared" si="73"/>
        <v>PB, Gurinhém</v>
      </c>
      <c r="DJ2644" s="406">
        <v>-7.1239999999999997</v>
      </c>
      <c r="DK2644" s="80">
        <v>-35.423999999999999</v>
      </c>
      <c r="DL2644" s="80">
        <v>104</v>
      </c>
      <c r="DM2644" s="64">
        <v>8</v>
      </c>
      <c r="DN2644" s="406" t="s">
        <v>7492</v>
      </c>
      <c r="DO2644" s="406">
        <v>-6.96</v>
      </c>
      <c r="DP2644" s="80">
        <v>575</v>
      </c>
    </row>
    <row r="2645" spans="29:120" x14ac:dyDescent="0.25">
      <c r="AC2645" s="122" t="s">
        <v>333</v>
      </c>
      <c r="AD2645" s="122" t="s">
        <v>2993</v>
      </c>
      <c r="AE2645" s="127">
        <v>6</v>
      </c>
      <c r="DA2645" s="122" t="s">
        <v>348</v>
      </c>
      <c r="DB2645" s="122" t="s">
        <v>2161</v>
      </c>
      <c r="DC2645" s="122" t="s">
        <v>2161</v>
      </c>
      <c r="DD2645" s="127">
        <v>8</v>
      </c>
      <c r="DE2645" s="127">
        <v>8</v>
      </c>
      <c r="DG2645" s="405" t="s">
        <v>348</v>
      </c>
      <c r="DH2645" s="406" t="s">
        <v>2161</v>
      </c>
      <c r="DI2645" s="406" t="str">
        <f t="shared" si="73"/>
        <v>PB, Gurjão</v>
      </c>
      <c r="DJ2645" s="406">
        <v>-7.2469999999999999</v>
      </c>
      <c r="DK2645" s="80">
        <v>-36.488999999999997</v>
      </c>
      <c r="DL2645" s="80">
        <v>491</v>
      </c>
      <c r="DM2645" s="64">
        <v>8</v>
      </c>
      <c r="DN2645" s="406" t="s">
        <v>7504</v>
      </c>
      <c r="DO2645" s="406">
        <v>-7.48</v>
      </c>
      <c r="DP2645" s="80">
        <v>436</v>
      </c>
    </row>
    <row r="2646" spans="29:120" x14ac:dyDescent="0.25">
      <c r="AC2646" s="122" t="s">
        <v>333</v>
      </c>
      <c r="AD2646" s="122" t="s">
        <v>2994</v>
      </c>
      <c r="AE2646" s="127">
        <v>6</v>
      </c>
      <c r="DA2646" s="122" t="s">
        <v>348</v>
      </c>
      <c r="DB2646" s="122" t="s">
        <v>5393</v>
      </c>
      <c r="DC2646" s="122" t="s">
        <v>5393</v>
      </c>
      <c r="DD2646" s="127">
        <v>7</v>
      </c>
      <c r="DE2646" s="127">
        <v>7</v>
      </c>
      <c r="DG2646" s="405" t="s">
        <v>348</v>
      </c>
      <c r="DH2646" s="406" t="s">
        <v>5393</v>
      </c>
      <c r="DI2646" s="406" t="str">
        <f t="shared" si="73"/>
        <v>PB, Ibiara</v>
      </c>
      <c r="DJ2646" s="406">
        <v>-7.5010000000000003</v>
      </c>
      <c r="DK2646" s="80">
        <v>-38.405000000000001</v>
      </c>
      <c r="DL2646" s="80">
        <v>341</v>
      </c>
      <c r="DM2646" s="64">
        <v>7</v>
      </c>
      <c r="DN2646" s="406" t="s">
        <v>7509</v>
      </c>
      <c r="DO2646" s="406">
        <v>-7.95</v>
      </c>
      <c r="DP2646" s="80">
        <v>461</v>
      </c>
    </row>
    <row r="2647" spans="29:120" x14ac:dyDescent="0.25">
      <c r="AC2647" s="122" t="s">
        <v>340</v>
      </c>
      <c r="AD2647" s="122" t="s">
        <v>2995</v>
      </c>
      <c r="AE2647" s="127">
        <v>6</v>
      </c>
      <c r="DA2647" s="122" t="s">
        <v>348</v>
      </c>
      <c r="DB2647" s="122" t="s">
        <v>5144</v>
      </c>
      <c r="DC2647" s="122" t="s">
        <v>5144</v>
      </c>
      <c r="DD2647" s="127">
        <v>7</v>
      </c>
      <c r="DE2647" s="127">
        <v>7</v>
      </c>
      <c r="DG2647" s="405" t="s">
        <v>348</v>
      </c>
      <c r="DH2647" s="406" t="s">
        <v>5144</v>
      </c>
      <c r="DI2647" s="406" t="str">
        <f t="shared" si="73"/>
        <v>PB, Igaracy</v>
      </c>
      <c r="DJ2647" s="406">
        <v>-7.181</v>
      </c>
      <c r="DK2647" s="80">
        <v>-38.149000000000001</v>
      </c>
      <c r="DL2647" s="80">
        <v>313</v>
      </c>
      <c r="DM2647" s="64">
        <v>7</v>
      </c>
      <c r="DN2647" s="406" t="s">
        <v>6414</v>
      </c>
      <c r="DO2647" s="406">
        <v>-6.84</v>
      </c>
      <c r="DP2647" s="80">
        <v>234</v>
      </c>
    </row>
    <row r="2648" spans="29:120" x14ac:dyDescent="0.25">
      <c r="AC2648" s="122" t="s">
        <v>333</v>
      </c>
      <c r="AD2648" s="122" t="s">
        <v>2996</v>
      </c>
      <c r="AE2648" s="127">
        <v>6</v>
      </c>
      <c r="DA2648" s="122" t="s">
        <v>348</v>
      </c>
      <c r="DB2648" s="122" t="s">
        <v>2034</v>
      </c>
      <c r="DC2648" s="122" t="s">
        <v>2034</v>
      </c>
      <c r="DD2648" s="127">
        <v>7</v>
      </c>
      <c r="DE2648" s="127">
        <v>7</v>
      </c>
      <c r="DG2648" s="405" t="s">
        <v>348</v>
      </c>
      <c r="DH2648" s="406" t="s">
        <v>2034</v>
      </c>
      <c r="DI2648" s="406" t="str">
        <f t="shared" si="73"/>
        <v>PB, Imaculada</v>
      </c>
      <c r="DJ2648" s="406">
        <v>-7.39</v>
      </c>
      <c r="DK2648" s="80">
        <v>-37.509</v>
      </c>
      <c r="DL2648" s="80">
        <v>763</v>
      </c>
      <c r="DM2648" s="64">
        <v>7</v>
      </c>
      <c r="DN2648" s="406" t="s">
        <v>7490</v>
      </c>
      <c r="DO2648" s="406">
        <v>-7.02</v>
      </c>
      <c r="DP2648" s="80">
        <v>249</v>
      </c>
    </row>
    <row r="2649" spans="29:120" x14ac:dyDescent="0.25">
      <c r="AC2649" s="122" t="s">
        <v>340</v>
      </c>
      <c r="AD2649" s="122" t="s">
        <v>2997</v>
      </c>
      <c r="AE2649" s="127">
        <v>6</v>
      </c>
      <c r="DA2649" s="122" t="s">
        <v>348</v>
      </c>
      <c r="DB2649" s="122" t="s">
        <v>4516</v>
      </c>
      <c r="DC2649" s="122" t="s">
        <v>4516</v>
      </c>
      <c r="DD2649" s="127">
        <v>8</v>
      </c>
      <c r="DE2649" s="127">
        <v>8</v>
      </c>
      <c r="DG2649" s="405" t="s">
        <v>348</v>
      </c>
      <c r="DH2649" s="406" t="s">
        <v>4516</v>
      </c>
      <c r="DI2649" s="406" t="str">
        <f t="shared" si="73"/>
        <v>PB, Ingá</v>
      </c>
      <c r="DJ2649" s="406">
        <v>-7.2679999999999998</v>
      </c>
      <c r="DK2649" s="80">
        <v>-35.613</v>
      </c>
      <c r="DL2649" s="80">
        <v>144</v>
      </c>
      <c r="DM2649" s="64">
        <v>8</v>
      </c>
      <c r="DN2649" s="406" t="s">
        <v>7499</v>
      </c>
      <c r="DO2649" s="406">
        <v>-7.23</v>
      </c>
      <c r="DP2649" s="80">
        <v>548</v>
      </c>
    </row>
    <row r="2650" spans="29:120" x14ac:dyDescent="0.25">
      <c r="AC2650" s="122" t="s">
        <v>322</v>
      </c>
      <c r="AD2650" s="122" t="s">
        <v>2192</v>
      </c>
      <c r="AE2650" s="127">
        <v>6</v>
      </c>
      <c r="DA2650" s="122" t="s">
        <v>348</v>
      </c>
      <c r="DB2650" s="122" t="s">
        <v>5027</v>
      </c>
      <c r="DC2650" s="122" t="s">
        <v>5027</v>
      </c>
      <c r="DD2650" s="127">
        <v>8</v>
      </c>
      <c r="DE2650" s="127">
        <v>8</v>
      </c>
      <c r="DG2650" s="405" t="s">
        <v>348</v>
      </c>
      <c r="DH2650" s="406" t="s">
        <v>5027</v>
      </c>
      <c r="DI2650" s="406" t="str">
        <f t="shared" si="73"/>
        <v>PB, Itabaiana</v>
      </c>
      <c r="DJ2650" s="406">
        <v>-7.3289999999999997</v>
      </c>
      <c r="DK2650" s="80">
        <v>-35.332999999999998</v>
      </c>
      <c r="DL2650" s="80">
        <v>45</v>
      </c>
      <c r="DM2650" s="64">
        <v>8</v>
      </c>
      <c r="DN2650" s="406" t="s">
        <v>7492</v>
      </c>
      <c r="DO2650" s="406">
        <v>-6.96</v>
      </c>
      <c r="DP2650" s="80">
        <v>575</v>
      </c>
    </row>
    <row r="2651" spans="29:120" x14ac:dyDescent="0.25">
      <c r="AC2651" s="122" t="s">
        <v>376</v>
      </c>
      <c r="AD2651" s="122" t="s">
        <v>2998</v>
      </c>
      <c r="AE2651" s="127">
        <v>6</v>
      </c>
      <c r="DA2651" s="122" t="s">
        <v>348</v>
      </c>
      <c r="DB2651" s="122" t="s">
        <v>1766</v>
      </c>
      <c r="DC2651" s="122" t="s">
        <v>1766</v>
      </c>
      <c r="DD2651" s="127">
        <v>7</v>
      </c>
      <c r="DE2651" s="127">
        <v>7</v>
      </c>
      <c r="DG2651" s="405" t="s">
        <v>348</v>
      </c>
      <c r="DH2651" s="406" t="s">
        <v>1766</v>
      </c>
      <c r="DI2651" s="406" t="str">
        <f t="shared" si="73"/>
        <v>PB, Itaporanga</v>
      </c>
      <c r="DJ2651" s="406">
        <v>-7.3040000000000003</v>
      </c>
      <c r="DK2651" s="80">
        <v>-38.15</v>
      </c>
      <c r="DL2651" s="80">
        <v>291</v>
      </c>
      <c r="DM2651" s="64">
        <v>7</v>
      </c>
      <c r="DN2651" s="406" t="s">
        <v>6414</v>
      </c>
      <c r="DO2651" s="406">
        <v>-6.84</v>
      </c>
      <c r="DP2651" s="80">
        <v>234</v>
      </c>
    </row>
    <row r="2652" spans="29:120" x14ac:dyDescent="0.25">
      <c r="AC2652" s="122" t="s">
        <v>333</v>
      </c>
      <c r="AD2652" s="122" t="s">
        <v>2999</v>
      </c>
      <c r="AE2652" s="127">
        <v>6</v>
      </c>
      <c r="DA2652" s="122" t="s">
        <v>348</v>
      </c>
      <c r="DB2652" s="122" t="s">
        <v>4209</v>
      </c>
      <c r="DC2652" s="122" t="s">
        <v>4209</v>
      </c>
      <c r="DD2652" s="127">
        <v>8</v>
      </c>
      <c r="DE2652" s="127">
        <v>8</v>
      </c>
      <c r="DG2652" s="405" t="s">
        <v>348</v>
      </c>
      <c r="DH2652" s="406" t="s">
        <v>4209</v>
      </c>
      <c r="DI2652" s="406" t="str">
        <f t="shared" si="73"/>
        <v>PB, Itapororoca</v>
      </c>
      <c r="DJ2652" s="406">
        <v>-6.83</v>
      </c>
      <c r="DK2652" s="80">
        <v>-35.247</v>
      </c>
      <c r="DL2652" s="80">
        <v>81</v>
      </c>
      <c r="DM2652" s="64">
        <v>8</v>
      </c>
      <c r="DN2652" s="406" t="s">
        <v>7501</v>
      </c>
      <c r="DO2652" s="406">
        <v>-6.61</v>
      </c>
      <c r="DP2652" s="80">
        <v>136</v>
      </c>
    </row>
    <row r="2653" spans="29:120" x14ac:dyDescent="0.25">
      <c r="AC2653" s="122" t="s">
        <v>322</v>
      </c>
      <c r="AD2653" s="122" t="s">
        <v>3000</v>
      </c>
      <c r="AE2653" s="127">
        <v>6</v>
      </c>
      <c r="DA2653" s="122" t="s">
        <v>348</v>
      </c>
      <c r="DB2653" s="122" t="s">
        <v>2115</v>
      </c>
      <c r="DC2653" s="122" t="s">
        <v>2115</v>
      </c>
      <c r="DD2653" s="127">
        <v>8</v>
      </c>
      <c r="DE2653" s="127">
        <v>8</v>
      </c>
      <c r="DG2653" s="405" t="s">
        <v>348</v>
      </c>
      <c r="DH2653" s="406" t="s">
        <v>2115</v>
      </c>
      <c r="DI2653" s="406" t="str">
        <f t="shared" si="73"/>
        <v>PB, Itatuba</v>
      </c>
      <c r="DJ2653" s="406">
        <v>-7.375</v>
      </c>
      <c r="DK2653" s="80">
        <v>-35.628</v>
      </c>
      <c r="DL2653" s="80">
        <v>117</v>
      </c>
      <c r="DM2653" s="64">
        <v>8</v>
      </c>
      <c r="DN2653" s="406" t="s">
        <v>7499</v>
      </c>
      <c r="DO2653" s="406">
        <v>-7.23</v>
      </c>
      <c r="DP2653" s="80">
        <v>548</v>
      </c>
    </row>
    <row r="2654" spans="29:120" x14ac:dyDescent="0.25">
      <c r="AC2654" s="122" t="s">
        <v>333</v>
      </c>
      <c r="AD2654" s="122" t="s">
        <v>3001</v>
      </c>
      <c r="AE2654" s="127">
        <v>6</v>
      </c>
      <c r="DA2654" s="122" t="s">
        <v>348</v>
      </c>
      <c r="DB2654" s="122" t="s">
        <v>4238</v>
      </c>
      <c r="DC2654" s="122" t="s">
        <v>4238</v>
      </c>
      <c r="DD2654" s="127">
        <v>8</v>
      </c>
      <c r="DE2654" s="127">
        <v>8</v>
      </c>
      <c r="DG2654" s="405" t="s">
        <v>348</v>
      </c>
      <c r="DH2654" s="406" t="s">
        <v>4238</v>
      </c>
      <c r="DI2654" s="406" t="str">
        <f t="shared" si="73"/>
        <v>PB, Jacaraú</v>
      </c>
      <c r="DJ2654" s="406">
        <v>-6.6120000000000001</v>
      </c>
      <c r="DK2654" s="80">
        <v>-35.292999999999999</v>
      </c>
      <c r="DL2654" s="80">
        <v>170</v>
      </c>
      <c r="DM2654" s="64">
        <v>8</v>
      </c>
      <c r="DN2654" s="406" t="s">
        <v>7501</v>
      </c>
      <c r="DO2654" s="406">
        <v>-6.61</v>
      </c>
      <c r="DP2654" s="80">
        <v>136</v>
      </c>
    </row>
    <row r="2655" spans="29:120" x14ac:dyDescent="0.25">
      <c r="AC2655" s="122" t="s">
        <v>322</v>
      </c>
      <c r="AD2655" s="122" t="s">
        <v>3002</v>
      </c>
      <c r="AE2655" s="127">
        <v>6</v>
      </c>
      <c r="DA2655" s="122" t="s">
        <v>348</v>
      </c>
      <c r="DB2655" s="122" t="s">
        <v>4523</v>
      </c>
      <c r="DC2655" s="122" t="s">
        <v>4523</v>
      </c>
      <c r="DD2655" s="127">
        <v>7</v>
      </c>
      <c r="DE2655" s="127">
        <v>7</v>
      </c>
      <c r="DG2655" s="405" t="s">
        <v>348</v>
      </c>
      <c r="DH2655" s="406" t="s">
        <v>4523</v>
      </c>
      <c r="DI2655" s="406" t="str">
        <f t="shared" si="73"/>
        <v>PB, Jericó</v>
      </c>
      <c r="DJ2655" s="406">
        <v>-6.5540000000000003</v>
      </c>
      <c r="DK2655" s="80">
        <v>-37.808999999999997</v>
      </c>
      <c r="DL2655" s="80">
        <v>233</v>
      </c>
      <c r="DM2655" s="64">
        <v>7</v>
      </c>
      <c r="DN2655" s="406" t="s">
        <v>6414</v>
      </c>
      <c r="DO2655" s="406">
        <v>-6.84</v>
      </c>
      <c r="DP2655" s="80">
        <v>234</v>
      </c>
    </row>
    <row r="2656" spans="29:120" x14ac:dyDescent="0.25">
      <c r="AC2656" s="122" t="s">
        <v>376</v>
      </c>
      <c r="AD2656" s="122" t="s">
        <v>3003</v>
      </c>
      <c r="AE2656" s="127">
        <v>6</v>
      </c>
      <c r="DA2656" s="122" t="s">
        <v>348</v>
      </c>
      <c r="DB2656" s="122" t="s">
        <v>7530</v>
      </c>
      <c r="DC2656" s="122" t="s">
        <v>5015</v>
      </c>
      <c r="DD2656" s="127">
        <v>8</v>
      </c>
      <c r="DE2656" s="127">
        <v>8</v>
      </c>
      <c r="DG2656" s="405" t="s">
        <v>348</v>
      </c>
      <c r="DH2656" s="406" t="s">
        <v>5015</v>
      </c>
      <c r="DI2656" s="406" t="str">
        <f t="shared" si="73"/>
        <v>PB, João Pessoa</v>
      </c>
      <c r="DJ2656" s="406">
        <v>-7.1150000000000002</v>
      </c>
      <c r="DK2656" s="80">
        <v>-34.863</v>
      </c>
      <c r="DL2656" s="80">
        <v>47</v>
      </c>
      <c r="DM2656" s="64">
        <v>8</v>
      </c>
      <c r="DN2656" s="406" t="s">
        <v>7496</v>
      </c>
      <c r="DO2656" s="406">
        <v>-7.11</v>
      </c>
      <c r="DP2656" s="80">
        <v>44</v>
      </c>
    </row>
    <row r="2657" spans="29:120" x14ac:dyDescent="0.25">
      <c r="AC2657" s="122" t="s">
        <v>322</v>
      </c>
      <c r="AD2657" s="122" t="s">
        <v>3004</v>
      </c>
      <c r="AE2657" s="127">
        <v>6</v>
      </c>
      <c r="DA2657" s="122" t="s">
        <v>348</v>
      </c>
      <c r="DB2657" s="122" t="s">
        <v>7531</v>
      </c>
      <c r="DC2657" s="122" t="s">
        <v>2143</v>
      </c>
      <c r="DD2657" s="127">
        <v>8</v>
      </c>
      <c r="DE2657" s="127">
        <v>8</v>
      </c>
      <c r="DG2657" s="405" t="s">
        <v>348</v>
      </c>
      <c r="DH2657" s="406" t="s">
        <v>2143</v>
      </c>
      <c r="DI2657" s="406" t="str">
        <f t="shared" si="73"/>
        <v>PB, Juarez Távora</v>
      </c>
      <c r="DJ2657" s="406">
        <v>-7.1719999999999997</v>
      </c>
      <c r="DK2657" s="80">
        <v>-35.582999999999998</v>
      </c>
      <c r="DL2657" s="80">
        <v>145</v>
      </c>
      <c r="DM2657" s="64">
        <v>8</v>
      </c>
      <c r="DN2657" s="406" t="s">
        <v>7492</v>
      </c>
      <c r="DO2657" s="406">
        <v>-6.96</v>
      </c>
      <c r="DP2657" s="80">
        <v>575</v>
      </c>
    </row>
    <row r="2658" spans="29:120" x14ac:dyDescent="0.25">
      <c r="AC2658" s="122" t="s">
        <v>333</v>
      </c>
      <c r="AD2658" s="122" t="s">
        <v>3005</v>
      </c>
      <c r="AE2658" s="127">
        <v>6</v>
      </c>
      <c r="DA2658" s="122" t="s">
        <v>348</v>
      </c>
      <c r="DB2658" s="122" t="s">
        <v>2130</v>
      </c>
      <c r="DC2658" s="122" t="s">
        <v>2130</v>
      </c>
      <c r="DD2658" s="127">
        <v>8</v>
      </c>
      <c r="DE2658" s="127">
        <v>8</v>
      </c>
      <c r="DG2658" s="405" t="s">
        <v>348</v>
      </c>
      <c r="DH2658" s="406" t="s">
        <v>2130</v>
      </c>
      <c r="DI2658" s="406" t="str">
        <f t="shared" si="73"/>
        <v>PB, Juazeirinho</v>
      </c>
      <c r="DJ2658" s="406">
        <v>-7.0679999999999996</v>
      </c>
      <c r="DK2658" s="80">
        <v>-36.578000000000003</v>
      </c>
      <c r="DL2658" s="80">
        <v>553</v>
      </c>
      <c r="DM2658" s="64">
        <v>8</v>
      </c>
      <c r="DN2658" s="406" t="s">
        <v>7504</v>
      </c>
      <c r="DO2658" s="406">
        <v>-7.48</v>
      </c>
      <c r="DP2658" s="80">
        <v>436</v>
      </c>
    </row>
    <row r="2659" spans="29:120" x14ac:dyDescent="0.25">
      <c r="AC2659" s="122" t="s">
        <v>322</v>
      </c>
      <c r="AD2659" s="122" t="s">
        <v>3006</v>
      </c>
      <c r="AE2659" s="127">
        <v>6</v>
      </c>
      <c r="DA2659" s="122" t="s">
        <v>348</v>
      </c>
      <c r="DB2659" s="122" t="s">
        <v>7532</v>
      </c>
      <c r="DC2659" s="122" t="s">
        <v>2165</v>
      </c>
      <c r="DD2659" s="127">
        <v>8</v>
      </c>
      <c r="DE2659" s="127">
        <v>8</v>
      </c>
      <c r="DG2659" s="405" t="s">
        <v>348</v>
      </c>
      <c r="DH2659" s="406" t="s">
        <v>2165</v>
      </c>
      <c r="DI2659" s="406" t="str">
        <f t="shared" si="73"/>
        <v>PB, Junco do Seridó</v>
      </c>
      <c r="DJ2659" s="406">
        <v>-6.9969999999999999</v>
      </c>
      <c r="DK2659" s="80">
        <v>-36.713000000000001</v>
      </c>
      <c r="DL2659" s="80">
        <v>590</v>
      </c>
      <c r="DM2659" s="64">
        <v>8</v>
      </c>
      <c r="DN2659" s="406" t="s">
        <v>7490</v>
      </c>
      <c r="DO2659" s="406">
        <v>-7.02</v>
      </c>
      <c r="DP2659" s="80">
        <v>249</v>
      </c>
    </row>
    <row r="2660" spans="29:120" x14ac:dyDescent="0.25">
      <c r="AC2660" s="122" t="s">
        <v>333</v>
      </c>
      <c r="AD2660" s="122" t="s">
        <v>3007</v>
      </c>
      <c r="AE2660" s="127">
        <v>6</v>
      </c>
      <c r="DA2660" s="122" t="s">
        <v>348</v>
      </c>
      <c r="DB2660" s="122" t="s">
        <v>5011</v>
      </c>
      <c r="DC2660" s="122" t="s">
        <v>5011</v>
      </c>
      <c r="DD2660" s="127">
        <v>8</v>
      </c>
      <c r="DE2660" s="127">
        <v>8</v>
      </c>
      <c r="DG2660" s="405" t="s">
        <v>348</v>
      </c>
      <c r="DH2660" s="406" t="s">
        <v>5011</v>
      </c>
      <c r="DI2660" s="406" t="str">
        <f t="shared" si="73"/>
        <v>PB, Juripiranga</v>
      </c>
      <c r="DJ2660" s="406">
        <v>-7.3730000000000002</v>
      </c>
      <c r="DK2660" s="80">
        <v>-35.238</v>
      </c>
      <c r="DL2660" s="80">
        <v>119</v>
      </c>
      <c r="DM2660" s="64">
        <v>8</v>
      </c>
      <c r="DN2660" s="406" t="s">
        <v>7496</v>
      </c>
      <c r="DO2660" s="406">
        <v>-7.11</v>
      </c>
      <c r="DP2660" s="80">
        <v>44</v>
      </c>
    </row>
    <row r="2661" spans="29:120" x14ac:dyDescent="0.25">
      <c r="AC2661" s="122" t="s">
        <v>333</v>
      </c>
      <c r="AD2661" s="122" t="s">
        <v>3008</v>
      </c>
      <c r="AE2661" s="127">
        <v>4</v>
      </c>
      <c r="DA2661" s="122" t="s">
        <v>348</v>
      </c>
      <c r="DB2661" s="122" t="s">
        <v>5484</v>
      </c>
      <c r="DC2661" s="122" t="s">
        <v>5484</v>
      </c>
      <c r="DD2661" s="127">
        <v>6</v>
      </c>
      <c r="DE2661" s="127">
        <v>6</v>
      </c>
      <c r="DG2661" s="405" t="s">
        <v>348</v>
      </c>
      <c r="DH2661" s="406" t="s">
        <v>5484</v>
      </c>
      <c r="DI2661" s="406" t="str">
        <f t="shared" si="73"/>
        <v>PB, Juru</v>
      </c>
      <c r="DJ2661" s="406">
        <v>-7.5369999999999999</v>
      </c>
      <c r="DK2661" s="80">
        <v>-37.819000000000003</v>
      </c>
      <c r="DL2661" s="80">
        <v>580</v>
      </c>
      <c r="DM2661" s="64">
        <v>6</v>
      </c>
      <c r="DN2661" s="406" t="s">
        <v>7509</v>
      </c>
      <c r="DO2661" s="406">
        <v>-7.95</v>
      </c>
      <c r="DP2661" s="80">
        <v>461</v>
      </c>
    </row>
    <row r="2662" spans="29:120" x14ac:dyDescent="0.25">
      <c r="AC2662" s="122" t="s">
        <v>322</v>
      </c>
      <c r="AD2662" s="122" t="s">
        <v>3009</v>
      </c>
      <c r="AE2662" s="127">
        <v>6</v>
      </c>
      <c r="DA2662" s="122" t="s">
        <v>348</v>
      </c>
      <c r="DB2662" s="122" t="s">
        <v>4527</v>
      </c>
      <c r="DC2662" s="122" t="s">
        <v>4527</v>
      </c>
      <c r="DD2662" s="127">
        <v>7</v>
      </c>
      <c r="DE2662" s="127">
        <v>7</v>
      </c>
      <c r="DG2662" s="405" t="s">
        <v>348</v>
      </c>
      <c r="DH2662" s="406" t="s">
        <v>4527</v>
      </c>
      <c r="DI2662" s="406" t="str">
        <f t="shared" si="73"/>
        <v>PB, Lagoa</v>
      </c>
      <c r="DJ2662" s="406">
        <v>-6.5709999999999997</v>
      </c>
      <c r="DK2662" s="80">
        <v>-37.915999999999997</v>
      </c>
      <c r="DL2662" s="80">
        <v>273</v>
      </c>
      <c r="DM2662" s="64">
        <v>7</v>
      </c>
      <c r="DN2662" s="406" t="s">
        <v>6414</v>
      </c>
      <c r="DO2662" s="406">
        <v>-6.84</v>
      </c>
      <c r="DP2662" s="80">
        <v>234</v>
      </c>
    </row>
    <row r="2663" spans="29:120" x14ac:dyDescent="0.25">
      <c r="AC2663" s="122" t="s">
        <v>376</v>
      </c>
      <c r="AD2663" s="122" t="s">
        <v>3010</v>
      </c>
      <c r="AE2663" s="127">
        <v>6</v>
      </c>
      <c r="DA2663" s="122" t="s">
        <v>348</v>
      </c>
      <c r="DB2663" s="122" t="s">
        <v>7533</v>
      </c>
      <c r="DC2663" s="122" t="s">
        <v>4296</v>
      </c>
      <c r="DD2663" s="127">
        <v>8</v>
      </c>
      <c r="DE2663" s="127">
        <v>8</v>
      </c>
      <c r="DG2663" s="405" t="s">
        <v>348</v>
      </c>
      <c r="DH2663" s="406" t="s">
        <v>4296</v>
      </c>
      <c r="DI2663" s="406" t="str">
        <f t="shared" si="73"/>
        <v>PB, Lagoa de Dentro</v>
      </c>
      <c r="DJ2663" s="406">
        <v>-6.673</v>
      </c>
      <c r="DK2663" s="80">
        <v>-35.378999999999998</v>
      </c>
      <c r="DL2663" s="80">
        <v>154</v>
      </c>
      <c r="DM2663" s="64">
        <v>8</v>
      </c>
      <c r="DN2663" s="406" t="s">
        <v>7501</v>
      </c>
      <c r="DO2663" s="406">
        <v>-6.61</v>
      </c>
      <c r="DP2663" s="80">
        <v>136</v>
      </c>
    </row>
    <row r="2664" spans="29:120" x14ac:dyDescent="0.25">
      <c r="AC2664" s="122" t="s">
        <v>322</v>
      </c>
      <c r="AD2664" s="122" t="s">
        <v>3011</v>
      </c>
      <c r="AE2664" s="127">
        <v>6</v>
      </c>
      <c r="DA2664" s="122" t="s">
        <v>348</v>
      </c>
      <c r="DB2664" s="122" t="s">
        <v>7534</v>
      </c>
      <c r="DC2664" s="122" t="s">
        <v>2266</v>
      </c>
      <c r="DD2664" s="127">
        <v>8</v>
      </c>
      <c r="DE2664" s="127">
        <v>8</v>
      </c>
      <c r="DG2664" s="405" t="s">
        <v>348</v>
      </c>
      <c r="DH2664" s="406" t="s">
        <v>2266</v>
      </c>
      <c r="DI2664" s="406" t="str">
        <f t="shared" si="73"/>
        <v>PB, Lagoa Seca</v>
      </c>
      <c r="DJ2664" s="406">
        <v>-7.1710000000000003</v>
      </c>
      <c r="DK2664" s="80">
        <v>-35.853999999999999</v>
      </c>
      <c r="DL2664" s="80">
        <v>634</v>
      </c>
      <c r="DM2664" s="64">
        <v>8</v>
      </c>
      <c r="DN2664" s="406" t="s">
        <v>7499</v>
      </c>
      <c r="DO2664" s="406">
        <v>-7.23</v>
      </c>
      <c r="DP2664" s="80">
        <v>548</v>
      </c>
    </row>
    <row r="2665" spans="29:120" x14ac:dyDescent="0.25">
      <c r="AC2665" s="122" t="s">
        <v>322</v>
      </c>
      <c r="AD2665" s="122" t="s">
        <v>3012</v>
      </c>
      <c r="AE2665" s="127">
        <v>6</v>
      </c>
      <c r="DA2665" s="122" t="s">
        <v>348</v>
      </c>
      <c r="DB2665" s="122" t="s">
        <v>4565</v>
      </c>
      <c r="DC2665" s="122" t="s">
        <v>4565</v>
      </c>
      <c r="DD2665" s="127">
        <v>7</v>
      </c>
      <c r="DE2665" s="127">
        <v>7</v>
      </c>
      <c r="DG2665" s="405" t="s">
        <v>348</v>
      </c>
      <c r="DH2665" s="406" t="s">
        <v>4565</v>
      </c>
      <c r="DI2665" s="406" t="str">
        <f t="shared" si="73"/>
        <v>PB, Lastro</v>
      </c>
      <c r="DJ2665" s="406">
        <v>-6.516</v>
      </c>
      <c r="DK2665" s="80">
        <v>-38.18</v>
      </c>
      <c r="DL2665" s="80">
        <v>336</v>
      </c>
      <c r="DM2665" s="64">
        <v>7</v>
      </c>
      <c r="DN2665" s="406" t="s">
        <v>6414</v>
      </c>
      <c r="DO2665" s="406">
        <v>-6.84</v>
      </c>
      <c r="DP2665" s="80">
        <v>234</v>
      </c>
    </row>
    <row r="2666" spans="29:120" x14ac:dyDescent="0.25">
      <c r="AC2666" s="122" t="s">
        <v>376</v>
      </c>
      <c r="AD2666" s="122" t="s">
        <v>2092</v>
      </c>
      <c r="AE2666" s="127">
        <v>6</v>
      </c>
      <c r="DA2666" s="122" t="s">
        <v>348</v>
      </c>
      <c r="DB2666" s="122" t="s">
        <v>2054</v>
      </c>
      <c r="DC2666" s="122" t="s">
        <v>2054</v>
      </c>
      <c r="DD2666" s="127">
        <v>7</v>
      </c>
      <c r="DE2666" s="127">
        <v>7</v>
      </c>
      <c r="DG2666" s="405" t="s">
        <v>348</v>
      </c>
      <c r="DH2666" s="406" t="s">
        <v>2054</v>
      </c>
      <c r="DI2666" s="406" t="str">
        <f t="shared" si="73"/>
        <v>PB, Livramento</v>
      </c>
      <c r="DJ2666" s="406">
        <v>-7.3739999999999997</v>
      </c>
      <c r="DK2666" s="80">
        <v>-36.945999999999998</v>
      </c>
      <c r="DL2666" s="80">
        <v>584</v>
      </c>
      <c r="DM2666" s="64">
        <v>7</v>
      </c>
      <c r="DN2666" s="406" t="s">
        <v>7490</v>
      </c>
      <c r="DO2666" s="406">
        <v>-7.02</v>
      </c>
      <c r="DP2666" s="80">
        <v>249</v>
      </c>
    </row>
    <row r="2667" spans="29:120" x14ac:dyDescent="0.25">
      <c r="AC2667" s="122" t="s">
        <v>333</v>
      </c>
      <c r="AD2667" s="122" t="s">
        <v>3013</v>
      </c>
      <c r="AE2667" s="127">
        <v>6</v>
      </c>
      <c r="DA2667" s="122" t="s">
        <v>348</v>
      </c>
      <c r="DB2667" s="122" t="s">
        <v>2154</v>
      </c>
      <c r="DC2667" s="122" t="s">
        <v>2154</v>
      </c>
      <c r="DD2667" s="127">
        <v>8</v>
      </c>
      <c r="DE2667" s="127">
        <v>8</v>
      </c>
      <c r="DG2667" s="405" t="s">
        <v>348</v>
      </c>
      <c r="DH2667" s="406" t="s">
        <v>2154</v>
      </c>
      <c r="DI2667" s="406" t="str">
        <f t="shared" si="73"/>
        <v>PB, Logradouro</v>
      </c>
      <c r="DJ2667" s="406">
        <v>-6.6139999999999999</v>
      </c>
      <c r="DK2667" s="80">
        <v>-35.442999999999998</v>
      </c>
      <c r="DL2667" s="80">
        <v>140</v>
      </c>
      <c r="DM2667" s="64">
        <v>8</v>
      </c>
      <c r="DN2667" s="406" t="s">
        <v>7501</v>
      </c>
      <c r="DO2667" s="406">
        <v>-6.61</v>
      </c>
      <c r="DP2667" s="80">
        <v>136</v>
      </c>
    </row>
    <row r="2668" spans="29:120" x14ac:dyDescent="0.25">
      <c r="AC2668" s="122" t="s">
        <v>376</v>
      </c>
      <c r="AD2668" s="122" t="s">
        <v>3014</v>
      </c>
      <c r="AE2668" s="127">
        <v>3</v>
      </c>
      <c r="DA2668" s="122" t="s">
        <v>348</v>
      </c>
      <c r="DB2668" s="122" t="s">
        <v>4065</v>
      </c>
      <c r="DC2668" s="122" t="s">
        <v>4065</v>
      </c>
      <c r="DD2668" s="127">
        <v>8</v>
      </c>
      <c r="DE2668" s="127">
        <v>8</v>
      </c>
      <c r="DG2668" s="405" t="s">
        <v>348</v>
      </c>
      <c r="DH2668" s="406" t="s">
        <v>4065</v>
      </c>
      <c r="DI2668" s="406" t="str">
        <f t="shared" si="73"/>
        <v>PB, Lucena</v>
      </c>
      <c r="DJ2668" s="406">
        <v>-6.9</v>
      </c>
      <c r="DK2668" s="80">
        <v>-34.869</v>
      </c>
      <c r="DL2668" s="80">
        <v>3</v>
      </c>
      <c r="DM2668" s="64">
        <v>8</v>
      </c>
      <c r="DN2668" s="406" t="s">
        <v>7496</v>
      </c>
      <c r="DO2668" s="406">
        <v>-7.11</v>
      </c>
      <c r="DP2668" s="80">
        <v>44</v>
      </c>
    </row>
    <row r="2669" spans="29:120" x14ac:dyDescent="0.25">
      <c r="AC2669" s="122" t="s">
        <v>322</v>
      </c>
      <c r="AD2669" s="122" t="s">
        <v>3015</v>
      </c>
      <c r="AE2669" s="127">
        <v>6</v>
      </c>
      <c r="DA2669" s="122" t="s">
        <v>348</v>
      </c>
      <c r="DB2669" s="122" t="s">
        <v>7535</v>
      </c>
      <c r="DC2669" s="122" t="s">
        <v>2134</v>
      </c>
      <c r="DD2669" s="127">
        <v>7</v>
      </c>
      <c r="DE2669" s="127">
        <v>7</v>
      </c>
      <c r="DG2669" s="405" t="s">
        <v>348</v>
      </c>
      <c r="DH2669" s="406" t="s">
        <v>2134</v>
      </c>
      <c r="DI2669" s="406" t="str">
        <f t="shared" si="73"/>
        <v>PB, Mãe d'Água</v>
      </c>
      <c r="DJ2669" s="406">
        <v>-7.2590000000000003</v>
      </c>
      <c r="DK2669" s="80">
        <v>-37.427</v>
      </c>
      <c r="DL2669" s="80">
        <v>414</v>
      </c>
      <c r="DM2669" s="64">
        <v>7</v>
      </c>
      <c r="DN2669" s="406" t="s">
        <v>7490</v>
      </c>
      <c r="DO2669" s="406">
        <v>-7.02</v>
      </c>
      <c r="DP2669" s="80">
        <v>249</v>
      </c>
    </row>
    <row r="2670" spans="29:120" x14ac:dyDescent="0.25">
      <c r="AC2670" s="122" t="s">
        <v>340</v>
      </c>
      <c r="AD2670" s="122" t="s">
        <v>3016</v>
      </c>
      <c r="AE2670" s="127">
        <v>8</v>
      </c>
      <c r="DA2670" s="122" t="s">
        <v>348</v>
      </c>
      <c r="DB2670" s="122" t="s">
        <v>4795</v>
      </c>
      <c r="DC2670" s="122" t="s">
        <v>4795</v>
      </c>
      <c r="DD2670" s="127">
        <v>7</v>
      </c>
      <c r="DE2670" s="127">
        <v>7</v>
      </c>
      <c r="DG2670" s="405" t="s">
        <v>348</v>
      </c>
      <c r="DH2670" s="406" t="s">
        <v>4795</v>
      </c>
      <c r="DI2670" s="406" t="str">
        <f t="shared" si="73"/>
        <v>PB, Malta</v>
      </c>
      <c r="DJ2670" s="406">
        <v>-6.9039999999999999</v>
      </c>
      <c r="DK2670" s="80">
        <v>-37.521999999999998</v>
      </c>
      <c r="DL2670" s="80">
        <v>257</v>
      </c>
      <c r="DM2670" s="64">
        <v>7</v>
      </c>
      <c r="DN2670" s="406" t="s">
        <v>7490</v>
      </c>
      <c r="DO2670" s="406">
        <v>-7.02</v>
      </c>
      <c r="DP2670" s="80">
        <v>249</v>
      </c>
    </row>
    <row r="2671" spans="29:120" x14ac:dyDescent="0.25">
      <c r="AC2671" s="122" t="s">
        <v>289</v>
      </c>
      <c r="AD2671" s="122" t="s">
        <v>3017</v>
      </c>
      <c r="AE2671" s="127">
        <v>6</v>
      </c>
      <c r="DA2671" s="122" t="s">
        <v>348</v>
      </c>
      <c r="DB2671" s="122" t="s">
        <v>4163</v>
      </c>
      <c r="DC2671" s="122" t="s">
        <v>4163</v>
      </c>
      <c r="DD2671" s="127">
        <v>8</v>
      </c>
      <c r="DE2671" s="127">
        <v>8</v>
      </c>
      <c r="DG2671" s="405" t="s">
        <v>348</v>
      </c>
      <c r="DH2671" s="406" t="s">
        <v>4163</v>
      </c>
      <c r="DI2671" s="406" t="str">
        <f t="shared" si="73"/>
        <v>PB, Mamanguape</v>
      </c>
      <c r="DJ2671" s="406">
        <v>-6.8390000000000004</v>
      </c>
      <c r="DK2671" s="80">
        <v>-35.125999999999998</v>
      </c>
      <c r="DL2671" s="80">
        <v>35</v>
      </c>
      <c r="DM2671" s="64">
        <v>8</v>
      </c>
      <c r="DN2671" s="406" t="s">
        <v>7501</v>
      </c>
      <c r="DO2671" s="406">
        <v>-6.61</v>
      </c>
      <c r="DP2671" s="80">
        <v>136</v>
      </c>
    </row>
    <row r="2672" spans="29:120" x14ac:dyDescent="0.25">
      <c r="AC2672" s="122" t="s">
        <v>322</v>
      </c>
      <c r="AD2672" s="122" t="s">
        <v>3018</v>
      </c>
      <c r="AE2672" s="127">
        <v>6</v>
      </c>
      <c r="DA2672" s="122" t="s">
        <v>348</v>
      </c>
      <c r="DB2672" s="122" t="s">
        <v>2306</v>
      </c>
      <c r="DC2672" s="122" t="s">
        <v>2306</v>
      </c>
      <c r="DD2672" s="127">
        <v>6</v>
      </c>
      <c r="DE2672" s="127">
        <v>6</v>
      </c>
      <c r="DG2672" s="405" t="s">
        <v>348</v>
      </c>
      <c r="DH2672" s="406" t="s">
        <v>2306</v>
      </c>
      <c r="DI2672" s="406" t="str">
        <f t="shared" si="73"/>
        <v>PB, Manaíra</v>
      </c>
      <c r="DJ2672" s="406">
        <v>-7.7060000000000004</v>
      </c>
      <c r="DK2672" s="80">
        <v>-38.154000000000003</v>
      </c>
      <c r="DL2672" s="80">
        <v>757</v>
      </c>
      <c r="DM2672" s="64">
        <v>6</v>
      </c>
      <c r="DN2672" s="406" t="s">
        <v>7509</v>
      </c>
      <c r="DO2672" s="406">
        <v>-7.95</v>
      </c>
      <c r="DP2672" s="80">
        <v>461</v>
      </c>
    </row>
    <row r="2673" spans="29:120" x14ac:dyDescent="0.25">
      <c r="AC2673" s="122" t="s">
        <v>322</v>
      </c>
      <c r="AD2673" s="122" t="s">
        <v>3019</v>
      </c>
      <c r="AE2673" s="127">
        <v>6</v>
      </c>
      <c r="DA2673" s="122" t="s">
        <v>348</v>
      </c>
      <c r="DB2673" s="122" t="s">
        <v>4118</v>
      </c>
      <c r="DC2673" s="122" t="s">
        <v>4118</v>
      </c>
      <c r="DD2673" s="127">
        <v>8</v>
      </c>
      <c r="DE2673" s="127">
        <v>8</v>
      </c>
      <c r="DG2673" s="405" t="s">
        <v>348</v>
      </c>
      <c r="DH2673" s="406" t="s">
        <v>4118</v>
      </c>
      <c r="DI2673" s="406" t="str">
        <f t="shared" si="73"/>
        <v>PB, Marcação</v>
      </c>
      <c r="DJ2673" s="406">
        <v>-6.77</v>
      </c>
      <c r="DK2673" s="80">
        <v>-35.015000000000001</v>
      </c>
      <c r="DL2673" s="80">
        <v>89</v>
      </c>
      <c r="DM2673" s="64">
        <v>8</v>
      </c>
      <c r="DN2673" s="406" t="s">
        <v>7501</v>
      </c>
      <c r="DO2673" s="406">
        <v>-6.61</v>
      </c>
      <c r="DP2673" s="80">
        <v>136</v>
      </c>
    </row>
    <row r="2674" spans="29:120" x14ac:dyDescent="0.25">
      <c r="AC2674" s="122" t="s">
        <v>322</v>
      </c>
      <c r="AD2674" s="122" t="s">
        <v>3020</v>
      </c>
      <c r="AE2674" s="127">
        <v>6</v>
      </c>
      <c r="DA2674" s="122" t="s">
        <v>348</v>
      </c>
      <c r="DB2674" s="122" t="s">
        <v>5099</v>
      </c>
      <c r="DC2674" s="122" t="s">
        <v>5099</v>
      </c>
      <c r="DD2674" s="127">
        <v>8</v>
      </c>
      <c r="DE2674" s="127">
        <v>8</v>
      </c>
      <c r="DG2674" s="405" t="s">
        <v>348</v>
      </c>
      <c r="DH2674" s="406" t="s">
        <v>5099</v>
      </c>
      <c r="DI2674" s="406" t="str">
        <f t="shared" si="73"/>
        <v>PB, Mari</v>
      </c>
      <c r="DJ2674" s="406">
        <v>-7.06</v>
      </c>
      <c r="DK2674" s="80">
        <v>-35.319000000000003</v>
      </c>
      <c r="DL2674" s="80">
        <v>143</v>
      </c>
      <c r="DM2674" s="64">
        <v>8</v>
      </c>
      <c r="DN2674" s="406" t="s">
        <v>7492</v>
      </c>
      <c r="DO2674" s="406">
        <v>-6.96</v>
      </c>
      <c r="DP2674" s="80">
        <v>575</v>
      </c>
    </row>
    <row r="2675" spans="29:120" x14ac:dyDescent="0.25">
      <c r="AC2675" s="122" t="s">
        <v>322</v>
      </c>
      <c r="AD2675" s="122" t="s">
        <v>3021</v>
      </c>
      <c r="AE2675" s="127">
        <v>6</v>
      </c>
      <c r="DA2675" s="122" t="s">
        <v>348</v>
      </c>
      <c r="DB2675" s="122" t="s">
        <v>5489</v>
      </c>
      <c r="DC2675" s="122" t="s">
        <v>5489</v>
      </c>
      <c r="DD2675" s="127">
        <v>7</v>
      </c>
      <c r="DE2675" s="127">
        <v>7</v>
      </c>
      <c r="DG2675" s="405" t="s">
        <v>348</v>
      </c>
      <c r="DH2675" s="406" t="s">
        <v>5489</v>
      </c>
      <c r="DI2675" s="406" t="str">
        <f t="shared" si="73"/>
        <v>PB, Marizópolis</v>
      </c>
      <c r="DJ2675" s="406">
        <v>-6.8419999999999996</v>
      </c>
      <c r="DK2675" s="80">
        <v>-38.347000000000001</v>
      </c>
      <c r="DL2675" s="80">
        <v>300</v>
      </c>
      <c r="DM2675" s="64">
        <v>7</v>
      </c>
      <c r="DN2675" s="406" t="s">
        <v>6414</v>
      </c>
      <c r="DO2675" s="406">
        <v>-6.84</v>
      </c>
      <c r="DP2675" s="80">
        <v>234</v>
      </c>
    </row>
    <row r="2676" spans="29:120" x14ac:dyDescent="0.25">
      <c r="AC2676" s="122" t="s">
        <v>333</v>
      </c>
      <c r="AD2676" s="122" t="s">
        <v>3022</v>
      </c>
      <c r="AE2676" s="127">
        <v>6</v>
      </c>
      <c r="DA2676" s="122" t="s">
        <v>348</v>
      </c>
      <c r="DB2676" s="122" t="s">
        <v>2261</v>
      </c>
      <c r="DC2676" s="122" t="s">
        <v>2261</v>
      </c>
      <c r="DD2676" s="127">
        <v>8</v>
      </c>
      <c r="DE2676" s="127">
        <v>8</v>
      </c>
      <c r="DG2676" s="405" t="s">
        <v>348</v>
      </c>
      <c r="DH2676" s="406" t="s">
        <v>2261</v>
      </c>
      <c r="DI2676" s="406" t="str">
        <f t="shared" si="73"/>
        <v>PB, Massaranduba</v>
      </c>
      <c r="DJ2676" s="406">
        <v>-7.2</v>
      </c>
      <c r="DK2676" s="80">
        <v>-35.789000000000001</v>
      </c>
      <c r="DL2676" s="80">
        <v>541</v>
      </c>
      <c r="DM2676" s="64">
        <v>8</v>
      </c>
      <c r="DN2676" s="406" t="s">
        <v>7499</v>
      </c>
      <c r="DO2676" s="406">
        <v>-7.23</v>
      </c>
      <c r="DP2676" s="80">
        <v>548</v>
      </c>
    </row>
    <row r="2677" spans="29:120" x14ac:dyDescent="0.25">
      <c r="AC2677" s="122" t="s">
        <v>348</v>
      </c>
      <c r="AD2677" s="122" t="s">
        <v>3023</v>
      </c>
      <c r="AE2677" s="127">
        <v>8</v>
      </c>
      <c r="DA2677" s="122" t="s">
        <v>348</v>
      </c>
      <c r="DB2677" s="122" t="s">
        <v>4155</v>
      </c>
      <c r="DC2677" s="122" t="s">
        <v>4155</v>
      </c>
      <c r="DD2677" s="127">
        <v>8</v>
      </c>
      <c r="DE2677" s="127">
        <v>8</v>
      </c>
      <c r="DG2677" s="405" t="s">
        <v>348</v>
      </c>
      <c r="DH2677" s="406" t="s">
        <v>4155</v>
      </c>
      <c r="DI2677" s="406" t="str">
        <f t="shared" si="73"/>
        <v>PB, Mataraca</v>
      </c>
      <c r="DJ2677" s="406">
        <v>-6.601</v>
      </c>
      <c r="DK2677" s="80">
        <v>-35.051000000000002</v>
      </c>
      <c r="DL2677" s="80">
        <v>14</v>
      </c>
      <c r="DM2677" s="64">
        <v>8</v>
      </c>
      <c r="DN2677" s="406" t="s">
        <v>7501</v>
      </c>
      <c r="DO2677" s="406">
        <v>-6.61</v>
      </c>
      <c r="DP2677" s="80">
        <v>136</v>
      </c>
    </row>
    <row r="2678" spans="29:120" x14ac:dyDescent="0.25">
      <c r="AC2678" s="122" t="s">
        <v>333</v>
      </c>
      <c r="AD2678" s="122" t="s">
        <v>3024</v>
      </c>
      <c r="AE2678" s="127">
        <v>6</v>
      </c>
      <c r="DA2678" s="122" t="s">
        <v>348</v>
      </c>
      <c r="DB2678" s="122" t="s">
        <v>2268</v>
      </c>
      <c r="DC2678" s="122" t="s">
        <v>2268</v>
      </c>
      <c r="DD2678" s="127">
        <v>8</v>
      </c>
      <c r="DE2678" s="127">
        <v>8</v>
      </c>
      <c r="DG2678" s="405" t="s">
        <v>348</v>
      </c>
      <c r="DH2678" s="406" t="s">
        <v>2268</v>
      </c>
      <c r="DI2678" s="406" t="str">
        <f t="shared" si="73"/>
        <v>PB, Matinhas</v>
      </c>
      <c r="DJ2678" s="406">
        <v>-7.125</v>
      </c>
      <c r="DK2678" s="80">
        <v>-35.767000000000003</v>
      </c>
      <c r="DL2678" s="80">
        <v>300</v>
      </c>
      <c r="DM2678" s="64">
        <v>8</v>
      </c>
      <c r="DN2678" s="406" t="s">
        <v>7499</v>
      </c>
      <c r="DO2678" s="406">
        <v>-7.23</v>
      </c>
      <c r="DP2678" s="80">
        <v>548</v>
      </c>
    </row>
    <row r="2679" spans="29:120" x14ac:dyDescent="0.25">
      <c r="AC2679" s="122" t="s">
        <v>322</v>
      </c>
      <c r="AD2679" s="122" t="s">
        <v>3025</v>
      </c>
      <c r="AE2679" s="127">
        <v>6</v>
      </c>
      <c r="DA2679" s="122" t="s">
        <v>348</v>
      </c>
      <c r="DB2679" s="122" t="s">
        <v>7536</v>
      </c>
      <c r="DC2679" s="122" t="s">
        <v>4501</v>
      </c>
      <c r="DD2679" s="127">
        <v>7</v>
      </c>
      <c r="DE2679" s="127">
        <v>7</v>
      </c>
      <c r="DG2679" s="405" t="s">
        <v>348</v>
      </c>
      <c r="DH2679" s="406" t="s">
        <v>4501</v>
      </c>
      <c r="DI2679" s="406" t="str">
        <f t="shared" si="73"/>
        <v>PB, Mato Grosso</v>
      </c>
      <c r="DJ2679" s="406">
        <v>-6.5339999999999998</v>
      </c>
      <c r="DK2679" s="80">
        <v>-37.725000000000001</v>
      </c>
      <c r="DL2679" s="80">
        <v>225</v>
      </c>
      <c r="DM2679" s="64">
        <v>7</v>
      </c>
      <c r="DN2679" s="406" t="s">
        <v>6414</v>
      </c>
      <c r="DO2679" s="406">
        <v>-6.84</v>
      </c>
      <c r="DP2679" s="80">
        <v>234</v>
      </c>
    </row>
    <row r="2680" spans="29:120" x14ac:dyDescent="0.25">
      <c r="AC2680" s="122" t="s">
        <v>336</v>
      </c>
      <c r="AD2680" s="122" t="s">
        <v>3026</v>
      </c>
      <c r="AE2680" s="127">
        <v>6</v>
      </c>
      <c r="DA2680" s="122" t="s">
        <v>348</v>
      </c>
      <c r="DB2680" s="122" t="s">
        <v>2664</v>
      </c>
      <c r="DC2680" s="122" t="s">
        <v>2664</v>
      </c>
      <c r="DD2680" s="127">
        <v>7</v>
      </c>
      <c r="DE2680" s="127">
        <v>7</v>
      </c>
      <c r="DG2680" s="405" t="s">
        <v>348</v>
      </c>
      <c r="DH2680" s="406" t="s">
        <v>2664</v>
      </c>
      <c r="DI2680" s="406" t="str">
        <f t="shared" si="73"/>
        <v>PB, Maturéia</v>
      </c>
      <c r="DJ2680" s="406">
        <v>-7.2670000000000003</v>
      </c>
      <c r="DK2680" s="80">
        <v>-37.350999999999999</v>
      </c>
      <c r="DL2680" s="80">
        <v>815</v>
      </c>
      <c r="DM2680" s="64">
        <v>7</v>
      </c>
      <c r="DN2680" s="406" t="s">
        <v>7490</v>
      </c>
      <c r="DO2680" s="406">
        <v>-7.02</v>
      </c>
      <c r="DP2680" s="80">
        <v>249</v>
      </c>
    </row>
    <row r="2681" spans="29:120" x14ac:dyDescent="0.25">
      <c r="AC2681" s="122" t="s">
        <v>289</v>
      </c>
      <c r="AD2681" s="122" t="s">
        <v>3027</v>
      </c>
      <c r="AE2681" s="127">
        <v>6</v>
      </c>
      <c r="DA2681" s="122" t="s">
        <v>348</v>
      </c>
      <c r="DB2681" s="122" t="s">
        <v>5101</v>
      </c>
      <c r="DC2681" s="122" t="s">
        <v>5101</v>
      </c>
      <c r="DD2681" s="127">
        <v>8</v>
      </c>
      <c r="DE2681" s="127">
        <v>8</v>
      </c>
      <c r="DG2681" s="405" t="s">
        <v>348</v>
      </c>
      <c r="DH2681" s="406" t="s">
        <v>5101</v>
      </c>
      <c r="DI2681" s="406" t="str">
        <f t="shared" si="73"/>
        <v>PB, Mogeiro</v>
      </c>
      <c r="DJ2681" s="406">
        <v>-7.2990000000000004</v>
      </c>
      <c r="DK2681" s="80">
        <v>-35.478999999999999</v>
      </c>
      <c r="DL2681" s="80">
        <v>117</v>
      </c>
      <c r="DM2681" s="64">
        <v>8</v>
      </c>
      <c r="DN2681" s="406" t="s">
        <v>7492</v>
      </c>
      <c r="DO2681" s="406">
        <v>-6.96</v>
      </c>
      <c r="DP2681" s="80">
        <v>575</v>
      </c>
    </row>
    <row r="2682" spans="29:120" x14ac:dyDescent="0.25">
      <c r="AC2682" s="122" t="s">
        <v>333</v>
      </c>
      <c r="AD2682" s="122" t="s">
        <v>3028</v>
      </c>
      <c r="AE2682" s="127">
        <v>6</v>
      </c>
      <c r="DA2682" s="122" t="s">
        <v>348</v>
      </c>
      <c r="DB2682" s="122" t="s">
        <v>2212</v>
      </c>
      <c r="DC2682" s="122" t="s">
        <v>2212</v>
      </c>
      <c r="DD2682" s="127">
        <v>8</v>
      </c>
      <c r="DE2682" s="127">
        <v>8</v>
      </c>
      <c r="DG2682" s="405" t="s">
        <v>348</v>
      </c>
      <c r="DH2682" s="406" t="s">
        <v>2212</v>
      </c>
      <c r="DI2682" s="406" t="str">
        <f t="shared" si="73"/>
        <v>PB, Montadas</v>
      </c>
      <c r="DJ2682" s="406">
        <v>-7.0880000000000001</v>
      </c>
      <c r="DK2682" s="80">
        <v>-35.959000000000003</v>
      </c>
      <c r="DL2682" s="80">
        <v>713</v>
      </c>
      <c r="DM2682" s="64">
        <v>8</v>
      </c>
      <c r="DN2682" s="406" t="s">
        <v>7499</v>
      </c>
      <c r="DO2682" s="406">
        <v>-7.23</v>
      </c>
      <c r="DP2682" s="80">
        <v>548</v>
      </c>
    </row>
    <row r="2683" spans="29:120" x14ac:dyDescent="0.25">
      <c r="AC2683" s="122" t="s">
        <v>322</v>
      </c>
      <c r="AD2683" s="122" t="s">
        <v>3029</v>
      </c>
      <c r="AE2683" s="127">
        <v>6</v>
      </c>
      <c r="DA2683" s="122" t="s">
        <v>348</v>
      </c>
      <c r="DB2683" s="122" t="s">
        <v>7537</v>
      </c>
      <c r="DC2683" s="122" t="s">
        <v>2576</v>
      </c>
      <c r="DD2683" s="127">
        <v>7</v>
      </c>
      <c r="DE2683" s="127">
        <v>7</v>
      </c>
      <c r="DG2683" s="405" t="s">
        <v>348</v>
      </c>
      <c r="DH2683" s="406" t="s">
        <v>2576</v>
      </c>
      <c r="DI2683" s="406" t="str">
        <f t="shared" si="73"/>
        <v>PB, Monte Horebe</v>
      </c>
      <c r="DJ2683" s="406">
        <v>-7.2149999999999999</v>
      </c>
      <c r="DK2683" s="80">
        <v>-38.585999999999999</v>
      </c>
      <c r="DL2683" s="80">
        <v>718</v>
      </c>
      <c r="DM2683" s="64">
        <v>7</v>
      </c>
      <c r="DN2683" s="406" t="s">
        <v>6414</v>
      </c>
      <c r="DO2683" s="406">
        <v>-6.84</v>
      </c>
      <c r="DP2683" s="80">
        <v>234</v>
      </c>
    </row>
    <row r="2684" spans="29:120" x14ac:dyDescent="0.25">
      <c r="AC2684" s="122" t="s">
        <v>322</v>
      </c>
      <c r="AD2684" s="122" t="s">
        <v>3030</v>
      </c>
      <c r="AE2684" s="127">
        <v>6</v>
      </c>
      <c r="DA2684" s="122" t="s">
        <v>348</v>
      </c>
      <c r="DB2684" s="122" t="s">
        <v>2385</v>
      </c>
      <c r="DC2684" s="122" t="s">
        <v>2385</v>
      </c>
      <c r="DD2684" s="127">
        <v>6</v>
      </c>
      <c r="DE2684" s="127">
        <v>6</v>
      </c>
      <c r="DG2684" s="405" t="s">
        <v>348</v>
      </c>
      <c r="DH2684" s="406" t="s">
        <v>2385</v>
      </c>
      <c r="DI2684" s="406" t="str">
        <f t="shared" si="73"/>
        <v>PB, Monteiro</v>
      </c>
      <c r="DJ2684" s="406">
        <v>-7.8890000000000002</v>
      </c>
      <c r="DK2684" s="80">
        <v>-37.119999999999997</v>
      </c>
      <c r="DL2684" s="80">
        <v>599</v>
      </c>
      <c r="DM2684" s="64">
        <v>6</v>
      </c>
      <c r="DN2684" s="406" t="s">
        <v>7497</v>
      </c>
      <c r="DO2684" s="406">
        <v>-7.89</v>
      </c>
      <c r="DP2684" s="80">
        <v>604</v>
      </c>
    </row>
    <row r="2685" spans="29:120" x14ac:dyDescent="0.25">
      <c r="AC2685" s="122" t="s">
        <v>322</v>
      </c>
      <c r="AD2685" s="122" t="s">
        <v>3031</v>
      </c>
      <c r="AE2685" s="127">
        <v>6</v>
      </c>
      <c r="DA2685" s="122" t="s">
        <v>348</v>
      </c>
      <c r="DB2685" s="122" t="s">
        <v>2335</v>
      </c>
      <c r="DC2685" s="122" t="s">
        <v>2335</v>
      </c>
      <c r="DD2685" s="127">
        <v>8</v>
      </c>
      <c r="DE2685" s="127">
        <v>8</v>
      </c>
      <c r="DG2685" s="405" t="s">
        <v>348</v>
      </c>
      <c r="DH2685" s="406" t="s">
        <v>2335</v>
      </c>
      <c r="DI2685" s="406" t="str">
        <f t="shared" si="73"/>
        <v>PB, Mulungu</v>
      </c>
      <c r="DJ2685" s="406">
        <v>-7.024</v>
      </c>
      <c r="DK2685" s="80">
        <v>-35.462000000000003</v>
      </c>
      <c r="DL2685" s="80">
        <v>99</v>
      </c>
      <c r="DM2685" s="64">
        <v>8</v>
      </c>
      <c r="DN2685" s="406" t="s">
        <v>7492</v>
      </c>
      <c r="DO2685" s="406">
        <v>-6.96</v>
      </c>
      <c r="DP2685" s="80">
        <v>575</v>
      </c>
    </row>
    <row r="2686" spans="29:120" x14ac:dyDescent="0.25">
      <c r="AC2686" s="122" t="s">
        <v>322</v>
      </c>
      <c r="AD2686" s="122" t="s">
        <v>3032</v>
      </c>
      <c r="AE2686" s="127">
        <v>6</v>
      </c>
      <c r="DA2686" s="122" t="s">
        <v>348</v>
      </c>
      <c r="DB2686" s="122" t="s">
        <v>5093</v>
      </c>
      <c r="DC2686" s="122" t="s">
        <v>5093</v>
      </c>
      <c r="DD2686" s="127">
        <v>8</v>
      </c>
      <c r="DE2686" s="127">
        <v>8</v>
      </c>
      <c r="DG2686" s="405" t="s">
        <v>348</v>
      </c>
      <c r="DH2686" s="406" t="s">
        <v>5093</v>
      </c>
      <c r="DI2686" s="406" t="str">
        <f t="shared" si="73"/>
        <v>PB, Natuba</v>
      </c>
      <c r="DJ2686" s="406">
        <v>-7.641</v>
      </c>
      <c r="DK2686" s="80">
        <v>-35.549999999999997</v>
      </c>
      <c r="DL2686" s="80">
        <v>331</v>
      </c>
      <c r="DM2686" s="64">
        <v>8</v>
      </c>
      <c r="DN2686" s="406" t="s">
        <v>7494</v>
      </c>
      <c r="DO2686" s="406">
        <v>-7.84</v>
      </c>
      <c r="DP2686" s="80">
        <v>418</v>
      </c>
    </row>
    <row r="2687" spans="29:120" x14ac:dyDescent="0.25">
      <c r="AC2687" s="122" t="s">
        <v>333</v>
      </c>
      <c r="AD2687" s="122" t="s">
        <v>3033</v>
      </c>
      <c r="AE2687" s="127">
        <v>6</v>
      </c>
      <c r="DA2687" s="122" t="s">
        <v>348</v>
      </c>
      <c r="DB2687" s="122" t="s">
        <v>5425</v>
      </c>
      <c r="DC2687" s="122" t="s">
        <v>5425</v>
      </c>
      <c r="DD2687" s="127">
        <v>7</v>
      </c>
      <c r="DE2687" s="127">
        <v>7</v>
      </c>
      <c r="DG2687" s="405" t="s">
        <v>348</v>
      </c>
      <c r="DH2687" s="406" t="s">
        <v>5425</v>
      </c>
      <c r="DI2687" s="406" t="str">
        <f t="shared" si="73"/>
        <v>PB, Nazarezinho</v>
      </c>
      <c r="DJ2687" s="406">
        <v>-6.9160000000000004</v>
      </c>
      <c r="DK2687" s="80">
        <v>-38.325000000000003</v>
      </c>
      <c r="DL2687" s="80">
        <v>272</v>
      </c>
      <c r="DM2687" s="64">
        <v>7</v>
      </c>
      <c r="DN2687" s="406" t="s">
        <v>6414</v>
      </c>
      <c r="DO2687" s="406">
        <v>-6.84</v>
      </c>
      <c r="DP2687" s="80">
        <v>234</v>
      </c>
    </row>
    <row r="2688" spans="29:120" x14ac:dyDescent="0.25">
      <c r="AC2688" s="122" t="s">
        <v>289</v>
      </c>
      <c r="AD2688" s="122" t="s">
        <v>3034</v>
      </c>
      <c r="AE2688" s="127">
        <v>8</v>
      </c>
      <c r="DA2688" s="122" t="s">
        <v>348</v>
      </c>
      <c r="DB2688" s="122" t="s">
        <v>7538</v>
      </c>
      <c r="DC2688" s="122" t="s">
        <v>2217</v>
      </c>
      <c r="DD2688" s="127">
        <v>8</v>
      </c>
      <c r="DE2688" s="127">
        <v>8</v>
      </c>
      <c r="DG2688" s="405" t="s">
        <v>348</v>
      </c>
      <c r="DH2688" s="406" t="s">
        <v>2217</v>
      </c>
      <c r="DI2688" s="406" t="str">
        <f t="shared" si="73"/>
        <v>PB, Nova Floresta</v>
      </c>
      <c r="DJ2688" s="406">
        <v>-6.4550000000000001</v>
      </c>
      <c r="DK2688" s="80">
        <v>-36.203000000000003</v>
      </c>
      <c r="DL2688" s="80">
        <v>666</v>
      </c>
      <c r="DM2688" s="64">
        <v>8</v>
      </c>
      <c r="DN2688" s="406" t="s">
        <v>7492</v>
      </c>
      <c r="DO2688" s="406">
        <v>-6.96</v>
      </c>
      <c r="DP2688" s="80">
        <v>575</v>
      </c>
    </row>
    <row r="2689" spans="29:120" x14ac:dyDescent="0.25">
      <c r="AC2689" s="122" t="s">
        <v>340</v>
      </c>
      <c r="AD2689" s="122" t="s">
        <v>3035</v>
      </c>
      <c r="AE2689" s="127">
        <v>6</v>
      </c>
      <c r="DA2689" s="122" t="s">
        <v>348</v>
      </c>
      <c r="DB2689" s="122" t="s">
        <v>6434</v>
      </c>
      <c r="DC2689" s="122" t="s">
        <v>4446</v>
      </c>
      <c r="DD2689" s="127">
        <v>6</v>
      </c>
      <c r="DE2689" s="127">
        <v>6</v>
      </c>
      <c r="DG2689" s="405" t="s">
        <v>348</v>
      </c>
      <c r="DH2689" s="406" t="s">
        <v>4446</v>
      </c>
      <c r="DI2689" s="406" t="str">
        <f t="shared" si="73"/>
        <v>PB, Nova Olinda</v>
      </c>
      <c r="DJ2689" s="406">
        <v>-7.48</v>
      </c>
      <c r="DK2689" s="80">
        <v>-38.042000000000002</v>
      </c>
      <c r="DL2689" s="80">
        <v>319</v>
      </c>
      <c r="DM2689" s="64">
        <v>6</v>
      </c>
      <c r="DN2689" s="406" t="s">
        <v>7509</v>
      </c>
      <c r="DO2689" s="406">
        <v>-7.95</v>
      </c>
      <c r="DP2689" s="80">
        <v>461</v>
      </c>
    </row>
    <row r="2690" spans="29:120" x14ac:dyDescent="0.25">
      <c r="AC2690" s="122" t="s">
        <v>333</v>
      </c>
      <c r="AD2690" s="122" t="s">
        <v>3036</v>
      </c>
      <c r="AE2690" s="127">
        <v>6</v>
      </c>
      <c r="DA2690" s="122" t="s">
        <v>348</v>
      </c>
      <c r="DB2690" s="122" t="s">
        <v>7539</v>
      </c>
      <c r="DC2690" s="122" t="s">
        <v>2188</v>
      </c>
      <c r="DD2690" s="127">
        <v>8</v>
      </c>
      <c r="DE2690" s="127">
        <v>8</v>
      </c>
      <c r="DG2690" s="405" t="s">
        <v>348</v>
      </c>
      <c r="DH2690" s="406" t="s">
        <v>2188</v>
      </c>
      <c r="DI2690" s="406" t="str">
        <f t="shared" si="73"/>
        <v>PB, Nova Palmeira</v>
      </c>
      <c r="DJ2690" s="406">
        <v>-6.6779999999999999</v>
      </c>
      <c r="DK2690" s="80">
        <v>-36.420999999999999</v>
      </c>
      <c r="DL2690" s="80">
        <v>560</v>
      </c>
      <c r="DM2690" s="64">
        <v>8</v>
      </c>
      <c r="DN2690" s="406" t="s">
        <v>7506</v>
      </c>
      <c r="DO2690" s="406">
        <v>-6.46</v>
      </c>
      <c r="DP2690" s="80">
        <v>170</v>
      </c>
    </row>
    <row r="2691" spans="29:120" x14ac:dyDescent="0.25">
      <c r="AC2691" s="122" t="s">
        <v>336</v>
      </c>
      <c r="AD2691" s="122" t="s">
        <v>3037</v>
      </c>
      <c r="AE2691" s="127">
        <v>6</v>
      </c>
      <c r="DA2691" s="122" t="s">
        <v>348</v>
      </c>
      <c r="DB2691" s="122" t="s">
        <v>7540</v>
      </c>
      <c r="DC2691" s="122" t="s">
        <v>5398</v>
      </c>
      <c r="DD2691" s="127">
        <v>7</v>
      </c>
      <c r="DE2691" s="127">
        <v>7</v>
      </c>
      <c r="DG2691" s="405" t="s">
        <v>348</v>
      </c>
      <c r="DH2691" s="406" t="s">
        <v>5398</v>
      </c>
      <c r="DI2691" s="406" t="str">
        <f t="shared" ref="DI2691:DI2754" si="74">CONCATENATE(DG2691,", ",DH2691)</f>
        <v>PB, Olho d'Água</v>
      </c>
      <c r="DJ2691" s="406">
        <v>-7.2279999999999998</v>
      </c>
      <c r="DK2691" s="80">
        <v>-37.750999999999998</v>
      </c>
      <c r="DL2691" s="80">
        <v>267</v>
      </c>
      <c r="DM2691" s="64">
        <v>7</v>
      </c>
      <c r="DN2691" s="406" t="s">
        <v>7490</v>
      </c>
      <c r="DO2691" s="406">
        <v>-7.02</v>
      </c>
      <c r="DP2691" s="80">
        <v>249</v>
      </c>
    </row>
    <row r="2692" spans="29:120" x14ac:dyDescent="0.25">
      <c r="AC2692" s="122" t="s">
        <v>322</v>
      </c>
      <c r="AD2692" s="122" t="s">
        <v>3038</v>
      </c>
      <c r="AE2692" s="127">
        <v>6</v>
      </c>
      <c r="DA2692" s="122" t="s">
        <v>348</v>
      </c>
      <c r="DB2692" s="122" t="s">
        <v>2215</v>
      </c>
      <c r="DC2692" s="122" t="s">
        <v>2215</v>
      </c>
      <c r="DD2692" s="127">
        <v>8</v>
      </c>
      <c r="DE2692" s="127">
        <v>8</v>
      </c>
      <c r="DG2692" s="405" t="s">
        <v>348</v>
      </c>
      <c r="DH2692" s="406" t="s">
        <v>2215</v>
      </c>
      <c r="DI2692" s="406" t="str">
        <f t="shared" si="74"/>
        <v>PB, Olivedos</v>
      </c>
      <c r="DJ2692" s="406">
        <v>-6.9909999999999997</v>
      </c>
      <c r="DK2692" s="80">
        <v>-36.244</v>
      </c>
      <c r="DL2692" s="80">
        <v>559</v>
      </c>
      <c r="DM2692" s="64">
        <v>8</v>
      </c>
      <c r="DN2692" s="406" t="s">
        <v>7499</v>
      </c>
      <c r="DO2692" s="406">
        <v>-7.23</v>
      </c>
      <c r="DP2692" s="80">
        <v>548</v>
      </c>
    </row>
    <row r="2693" spans="29:120" x14ac:dyDescent="0.25">
      <c r="AC2693" s="122" t="s">
        <v>322</v>
      </c>
      <c r="AD2693" s="122" t="s">
        <v>3039</v>
      </c>
      <c r="AE2693" s="127">
        <v>6</v>
      </c>
      <c r="DA2693" s="122" t="s">
        <v>348</v>
      </c>
      <c r="DB2693" s="122" t="s">
        <v>7541</v>
      </c>
      <c r="DC2693" s="122" t="s">
        <v>2633</v>
      </c>
      <c r="DD2693" s="127">
        <v>6</v>
      </c>
      <c r="DE2693" s="127">
        <v>6</v>
      </c>
      <c r="DG2693" s="405" t="s">
        <v>348</v>
      </c>
      <c r="DH2693" s="406" t="s">
        <v>2633</v>
      </c>
      <c r="DI2693" s="406" t="str">
        <f t="shared" si="74"/>
        <v>PB, Ouro Velho</v>
      </c>
      <c r="DJ2693" s="406">
        <v>-7.62</v>
      </c>
      <c r="DK2693" s="80">
        <v>-37.152000000000001</v>
      </c>
      <c r="DL2693" s="80">
        <v>591</v>
      </c>
      <c r="DM2693" s="64">
        <v>6</v>
      </c>
      <c r="DN2693" s="406" t="s">
        <v>7497</v>
      </c>
      <c r="DO2693" s="406">
        <v>-7.89</v>
      </c>
      <c r="DP2693" s="80">
        <v>604</v>
      </c>
    </row>
    <row r="2694" spans="29:120" x14ac:dyDescent="0.25">
      <c r="AC2694" s="122" t="s">
        <v>340</v>
      </c>
      <c r="AD2694" s="122" t="s">
        <v>3040</v>
      </c>
      <c r="AE2694" s="127">
        <v>6</v>
      </c>
      <c r="DA2694" s="122" t="s">
        <v>348</v>
      </c>
      <c r="DB2694" s="122" t="s">
        <v>2204</v>
      </c>
      <c r="DC2694" s="122" t="s">
        <v>2204</v>
      </c>
      <c r="DD2694" s="127">
        <v>8</v>
      </c>
      <c r="DE2694" s="127">
        <v>8</v>
      </c>
      <c r="DG2694" s="405" t="s">
        <v>348</v>
      </c>
      <c r="DH2694" s="406" t="s">
        <v>2204</v>
      </c>
      <c r="DI2694" s="406" t="str">
        <f t="shared" si="74"/>
        <v>PB, Parari</v>
      </c>
      <c r="DJ2694" s="406">
        <v>-7.3209999999999997</v>
      </c>
      <c r="DK2694" s="80">
        <v>-36.655999999999999</v>
      </c>
      <c r="DL2694" s="80">
        <v>495</v>
      </c>
      <c r="DM2694" s="64">
        <v>8</v>
      </c>
      <c r="DN2694" s="406" t="s">
        <v>7504</v>
      </c>
      <c r="DO2694" s="406">
        <v>-7.48</v>
      </c>
      <c r="DP2694" s="80">
        <v>436</v>
      </c>
    </row>
    <row r="2695" spans="29:120" x14ac:dyDescent="0.25">
      <c r="AC2695" s="122" t="s">
        <v>333</v>
      </c>
      <c r="AD2695" s="122" t="s">
        <v>3041</v>
      </c>
      <c r="AE2695" s="127">
        <v>6</v>
      </c>
      <c r="DA2695" s="122" t="s">
        <v>348</v>
      </c>
      <c r="DB2695" s="122" t="s">
        <v>4498</v>
      </c>
      <c r="DC2695" s="122" t="s">
        <v>4498</v>
      </c>
      <c r="DD2695" s="127">
        <v>7</v>
      </c>
      <c r="DE2695" s="127">
        <v>7</v>
      </c>
      <c r="DG2695" s="405" t="s">
        <v>348</v>
      </c>
      <c r="DH2695" s="406" t="s">
        <v>4498</v>
      </c>
      <c r="DI2695" s="406" t="str">
        <f t="shared" si="74"/>
        <v>PB, Passagem</v>
      </c>
      <c r="DJ2695" s="406">
        <v>-7.1379999999999999</v>
      </c>
      <c r="DK2695" s="80">
        <v>-37.048999999999999</v>
      </c>
      <c r="DL2695" s="80">
        <v>305</v>
      </c>
      <c r="DM2695" s="64">
        <v>7</v>
      </c>
      <c r="DN2695" s="406" t="s">
        <v>7490</v>
      </c>
      <c r="DO2695" s="406">
        <v>-7.02</v>
      </c>
      <c r="DP2695" s="80">
        <v>249</v>
      </c>
    </row>
    <row r="2696" spans="29:120" x14ac:dyDescent="0.25">
      <c r="AC2696" s="122" t="s">
        <v>333</v>
      </c>
      <c r="AD2696" s="122" t="s">
        <v>3042</v>
      </c>
      <c r="AE2696" s="127">
        <v>6</v>
      </c>
      <c r="DA2696" s="122" t="s">
        <v>348</v>
      </c>
      <c r="DB2696" s="122" t="s">
        <v>5291</v>
      </c>
      <c r="DC2696" s="122" t="s">
        <v>5291</v>
      </c>
      <c r="DD2696" s="127">
        <v>7</v>
      </c>
      <c r="DE2696" s="127">
        <v>7</v>
      </c>
      <c r="DG2696" s="405" t="s">
        <v>348</v>
      </c>
      <c r="DH2696" s="406" t="s">
        <v>5291</v>
      </c>
      <c r="DI2696" s="406" t="str">
        <f t="shared" si="74"/>
        <v>PB, Patos</v>
      </c>
      <c r="DJ2696" s="406">
        <v>-7.024</v>
      </c>
      <c r="DK2696" s="80">
        <v>-37.28</v>
      </c>
      <c r="DL2696" s="80">
        <v>242</v>
      </c>
      <c r="DM2696" s="64">
        <v>7</v>
      </c>
      <c r="DN2696" s="406" t="s">
        <v>7490</v>
      </c>
      <c r="DO2696" s="406">
        <v>-7.02</v>
      </c>
      <c r="DP2696" s="80">
        <v>249</v>
      </c>
    </row>
    <row r="2697" spans="29:120" x14ac:dyDescent="0.25">
      <c r="AC2697" s="122" t="s">
        <v>333</v>
      </c>
      <c r="AD2697" s="122" t="s">
        <v>3043</v>
      </c>
      <c r="AE2697" s="127">
        <v>6</v>
      </c>
      <c r="DA2697" s="122" t="s">
        <v>348</v>
      </c>
      <c r="DB2697" s="122" t="s">
        <v>4494</v>
      </c>
      <c r="DC2697" s="122" t="s">
        <v>4494</v>
      </c>
      <c r="DD2697" s="127">
        <v>7</v>
      </c>
      <c r="DE2697" s="127">
        <v>7</v>
      </c>
      <c r="DG2697" s="405" t="s">
        <v>348</v>
      </c>
      <c r="DH2697" s="406" t="s">
        <v>4494</v>
      </c>
      <c r="DI2697" s="406" t="str">
        <f t="shared" si="74"/>
        <v>PB, Paulista</v>
      </c>
      <c r="DJ2697" s="406">
        <v>-6.5940000000000003</v>
      </c>
      <c r="DK2697" s="80">
        <v>-37.624000000000002</v>
      </c>
      <c r="DL2697" s="80">
        <v>160</v>
      </c>
      <c r="DM2697" s="64">
        <v>7</v>
      </c>
      <c r="DN2697" s="406" t="s">
        <v>7506</v>
      </c>
      <c r="DO2697" s="406">
        <v>-6.46</v>
      </c>
      <c r="DP2697" s="80">
        <v>170</v>
      </c>
    </row>
    <row r="2698" spans="29:120" x14ac:dyDescent="0.25">
      <c r="AC2698" s="122" t="s">
        <v>333</v>
      </c>
      <c r="AD2698" s="122" t="s">
        <v>3044</v>
      </c>
      <c r="AE2698" s="127">
        <v>4</v>
      </c>
      <c r="DA2698" s="122" t="s">
        <v>348</v>
      </c>
      <c r="DB2698" s="122" t="s">
        <v>6437</v>
      </c>
      <c r="DC2698" s="122" t="s">
        <v>5199</v>
      </c>
      <c r="DD2698" s="127">
        <v>7</v>
      </c>
      <c r="DE2698" s="127">
        <v>7</v>
      </c>
      <c r="DG2698" s="405" t="s">
        <v>348</v>
      </c>
      <c r="DH2698" s="406" t="s">
        <v>5199</v>
      </c>
      <c r="DI2698" s="406" t="str">
        <f t="shared" si="74"/>
        <v>PB, Pedra Branca</v>
      </c>
      <c r="DJ2698" s="406">
        <v>-7.4269999999999996</v>
      </c>
      <c r="DK2698" s="80">
        <v>-38.067999999999998</v>
      </c>
      <c r="DL2698" s="80">
        <v>299</v>
      </c>
      <c r="DM2698" s="64">
        <v>7</v>
      </c>
      <c r="DN2698" s="406" t="s">
        <v>7509</v>
      </c>
      <c r="DO2698" s="406">
        <v>-7.95</v>
      </c>
      <c r="DP2698" s="80">
        <v>461</v>
      </c>
    </row>
    <row r="2699" spans="29:120" x14ac:dyDescent="0.25">
      <c r="AC2699" s="122" t="s">
        <v>322</v>
      </c>
      <c r="AD2699" s="122" t="s">
        <v>3045</v>
      </c>
      <c r="AE2699" s="127">
        <v>6</v>
      </c>
      <c r="DA2699" s="122" t="s">
        <v>348</v>
      </c>
      <c r="DB2699" s="122" t="s">
        <v>7542</v>
      </c>
      <c r="DC2699" s="122" t="s">
        <v>2181</v>
      </c>
      <c r="DD2699" s="127">
        <v>8</v>
      </c>
      <c r="DE2699" s="127">
        <v>8</v>
      </c>
      <c r="DG2699" s="405" t="s">
        <v>348</v>
      </c>
      <c r="DH2699" s="406" t="s">
        <v>2181</v>
      </c>
      <c r="DI2699" s="406" t="str">
        <f t="shared" si="74"/>
        <v>PB, Pedra Lavrada</v>
      </c>
      <c r="DJ2699" s="406">
        <v>-6.7569999999999997</v>
      </c>
      <c r="DK2699" s="80">
        <v>-36.479999999999997</v>
      </c>
      <c r="DL2699" s="80">
        <v>516</v>
      </c>
      <c r="DM2699" s="64">
        <v>8</v>
      </c>
      <c r="DN2699" s="406" t="s">
        <v>7506</v>
      </c>
      <c r="DO2699" s="406">
        <v>-6.46</v>
      </c>
      <c r="DP2699" s="80">
        <v>170</v>
      </c>
    </row>
    <row r="2700" spans="29:120" x14ac:dyDescent="0.25">
      <c r="AC2700" s="122" t="s">
        <v>333</v>
      </c>
      <c r="AD2700" s="122" t="s">
        <v>3046</v>
      </c>
      <c r="AE2700" s="127">
        <v>6</v>
      </c>
      <c r="DA2700" s="122" t="s">
        <v>348</v>
      </c>
      <c r="DB2700" s="122" t="s">
        <v>7543</v>
      </c>
      <c r="DC2700" s="122" t="s">
        <v>5341</v>
      </c>
      <c r="DD2700" s="127">
        <v>8</v>
      </c>
      <c r="DE2700" s="127">
        <v>8</v>
      </c>
      <c r="DG2700" s="405" t="s">
        <v>348</v>
      </c>
      <c r="DH2700" s="406" t="s">
        <v>5341</v>
      </c>
      <c r="DI2700" s="406" t="str">
        <f t="shared" si="74"/>
        <v>PB, Pedras de Fogo</v>
      </c>
      <c r="DJ2700" s="406">
        <v>-7.4020000000000001</v>
      </c>
      <c r="DK2700" s="80">
        <v>-35.116</v>
      </c>
      <c r="DL2700" s="80">
        <v>177</v>
      </c>
      <c r="DM2700" s="64">
        <v>8</v>
      </c>
      <c r="DN2700" s="406" t="s">
        <v>7496</v>
      </c>
      <c r="DO2700" s="406">
        <v>-7.11</v>
      </c>
      <c r="DP2700" s="80">
        <v>44</v>
      </c>
    </row>
    <row r="2701" spans="29:120" x14ac:dyDescent="0.25">
      <c r="AC2701" s="122" t="s">
        <v>322</v>
      </c>
      <c r="AD2701" s="122" t="s">
        <v>3047</v>
      </c>
      <c r="AE2701" s="127">
        <v>6</v>
      </c>
      <c r="DA2701" s="122" t="s">
        <v>348</v>
      </c>
      <c r="DB2701" s="122" t="s">
        <v>7544</v>
      </c>
      <c r="DC2701" s="122" t="s">
        <v>4239</v>
      </c>
      <c r="DD2701" s="127">
        <v>8</v>
      </c>
      <c r="DE2701" s="127">
        <v>8</v>
      </c>
      <c r="DG2701" s="405" t="s">
        <v>348</v>
      </c>
      <c r="DH2701" s="406" t="s">
        <v>4239</v>
      </c>
      <c r="DI2701" s="406" t="str">
        <f t="shared" si="74"/>
        <v>PB, Pedro Régis</v>
      </c>
      <c r="DJ2701" s="406">
        <v>-6.633</v>
      </c>
      <c r="DK2701" s="80">
        <v>-35.296999999999997</v>
      </c>
      <c r="DL2701" s="80">
        <v>80</v>
      </c>
      <c r="DM2701" s="64">
        <v>8</v>
      </c>
      <c r="DN2701" s="406" t="s">
        <v>7501</v>
      </c>
      <c r="DO2701" s="406">
        <v>-6.61</v>
      </c>
      <c r="DP2701" s="80">
        <v>136</v>
      </c>
    </row>
    <row r="2702" spans="29:120" x14ac:dyDescent="0.25">
      <c r="AC2702" s="122" t="s">
        <v>336</v>
      </c>
      <c r="AD2702" s="122" t="s">
        <v>3048</v>
      </c>
      <c r="AE2702" s="127">
        <v>8</v>
      </c>
      <c r="DA2702" s="122" t="s">
        <v>348</v>
      </c>
      <c r="DB2702" s="122" t="s">
        <v>5141</v>
      </c>
      <c r="DC2702" s="122" t="s">
        <v>5141</v>
      </c>
      <c r="DD2702" s="127">
        <v>7</v>
      </c>
      <c r="DE2702" s="127">
        <v>7</v>
      </c>
      <c r="DG2702" s="405" t="s">
        <v>348</v>
      </c>
      <c r="DH2702" s="406" t="s">
        <v>5141</v>
      </c>
      <c r="DI2702" s="406" t="str">
        <f t="shared" si="74"/>
        <v>PB, Piancó</v>
      </c>
      <c r="DJ2702" s="406">
        <v>-7.1980000000000004</v>
      </c>
      <c r="DK2702" s="80">
        <v>-37.929000000000002</v>
      </c>
      <c r="DL2702" s="80">
        <v>269</v>
      </c>
      <c r="DM2702" s="64">
        <v>7</v>
      </c>
      <c r="DN2702" s="406" t="s">
        <v>6414</v>
      </c>
      <c r="DO2702" s="406">
        <v>-6.84</v>
      </c>
      <c r="DP2702" s="80">
        <v>234</v>
      </c>
    </row>
    <row r="2703" spans="29:120" x14ac:dyDescent="0.25">
      <c r="AC2703" s="122" t="s">
        <v>340</v>
      </c>
      <c r="AD2703" s="122" t="s">
        <v>3049</v>
      </c>
      <c r="AE2703" s="127">
        <v>6</v>
      </c>
      <c r="DA2703" s="122" t="s">
        <v>348</v>
      </c>
      <c r="DB2703" s="122" t="s">
        <v>2196</v>
      </c>
      <c r="DC2703" s="122" t="s">
        <v>2196</v>
      </c>
      <c r="DD2703" s="127">
        <v>8</v>
      </c>
      <c r="DE2703" s="127">
        <v>8</v>
      </c>
      <c r="DG2703" s="405" t="s">
        <v>348</v>
      </c>
      <c r="DH2703" s="406" t="s">
        <v>2196</v>
      </c>
      <c r="DI2703" s="406" t="str">
        <f t="shared" si="74"/>
        <v>PB, Picuí</v>
      </c>
      <c r="DJ2703" s="406">
        <v>-6.5549999999999997</v>
      </c>
      <c r="DK2703" s="80">
        <v>-36.348999999999997</v>
      </c>
      <c r="DL2703" s="80">
        <v>439</v>
      </c>
      <c r="DM2703" s="64">
        <v>8</v>
      </c>
      <c r="DN2703" s="406" t="s">
        <v>7506</v>
      </c>
      <c r="DO2703" s="406">
        <v>-6.46</v>
      </c>
      <c r="DP2703" s="80">
        <v>170</v>
      </c>
    </row>
    <row r="2704" spans="29:120" x14ac:dyDescent="0.25">
      <c r="AC2704" s="122" t="s">
        <v>322</v>
      </c>
      <c r="AD2704" s="122" t="s">
        <v>3050</v>
      </c>
      <c r="AE2704" s="127">
        <v>6</v>
      </c>
      <c r="DA2704" s="122" t="s">
        <v>348</v>
      </c>
      <c r="DB2704" s="122" t="s">
        <v>2226</v>
      </c>
      <c r="DC2704" s="122" t="s">
        <v>2226</v>
      </c>
      <c r="DD2704" s="127">
        <v>8</v>
      </c>
      <c r="DE2704" s="127">
        <v>8</v>
      </c>
      <c r="DG2704" s="405" t="s">
        <v>348</v>
      </c>
      <c r="DH2704" s="406" t="s">
        <v>2226</v>
      </c>
      <c r="DI2704" s="406" t="str">
        <f t="shared" si="74"/>
        <v>PB, Pilar</v>
      </c>
      <c r="DJ2704" s="406">
        <v>-7.2670000000000003</v>
      </c>
      <c r="DK2704" s="80">
        <v>-35.26</v>
      </c>
      <c r="DL2704" s="80">
        <v>35</v>
      </c>
      <c r="DM2704" s="64">
        <v>8</v>
      </c>
      <c r="DN2704" s="406" t="s">
        <v>7496</v>
      </c>
      <c r="DO2704" s="406">
        <v>-7.11</v>
      </c>
      <c r="DP2704" s="80">
        <v>44</v>
      </c>
    </row>
    <row r="2705" spans="29:120" x14ac:dyDescent="0.25">
      <c r="AC2705" s="122" t="s">
        <v>322</v>
      </c>
      <c r="AD2705" s="122" t="s">
        <v>3051</v>
      </c>
      <c r="AE2705" s="127">
        <v>6</v>
      </c>
      <c r="DA2705" s="122" t="s">
        <v>348</v>
      </c>
      <c r="DB2705" s="122" t="s">
        <v>2281</v>
      </c>
      <c r="DC2705" s="122" t="s">
        <v>2281</v>
      </c>
      <c r="DD2705" s="127">
        <v>8</v>
      </c>
      <c r="DE2705" s="127">
        <v>8</v>
      </c>
      <c r="DG2705" s="405" t="s">
        <v>348</v>
      </c>
      <c r="DH2705" s="406" t="s">
        <v>2281</v>
      </c>
      <c r="DI2705" s="406" t="str">
        <f t="shared" si="74"/>
        <v>PB, Pilões</v>
      </c>
      <c r="DJ2705" s="406">
        <v>-6.9020000000000001</v>
      </c>
      <c r="DK2705" s="80">
        <v>-35.622999999999998</v>
      </c>
      <c r="DL2705" s="80">
        <v>334</v>
      </c>
      <c r="DM2705" s="64">
        <v>8</v>
      </c>
      <c r="DN2705" s="406" t="s">
        <v>7492</v>
      </c>
      <c r="DO2705" s="406">
        <v>-6.96</v>
      </c>
      <c r="DP2705" s="80">
        <v>575</v>
      </c>
    </row>
    <row r="2706" spans="29:120" x14ac:dyDescent="0.25">
      <c r="AC2706" s="122" t="s">
        <v>322</v>
      </c>
      <c r="AD2706" s="122" t="s">
        <v>3052</v>
      </c>
      <c r="AE2706" s="127">
        <v>6</v>
      </c>
      <c r="DA2706" s="122" t="s">
        <v>348</v>
      </c>
      <c r="DB2706" s="122" t="s">
        <v>2225</v>
      </c>
      <c r="DC2706" s="122" t="s">
        <v>2225</v>
      </c>
      <c r="DD2706" s="127">
        <v>8</v>
      </c>
      <c r="DE2706" s="127">
        <v>8</v>
      </c>
      <c r="DG2706" s="405" t="s">
        <v>348</v>
      </c>
      <c r="DH2706" s="406" t="s">
        <v>2225</v>
      </c>
      <c r="DI2706" s="406" t="str">
        <f t="shared" si="74"/>
        <v>PB, Pilõezinhos</v>
      </c>
      <c r="DJ2706" s="406">
        <v>-6.8440000000000003</v>
      </c>
      <c r="DK2706" s="80">
        <v>-35.530999999999999</v>
      </c>
      <c r="DL2706" s="80">
        <v>133</v>
      </c>
      <c r="DM2706" s="64">
        <v>8</v>
      </c>
      <c r="DN2706" s="406" t="s">
        <v>7492</v>
      </c>
      <c r="DO2706" s="406">
        <v>-6.96</v>
      </c>
      <c r="DP2706" s="80">
        <v>575</v>
      </c>
    </row>
    <row r="2707" spans="29:120" x14ac:dyDescent="0.25">
      <c r="AC2707" s="122" t="s">
        <v>340</v>
      </c>
      <c r="AD2707" s="122" t="s">
        <v>3053</v>
      </c>
      <c r="AE2707" s="127">
        <v>6</v>
      </c>
      <c r="DA2707" s="122" t="s">
        <v>348</v>
      </c>
      <c r="DB2707" s="122" t="s">
        <v>5156</v>
      </c>
      <c r="DC2707" s="122" t="s">
        <v>5156</v>
      </c>
      <c r="DD2707" s="127">
        <v>8</v>
      </c>
      <c r="DE2707" s="127">
        <v>8</v>
      </c>
      <c r="DG2707" s="405" t="s">
        <v>348</v>
      </c>
      <c r="DH2707" s="406" t="s">
        <v>5156</v>
      </c>
      <c r="DI2707" s="406" t="str">
        <f t="shared" si="74"/>
        <v>PB, Pirpirituba</v>
      </c>
      <c r="DJ2707" s="406">
        <v>-6.78</v>
      </c>
      <c r="DK2707" s="80">
        <v>-35.499000000000002</v>
      </c>
      <c r="DL2707" s="80">
        <v>99</v>
      </c>
      <c r="DM2707" s="64">
        <v>8</v>
      </c>
      <c r="DN2707" s="406" t="s">
        <v>7492</v>
      </c>
      <c r="DO2707" s="406">
        <v>-6.96</v>
      </c>
      <c r="DP2707" s="80">
        <v>575</v>
      </c>
    </row>
    <row r="2708" spans="29:120" x14ac:dyDescent="0.25">
      <c r="AC2708" s="122" t="s">
        <v>340</v>
      </c>
      <c r="AD2708" s="122" t="s">
        <v>1751</v>
      </c>
      <c r="AE2708" s="127">
        <v>6</v>
      </c>
      <c r="DA2708" s="122" t="s">
        <v>348</v>
      </c>
      <c r="DB2708" s="122" t="s">
        <v>4081</v>
      </c>
      <c r="DC2708" s="122" t="s">
        <v>4081</v>
      </c>
      <c r="DD2708" s="127">
        <v>8</v>
      </c>
      <c r="DE2708" s="127">
        <v>8</v>
      </c>
      <c r="DG2708" s="405" t="s">
        <v>348</v>
      </c>
      <c r="DH2708" s="406" t="s">
        <v>4081</v>
      </c>
      <c r="DI2708" s="406" t="str">
        <f t="shared" si="74"/>
        <v>PB, Pitimbu</v>
      </c>
      <c r="DJ2708" s="406">
        <v>-7.4710000000000001</v>
      </c>
      <c r="DK2708" s="80">
        <v>-34.808999999999997</v>
      </c>
      <c r="DL2708" s="80">
        <v>3</v>
      </c>
      <c r="DM2708" s="64">
        <v>8</v>
      </c>
      <c r="DN2708" s="406" t="s">
        <v>7496</v>
      </c>
      <c r="DO2708" s="406">
        <v>-7.11</v>
      </c>
      <c r="DP2708" s="80">
        <v>44</v>
      </c>
    </row>
    <row r="2709" spans="29:120" x14ac:dyDescent="0.25">
      <c r="AC2709" s="122" t="s">
        <v>289</v>
      </c>
      <c r="AD2709" s="122" t="s">
        <v>3054</v>
      </c>
      <c r="AE2709" s="127">
        <v>6</v>
      </c>
      <c r="DA2709" s="122" t="s">
        <v>348</v>
      </c>
      <c r="DB2709" s="122" t="s">
        <v>2242</v>
      </c>
      <c r="DC2709" s="122" t="s">
        <v>2242</v>
      </c>
      <c r="DD2709" s="127">
        <v>8</v>
      </c>
      <c r="DE2709" s="127">
        <v>8</v>
      </c>
      <c r="DG2709" s="405" t="s">
        <v>348</v>
      </c>
      <c r="DH2709" s="406" t="s">
        <v>2242</v>
      </c>
      <c r="DI2709" s="406" t="str">
        <f t="shared" si="74"/>
        <v>PB, Pocinhos</v>
      </c>
      <c r="DJ2709" s="406">
        <v>-7.077</v>
      </c>
      <c r="DK2709" s="80">
        <v>-36.061</v>
      </c>
      <c r="DL2709" s="80">
        <v>646</v>
      </c>
      <c r="DM2709" s="64">
        <v>8</v>
      </c>
      <c r="DN2709" s="406" t="s">
        <v>7499</v>
      </c>
      <c r="DO2709" s="406">
        <v>-7.23</v>
      </c>
      <c r="DP2709" s="80">
        <v>548</v>
      </c>
    </row>
    <row r="2710" spans="29:120" x14ac:dyDescent="0.25">
      <c r="AC2710" s="122" t="s">
        <v>322</v>
      </c>
      <c r="AD2710" s="122" t="s">
        <v>3055</v>
      </c>
      <c r="AE2710" s="127">
        <v>6</v>
      </c>
      <c r="DA2710" s="122" t="s">
        <v>348</v>
      </c>
      <c r="DB2710" s="122" t="s">
        <v>7545</v>
      </c>
      <c r="DC2710" s="122" t="s">
        <v>4526</v>
      </c>
      <c r="DD2710" s="127">
        <v>7</v>
      </c>
      <c r="DE2710" s="127">
        <v>7</v>
      </c>
      <c r="DG2710" s="405" t="s">
        <v>348</v>
      </c>
      <c r="DH2710" s="406" t="s">
        <v>4526</v>
      </c>
      <c r="DI2710" s="406" t="str">
        <f t="shared" si="74"/>
        <v>PB, Poço Dantas</v>
      </c>
      <c r="DJ2710" s="406">
        <v>-6.4029999999999996</v>
      </c>
      <c r="DK2710" s="80">
        <v>-38.494999999999997</v>
      </c>
      <c r="DL2710" s="80">
        <v>470</v>
      </c>
      <c r="DM2710" s="64">
        <v>7</v>
      </c>
      <c r="DN2710" s="406" t="s">
        <v>6423</v>
      </c>
      <c r="DO2710" s="406">
        <v>-5.91</v>
      </c>
      <c r="DP2710" s="80">
        <v>184</v>
      </c>
    </row>
    <row r="2711" spans="29:120" x14ac:dyDescent="0.25">
      <c r="AC2711" s="122" t="s">
        <v>340</v>
      </c>
      <c r="AD2711" s="122" t="s">
        <v>3056</v>
      </c>
      <c r="AE2711" s="127">
        <v>5</v>
      </c>
      <c r="DA2711" s="122" t="s">
        <v>348</v>
      </c>
      <c r="DB2711" s="122" t="s">
        <v>7546</v>
      </c>
      <c r="DC2711" s="122" t="s">
        <v>4491</v>
      </c>
      <c r="DD2711" s="127">
        <v>7</v>
      </c>
      <c r="DE2711" s="127">
        <v>7</v>
      </c>
      <c r="DG2711" s="405" t="s">
        <v>348</v>
      </c>
      <c r="DH2711" s="406" t="s">
        <v>4491</v>
      </c>
      <c r="DI2711" s="406" t="str">
        <f t="shared" si="74"/>
        <v>PB, Poço de José de Moura</v>
      </c>
      <c r="DJ2711" s="406">
        <v>-6.5750000000000002</v>
      </c>
      <c r="DK2711" s="80">
        <v>-38.512</v>
      </c>
      <c r="DL2711" s="80">
        <v>280</v>
      </c>
      <c r="DM2711" s="64">
        <v>7</v>
      </c>
      <c r="DN2711" s="406" t="s">
        <v>6414</v>
      </c>
      <c r="DO2711" s="406">
        <v>-6.84</v>
      </c>
      <c r="DP2711" s="80">
        <v>234</v>
      </c>
    </row>
    <row r="2712" spans="29:120" x14ac:dyDescent="0.25">
      <c r="AC2712" s="122" t="s">
        <v>340</v>
      </c>
      <c r="AD2712" s="122" t="s">
        <v>3057</v>
      </c>
      <c r="AE2712" s="127">
        <v>6</v>
      </c>
      <c r="DA2712" s="122" t="s">
        <v>348</v>
      </c>
      <c r="DB2712" s="122" t="s">
        <v>4505</v>
      </c>
      <c r="DC2712" s="122" t="s">
        <v>4505</v>
      </c>
      <c r="DD2712" s="127">
        <v>7</v>
      </c>
      <c r="DE2712" s="127">
        <v>7</v>
      </c>
      <c r="DG2712" s="405" t="s">
        <v>348</v>
      </c>
      <c r="DH2712" s="406" t="s">
        <v>4505</v>
      </c>
      <c r="DI2712" s="406" t="str">
        <f t="shared" si="74"/>
        <v>PB, Pombal</v>
      </c>
      <c r="DJ2712" s="406">
        <v>-6.77</v>
      </c>
      <c r="DK2712" s="80">
        <v>-37.802</v>
      </c>
      <c r="DL2712" s="80">
        <v>184</v>
      </c>
      <c r="DM2712" s="64">
        <v>7</v>
      </c>
      <c r="DN2712" s="406" t="s">
        <v>6414</v>
      </c>
      <c r="DO2712" s="406">
        <v>-6.84</v>
      </c>
      <c r="DP2712" s="80">
        <v>234</v>
      </c>
    </row>
    <row r="2713" spans="29:120" x14ac:dyDescent="0.25">
      <c r="AC2713" s="122" t="s">
        <v>322</v>
      </c>
      <c r="AD2713" s="122" t="s">
        <v>3058</v>
      </c>
      <c r="AE2713" s="127">
        <v>6</v>
      </c>
      <c r="DA2713" s="122" t="s">
        <v>348</v>
      </c>
      <c r="DB2713" s="122" t="s">
        <v>2164</v>
      </c>
      <c r="DC2713" s="122" t="s">
        <v>2164</v>
      </c>
      <c r="DD2713" s="127">
        <v>6</v>
      </c>
      <c r="DE2713" s="127">
        <v>6</v>
      </c>
      <c r="DG2713" s="405" t="s">
        <v>348</v>
      </c>
      <c r="DH2713" s="406" t="s">
        <v>2164</v>
      </c>
      <c r="DI2713" s="406" t="str">
        <f t="shared" si="74"/>
        <v>PB, Prata</v>
      </c>
      <c r="DJ2713" s="406">
        <v>-7.6909999999999998</v>
      </c>
      <c r="DK2713" s="80">
        <v>-37.08</v>
      </c>
      <c r="DL2713" s="80">
        <v>577</v>
      </c>
      <c r="DM2713" s="64">
        <v>6</v>
      </c>
      <c r="DN2713" s="406" t="s">
        <v>7497</v>
      </c>
      <c r="DO2713" s="406">
        <v>-7.89</v>
      </c>
      <c r="DP2713" s="80">
        <v>604</v>
      </c>
    </row>
    <row r="2714" spans="29:120" x14ac:dyDescent="0.25">
      <c r="AC2714" s="122" t="s">
        <v>236</v>
      </c>
      <c r="AD2714" s="122" t="s">
        <v>3059</v>
      </c>
      <c r="AE2714" s="127">
        <v>2</v>
      </c>
      <c r="DA2714" s="122" t="s">
        <v>348</v>
      </c>
      <c r="DB2714" s="122" t="s">
        <v>7547</v>
      </c>
      <c r="DC2714" s="122" t="s">
        <v>2586</v>
      </c>
      <c r="DD2714" s="127">
        <v>6</v>
      </c>
      <c r="DE2714" s="127">
        <v>6</v>
      </c>
      <c r="DG2714" s="405" t="s">
        <v>348</v>
      </c>
      <c r="DH2714" s="406" t="s">
        <v>2586</v>
      </c>
      <c r="DI2714" s="406" t="str">
        <f t="shared" si="74"/>
        <v>PB, Princesa Isabel</v>
      </c>
      <c r="DJ2714" s="406">
        <v>-7.7370000000000001</v>
      </c>
      <c r="DK2714" s="80">
        <v>-37.993000000000002</v>
      </c>
      <c r="DL2714" s="80">
        <v>683</v>
      </c>
      <c r="DM2714" s="64">
        <v>6</v>
      </c>
      <c r="DN2714" s="406" t="s">
        <v>7509</v>
      </c>
      <c r="DO2714" s="406">
        <v>-7.95</v>
      </c>
      <c r="DP2714" s="80">
        <v>461</v>
      </c>
    </row>
    <row r="2715" spans="29:120" x14ac:dyDescent="0.25">
      <c r="AC2715" s="122" t="s">
        <v>236</v>
      </c>
      <c r="AD2715" s="122" t="s">
        <v>3060</v>
      </c>
      <c r="AE2715" s="127">
        <v>2</v>
      </c>
      <c r="DA2715" s="122" t="s">
        <v>348</v>
      </c>
      <c r="DB2715" s="122" t="s">
        <v>2203</v>
      </c>
      <c r="DC2715" s="122" t="s">
        <v>2203</v>
      </c>
      <c r="DD2715" s="127">
        <v>8</v>
      </c>
      <c r="DE2715" s="127">
        <v>8</v>
      </c>
      <c r="DG2715" s="405" t="s">
        <v>348</v>
      </c>
      <c r="DH2715" s="406" t="s">
        <v>2203</v>
      </c>
      <c r="DI2715" s="406" t="str">
        <f t="shared" si="74"/>
        <v>PB, Puxinanã</v>
      </c>
      <c r="DJ2715" s="406">
        <v>-7.1609999999999996</v>
      </c>
      <c r="DK2715" s="80">
        <v>-35.960999999999999</v>
      </c>
      <c r="DL2715" s="80">
        <v>657</v>
      </c>
      <c r="DM2715" s="64">
        <v>8</v>
      </c>
      <c r="DN2715" s="406" t="s">
        <v>7499</v>
      </c>
      <c r="DO2715" s="406">
        <v>-7.23</v>
      </c>
      <c r="DP2715" s="80">
        <v>548</v>
      </c>
    </row>
    <row r="2716" spans="29:120" x14ac:dyDescent="0.25">
      <c r="AC2716" s="122" t="s">
        <v>27</v>
      </c>
      <c r="AD2716" s="122" t="s">
        <v>3061</v>
      </c>
      <c r="AE2716" s="127">
        <v>5</v>
      </c>
      <c r="DA2716" s="122" t="s">
        <v>348</v>
      </c>
      <c r="DB2716" s="122" t="s">
        <v>2123</v>
      </c>
      <c r="DC2716" s="122" t="s">
        <v>2123</v>
      </c>
      <c r="DD2716" s="127">
        <v>8</v>
      </c>
      <c r="DE2716" s="127">
        <v>8</v>
      </c>
      <c r="DG2716" s="405" t="s">
        <v>348</v>
      </c>
      <c r="DH2716" s="406" t="s">
        <v>2123</v>
      </c>
      <c r="DI2716" s="406" t="str">
        <f t="shared" si="74"/>
        <v>PB, Queimadas</v>
      </c>
      <c r="DJ2716" s="406">
        <v>-7.3579999999999997</v>
      </c>
      <c r="DK2716" s="80">
        <v>-35.898000000000003</v>
      </c>
      <c r="DL2716" s="80">
        <v>450</v>
      </c>
      <c r="DM2716" s="64">
        <v>8</v>
      </c>
      <c r="DN2716" s="406" t="s">
        <v>7499</v>
      </c>
      <c r="DO2716" s="406">
        <v>-7.23</v>
      </c>
      <c r="DP2716" s="80">
        <v>548</v>
      </c>
    </row>
    <row r="2717" spans="29:120" x14ac:dyDescent="0.25">
      <c r="AC2717" s="122" t="s">
        <v>236</v>
      </c>
      <c r="AD2717" s="122" t="s">
        <v>3062</v>
      </c>
      <c r="AE2717" s="127">
        <v>2</v>
      </c>
      <c r="DA2717" s="122" t="s">
        <v>348</v>
      </c>
      <c r="DB2717" s="122" t="s">
        <v>5175</v>
      </c>
      <c r="DC2717" s="122" t="s">
        <v>5175</v>
      </c>
      <c r="DD2717" s="127">
        <v>7</v>
      </c>
      <c r="DE2717" s="127">
        <v>7</v>
      </c>
      <c r="DG2717" s="405" t="s">
        <v>348</v>
      </c>
      <c r="DH2717" s="406" t="s">
        <v>5175</v>
      </c>
      <c r="DI2717" s="406" t="str">
        <f t="shared" si="74"/>
        <v>PB, Quixabá</v>
      </c>
      <c r="DJ2717" s="406">
        <v>-7.0309999999999997</v>
      </c>
      <c r="DK2717" s="80">
        <v>-37.149000000000001</v>
      </c>
      <c r="DL2717" s="80">
        <v>293</v>
      </c>
      <c r="DM2717" s="64">
        <v>7</v>
      </c>
      <c r="DN2717" s="406" t="s">
        <v>7490</v>
      </c>
      <c r="DO2717" s="406">
        <v>-7.02</v>
      </c>
      <c r="DP2717" s="80">
        <v>249</v>
      </c>
    </row>
    <row r="2718" spans="29:120" x14ac:dyDescent="0.25">
      <c r="AC2718" s="122" t="s">
        <v>311</v>
      </c>
      <c r="AD2718" s="122" t="s">
        <v>3063</v>
      </c>
      <c r="AE2718" s="127">
        <v>3</v>
      </c>
      <c r="DA2718" s="122" t="s">
        <v>348</v>
      </c>
      <c r="DB2718" s="122" t="s">
        <v>2283</v>
      </c>
      <c r="DC2718" s="122" t="s">
        <v>2283</v>
      </c>
      <c r="DD2718" s="127">
        <v>6</v>
      </c>
      <c r="DE2718" s="127">
        <v>6</v>
      </c>
      <c r="DG2718" s="405" t="s">
        <v>348</v>
      </c>
      <c r="DH2718" s="406" t="s">
        <v>2283</v>
      </c>
      <c r="DI2718" s="406" t="str">
        <f t="shared" si="74"/>
        <v>PB, Remígio</v>
      </c>
      <c r="DJ2718" s="406">
        <v>-6.9029999999999996</v>
      </c>
      <c r="DK2718" s="80">
        <v>-35.834000000000003</v>
      </c>
      <c r="DL2718" s="80">
        <v>593</v>
      </c>
      <c r="DM2718" s="64">
        <v>6</v>
      </c>
      <c r="DN2718" s="406" t="s">
        <v>7492</v>
      </c>
      <c r="DO2718" s="406">
        <v>-6.96</v>
      </c>
      <c r="DP2718" s="80">
        <v>575</v>
      </c>
    </row>
    <row r="2719" spans="29:120" x14ac:dyDescent="0.25">
      <c r="AC2719" s="122" t="s">
        <v>236</v>
      </c>
      <c r="AD2719" s="122" t="s">
        <v>3064</v>
      </c>
      <c r="AE2719" s="127">
        <v>2</v>
      </c>
      <c r="DA2719" s="122" t="s">
        <v>348</v>
      </c>
      <c r="DB2719" s="122" t="s">
        <v>1940</v>
      </c>
      <c r="DC2719" s="122" t="s">
        <v>1940</v>
      </c>
      <c r="DD2719" s="127">
        <v>8</v>
      </c>
      <c r="DE2719" s="127">
        <v>8</v>
      </c>
      <c r="DG2719" s="405" t="s">
        <v>348</v>
      </c>
      <c r="DH2719" s="406" t="s">
        <v>1940</v>
      </c>
      <c r="DI2719" s="406" t="str">
        <f t="shared" si="74"/>
        <v>PB, Riachão</v>
      </c>
      <c r="DJ2719" s="406">
        <v>-6.55</v>
      </c>
      <c r="DK2719" s="80">
        <v>-35.646000000000001</v>
      </c>
      <c r="DL2719" s="80">
        <v>199</v>
      </c>
      <c r="DM2719" s="64">
        <v>8</v>
      </c>
      <c r="DN2719" s="406" t="s">
        <v>7492</v>
      </c>
      <c r="DO2719" s="406">
        <v>-6.96</v>
      </c>
      <c r="DP2719" s="80">
        <v>575</v>
      </c>
    </row>
    <row r="2720" spans="29:120" x14ac:dyDescent="0.25">
      <c r="AC2720" s="122" t="s">
        <v>27</v>
      </c>
      <c r="AD2720" s="122" t="s">
        <v>3065</v>
      </c>
      <c r="AE2720" s="127">
        <v>3</v>
      </c>
      <c r="DA2720" s="122" t="s">
        <v>348</v>
      </c>
      <c r="DB2720" s="122" t="s">
        <v>7548</v>
      </c>
      <c r="DC2720" s="122" t="s">
        <v>2223</v>
      </c>
      <c r="DD2720" s="127">
        <v>8</v>
      </c>
      <c r="DE2720" s="127">
        <v>8</v>
      </c>
      <c r="DG2720" s="405" t="s">
        <v>348</v>
      </c>
      <c r="DH2720" s="406" t="s">
        <v>2223</v>
      </c>
      <c r="DI2720" s="406" t="str">
        <f t="shared" si="74"/>
        <v>PB, Riachão do Bacamarte</v>
      </c>
      <c r="DJ2720" s="406">
        <v>-7.2430000000000003</v>
      </c>
      <c r="DK2720" s="80">
        <v>-35.665999999999997</v>
      </c>
      <c r="DL2720" s="80">
        <v>262</v>
      </c>
      <c r="DM2720" s="64">
        <v>8</v>
      </c>
      <c r="DN2720" s="406" t="s">
        <v>7499</v>
      </c>
      <c r="DO2720" s="406">
        <v>-7.23</v>
      </c>
      <c r="DP2720" s="80">
        <v>548</v>
      </c>
    </row>
    <row r="2721" spans="29:120" x14ac:dyDescent="0.25">
      <c r="AC2721" s="122" t="s">
        <v>27</v>
      </c>
      <c r="AD2721" s="122" t="s">
        <v>3066</v>
      </c>
      <c r="AE2721" s="127">
        <v>3</v>
      </c>
      <c r="DA2721" s="122" t="s">
        <v>348</v>
      </c>
      <c r="DB2721" s="122" t="s">
        <v>7549</v>
      </c>
      <c r="DC2721" s="122" t="s">
        <v>5065</v>
      </c>
      <c r="DD2721" s="127">
        <v>8</v>
      </c>
      <c r="DE2721" s="127">
        <v>8</v>
      </c>
      <c r="DG2721" s="405" t="s">
        <v>348</v>
      </c>
      <c r="DH2721" s="406" t="s">
        <v>5065</v>
      </c>
      <c r="DI2721" s="406" t="str">
        <f t="shared" si="74"/>
        <v>PB, Riachão do Poço</v>
      </c>
      <c r="DJ2721" s="406">
        <v>-7.1420000000000003</v>
      </c>
      <c r="DK2721" s="80">
        <v>-35.290999999999997</v>
      </c>
      <c r="DL2721" s="80">
        <v>82</v>
      </c>
      <c r="DM2721" s="64">
        <v>8</v>
      </c>
      <c r="DN2721" s="406" t="s">
        <v>7496</v>
      </c>
      <c r="DO2721" s="406">
        <v>-7.11</v>
      </c>
      <c r="DP2721" s="80">
        <v>44</v>
      </c>
    </row>
    <row r="2722" spans="29:120" x14ac:dyDescent="0.25">
      <c r="AC2722" s="122" t="s">
        <v>336</v>
      </c>
      <c r="AD2722" s="122" t="s">
        <v>2183</v>
      </c>
      <c r="AE2722" s="127">
        <v>3</v>
      </c>
      <c r="DA2722" s="122" t="s">
        <v>348</v>
      </c>
      <c r="DB2722" s="122" t="s">
        <v>7550</v>
      </c>
      <c r="DC2722" s="122" t="s">
        <v>2069</v>
      </c>
      <c r="DD2722" s="127">
        <v>8</v>
      </c>
      <c r="DE2722" s="127">
        <v>8</v>
      </c>
      <c r="DG2722" s="405" t="s">
        <v>348</v>
      </c>
      <c r="DH2722" s="406" t="s">
        <v>2069</v>
      </c>
      <c r="DI2722" s="406" t="str">
        <f t="shared" si="74"/>
        <v>PB, Riacho de Santo Antônio</v>
      </c>
      <c r="DJ2722" s="406">
        <v>-7.6929999999999996</v>
      </c>
      <c r="DK2722" s="80">
        <v>-36.156999999999996</v>
      </c>
      <c r="DL2722" s="80">
        <v>440</v>
      </c>
      <c r="DM2722" s="64">
        <v>8</v>
      </c>
      <c r="DN2722" s="406" t="s">
        <v>7504</v>
      </c>
      <c r="DO2722" s="406">
        <v>-7.48</v>
      </c>
      <c r="DP2722" s="80">
        <v>436</v>
      </c>
    </row>
    <row r="2723" spans="29:120" x14ac:dyDescent="0.25">
      <c r="AC2723" s="122" t="s">
        <v>27</v>
      </c>
      <c r="AD2723" s="122" t="s">
        <v>3067</v>
      </c>
      <c r="AE2723" s="127">
        <v>3</v>
      </c>
      <c r="DA2723" s="122" t="s">
        <v>348</v>
      </c>
      <c r="DB2723" s="122" t="s">
        <v>7551</v>
      </c>
      <c r="DC2723" s="122" t="s">
        <v>4504</v>
      </c>
      <c r="DD2723" s="127">
        <v>7</v>
      </c>
      <c r="DE2723" s="127">
        <v>7</v>
      </c>
      <c r="DG2723" s="405" t="s">
        <v>348</v>
      </c>
      <c r="DH2723" s="406" t="s">
        <v>4504</v>
      </c>
      <c r="DI2723" s="406" t="str">
        <f t="shared" si="74"/>
        <v>PB, Riacho dos Cavalos</v>
      </c>
      <c r="DJ2723" s="406">
        <v>-6.4429999999999996</v>
      </c>
      <c r="DK2723" s="80">
        <v>-37.651000000000003</v>
      </c>
      <c r="DL2723" s="80">
        <v>198</v>
      </c>
      <c r="DM2723" s="64">
        <v>7</v>
      </c>
      <c r="DN2723" s="406" t="s">
        <v>7506</v>
      </c>
      <c r="DO2723" s="406">
        <v>-6.46</v>
      </c>
      <c r="DP2723" s="80">
        <v>170</v>
      </c>
    </row>
    <row r="2724" spans="29:120" x14ac:dyDescent="0.25">
      <c r="AC2724" s="122" t="s">
        <v>358</v>
      </c>
      <c r="AD2724" s="122" t="s">
        <v>3068</v>
      </c>
      <c r="AE2724" s="127">
        <v>8</v>
      </c>
      <c r="DA2724" s="122" t="s">
        <v>348</v>
      </c>
      <c r="DB2724" s="122" t="s">
        <v>7552</v>
      </c>
      <c r="DC2724" s="122" t="s">
        <v>4139</v>
      </c>
      <c r="DD2724" s="127">
        <v>8</v>
      </c>
      <c r="DE2724" s="127">
        <v>8</v>
      </c>
      <c r="DG2724" s="405" t="s">
        <v>348</v>
      </c>
      <c r="DH2724" s="406" t="s">
        <v>4139</v>
      </c>
      <c r="DI2724" s="406" t="str">
        <f t="shared" si="74"/>
        <v>PB, Rio Tinto</v>
      </c>
      <c r="DJ2724" s="406">
        <v>-6.8029999999999999</v>
      </c>
      <c r="DK2724" s="80">
        <v>-35.081000000000003</v>
      </c>
      <c r="DL2724" s="80">
        <v>11</v>
      </c>
      <c r="DM2724" s="64">
        <v>8</v>
      </c>
      <c r="DN2724" s="406" t="s">
        <v>7501</v>
      </c>
      <c r="DO2724" s="406">
        <v>-6.61</v>
      </c>
      <c r="DP2724" s="80">
        <v>136</v>
      </c>
    </row>
    <row r="2725" spans="29:120" x14ac:dyDescent="0.25">
      <c r="AC2725" s="122" t="s">
        <v>236</v>
      </c>
      <c r="AD2725" s="122" t="s">
        <v>3069</v>
      </c>
      <c r="AE2725" s="127">
        <v>2</v>
      </c>
      <c r="DA2725" s="122" t="s">
        <v>348</v>
      </c>
      <c r="DB2725" s="122" t="s">
        <v>1966</v>
      </c>
      <c r="DC2725" s="122" t="s">
        <v>1966</v>
      </c>
      <c r="DD2725" s="127">
        <v>8</v>
      </c>
      <c r="DE2725" s="127">
        <v>8</v>
      </c>
      <c r="DG2725" s="405" t="s">
        <v>348</v>
      </c>
      <c r="DH2725" s="406" t="s">
        <v>1966</v>
      </c>
      <c r="DI2725" s="406" t="str">
        <f t="shared" si="74"/>
        <v>PB, Salgadinho</v>
      </c>
      <c r="DJ2725" s="406">
        <v>-7.1029999999999998</v>
      </c>
      <c r="DK2725" s="80">
        <v>-36.844999999999999</v>
      </c>
      <c r="DL2725" s="80">
        <v>420</v>
      </c>
      <c r="DM2725" s="64">
        <v>8</v>
      </c>
      <c r="DN2725" s="406" t="s">
        <v>7490</v>
      </c>
      <c r="DO2725" s="406">
        <v>-7.02</v>
      </c>
      <c r="DP2725" s="80">
        <v>249</v>
      </c>
    </row>
    <row r="2726" spans="29:120" x14ac:dyDescent="0.25">
      <c r="AC2726" s="122" t="s">
        <v>236</v>
      </c>
      <c r="AD2726" s="122" t="s">
        <v>3070</v>
      </c>
      <c r="AE2726" s="127">
        <v>2</v>
      </c>
      <c r="DA2726" s="122" t="s">
        <v>348</v>
      </c>
      <c r="DB2726" s="122" t="s">
        <v>7553</v>
      </c>
      <c r="DC2726" s="122" t="s">
        <v>5067</v>
      </c>
      <c r="DD2726" s="127">
        <v>8</v>
      </c>
      <c r="DE2726" s="127">
        <v>8</v>
      </c>
      <c r="DG2726" s="405" t="s">
        <v>348</v>
      </c>
      <c r="DH2726" s="406" t="s">
        <v>5067</v>
      </c>
      <c r="DI2726" s="406" t="str">
        <f t="shared" si="74"/>
        <v>PB, Salgado de São Félix</v>
      </c>
      <c r="DJ2726" s="406">
        <v>-7.3570000000000002</v>
      </c>
      <c r="DK2726" s="80">
        <v>-35.441000000000003</v>
      </c>
      <c r="DL2726" s="80">
        <v>58</v>
      </c>
      <c r="DM2726" s="64">
        <v>8</v>
      </c>
      <c r="DN2726" s="406" t="s">
        <v>7499</v>
      </c>
      <c r="DO2726" s="406">
        <v>-7.23</v>
      </c>
      <c r="DP2726" s="80">
        <v>548</v>
      </c>
    </row>
    <row r="2727" spans="29:120" x14ac:dyDescent="0.25">
      <c r="AC2727" s="122" t="s">
        <v>236</v>
      </c>
      <c r="AD2727" s="122" t="s">
        <v>3071</v>
      </c>
      <c r="AE2727" s="127">
        <v>2</v>
      </c>
      <c r="DA2727" s="122" t="s">
        <v>348</v>
      </c>
      <c r="DB2727" s="122" t="s">
        <v>7554</v>
      </c>
      <c r="DC2727" s="122" t="s">
        <v>1565</v>
      </c>
      <c r="DD2727" s="127">
        <v>8</v>
      </c>
      <c r="DE2727" s="127">
        <v>8</v>
      </c>
      <c r="DG2727" s="405" t="s">
        <v>348</v>
      </c>
      <c r="DH2727" s="406" t="s">
        <v>1565</v>
      </c>
      <c r="DI2727" s="406" t="str">
        <f t="shared" si="74"/>
        <v>PB, Santa Cecília</v>
      </c>
      <c r="DJ2727" s="406">
        <v>-7.7389999999999999</v>
      </c>
      <c r="DK2727" s="80">
        <v>-35.878999999999998</v>
      </c>
      <c r="DL2727" s="80">
        <v>557</v>
      </c>
      <c r="DM2727" s="64">
        <v>8</v>
      </c>
      <c r="DN2727" s="406" t="s">
        <v>7494</v>
      </c>
      <c r="DO2727" s="406">
        <v>-7.84</v>
      </c>
      <c r="DP2727" s="80">
        <v>418</v>
      </c>
    </row>
    <row r="2728" spans="29:120" x14ac:dyDescent="0.25">
      <c r="AC2728" s="122" t="s">
        <v>336</v>
      </c>
      <c r="AD2728" s="122" t="s">
        <v>3072</v>
      </c>
      <c r="AE2728" s="127">
        <v>3</v>
      </c>
      <c r="DA2728" s="122" t="s">
        <v>348</v>
      </c>
      <c r="DB2728" s="122" t="s">
        <v>7555</v>
      </c>
      <c r="DC2728" s="122" t="s">
        <v>2492</v>
      </c>
      <c r="DD2728" s="127">
        <v>7</v>
      </c>
      <c r="DE2728" s="127">
        <v>7</v>
      </c>
      <c r="DG2728" s="405" t="s">
        <v>348</v>
      </c>
      <c r="DH2728" s="406" t="s">
        <v>2492</v>
      </c>
      <c r="DI2728" s="406" t="str">
        <f t="shared" si="74"/>
        <v>PB, Santa Cruz</v>
      </c>
      <c r="DJ2728" s="406">
        <v>-6.5330000000000004</v>
      </c>
      <c r="DK2728" s="80">
        <v>-38.061999999999998</v>
      </c>
      <c r="DL2728" s="80">
        <v>314</v>
      </c>
      <c r="DM2728" s="64">
        <v>7</v>
      </c>
      <c r="DN2728" s="406" t="s">
        <v>6414</v>
      </c>
      <c r="DO2728" s="406">
        <v>-6.84</v>
      </c>
      <c r="DP2728" s="80">
        <v>234</v>
      </c>
    </row>
    <row r="2729" spans="29:120" x14ac:dyDescent="0.25">
      <c r="AC2729" s="122" t="s">
        <v>27</v>
      </c>
      <c r="AD2729" s="122" t="s">
        <v>3073</v>
      </c>
      <c r="AE2729" s="127">
        <v>5</v>
      </c>
      <c r="DA2729" s="122" t="s">
        <v>348</v>
      </c>
      <c r="DB2729" s="122" t="s">
        <v>6748</v>
      </c>
      <c r="DC2729" s="122" t="s">
        <v>1704</v>
      </c>
      <c r="DD2729" s="127">
        <v>7</v>
      </c>
      <c r="DE2729" s="127">
        <v>7</v>
      </c>
      <c r="DG2729" s="405" t="s">
        <v>348</v>
      </c>
      <c r="DH2729" s="406" t="s">
        <v>1704</v>
      </c>
      <c r="DI2729" s="406" t="str">
        <f t="shared" si="74"/>
        <v>PB, Santa Helena</v>
      </c>
      <c r="DJ2729" s="406">
        <v>-6.72</v>
      </c>
      <c r="DK2729" s="80">
        <v>-38.637999999999998</v>
      </c>
      <c r="DL2729" s="80">
        <v>287</v>
      </c>
      <c r="DM2729" s="64">
        <v>7</v>
      </c>
      <c r="DN2729" s="406" t="s">
        <v>6414</v>
      </c>
      <c r="DO2729" s="406">
        <v>-6.84</v>
      </c>
      <c r="DP2729" s="80">
        <v>234</v>
      </c>
    </row>
    <row r="2730" spans="29:120" x14ac:dyDescent="0.25">
      <c r="AC2730" s="122" t="s">
        <v>336</v>
      </c>
      <c r="AD2730" s="122" t="s">
        <v>3074</v>
      </c>
      <c r="AE2730" s="127">
        <v>3</v>
      </c>
      <c r="DA2730" s="122" t="s">
        <v>348</v>
      </c>
      <c r="DB2730" s="122" t="s">
        <v>6359</v>
      </c>
      <c r="DC2730" s="122" t="s">
        <v>1814</v>
      </c>
      <c r="DD2730" s="127">
        <v>7</v>
      </c>
      <c r="DE2730" s="127">
        <v>7</v>
      </c>
      <c r="DG2730" s="405" t="s">
        <v>348</v>
      </c>
      <c r="DH2730" s="406" t="s">
        <v>1814</v>
      </c>
      <c r="DI2730" s="406" t="str">
        <f t="shared" si="74"/>
        <v>PB, Santa Inês</v>
      </c>
      <c r="DJ2730" s="406">
        <v>-7.6210000000000004</v>
      </c>
      <c r="DK2730" s="80">
        <v>-38.554000000000002</v>
      </c>
      <c r="DL2730" s="80">
        <v>435</v>
      </c>
      <c r="DM2730" s="64">
        <v>7</v>
      </c>
      <c r="DN2730" s="406" t="s">
        <v>7509</v>
      </c>
      <c r="DO2730" s="406">
        <v>-7.95</v>
      </c>
      <c r="DP2730" s="80">
        <v>461</v>
      </c>
    </row>
    <row r="2731" spans="29:120" x14ac:dyDescent="0.25">
      <c r="AC2731" s="122" t="s">
        <v>236</v>
      </c>
      <c r="AD2731" s="122" t="s">
        <v>3075</v>
      </c>
      <c r="AE2731" s="127">
        <v>2</v>
      </c>
      <c r="DA2731" s="122" t="s">
        <v>348</v>
      </c>
      <c r="DB2731" s="122" t="s">
        <v>6360</v>
      </c>
      <c r="DC2731" s="122" t="s">
        <v>1864</v>
      </c>
      <c r="DD2731" s="127">
        <v>7</v>
      </c>
      <c r="DE2731" s="127">
        <v>7</v>
      </c>
      <c r="DG2731" s="405" t="s">
        <v>348</v>
      </c>
      <c r="DH2731" s="406" t="s">
        <v>1864</v>
      </c>
      <c r="DI2731" s="406" t="str">
        <f t="shared" si="74"/>
        <v>PB, Santa Luzia</v>
      </c>
      <c r="DJ2731" s="406">
        <v>-6.8719999999999999</v>
      </c>
      <c r="DK2731" s="80">
        <v>-36.918999999999997</v>
      </c>
      <c r="DL2731" s="80">
        <v>299</v>
      </c>
      <c r="DM2731" s="64">
        <v>7</v>
      </c>
      <c r="DN2731" s="406" t="s">
        <v>7490</v>
      </c>
      <c r="DO2731" s="406">
        <v>-7.02</v>
      </c>
      <c r="DP2731" s="80">
        <v>249</v>
      </c>
    </row>
    <row r="2732" spans="29:120" x14ac:dyDescent="0.25">
      <c r="AC2732" s="122" t="s">
        <v>311</v>
      </c>
      <c r="AD2732" s="122" t="s">
        <v>3076</v>
      </c>
      <c r="AE2732" s="127">
        <v>3</v>
      </c>
      <c r="DA2732" s="122" t="s">
        <v>348</v>
      </c>
      <c r="DB2732" s="122" t="s">
        <v>6751</v>
      </c>
      <c r="DC2732" s="122" t="s">
        <v>4154</v>
      </c>
      <c r="DD2732" s="127">
        <v>8</v>
      </c>
      <c r="DE2732" s="127">
        <v>8</v>
      </c>
      <c r="DG2732" s="405" t="s">
        <v>348</v>
      </c>
      <c r="DH2732" s="406" t="s">
        <v>4154</v>
      </c>
      <c r="DI2732" s="406" t="str">
        <f t="shared" si="74"/>
        <v>PB, Santa Rita</v>
      </c>
      <c r="DJ2732" s="406">
        <v>-7.1139999999999999</v>
      </c>
      <c r="DK2732" s="80">
        <v>-34.978000000000002</v>
      </c>
      <c r="DL2732" s="80">
        <v>16</v>
      </c>
      <c r="DM2732" s="64">
        <v>8</v>
      </c>
      <c r="DN2732" s="406" t="s">
        <v>7496</v>
      </c>
      <c r="DO2732" s="406">
        <v>-7.11</v>
      </c>
      <c r="DP2732" s="80">
        <v>44</v>
      </c>
    </row>
    <row r="2733" spans="29:120" x14ac:dyDescent="0.25">
      <c r="AC2733" s="122" t="s">
        <v>27</v>
      </c>
      <c r="AD2733" s="122" t="s">
        <v>3077</v>
      </c>
      <c r="AE2733" s="127">
        <v>3</v>
      </c>
      <c r="DA2733" s="122" t="s">
        <v>348</v>
      </c>
      <c r="DB2733" s="122" t="s">
        <v>6363</v>
      </c>
      <c r="DC2733" s="122" t="s">
        <v>2029</v>
      </c>
      <c r="DD2733" s="127">
        <v>7</v>
      </c>
      <c r="DE2733" s="127">
        <v>7</v>
      </c>
      <c r="DG2733" s="405" t="s">
        <v>348</v>
      </c>
      <c r="DH2733" s="406" t="s">
        <v>2029</v>
      </c>
      <c r="DI2733" s="406" t="str">
        <f t="shared" si="74"/>
        <v>PB, Santa Teresinha</v>
      </c>
      <c r="DJ2733" s="406">
        <v>-7.1159999999999997</v>
      </c>
      <c r="DK2733" s="80">
        <v>-37.451999999999998</v>
      </c>
      <c r="DL2733" s="80">
        <v>306</v>
      </c>
      <c r="DM2733" s="64">
        <v>7</v>
      </c>
      <c r="DN2733" s="406" t="s">
        <v>7490</v>
      </c>
      <c r="DO2733" s="406">
        <v>-7.02</v>
      </c>
      <c r="DP2733" s="80">
        <v>249</v>
      </c>
    </row>
    <row r="2734" spans="29:120" x14ac:dyDescent="0.25">
      <c r="AC2734" s="122" t="s">
        <v>358</v>
      </c>
      <c r="AD2734" s="122" t="s">
        <v>3078</v>
      </c>
      <c r="AE2734" s="127">
        <v>5</v>
      </c>
      <c r="DA2734" s="122" t="s">
        <v>348</v>
      </c>
      <c r="DB2734" s="122" t="s">
        <v>7556</v>
      </c>
      <c r="DC2734" s="122" t="s">
        <v>5438</v>
      </c>
      <c r="DD2734" s="127">
        <v>7</v>
      </c>
      <c r="DE2734" s="127">
        <v>7</v>
      </c>
      <c r="DG2734" s="405" t="s">
        <v>348</v>
      </c>
      <c r="DH2734" s="406" t="s">
        <v>5438</v>
      </c>
      <c r="DI2734" s="406" t="str">
        <f t="shared" si="74"/>
        <v>PB, Santana de Mangueira</v>
      </c>
      <c r="DJ2734" s="406">
        <v>-7.5549999999999997</v>
      </c>
      <c r="DK2734" s="80">
        <v>-38.332000000000001</v>
      </c>
      <c r="DL2734" s="80">
        <v>350</v>
      </c>
      <c r="DM2734" s="64">
        <v>7</v>
      </c>
      <c r="DN2734" s="406" t="s">
        <v>7509</v>
      </c>
      <c r="DO2734" s="406">
        <v>-7.95</v>
      </c>
      <c r="DP2734" s="80">
        <v>461</v>
      </c>
    </row>
    <row r="2735" spans="29:120" x14ac:dyDescent="0.25">
      <c r="AC2735" s="122" t="s">
        <v>311</v>
      </c>
      <c r="AD2735" s="122" t="s">
        <v>3079</v>
      </c>
      <c r="AE2735" s="127">
        <v>3</v>
      </c>
      <c r="DA2735" s="122" t="s">
        <v>348</v>
      </c>
      <c r="DB2735" s="122" t="s">
        <v>7557</v>
      </c>
      <c r="DC2735" s="122" t="s">
        <v>5406</v>
      </c>
      <c r="DD2735" s="127">
        <v>7</v>
      </c>
      <c r="DE2735" s="127">
        <v>7</v>
      </c>
      <c r="DG2735" s="405" t="s">
        <v>348</v>
      </c>
      <c r="DH2735" s="406" t="s">
        <v>5406</v>
      </c>
      <c r="DI2735" s="406" t="str">
        <f t="shared" si="74"/>
        <v>PB, Santana dos Garrotes</v>
      </c>
      <c r="DJ2735" s="406">
        <v>-7.3840000000000003</v>
      </c>
      <c r="DK2735" s="80">
        <v>-37.985999999999997</v>
      </c>
      <c r="DL2735" s="80">
        <v>322</v>
      </c>
      <c r="DM2735" s="64">
        <v>7</v>
      </c>
      <c r="DN2735" s="406" t="s">
        <v>6414</v>
      </c>
      <c r="DO2735" s="406">
        <v>-6.84</v>
      </c>
      <c r="DP2735" s="80">
        <v>234</v>
      </c>
    </row>
    <row r="2736" spans="29:120" x14ac:dyDescent="0.25">
      <c r="AC2736" s="122" t="s">
        <v>236</v>
      </c>
      <c r="AD2736" s="122" t="s">
        <v>3080</v>
      </c>
      <c r="AE2736" s="127">
        <v>2</v>
      </c>
      <c r="DA2736" s="122" t="s">
        <v>348</v>
      </c>
      <c r="DB2736" s="122" t="s">
        <v>4215</v>
      </c>
      <c r="DC2736" s="122" t="s">
        <v>4215</v>
      </c>
      <c r="DD2736" s="127">
        <v>7</v>
      </c>
      <c r="DE2736" s="127">
        <v>7</v>
      </c>
      <c r="DG2736" s="405" t="s">
        <v>348</v>
      </c>
      <c r="DH2736" s="406" t="s">
        <v>4215</v>
      </c>
      <c r="DI2736" s="406" t="str">
        <f t="shared" si="74"/>
        <v>PB, Santarém</v>
      </c>
      <c r="DJ2736" s="406">
        <v>-6.49</v>
      </c>
      <c r="DK2736" s="80">
        <v>-38.475999999999999</v>
      </c>
      <c r="DL2736" s="80">
        <v>345</v>
      </c>
      <c r="DM2736" s="64">
        <v>7</v>
      </c>
      <c r="DN2736" s="406" t="s">
        <v>6414</v>
      </c>
      <c r="DO2736" s="406">
        <v>-6.84</v>
      </c>
      <c r="DP2736" s="80">
        <v>234</v>
      </c>
    </row>
    <row r="2737" spans="29:120" x14ac:dyDescent="0.25">
      <c r="AC2737" s="122" t="s">
        <v>236</v>
      </c>
      <c r="AD2737" s="122" t="s">
        <v>3081</v>
      </c>
      <c r="AE2737" s="127">
        <v>2</v>
      </c>
      <c r="DA2737" s="122" t="s">
        <v>348</v>
      </c>
      <c r="DB2737" s="122" t="s">
        <v>7558</v>
      </c>
      <c r="DC2737" s="122" t="s">
        <v>384</v>
      </c>
      <c r="DD2737" s="127">
        <v>8</v>
      </c>
      <c r="DE2737" s="127">
        <v>8</v>
      </c>
      <c r="DG2737" s="405" t="s">
        <v>348</v>
      </c>
      <c r="DH2737" s="406" t="s">
        <v>384</v>
      </c>
      <c r="DI2737" s="406" t="str">
        <f t="shared" si="74"/>
        <v>PB, Santo André</v>
      </c>
      <c r="DJ2737" s="406">
        <v>-7.218</v>
      </c>
      <c r="DK2737" s="80">
        <v>-36.633000000000003</v>
      </c>
      <c r="DL2737" s="80">
        <v>523</v>
      </c>
      <c r="DM2737" s="64">
        <v>8</v>
      </c>
      <c r="DN2737" s="406" t="s">
        <v>7504</v>
      </c>
      <c r="DO2737" s="406">
        <v>-7.48</v>
      </c>
      <c r="DP2737" s="80">
        <v>436</v>
      </c>
    </row>
    <row r="2738" spans="29:120" x14ac:dyDescent="0.25">
      <c r="AC2738" s="122" t="s">
        <v>358</v>
      </c>
      <c r="AD2738" s="122" t="s">
        <v>3082</v>
      </c>
      <c r="AE2738" s="127">
        <v>5</v>
      </c>
      <c r="DA2738" s="122" t="s">
        <v>348</v>
      </c>
      <c r="DB2738" s="122" t="s">
        <v>7559</v>
      </c>
      <c r="DC2738" s="122" t="s">
        <v>4502</v>
      </c>
      <c r="DD2738" s="127">
        <v>7</v>
      </c>
      <c r="DE2738" s="127">
        <v>7</v>
      </c>
      <c r="DG2738" s="405" t="s">
        <v>348</v>
      </c>
      <c r="DH2738" s="406" t="s">
        <v>4502</v>
      </c>
      <c r="DI2738" s="406" t="str">
        <f t="shared" si="74"/>
        <v>PB, São Bentinho</v>
      </c>
      <c r="DJ2738" s="406">
        <v>-6.9009999999999998</v>
      </c>
      <c r="DK2738" s="80">
        <v>-37.728999999999999</v>
      </c>
      <c r="DL2738" s="80">
        <v>251</v>
      </c>
      <c r="DM2738" s="64">
        <v>7</v>
      </c>
      <c r="DN2738" s="406" t="s">
        <v>7490</v>
      </c>
      <c r="DO2738" s="406">
        <v>-7.02</v>
      </c>
      <c r="DP2738" s="80">
        <v>249</v>
      </c>
    </row>
    <row r="2739" spans="29:120" x14ac:dyDescent="0.25">
      <c r="AC2739" s="122" t="s">
        <v>236</v>
      </c>
      <c r="AD2739" s="122" t="s">
        <v>3083</v>
      </c>
      <c r="AE2739" s="127">
        <v>2</v>
      </c>
      <c r="DA2739" s="122" t="s">
        <v>348</v>
      </c>
      <c r="DB2739" s="122" t="s">
        <v>6756</v>
      </c>
      <c r="DC2739" s="122" t="s">
        <v>4343</v>
      </c>
      <c r="DD2739" s="127">
        <v>7</v>
      </c>
      <c r="DE2739" s="127">
        <v>7</v>
      </c>
      <c r="DG2739" s="405" t="s">
        <v>348</v>
      </c>
      <c r="DH2739" s="406" t="s">
        <v>4343</v>
      </c>
      <c r="DI2739" s="406" t="str">
        <f t="shared" si="74"/>
        <v>PB, São Bento</v>
      </c>
      <c r="DJ2739" s="406">
        <v>-6.4859999999999998</v>
      </c>
      <c r="DK2739" s="80">
        <v>-37.451000000000001</v>
      </c>
      <c r="DL2739" s="80">
        <v>141</v>
      </c>
      <c r="DM2739" s="64">
        <v>7</v>
      </c>
      <c r="DN2739" s="406" t="s">
        <v>7506</v>
      </c>
      <c r="DO2739" s="406">
        <v>-6.46</v>
      </c>
      <c r="DP2739" s="80">
        <v>170</v>
      </c>
    </row>
    <row r="2740" spans="29:120" x14ac:dyDescent="0.25">
      <c r="AC2740" s="122" t="s">
        <v>317</v>
      </c>
      <c r="AD2740" s="122" t="s">
        <v>3084</v>
      </c>
      <c r="AE2740" s="127">
        <v>8</v>
      </c>
      <c r="DA2740" s="122" t="s">
        <v>348</v>
      </c>
      <c r="DB2740" s="122" t="s">
        <v>7560</v>
      </c>
      <c r="DC2740" s="122" t="s">
        <v>5448</v>
      </c>
      <c r="DD2740" s="127">
        <v>7</v>
      </c>
      <c r="DE2740" s="127">
        <v>7</v>
      </c>
      <c r="DG2740" s="405" t="s">
        <v>348</v>
      </c>
      <c r="DH2740" s="406" t="s">
        <v>5448</v>
      </c>
      <c r="DI2740" s="406" t="str">
        <f t="shared" si="74"/>
        <v>PB, São Domingos de Pombal</v>
      </c>
      <c r="DJ2740" s="406">
        <v>-6.8140000000000001</v>
      </c>
      <c r="DK2740" s="80">
        <v>-37.942</v>
      </c>
      <c r="DL2740" s="80">
        <v>190</v>
      </c>
      <c r="DM2740" s="64">
        <v>7</v>
      </c>
      <c r="DN2740" s="406" t="s">
        <v>6414</v>
      </c>
      <c r="DO2740" s="406">
        <v>-6.84</v>
      </c>
      <c r="DP2740" s="80">
        <v>234</v>
      </c>
    </row>
    <row r="2741" spans="29:120" x14ac:dyDescent="0.25">
      <c r="AC2741" s="122" t="s">
        <v>311</v>
      </c>
      <c r="AD2741" s="122" t="s">
        <v>3085</v>
      </c>
      <c r="AE2741" s="127">
        <v>3</v>
      </c>
      <c r="DA2741" s="122" t="s">
        <v>348</v>
      </c>
      <c r="DB2741" s="122" t="s">
        <v>7561</v>
      </c>
      <c r="DC2741" s="122" t="s">
        <v>2287</v>
      </c>
      <c r="DD2741" s="127">
        <v>8</v>
      </c>
      <c r="DE2741" s="127">
        <v>8</v>
      </c>
      <c r="DG2741" s="405" t="s">
        <v>348</v>
      </c>
      <c r="DH2741" s="406" t="s">
        <v>2287</v>
      </c>
      <c r="DI2741" s="406" t="str">
        <f t="shared" si="74"/>
        <v>PB, São Domingos do Cariri</v>
      </c>
      <c r="DJ2741" s="406">
        <v>-7.6360000000000001</v>
      </c>
      <c r="DK2741" s="80">
        <v>-36.433</v>
      </c>
      <c r="DL2741" s="80">
        <v>400</v>
      </c>
      <c r="DM2741" s="64">
        <v>8</v>
      </c>
      <c r="DN2741" s="406" t="s">
        <v>7504</v>
      </c>
      <c r="DO2741" s="406">
        <v>-7.48</v>
      </c>
      <c r="DP2741" s="80">
        <v>436</v>
      </c>
    </row>
    <row r="2742" spans="29:120" x14ac:dyDescent="0.25">
      <c r="AC2742" s="122" t="s">
        <v>358</v>
      </c>
      <c r="AD2742" s="122" t="s">
        <v>3086</v>
      </c>
      <c r="AE2742" s="127">
        <v>3</v>
      </c>
      <c r="DA2742" s="122" t="s">
        <v>348</v>
      </c>
      <c r="DB2742" s="122" t="s">
        <v>7165</v>
      </c>
      <c r="DC2742" s="122" t="s">
        <v>2937</v>
      </c>
      <c r="DD2742" s="127">
        <v>7</v>
      </c>
      <c r="DE2742" s="127">
        <v>7</v>
      </c>
      <c r="DG2742" s="405" t="s">
        <v>348</v>
      </c>
      <c r="DH2742" s="406" t="s">
        <v>2937</v>
      </c>
      <c r="DI2742" s="406" t="str">
        <f t="shared" si="74"/>
        <v>PB, São Francisco</v>
      </c>
      <c r="DJ2742" s="406">
        <v>-6.6189999999999998</v>
      </c>
      <c r="DK2742" s="80">
        <v>-38.094000000000001</v>
      </c>
      <c r="DL2742" s="80">
        <v>285</v>
      </c>
      <c r="DM2742" s="64">
        <v>7</v>
      </c>
      <c r="DN2742" s="406" t="s">
        <v>6414</v>
      </c>
      <c r="DO2742" s="406">
        <v>-6.84</v>
      </c>
      <c r="DP2742" s="80">
        <v>234</v>
      </c>
    </row>
    <row r="2743" spans="29:120" x14ac:dyDescent="0.25">
      <c r="AC2743" s="122" t="s">
        <v>311</v>
      </c>
      <c r="AD2743" s="122" t="s">
        <v>3087</v>
      </c>
      <c r="AE2743" s="127">
        <v>3</v>
      </c>
      <c r="DA2743" s="122" t="s">
        <v>348</v>
      </c>
      <c r="DB2743" s="122" t="s">
        <v>7562</v>
      </c>
      <c r="DC2743" s="122" t="s">
        <v>2252</v>
      </c>
      <c r="DD2743" s="127">
        <v>8</v>
      </c>
      <c r="DE2743" s="127">
        <v>8</v>
      </c>
      <c r="DG2743" s="405" t="s">
        <v>348</v>
      </c>
      <c r="DH2743" s="406" t="s">
        <v>2252</v>
      </c>
      <c r="DI2743" s="406" t="str">
        <f t="shared" si="74"/>
        <v>PB, São João do Cariri</v>
      </c>
      <c r="DJ2743" s="406">
        <v>-7.391</v>
      </c>
      <c r="DK2743" s="80">
        <v>-36.533000000000001</v>
      </c>
      <c r="DL2743" s="80">
        <v>458</v>
      </c>
      <c r="DM2743" s="64">
        <v>8</v>
      </c>
      <c r="DN2743" s="406" t="s">
        <v>7504</v>
      </c>
      <c r="DO2743" s="406">
        <v>-7.48</v>
      </c>
      <c r="DP2743" s="80">
        <v>436</v>
      </c>
    </row>
    <row r="2744" spans="29:120" x14ac:dyDescent="0.25">
      <c r="AC2744" s="122" t="s">
        <v>236</v>
      </c>
      <c r="AD2744" s="122" t="s">
        <v>3088</v>
      </c>
      <c r="AE2744" s="127">
        <v>2</v>
      </c>
      <c r="DA2744" s="122" t="s">
        <v>348</v>
      </c>
      <c r="DB2744" s="122" t="s">
        <v>7563</v>
      </c>
      <c r="DC2744" s="122" t="s">
        <v>5443</v>
      </c>
      <c r="DD2744" s="127">
        <v>7</v>
      </c>
      <c r="DE2744" s="127">
        <v>7</v>
      </c>
      <c r="DG2744" s="405" t="s">
        <v>348</v>
      </c>
      <c r="DH2744" s="406" t="s">
        <v>5443</v>
      </c>
      <c r="DI2744" s="406" t="str">
        <f t="shared" si="74"/>
        <v>PB, São João do Rio do Peixe</v>
      </c>
      <c r="DJ2744" s="406">
        <v>-6.7290000000000001</v>
      </c>
      <c r="DK2744" s="80">
        <v>-38.448999999999998</v>
      </c>
      <c r="DL2744" s="80">
        <v>245</v>
      </c>
      <c r="DM2744" s="64">
        <v>7</v>
      </c>
      <c r="DN2744" s="406" t="s">
        <v>6414</v>
      </c>
      <c r="DO2744" s="406">
        <v>-6.84</v>
      </c>
      <c r="DP2744" s="80">
        <v>234</v>
      </c>
    </row>
    <row r="2745" spans="29:120" x14ac:dyDescent="0.25">
      <c r="AC2745" s="122" t="s">
        <v>236</v>
      </c>
      <c r="AD2745" s="122" t="s">
        <v>3089</v>
      </c>
      <c r="AE2745" s="127">
        <v>2</v>
      </c>
      <c r="DA2745" s="122" t="s">
        <v>348</v>
      </c>
      <c r="DB2745" s="122" t="s">
        <v>7564</v>
      </c>
      <c r="DC2745" s="122" t="s">
        <v>2270</v>
      </c>
      <c r="DD2745" s="127">
        <v>5</v>
      </c>
      <c r="DE2745" s="127">
        <v>5</v>
      </c>
      <c r="DG2745" s="405" t="s">
        <v>348</v>
      </c>
      <c r="DH2745" s="406" t="s">
        <v>2270</v>
      </c>
      <c r="DI2745" s="406" t="str">
        <f t="shared" si="74"/>
        <v>PB, São João do Tigre</v>
      </c>
      <c r="DJ2745" s="406">
        <v>-8.0790000000000006</v>
      </c>
      <c r="DK2745" s="80">
        <v>-36.847999999999999</v>
      </c>
      <c r="DL2745" s="80">
        <v>577</v>
      </c>
      <c r="DM2745" s="64">
        <v>5</v>
      </c>
      <c r="DN2745" s="406" t="s">
        <v>7497</v>
      </c>
      <c r="DO2745" s="406">
        <v>-7.89</v>
      </c>
      <c r="DP2745" s="80">
        <v>604</v>
      </c>
    </row>
    <row r="2746" spans="29:120" x14ac:dyDescent="0.25">
      <c r="AC2746" s="122" t="s">
        <v>376</v>
      </c>
      <c r="AD2746" s="122" t="s">
        <v>3090</v>
      </c>
      <c r="AE2746" s="127">
        <v>3</v>
      </c>
      <c r="DA2746" s="122" t="s">
        <v>348</v>
      </c>
      <c r="DB2746" s="122" t="s">
        <v>7565</v>
      </c>
      <c r="DC2746" s="122" t="s">
        <v>5428</v>
      </c>
      <c r="DD2746" s="127">
        <v>7</v>
      </c>
      <c r="DE2746" s="127">
        <v>7</v>
      </c>
      <c r="DG2746" s="405" t="s">
        <v>348</v>
      </c>
      <c r="DH2746" s="406" t="s">
        <v>5428</v>
      </c>
      <c r="DI2746" s="406" t="str">
        <f t="shared" si="74"/>
        <v>PB, São José da Lagoa Tapada</v>
      </c>
      <c r="DJ2746" s="406">
        <v>-6.9409999999999998</v>
      </c>
      <c r="DK2746" s="80">
        <v>-38.161999999999999</v>
      </c>
      <c r="DL2746" s="80">
        <v>257</v>
      </c>
      <c r="DM2746" s="64">
        <v>7</v>
      </c>
      <c r="DN2746" s="406" t="s">
        <v>6414</v>
      </c>
      <c r="DO2746" s="406">
        <v>-6.84</v>
      </c>
      <c r="DP2746" s="80">
        <v>234</v>
      </c>
    </row>
    <row r="2747" spans="29:120" x14ac:dyDescent="0.25">
      <c r="AC2747" s="122" t="s">
        <v>358</v>
      </c>
      <c r="AD2747" s="122" t="s">
        <v>3091</v>
      </c>
      <c r="AE2747" s="127">
        <v>8</v>
      </c>
      <c r="DA2747" s="122" t="s">
        <v>348</v>
      </c>
      <c r="DB2747" s="122" t="s">
        <v>7566</v>
      </c>
      <c r="DC2747" s="122" t="s">
        <v>2357</v>
      </c>
      <c r="DD2747" s="127">
        <v>7</v>
      </c>
      <c r="DE2747" s="127">
        <v>7</v>
      </c>
      <c r="DG2747" s="405" t="s">
        <v>348</v>
      </c>
      <c r="DH2747" s="406" t="s">
        <v>2357</v>
      </c>
      <c r="DI2747" s="406" t="str">
        <f t="shared" si="74"/>
        <v>PB, São José de Caiana</v>
      </c>
      <c r="DJ2747" s="406">
        <v>-7.2489999999999997</v>
      </c>
      <c r="DK2747" s="80">
        <v>-38.301000000000002</v>
      </c>
      <c r="DL2747" s="80">
        <v>610</v>
      </c>
      <c r="DM2747" s="64">
        <v>7</v>
      </c>
      <c r="DN2747" s="406" t="s">
        <v>6414</v>
      </c>
      <c r="DO2747" s="406">
        <v>-6.84</v>
      </c>
      <c r="DP2747" s="80">
        <v>234</v>
      </c>
    </row>
    <row r="2748" spans="29:120" x14ac:dyDescent="0.25">
      <c r="AC2748" s="122" t="s">
        <v>27</v>
      </c>
      <c r="AD2748" s="122" t="s">
        <v>3092</v>
      </c>
      <c r="AE2748" s="127">
        <v>3</v>
      </c>
      <c r="DA2748" s="122" t="s">
        <v>348</v>
      </c>
      <c r="DB2748" s="122" t="s">
        <v>7567</v>
      </c>
      <c r="DC2748" s="122" t="s">
        <v>4515</v>
      </c>
      <c r="DD2748" s="127">
        <v>7</v>
      </c>
      <c r="DE2748" s="127">
        <v>7</v>
      </c>
      <c r="DG2748" s="405" t="s">
        <v>348</v>
      </c>
      <c r="DH2748" s="406" t="s">
        <v>4515</v>
      </c>
      <c r="DI2748" s="406" t="str">
        <f t="shared" si="74"/>
        <v>PB, São José de Espinharas</v>
      </c>
      <c r="DJ2748" s="406">
        <v>-6.8470000000000004</v>
      </c>
      <c r="DK2748" s="80">
        <v>-37.326000000000001</v>
      </c>
      <c r="DL2748" s="80">
        <v>208</v>
      </c>
      <c r="DM2748" s="64">
        <v>7</v>
      </c>
      <c r="DN2748" s="406" t="s">
        <v>7490</v>
      </c>
      <c r="DO2748" s="406">
        <v>-7.02</v>
      </c>
      <c r="DP2748" s="80">
        <v>249</v>
      </c>
    </row>
    <row r="2749" spans="29:120" x14ac:dyDescent="0.25">
      <c r="AC2749" s="122" t="s">
        <v>236</v>
      </c>
      <c r="AD2749" s="122" t="s">
        <v>3093</v>
      </c>
      <c r="AE2749" s="127">
        <v>2</v>
      </c>
      <c r="DA2749" s="122" t="s">
        <v>348</v>
      </c>
      <c r="DB2749" s="122" t="s">
        <v>7568</v>
      </c>
      <c r="DC2749" s="122" t="s">
        <v>5415</v>
      </c>
      <c r="DD2749" s="127">
        <v>7</v>
      </c>
      <c r="DE2749" s="127">
        <v>7</v>
      </c>
      <c r="DG2749" s="405" t="s">
        <v>348</v>
      </c>
      <c r="DH2749" s="406" t="s">
        <v>5415</v>
      </c>
      <c r="DI2749" s="406" t="str">
        <f t="shared" si="74"/>
        <v>PB, São José de Piranhas</v>
      </c>
      <c r="DJ2749" s="406">
        <v>-7.1210000000000004</v>
      </c>
      <c r="DK2749" s="80">
        <v>-38.502000000000002</v>
      </c>
      <c r="DL2749" s="80">
        <v>342</v>
      </c>
      <c r="DM2749" s="64">
        <v>7</v>
      </c>
      <c r="DN2749" s="406" t="s">
        <v>6414</v>
      </c>
      <c r="DO2749" s="406">
        <v>-6.84</v>
      </c>
      <c r="DP2749" s="80">
        <v>234</v>
      </c>
    </row>
    <row r="2750" spans="29:120" x14ac:dyDescent="0.25">
      <c r="AC2750" s="122" t="s">
        <v>376</v>
      </c>
      <c r="AD2750" s="122" t="s">
        <v>3094</v>
      </c>
      <c r="AE2750" s="127">
        <v>3</v>
      </c>
      <c r="DA2750" s="122" t="s">
        <v>348</v>
      </c>
      <c r="DB2750" s="122" t="s">
        <v>7569</v>
      </c>
      <c r="DC2750" s="122" t="s">
        <v>2220</v>
      </c>
      <c r="DD2750" s="127">
        <v>6</v>
      </c>
      <c r="DE2750" s="127">
        <v>6</v>
      </c>
      <c r="DG2750" s="405" t="s">
        <v>348</v>
      </c>
      <c r="DH2750" s="406" t="s">
        <v>2220</v>
      </c>
      <c r="DI2750" s="406" t="str">
        <f t="shared" si="74"/>
        <v>PB, São José de Princesa</v>
      </c>
      <c r="DJ2750" s="406">
        <v>-7.7380000000000004</v>
      </c>
      <c r="DK2750" s="80">
        <v>-38.094000000000001</v>
      </c>
      <c r="DL2750" s="80">
        <v>720</v>
      </c>
      <c r="DM2750" s="64">
        <v>6</v>
      </c>
      <c r="DN2750" s="406" t="s">
        <v>7509</v>
      </c>
      <c r="DO2750" s="406">
        <v>-7.95</v>
      </c>
      <c r="DP2750" s="80">
        <v>461</v>
      </c>
    </row>
    <row r="2751" spans="29:120" x14ac:dyDescent="0.25">
      <c r="AC2751" s="122" t="s">
        <v>236</v>
      </c>
      <c r="AD2751" s="122" t="s">
        <v>3095</v>
      </c>
      <c r="AE2751" s="127">
        <v>2</v>
      </c>
      <c r="DA2751" s="122" t="s">
        <v>348</v>
      </c>
      <c r="DB2751" s="122" t="s">
        <v>7570</v>
      </c>
      <c r="DC2751" s="122" t="s">
        <v>2097</v>
      </c>
      <c r="DD2751" s="127">
        <v>7</v>
      </c>
      <c r="DE2751" s="127">
        <v>7</v>
      </c>
      <c r="DG2751" s="405" t="s">
        <v>348</v>
      </c>
      <c r="DH2751" s="406" t="s">
        <v>2097</v>
      </c>
      <c r="DI2751" s="406" t="str">
        <f t="shared" si="74"/>
        <v>PB, São José do Bonfim</v>
      </c>
      <c r="DJ2751" s="406">
        <v>-7.1630000000000003</v>
      </c>
      <c r="DK2751" s="80">
        <v>-37.308999999999997</v>
      </c>
      <c r="DL2751" s="80">
        <v>278</v>
      </c>
      <c r="DM2751" s="64">
        <v>7</v>
      </c>
      <c r="DN2751" s="406" t="s">
        <v>7490</v>
      </c>
      <c r="DO2751" s="406">
        <v>-7.02</v>
      </c>
      <c r="DP2751" s="80">
        <v>249</v>
      </c>
    </row>
    <row r="2752" spans="29:120" x14ac:dyDescent="0.25">
      <c r="AC2752" s="122" t="s">
        <v>27</v>
      </c>
      <c r="AD2752" s="122" t="s">
        <v>2261</v>
      </c>
      <c r="AE2752" s="127">
        <v>3</v>
      </c>
      <c r="DA2752" s="122" t="s">
        <v>348</v>
      </c>
      <c r="DB2752" s="122" t="s">
        <v>7571</v>
      </c>
      <c r="DC2752" s="122" t="s">
        <v>5449</v>
      </c>
      <c r="DD2752" s="127">
        <v>7</v>
      </c>
      <c r="DE2752" s="127">
        <v>7</v>
      </c>
      <c r="DG2752" s="405" t="s">
        <v>348</v>
      </c>
      <c r="DH2752" s="406" t="s">
        <v>5449</v>
      </c>
      <c r="DI2752" s="406" t="str">
        <f t="shared" si="74"/>
        <v>PB, São José do Brejo do Cruz</v>
      </c>
      <c r="DJ2752" s="406">
        <v>-6.2130000000000001</v>
      </c>
      <c r="DK2752" s="80">
        <v>-37.351999999999997</v>
      </c>
      <c r="DL2752" s="80">
        <v>147</v>
      </c>
      <c r="DM2752" s="64">
        <v>7</v>
      </c>
      <c r="DN2752" s="406" t="s">
        <v>7506</v>
      </c>
      <c r="DO2752" s="406">
        <v>-6.46</v>
      </c>
      <c r="DP2752" s="80">
        <v>170</v>
      </c>
    </row>
    <row r="2753" spans="29:120" x14ac:dyDescent="0.25">
      <c r="AC2753" s="122" t="s">
        <v>236</v>
      </c>
      <c r="AD2753" s="122" t="s">
        <v>3096</v>
      </c>
      <c r="AE2753" s="127">
        <v>2</v>
      </c>
      <c r="DA2753" s="122" t="s">
        <v>348</v>
      </c>
      <c r="DB2753" s="122" t="s">
        <v>7572</v>
      </c>
      <c r="DC2753" s="122" t="s">
        <v>4551</v>
      </c>
      <c r="DD2753" s="127">
        <v>7</v>
      </c>
      <c r="DE2753" s="127">
        <v>7</v>
      </c>
      <c r="DG2753" s="405" t="s">
        <v>348</v>
      </c>
      <c r="DH2753" s="406" t="s">
        <v>4551</v>
      </c>
      <c r="DI2753" s="406" t="str">
        <f t="shared" si="74"/>
        <v>PB, São José do Sabugi</v>
      </c>
      <c r="DJ2753" s="406">
        <v>-6.7759999999999998</v>
      </c>
      <c r="DK2753" s="80">
        <v>-36.798999999999999</v>
      </c>
      <c r="DL2753" s="80">
        <v>333</v>
      </c>
      <c r="DM2753" s="64">
        <v>7</v>
      </c>
      <c r="DN2753" s="406" t="s">
        <v>7506</v>
      </c>
      <c r="DO2753" s="406">
        <v>-6.46</v>
      </c>
      <c r="DP2753" s="80">
        <v>170</v>
      </c>
    </row>
    <row r="2754" spans="29:120" x14ac:dyDescent="0.25">
      <c r="AC2754" s="122" t="s">
        <v>358</v>
      </c>
      <c r="AD2754" s="122" t="s">
        <v>3097</v>
      </c>
      <c r="AE2754" s="127">
        <v>8</v>
      </c>
      <c r="DA2754" s="122" t="s">
        <v>348</v>
      </c>
      <c r="DB2754" s="122" t="s">
        <v>7573</v>
      </c>
      <c r="DC2754" s="122" t="s">
        <v>2136</v>
      </c>
      <c r="DD2754" s="127">
        <v>8</v>
      </c>
      <c r="DE2754" s="127">
        <v>8</v>
      </c>
      <c r="DG2754" s="405" t="s">
        <v>348</v>
      </c>
      <c r="DH2754" s="406" t="s">
        <v>2136</v>
      </c>
      <c r="DI2754" s="406" t="str">
        <f t="shared" si="74"/>
        <v>PB, São José dos Cordeiros</v>
      </c>
      <c r="DJ2754" s="406">
        <v>-7.391</v>
      </c>
      <c r="DK2754" s="80">
        <v>-36.808</v>
      </c>
      <c r="DL2754" s="80">
        <v>527</v>
      </c>
      <c r="DM2754" s="64">
        <v>8</v>
      </c>
      <c r="DN2754" s="406" t="s">
        <v>7504</v>
      </c>
      <c r="DO2754" s="406">
        <v>-7.48</v>
      </c>
      <c r="DP2754" s="80">
        <v>436</v>
      </c>
    </row>
    <row r="2755" spans="29:120" x14ac:dyDescent="0.25">
      <c r="AC2755" s="122" t="s">
        <v>311</v>
      </c>
      <c r="AD2755" s="122" t="s">
        <v>1018</v>
      </c>
      <c r="AE2755" s="127">
        <v>3</v>
      </c>
      <c r="DA2755" s="122" t="s">
        <v>348</v>
      </c>
      <c r="DB2755" s="122" t="s">
        <v>7574</v>
      </c>
      <c r="DC2755" s="122" t="s">
        <v>5059</v>
      </c>
      <c r="DD2755" s="127">
        <v>8</v>
      </c>
      <c r="DE2755" s="127">
        <v>8</v>
      </c>
      <c r="DG2755" s="405" t="s">
        <v>348</v>
      </c>
      <c r="DH2755" s="406" t="s">
        <v>5059</v>
      </c>
      <c r="DI2755" s="406" t="str">
        <f t="shared" ref="DI2755:DI2818" si="75">CONCATENATE(DG2755,", ",DH2755)</f>
        <v>PB, São José dos Ramos</v>
      </c>
      <c r="DJ2755" s="406">
        <v>-7.2510000000000003</v>
      </c>
      <c r="DK2755" s="80">
        <v>-35.384</v>
      </c>
      <c r="DL2755" s="80">
        <v>140</v>
      </c>
      <c r="DM2755" s="64">
        <v>8</v>
      </c>
      <c r="DN2755" s="406" t="s">
        <v>7492</v>
      </c>
      <c r="DO2755" s="406">
        <v>-6.96</v>
      </c>
      <c r="DP2755" s="80">
        <v>575</v>
      </c>
    </row>
    <row r="2756" spans="29:120" x14ac:dyDescent="0.25">
      <c r="AC2756" s="122" t="s">
        <v>236</v>
      </c>
      <c r="AD2756" s="122" t="s">
        <v>3098</v>
      </c>
      <c r="AE2756" s="127">
        <v>2</v>
      </c>
      <c r="DA2756" s="122" t="s">
        <v>348</v>
      </c>
      <c r="DB2756" s="122" t="s">
        <v>7575</v>
      </c>
      <c r="DC2756" s="122" t="s">
        <v>5168</v>
      </c>
      <c r="DD2756" s="127">
        <v>7</v>
      </c>
      <c r="DE2756" s="127">
        <v>7</v>
      </c>
      <c r="DG2756" s="405" t="s">
        <v>348</v>
      </c>
      <c r="DH2756" s="406" t="s">
        <v>5168</v>
      </c>
      <c r="DI2756" s="406" t="str">
        <f t="shared" si="75"/>
        <v>PB, São Mamede</v>
      </c>
      <c r="DJ2756" s="406">
        <v>-6.9269999999999996</v>
      </c>
      <c r="DK2756" s="80">
        <v>-37.095999999999997</v>
      </c>
      <c r="DL2756" s="80">
        <v>263</v>
      </c>
      <c r="DM2756" s="64">
        <v>7</v>
      </c>
      <c r="DN2756" s="406" t="s">
        <v>7490</v>
      </c>
      <c r="DO2756" s="406">
        <v>-7.02</v>
      </c>
      <c r="DP2756" s="80">
        <v>249</v>
      </c>
    </row>
    <row r="2757" spans="29:120" x14ac:dyDescent="0.25">
      <c r="AC2757" s="122" t="s">
        <v>236</v>
      </c>
      <c r="AD2757" s="122" t="s">
        <v>3099</v>
      </c>
      <c r="AE2757" s="127">
        <v>2</v>
      </c>
      <c r="DA2757" s="122" t="s">
        <v>348</v>
      </c>
      <c r="DB2757" s="122" t="s">
        <v>7576</v>
      </c>
      <c r="DC2757" s="122" t="s">
        <v>5040</v>
      </c>
      <c r="DD2757" s="127">
        <v>8</v>
      </c>
      <c r="DE2757" s="127">
        <v>8</v>
      </c>
      <c r="DG2757" s="405" t="s">
        <v>348</v>
      </c>
      <c r="DH2757" s="406" t="s">
        <v>5040</v>
      </c>
      <c r="DI2757" s="406" t="str">
        <f t="shared" si="75"/>
        <v>PB, São Miguel de Taipu</v>
      </c>
      <c r="DJ2757" s="406">
        <v>-7.25</v>
      </c>
      <c r="DK2757" s="80">
        <v>-35.21</v>
      </c>
      <c r="DL2757" s="80">
        <v>45</v>
      </c>
      <c r="DM2757" s="64">
        <v>8</v>
      </c>
      <c r="DN2757" s="406" t="s">
        <v>7496</v>
      </c>
      <c r="DO2757" s="406">
        <v>-7.11</v>
      </c>
      <c r="DP2757" s="80">
        <v>44</v>
      </c>
    </row>
    <row r="2758" spans="29:120" x14ac:dyDescent="0.25">
      <c r="AC2758" s="122" t="s">
        <v>27</v>
      </c>
      <c r="AD2758" s="122" t="s">
        <v>3100</v>
      </c>
      <c r="AE2758" s="127">
        <v>2</v>
      </c>
      <c r="DA2758" s="122" t="s">
        <v>348</v>
      </c>
      <c r="DB2758" s="122" t="s">
        <v>7577</v>
      </c>
      <c r="DC2758" s="122" t="s">
        <v>2264</v>
      </c>
      <c r="DD2758" s="127">
        <v>8</v>
      </c>
      <c r="DE2758" s="127">
        <v>8</v>
      </c>
      <c r="DG2758" s="405" t="s">
        <v>348</v>
      </c>
      <c r="DH2758" s="406" t="s">
        <v>2264</v>
      </c>
      <c r="DI2758" s="406" t="str">
        <f t="shared" si="75"/>
        <v>PB, São Sebastião de Lagoa de Roça</v>
      </c>
      <c r="DJ2758" s="406">
        <v>-7.0830000000000002</v>
      </c>
      <c r="DK2758" s="80">
        <v>-35.835000000000001</v>
      </c>
      <c r="DL2758" s="80">
        <v>641</v>
      </c>
      <c r="DM2758" s="64">
        <v>8</v>
      </c>
      <c r="DN2758" s="406" t="s">
        <v>7499</v>
      </c>
      <c r="DO2758" s="406">
        <v>-7.23</v>
      </c>
      <c r="DP2758" s="80">
        <v>548</v>
      </c>
    </row>
    <row r="2759" spans="29:120" x14ac:dyDescent="0.25">
      <c r="AC2759" s="122" t="s">
        <v>236</v>
      </c>
      <c r="AD2759" s="122" t="s">
        <v>3101</v>
      </c>
      <c r="AE2759" s="127">
        <v>2</v>
      </c>
      <c r="DA2759" s="122" t="s">
        <v>348</v>
      </c>
      <c r="DB2759" s="122" t="s">
        <v>7578</v>
      </c>
      <c r="DC2759" s="122" t="s">
        <v>2343</v>
      </c>
      <c r="DD2759" s="127">
        <v>7</v>
      </c>
      <c r="DE2759" s="127">
        <v>7</v>
      </c>
      <c r="DG2759" s="405" t="s">
        <v>348</v>
      </c>
      <c r="DH2759" s="406" t="s">
        <v>2343</v>
      </c>
      <c r="DI2759" s="406" t="str">
        <f t="shared" si="75"/>
        <v>PB, São Sebastião do Umbuzeiro</v>
      </c>
      <c r="DJ2759" s="406">
        <v>-8.1519999999999992</v>
      </c>
      <c r="DK2759" s="80">
        <v>-37.01</v>
      </c>
      <c r="DL2759" s="80">
        <v>594</v>
      </c>
      <c r="DM2759" s="64">
        <v>7</v>
      </c>
      <c r="DN2759" s="406" t="s">
        <v>7579</v>
      </c>
      <c r="DO2759" s="406">
        <v>-8.42</v>
      </c>
      <c r="DP2759" s="80">
        <v>681</v>
      </c>
    </row>
    <row r="2760" spans="29:120" x14ac:dyDescent="0.25">
      <c r="AC2760" s="122" t="s">
        <v>358</v>
      </c>
      <c r="AD2760" s="122" t="s">
        <v>3102</v>
      </c>
      <c r="AE2760" s="127">
        <v>5</v>
      </c>
      <c r="DA2760" s="122" t="s">
        <v>348</v>
      </c>
      <c r="DB2760" s="122" t="s">
        <v>5070</v>
      </c>
      <c r="DC2760" s="122" t="s">
        <v>5070</v>
      </c>
      <c r="DD2760" s="127">
        <v>8</v>
      </c>
      <c r="DE2760" s="127">
        <v>8</v>
      </c>
      <c r="DG2760" s="405" t="s">
        <v>348</v>
      </c>
      <c r="DH2760" s="406" t="s">
        <v>5070</v>
      </c>
      <c r="DI2760" s="406" t="str">
        <f t="shared" si="75"/>
        <v>PB, Sapé</v>
      </c>
      <c r="DJ2760" s="406">
        <v>-7.0949999999999998</v>
      </c>
      <c r="DK2760" s="80">
        <v>-35.232999999999997</v>
      </c>
      <c r="DL2760" s="80">
        <v>123</v>
      </c>
      <c r="DM2760" s="64">
        <v>8</v>
      </c>
      <c r="DN2760" s="406" t="s">
        <v>7496</v>
      </c>
      <c r="DO2760" s="406">
        <v>-7.11</v>
      </c>
      <c r="DP2760" s="80">
        <v>44</v>
      </c>
    </row>
    <row r="2761" spans="29:120" x14ac:dyDescent="0.25">
      <c r="AC2761" s="122" t="s">
        <v>311</v>
      </c>
      <c r="AD2761" s="122" t="s">
        <v>3103</v>
      </c>
      <c r="AE2761" s="127">
        <v>3</v>
      </c>
      <c r="DA2761" s="122" t="s">
        <v>348</v>
      </c>
      <c r="DB2761" s="122" t="s">
        <v>2694</v>
      </c>
      <c r="DC2761" s="122" t="s">
        <v>2694</v>
      </c>
      <c r="DD2761" s="127">
        <v>8</v>
      </c>
      <c r="DE2761" s="127">
        <v>8</v>
      </c>
      <c r="DG2761" s="405" t="s">
        <v>348</v>
      </c>
      <c r="DH2761" s="406" t="s">
        <v>2694</v>
      </c>
      <c r="DI2761" s="406" t="str">
        <f t="shared" si="75"/>
        <v>PB, Seridó</v>
      </c>
      <c r="DJ2761" s="406">
        <v>-6.9340000000000002</v>
      </c>
      <c r="DK2761" s="80">
        <v>-36.402000000000001</v>
      </c>
      <c r="DL2761" s="80">
        <v>631</v>
      </c>
      <c r="DM2761" s="64">
        <v>8</v>
      </c>
      <c r="DN2761" s="406" t="s">
        <v>7504</v>
      </c>
      <c r="DO2761" s="406">
        <v>-7.48</v>
      </c>
      <c r="DP2761" s="80">
        <v>436</v>
      </c>
    </row>
    <row r="2762" spans="29:120" x14ac:dyDescent="0.25">
      <c r="AC2762" s="122" t="s">
        <v>358</v>
      </c>
      <c r="AD2762" s="122" t="s">
        <v>3104</v>
      </c>
      <c r="AE2762" s="127">
        <v>3</v>
      </c>
      <c r="DA2762" s="122" t="s">
        <v>348</v>
      </c>
      <c r="DB2762" s="122" t="s">
        <v>7580</v>
      </c>
      <c r="DC2762" s="122" t="s">
        <v>2207</v>
      </c>
      <c r="DD2762" s="127">
        <v>8</v>
      </c>
      <c r="DE2762" s="127">
        <v>8</v>
      </c>
      <c r="DG2762" s="405" t="s">
        <v>348</v>
      </c>
      <c r="DH2762" s="406" t="s">
        <v>2207</v>
      </c>
      <c r="DI2762" s="406" t="str">
        <f t="shared" si="75"/>
        <v>PB, Serra Branca</v>
      </c>
      <c r="DJ2762" s="406">
        <v>-7.4829999999999997</v>
      </c>
      <c r="DK2762" s="80">
        <v>-36.664999999999999</v>
      </c>
      <c r="DL2762" s="80">
        <v>493</v>
      </c>
      <c r="DM2762" s="64">
        <v>8</v>
      </c>
      <c r="DN2762" s="406" t="s">
        <v>7504</v>
      </c>
      <c r="DO2762" s="406">
        <v>-7.48</v>
      </c>
      <c r="DP2762" s="80">
        <v>436</v>
      </c>
    </row>
    <row r="2763" spans="29:120" x14ac:dyDescent="0.25">
      <c r="AC2763" s="122" t="s">
        <v>311</v>
      </c>
      <c r="AD2763" s="122" t="s">
        <v>3105</v>
      </c>
      <c r="AE2763" s="127">
        <v>3</v>
      </c>
      <c r="DA2763" s="122" t="s">
        <v>348</v>
      </c>
      <c r="DB2763" s="122" t="s">
        <v>7581</v>
      </c>
      <c r="DC2763" s="122" t="s">
        <v>2142</v>
      </c>
      <c r="DD2763" s="127">
        <v>8</v>
      </c>
      <c r="DE2763" s="127">
        <v>8</v>
      </c>
      <c r="DG2763" s="405" t="s">
        <v>348</v>
      </c>
      <c r="DH2763" s="406" t="s">
        <v>2142</v>
      </c>
      <c r="DI2763" s="406" t="str">
        <f t="shared" si="75"/>
        <v>PB, Serra da Raiz</v>
      </c>
      <c r="DJ2763" s="406">
        <v>-6.6870000000000003</v>
      </c>
      <c r="DK2763" s="80">
        <v>-35.444000000000003</v>
      </c>
      <c r="DL2763" s="80">
        <v>331</v>
      </c>
      <c r="DM2763" s="64">
        <v>8</v>
      </c>
      <c r="DN2763" s="406" t="s">
        <v>7492</v>
      </c>
      <c r="DO2763" s="406">
        <v>-6.96</v>
      </c>
      <c r="DP2763" s="80">
        <v>575</v>
      </c>
    </row>
    <row r="2764" spans="29:120" x14ac:dyDescent="0.25">
      <c r="AC2764" s="122" t="s">
        <v>236</v>
      </c>
      <c r="AD2764" s="122" t="s">
        <v>3106</v>
      </c>
      <c r="AE2764" s="127">
        <v>2</v>
      </c>
      <c r="DA2764" s="122" t="s">
        <v>348</v>
      </c>
      <c r="DB2764" s="122" t="s">
        <v>7582</v>
      </c>
      <c r="DC2764" s="122" t="s">
        <v>2368</v>
      </c>
      <c r="DD2764" s="127">
        <v>7</v>
      </c>
      <c r="DE2764" s="127">
        <v>7</v>
      </c>
      <c r="DG2764" s="405" t="s">
        <v>348</v>
      </c>
      <c r="DH2764" s="406" t="s">
        <v>2368</v>
      </c>
      <c r="DI2764" s="406" t="str">
        <f t="shared" si="75"/>
        <v>PB, Serra Grande</v>
      </c>
      <c r="DJ2764" s="406">
        <v>-7.2149999999999999</v>
      </c>
      <c r="DK2764" s="80">
        <v>-38.369999999999997</v>
      </c>
      <c r="DL2764" s="80">
        <v>593</v>
      </c>
      <c r="DM2764" s="64">
        <v>7</v>
      </c>
      <c r="DN2764" s="406" t="s">
        <v>6414</v>
      </c>
      <c r="DO2764" s="406">
        <v>-6.84</v>
      </c>
      <c r="DP2764" s="80">
        <v>234</v>
      </c>
    </row>
    <row r="2765" spans="29:120" x14ac:dyDescent="0.25">
      <c r="AC2765" s="122" t="s">
        <v>376</v>
      </c>
      <c r="AD2765" s="122" t="s">
        <v>3107</v>
      </c>
      <c r="AE2765" s="127">
        <v>5</v>
      </c>
      <c r="DA2765" s="122" t="s">
        <v>348</v>
      </c>
      <c r="DB2765" s="122" t="s">
        <v>7583</v>
      </c>
      <c r="DC2765" s="122" t="s">
        <v>2239</v>
      </c>
      <c r="DD2765" s="127">
        <v>8</v>
      </c>
      <c r="DE2765" s="127">
        <v>8</v>
      </c>
      <c r="DG2765" s="405" t="s">
        <v>348</v>
      </c>
      <c r="DH2765" s="406" t="s">
        <v>2239</v>
      </c>
      <c r="DI2765" s="406" t="str">
        <f t="shared" si="75"/>
        <v>PB, Serra Redonda</v>
      </c>
      <c r="DJ2765" s="406">
        <v>-7.1779999999999999</v>
      </c>
      <c r="DK2765" s="80">
        <v>-35.674999999999997</v>
      </c>
      <c r="DL2765" s="80">
        <v>391</v>
      </c>
      <c r="DM2765" s="64">
        <v>8</v>
      </c>
      <c r="DN2765" s="406" t="s">
        <v>7499</v>
      </c>
      <c r="DO2765" s="406">
        <v>-7.23</v>
      </c>
      <c r="DP2765" s="80">
        <v>548</v>
      </c>
    </row>
    <row r="2766" spans="29:120" x14ac:dyDescent="0.25">
      <c r="AC2766" s="122" t="s">
        <v>358</v>
      </c>
      <c r="AD2766" s="122" t="s">
        <v>3108</v>
      </c>
      <c r="AE2766" s="127">
        <v>3</v>
      </c>
      <c r="DA2766" s="122" t="s">
        <v>348</v>
      </c>
      <c r="DB2766" s="122" t="s">
        <v>2190</v>
      </c>
      <c r="DC2766" s="122" t="s">
        <v>2190</v>
      </c>
      <c r="DD2766" s="127">
        <v>8</v>
      </c>
      <c r="DE2766" s="127">
        <v>8</v>
      </c>
      <c r="DG2766" s="405" t="s">
        <v>348</v>
      </c>
      <c r="DH2766" s="406" t="s">
        <v>2190</v>
      </c>
      <c r="DI2766" s="406" t="str">
        <f t="shared" si="75"/>
        <v>PB, Serraria</v>
      </c>
      <c r="DJ2766" s="406">
        <v>-6.82</v>
      </c>
      <c r="DK2766" s="80">
        <v>-35.633000000000003</v>
      </c>
      <c r="DL2766" s="80">
        <v>533</v>
      </c>
      <c r="DM2766" s="64">
        <v>8</v>
      </c>
      <c r="DN2766" s="406" t="s">
        <v>7492</v>
      </c>
      <c r="DO2766" s="406">
        <v>-6.96</v>
      </c>
      <c r="DP2766" s="80">
        <v>575</v>
      </c>
    </row>
    <row r="2767" spans="29:120" x14ac:dyDescent="0.25">
      <c r="AC2767" s="122" t="s">
        <v>358</v>
      </c>
      <c r="AD2767" s="122" t="s">
        <v>3109</v>
      </c>
      <c r="AE2767" s="127">
        <v>3</v>
      </c>
      <c r="DA2767" s="122" t="s">
        <v>348</v>
      </c>
      <c r="DB2767" s="122" t="s">
        <v>3809</v>
      </c>
      <c r="DC2767" s="122" t="s">
        <v>3809</v>
      </c>
      <c r="DD2767" s="127">
        <v>8</v>
      </c>
      <c r="DE2767" s="127">
        <v>8</v>
      </c>
      <c r="DG2767" s="405" t="s">
        <v>348</v>
      </c>
      <c r="DH2767" s="406" t="s">
        <v>3809</v>
      </c>
      <c r="DI2767" s="406" t="str">
        <f t="shared" si="75"/>
        <v>PB, Sertãozinho</v>
      </c>
      <c r="DJ2767" s="406">
        <v>-6.7510000000000003</v>
      </c>
      <c r="DK2767" s="80">
        <v>-35.442</v>
      </c>
      <c r="DL2767" s="80">
        <v>135</v>
      </c>
      <c r="DM2767" s="64">
        <v>8</v>
      </c>
      <c r="DN2767" s="406" t="s">
        <v>7492</v>
      </c>
      <c r="DO2767" s="406">
        <v>-6.96</v>
      </c>
      <c r="DP2767" s="80">
        <v>575</v>
      </c>
    </row>
    <row r="2768" spans="29:120" x14ac:dyDescent="0.25">
      <c r="AC2768" s="122" t="s">
        <v>311</v>
      </c>
      <c r="AD2768" s="122" t="s">
        <v>3110</v>
      </c>
      <c r="AE2768" s="127">
        <v>2</v>
      </c>
      <c r="DA2768" s="122" t="s">
        <v>348</v>
      </c>
      <c r="DB2768" s="122" t="s">
        <v>5058</v>
      </c>
      <c r="DC2768" s="122" t="s">
        <v>5058</v>
      </c>
      <c r="DD2768" s="127">
        <v>8</v>
      </c>
      <c r="DE2768" s="127">
        <v>8</v>
      </c>
      <c r="DG2768" s="405" t="s">
        <v>348</v>
      </c>
      <c r="DH2768" s="406" t="s">
        <v>5058</v>
      </c>
      <c r="DI2768" s="406" t="str">
        <f t="shared" si="75"/>
        <v>PB, Sobrado</v>
      </c>
      <c r="DJ2768" s="406">
        <v>-7.1440000000000001</v>
      </c>
      <c r="DK2768" s="80">
        <v>-35.238999999999997</v>
      </c>
      <c r="DL2768" s="80">
        <v>82</v>
      </c>
      <c r="DM2768" s="64">
        <v>8</v>
      </c>
      <c r="DN2768" s="406" t="s">
        <v>7496</v>
      </c>
      <c r="DO2768" s="406">
        <v>-7.11</v>
      </c>
      <c r="DP2768" s="80">
        <v>44</v>
      </c>
    </row>
    <row r="2769" spans="29:120" x14ac:dyDescent="0.25">
      <c r="AC2769" s="122" t="s">
        <v>236</v>
      </c>
      <c r="AD2769" s="122" t="s">
        <v>3111</v>
      </c>
      <c r="AE2769" s="127">
        <v>2</v>
      </c>
      <c r="DA2769" s="122" t="s">
        <v>348</v>
      </c>
      <c r="DB2769" s="122" t="s">
        <v>2249</v>
      </c>
      <c r="DC2769" s="122" t="s">
        <v>2249</v>
      </c>
      <c r="DD2769" s="127">
        <v>8</v>
      </c>
      <c r="DE2769" s="127">
        <v>8</v>
      </c>
      <c r="DG2769" s="405" t="s">
        <v>348</v>
      </c>
      <c r="DH2769" s="406" t="s">
        <v>2249</v>
      </c>
      <c r="DI2769" s="406" t="str">
        <f t="shared" si="75"/>
        <v>PB, Solânea</v>
      </c>
      <c r="DJ2769" s="406">
        <v>-6.7779999999999996</v>
      </c>
      <c r="DK2769" s="80">
        <v>-35.697000000000003</v>
      </c>
      <c r="DL2769" s="80">
        <v>626</v>
      </c>
      <c r="DM2769" s="64">
        <v>8</v>
      </c>
      <c r="DN2769" s="406" t="s">
        <v>7492</v>
      </c>
      <c r="DO2769" s="406">
        <v>-6.96</v>
      </c>
      <c r="DP2769" s="80">
        <v>575</v>
      </c>
    </row>
    <row r="2770" spans="29:120" x14ac:dyDescent="0.25">
      <c r="AC2770" s="122" t="s">
        <v>311</v>
      </c>
      <c r="AD2770" s="122" t="s">
        <v>3112</v>
      </c>
      <c r="AE2770" s="127">
        <v>2</v>
      </c>
      <c r="DA2770" s="122" t="s">
        <v>348</v>
      </c>
      <c r="DB2770" s="122" t="s">
        <v>1337</v>
      </c>
      <c r="DC2770" s="122" t="s">
        <v>1337</v>
      </c>
      <c r="DD2770" s="127">
        <v>8</v>
      </c>
      <c r="DE2770" s="127">
        <v>8</v>
      </c>
      <c r="DG2770" s="405" t="s">
        <v>348</v>
      </c>
      <c r="DH2770" s="406" t="s">
        <v>1337</v>
      </c>
      <c r="DI2770" s="406" t="str">
        <f t="shared" si="75"/>
        <v>PB, Soledade</v>
      </c>
      <c r="DJ2770" s="406">
        <v>-7.0570000000000004</v>
      </c>
      <c r="DK2770" s="80">
        <v>-36.363</v>
      </c>
      <c r="DL2770" s="80">
        <v>521</v>
      </c>
      <c r="DM2770" s="64">
        <v>8</v>
      </c>
      <c r="DN2770" s="406" t="s">
        <v>7504</v>
      </c>
      <c r="DO2770" s="406">
        <v>-7.48</v>
      </c>
      <c r="DP2770" s="80">
        <v>436</v>
      </c>
    </row>
    <row r="2771" spans="29:120" x14ac:dyDescent="0.25">
      <c r="AC2771" s="122" t="s">
        <v>236</v>
      </c>
      <c r="AD2771" s="122" t="s">
        <v>3113</v>
      </c>
      <c r="AE2771" s="127">
        <v>2</v>
      </c>
      <c r="DA2771" s="122" t="s">
        <v>348</v>
      </c>
      <c r="DB2771" s="122" t="s">
        <v>2301</v>
      </c>
      <c r="DC2771" s="122" t="s">
        <v>2301</v>
      </c>
      <c r="DD2771" s="127">
        <v>8</v>
      </c>
      <c r="DE2771" s="127">
        <v>8</v>
      </c>
      <c r="DG2771" s="405" t="s">
        <v>348</v>
      </c>
      <c r="DH2771" s="406" t="s">
        <v>5769</v>
      </c>
      <c r="DI2771" s="406" t="str">
        <f t="shared" si="75"/>
        <v>PB, Sossêgo</v>
      </c>
      <c r="DJ2771" s="406">
        <v>-6.7690000000000001</v>
      </c>
      <c r="DK2771" s="80">
        <v>-36.253999999999998</v>
      </c>
      <c r="DL2771" s="80">
        <v>580</v>
      </c>
      <c r="DM2771" s="64">
        <v>8</v>
      </c>
      <c r="DN2771" s="406" t="s">
        <v>7492</v>
      </c>
      <c r="DO2771" s="406">
        <v>-6.96</v>
      </c>
      <c r="DP2771" s="80">
        <v>575</v>
      </c>
    </row>
    <row r="2772" spans="29:120" x14ac:dyDescent="0.25">
      <c r="AC2772" s="122" t="s">
        <v>236</v>
      </c>
      <c r="AD2772" s="122" t="s">
        <v>3114</v>
      </c>
      <c r="AE2772" s="127">
        <v>2</v>
      </c>
      <c r="DA2772" s="122" t="s">
        <v>348</v>
      </c>
      <c r="DB2772" s="122" t="s">
        <v>4627</v>
      </c>
      <c r="DC2772" s="122" t="s">
        <v>4627</v>
      </c>
      <c r="DD2772" s="127">
        <v>7</v>
      </c>
      <c r="DE2772" s="127">
        <v>7</v>
      </c>
      <c r="DG2772" s="405" t="s">
        <v>348</v>
      </c>
      <c r="DH2772" s="406" t="s">
        <v>4627</v>
      </c>
      <c r="DI2772" s="406" t="str">
        <f t="shared" si="75"/>
        <v>PB, Sousa</v>
      </c>
      <c r="DJ2772" s="406">
        <v>-6.7610000000000001</v>
      </c>
      <c r="DK2772" s="80">
        <v>-38.231000000000002</v>
      </c>
      <c r="DL2772" s="80">
        <v>220</v>
      </c>
      <c r="DM2772" s="64">
        <v>7</v>
      </c>
      <c r="DN2772" s="406" t="s">
        <v>6414</v>
      </c>
      <c r="DO2772" s="406">
        <v>-6.84</v>
      </c>
      <c r="DP2772" s="80">
        <v>234</v>
      </c>
    </row>
    <row r="2773" spans="29:120" x14ac:dyDescent="0.25">
      <c r="AC2773" s="122" t="s">
        <v>317</v>
      </c>
      <c r="AD2773" s="122" t="s">
        <v>3115</v>
      </c>
      <c r="AE2773" s="127">
        <v>8</v>
      </c>
      <c r="DA2773" s="122" t="s">
        <v>348</v>
      </c>
      <c r="DB2773" s="122" t="s">
        <v>2309</v>
      </c>
      <c r="DC2773" s="122" t="s">
        <v>2309</v>
      </c>
      <c r="DD2773" s="127">
        <v>8</v>
      </c>
      <c r="DE2773" s="127">
        <v>8</v>
      </c>
      <c r="DG2773" s="405" t="s">
        <v>348</v>
      </c>
      <c r="DH2773" s="406" t="s">
        <v>2309</v>
      </c>
      <c r="DI2773" s="406" t="str">
        <f t="shared" si="75"/>
        <v>PB, Sumé</v>
      </c>
      <c r="DJ2773" s="406">
        <v>-7.6719999999999997</v>
      </c>
      <c r="DK2773" s="80">
        <v>-36.880000000000003</v>
      </c>
      <c r="DL2773" s="80">
        <v>532</v>
      </c>
      <c r="DM2773" s="64">
        <v>8</v>
      </c>
      <c r="DN2773" s="406" t="s">
        <v>7497</v>
      </c>
      <c r="DO2773" s="406">
        <v>-7.89</v>
      </c>
      <c r="DP2773" s="80">
        <v>604</v>
      </c>
    </row>
    <row r="2774" spans="29:120" x14ac:dyDescent="0.25">
      <c r="AC2774" s="122" t="s">
        <v>358</v>
      </c>
      <c r="AD2774" s="122" t="s">
        <v>3116</v>
      </c>
      <c r="AE2774" s="127">
        <v>3</v>
      </c>
      <c r="DA2774" s="122" t="s">
        <v>348</v>
      </c>
      <c r="DB2774" s="122" t="s">
        <v>2067</v>
      </c>
      <c r="DC2774" s="122" t="s">
        <v>2067</v>
      </c>
      <c r="DD2774" s="127">
        <v>8</v>
      </c>
      <c r="DE2774" s="127">
        <v>8</v>
      </c>
      <c r="DG2774" s="405" t="s">
        <v>348</v>
      </c>
      <c r="DH2774" s="406" t="s">
        <v>2067</v>
      </c>
      <c r="DI2774" s="406" t="str">
        <f t="shared" si="75"/>
        <v>PB, Taperoá</v>
      </c>
      <c r="DJ2774" s="406">
        <v>-7.2069999999999999</v>
      </c>
      <c r="DK2774" s="80">
        <v>-36.826999999999998</v>
      </c>
      <c r="DL2774" s="80">
        <v>532</v>
      </c>
      <c r="DM2774" s="64">
        <v>8</v>
      </c>
      <c r="DN2774" s="406" t="s">
        <v>7490</v>
      </c>
      <c r="DO2774" s="406">
        <v>-7.02</v>
      </c>
      <c r="DP2774" s="80">
        <v>249</v>
      </c>
    </row>
    <row r="2775" spans="29:120" x14ac:dyDescent="0.25">
      <c r="AC2775" s="122" t="s">
        <v>236</v>
      </c>
      <c r="AD2775" s="122" t="s">
        <v>3117</v>
      </c>
      <c r="AE2775" s="127">
        <v>2</v>
      </c>
      <c r="DA2775" s="122" t="s">
        <v>348</v>
      </c>
      <c r="DB2775" s="122" t="s">
        <v>1273</v>
      </c>
      <c r="DC2775" s="122" t="s">
        <v>1273</v>
      </c>
      <c r="DD2775" s="127">
        <v>6</v>
      </c>
      <c r="DE2775" s="127">
        <v>6</v>
      </c>
      <c r="DG2775" s="405" t="s">
        <v>348</v>
      </c>
      <c r="DH2775" s="406" t="s">
        <v>1273</v>
      </c>
      <c r="DI2775" s="406" t="str">
        <f t="shared" si="75"/>
        <v>PB, Tavares</v>
      </c>
      <c r="DJ2775" s="406">
        <v>-7.6360000000000001</v>
      </c>
      <c r="DK2775" s="80">
        <v>-37.878</v>
      </c>
      <c r="DL2775" s="80">
        <v>724</v>
      </c>
      <c r="DM2775" s="64">
        <v>6</v>
      </c>
      <c r="DN2775" s="406" t="s">
        <v>7509</v>
      </c>
      <c r="DO2775" s="406">
        <v>-7.95</v>
      </c>
      <c r="DP2775" s="80">
        <v>461</v>
      </c>
    </row>
    <row r="2776" spans="29:120" x14ac:dyDescent="0.25">
      <c r="AC2776" s="122" t="s">
        <v>236</v>
      </c>
      <c r="AD2776" s="122" t="s">
        <v>3118</v>
      </c>
      <c r="AE2776" s="127">
        <v>2</v>
      </c>
      <c r="DA2776" s="122" t="s">
        <v>348</v>
      </c>
      <c r="DB2776" s="122" t="s">
        <v>2000</v>
      </c>
      <c r="DC2776" s="122" t="s">
        <v>2000</v>
      </c>
      <c r="DD2776" s="127">
        <v>7</v>
      </c>
      <c r="DE2776" s="127">
        <v>7</v>
      </c>
      <c r="DG2776" s="405" t="s">
        <v>348</v>
      </c>
      <c r="DH2776" s="406" t="s">
        <v>2000</v>
      </c>
      <c r="DI2776" s="406" t="str">
        <f t="shared" si="75"/>
        <v>PB, Teixeira</v>
      </c>
      <c r="DJ2776" s="406">
        <v>-7.2229999999999999</v>
      </c>
      <c r="DK2776" s="80">
        <v>-37.253999999999998</v>
      </c>
      <c r="DL2776" s="80">
        <v>768</v>
      </c>
      <c r="DM2776" s="64">
        <v>7</v>
      </c>
      <c r="DN2776" s="406" t="s">
        <v>7490</v>
      </c>
      <c r="DO2776" s="406">
        <v>-7.02</v>
      </c>
      <c r="DP2776" s="80">
        <v>249</v>
      </c>
    </row>
    <row r="2777" spans="29:120" x14ac:dyDescent="0.25">
      <c r="AC2777" s="122" t="s">
        <v>376</v>
      </c>
      <c r="AD2777" s="122" t="s">
        <v>1284</v>
      </c>
      <c r="AE2777" s="127">
        <v>3</v>
      </c>
      <c r="DA2777" s="122" t="s">
        <v>348</v>
      </c>
      <c r="DB2777" s="122" t="s">
        <v>2140</v>
      </c>
      <c r="DC2777" s="122" t="s">
        <v>2140</v>
      </c>
      <c r="DD2777" s="127">
        <v>8</v>
      </c>
      <c r="DE2777" s="127">
        <v>8</v>
      </c>
      <c r="DG2777" s="405" t="s">
        <v>348</v>
      </c>
      <c r="DH2777" s="406" t="s">
        <v>2140</v>
      </c>
      <c r="DI2777" s="406" t="str">
        <f t="shared" si="75"/>
        <v>PB, Tenório</v>
      </c>
      <c r="DJ2777" s="406">
        <v>-6.9420000000000002</v>
      </c>
      <c r="DK2777" s="80">
        <v>-36.628999999999998</v>
      </c>
      <c r="DL2777" s="80">
        <v>610</v>
      </c>
      <c r="DM2777" s="64">
        <v>8</v>
      </c>
      <c r="DN2777" s="406" t="s">
        <v>7504</v>
      </c>
      <c r="DO2777" s="406">
        <v>-7.48</v>
      </c>
      <c r="DP2777" s="80">
        <v>436</v>
      </c>
    </row>
    <row r="2778" spans="29:120" x14ac:dyDescent="0.25">
      <c r="AC2778" s="122" t="s">
        <v>358</v>
      </c>
      <c r="AD2778" s="122" t="s">
        <v>3119</v>
      </c>
      <c r="AE2778" s="127">
        <v>5</v>
      </c>
      <c r="DA2778" s="122" t="s">
        <v>348</v>
      </c>
      <c r="DB2778" s="122" t="s">
        <v>1444</v>
      </c>
      <c r="DC2778" s="122" t="s">
        <v>1444</v>
      </c>
      <c r="DD2778" s="127">
        <v>7</v>
      </c>
      <c r="DE2778" s="127">
        <v>7</v>
      </c>
      <c r="DG2778" s="405" t="s">
        <v>348</v>
      </c>
      <c r="DH2778" s="406" t="s">
        <v>1444</v>
      </c>
      <c r="DI2778" s="406" t="str">
        <f t="shared" si="75"/>
        <v>PB, Triunfo</v>
      </c>
      <c r="DJ2778" s="406">
        <v>-6.5789999999999997</v>
      </c>
      <c r="DK2778" s="80">
        <v>-38.597000000000001</v>
      </c>
      <c r="DL2778" s="80">
        <v>1004</v>
      </c>
      <c r="DM2778" s="64">
        <v>7</v>
      </c>
      <c r="DN2778" s="406" t="s">
        <v>6414</v>
      </c>
      <c r="DO2778" s="406">
        <v>-6.84</v>
      </c>
      <c r="DP2778" s="80">
        <v>234</v>
      </c>
    </row>
    <row r="2779" spans="29:120" x14ac:dyDescent="0.25">
      <c r="AC2779" s="122" t="s">
        <v>311</v>
      </c>
      <c r="AD2779" s="122" t="s">
        <v>3120</v>
      </c>
      <c r="AE2779" s="127">
        <v>5</v>
      </c>
      <c r="DA2779" s="122" t="s">
        <v>348</v>
      </c>
      <c r="DB2779" s="122" t="s">
        <v>4521</v>
      </c>
      <c r="DC2779" s="122" t="s">
        <v>4521</v>
      </c>
      <c r="DD2779" s="127">
        <v>7</v>
      </c>
      <c r="DE2779" s="127">
        <v>7</v>
      </c>
      <c r="DG2779" s="405" t="s">
        <v>348</v>
      </c>
      <c r="DH2779" s="406" t="s">
        <v>4521</v>
      </c>
      <c r="DI2779" s="406" t="str">
        <f t="shared" si="75"/>
        <v>PB, Uiraúna</v>
      </c>
      <c r="DJ2779" s="406">
        <v>-6.5179999999999998</v>
      </c>
      <c r="DK2779" s="80">
        <v>-38.411999999999999</v>
      </c>
      <c r="DL2779" s="80">
        <v>301</v>
      </c>
      <c r="DM2779" s="64">
        <v>7</v>
      </c>
      <c r="DN2779" s="406" t="s">
        <v>6414</v>
      </c>
      <c r="DO2779" s="406">
        <v>-6.84</v>
      </c>
      <c r="DP2779" s="80">
        <v>234</v>
      </c>
    </row>
    <row r="2780" spans="29:120" x14ac:dyDescent="0.25">
      <c r="AC2780" s="122" t="s">
        <v>236</v>
      </c>
      <c r="AD2780" s="122" t="s">
        <v>3121</v>
      </c>
      <c r="AE2780" s="127">
        <v>2</v>
      </c>
      <c r="DA2780" s="122" t="s">
        <v>348</v>
      </c>
      <c r="DB2780" s="122" t="s">
        <v>2961</v>
      </c>
      <c r="DC2780" s="122" t="s">
        <v>2961</v>
      </c>
      <c r="DD2780" s="127">
        <v>8</v>
      </c>
      <c r="DE2780" s="127">
        <v>8</v>
      </c>
      <c r="DG2780" s="405" t="s">
        <v>348</v>
      </c>
      <c r="DH2780" s="406" t="s">
        <v>2961</v>
      </c>
      <c r="DI2780" s="406" t="str">
        <f t="shared" si="75"/>
        <v>PB, Umbuzeiro</v>
      </c>
      <c r="DJ2780" s="406">
        <v>-7.6959999999999997</v>
      </c>
      <c r="DK2780" s="80">
        <v>-35.664000000000001</v>
      </c>
      <c r="DL2780" s="80">
        <v>541</v>
      </c>
      <c r="DM2780" s="64">
        <v>8</v>
      </c>
      <c r="DN2780" s="406" t="s">
        <v>7494</v>
      </c>
      <c r="DO2780" s="406">
        <v>-7.84</v>
      </c>
      <c r="DP2780" s="80">
        <v>418</v>
      </c>
    </row>
    <row r="2781" spans="29:120" x14ac:dyDescent="0.25">
      <c r="AC2781" s="122" t="s">
        <v>336</v>
      </c>
      <c r="AD2781" s="122" t="s">
        <v>3122</v>
      </c>
      <c r="AE2781" s="127">
        <v>3</v>
      </c>
      <c r="DA2781" s="122" t="s">
        <v>348</v>
      </c>
      <c r="DB2781" s="122" t="s">
        <v>4534</v>
      </c>
      <c r="DC2781" s="122" t="s">
        <v>4534</v>
      </c>
      <c r="DD2781" s="127">
        <v>7</v>
      </c>
      <c r="DE2781" s="127">
        <v>7</v>
      </c>
      <c r="DG2781" s="405" t="s">
        <v>348</v>
      </c>
      <c r="DH2781" s="406" t="s">
        <v>4534</v>
      </c>
      <c r="DI2781" s="406" t="str">
        <f t="shared" si="75"/>
        <v>PB, Várzea</v>
      </c>
      <c r="DJ2781" s="406">
        <v>-6.7720000000000002</v>
      </c>
      <c r="DK2781" s="80">
        <v>-36.991999999999997</v>
      </c>
      <c r="DL2781" s="80">
        <v>265</v>
      </c>
      <c r="DM2781" s="64">
        <v>7</v>
      </c>
      <c r="DN2781" s="406" t="s">
        <v>7506</v>
      </c>
      <c r="DO2781" s="406">
        <v>-6.46</v>
      </c>
      <c r="DP2781" s="80">
        <v>170</v>
      </c>
    </row>
    <row r="2782" spans="29:120" x14ac:dyDescent="0.25">
      <c r="AC2782" s="122" t="s">
        <v>336</v>
      </c>
      <c r="AD2782" s="122" t="s">
        <v>3123</v>
      </c>
      <c r="AE2782" s="127">
        <v>3</v>
      </c>
      <c r="DA2782" s="122" t="s">
        <v>348</v>
      </c>
      <c r="DB2782" s="122" t="s">
        <v>4547</v>
      </c>
      <c r="DC2782" s="122" t="s">
        <v>4547</v>
      </c>
      <c r="DD2782" s="127">
        <v>7</v>
      </c>
      <c r="DE2782" s="127">
        <v>7</v>
      </c>
      <c r="DG2782" s="405" t="s">
        <v>348</v>
      </c>
      <c r="DH2782" s="406" t="s">
        <v>4547</v>
      </c>
      <c r="DI2782" s="406" t="str">
        <f t="shared" si="75"/>
        <v>PB, Vieirópolis</v>
      </c>
      <c r="DJ2782" s="406">
        <v>-6.5069999999999997</v>
      </c>
      <c r="DK2782" s="80">
        <v>-38.256</v>
      </c>
      <c r="DL2782" s="80">
        <v>414</v>
      </c>
      <c r="DM2782" s="64">
        <v>7</v>
      </c>
      <c r="DN2782" s="406" t="s">
        <v>6414</v>
      </c>
      <c r="DO2782" s="406">
        <v>-6.84</v>
      </c>
      <c r="DP2782" s="80">
        <v>234</v>
      </c>
    </row>
    <row r="2783" spans="29:120" x14ac:dyDescent="0.25">
      <c r="AC2783" s="122" t="s">
        <v>311</v>
      </c>
      <c r="AD2783" s="122" t="s">
        <v>3124</v>
      </c>
      <c r="AE2783" s="127">
        <v>3</v>
      </c>
      <c r="DA2783" s="122" t="s">
        <v>348</v>
      </c>
      <c r="DB2783" s="122" t="s">
        <v>7584</v>
      </c>
      <c r="DC2783" s="122" t="s">
        <v>4528</v>
      </c>
      <c r="DD2783" s="127">
        <v>7</v>
      </c>
      <c r="DE2783" s="127">
        <v>7</v>
      </c>
      <c r="DG2783" s="405" t="s">
        <v>348</v>
      </c>
      <c r="DH2783" s="406" t="s">
        <v>4528</v>
      </c>
      <c r="DI2783" s="406" t="str">
        <f t="shared" si="75"/>
        <v>PB, Vista Serrana</v>
      </c>
      <c r="DJ2783" s="406">
        <v>-6.7380000000000004</v>
      </c>
      <c r="DK2783" s="80">
        <v>-37.567</v>
      </c>
      <c r="DL2783" s="80">
        <v>240</v>
      </c>
      <c r="DM2783" s="64">
        <v>7</v>
      </c>
      <c r="DN2783" s="406" t="s">
        <v>7490</v>
      </c>
      <c r="DO2783" s="406">
        <v>-7.02</v>
      </c>
      <c r="DP2783" s="80">
        <v>249</v>
      </c>
    </row>
    <row r="2784" spans="29:120" x14ac:dyDescent="0.25">
      <c r="AC2784" s="122" t="s">
        <v>27</v>
      </c>
      <c r="AD2784" s="122" t="s">
        <v>3125</v>
      </c>
      <c r="AE2784" s="127">
        <v>3</v>
      </c>
      <c r="DA2784" s="122" t="s">
        <v>348</v>
      </c>
      <c r="DB2784" s="122" t="s">
        <v>2180</v>
      </c>
      <c r="DC2784" s="122" t="s">
        <v>2180</v>
      </c>
      <c r="DD2784" s="127">
        <v>6</v>
      </c>
      <c r="DE2784" s="127">
        <v>6</v>
      </c>
      <c r="DG2784" s="405" t="s">
        <v>348</v>
      </c>
      <c r="DH2784" s="406" t="s">
        <v>2180</v>
      </c>
      <c r="DI2784" s="406" t="str">
        <f t="shared" si="75"/>
        <v>PB, Zabelê</v>
      </c>
      <c r="DJ2784" s="406">
        <v>-8.0760000000000005</v>
      </c>
      <c r="DK2784" s="80">
        <v>-37.097999999999999</v>
      </c>
      <c r="DL2784" s="80">
        <v>632</v>
      </c>
      <c r="DM2784" s="64">
        <v>6</v>
      </c>
      <c r="DN2784" s="406" t="s">
        <v>7497</v>
      </c>
      <c r="DO2784" s="406">
        <v>-7.89</v>
      </c>
      <c r="DP2784" s="80">
        <v>604</v>
      </c>
    </row>
    <row r="2785" spans="29:120" x14ac:dyDescent="0.25">
      <c r="AC2785" s="122" t="s">
        <v>236</v>
      </c>
      <c r="AD2785" s="122" t="s">
        <v>3126</v>
      </c>
      <c r="AE2785" s="127">
        <v>2</v>
      </c>
      <c r="DA2785" s="122" t="s">
        <v>323</v>
      </c>
      <c r="DB2785" s="122" t="s">
        <v>7585</v>
      </c>
      <c r="DC2785" s="122" t="s">
        <v>4059</v>
      </c>
      <c r="DD2785" s="127">
        <v>8</v>
      </c>
      <c r="DE2785" s="127">
        <v>8</v>
      </c>
      <c r="DG2785" s="405" t="s">
        <v>323</v>
      </c>
      <c r="DH2785" s="406" t="s">
        <v>4059</v>
      </c>
      <c r="DI2785" s="406" t="str">
        <f t="shared" si="75"/>
        <v>PE, Abreu e Lima</v>
      </c>
      <c r="DJ2785" s="406">
        <v>-7.9119999999999999</v>
      </c>
      <c r="DK2785" s="80">
        <v>-34.902999999999999</v>
      </c>
      <c r="DL2785" s="80">
        <v>19</v>
      </c>
      <c r="DM2785" s="64">
        <v>8</v>
      </c>
      <c r="DN2785" s="406" t="s">
        <v>7586</v>
      </c>
      <c r="DO2785" s="406">
        <v>-8.0500000000000007</v>
      </c>
      <c r="DP2785" s="80">
        <v>10</v>
      </c>
    </row>
    <row r="2786" spans="29:120" x14ac:dyDescent="0.25">
      <c r="AC2786" s="122" t="s">
        <v>311</v>
      </c>
      <c r="AD2786" s="122" t="s">
        <v>3127</v>
      </c>
      <c r="AE2786" s="127">
        <v>3</v>
      </c>
      <c r="DA2786" s="122" t="s">
        <v>323</v>
      </c>
      <c r="DB2786" s="122" t="s">
        <v>7587</v>
      </c>
      <c r="DC2786" s="122" t="s">
        <v>2515</v>
      </c>
      <c r="DD2786" s="127">
        <v>6</v>
      </c>
      <c r="DE2786" s="127">
        <v>6</v>
      </c>
      <c r="DG2786" s="405" t="s">
        <v>323</v>
      </c>
      <c r="DH2786" s="406" t="s">
        <v>2515</v>
      </c>
      <c r="DI2786" s="406" t="str">
        <f t="shared" si="75"/>
        <v>PE, Afogados da Ingazeira</v>
      </c>
      <c r="DJ2786" s="406">
        <v>-7.7510000000000003</v>
      </c>
      <c r="DK2786" s="80">
        <v>-37.639000000000003</v>
      </c>
      <c r="DL2786" s="80">
        <v>514</v>
      </c>
      <c r="DM2786" s="64">
        <v>6</v>
      </c>
      <c r="DN2786" s="406" t="s">
        <v>7497</v>
      </c>
      <c r="DO2786" s="406">
        <v>-7.89</v>
      </c>
      <c r="DP2786" s="80">
        <v>604</v>
      </c>
    </row>
    <row r="2787" spans="29:120" x14ac:dyDescent="0.25">
      <c r="AC2787" s="122" t="s">
        <v>236</v>
      </c>
      <c r="AD2787" s="122" t="s">
        <v>3128</v>
      </c>
      <c r="AE2787" s="127">
        <v>2</v>
      </c>
      <c r="DA2787" s="122" t="s">
        <v>323</v>
      </c>
      <c r="DB2787" s="122" t="s">
        <v>2464</v>
      </c>
      <c r="DC2787" s="122" t="s">
        <v>2464</v>
      </c>
      <c r="DD2787" s="127">
        <v>7</v>
      </c>
      <c r="DE2787" s="127">
        <v>7</v>
      </c>
      <c r="DG2787" s="405" t="s">
        <v>323</v>
      </c>
      <c r="DH2787" s="406" t="s">
        <v>2464</v>
      </c>
      <c r="DI2787" s="406" t="str">
        <f t="shared" si="75"/>
        <v>PE, Afrânio</v>
      </c>
      <c r="DJ2787" s="406">
        <v>-8.5150000000000006</v>
      </c>
      <c r="DK2787" s="80">
        <v>-41.005000000000003</v>
      </c>
      <c r="DL2787" s="80">
        <v>522</v>
      </c>
      <c r="DM2787" s="64">
        <v>7</v>
      </c>
      <c r="DN2787" s="406" t="s">
        <v>7588</v>
      </c>
      <c r="DO2787" s="406">
        <v>-8.14</v>
      </c>
      <c r="DP2787" s="80">
        <v>374</v>
      </c>
    </row>
    <row r="2788" spans="29:120" x14ac:dyDescent="0.25">
      <c r="AC2788" s="122" t="s">
        <v>311</v>
      </c>
      <c r="AD2788" s="122" t="s">
        <v>3129</v>
      </c>
      <c r="AE2788" s="127">
        <v>3</v>
      </c>
      <c r="DA2788" s="122" t="s">
        <v>323</v>
      </c>
      <c r="DB2788" s="122" t="s">
        <v>2360</v>
      </c>
      <c r="DC2788" s="122" t="s">
        <v>2360</v>
      </c>
      <c r="DD2788" s="127">
        <v>8</v>
      </c>
      <c r="DE2788" s="127">
        <v>8</v>
      </c>
      <c r="DG2788" s="405" t="s">
        <v>323</v>
      </c>
      <c r="DH2788" s="406" t="s">
        <v>2360</v>
      </c>
      <c r="DI2788" s="406" t="str">
        <f t="shared" si="75"/>
        <v>PE, Agrestina</v>
      </c>
      <c r="DJ2788" s="406">
        <v>-8.4580000000000002</v>
      </c>
      <c r="DK2788" s="80">
        <v>-35.945</v>
      </c>
      <c r="DL2788" s="80">
        <v>427</v>
      </c>
      <c r="DM2788" s="64">
        <v>8</v>
      </c>
      <c r="DN2788" s="406" t="s">
        <v>7589</v>
      </c>
      <c r="DO2788" s="406">
        <v>-8.24</v>
      </c>
      <c r="DP2788" s="80">
        <v>550</v>
      </c>
    </row>
    <row r="2789" spans="29:120" x14ac:dyDescent="0.25">
      <c r="AC2789" s="122" t="s">
        <v>236</v>
      </c>
      <c r="AD2789" s="122" t="s">
        <v>3130</v>
      </c>
      <c r="AE2789" s="127">
        <v>2</v>
      </c>
      <c r="DA2789" s="122" t="s">
        <v>323</v>
      </c>
      <c r="DB2789" s="122" t="s">
        <v>7590</v>
      </c>
      <c r="DC2789" s="122" t="s">
        <v>5332</v>
      </c>
      <c r="DD2789" s="127">
        <v>8</v>
      </c>
      <c r="DE2789" s="127">
        <v>8</v>
      </c>
      <c r="DG2789" s="405" t="s">
        <v>323</v>
      </c>
      <c r="DH2789" s="406" t="s">
        <v>5332</v>
      </c>
      <c r="DI2789" s="406" t="str">
        <f t="shared" si="75"/>
        <v>PE, Água Preta</v>
      </c>
      <c r="DJ2789" s="406">
        <v>-8.7070000000000007</v>
      </c>
      <c r="DK2789" s="80">
        <v>-35.530999999999999</v>
      </c>
      <c r="DL2789" s="80">
        <v>93</v>
      </c>
      <c r="DM2789" s="64">
        <v>8</v>
      </c>
      <c r="DN2789" s="406" t="s">
        <v>6097</v>
      </c>
      <c r="DO2789" s="406">
        <v>-8.67</v>
      </c>
      <c r="DP2789" s="80">
        <v>180</v>
      </c>
    </row>
    <row r="2790" spans="29:120" x14ac:dyDescent="0.25">
      <c r="AC2790" s="122" t="s">
        <v>236</v>
      </c>
      <c r="AD2790" s="122" t="s">
        <v>3131</v>
      </c>
      <c r="AE2790" s="127">
        <v>2</v>
      </c>
      <c r="DA2790" s="122" t="s">
        <v>323</v>
      </c>
      <c r="DB2790" s="122" t="s">
        <v>7591</v>
      </c>
      <c r="DC2790" s="122" t="s">
        <v>2472</v>
      </c>
      <c r="DD2790" s="127">
        <v>8</v>
      </c>
      <c r="DE2790" s="127">
        <v>8</v>
      </c>
      <c r="DG2790" s="405" t="s">
        <v>323</v>
      </c>
      <c r="DH2790" s="406" t="s">
        <v>2472</v>
      </c>
      <c r="DI2790" s="406" t="str">
        <f t="shared" si="75"/>
        <v>PE, Águas Belas</v>
      </c>
      <c r="DJ2790" s="406">
        <v>-9.1110000000000007</v>
      </c>
      <c r="DK2790" s="80">
        <v>-37.122999999999998</v>
      </c>
      <c r="DL2790" s="80">
        <v>376</v>
      </c>
      <c r="DM2790" s="64">
        <v>8</v>
      </c>
      <c r="DN2790" s="406" t="s">
        <v>6094</v>
      </c>
      <c r="DO2790" s="406">
        <v>-9.41</v>
      </c>
      <c r="DP2790" s="80">
        <v>275</v>
      </c>
    </row>
    <row r="2791" spans="29:120" x14ac:dyDescent="0.25">
      <c r="AC2791" s="122" t="s">
        <v>27</v>
      </c>
      <c r="AD2791" s="122" t="s">
        <v>3132</v>
      </c>
      <c r="AE2791" s="127">
        <v>3</v>
      </c>
      <c r="DA2791" s="122" t="s">
        <v>323</v>
      </c>
      <c r="DB2791" s="122" t="s">
        <v>2263</v>
      </c>
      <c r="DC2791" s="122" t="s">
        <v>2263</v>
      </c>
      <c r="DD2791" s="127">
        <v>8</v>
      </c>
      <c r="DE2791" s="127">
        <v>8</v>
      </c>
      <c r="DG2791" s="405" t="s">
        <v>323</v>
      </c>
      <c r="DH2791" s="406" t="s">
        <v>2263</v>
      </c>
      <c r="DI2791" s="406" t="str">
        <f t="shared" si="75"/>
        <v>PE, Alagoinha</v>
      </c>
      <c r="DJ2791" s="406">
        <v>-8.4659999999999993</v>
      </c>
      <c r="DK2791" s="80">
        <v>-36.776000000000003</v>
      </c>
      <c r="DL2791" s="80">
        <v>726</v>
      </c>
      <c r="DM2791" s="64">
        <v>8</v>
      </c>
      <c r="DN2791" s="406" t="s">
        <v>7579</v>
      </c>
      <c r="DO2791" s="406">
        <v>-8.42</v>
      </c>
      <c r="DP2791" s="80">
        <v>681</v>
      </c>
    </row>
    <row r="2792" spans="29:120" x14ac:dyDescent="0.25">
      <c r="AC2792" s="122" t="s">
        <v>358</v>
      </c>
      <c r="AD2792" s="122" t="s">
        <v>3133</v>
      </c>
      <c r="AE2792" s="127">
        <v>5</v>
      </c>
      <c r="DA2792" s="122" t="s">
        <v>323</v>
      </c>
      <c r="DB2792" s="122" t="s">
        <v>5017</v>
      </c>
      <c r="DC2792" s="122" t="s">
        <v>5017</v>
      </c>
      <c r="DD2792" s="127">
        <v>8</v>
      </c>
      <c r="DE2792" s="127">
        <v>8</v>
      </c>
      <c r="DG2792" s="405" t="s">
        <v>323</v>
      </c>
      <c r="DH2792" s="406" t="s">
        <v>5017</v>
      </c>
      <c r="DI2792" s="406" t="str">
        <f t="shared" si="75"/>
        <v>PE, Aliança</v>
      </c>
      <c r="DJ2792" s="406">
        <v>-7.6029999999999998</v>
      </c>
      <c r="DK2792" s="80">
        <v>-35.231000000000002</v>
      </c>
      <c r="DL2792" s="80">
        <v>123</v>
      </c>
      <c r="DM2792" s="64">
        <v>8</v>
      </c>
      <c r="DN2792" s="406" t="s">
        <v>7586</v>
      </c>
      <c r="DO2792" s="406">
        <v>-8.0500000000000007</v>
      </c>
      <c r="DP2792" s="80">
        <v>10</v>
      </c>
    </row>
    <row r="2793" spans="29:120" x14ac:dyDescent="0.25">
      <c r="AC2793" s="122" t="s">
        <v>27</v>
      </c>
      <c r="AD2793" s="122" t="s">
        <v>3134</v>
      </c>
      <c r="AE2793" s="127">
        <v>3</v>
      </c>
      <c r="DA2793" s="122" t="s">
        <v>323</v>
      </c>
      <c r="DB2793" s="122" t="s">
        <v>2370</v>
      </c>
      <c r="DC2793" s="122" t="s">
        <v>2370</v>
      </c>
      <c r="DD2793" s="127">
        <v>8</v>
      </c>
      <c r="DE2793" s="127">
        <v>8</v>
      </c>
      <c r="DG2793" s="405" t="s">
        <v>323</v>
      </c>
      <c r="DH2793" s="406" t="s">
        <v>2370</v>
      </c>
      <c r="DI2793" s="406" t="str">
        <f t="shared" si="75"/>
        <v>PE, Altinho</v>
      </c>
      <c r="DJ2793" s="406">
        <v>-8.49</v>
      </c>
      <c r="DK2793" s="80">
        <v>-36.058999999999997</v>
      </c>
      <c r="DL2793" s="80">
        <v>454</v>
      </c>
      <c r="DM2793" s="64">
        <v>8</v>
      </c>
      <c r="DN2793" s="406" t="s">
        <v>7589</v>
      </c>
      <c r="DO2793" s="406">
        <v>-8.24</v>
      </c>
      <c r="DP2793" s="80">
        <v>550</v>
      </c>
    </row>
    <row r="2794" spans="29:120" x14ac:dyDescent="0.25">
      <c r="AC2794" s="122" t="s">
        <v>311</v>
      </c>
      <c r="AD2794" s="122" t="s">
        <v>3135</v>
      </c>
      <c r="AE2794" s="127">
        <v>2</v>
      </c>
      <c r="DA2794" s="122" t="s">
        <v>323</v>
      </c>
      <c r="DB2794" s="122" t="s">
        <v>5328</v>
      </c>
      <c r="DC2794" s="122" t="s">
        <v>5328</v>
      </c>
      <c r="DD2794" s="127">
        <v>8</v>
      </c>
      <c r="DE2794" s="127">
        <v>8</v>
      </c>
      <c r="DG2794" s="405" t="s">
        <v>323</v>
      </c>
      <c r="DH2794" s="406" t="s">
        <v>5328</v>
      </c>
      <c r="DI2794" s="406" t="str">
        <f t="shared" si="75"/>
        <v>PE, Amaraji</v>
      </c>
      <c r="DJ2794" s="406">
        <v>-8.3829999999999991</v>
      </c>
      <c r="DK2794" s="80">
        <v>-35.453000000000003</v>
      </c>
      <c r="DL2794" s="80">
        <v>289</v>
      </c>
      <c r="DM2794" s="64">
        <v>8</v>
      </c>
      <c r="DN2794" s="406" t="s">
        <v>6097</v>
      </c>
      <c r="DO2794" s="406">
        <v>-8.67</v>
      </c>
      <c r="DP2794" s="80">
        <v>180</v>
      </c>
    </row>
    <row r="2795" spans="29:120" x14ac:dyDescent="0.25">
      <c r="AC2795" s="122" t="s">
        <v>236</v>
      </c>
      <c r="AD2795" s="122" t="s">
        <v>3136</v>
      </c>
      <c r="AE2795" s="127">
        <v>2</v>
      </c>
      <c r="DA2795" s="122" t="s">
        <v>323</v>
      </c>
      <c r="DB2795" s="122" t="s">
        <v>2371</v>
      </c>
      <c r="DC2795" s="122" t="s">
        <v>2371</v>
      </c>
      <c r="DD2795" s="127">
        <v>8</v>
      </c>
      <c r="DE2795" s="127">
        <v>8</v>
      </c>
      <c r="DG2795" s="405" t="s">
        <v>323</v>
      </c>
      <c r="DH2795" s="406" t="s">
        <v>2371</v>
      </c>
      <c r="DI2795" s="406" t="str">
        <f t="shared" si="75"/>
        <v>PE, Angelim</v>
      </c>
      <c r="DJ2795" s="406">
        <v>-8.89</v>
      </c>
      <c r="DK2795" s="80">
        <v>-36.286000000000001</v>
      </c>
      <c r="DL2795" s="80">
        <v>631</v>
      </c>
      <c r="DM2795" s="64">
        <v>8</v>
      </c>
      <c r="DN2795" s="406" t="s">
        <v>6142</v>
      </c>
      <c r="DO2795" s="406">
        <v>-8.89</v>
      </c>
      <c r="DP2795" s="80">
        <v>823</v>
      </c>
    </row>
    <row r="2796" spans="29:120" x14ac:dyDescent="0.25">
      <c r="AC2796" s="122" t="s">
        <v>311</v>
      </c>
      <c r="AD2796" s="122" t="s">
        <v>3137</v>
      </c>
      <c r="AE2796" s="127">
        <v>2</v>
      </c>
      <c r="DA2796" s="122" t="s">
        <v>323</v>
      </c>
      <c r="DB2796" s="122" t="s">
        <v>4130</v>
      </c>
      <c r="DC2796" s="122" t="s">
        <v>4130</v>
      </c>
      <c r="DD2796" s="127">
        <v>8</v>
      </c>
      <c r="DE2796" s="127">
        <v>8</v>
      </c>
      <c r="DG2796" s="405" t="s">
        <v>323</v>
      </c>
      <c r="DH2796" s="406" t="s">
        <v>4130</v>
      </c>
      <c r="DI2796" s="406" t="str">
        <f t="shared" si="75"/>
        <v>PE, Araçoiaba</v>
      </c>
      <c r="DJ2796" s="406">
        <v>-7.79</v>
      </c>
      <c r="DK2796" s="80">
        <v>-35.091000000000001</v>
      </c>
      <c r="DL2796" s="80">
        <v>160</v>
      </c>
      <c r="DM2796" s="64">
        <v>8</v>
      </c>
      <c r="DN2796" s="406" t="s">
        <v>7586</v>
      </c>
      <c r="DO2796" s="406">
        <v>-8.0500000000000007</v>
      </c>
      <c r="DP2796" s="80">
        <v>10</v>
      </c>
    </row>
    <row r="2797" spans="29:120" x14ac:dyDescent="0.25">
      <c r="AC2797" s="122" t="s">
        <v>311</v>
      </c>
      <c r="AD2797" s="122" t="s">
        <v>3138</v>
      </c>
      <c r="AE2797" s="127">
        <v>2</v>
      </c>
      <c r="DA2797" s="122" t="s">
        <v>323</v>
      </c>
      <c r="DB2797" s="122" t="s">
        <v>2630</v>
      </c>
      <c r="DC2797" s="122" t="s">
        <v>2630</v>
      </c>
      <c r="DD2797" s="127">
        <v>7</v>
      </c>
      <c r="DE2797" s="127">
        <v>7</v>
      </c>
      <c r="DG2797" s="405" t="s">
        <v>323</v>
      </c>
      <c r="DH2797" s="406" t="s">
        <v>2630</v>
      </c>
      <c r="DI2797" s="406" t="str">
        <f t="shared" si="75"/>
        <v>PE, Araripina</v>
      </c>
      <c r="DJ2797" s="406">
        <v>-7.5759999999999996</v>
      </c>
      <c r="DK2797" s="80">
        <v>-40.497999999999998</v>
      </c>
      <c r="DL2797" s="80">
        <v>622</v>
      </c>
      <c r="DM2797" s="64">
        <v>7</v>
      </c>
      <c r="DN2797" s="406" t="s">
        <v>6405</v>
      </c>
      <c r="DO2797" s="406">
        <v>-7.08</v>
      </c>
      <c r="DP2797" s="80">
        <v>572</v>
      </c>
    </row>
    <row r="2798" spans="29:120" x14ac:dyDescent="0.25">
      <c r="AC2798" s="122" t="s">
        <v>236</v>
      </c>
      <c r="AD2798" s="122" t="s">
        <v>3139</v>
      </c>
      <c r="AE2798" s="127">
        <v>2</v>
      </c>
      <c r="DA2798" s="122" t="s">
        <v>323</v>
      </c>
      <c r="DB2798" s="122" t="s">
        <v>2399</v>
      </c>
      <c r="DC2798" s="122" t="s">
        <v>2399</v>
      </c>
      <c r="DD2798" s="127">
        <v>7</v>
      </c>
      <c r="DE2798" s="127">
        <v>7</v>
      </c>
      <c r="DG2798" s="405" t="s">
        <v>323</v>
      </c>
      <c r="DH2798" s="406" t="s">
        <v>2399</v>
      </c>
      <c r="DI2798" s="406" t="str">
        <f t="shared" si="75"/>
        <v>PE, Arcoverde</v>
      </c>
      <c r="DJ2798" s="406">
        <v>-8.4190000000000005</v>
      </c>
      <c r="DK2798" s="80">
        <v>-37.054000000000002</v>
      </c>
      <c r="DL2798" s="80">
        <v>663</v>
      </c>
      <c r="DM2798" s="64">
        <v>7</v>
      </c>
      <c r="DN2798" s="406" t="s">
        <v>7579</v>
      </c>
      <c r="DO2798" s="406">
        <v>-8.42</v>
      </c>
      <c r="DP2798" s="80">
        <v>681</v>
      </c>
    </row>
    <row r="2799" spans="29:120" x14ac:dyDescent="0.25">
      <c r="AC2799" s="122" t="s">
        <v>27</v>
      </c>
      <c r="AD2799" s="122" t="s">
        <v>3140</v>
      </c>
      <c r="AE2799" s="127">
        <v>2</v>
      </c>
      <c r="DA2799" s="122" t="s">
        <v>323</v>
      </c>
      <c r="DB2799" s="122" t="s">
        <v>7592</v>
      </c>
      <c r="DC2799" s="122" t="s">
        <v>2417</v>
      </c>
      <c r="DD2799" s="127">
        <v>8</v>
      </c>
      <c r="DE2799" s="127">
        <v>8</v>
      </c>
      <c r="DG2799" s="405" t="s">
        <v>323</v>
      </c>
      <c r="DH2799" s="406" t="s">
        <v>2417</v>
      </c>
      <c r="DI2799" s="406" t="str">
        <f t="shared" si="75"/>
        <v>PE, Barra de Guabiraba</v>
      </c>
      <c r="DJ2799" s="406">
        <v>-8.42</v>
      </c>
      <c r="DK2799" s="80">
        <v>-35.658000000000001</v>
      </c>
      <c r="DL2799" s="80">
        <v>482</v>
      </c>
      <c r="DM2799" s="64">
        <v>8</v>
      </c>
      <c r="DN2799" s="406" t="s">
        <v>6097</v>
      </c>
      <c r="DO2799" s="406">
        <v>-8.67</v>
      </c>
      <c r="DP2799" s="80">
        <v>180</v>
      </c>
    </row>
    <row r="2800" spans="29:120" x14ac:dyDescent="0.25">
      <c r="AC2800" s="122" t="s">
        <v>358</v>
      </c>
      <c r="AD2800" s="122" t="s">
        <v>3141</v>
      </c>
      <c r="AE2800" s="127">
        <v>5</v>
      </c>
      <c r="DA2800" s="122" t="s">
        <v>323</v>
      </c>
      <c r="DB2800" s="122" t="s">
        <v>5338</v>
      </c>
      <c r="DC2800" s="122" t="s">
        <v>5338</v>
      </c>
      <c r="DD2800" s="127">
        <v>8</v>
      </c>
      <c r="DE2800" s="127">
        <v>8</v>
      </c>
      <c r="DG2800" s="405" t="s">
        <v>323</v>
      </c>
      <c r="DH2800" s="406" t="s">
        <v>5338</v>
      </c>
      <c r="DI2800" s="406" t="str">
        <f t="shared" si="75"/>
        <v>PE, Barreiros</v>
      </c>
      <c r="DJ2800" s="406">
        <v>-8.8179999999999996</v>
      </c>
      <c r="DK2800" s="80">
        <v>-35.186</v>
      </c>
      <c r="DL2800" s="80">
        <v>22</v>
      </c>
      <c r="DM2800" s="64">
        <v>8</v>
      </c>
      <c r="DN2800" s="406" t="s">
        <v>6097</v>
      </c>
      <c r="DO2800" s="406">
        <v>-8.67</v>
      </c>
      <c r="DP2800" s="80">
        <v>180</v>
      </c>
    </row>
    <row r="2801" spans="29:120" x14ac:dyDescent="0.25">
      <c r="AC2801" s="122" t="s">
        <v>236</v>
      </c>
      <c r="AD2801" s="122" t="s">
        <v>3142</v>
      </c>
      <c r="AE2801" s="127">
        <v>2</v>
      </c>
      <c r="DA2801" s="122" t="s">
        <v>323</v>
      </c>
      <c r="DB2801" s="122" t="s">
        <v>7593</v>
      </c>
      <c r="DC2801" s="122" t="s">
        <v>5117</v>
      </c>
      <c r="DD2801" s="127">
        <v>8</v>
      </c>
      <c r="DE2801" s="127">
        <v>8</v>
      </c>
      <c r="DG2801" s="405" t="s">
        <v>323</v>
      </c>
      <c r="DH2801" s="406" t="s">
        <v>5117</v>
      </c>
      <c r="DI2801" s="406" t="str">
        <f t="shared" si="75"/>
        <v>PE, Belém de Maria</v>
      </c>
      <c r="DJ2801" s="406">
        <v>-8.6140000000000008</v>
      </c>
      <c r="DK2801" s="80">
        <v>-35.808999999999997</v>
      </c>
      <c r="DL2801" s="80">
        <v>227</v>
      </c>
      <c r="DM2801" s="64">
        <v>8</v>
      </c>
      <c r="DN2801" s="406" t="s">
        <v>6097</v>
      </c>
      <c r="DO2801" s="406">
        <v>-8.67</v>
      </c>
      <c r="DP2801" s="80">
        <v>180</v>
      </c>
    </row>
    <row r="2802" spans="29:120" x14ac:dyDescent="0.25">
      <c r="AC2802" s="122" t="s">
        <v>311</v>
      </c>
      <c r="AD2802" s="122" t="s">
        <v>3143</v>
      </c>
      <c r="AE2802" s="127">
        <v>2</v>
      </c>
      <c r="DA2802" s="122" t="s">
        <v>323</v>
      </c>
      <c r="DB2802" s="122" t="s">
        <v>7594</v>
      </c>
      <c r="DC2802" s="122" t="s">
        <v>2524</v>
      </c>
      <c r="DD2802" s="127">
        <v>7</v>
      </c>
      <c r="DE2802" s="127">
        <v>7</v>
      </c>
      <c r="DG2802" s="405" t="s">
        <v>323</v>
      </c>
      <c r="DH2802" s="406" t="s">
        <v>2524</v>
      </c>
      <c r="DI2802" s="406" t="str">
        <f t="shared" si="75"/>
        <v>PE, Belém de São Francisco</v>
      </c>
      <c r="DJ2802" s="406">
        <v>-8.7579999999999991</v>
      </c>
      <c r="DK2802" s="80">
        <v>-38.963999999999999</v>
      </c>
      <c r="DL2802" s="80">
        <v>305</v>
      </c>
      <c r="DM2802" s="64">
        <v>7</v>
      </c>
      <c r="DN2802" s="406" t="s">
        <v>6352</v>
      </c>
      <c r="DO2802" s="406">
        <v>-8.61</v>
      </c>
      <c r="DP2802" s="80">
        <v>329</v>
      </c>
    </row>
    <row r="2803" spans="29:120" x14ac:dyDescent="0.25">
      <c r="AC2803" s="122" t="s">
        <v>27</v>
      </c>
      <c r="AD2803" s="122" t="s">
        <v>3144</v>
      </c>
      <c r="AE2803" s="127">
        <v>3</v>
      </c>
      <c r="DA2803" s="122" t="s">
        <v>323</v>
      </c>
      <c r="DB2803" s="122" t="s">
        <v>7595</v>
      </c>
      <c r="DC2803" s="122" t="s">
        <v>2475</v>
      </c>
      <c r="DD2803" s="127">
        <v>8</v>
      </c>
      <c r="DE2803" s="127">
        <v>8</v>
      </c>
      <c r="DG2803" s="405" t="s">
        <v>323</v>
      </c>
      <c r="DH2803" s="406" t="s">
        <v>2475</v>
      </c>
      <c r="DI2803" s="406" t="str">
        <f t="shared" si="75"/>
        <v>PE, Belo Jardim</v>
      </c>
      <c r="DJ2803" s="406">
        <v>-8.3360000000000003</v>
      </c>
      <c r="DK2803" s="80">
        <v>-36.423999999999999</v>
      </c>
      <c r="DL2803" s="80">
        <v>608</v>
      </c>
      <c r="DM2803" s="64">
        <v>8</v>
      </c>
      <c r="DN2803" s="406" t="s">
        <v>7589</v>
      </c>
      <c r="DO2803" s="406">
        <v>-8.24</v>
      </c>
      <c r="DP2803" s="80">
        <v>550</v>
      </c>
    </row>
    <row r="2804" spans="29:120" x14ac:dyDescent="0.25">
      <c r="AC2804" s="122" t="s">
        <v>27</v>
      </c>
      <c r="AD2804" s="122" t="s">
        <v>3145</v>
      </c>
      <c r="AE2804" s="127">
        <v>3</v>
      </c>
      <c r="DA2804" s="122" t="s">
        <v>323</v>
      </c>
      <c r="DB2804" s="122" t="s">
        <v>5487</v>
      </c>
      <c r="DC2804" s="122" t="s">
        <v>5487</v>
      </c>
      <c r="DD2804" s="127">
        <v>6</v>
      </c>
      <c r="DE2804" s="127">
        <v>6</v>
      </c>
      <c r="DG2804" s="405" t="s">
        <v>323</v>
      </c>
      <c r="DH2804" s="406" t="s">
        <v>5487</v>
      </c>
      <c r="DI2804" s="406" t="str">
        <f t="shared" si="75"/>
        <v>PE, Betânia</v>
      </c>
      <c r="DJ2804" s="406">
        <v>-8.2759999999999998</v>
      </c>
      <c r="DK2804" s="80">
        <v>-38.033999999999999</v>
      </c>
      <c r="DL2804" s="80">
        <v>441</v>
      </c>
      <c r="DM2804" s="64">
        <v>6</v>
      </c>
      <c r="DN2804" s="406" t="s">
        <v>6100</v>
      </c>
      <c r="DO2804" s="406">
        <v>-8.51</v>
      </c>
      <c r="DP2804" s="80">
        <v>448</v>
      </c>
    </row>
    <row r="2805" spans="29:120" x14ac:dyDescent="0.25">
      <c r="AC2805" s="122" t="s">
        <v>311</v>
      </c>
      <c r="AD2805" s="122" t="s">
        <v>3146</v>
      </c>
      <c r="AE2805" s="127">
        <v>2</v>
      </c>
      <c r="DA2805" s="122" t="s">
        <v>323</v>
      </c>
      <c r="DB2805" s="122" t="s">
        <v>1981</v>
      </c>
      <c r="DC2805" s="122" t="s">
        <v>1981</v>
      </c>
      <c r="DD2805" s="127">
        <v>8</v>
      </c>
      <c r="DE2805" s="127">
        <v>8</v>
      </c>
      <c r="DG2805" s="405" t="s">
        <v>323</v>
      </c>
      <c r="DH2805" s="406" t="s">
        <v>1981</v>
      </c>
      <c r="DI2805" s="406" t="str">
        <f t="shared" si="75"/>
        <v>PE, Bezerros</v>
      </c>
      <c r="DJ2805" s="406">
        <v>-8.2330000000000005</v>
      </c>
      <c r="DK2805" s="80">
        <v>-35.796999999999997</v>
      </c>
      <c r="DL2805" s="80">
        <v>470</v>
      </c>
      <c r="DM2805" s="64">
        <v>8</v>
      </c>
      <c r="DN2805" s="406" t="s">
        <v>7589</v>
      </c>
      <c r="DO2805" s="406">
        <v>-8.24</v>
      </c>
      <c r="DP2805" s="80">
        <v>550</v>
      </c>
    </row>
    <row r="2806" spans="29:120" x14ac:dyDescent="0.25">
      <c r="AC2806" s="122" t="s">
        <v>236</v>
      </c>
      <c r="AD2806" s="122" t="s">
        <v>3147</v>
      </c>
      <c r="AE2806" s="127">
        <v>2</v>
      </c>
      <c r="DA2806" s="122" t="s">
        <v>323</v>
      </c>
      <c r="DB2806" s="122" t="s">
        <v>5373</v>
      </c>
      <c r="DC2806" s="122" t="s">
        <v>5373</v>
      </c>
      <c r="DD2806" s="127">
        <v>7</v>
      </c>
      <c r="DE2806" s="127">
        <v>7</v>
      </c>
      <c r="DG2806" s="405" t="s">
        <v>323</v>
      </c>
      <c r="DH2806" s="406" t="s">
        <v>5373</v>
      </c>
      <c r="DI2806" s="406" t="str">
        <f t="shared" si="75"/>
        <v>PE, Bodocó</v>
      </c>
      <c r="DJ2806" s="406">
        <v>-7.7779999999999996</v>
      </c>
      <c r="DK2806" s="80">
        <v>-39.941000000000003</v>
      </c>
      <c r="DL2806" s="80">
        <v>443</v>
      </c>
      <c r="DM2806" s="64">
        <v>7</v>
      </c>
      <c r="DN2806" s="406" t="s">
        <v>6401</v>
      </c>
      <c r="DO2806" s="406">
        <v>-7.3</v>
      </c>
      <c r="DP2806" s="80">
        <v>409</v>
      </c>
    </row>
    <row r="2807" spans="29:120" x14ac:dyDescent="0.25">
      <c r="AC2807" s="122" t="s">
        <v>317</v>
      </c>
      <c r="AD2807" s="122" t="s">
        <v>3148</v>
      </c>
      <c r="AE2807" s="127">
        <v>8</v>
      </c>
      <c r="DA2807" s="122" t="s">
        <v>323</v>
      </c>
      <c r="DB2807" s="122" t="s">
        <v>7596</v>
      </c>
      <c r="DC2807" s="122" t="s">
        <v>2435</v>
      </c>
      <c r="DD2807" s="127">
        <v>8</v>
      </c>
      <c r="DE2807" s="127">
        <v>8</v>
      </c>
      <c r="DG2807" s="405" t="s">
        <v>323</v>
      </c>
      <c r="DH2807" s="406" t="s">
        <v>2435</v>
      </c>
      <c r="DI2807" s="406" t="str">
        <f t="shared" si="75"/>
        <v>PE, Bom Conselho</v>
      </c>
      <c r="DJ2807" s="406">
        <v>-9.17</v>
      </c>
      <c r="DK2807" s="80">
        <v>-36.68</v>
      </c>
      <c r="DL2807" s="80">
        <v>654</v>
      </c>
      <c r="DM2807" s="64">
        <v>8</v>
      </c>
      <c r="DN2807" s="406" t="s">
        <v>6094</v>
      </c>
      <c r="DO2807" s="406">
        <v>-9.41</v>
      </c>
      <c r="DP2807" s="80">
        <v>275</v>
      </c>
    </row>
    <row r="2808" spans="29:120" x14ac:dyDescent="0.25">
      <c r="AC2808" s="122" t="s">
        <v>311</v>
      </c>
      <c r="AD2808" s="122" t="s">
        <v>3149</v>
      </c>
      <c r="AE2808" s="127">
        <v>3</v>
      </c>
      <c r="DA2808" s="122" t="s">
        <v>323</v>
      </c>
      <c r="DB2808" s="122" t="s">
        <v>6662</v>
      </c>
      <c r="DC2808" s="122" t="s">
        <v>530</v>
      </c>
      <c r="DD2808" s="127">
        <v>8</v>
      </c>
      <c r="DE2808" s="127">
        <v>8</v>
      </c>
      <c r="DG2808" s="405" t="s">
        <v>323</v>
      </c>
      <c r="DH2808" s="406" t="s">
        <v>530</v>
      </c>
      <c r="DI2808" s="406" t="str">
        <f t="shared" si="75"/>
        <v>PE, Bom Jardim</v>
      </c>
      <c r="DJ2808" s="406">
        <v>-7.7960000000000003</v>
      </c>
      <c r="DK2808" s="80">
        <v>-35.587000000000003</v>
      </c>
      <c r="DL2808" s="80">
        <v>333</v>
      </c>
      <c r="DM2808" s="64">
        <v>8</v>
      </c>
      <c r="DN2808" s="406" t="s">
        <v>7494</v>
      </c>
      <c r="DO2808" s="406">
        <v>-7.84</v>
      </c>
      <c r="DP2808" s="80">
        <v>418</v>
      </c>
    </row>
    <row r="2809" spans="29:120" x14ac:dyDescent="0.25">
      <c r="AC2809" s="122" t="s">
        <v>311</v>
      </c>
      <c r="AD2809" s="122" t="s">
        <v>3150</v>
      </c>
      <c r="AE2809" s="127">
        <v>2</v>
      </c>
      <c r="DA2809" s="122" t="s">
        <v>323</v>
      </c>
      <c r="DB2809" s="122" t="s">
        <v>2018</v>
      </c>
      <c r="DC2809" s="122" t="s">
        <v>2018</v>
      </c>
      <c r="DD2809" s="127">
        <v>8</v>
      </c>
      <c r="DE2809" s="127">
        <v>8</v>
      </c>
      <c r="DG2809" s="405" t="s">
        <v>323</v>
      </c>
      <c r="DH2809" s="406" t="s">
        <v>2018</v>
      </c>
      <c r="DI2809" s="406" t="str">
        <f t="shared" si="75"/>
        <v>PE, Bonito</v>
      </c>
      <c r="DJ2809" s="406">
        <v>-8.4700000000000006</v>
      </c>
      <c r="DK2809" s="80">
        <v>-35.728999999999999</v>
      </c>
      <c r="DL2809" s="80">
        <v>443</v>
      </c>
      <c r="DM2809" s="64">
        <v>8</v>
      </c>
      <c r="DN2809" s="406" t="s">
        <v>6097</v>
      </c>
      <c r="DO2809" s="406">
        <v>-8.67</v>
      </c>
      <c r="DP2809" s="80">
        <v>180</v>
      </c>
    </row>
    <row r="2810" spans="29:120" x14ac:dyDescent="0.25">
      <c r="AC2810" s="122" t="s">
        <v>236</v>
      </c>
      <c r="AD2810" s="122" t="s">
        <v>3151</v>
      </c>
      <c r="AE2810" s="127">
        <v>2</v>
      </c>
      <c r="DA2810" s="122" t="s">
        <v>323</v>
      </c>
      <c r="DB2810" s="122" t="s">
        <v>2418</v>
      </c>
      <c r="DC2810" s="122" t="s">
        <v>2418</v>
      </c>
      <c r="DD2810" s="127">
        <v>8</v>
      </c>
      <c r="DE2810" s="127">
        <v>8</v>
      </c>
      <c r="DG2810" s="405" t="s">
        <v>323</v>
      </c>
      <c r="DH2810" s="406" t="s">
        <v>2418</v>
      </c>
      <c r="DI2810" s="406" t="str">
        <f t="shared" si="75"/>
        <v>PE, Brejão</v>
      </c>
      <c r="DJ2810" s="406">
        <v>-9.0299999999999994</v>
      </c>
      <c r="DK2810" s="80">
        <v>-36.569000000000003</v>
      </c>
      <c r="DL2810" s="80">
        <v>788</v>
      </c>
      <c r="DM2810" s="64">
        <v>8</v>
      </c>
      <c r="DN2810" s="406" t="s">
        <v>6142</v>
      </c>
      <c r="DO2810" s="406">
        <v>-8.89</v>
      </c>
      <c r="DP2810" s="80">
        <v>823</v>
      </c>
    </row>
    <row r="2811" spans="29:120" x14ac:dyDescent="0.25">
      <c r="AC2811" s="122" t="s">
        <v>311</v>
      </c>
      <c r="AD2811" s="122" t="s">
        <v>3152</v>
      </c>
      <c r="AE2811" s="127">
        <v>2</v>
      </c>
      <c r="DA2811" s="122" t="s">
        <v>323</v>
      </c>
      <c r="DB2811" s="122" t="s">
        <v>2827</v>
      </c>
      <c r="DC2811" s="122" t="s">
        <v>2827</v>
      </c>
      <c r="DD2811" s="127">
        <v>7</v>
      </c>
      <c r="DE2811" s="127">
        <v>7</v>
      </c>
      <c r="DG2811" s="405" t="s">
        <v>323</v>
      </c>
      <c r="DH2811" s="406" t="s">
        <v>2827</v>
      </c>
      <c r="DI2811" s="406" t="str">
        <f t="shared" si="75"/>
        <v>PE, Brejinho</v>
      </c>
      <c r="DJ2811" s="406">
        <v>-7.3490000000000002</v>
      </c>
      <c r="DK2811" s="80">
        <v>-37.286000000000001</v>
      </c>
      <c r="DL2811" s="80">
        <v>737</v>
      </c>
      <c r="DM2811" s="64">
        <v>7</v>
      </c>
      <c r="DN2811" s="406" t="s">
        <v>7490</v>
      </c>
      <c r="DO2811" s="406">
        <v>-7.02</v>
      </c>
      <c r="DP2811" s="80">
        <v>249</v>
      </c>
    </row>
    <row r="2812" spans="29:120" x14ac:dyDescent="0.25">
      <c r="AC2812" s="122" t="s">
        <v>358</v>
      </c>
      <c r="AD2812" s="122" t="s">
        <v>3153</v>
      </c>
      <c r="AE2812" s="127">
        <v>5</v>
      </c>
      <c r="DA2812" s="122" t="s">
        <v>323</v>
      </c>
      <c r="DB2812" s="122" t="s">
        <v>7597</v>
      </c>
      <c r="DC2812" s="122" t="s">
        <v>2442</v>
      </c>
      <c r="DD2812" s="127">
        <v>8</v>
      </c>
      <c r="DE2812" s="127">
        <v>8</v>
      </c>
      <c r="DG2812" s="405" t="s">
        <v>323</v>
      </c>
      <c r="DH2812" s="406" t="s">
        <v>2442</v>
      </c>
      <c r="DI2812" s="406" t="str">
        <f t="shared" si="75"/>
        <v>PE, Brejo da Madre de Deus</v>
      </c>
      <c r="DJ2812" s="406">
        <v>-8.1460000000000008</v>
      </c>
      <c r="DK2812" s="80">
        <v>-36.371000000000002</v>
      </c>
      <c r="DL2812" s="80">
        <v>627</v>
      </c>
      <c r="DM2812" s="64">
        <v>8</v>
      </c>
      <c r="DN2812" s="406" t="s">
        <v>7589</v>
      </c>
      <c r="DO2812" s="406">
        <v>-8.24</v>
      </c>
      <c r="DP2812" s="80">
        <v>550</v>
      </c>
    </row>
    <row r="2813" spans="29:120" x14ac:dyDescent="0.25">
      <c r="AC2813" s="122" t="s">
        <v>358</v>
      </c>
      <c r="AD2813" s="122" t="s">
        <v>3154</v>
      </c>
      <c r="AE2813" s="127">
        <v>5</v>
      </c>
      <c r="DA2813" s="122" t="s">
        <v>323</v>
      </c>
      <c r="DB2813" s="122" t="s">
        <v>7598</v>
      </c>
      <c r="DC2813" s="122" t="s">
        <v>5018</v>
      </c>
      <c r="DD2813" s="127">
        <v>8</v>
      </c>
      <c r="DE2813" s="127">
        <v>8</v>
      </c>
      <c r="DG2813" s="405" t="s">
        <v>323</v>
      </c>
      <c r="DH2813" s="406" t="s">
        <v>5018</v>
      </c>
      <c r="DI2813" s="406" t="str">
        <f t="shared" si="75"/>
        <v>PE, Buenos Aires</v>
      </c>
      <c r="DJ2813" s="406">
        <v>-7.726</v>
      </c>
      <c r="DK2813" s="80">
        <v>-35.326999999999998</v>
      </c>
      <c r="DL2813" s="80">
        <v>149</v>
      </c>
      <c r="DM2813" s="64">
        <v>8</v>
      </c>
      <c r="DN2813" s="406" t="s">
        <v>7494</v>
      </c>
      <c r="DO2813" s="406">
        <v>-7.84</v>
      </c>
      <c r="DP2813" s="80">
        <v>418</v>
      </c>
    </row>
    <row r="2814" spans="29:120" x14ac:dyDescent="0.25">
      <c r="AC2814" s="122" t="s">
        <v>311</v>
      </c>
      <c r="AD2814" s="122" t="s">
        <v>3155</v>
      </c>
      <c r="AE2814" s="127">
        <v>3</v>
      </c>
      <c r="DA2814" s="122" t="s">
        <v>323</v>
      </c>
      <c r="DB2814" s="122" t="s">
        <v>2852</v>
      </c>
      <c r="DC2814" s="122" t="s">
        <v>2852</v>
      </c>
      <c r="DD2814" s="127">
        <v>8</v>
      </c>
      <c r="DE2814" s="127">
        <v>8</v>
      </c>
      <c r="DG2814" s="405" t="s">
        <v>323</v>
      </c>
      <c r="DH2814" s="406" t="s">
        <v>2852</v>
      </c>
      <c r="DI2814" s="406" t="str">
        <f t="shared" si="75"/>
        <v>PE, Buíque</v>
      </c>
      <c r="DJ2814" s="406">
        <v>-8.6229999999999993</v>
      </c>
      <c r="DK2814" s="80">
        <v>-37.155999999999999</v>
      </c>
      <c r="DL2814" s="80">
        <v>798</v>
      </c>
      <c r="DM2814" s="64">
        <v>8</v>
      </c>
      <c r="DN2814" s="406" t="s">
        <v>7579</v>
      </c>
      <c r="DO2814" s="406">
        <v>-8.42</v>
      </c>
      <c r="DP2814" s="80">
        <v>681</v>
      </c>
    </row>
    <row r="2815" spans="29:120" x14ac:dyDescent="0.25">
      <c r="AC2815" s="122" t="s">
        <v>358</v>
      </c>
      <c r="AD2815" s="122" t="s">
        <v>3156</v>
      </c>
      <c r="AE2815" s="127">
        <v>5</v>
      </c>
      <c r="DA2815" s="122" t="s">
        <v>323</v>
      </c>
      <c r="DB2815" s="122" t="s">
        <v>7599</v>
      </c>
      <c r="DC2815" s="122" t="s">
        <v>5350</v>
      </c>
      <c r="DD2815" s="127">
        <v>8</v>
      </c>
      <c r="DE2815" s="127">
        <v>8</v>
      </c>
      <c r="DG2815" s="405" t="s">
        <v>323</v>
      </c>
      <c r="DH2815" s="406" t="s">
        <v>5350</v>
      </c>
      <c r="DI2815" s="406" t="str">
        <f t="shared" si="75"/>
        <v>PE, Cabo de Santo Agostinho</v>
      </c>
      <c r="DJ2815" s="406">
        <v>-8.2870000000000008</v>
      </c>
      <c r="DK2815" s="80">
        <v>-35.034999999999997</v>
      </c>
      <c r="DL2815" s="80">
        <v>29</v>
      </c>
      <c r="DM2815" s="64">
        <v>8</v>
      </c>
      <c r="DN2815" s="406" t="s">
        <v>7586</v>
      </c>
      <c r="DO2815" s="406">
        <v>-8.0500000000000007</v>
      </c>
      <c r="DP2815" s="80">
        <v>10</v>
      </c>
    </row>
    <row r="2816" spans="29:120" x14ac:dyDescent="0.25">
      <c r="AC2816" s="122" t="s">
        <v>311</v>
      </c>
      <c r="AD2816" s="122" t="s">
        <v>3157</v>
      </c>
      <c r="AE2816" s="127">
        <v>2</v>
      </c>
      <c r="DA2816" s="122" t="s">
        <v>323</v>
      </c>
      <c r="DB2816" s="122" t="s">
        <v>5244</v>
      </c>
      <c r="DC2816" s="122" t="s">
        <v>5244</v>
      </c>
      <c r="DD2816" s="127">
        <v>7</v>
      </c>
      <c r="DE2816" s="127">
        <v>7</v>
      </c>
      <c r="DG2816" s="405" t="s">
        <v>323</v>
      </c>
      <c r="DH2816" s="406" t="s">
        <v>5244</v>
      </c>
      <c r="DI2816" s="406" t="str">
        <f t="shared" si="75"/>
        <v>PE, Cabrobó</v>
      </c>
      <c r="DJ2816" s="406">
        <v>-8.5120000000000005</v>
      </c>
      <c r="DK2816" s="80">
        <v>-39.307000000000002</v>
      </c>
      <c r="DL2816" s="80">
        <v>325</v>
      </c>
      <c r="DM2816" s="64">
        <v>7</v>
      </c>
      <c r="DN2816" s="406" t="s">
        <v>6194</v>
      </c>
      <c r="DO2816" s="406">
        <v>-8.5</v>
      </c>
      <c r="DP2816" s="80">
        <v>342</v>
      </c>
    </row>
    <row r="2817" spans="29:120" x14ac:dyDescent="0.25">
      <c r="AC2817" s="122" t="s">
        <v>236</v>
      </c>
      <c r="AD2817" s="122" t="s">
        <v>3158</v>
      </c>
      <c r="AE2817" s="127">
        <v>2</v>
      </c>
      <c r="DA2817" s="122" t="s">
        <v>323</v>
      </c>
      <c r="DB2817" s="122" t="s">
        <v>1264</v>
      </c>
      <c r="DC2817" s="122" t="s">
        <v>1264</v>
      </c>
      <c r="DD2817" s="127">
        <v>8</v>
      </c>
      <c r="DE2817" s="127">
        <v>8</v>
      </c>
      <c r="DG2817" s="405" t="s">
        <v>323</v>
      </c>
      <c r="DH2817" s="406" t="s">
        <v>1264</v>
      </c>
      <c r="DI2817" s="406" t="str">
        <f t="shared" si="75"/>
        <v>PE, Cachoeirinha</v>
      </c>
      <c r="DJ2817" s="406">
        <v>-8.4860000000000007</v>
      </c>
      <c r="DK2817" s="80">
        <v>-36.232999999999997</v>
      </c>
      <c r="DL2817" s="80">
        <v>536</v>
      </c>
      <c r="DM2817" s="64">
        <v>8</v>
      </c>
      <c r="DN2817" s="406" t="s">
        <v>7589</v>
      </c>
      <c r="DO2817" s="406">
        <v>-8.24</v>
      </c>
      <c r="DP2817" s="80">
        <v>550</v>
      </c>
    </row>
    <row r="2818" spans="29:120" x14ac:dyDescent="0.25">
      <c r="AC2818" s="122" t="s">
        <v>311</v>
      </c>
      <c r="AD2818" s="122" t="s">
        <v>3159</v>
      </c>
      <c r="AE2818" s="127">
        <v>3</v>
      </c>
      <c r="DA2818" s="122" t="s">
        <v>323</v>
      </c>
      <c r="DB2818" s="122" t="s">
        <v>324</v>
      </c>
      <c r="DC2818" s="122" t="s">
        <v>324</v>
      </c>
      <c r="DD2818" s="127">
        <v>8</v>
      </c>
      <c r="DE2818" s="127">
        <v>8</v>
      </c>
      <c r="DG2818" s="405" t="s">
        <v>323</v>
      </c>
      <c r="DH2818" s="406" t="s">
        <v>324</v>
      </c>
      <c r="DI2818" s="406" t="str">
        <f t="shared" si="75"/>
        <v>PE, Caetés</v>
      </c>
      <c r="DJ2818" s="406">
        <v>-8.7729999999999997</v>
      </c>
      <c r="DK2818" s="80">
        <v>-36.622999999999998</v>
      </c>
      <c r="DL2818" s="80">
        <v>849</v>
      </c>
      <c r="DM2818" s="64">
        <v>8</v>
      </c>
      <c r="DN2818" s="406" t="s">
        <v>6142</v>
      </c>
      <c r="DO2818" s="406">
        <v>-8.89</v>
      </c>
      <c r="DP2818" s="80">
        <v>823</v>
      </c>
    </row>
    <row r="2819" spans="29:120" x14ac:dyDescent="0.25">
      <c r="AC2819" s="122" t="s">
        <v>311</v>
      </c>
      <c r="AD2819" s="122" t="s">
        <v>3160</v>
      </c>
      <c r="AE2819" s="127">
        <v>3</v>
      </c>
      <c r="DA2819" s="122" t="s">
        <v>323</v>
      </c>
      <c r="DB2819" s="122" t="s">
        <v>1998</v>
      </c>
      <c r="DC2819" s="122" t="s">
        <v>1998</v>
      </c>
      <c r="DD2819" s="127">
        <v>8</v>
      </c>
      <c r="DE2819" s="127">
        <v>8</v>
      </c>
      <c r="DG2819" s="405" t="s">
        <v>323</v>
      </c>
      <c r="DH2819" s="406" t="s">
        <v>1998</v>
      </c>
      <c r="DI2819" s="406" t="str">
        <f t="shared" ref="DI2819:DI2882" si="76">CONCATENATE(DG2819,", ",DH2819)</f>
        <v>PE, Calçado</v>
      </c>
      <c r="DJ2819" s="406">
        <v>-8.7420000000000009</v>
      </c>
      <c r="DK2819" s="80">
        <v>-36.334000000000003</v>
      </c>
      <c r="DL2819" s="80">
        <v>643</v>
      </c>
      <c r="DM2819" s="64">
        <v>8</v>
      </c>
      <c r="DN2819" s="406" t="s">
        <v>6142</v>
      </c>
      <c r="DO2819" s="406">
        <v>-8.89</v>
      </c>
      <c r="DP2819" s="80">
        <v>823</v>
      </c>
    </row>
    <row r="2820" spans="29:120" x14ac:dyDescent="0.25">
      <c r="AC2820" s="122" t="s">
        <v>236</v>
      </c>
      <c r="AD2820" s="122" t="s">
        <v>3161</v>
      </c>
      <c r="AE2820" s="127">
        <v>2</v>
      </c>
      <c r="DA2820" s="122" t="s">
        <v>323</v>
      </c>
      <c r="DB2820" s="122" t="s">
        <v>3284</v>
      </c>
      <c r="DC2820" s="122" t="s">
        <v>3284</v>
      </c>
      <c r="DD2820" s="127">
        <v>6</v>
      </c>
      <c r="DE2820" s="127">
        <v>6</v>
      </c>
      <c r="DG2820" s="405" t="s">
        <v>323</v>
      </c>
      <c r="DH2820" s="406" t="s">
        <v>3284</v>
      </c>
      <c r="DI2820" s="406" t="str">
        <f t="shared" si="76"/>
        <v>PE, Calumbi</v>
      </c>
      <c r="DJ2820" s="406">
        <v>-7.9409999999999998</v>
      </c>
      <c r="DK2820" s="80">
        <v>-38.15</v>
      </c>
      <c r="DL2820" s="80">
        <v>446</v>
      </c>
      <c r="DM2820" s="64">
        <v>6</v>
      </c>
      <c r="DN2820" s="406" t="s">
        <v>7509</v>
      </c>
      <c r="DO2820" s="406">
        <v>-7.95</v>
      </c>
      <c r="DP2820" s="80">
        <v>461</v>
      </c>
    </row>
    <row r="2821" spans="29:120" x14ac:dyDescent="0.25">
      <c r="AC2821" s="122" t="s">
        <v>333</v>
      </c>
      <c r="AD2821" s="122" t="s">
        <v>3162</v>
      </c>
      <c r="AE2821" s="127">
        <v>3</v>
      </c>
      <c r="DA2821" s="122" t="s">
        <v>323</v>
      </c>
      <c r="DB2821" s="122" t="s">
        <v>5074</v>
      </c>
      <c r="DC2821" s="122" t="s">
        <v>5074</v>
      </c>
      <c r="DD2821" s="127">
        <v>8</v>
      </c>
      <c r="DE2821" s="127">
        <v>8</v>
      </c>
      <c r="DG2821" s="405" t="s">
        <v>323</v>
      </c>
      <c r="DH2821" s="406" t="s">
        <v>5074</v>
      </c>
      <c r="DI2821" s="406" t="str">
        <f t="shared" si="76"/>
        <v>PE, Camaragibe</v>
      </c>
      <c r="DJ2821" s="406">
        <v>-8.0220000000000002</v>
      </c>
      <c r="DK2821" s="80">
        <v>-34.981000000000002</v>
      </c>
      <c r="DL2821" s="80">
        <v>55</v>
      </c>
      <c r="DM2821" s="64">
        <v>8</v>
      </c>
      <c r="DN2821" s="406" t="s">
        <v>7586</v>
      </c>
      <c r="DO2821" s="406">
        <v>-8.0500000000000007</v>
      </c>
      <c r="DP2821" s="80">
        <v>10</v>
      </c>
    </row>
    <row r="2822" spans="29:120" x14ac:dyDescent="0.25">
      <c r="AC2822" s="122" t="s">
        <v>311</v>
      </c>
      <c r="AD2822" s="122" t="s">
        <v>3163</v>
      </c>
      <c r="AE2822" s="127">
        <v>3</v>
      </c>
      <c r="DA2822" s="122" t="s">
        <v>323</v>
      </c>
      <c r="DB2822" s="122" t="s">
        <v>7600</v>
      </c>
      <c r="DC2822" s="122" t="s">
        <v>2379</v>
      </c>
      <c r="DD2822" s="127">
        <v>8</v>
      </c>
      <c r="DE2822" s="127">
        <v>8</v>
      </c>
      <c r="DG2822" s="405" t="s">
        <v>323</v>
      </c>
      <c r="DH2822" s="406" t="s">
        <v>2379</v>
      </c>
      <c r="DI2822" s="406" t="str">
        <f t="shared" si="76"/>
        <v>PE, Camocim de São Félix</v>
      </c>
      <c r="DJ2822" s="406">
        <v>-8.359</v>
      </c>
      <c r="DK2822" s="80">
        <v>-35.762</v>
      </c>
      <c r="DL2822" s="80">
        <v>691</v>
      </c>
      <c r="DM2822" s="64">
        <v>8</v>
      </c>
      <c r="DN2822" s="406" t="s">
        <v>7589</v>
      </c>
      <c r="DO2822" s="406">
        <v>-8.24</v>
      </c>
      <c r="DP2822" s="80">
        <v>550</v>
      </c>
    </row>
    <row r="2823" spans="29:120" x14ac:dyDescent="0.25">
      <c r="AC2823" s="122" t="s">
        <v>311</v>
      </c>
      <c r="AD2823" s="122" t="s">
        <v>588</v>
      </c>
      <c r="AE2823" s="127">
        <v>3</v>
      </c>
      <c r="DA2823" s="122" t="s">
        <v>323</v>
      </c>
      <c r="DB2823" s="122" t="s">
        <v>5012</v>
      </c>
      <c r="DC2823" s="122" t="s">
        <v>5012</v>
      </c>
      <c r="DD2823" s="127">
        <v>8</v>
      </c>
      <c r="DE2823" s="127">
        <v>8</v>
      </c>
      <c r="DG2823" s="405" t="s">
        <v>323</v>
      </c>
      <c r="DH2823" s="406" t="s">
        <v>5012</v>
      </c>
      <c r="DI2823" s="406" t="str">
        <f t="shared" si="76"/>
        <v>PE, Camutanga</v>
      </c>
      <c r="DJ2823" s="406">
        <v>-7.407</v>
      </c>
      <c r="DK2823" s="80">
        <v>-35.274000000000001</v>
      </c>
      <c r="DL2823" s="80">
        <v>98</v>
      </c>
      <c r="DM2823" s="64">
        <v>8</v>
      </c>
      <c r="DN2823" s="406" t="s">
        <v>7496</v>
      </c>
      <c r="DO2823" s="406">
        <v>-7.11</v>
      </c>
      <c r="DP2823" s="80">
        <v>44</v>
      </c>
    </row>
    <row r="2824" spans="29:120" x14ac:dyDescent="0.25">
      <c r="AC2824" s="122" t="s">
        <v>317</v>
      </c>
      <c r="AD2824" s="122" t="s">
        <v>3164</v>
      </c>
      <c r="AE2824" s="127">
        <v>8</v>
      </c>
      <c r="DA2824" s="122" t="s">
        <v>323</v>
      </c>
      <c r="DB2824" s="122" t="s">
        <v>2451</v>
      </c>
      <c r="DC2824" s="122" t="s">
        <v>2451</v>
      </c>
      <c r="DD2824" s="127">
        <v>8</v>
      </c>
      <c r="DE2824" s="127">
        <v>8</v>
      </c>
      <c r="DG2824" s="405" t="s">
        <v>323</v>
      </c>
      <c r="DH2824" s="406" t="s">
        <v>2451</v>
      </c>
      <c r="DI2824" s="406" t="str">
        <f t="shared" si="76"/>
        <v>PE, Canhotinho</v>
      </c>
      <c r="DJ2824" s="406">
        <v>-8.8819999999999997</v>
      </c>
      <c r="DK2824" s="80">
        <v>-36.191000000000003</v>
      </c>
      <c r="DL2824" s="80">
        <v>520</v>
      </c>
      <c r="DM2824" s="64">
        <v>8</v>
      </c>
      <c r="DN2824" s="406" t="s">
        <v>6142</v>
      </c>
      <c r="DO2824" s="406">
        <v>-8.89</v>
      </c>
      <c r="DP2824" s="80">
        <v>823</v>
      </c>
    </row>
    <row r="2825" spans="29:120" x14ac:dyDescent="0.25">
      <c r="AC2825" s="122" t="s">
        <v>311</v>
      </c>
      <c r="AD2825" s="122" t="s">
        <v>1667</v>
      </c>
      <c r="AE2825" s="127">
        <v>3</v>
      </c>
      <c r="DA2825" s="122" t="s">
        <v>323</v>
      </c>
      <c r="DB2825" s="122" t="s">
        <v>439</v>
      </c>
      <c r="DC2825" s="122" t="s">
        <v>439</v>
      </c>
      <c r="DD2825" s="127">
        <v>8</v>
      </c>
      <c r="DE2825" s="127">
        <v>8</v>
      </c>
      <c r="DG2825" s="405" t="s">
        <v>323</v>
      </c>
      <c r="DH2825" s="406" t="s">
        <v>439</v>
      </c>
      <c r="DI2825" s="406" t="str">
        <f t="shared" si="76"/>
        <v>PE, Capoeiras</v>
      </c>
      <c r="DJ2825" s="406">
        <v>-8.7349999999999994</v>
      </c>
      <c r="DK2825" s="80">
        <v>-36.627000000000002</v>
      </c>
      <c r="DL2825" s="80">
        <v>888</v>
      </c>
      <c r="DM2825" s="64">
        <v>8</v>
      </c>
      <c r="DN2825" s="406" t="s">
        <v>6142</v>
      </c>
      <c r="DO2825" s="406">
        <v>-8.89</v>
      </c>
      <c r="DP2825" s="80">
        <v>823</v>
      </c>
    </row>
    <row r="2826" spans="29:120" x14ac:dyDescent="0.25">
      <c r="AC2826" s="122" t="s">
        <v>311</v>
      </c>
      <c r="AD2826" s="122" t="s">
        <v>3165</v>
      </c>
      <c r="AE2826" s="127">
        <v>3</v>
      </c>
      <c r="DA2826" s="122" t="s">
        <v>323</v>
      </c>
      <c r="DB2826" s="122" t="s">
        <v>5399</v>
      </c>
      <c r="DC2826" s="122" t="s">
        <v>5399</v>
      </c>
      <c r="DD2826" s="127">
        <v>6</v>
      </c>
      <c r="DE2826" s="127">
        <v>6</v>
      </c>
      <c r="DG2826" s="405" t="s">
        <v>323</v>
      </c>
      <c r="DH2826" s="406" t="s">
        <v>5399</v>
      </c>
      <c r="DI2826" s="406" t="str">
        <f t="shared" si="76"/>
        <v>PE, Carnaíba</v>
      </c>
      <c r="DJ2826" s="406">
        <v>-7.8049999999999997</v>
      </c>
      <c r="DK2826" s="80">
        <v>-37.793999999999997</v>
      </c>
      <c r="DL2826" s="80">
        <v>485</v>
      </c>
      <c r="DM2826" s="64">
        <v>6</v>
      </c>
      <c r="DN2826" s="406" t="s">
        <v>7509</v>
      </c>
      <c r="DO2826" s="406">
        <v>-7.95</v>
      </c>
      <c r="DP2826" s="80">
        <v>461</v>
      </c>
    </row>
    <row r="2827" spans="29:120" x14ac:dyDescent="0.25">
      <c r="AC2827" s="122" t="s">
        <v>236</v>
      </c>
      <c r="AD2827" s="122" t="s">
        <v>3166</v>
      </c>
      <c r="AE2827" s="127">
        <v>2</v>
      </c>
      <c r="DA2827" s="122" t="s">
        <v>323</v>
      </c>
      <c r="DB2827" s="122" t="s">
        <v>7601</v>
      </c>
      <c r="DC2827" s="122" t="s">
        <v>2513</v>
      </c>
      <c r="DD2827" s="127">
        <v>7</v>
      </c>
      <c r="DE2827" s="127">
        <v>7</v>
      </c>
      <c r="DG2827" s="405" t="s">
        <v>323</v>
      </c>
      <c r="DH2827" s="406" t="s">
        <v>2513</v>
      </c>
      <c r="DI2827" s="406" t="str">
        <f t="shared" si="76"/>
        <v>PE, Carnaubeira da Penha</v>
      </c>
      <c r="DJ2827" s="406">
        <v>-8.3219999999999992</v>
      </c>
      <c r="DK2827" s="80">
        <v>-38.744</v>
      </c>
      <c r="DL2827" s="80">
        <v>446</v>
      </c>
      <c r="DM2827" s="64">
        <v>7</v>
      </c>
      <c r="DN2827" s="406" t="s">
        <v>6352</v>
      </c>
      <c r="DO2827" s="406">
        <v>-8.61</v>
      </c>
      <c r="DP2827" s="80">
        <v>329</v>
      </c>
    </row>
    <row r="2828" spans="29:120" x14ac:dyDescent="0.25">
      <c r="AC2828" s="122" t="s">
        <v>311</v>
      </c>
      <c r="AD2828" s="122" t="s">
        <v>3167</v>
      </c>
      <c r="AE2828" s="127">
        <v>3</v>
      </c>
      <c r="DA2828" s="122" t="s">
        <v>323</v>
      </c>
      <c r="DB2828" s="122" t="s">
        <v>1842</v>
      </c>
      <c r="DC2828" s="122" t="s">
        <v>1842</v>
      </c>
      <c r="DD2828" s="127">
        <v>8</v>
      </c>
      <c r="DE2828" s="127">
        <v>8</v>
      </c>
      <c r="DG2828" s="405" t="s">
        <v>323</v>
      </c>
      <c r="DH2828" s="406" t="s">
        <v>1842</v>
      </c>
      <c r="DI2828" s="406" t="str">
        <f t="shared" si="76"/>
        <v>PE, Carpina</v>
      </c>
      <c r="DJ2828" s="406">
        <v>-7.851</v>
      </c>
      <c r="DK2828" s="80">
        <v>-35.255000000000003</v>
      </c>
      <c r="DL2828" s="80">
        <v>184</v>
      </c>
      <c r="DM2828" s="64">
        <v>8</v>
      </c>
      <c r="DN2828" s="406" t="s">
        <v>7586</v>
      </c>
      <c r="DO2828" s="406">
        <v>-8.0500000000000007</v>
      </c>
      <c r="DP2828" s="80">
        <v>10</v>
      </c>
    </row>
    <row r="2829" spans="29:120" x14ac:dyDescent="0.25">
      <c r="AC2829" s="122" t="s">
        <v>311</v>
      </c>
      <c r="AD2829" s="122" t="s">
        <v>3168</v>
      </c>
      <c r="AE2829" s="127">
        <v>2</v>
      </c>
      <c r="DA2829" s="122" t="s">
        <v>323</v>
      </c>
      <c r="DB2829" s="122" t="s">
        <v>2386</v>
      </c>
      <c r="DC2829" s="122" t="s">
        <v>2386</v>
      </c>
      <c r="DD2829" s="127">
        <v>8</v>
      </c>
      <c r="DE2829" s="127">
        <v>8</v>
      </c>
      <c r="DG2829" s="405" t="s">
        <v>323</v>
      </c>
      <c r="DH2829" s="406" t="s">
        <v>2386</v>
      </c>
      <c r="DI2829" s="406" t="str">
        <f t="shared" si="76"/>
        <v>PE, Caruaru</v>
      </c>
      <c r="DJ2829" s="406">
        <v>-8.2829999999999995</v>
      </c>
      <c r="DK2829" s="80">
        <v>-35.975999999999999</v>
      </c>
      <c r="DL2829" s="80">
        <v>554</v>
      </c>
      <c r="DM2829" s="64">
        <v>8</v>
      </c>
      <c r="DN2829" s="406" t="s">
        <v>7589</v>
      </c>
      <c r="DO2829" s="406">
        <v>-8.24</v>
      </c>
      <c r="DP2829" s="80">
        <v>550</v>
      </c>
    </row>
    <row r="2830" spans="29:120" x14ac:dyDescent="0.25">
      <c r="AC2830" s="122" t="s">
        <v>311</v>
      </c>
      <c r="AD2830" s="122" t="s">
        <v>3169</v>
      </c>
      <c r="AE2830" s="127">
        <v>2</v>
      </c>
      <c r="DA2830" s="122" t="s">
        <v>323</v>
      </c>
      <c r="DB2830" s="122" t="s">
        <v>2766</v>
      </c>
      <c r="DC2830" s="122" t="s">
        <v>2766</v>
      </c>
      <c r="DD2830" s="127">
        <v>8</v>
      </c>
      <c r="DE2830" s="127">
        <v>8</v>
      </c>
      <c r="DG2830" s="405" t="s">
        <v>323</v>
      </c>
      <c r="DH2830" s="406" t="s">
        <v>2766</v>
      </c>
      <c r="DI2830" s="406" t="str">
        <f t="shared" si="76"/>
        <v>PE, Casinhas</v>
      </c>
      <c r="DJ2830" s="406">
        <v>-7.7409999999999997</v>
      </c>
      <c r="DK2830" s="80">
        <v>-35.720999999999997</v>
      </c>
      <c r="DL2830" s="80">
        <v>457</v>
      </c>
      <c r="DM2830" s="64">
        <v>8</v>
      </c>
      <c r="DN2830" s="406" t="s">
        <v>7494</v>
      </c>
      <c r="DO2830" s="406">
        <v>-7.84</v>
      </c>
      <c r="DP2830" s="80">
        <v>418</v>
      </c>
    </row>
    <row r="2831" spans="29:120" x14ac:dyDescent="0.25">
      <c r="AC2831" s="122" t="s">
        <v>236</v>
      </c>
      <c r="AD2831" s="122" t="s">
        <v>3170</v>
      </c>
      <c r="AE2831" s="127">
        <v>2</v>
      </c>
      <c r="DA2831" s="122" t="s">
        <v>323</v>
      </c>
      <c r="DB2831" s="122" t="s">
        <v>5115</v>
      </c>
      <c r="DC2831" s="122" t="s">
        <v>5115</v>
      </c>
      <c r="DD2831" s="127">
        <v>8</v>
      </c>
      <c r="DE2831" s="127">
        <v>8</v>
      </c>
      <c r="DG2831" s="405" t="s">
        <v>323</v>
      </c>
      <c r="DH2831" s="406" t="s">
        <v>5115</v>
      </c>
      <c r="DI2831" s="406" t="str">
        <f t="shared" si="76"/>
        <v>PE, Catende</v>
      </c>
      <c r="DJ2831" s="406">
        <v>-8.6669999999999998</v>
      </c>
      <c r="DK2831" s="80">
        <v>-35.716999999999999</v>
      </c>
      <c r="DL2831" s="80">
        <v>168</v>
      </c>
      <c r="DM2831" s="64">
        <v>8</v>
      </c>
      <c r="DN2831" s="406" t="s">
        <v>6097</v>
      </c>
      <c r="DO2831" s="406">
        <v>-8.67</v>
      </c>
      <c r="DP2831" s="80">
        <v>180</v>
      </c>
    </row>
    <row r="2832" spans="29:120" x14ac:dyDescent="0.25">
      <c r="AC2832" s="122" t="s">
        <v>311</v>
      </c>
      <c r="AD2832" s="122" t="s">
        <v>3171</v>
      </c>
      <c r="AE2832" s="127">
        <v>3</v>
      </c>
      <c r="DA2832" s="122" t="s">
        <v>323</v>
      </c>
      <c r="DB2832" s="122" t="s">
        <v>4592</v>
      </c>
      <c r="DC2832" s="122" t="s">
        <v>4592</v>
      </c>
      <c r="DD2832" s="127">
        <v>7</v>
      </c>
      <c r="DE2832" s="127">
        <v>7</v>
      </c>
      <c r="DG2832" s="405" t="s">
        <v>323</v>
      </c>
      <c r="DH2832" s="406" t="s">
        <v>4592</v>
      </c>
      <c r="DI2832" s="406" t="str">
        <f t="shared" si="76"/>
        <v>PE, Cedro</v>
      </c>
      <c r="DJ2832" s="406">
        <v>-7.7220000000000004</v>
      </c>
      <c r="DK2832" s="80">
        <v>-39.238999999999997</v>
      </c>
      <c r="DL2832" s="80">
        <v>546</v>
      </c>
      <c r="DM2832" s="64">
        <v>7</v>
      </c>
      <c r="DN2832" s="406" t="s">
        <v>6401</v>
      </c>
      <c r="DO2832" s="406">
        <v>-7.3</v>
      </c>
      <c r="DP2832" s="80">
        <v>409</v>
      </c>
    </row>
    <row r="2833" spans="29:120" x14ac:dyDescent="0.25">
      <c r="AC2833" s="122" t="s">
        <v>311</v>
      </c>
      <c r="AD2833" s="122" t="s">
        <v>3172</v>
      </c>
      <c r="AE2833" s="127">
        <v>2</v>
      </c>
      <c r="DA2833" s="122" t="s">
        <v>323</v>
      </c>
      <c r="DB2833" s="122" t="s">
        <v>7602</v>
      </c>
      <c r="DC2833" s="122" t="s">
        <v>4236</v>
      </c>
      <c r="DD2833" s="127">
        <v>8</v>
      </c>
      <c r="DE2833" s="127">
        <v>8</v>
      </c>
      <c r="DG2833" s="405" t="s">
        <v>323</v>
      </c>
      <c r="DH2833" s="406" t="s">
        <v>4236</v>
      </c>
      <c r="DI2833" s="406" t="str">
        <f t="shared" si="76"/>
        <v>PE, Chã de Alegria</v>
      </c>
      <c r="DJ2833" s="406">
        <v>-8.0009999999999994</v>
      </c>
      <c r="DK2833" s="80">
        <v>-35.213000000000001</v>
      </c>
      <c r="DL2833" s="80">
        <v>160</v>
      </c>
      <c r="DM2833" s="64">
        <v>8</v>
      </c>
      <c r="DN2833" s="406" t="s">
        <v>7586</v>
      </c>
      <c r="DO2833" s="406">
        <v>-8.0500000000000007</v>
      </c>
      <c r="DP2833" s="80">
        <v>10</v>
      </c>
    </row>
    <row r="2834" spans="29:120" x14ac:dyDescent="0.25">
      <c r="AC2834" s="122" t="s">
        <v>311</v>
      </c>
      <c r="AD2834" s="122" t="s">
        <v>3173</v>
      </c>
      <c r="AE2834" s="127">
        <v>3</v>
      </c>
      <c r="DA2834" s="122" t="s">
        <v>323</v>
      </c>
      <c r="DB2834" s="122" t="s">
        <v>7603</v>
      </c>
      <c r="DC2834" s="122" t="s">
        <v>2439</v>
      </c>
      <c r="DD2834" s="127">
        <v>8</v>
      </c>
      <c r="DE2834" s="127">
        <v>8</v>
      </c>
      <c r="DG2834" s="405" t="s">
        <v>323</v>
      </c>
      <c r="DH2834" s="406" t="s">
        <v>2439</v>
      </c>
      <c r="DI2834" s="406" t="str">
        <f t="shared" si="76"/>
        <v>PE, Chã Grande</v>
      </c>
      <c r="DJ2834" s="406">
        <v>-8.2379999999999995</v>
      </c>
      <c r="DK2834" s="80">
        <v>-35.462000000000003</v>
      </c>
      <c r="DL2834" s="80">
        <v>470</v>
      </c>
      <c r="DM2834" s="64">
        <v>8</v>
      </c>
      <c r="DN2834" s="406" t="s">
        <v>6097</v>
      </c>
      <c r="DO2834" s="406">
        <v>-8.67</v>
      </c>
      <c r="DP2834" s="80">
        <v>180</v>
      </c>
    </row>
    <row r="2835" spans="29:120" x14ac:dyDescent="0.25">
      <c r="AC2835" s="122" t="s">
        <v>311</v>
      </c>
      <c r="AD2835" s="122" t="s">
        <v>3174</v>
      </c>
      <c r="AE2835" s="127">
        <v>3</v>
      </c>
      <c r="DA2835" s="122" t="s">
        <v>323</v>
      </c>
      <c r="DB2835" s="122" t="s">
        <v>4507</v>
      </c>
      <c r="DC2835" s="122" t="s">
        <v>4507</v>
      </c>
      <c r="DD2835" s="127">
        <v>8</v>
      </c>
      <c r="DE2835" s="127">
        <v>8</v>
      </c>
      <c r="DG2835" s="405" t="s">
        <v>323</v>
      </c>
      <c r="DH2835" s="406" t="s">
        <v>4507</v>
      </c>
      <c r="DI2835" s="406" t="str">
        <f t="shared" si="76"/>
        <v>PE, Condado</v>
      </c>
      <c r="DJ2835" s="406">
        <v>-7.5860000000000003</v>
      </c>
      <c r="DK2835" s="80">
        <v>-35.106000000000002</v>
      </c>
      <c r="DL2835" s="80">
        <v>129</v>
      </c>
      <c r="DM2835" s="64">
        <v>8</v>
      </c>
      <c r="DN2835" s="406" t="s">
        <v>7586</v>
      </c>
      <c r="DO2835" s="406">
        <v>-8.0500000000000007</v>
      </c>
      <c r="DP2835" s="80">
        <v>10</v>
      </c>
    </row>
    <row r="2836" spans="29:120" x14ac:dyDescent="0.25">
      <c r="AC2836" s="122" t="s">
        <v>311</v>
      </c>
      <c r="AD2836" s="122" t="s">
        <v>3175</v>
      </c>
      <c r="AE2836" s="127">
        <v>3</v>
      </c>
      <c r="DA2836" s="122" t="s">
        <v>323</v>
      </c>
      <c r="DB2836" s="122" t="s">
        <v>2450</v>
      </c>
      <c r="DC2836" s="122" t="s">
        <v>2450</v>
      </c>
      <c r="DD2836" s="127">
        <v>8</v>
      </c>
      <c r="DE2836" s="127">
        <v>8</v>
      </c>
      <c r="DG2836" s="405" t="s">
        <v>323</v>
      </c>
      <c r="DH2836" s="406" t="s">
        <v>2450</v>
      </c>
      <c r="DI2836" s="406" t="str">
        <f t="shared" si="76"/>
        <v>PE, Correntes</v>
      </c>
      <c r="DJ2836" s="406">
        <v>-9.1289999999999996</v>
      </c>
      <c r="DK2836" s="80">
        <v>-36.33</v>
      </c>
      <c r="DL2836" s="80">
        <v>391</v>
      </c>
      <c r="DM2836" s="64">
        <v>8</v>
      </c>
      <c r="DN2836" s="406" t="s">
        <v>6142</v>
      </c>
      <c r="DO2836" s="406">
        <v>-8.89</v>
      </c>
      <c r="DP2836" s="80">
        <v>823</v>
      </c>
    </row>
    <row r="2837" spans="29:120" x14ac:dyDescent="0.25">
      <c r="AC2837" s="122" t="s">
        <v>311</v>
      </c>
      <c r="AD2837" s="122" t="s">
        <v>3176</v>
      </c>
      <c r="AE2837" s="127">
        <v>3</v>
      </c>
      <c r="DA2837" s="122" t="s">
        <v>323</v>
      </c>
      <c r="DB2837" s="122" t="s">
        <v>5126</v>
      </c>
      <c r="DC2837" s="122" t="s">
        <v>5126</v>
      </c>
      <c r="DD2837" s="127">
        <v>8</v>
      </c>
      <c r="DE2837" s="127">
        <v>8</v>
      </c>
      <c r="DG2837" s="405" t="s">
        <v>323</v>
      </c>
      <c r="DH2837" s="406" t="s">
        <v>5126</v>
      </c>
      <c r="DI2837" s="406" t="str">
        <f t="shared" si="76"/>
        <v>PE, Cortês</v>
      </c>
      <c r="DJ2837" s="406">
        <v>-8.4700000000000006</v>
      </c>
      <c r="DK2837" s="80">
        <v>-35.540999999999997</v>
      </c>
      <c r="DL2837" s="80">
        <v>302</v>
      </c>
      <c r="DM2837" s="64">
        <v>8</v>
      </c>
      <c r="DN2837" s="406" t="s">
        <v>6097</v>
      </c>
      <c r="DO2837" s="406">
        <v>-8.67</v>
      </c>
      <c r="DP2837" s="80">
        <v>180</v>
      </c>
    </row>
    <row r="2838" spans="29:120" x14ac:dyDescent="0.25">
      <c r="AC2838" s="122" t="s">
        <v>317</v>
      </c>
      <c r="AD2838" s="122" t="s">
        <v>3177</v>
      </c>
      <c r="AE2838" s="127">
        <v>8</v>
      </c>
      <c r="DA2838" s="122" t="s">
        <v>323</v>
      </c>
      <c r="DB2838" s="122" t="s">
        <v>1856</v>
      </c>
      <c r="DC2838" s="122" t="s">
        <v>1856</v>
      </c>
      <c r="DD2838" s="127">
        <v>8</v>
      </c>
      <c r="DE2838" s="127">
        <v>8</v>
      </c>
      <c r="DG2838" s="405" t="s">
        <v>323</v>
      </c>
      <c r="DH2838" s="406" t="s">
        <v>1856</v>
      </c>
      <c r="DI2838" s="406" t="str">
        <f t="shared" si="76"/>
        <v>PE, Cumaru</v>
      </c>
      <c r="DJ2838" s="406">
        <v>-8.0060000000000002</v>
      </c>
      <c r="DK2838" s="80">
        <v>-35.697000000000003</v>
      </c>
      <c r="DL2838" s="80">
        <v>443</v>
      </c>
      <c r="DM2838" s="64">
        <v>8</v>
      </c>
      <c r="DN2838" s="406" t="s">
        <v>7494</v>
      </c>
      <c r="DO2838" s="406">
        <v>-7.84</v>
      </c>
      <c r="DP2838" s="80">
        <v>418</v>
      </c>
    </row>
    <row r="2839" spans="29:120" x14ac:dyDescent="0.25">
      <c r="AC2839" s="122" t="s">
        <v>311</v>
      </c>
      <c r="AD2839" s="122" t="s">
        <v>3178</v>
      </c>
      <c r="AE2839" s="127">
        <v>3</v>
      </c>
      <c r="DA2839" s="122" t="s">
        <v>323</v>
      </c>
      <c r="DB2839" s="122" t="s">
        <v>2200</v>
      </c>
      <c r="DC2839" s="122" t="s">
        <v>2200</v>
      </c>
      <c r="DD2839" s="127">
        <v>8</v>
      </c>
      <c r="DE2839" s="127">
        <v>8</v>
      </c>
      <c r="DG2839" s="405" t="s">
        <v>323</v>
      </c>
      <c r="DH2839" s="406" t="s">
        <v>2200</v>
      </c>
      <c r="DI2839" s="406" t="str">
        <f t="shared" si="76"/>
        <v>PE, Cupira</v>
      </c>
      <c r="DJ2839" s="406">
        <v>-8.6170000000000009</v>
      </c>
      <c r="DK2839" s="80">
        <v>-35.950000000000003</v>
      </c>
      <c r="DL2839" s="80">
        <v>416</v>
      </c>
      <c r="DM2839" s="64">
        <v>8</v>
      </c>
      <c r="DN2839" s="406" t="s">
        <v>6097</v>
      </c>
      <c r="DO2839" s="406">
        <v>-8.67</v>
      </c>
      <c r="DP2839" s="80">
        <v>180</v>
      </c>
    </row>
    <row r="2840" spans="29:120" x14ac:dyDescent="0.25">
      <c r="AC2840" s="122" t="s">
        <v>311</v>
      </c>
      <c r="AD2840" s="122" t="s">
        <v>3179</v>
      </c>
      <c r="AE2840" s="127">
        <v>3</v>
      </c>
      <c r="DA2840" s="122" t="s">
        <v>323</v>
      </c>
      <c r="DB2840" s="122" t="s">
        <v>2577</v>
      </c>
      <c r="DC2840" s="122" t="s">
        <v>2577</v>
      </c>
      <c r="DD2840" s="127">
        <v>6</v>
      </c>
      <c r="DE2840" s="127">
        <v>6</v>
      </c>
      <c r="DG2840" s="405" t="s">
        <v>323</v>
      </c>
      <c r="DH2840" s="406" t="s">
        <v>2577</v>
      </c>
      <c r="DI2840" s="406" t="str">
        <f t="shared" si="76"/>
        <v>PE, Custódia</v>
      </c>
      <c r="DJ2840" s="406">
        <v>-8.0879999999999992</v>
      </c>
      <c r="DK2840" s="80">
        <v>-37.643000000000001</v>
      </c>
      <c r="DL2840" s="80">
        <v>542</v>
      </c>
      <c r="DM2840" s="64">
        <v>6</v>
      </c>
      <c r="DN2840" s="406" t="s">
        <v>6100</v>
      </c>
      <c r="DO2840" s="406">
        <v>-8.51</v>
      </c>
      <c r="DP2840" s="80">
        <v>448</v>
      </c>
    </row>
    <row r="2841" spans="29:120" x14ac:dyDescent="0.25">
      <c r="AC2841" s="122" t="s">
        <v>311</v>
      </c>
      <c r="AD2841" s="122" t="s">
        <v>3180</v>
      </c>
      <c r="AE2841" s="127">
        <v>3</v>
      </c>
      <c r="DA2841" s="122" t="s">
        <v>323</v>
      </c>
      <c r="DB2841" s="122" t="s">
        <v>2487</v>
      </c>
      <c r="DC2841" s="122" t="s">
        <v>2487</v>
      </c>
      <c r="DD2841" s="127">
        <v>7</v>
      </c>
      <c r="DE2841" s="127">
        <v>7</v>
      </c>
      <c r="DG2841" s="405" t="s">
        <v>323</v>
      </c>
      <c r="DH2841" s="406" t="s">
        <v>2487</v>
      </c>
      <c r="DI2841" s="406" t="str">
        <f t="shared" si="76"/>
        <v>PE, Dormentes</v>
      </c>
      <c r="DJ2841" s="406">
        <v>-8.4469999999999992</v>
      </c>
      <c r="DK2841" s="80">
        <v>-40.771000000000001</v>
      </c>
      <c r="DL2841" s="80">
        <v>492</v>
      </c>
      <c r="DM2841" s="64">
        <v>7</v>
      </c>
      <c r="DN2841" s="406" t="s">
        <v>7588</v>
      </c>
      <c r="DO2841" s="406">
        <v>-8.14</v>
      </c>
      <c r="DP2841" s="80">
        <v>374</v>
      </c>
    </row>
    <row r="2842" spans="29:120" x14ac:dyDescent="0.25">
      <c r="AC2842" s="122" t="s">
        <v>236</v>
      </c>
      <c r="AD2842" s="122" t="s">
        <v>3181</v>
      </c>
      <c r="AE2842" s="127">
        <v>2</v>
      </c>
      <c r="DA2842" s="122" t="s">
        <v>323</v>
      </c>
      <c r="DB2842" s="122" t="s">
        <v>5029</v>
      </c>
      <c r="DC2842" s="122" t="s">
        <v>5029</v>
      </c>
      <c r="DD2842" s="127">
        <v>8</v>
      </c>
      <c r="DE2842" s="127">
        <v>8</v>
      </c>
      <c r="DG2842" s="405" t="s">
        <v>323</v>
      </c>
      <c r="DH2842" s="406" t="s">
        <v>5029</v>
      </c>
      <c r="DI2842" s="406" t="str">
        <f t="shared" si="76"/>
        <v>PE, Escada</v>
      </c>
      <c r="DJ2842" s="406">
        <v>-8.359</v>
      </c>
      <c r="DK2842" s="80">
        <v>-35.223999999999997</v>
      </c>
      <c r="DL2842" s="80">
        <v>109</v>
      </c>
      <c r="DM2842" s="64">
        <v>8</v>
      </c>
      <c r="DN2842" s="406" t="s">
        <v>7586</v>
      </c>
      <c r="DO2842" s="406">
        <v>-8.0500000000000007</v>
      </c>
      <c r="DP2842" s="80">
        <v>10</v>
      </c>
    </row>
    <row r="2843" spans="29:120" x14ac:dyDescent="0.25">
      <c r="AC2843" s="122" t="s">
        <v>311</v>
      </c>
      <c r="AD2843" s="122" t="s">
        <v>2800</v>
      </c>
      <c r="AE2843" s="127">
        <v>3</v>
      </c>
      <c r="DA2843" s="122" t="s">
        <v>323</v>
      </c>
      <c r="DB2843" s="122" t="s">
        <v>5474</v>
      </c>
      <c r="DC2843" s="122" t="s">
        <v>5474</v>
      </c>
      <c r="DD2843" s="127">
        <v>7</v>
      </c>
      <c r="DE2843" s="127">
        <v>7</v>
      </c>
      <c r="DG2843" s="405" t="s">
        <v>323</v>
      </c>
      <c r="DH2843" s="406" t="s">
        <v>5474</v>
      </c>
      <c r="DI2843" s="406" t="str">
        <f t="shared" si="76"/>
        <v>PE, Exu</v>
      </c>
      <c r="DJ2843" s="406">
        <v>-7.5119999999999996</v>
      </c>
      <c r="DK2843" s="80">
        <v>-39.723999999999997</v>
      </c>
      <c r="DL2843" s="80">
        <v>523</v>
      </c>
      <c r="DM2843" s="64">
        <v>7</v>
      </c>
      <c r="DN2843" s="406" t="s">
        <v>6401</v>
      </c>
      <c r="DO2843" s="406">
        <v>-7.3</v>
      </c>
      <c r="DP2843" s="80">
        <v>409</v>
      </c>
    </row>
    <row r="2844" spans="29:120" x14ac:dyDescent="0.25">
      <c r="AC2844" s="122" t="s">
        <v>311</v>
      </c>
      <c r="AD2844" s="122" t="s">
        <v>3182</v>
      </c>
      <c r="AE2844" s="127">
        <v>3</v>
      </c>
      <c r="DA2844" s="122" t="s">
        <v>323</v>
      </c>
      <c r="DB2844" s="122" t="s">
        <v>7604</v>
      </c>
      <c r="DC2844" s="122" t="s">
        <v>2546</v>
      </c>
      <c r="DD2844" s="127">
        <v>8</v>
      </c>
      <c r="DE2844" s="127">
        <v>8</v>
      </c>
      <c r="DG2844" s="405" t="s">
        <v>323</v>
      </c>
      <c r="DH2844" s="406" t="s">
        <v>2546</v>
      </c>
      <c r="DI2844" s="406" t="str">
        <f t="shared" si="76"/>
        <v>PE, Feira Nova</v>
      </c>
      <c r="DJ2844" s="406">
        <v>-7.9509999999999996</v>
      </c>
      <c r="DK2844" s="80">
        <v>-35.389000000000003</v>
      </c>
      <c r="DL2844" s="80">
        <v>154</v>
      </c>
      <c r="DM2844" s="64">
        <v>8</v>
      </c>
      <c r="DN2844" s="406" t="s">
        <v>7494</v>
      </c>
      <c r="DO2844" s="406">
        <v>-7.84</v>
      </c>
      <c r="DP2844" s="80">
        <v>418</v>
      </c>
    </row>
    <row r="2845" spans="29:120" x14ac:dyDescent="0.25">
      <c r="AC2845" s="122" t="s">
        <v>311</v>
      </c>
      <c r="AD2845" s="122" t="s">
        <v>3183</v>
      </c>
      <c r="AE2845" s="127">
        <v>3</v>
      </c>
      <c r="DA2845" s="122" t="s">
        <v>323</v>
      </c>
      <c r="DB2845" s="122" t="s">
        <v>4080</v>
      </c>
      <c r="DC2845" s="122" t="s">
        <v>4080</v>
      </c>
      <c r="DD2845" s="127">
        <v>8</v>
      </c>
      <c r="DE2845" s="127">
        <v>8</v>
      </c>
      <c r="DG2845" s="405" t="s">
        <v>323</v>
      </c>
      <c r="DH2845" s="406" t="s">
        <v>4080</v>
      </c>
      <c r="DI2845" s="406" t="str">
        <f t="shared" si="76"/>
        <v>PE, Ferreiros</v>
      </c>
      <c r="DJ2845" s="406">
        <v>-7.4480000000000004</v>
      </c>
      <c r="DK2845" s="80">
        <v>-35.244</v>
      </c>
      <c r="DL2845" s="80">
        <v>96</v>
      </c>
      <c r="DM2845" s="64">
        <v>8</v>
      </c>
      <c r="DN2845" s="406" t="s">
        <v>7496</v>
      </c>
      <c r="DO2845" s="406">
        <v>-7.11</v>
      </c>
      <c r="DP2845" s="80">
        <v>44</v>
      </c>
    </row>
    <row r="2846" spans="29:120" x14ac:dyDescent="0.25">
      <c r="AC2846" s="122" t="s">
        <v>311</v>
      </c>
      <c r="AD2846" s="122" t="s">
        <v>3184</v>
      </c>
      <c r="AE2846" s="127">
        <v>3</v>
      </c>
      <c r="DA2846" s="122" t="s">
        <v>323</v>
      </c>
      <c r="DB2846" s="122" t="s">
        <v>2523</v>
      </c>
      <c r="DC2846" s="122" t="s">
        <v>2523</v>
      </c>
      <c r="DD2846" s="127">
        <v>6</v>
      </c>
      <c r="DE2846" s="127">
        <v>6</v>
      </c>
      <c r="DG2846" s="405" t="s">
        <v>323</v>
      </c>
      <c r="DH2846" s="406" t="s">
        <v>2523</v>
      </c>
      <c r="DI2846" s="406" t="str">
        <f t="shared" si="76"/>
        <v>PE, Flores</v>
      </c>
      <c r="DJ2846" s="406">
        <v>-7.8659999999999997</v>
      </c>
      <c r="DK2846" s="80">
        <v>-37.975000000000001</v>
      </c>
      <c r="DL2846" s="80">
        <v>466</v>
      </c>
      <c r="DM2846" s="64">
        <v>6</v>
      </c>
      <c r="DN2846" s="406" t="s">
        <v>7509</v>
      </c>
      <c r="DO2846" s="406">
        <v>-7.95</v>
      </c>
      <c r="DP2846" s="80">
        <v>461</v>
      </c>
    </row>
    <row r="2847" spans="29:120" x14ac:dyDescent="0.25">
      <c r="AC2847" s="122" t="s">
        <v>358</v>
      </c>
      <c r="AD2847" s="122" t="s">
        <v>3185</v>
      </c>
      <c r="AE2847" s="127">
        <v>5</v>
      </c>
      <c r="DA2847" s="122" t="s">
        <v>323</v>
      </c>
      <c r="DB2847" s="122" t="s">
        <v>3303</v>
      </c>
      <c r="DC2847" s="122" t="s">
        <v>3303</v>
      </c>
      <c r="DD2847" s="127">
        <v>7</v>
      </c>
      <c r="DE2847" s="127">
        <v>7</v>
      </c>
      <c r="DG2847" s="405" t="s">
        <v>323</v>
      </c>
      <c r="DH2847" s="406" t="s">
        <v>3303</v>
      </c>
      <c r="DI2847" s="406" t="str">
        <f t="shared" si="76"/>
        <v>PE, Floresta</v>
      </c>
      <c r="DJ2847" s="406">
        <v>-8.6010000000000009</v>
      </c>
      <c r="DK2847" s="80">
        <v>-38.567999999999998</v>
      </c>
      <c r="DL2847" s="80">
        <v>316</v>
      </c>
      <c r="DM2847" s="64">
        <v>7</v>
      </c>
      <c r="DN2847" s="406" t="s">
        <v>6352</v>
      </c>
      <c r="DO2847" s="406">
        <v>-8.61</v>
      </c>
      <c r="DP2847" s="80">
        <v>329</v>
      </c>
    </row>
    <row r="2848" spans="29:120" x14ac:dyDescent="0.25">
      <c r="AC2848" s="122" t="s">
        <v>289</v>
      </c>
      <c r="AD2848" s="122" t="s">
        <v>3186</v>
      </c>
      <c r="AE2848" s="127">
        <v>8</v>
      </c>
      <c r="DA2848" s="122" t="s">
        <v>323</v>
      </c>
      <c r="DB2848" s="122" t="s">
        <v>7605</v>
      </c>
      <c r="DC2848" s="122" t="s">
        <v>2490</v>
      </c>
      <c r="DD2848" s="127">
        <v>8</v>
      </c>
      <c r="DE2848" s="127">
        <v>8</v>
      </c>
      <c r="DG2848" s="405" t="s">
        <v>323</v>
      </c>
      <c r="DH2848" s="406" t="s">
        <v>2490</v>
      </c>
      <c r="DI2848" s="406" t="str">
        <f t="shared" si="76"/>
        <v>PE, Frei Miguelinho</v>
      </c>
      <c r="DJ2848" s="406">
        <v>-7.94</v>
      </c>
      <c r="DK2848" s="80">
        <v>-35.911999999999999</v>
      </c>
      <c r="DL2848" s="80">
        <v>370</v>
      </c>
      <c r="DM2848" s="64">
        <v>8</v>
      </c>
      <c r="DN2848" s="406" t="s">
        <v>7494</v>
      </c>
      <c r="DO2848" s="406">
        <v>-7.84</v>
      </c>
      <c r="DP2848" s="80">
        <v>418</v>
      </c>
    </row>
    <row r="2849" spans="29:120" x14ac:dyDescent="0.25">
      <c r="AC2849" s="122" t="s">
        <v>311</v>
      </c>
      <c r="AD2849" s="122" t="s">
        <v>3187</v>
      </c>
      <c r="AE2849" s="127">
        <v>3</v>
      </c>
      <c r="DA2849" s="122" t="s">
        <v>323</v>
      </c>
      <c r="DB2849" s="122" t="s">
        <v>5335</v>
      </c>
      <c r="DC2849" s="122" t="s">
        <v>5335</v>
      </c>
      <c r="DD2849" s="127">
        <v>8</v>
      </c>
      <c r="DE2849" s="127">
        <v>8</v>
      </c>
      <c r="DG2849" s="405" t="s">
        <v>323</v>
      </c>
      <c r="DH2849" s="406" t="s">
        <v>5335</v>
      </c>
      <c r="DI2849" s="406" t="str">
        <f t="shared" si="76"/>
        <v>PE, Gameleira</v>
      </c>
      <c r="DJ2849" s="406">
        <v>-8.5839999999999996</v>
      </c>
      <c r="DK2849" s="80">
        <v>-35.387</v>
      </c>
      <c r="DL2849" s="80">
        <v>101</v>
      </c>
      <c r="DM2849" s="64">
        <v>8</v>
      </c>
      <c r="DN2849" s="406" t="s">
        <v>6097</v>
      </c>
      <c r="DO2849" s="406">
        <v>-8.67</v>
      </c>
      <c r="DP2849" s="80">
        <v>180</v>
      </c>
    </row>
    <row r="2850" spans="29:120" x14ac:dyDescent="0.25">
      <c r="AC2850" s="122" t="s">
        <v>311</v>
      </c>
      <c r="AD2850" s="122" t="s">
        <v>3188</v>
      </c>
      <c r="AE2850" s="127">
        <v>3</v>
      </c>
      <c r="DA2850" s="122" t="s">
        <v>323</v>
      </c>
      <c r="DB2850" s="122" t="s">
        <v>2400</v>
      </c>
      <c r="DC2850" s="122" t="s">
        <v>2400</v>
      </c>
      <c r="DD2850" s="127">
        <v>5</v>
      </c>
      <c r="DE2850" s="127">
        <v>5</v>
      </c>
      <c r="DG2850" s="405" t="s">
        <v>323</v>
      </c>
      <c r="DH2850" s="406" t="s">
        <v>2400</v>
      </c>
      <c r="DI2850" s="406" t="str">
        <f t="shared" si="76"/>
        <v>PE, Garanhuns</v>
      </c>
      <c r="DJ2850" s="406">
        <v>-8.89</v>
      </c>
      <c r="DK2850" s="80">
        <v>-36.493000000000002</v>
      </c>
      <c r="DL2850" s="80">
        <v>842</v>
      </c>
      <c r="DM2850" s="64">
        <v>5</v>
      </c>
      <c r="DN2850" s="406" t="s">
        <v>6142</v>
      </c>
      <c r="DO2850" s="406">
        <v>-8.89</v>
      </c>
      <c r="DP2850" s="80">
        <v>823</v>
      </c>
    </row>
    <row r="2851" spans="29:120" x14ac:dyDescent="0.25">
      <c r="AC2851" s="122" t="s">
        <v>311</v>
      </c>
      <c r="AD2851" s="122" t="s">
        <v>3189</v>
      </c>
      <c r="AE2851" s="127">
        <v>3</v>
      </c>
      <c r="DA2851" s="122" t="s">
        <v>323</v>
      </c>
      <c r="DB2851" s="122" t="s">
        <v>7606</v>
      </c>
      <c r="DC2851" s="122" t="s">
        <v>5056</v>
      </c>
      <c r="DD2851" s="127">
        <v>8</v>
      </c>
      <c r="DE2851" s="127">
        <v>8</v>
      </c>
      <c r="DG2851" s="405" t="s">
        <v>323</v>
      </c>
      <c r="DH2851" s="406" t="s">
        <v>5056</v>
      </c>
      <c r="DI2851" s="406" t="str">
        <f t="shared" si="76"/>
        <v>PE, Glória do Goitá</v>
      </c>
      <c r="DJ2851" s="406">
        <v>-8.0020000000000007</v>
      </c>
      <c r="DK2851" s="80">
        <v>-35.292999999999999</v>
      </c>
      <c r="DL2851" s="80">
        <v>158</v>
      </c>
      <c r="DM2851" s="64">
        <v>8</v>
      </c>
      <c r="DN2851" s="406" t="s">
        <v>7586</v>
      </c>
      <c r="DO2851" s="406">
        <v>-8.0500000000000007</v>
      </c>
      <c r="DP2851" s="80">
        <v>10</v>
      </c>
    </row>
    <row r="2852" spans="29:120" x14ac:dyDescent="0.25">
      <c r="AC2852" s="122" t="s">
        <v>311</v>
      </c>
      <c r="AD2852" s="122" t="s">
        <v>3190</v>
      </c>
      <c r="AE2852" s="127">
        <v>3</v>
      </c>
      <c r="DA2852" s="122" t="s">
        <v>323</v>
      </c>
      <c r="DB2852" s="122" t="s">
        <v>5069</v>
      </c>
      <c r="DC2852" s="122" t="s">
        <v>5069</v>
      </c>
      <c r="DD2852" s="127">
        <v>8</v>
      </c>
      <c r="DE2852" s="127">
        <v>8</v>
      </c>
      <c r="DG2852" s="405" t="s">
        <v>323</v>
      </c>
      <c r="DH2852" s="406" t="s">
        <v>5069</v>
      </c>
      <c r="DI2852" s="406" t="str">
        <f t="shared" si="76"/>
        <v>PE, Goiana</v>
      </c>
      <c r="DJ2852" s="406">
        <v>-7.5609999999999999</v>
      </c>
      <c r="DK2852" s="80">
        <v>-35.003</v>
      </c>
      <c r="DL2852" s="80">
        <v>13</v>
      </c>
      <c r="DM2852" s="64">
        <v>8</v>
      </c>
      <c r="DN2852" s="406" t="s">
        <v>7496</v>
      </c>
      <c r="DO2852" s="406">
        <v>-7.11</v>
      </c>
      <c r="DP2852" s="80">
        <v>44</v>
      </c>
    </row>
    <row r="2853" spans="29:120" x14ac:dyDescent="0.25">
      <c r="AC2853" s="122" t="s">
        <v>358</v>
      </c>
      <c r="AD2853" s="122" t="s">
        <v>3191</v>
      </c>
      <c r="AE2853" s="127">
        <v>3</v>
      </c>
      <c r="DA2853" s="122" t="s">
        <v>323</v>
      </c>
      <c r="DB2853" s="122" t="s">
        <v>2491</v>
      </c>
      <c r="DC2853" s="122" t="s">
        <v>2491</v>
      </c>
      <c r="DD2853" s="127">
        <v>7</v>
      </c>
      <c r="DE2853" s="127">
        <v>7</v>
      </c>
      <c r="DG2853" s="405" t="s">
        <v>323</v>
      </c>
      <c r="DH2853" s="406" t="s">
        <v>2491</v>
      </c>
      <c r="DI2853" s="406" t="str">
        <f t="shared" si="76"/>
        <v>PE, Granito</v>
      </c>
      <c r="DJ2853" s="406">
        <v>-7.7160000000000002</v>
      </c>
      <c r="DK2853" s="80">
        <v>-39.615000000000002</v>
      </c>
      <c r="DL2853" s="80">
        <v>447</v>
      </c>
      <c r="DM2853" s="64">
        <v>7</v>
      </c>
      <c r="DN2853" s="406" t="s">
        <v>6401</v>
      </c>
      <c r="DO2853" s="406">
        <v>-7.3</v>
      </c>
      <c r="DP2853" s="80">
        <v>409</v>
      </c>
    </row>
    <row r="2854" spans="29:120" x14ac:dyDescent="0.25">
      <c r="AC2854" s="122" t="s">
        <v>311</v>
      </c>
      <c r="AD2854" s="122" t="s">
        <v>3192</v>
      </c>
      <c r="AE2854" s="127">
        <v>3</v>
      </c>
      <c r="DA2854" s="122" t="s">
        <v>323</v>
      </c>
      <c r="DB2854" s="122" t="s">
        <v>2422</v>
      </c>
      <c r="DC2854" s="122" t="s">
        <v>2422</v>
      </c>
      <c r="DD2854" s="127">
        <v>8</v>
      </c>
      <c r="DE2854" s="127">
        <v>8</v>
      </c>
      <c r="DG2854" s="405" t="s">
        <v>323</v>
      </c>
      <c r="DH2854" s="406" t="s">
        <v>2422</v>
      </c>
      <c r="DI2854" s="406" t="str">
        <f t="shared" si="76"/>
        <v>PE, Gravatá</v>
      </c>
      <c r="DJ2854" s="406">
        <v>-8.2010000000000005</v>
      </c>
      <c r="DK2854" s="80">
        <v>-35.564999999999998</v>
      </c>
      <c r="DL2854" s="80">
        <v>447</v>
      </c>
      <c r="DM2854" s="64">
        <v>8</v>
      </c>
      <c r="DN2854" s="406" t="s">
        <v>7494</v>
      </c>
      <c r="DO2854" s="406">
        <v>-7.84</v>
      </c>
      <c r="DP2854" s="80">
        <v>418</v>
      </c>
    </row>
    <row r="2855" spans="29:120" x14ac:dyDescent="0.25">
      <c r="AC2855" s="122" t="s">
        <v>311</v>
      </c>
      <c r="AD2855" s="122" t="s">
        <v>3193</v>
      </c>
      <c r="AE2855" s="127">
        <v>3</v>
      </c>
      <c r="DA2855" s="122" t="s">
        <v>323</v>
      </c>
      <c r="DB2855" s="122" t="s">
        <v>2424</v>
      </c>
      <c r="DC2855" s="122" t="s">
        <v>2424</v>
      </c>
      <c r="DD2855" s="127">
        <v>8</v>
      </c>
      <c r="DE2855" s="127">
        <v>8</v>
      </c>
      <c r="DG2855" s="405" t="s">
        <v>323</v>
      </c>
      <c r="DH2855" s="406" t="s">
        <v>2424</v>
      </c>
      <c r="DI2855" s="406" t="str">
        <f t="shared" si="76"/>
        <v>PE, Iati</v>
      </c>
      <c r="DJ2855" s="406">
        <v>-9.0459999999999994</v>
      </c>
      <c r="DK2855" s="80">
        <v>-36.845999999999997</v>
      </c>
      <c r="DL2855" s="80">
        <v>487</v>
      </c>
      <c r="DM2855" s="64">
        <v>8</v>
      </c>
      <c r="DN2855" s="406" t="s">
        <v>6142</v>
      </c>
      <c r="DO2855" s="406">
        <v>-8.89</v>
      </c>
      <c r="DP2855" s="80">
        <v>823</v>
      </c>
    </row>
    <row r="2856" spans="29:120" x14ac:dyDescent="0.25">
      <c r="AC2856" s="122" t="s">
        <v>311</v>
      </c>
      <c r="AD2856" s="122" t="s">
        <v>3194</v>
      </c>
      <c r="AE2856" s="127">
        <v>2</v>
      </c>
      <c r="DA2856" s="122" t="s">
        <v>323</v>
      </c>
      <c r="DB2856" s="122" t="s">
        <v>5602</v>
      </c>
      <c r="DC2856" s="122" t="s">
        <v>5602</v>
      </c>
      <c r="DD2856" s="127">
        <v>8</v>
      </c>
      <c r="DE2856" s="127">
        <v>8</v>
      </c>
      <c r="DG2856" s="405" t="s">
        <v>323</v>
      </c>
      <c r="DH2856" s="406" t="s">
        <v>5602</v>
      </c>
      <c r="DI2856" s="406" t="str">
        <f t="shared" si="76"/>
        <v>PE, Ibimirim</v>
      </c>
      <c r="DJ2856" s="406">
        <v>-8.5410000000000004</v>
      </c>
      <c r="DK2856" s="80">
        <v>-37.69</v>
      </c>
      <c r="DL2856" s="80">
        <v>401</v>
      </c>
      <c r="DM2856" s="64">
        <v>8</v>
      </c>
      <c r="DN2856" s="406" t="s">
        <v>6100</v>
      </c>
      <c r="DO2856" s="406">
        <v>-8.51</v>
      </c>
      <c r="DP2856" s="80">
        <v>448</v>
      </c>
    </row>
    <row r="2857" spans="29:120" x14ac:dyDescent="0.25">
      <c r="AC2857" s="122" t="s">
        <v>358</v>
      </c>
      <c r="AD2857" s="122" t="s">
        <v>3195</v>
      </c>
      <c r="AE2857" s="127">
        <v>5</v>
      </c>
      <c r="DA2857" s="122" t="s">
        <v>323</v>
      </c>
      <c r="DB2857" s="122" t="s">
        <v>2304</v>
      </c>
      <c r="DC2857" s="122" t="s">
        <v>2304</v>
      </c>
      <c r="DD2857" s="127">
        <v>8</v>
      </c>
      <c r="DE2857" s="127">
        <v>8</v>
      </c>
      <c r="DG2857" s="405" t="s">
        <v>323</v>
      </c>
      <c r="DH2857" s="406" t="s">
        <v>2304</v>
      </c>
      <c r="DI2857" s="406" t="str">
        <f t="shared" si="76"/>
        <v>PE, Ibirajuba</v>
      </c>
      <c r="DJ2857" s="406">
        <v>-8.5809999999999995</v>
      </c>
      <c r="DK2857" s="80">
        <v>-36.179000000000002</v>
      </c>
      <c r="DL2857" s="80">
        <v>612</v>
      </c>
      <c r="DM2857" s="64">
        <v>8</v>
      </c>
      <c r="DN2857" s="406" t="s">
        <v>7589</v>
      </c>
      <c r="DO2857" s="406">
        <v>-8.24</v>
      </c>
      <c r="DP2857" s="80">
        <v>550</v>
      </c>
    </row>
    <row r="2858" spans="29:120" x14ac:dyDescent="0.25">
      <c r="AC2858" s="122" t="s">
        <v>311</v>
      </c>
      <c r="AD2858" s="122" t="s">
        <v>3196</v>
      </c>
      <c r="AE2858" s="127">
        <v>3</v>
      </c>
      <c r="DA2858" s="122" t="s">
        <v>323</v>
      </c>
      <c r="DB2858" s="122" t="s">
        <v>5357</v>
      </c>
      <c r="DC2858" s="122" t="s">
        <v>5357</v>
      </c>
      <c r="DD2858" s="127">
        <v>8</v>
      </c>
      <c r="DE2858" s="127">
        <v>8</v>
      </c>
      <c r="DG2858" s="405" t="s">
        <v>323</v>
      </c>
      <c r="DH2858" s="406" t="s">
        <v>5357</v>
      </c>
      <c r="DI2858" s="406" t="str">
        <f t="shared" si="76"/>
        <v>PE, Igarassu</v>
      </c>
      <c r="DJ2858" s="406">
        <v>-7.8339999999999996</v>
      </c>
      <c r="DK2858" s="80">
        <v>-34.905999999999999</v>
      </c>
      <c r="DL2858" s="80">
        <v>19</v>
      </c>
      <c r="DM2858" s="64">
        <v>8</v>
      </c>
      <c r="DN2858" s="406" t="s">
        <v>7586</v>
      </c>
      <c r="DO2858" s="406">
        <v>-8.0500000000000007</v>
      </c>
      <c r="DP2858" s="80">
        <v>10</v>
      </c>
    </row>
    <row r="2859" spans="29:120" x14ac:dyDescent="0.25">
      <c r="AC2859" s="122" t="s">
        <v>311</v>
      </c>
      <c r="AD2859" s="122" t="s">
        <v>3197</v>
      </c>
      <c r="AE2859" s="127">
        <v>3</v>
      </c>
      <c r="DA2859" s="122" t="s">
        <v>323</v>
      </c>
      <c r="DB2859" s="122" t="s">
        <v>2519</v>
      </c>
      <c r="DC2859" s="122" t="s">
        <v>2519</v>
      </c>
      <c r="DD2859" s="127">
        <v>6</v>
      </c>
      <c r="DE2859" s="127">
        <v>6</v>
      </c>
      <c r="DG2859" s="405" t="s">
        <v>323</v>
      </c>
      <c r="DH2859" s="406" t="s">
        <v>2519</v>
      </c>
      <c r="DI2859" s="406" t="str">
        <f t="shared" si="76"/>
        <v>PE, Iguaraci</v>
      </c>
      <c r="DJ2859" s="406">
        <v>-7.835</v>
      </c>
      <c r="DK2859" s="80">
        <v>-37.515000000000001</v>
      </c>
      <c r="DL2859" s="80">
        <v>571</v>
      </c>
      <c r="DM2859" s="64">
        <v>6</v>
      </c>
      <c r="DN2859" s="406" t="s">
        <v>7497</v>
      </c>
      <c r="DO2859" s="406">
        <v>-7.89</v>
      </c>
      <c r="DP2859" s="80">
        <v>604</v>
      </c>
    </row>
    <row r="2860" spans="29:120" x14ac:dyDescent="0.25">
      <c r="AC2860" s="122" t="s">
        <v>311</v>
      </c>
      <c r="AD2860" s="122" t="s">
        <v>3198</v>
      </c>
      <c r="AE2860" s="127">
        <v>3</v>
      </c>
      <c r="DA2860" s="122" t="s">
        <v>323</v>
      </c>
      <c r="DB2860" s="122" t="s">
        <v>7607</v>
      </c>
      <c r="DC2860" s="122" t="s">
        <v>4058</v>
      </c>
      <c r="DD2860" s="127">
        <v>8</v>
      </c>
      <c r="DE2860" s="127">
        <v>8</v>
      </c>
      <c r="DG2860" s="405" t="s">
        <v>323</v>
      </c>
      <c r="DH2860" s="406" t="s">
        <v>4058</v>
      </c>
      <c r="DI2860" s="406" t="str">
        <f t="shared" si="76"/>
        <v>PE, Ilha de Itamaracá</v>
      </c>
      <c r="DJ2860" s="406">
        <v>-7.7480000000000002</v>
      </c>
      <c r="DK2860" s="80">
        <v>-34.826000000000001</v>
      </c>
      <c r="DL2860" s="80">
        <v>3</v>
      </c>
      <c r="DM2860" s="64">
        <v>8</v>
      </c>
      <c r="DN2860" s="406" t="s">
        <v>7586</v>
      </c>
      <c r="DO2860" s="406">
        <v>-8.0500000000000007</v>
      </c>
      <c r="DP2860" s="80">
        <v>10</v>
      </c>
    </row>
    <row r="2861" spans="29:120" x14ac:dyDescent="0.25">
      <c r="AC2861" s="122" t="s">
        <v>311</v>
      </c>
      <c r="AD2861" s="122" t="s">
        <v>3199</v>
      </c>
      <c r="AE2861" s="127">
        <v>3</v>
      </c>
      <c r="DA2861" s="122" t="s">
        <v>323</v>
      </c>
      <c r="DB2861" s="122" t="s">
        <v>2440</v>
      </c>
      <c r="DC2861" s="122" t="s">
        <v>2440</v>
      </c>
      <c r="DD2861" s="127">
        <v>8</v>
      </c>
      <c r="DE2861" s="127">
        <v>8</v>
      </c>
      <c r="DG2861" s="405" t="s">
        <v>323</v>
      </c>
      <c r="DH2861" s="406" t="s">
        <v>2440</v>
      </c>
      <c r="DI2861" s="406" t="str">
        <f t="shared" si="76"/>
        <v>PE, Inajá</v>
      </c>
      <c r="DJ2861" s="406">
        <v>-8.9030000000000005</v>
      </c>
      <c r="DK2861" s="80">
        <v>-37.826999999999998</v>
      </c>
      <c r="DL2861" s="80">
        <v>355</v>
      </c>
      <c r="DM2861" s="64">
        <v>8</v>
      </c>
      <c r="DN2861" s="406" t="s">
        <v>6100</v>
      </c>
      <c r="DO2861" s="406">
        <v>-8.51</v>
      </c>
      <c r="DP2861" s="80">
        <v>448</v>
      </c>
    </row>
    <row r="2862" spans="29:120" x14ac:dyDescent="0.25">
      <c r="AC2862" s="122" t="s">
        <v>311</v>
      </c>
      <c r="AD2862" s="122" t="s">
        <v>3200</v>
      </c>
      <c r="AE2862" s="127">
        <v>4</v>
      </c>
      <c r="DA2862" s="122" t="s">
        <v>323</v>
      </c>
      <c r="DB2862" s="122" t="s">
        <v>2658</v>
      </c>
      <c r="DC2862" s="122" t="s">
        <v>2658</v>
      </c>
      <c r="DD2862" s="127">
        <v>6</v>
      </c>
      <c r="DE2862" s="127">
        <v>6</v>
      </c>
      <c r="DG2862" s="405" t="s">
        <v>323</v>
      </c>
      <c r="DH2862" s="406" t="s">
        <v>2658</v>
      </c>
      <c r="DI2862" s="406" t="str">
        <f t="shared" si="76"/>
        <v>PE, Ingazeira</v>
      </c>
      <c r="DJ2862" s="406">
        <v>-7.6760000000000002</v>
      </c>
      <c r="DK2862" s="80">
        <v>-37.46</v>
      </c>
      <c r="DL2862" s="80">
        <v>534</v>
      </c>
      <c r="DM2862" s="64">
        <v>6</v>
      </c>
      <c r="DN2862" s="406" t="s">
        <v>7497</v>
      </c>
      <c r="DO2862" s="406">
        <v>-7.89</v>
      </c>
      <c r="DP2862" s="80">
        <v>604</v>
      </c>
    </row>
    <row r="2863" spans="29:120" x14ac:dyDescent="0.25">
      <c r="AC2863" s="122" t="s">
        <v>311</v>
      </c>
      <c r="AD2863" s="122" t="s">
        <v>3201</v>
      </c>
      <c r="AE2863" s="127">
        <v>3</v>
      </c>
      <c r="DA2863" s="122" t="s">
        <v>323</v>
      </c>
      <c r="DB2863" s="122" t="s">
        <v>4053</v>
      </c>
      <c r="DC2863" s="122" t="s">
        <v>4053</v>
      </c>
      <c r="DD2863" s="127">
        <v>8</v>
      </c>
      <c r="DE2863" s="127">
        <v>8</v>
      </c>
      <c r="DG2863" s="405" t="s">
        <v>323</v>
      </c>
      <c r="DH2863" s="406" t="s">
        <v>4053</v>
      </c>
      <c r="DI2863" s="406" t="str">
        <f t="shared" si="76"/>
        <v>PE, Ipojuca</v>
      </c>
      <c r="DJ2863" s="406">
        <v>-8.3989999999999991</v>
      </c>
      <c r="DK2863" s="80">
        <v>-35.064</v>
      </c>
      <c r="DL2863" s="80">
        <v>10</v>
      </c>
      <c r="DM2863" s="64">
        <v>8</v>
      </c>
      <c r="DN2863" s="406" t="s">
        <v>7586</v>
      </c>
      <c r="DO2863" s="406">
        <v>-8.0500000000000007</v>
      </c>
      <c r="DP2863" s="80">
        <v>10</v>
      </c>
    </row>
    <row r="2864" spans="29:120" x14ac:dyDescent="0.25">
      <c r="AC2864" s="122" t="s">
        <v>358</v>
      </c>
      <c r="AD2864" s="122" t="s">
        <v>3202</v>
      </c>
      <c r="AE2864" s="127">
        <v>5</v>
      </c>
      <c r="DA2864" s="122" t="s">
        <v>323</v>
      </c>
      <c r="DB2864" s="122" t="s">
        <v>2533</v>
      </c>
      <c r="DC2864" s="122" t="s">
        <v>2533</v>
      </c>
      <c r="DD2864" s="127">
        <v>7</v>
      </c>
      <c r="DE2864" s="127">
        <v>7</v>
      </c>
      <c r="DG2864" s="405" t="s">
        <v>323</v>
      </c>
      <c r="DH2864" s="406" t="s">
        <v>2533</v>
      </c>
      <c r="DI2864" s="406" t="str">
        <f t="shared" si="76"/>
        <v>PE, Ipubi</v>
      </c>
      <c r="DJ2864" s="406">
        <v>-7.6520000000000001</v>
      </c>
      <c r="DK2864" s="80">
        <v>-40.149000000000001</v>
      </c>
      <c r="DL2864" s="80">
        <v>535</v>
      </c>
      <c r="DM2864" s="64">
        <v>7</v>
      </c>
      <c r="DN2864" s="406" t="s">
        <v>6405</v>
      </c>
      <c r="DO2864" s="406">
        <v>-7.08</v>
      </c>
      <c r="DP2864" s="80">
        <v>572</v>
      </c>
    </row>
    <row r="2865" spans="29:120" x14ac:dyDescent="0.25">
      <c r="AC2865" s="122" t="s">
        <v>236</v>
      </c>
      <c r="AD2865" s="122" t="s">
        <v>3203</v>
      </c>
      <c r="AE2865" s="127">
        <v>2</v>
      </c>
      <c r="DA2865" s="122" t="s">
        <v>323</v>
      </c>
      <c r="DB2865" s="122" t="s">
        <v>2429</v>
      </c>
      <c r="DC2865" s="122" t="s">
        <v>2429</v>
      </c>
      <c r="DD2865" s="127">
        <v>7</v>
      </c>
      <c r="DE2865" s="127">
        <v>7</v>
      </c>
      <c r="DG2865" s="405" t="s">
        <v>323</v>
      </c>
      <c r="DH2865" s="406" t="s">
        <v>2429</v>
      </c>
      <c r="DI2865" s="406" t="str">
        <f t="shared" si="76"/>
        <v>PE, Itacuruba</v>
      </c>
      <c r="DJ2865" s="406">
        <v>-8.8339999999999996</v>
      </c>
      <c r="DK2865" s="80">
        <v>-38.704000000000001</v>
      </c>
      <c r="DL2865" s="80">
        <v>292</v>
      </c>
      <c r="DM2865" s="64">
        <v>7</v>
      </c>
      <c r="DN2865" s="406" t="s">
        <v>6352</v>
      </c>
      <c r="DO2865" s="406">
        <v>-8.61</v>
      </c>
      <c r="DP2865" s="80">
        <v>329</v>
      </c>
    </row>
    <row r="2866" spans="29:120" x14ac:dyDescent="0.25">
      <c r="AC2866" s="122" t="s">
        <v>311</v>
      </c>
      <c r="AD2866" s="122" t="s">
        <v>3204</v>
      </c>
      <c r="AE2866" s="127">
        <v>2</v>
      </c>
      <c r="DA2866" s="122" t="s">
        <v>323</v>
      </c>
      <c r="DB2866" s="122" t="s">
        <v>5656</v>
      </c>
      <c r="DC2866" s="122" t="s">
        <v>5656</v>
      </c>
      <c r="DD2866" s="127">
        <v>8</v>
      </c>
      <c r="DE2866" s="127">
        <v>8</v>
      </c>
      <c r="DG2866" s="405" t="s">
        <v>323</v>
      </c>
      <c r="DH2866" s="406" t="s">
        <v>5656</v>
      </c>
      <c r="DI2866" s="406" t="str">
        <f t="shared" si="76"/>
        <v>PE, Itaíba</v>
      </c>
      <c r="DJ2866" s="406">
        <v>-8.9480000000000004</v>
      </c>
      <c r="DK2866" s="80">
        <v>-37.423000000000002</v>
      </c>
      <c r="DL2866" s="80">
        <v>478</v>
      </c>
      <c r="DM2866" s="64">
        <v>8</v>
      </c>
      <c r="DN2866" s="406" t="s">
        <v>6100</v>
      </c>
      <c r="DO2866" s="406">
        <v>-8.51</v>
      </c>
      <c r="DP2866" s="80">
        <v>448</v>
      </c>
    </row>
    <row r="2867" spans="29:120" x14ac:dyDescent="0.25">
      <c r="AC2867" s="122" t="s">
        <v>311</v>
      </c>
      <c r="AD2867" s="122" t="s">
        <v>2783</v>
      </c>
      <c r="AE2867" s="127">
        <v>3</v>
      </c>
      <c r="DA2867" s="122" t="s">
        <v>323</v>
      </c>
      <c r="DB2867" s="122" t="s">
        <v>2289</v>
      </c>
      <c r="DC2867" s="122" t="s">
        <v>2289</v>
      </c>
      <c r="DD2867" s="127">
        <v>8</v>
      </c>
      <c r="DE2867" s="127">
        <v>8</v>
      </c>
      <c r="DG2867" s="405" t="s">
        <v>323</v>
      </c>
      <c r="DH2867" s="406" t="s">
        <v>2289</v>
      </c>
      <c r="DI2867" s="406" t="str">
        <f t="shared" si="76"/>
        <v>PE, Itambé</v>
      </c>
      <c r="DJ2867" s="406">
        <v>-7.41</v>
      </c>
      <c r="DK2867" s="80">
        <v>-35.113</v>
      </c>
      <c r="DL2867" s="80">
        <v>179</v>
      </c>
      <c r="DM2867" s="64">
        <v>8</v>
      </c>
      <c r="DN2867" s="406" t="s">
        <v>7496</v>
      </c>
      <c r="DO2867" s="406">
        <v>-7.11</v>
      </c>
      <c r="DP2867" s="80">
        <v>44</v>
      </c>
    </row>
    <row r="2868" spans="29:120" x14ac:dyDescent="0.25">
      <c r="AC2868" s="122" t="s">
        <v>311</v>
      </c>
      <c r="AD2868" s="122" t="s">
        <v>3205</v>
      </c>
      <c r="AE2868" s="127">
        <v>3</v>
      </c>
      <c r="DA2868" s="122" t="s">
        <v>323</v>
      </c>
      <c r="DB2868" s="122" t="s">
        <v>2552</v>
      </c>
      <c r="DC2868" s="122" t="s">
        <v>2552</v>
      </c>
      <c r="DD2868" s="127">
        <v>7</v>
      </c>
      <c r="DE2868" s="127">
        <v>7</v>
      </c>
      <c r="DG2868" s="405" t="s">
        <v>323</v>
      </c>
      <c r="DH2868" s="406" t="s">
        <v>2552</v>
      </c>
      <c r="DI2868" s="406" t="str">
        <f t="shared" si="76"/>
        <v>PE, Itapetim</v>
      </c>
      <c r="DJ2868" s="406">
        <v>-7.3780000000000001</v>
      </c>
      <c r="DK2868" s="80">
        <v>-37.19</v>
      </c>
      <c r="DL2868" s="80">
        <v>637</v>
      </c>
      <c r="DM2868" s="64">
        <v>7</v>
      </c>
      <c r="DN2868" s="406" t="s">
        <v>7490</v>
      </c>
      <c r="DO2868" s="406">
        <v>-7.02</v>
      </c>
      <c r="DP2868" s="80">
        <v>249</v>
      </c>
    </row>
    <row r="2869" spans="29:120" x14ac:dyDescent="0.25">
      <c r="AC2869" s="122" t="s">
        <v>336</v>
      </c>
      <c r="AD2869" s="122" t="s">
        <v>3206</v>
      </c>
      <c r="AE2869" s="127">
        <v>3</v>
      </c>
      <c r="DA2869" s="122" t="s">
        <v>323</v>
      </c>
      <c r="DB2869" s="122" t="s">
        <v>5098</v>
      </c>
      <c r="DC2869" s="122" t="s">
        <v>5098</v>
      </c>
      <c r="DD2869" s="127">
        <v>8</v>
      </c>
      <c r="DE2869" s="127">
        <v>8</v>
      </c>
      <c r="DG2869" s="405" t="s">
        <v>323</v>
      </c>
      <c r="DH2869" s="406" t="s">
        <v>5098</v>
      </c>
      <c r="DI2869" s="406" t="str">
        <f t="shared" si="76"/>
        <v>PE, Itapissuma</v>
      </c>
      <c r="DJ2869" s="406">
        <v>-7.7759999999999998</v>
      </c>
      <c r="DK2869" s="80">
        <v>-34.892000000000003</v>
      </c>
      <c r="DL2869" s="80">
        <v>7</v>
      </c>
      <c r="DM2869" s="64">
        <v>8</v>
      </c>
      <c r="DN2869" s="406" t="s">
        <v>7586</v>
      </c>
      <c r="DO2869" s="406">
        <v>-8.0500000000000007</v>
      </c>
      <c r="DP2869" s="80">
        <v>10</v>
      </c>
    </row>
    <row r="2870" spans="29:120" x14ac:dyDescent="0.25">
      <c r="AC2870" s="122" t="s">
        <v>311</v>
      </c>
      <c r="AD2870" s="122" t="s">
        <v>3207</v>
      </c>
      <c r="AE2870" s="127">
        <v>3</v>
      </c>
      <c r="DA2870" s="122" t="s">
        <v>323</v>
      </c>
      <c r="DB2870" s="122" t="s">
        <v>5016</v>
      </c>
      <c r="DC2870" s="122" t="s">
        <v>5016</v>
      </c>
      <c r="DD2870" s="127">
        <v>8</v>
      </c>
      <c r="DE2870" s="127">
        <v>8</v>
      </c>
      <c r="DG2870" s="405" t="s">
        <v>323</v>
      </c>
      <c r="DH2870" s="406" t="s">
        <v>5016</v>
      </c>
      <c r="DI2870" s="406" t="str">
        <f t="shared" si="76"/>
        <v>PE, Itaquitinga</v>
      </c>
      <c r="DJ2870" s="406">
        <v>-7.6680000000000001</v>
      </c>
      <c r="DK2870" s="80">
        <v>-35.101999999999997</v>
      </c>
      <c r="DL2870" s="80">
        <v>88</v>
      </c>
      <c r="DM2870" s="64">
        <v>8</v>
      </c>
      <c r="DN2870" s="406" t="s">
        <v>7586</v>
      </c>
      <c r="DO2870" s="406">
        <v>-8.0500000000000007</v>
      </c>
      <c r="DP2870" s="80">
        <v>10</v>
      </c>
    </row>
    <row r="2871" spans="29:120" x14ac:dyDescent="0.25">
      <c r="AC2871" s="122" t="s">
        <v>333</v>
      </c>
      <c r="AD2871" s="122" t="s">
        <v>3208</v>
      </c>
      <c r="AE2871" s="127">
        <v>5</v>
      </c>
      <c r="DA2871" s="122" t="s">
        <v>323</v>
      </c>
      <c r="DB2871" s="122" t="s">
        <v>7608</v>
      </c>
      <c r="DC2871" s="122" t="s">
        <v>5355</v>
      </c>
      <c r="DD2871" s="127">
        <v>8</v>
      </c>
      <c r="DE2871" s="127">
        <v>8</v>
      </c>
      <c r="DG2871" s="405" t="s">
        <v>323</v>
      </c>
      <c r="DH2871" s="406" t="s">
        <v>5355</v>
      </c>
      <c r="DI2871" s="406" t="str">
        <f t="shared" si="76"/>
        <v>PE, Jaboatão dos Guararapes</v>
      </c>
      <c r="DJ2871" s="406">
        <v>-8.1129999999999995</v>
      </c>
      <c r="DK2871" s="80">
        <v>-35.015000000000001</v>
      </c>
      <c r="DL2871" s="80">
        <v>76</v>
      </c>
      <c r="DM2871" s="64">
        <v>8</v>
      </c>
      <c r="DN2871" s="406" t="s">
        <v>7586</v>
      </c>
      <c r="DO2871" s="406">
        <v>-8.0500000000000007</v>
      </c>
      <c r="DP2871" s="80">
        <v>10</v>
      </c>
    </row>
    <row r="2872" spans="29:120" x14ac:dyDescent="0.25">
      <c r="AC2872" s="122" t="s">
        <v>311</v>
      </c>
      <c r="AD2872" s="122" t="s">
        <v>1952</v>
      </c>
      <c r="AE2872" s="127">
        <v>3</v>
      </c>
      <c r="DA2872" s="122" t="s">
        <v>323</v>
      </c>
      <c r="DB2872" s="122" t="s">
        <v>5021</v>
      </c>
      <c r="DC2872" s="122" t="s">
        <v>5021</v>
      </c>
      <c r="DD2872" s="127">
        <v>8</v>
      </c>
      <c r="DE2872" s="127">
        <v>8</v>
      </c>
      <c r="DG2872" s="405" t="s">
        <v>323</v>
      </c>
      <c r="DH2872" s="406" t="s">
        <v>5021</v>
      </c>
      <c r="DI2872" s="406" t="str">
        <f t="shared" si="76"/>
        <v>PE, Jaqueira</v>
      </c>
      <c r="DJ2872" s="406">
        <v>-8.7270000000000003</v>
      </c>
      <c r="DK2872" s="80">
        <v>-35.792999999999999</v>
      </c>
      <c r="DL2872" s="80">
        <v>250</v>
      </c>
      <c r="DM2872" s="64">
        <v>8</v>
      </c>
      <c r="DN2872" s="406" t="s">
        <v>6097</v>
      </c>
      <c r="DO2872" s="406">
        <v>-8.67</v>
      </c>
      <c r="DP2872" s="80">
        <v>180</v>
      </c>
    </row>
    <row r="2873" spans="29:120" x14ac:dyDescent="0.25">
      <c r="AC2873" s="122" t="s">
        <v>311</v>
      </c>
      <c r="AD2873" s="122" t="s">
        <v>3209</v>
      </c>
      <c r="AE2873" s="127">
        <v>3</v>
      </c>
      <c r="DA2873" s="122" t="s">
        <v>323</v>
      </c>
      <c r="DB2873" s="122" t="s">
        <v>2830</v>
      </c>
      <c r="DC2873" s="122" t="s">
        <v>2830</v>
      </c>
      <c r="DD2873" s="127">
        <v>8</v>
      </c>
      <c r="DE2873" s="127">
        <v>8</v>
      </c>
      <c r="DG2873" s="405" t="s">
        <v>323</v>
      </c>
      <c r="DH2873" s="406" t="s">
        <v>2830</v>
      </c>
      <c r="DI2873" s="406" t="str">
        <f t="shared" si="76"/>
        <v>PE, Jataúba</v>
      </c>
      <c r="DJ2873" s="406">
        <v>-7.99</v>
      </c>
      <c r="DK2873" s="80">
        <v>-36.496000000000002</v>
      </c>
      <c r="DL2873" s="80">
        <v>516</v>
      </c>
      <c r="DM2873" s="64">
        <v>8</v>
      </c>
      <c r="DN2873" s="406" t="s">
        <v>7504</v>
      </c>
      <c r="DO2873" s="406">
        <v>-7.48</v>
      </c>
      <c r="DP2873" s="80">
        <v>436</v>
      </c>
    </row>
    <row r="2874" spans="29:120" x14ac:dyDescent="0.25">
      <c r="AC2874" s="122" t="s">
        <v>333</v>
      </c>
      <c r="AD2874" s="122" t="s">
        <v>3210</v>
      </c>
      <c r="AE2874" s="127">
        <v>5</v>
      </c>
      <c r="DA2874" s="122" t="s">
        <v>323</v>
      </c>
      <c r="DB2874" s="122" t="s">
        <v>4957</v>
      </c>
      <c r="DC2874" s="122" t="s">
        <v>4957</v>
      </c>
      <c r="DD2874" s="127">
        <v>7</v>
      </c>
      <c r="DE2874" s="127">
        <v>7</v>
      </c>
      <c r="DG2874" s="405" t="s">
        <v>323</v>
      </c>
      <c r="DH2874" s="406" t="s">
        <v>4957</v>
      </c>
      <c r="DI2874" s="406" t="str">
        <f t="shared" si="76"/>
        <v>PE, Jatobá</v>
      </c>
      <c r="DJ2874" s="406">
        <v>-9.1829999999999998</v>
      </c>
      <c r="DK2874" s="80">
        <v>-38.268999999999998</v>
      </c>
      <c r="DL2874" s="80">
        <v>280</v>
      </c>
      <c r="DM2874" s="64">
        <v>7</v>
      </c>
      <c r="DN2874" s="406" t="s">
        <v>6087</v>
      </c>
      <c r="DO2874" s="406">
        <v>-9.41</v>
      </c>
      <c r="DP2874" s="80">
        <v>253</v>
      </c>
    </row>
    <row r="2875" spans="29:120" x14ac:dyDescent="0.25">
      <c r="AC2875" s="122" t="s">
        <v>311</v>
      </c>
      <c r="AD2875" s="122" t="s">
        <v>592</v>
      </c>
      <c r="AE2875" s="127">
        <v>3</v>
      </c>
      <c r="DA2875" s="122" t="s">
        <v>323</v>
      </c>
      <c r="DB2875" s="122" t="s">
        <v>7609</v>
      </c>
      <c r="DC2875" s="122" t="s">
        <v>1834</v>
      </c>
      <c r="DD2875" s="127">
        <v>8</v>
      </c>
      <c r="DE2875" s="127">
        <v>8</v>
      </c>
      <c r="DG2875" s="405" t="s">
        <v>323</v>
      </c>
      <c r="DH2875" s="406" t="s">
        <v>1834</v>
      </c>
      <c r="DI2875" s="406" t="str">
        <f t="shared" si="76"/>
        <v>PE, João Alfredo</v>
      </c>
      <c r="DJ2875" s="406">
        <v>-7.8559999999999999</v>
      </c>
      <c r="DK2875" s="80">
        <v>-35.588000000000001</v>
      </c>
      <c r="DL2875" s="80">
        <v>328</v>
      </c>
      <c r="DM2875" s="64">
        <v>8</v>
      </c>
      <c r="DN2875" s="406" t="s">
        <v>7494</v>
      </c>
      <c r="DO2875" s="406">
        <v>-7.84</v>
      </c>
      <c r="DP2875" s="80">
        <v>418</v>
      </c>
    </row>
    <row r="2876" spans="29:120" x14ac:dyDescent="0.25">
      <c r="AC2876" s="122" t="s">
        <v>311</v>
      </c>
      <c r="AD2876" s="122" t="s">
        <v>3211</v>
      </c>
      <c r="AE2876" s="127">
        <v>2</v>
      </c>
      <c r="DA2876" s="122" t="s">
        <v>323</v>
      </c>
      <c r="DB2876" s="122" t="s">
        <v>7610</v>
      </c>
      <c r="DC2876" s="122" t="s">
        <v>2479</v>
      </c>
      <c r="DD2876" s="127">
        <v>8</v>
      </c>
      <c r="DE2876" s="127">
        <v>8</v>
      </c>
      <c r="DG2876" s="405" t="s">
        <v>323</v>
      </c>
      <c r="DH2876" s="406" t="s">
        <v>2479</v>
      </c>
      <c r="DI2876" s="406" t="str">
        <f t="shared" si="76"/>
        <v>PE, Joaquim Nabuco</v>
      </c>
      <c r="DJ2876" s="406">
        <v>-8.6240000000000006</v>
      </c>
      <c r="DK2876" s="80">
        <v>-35.533000000000001</v>
      </c>
      <c r="DL2876" s="80">
        <v>152</v>
      </c>
      <c r="DM2876" s="64">
        <v>8</v>
      </c>
      <c r="DN2876" s="406" t="s">
        <v>6097</v>
      </c>
      <c r="DO2876" s="406">
        <v>-8.67</v>
      </c>
      <c r="DP2876" s="80">
        <v>180</v>
      </c>
    </row>
    <row r="2877" spans="29:120" x14ac:dyDescent="0.25">
      <c r="AC2877" s="122" t="s">
        <v>311</v>
      </c>
      <c r="AD2877" s="122" t="s">
        <v>3212</v>
      </c>
      <c r="AE2877" s="127">
        <v>3</v>
      </c>
      <c r="DA2877" s="122" t="s">
        <v>323</v>
      </c>
      <c r="DB2877" s="122" t="s">
        <v>453</v>
      </c>
      <c r="DC2877" s="122" t="s">
        <v>453</v>
      </c>
      <c r="DD2877" s="127">
        <v>8</v>
      </c>
      <c r="DE2877" s="127">
        <v>8</v>
      </c>
      <c r="DG2877" s="405" t="s">
        <v>323</v>
      </c>
      <c r="DH2877" s="406" t="s">
        <v>453</v>
      </c>
      <c r="DI2877" s="406" t="str">
        <f t="shared" si="76"/>
        <v>PE, Jucati</v>
      </c>
      <c r="DJ2877" s="406">
        <v>-8.7059999999999995</v>
      </c>
      <c r="DK2877" s="80">
        <v>-36.488999999999997</v>
      </c>
      <c r="DL2877" s="80">
        <v>820</v>
      </c>
      <c r="DM2877" s="64">
        <v>8</v>
      </c>
      <c r="DN2877" s="406" t="s">
        <v>6142</v>
      </c>
      <c r="DO2877" s="406">
        <v>-8.89</v>
      </c>
      <c r="DP2877" s="80">
        <v>823</v>
      </c>
    </row>
    <row r="2878" spans="29:120" x14ac:dyDescent="0.25">
      <c r="AC2878" s="122" t="s">
        <v>311</v>
      </c>
      <c r="AD2878" s="122" t="s">
        <v>3213</v>
      </c>
      <c r="AE2878" s="127">
        <v>3</v>
      </c>
      <c r="DA2878" s="122" t="s">
        <v>323</v>
      </c>
      <c r="DB2878" s="122" t="s">
        <v>1917</v>
      </c>
      <c r="DC2878" s="122" t="s">
        <v>1917</v>
      </c>
      <c r="DD2878" s="127">
        <v>8</v>
      </c>
      <c r="DE2878" s="127">
        <v>8</v>
      </c>
      <c r="DG2878" s="405" t="s">
        <v>323</v>
      </c>
      <c r="DH2878" s="406" t="s">
        <v>1917</v>
      </c>
      <c r="DI2878" s="406" t="str">
        <f t="shared" si="76"/>
        <v>PE, Jupi</v>
      </c>
      <c r="DJ2878" s="406">
        <v>-8.7119999999999997</v>
      </c>
      <c r="DK2878" s="80">
        <v>-36.414999999999999</v>
      </c>
      <c r="DL2878" s="80">
        <v>782</v>
      </c>
      <c r="DM2878" s="64">
        <v>8</v>
      </c>
      <c r="DN2878" s="406" t="s">
        <v>6142</v>
      </c>
      <c r="DO2878" s="406">
        <v>-8.89</v>
      </c>
      <c r="DP2878" s="80">
        <v>823</v>
      </c>
    </row>
    <row r="2879" spans="29:120" x14ac:dyDescent="0.25">
      <c r="AC2879" s="122" t="s">
        <v>311</v>
      </c>
      <c r="AD2879" s="122" t="s">
        <v>3214</v>
      </c>
      <c r="AE2879" s="127">
        <v>3</v>
      </c>
      <c r="DA2879" s="122" t="s">
        <v>323</v>
      </c>
      <c r="DB2879" s="122" t="s">
        <v>1913</v>
      </c>
      <c r="DC2879" s="122" t="s">
        <v>1913</v>
      </c>
      <c r="DD2879" s="127">
        <v>8</v>
      </c>
      <c r="DE2879" s="127">
        <v>8</v>
      </c>
      <c r="DG2879" s="405" t="s">
        <v>323</v>
      </c>
      <c r="DH2879" s="406" t="s">
        <v>1913</v>
      </c>
      <c r="DI2879" s="406" t="str">
        <f t="shared" si="76"/>
        <v>PE, Jurema</v>
      </c>
      <c r="DJ2879" s="406">
        <v>-8.718</v>
      </c>
      <c r="DK2879" s="80">
        <v>-36.136000000000003</v>
      </c>
      <c r="DL2879" s="80">
        <v>723</v>
      </c>
      <c r="DM2879" s="64">
        <v>8</v>
      </c>
      <c r="DN2879" s="406" t="s">
        <v>6142</v>
      </c>
      <c r="DO2879" s="406">
        <v>-8.89</v>
      </c>
      <c r="DP2879" s="80">
        <v>823</v>
      </c>
    </row>
    <row r="2880" spans="29:120" x14ac:dyDescent="0.25">
      <c r="AC2880" s="122" t="s">
        <v>311</v>
      </c>
      <c r="AD2880" s="122" t="s">
        <v>3215</v>
      </c>
      <c r="AE2880" s="127">
        <v>3</v>
      </c>
      <c r="DA2880" s="122" t="s">
        <v>323</v>
      </c>
      <c r="DB2880" s="122" t="s">
        <v>7611</v>
      </c>
      <c r="DC2880" s="122" t="s">
        <v>5026</v>
      </c>
      <c r="DD2880" s="127">
        <v>8</v>
      </c>
      <c r="DE2880" s="127">
        <v>8</v>
      </c>
      <c r="DG2880" s="405" t="s">
        <v>323</v>
      </c>
      <c r="DH2880" s="406" t="s">
        <v>5026</v>
      </c>
      <c r="DI2880" s="406" t="str">
        <f t="shared" si="76"/>
        <v>PE, Lagoa do Carro</v>
      </c>
      <c r="DJ2880" s="406">
        <v>-7.8449999999999998</v>
      </c>
      <c r="DK2880" s="80">
        <v>-35.32</v>
      </c>
      <c r="DL2880" s="80">
        <v>128</v>
      </c>
      <c r="DM2880" s="64">
        <v>8</v>
      </c>
      <c r="DN2880" s="406" t="s">
        <v>7494</v>
      </c>
      <c r="DO2880" s="406">
        <v>-7.84</v>
      </c>
      <c r="DP2880" s="80">
        <v>418</v>
      </c>
    </row>
    <row r="2881" spans="29:120" x14ac:dyDescent="0.25">
      <c r="AC2881" s="122" t="s">
        <v>311</v>
      </c>
      <c r="AD2881" s="122" t="s">
        <v>3216</v>
      </c>
      <c r="AE2881" s="127">
        <v>3</v>
      </c>
      <c r="DA2881" s="122" t="s">
        <v>323</v>
      </c>
      <c r="DB2881" s="122" t="s">
        <v>7612</v>
      </c>
      <c r="DC2881" s="122" t="s">
        <v>5039</v>
      </c>
      <c r="DD2881" s="127">
        <v>8</v>
      </c>
      <c r="DE2881" s="127">
        <v>8</v>
      </c>
      <c r="DG2881" s="405" t="s">
        <v>323</v>
      </c>
      <c r="DH2881" s="406" t="s">
        <v>5039</v>
      </c>
      <c r="DI2881" s="406" t="str">
        <f t="shared" si="76"/>
        <v>PE, Lagoa do Itaenga</v>
      </c>
      <c r="DJ2881" s="406">
        <v>-7.9359999999999999</v>
      </c>
      <c r="DK2881" s="80">
        <v>-35.29</v>
      </c>
      <c r="DL2881" s="80">
        <v>183</v>
      </c>
      <c r="DM2881" s="64">
        <v>8</v>
      </c>
      <c r="DN2881" s="406" t="s">
        <v>7586</v>
      </c>
      <c r="DO2881" s="406">
        <v>-8.0500000000000007</v>
      </c>
      <c r="DP2881" s="80">
        <v>10</v>
      </c>
    </row>
    <row r="2882" spans="29:120" x14ac:dyDescent="0.25">
      <c r="AC2882" s="122" t="s">
        <v>311</v>
      </c>
      <c r="AD2882" s="122" t="s">
        <v>3217</v>
      </c>
      <c r="AE2882" s="127">
        <v>3</v>
      </c>
      <c r="DA2882" s="122" t="s">
        <v>323</v>
      </c>
      <c r="DB2882" s="122" t="s">
        <v>7613</v>
      </c>
      <c r="DC2882" s="122" t="s">
        <v>2411</v>
      </c>
      <c r="DD2882" s="127">
        <v>8</v>
      </c>
      <c r="DE2882" s="127">
        <v>8</v>
      </c>
      <c r="DG2882" s="405" t="s">
        <v>323</v>
      </c>
      <c r="DH2882" s="406" t="s">
        <v>2411</v>
      </c>
      <c r="DI2882" s="406" t="str">
        <f t="shared" si="76"/>
        <v>PE, Lagoa do Ouro</v>
      </c>
      <c r="DJ2882" s="406">
        <v>-9.1270000000000007</v>
      </c>
      <c r="DK2882" s="80">
        <v>-36.459000000000003</v>
      </c>
      <c r="DL2882" s="80">
        <v>653</v>
      </c>
      <c r="DM2882" s="64">
        <v>8</v>
      </c>
      <c r="DN2882" s="406" t="s">
        <v>6142</v>
      </c>
      <c r="DO2882" s="406">
        <v>-8.89</v>
      </c>
      <c r="DP2882" s="80">
        <v>823</v>
      </c>
    </row>
    <row r="2883" spans="29:120" x14ac:dyDescent="0.25">
      <c r="AC2883" s="122" t="s">
        <v>311</v>
      </c>
      <c r="AD2883" s="122" t="s">
        <v>3218</v>
      </c>
      <c r="AE2883" s="127">
        <v>3</v>
      </c>
      <c r="DA2883" s="122" t="s">
        <v>323</v>
      </c>
      <c r="DB2883" s="122" t="s">
        <v>7614</v>
      </c>
      <c r="DC2883" s="122" t="s">
        <v>1941</v>
      </c>
      <c r="DD2883" s="127">
        <v>8</v>
      </c>
      <c r="DE2883" s="127">
        <v>8</v>
      </c>
      <c r="DG2883" s="405" t="s">
        <v>323</v>
      </c>
      <c r="DH2883" s="406" t="s">
        <v>1941</v>
      </c>
      <c r="DI2883" s="406" t="str">
        <f t="shared" ref="DI2883:DI2946" si="77">CONCATENATE(DG2883,", ",DH2883)</f>
        <v>PE, Lagoa dos Gatos</v>
      </c>
      <c r="DJ2883" s="406">
        <v>-8.6579999999999995</v>
      </c>
      <c r="DK2883" s="80">
        <v>-35.9</v>
      </c>
      <c r="DL2883" s="80">
        <v>464</v>
      </c>
      <c r="DM2883" s="64">
        <v>8</v>
      </c>
      <c r="DN2883" s="406" t="s">
        <v>6097</v>
      </c>
      <c r="DO2883" s="406">
        <v>-8.67</v>
      </c>
      <c r="DP2883" s="80">
        <v>180</v>
      </c>
    </row>
    <row r="2884" spans="29:120" x14ac:dyDescent="0.25">
      <c r="AC2884" s="122" t="s">
        <v>27</v>
      </c>
      <c r="AD2884" s="122" t="s">
        <v>3219</v>
      </c>
      <c r="AE2884" s="127">
        <v>3</v>
      </c>
      <c r="DA2884" s="122" t="s">
        <v>323</v>
      </c>
      <c r="DB2884" s="122" t="s">
        <v>7010</v>
      </c>
      <c r="DC2884" s="122" t="s">
        <v>2121</v>
      </c>
      <c r="DD2884" s="127">
        <v>7</v>
      </c>
      <c r="DE2884" s="127">
        <v>7</v>
      </c>
      <c r="DG2884" s="405" t="s">
        <v>323</v>
      </c>
      <c r="DH2884" s="406" t="s">
        <v>2121</v>
      </c>
      <c r="DI2884" s="406" t="str">
        <f t="shared" si="77"/>
        <v>PE, Lagoa Grande</v>
      </c>
      <c r="DJ2884" s="406">
        <v>-8.9969999999999999</v>
      </c>
      <c r="DK2884" s="80">
        <v>-40.271999999999998</v>
      </c>
      <c r="DL2884" s="80">
        <v>300</v>
      </c>
      <c r="DM2884" s="64">
        <v>7</v>
      </c>
      <c r="DN2884" s="406" t="s">
        <v>6260</v>
      </c>
      <c r="DO2884" s="406">
        <v>-9.39</v>
      </c>
      <c r="DP2884" s="80">
        <v>370</v>
      </c>
    </row>
    <row r="2885" spans="29:120" x14ac:dyDescent="0.25">
      <c r="AC2885" s="122" t="s">
        <v>27</v>
      </c>
      <c r="AD2885" s="122" t="s">
        <v>3220</v>
      </c>
      <c r="AE2885" s="127">
        <v>3</v>
      </c>
      <c r="DA2885" s="122" t="s">
        <v>323</v>
      </c>
      <c r="DB2885" s="122" t="s">
        <v>1928</v>
      </c>
      <c r="DC2885" s="122" t="s">
        <v>1928</v>
      </c>
      <c r="DD2885" s="127">
        <v>8</v>
      </c>
      <c r="DE2885" s="127">
        <v>8</v>
      </c>
      <c r="DG2885" s="405" t="s">
        <v>323</v>
      </c>
      <c r="DH2885" s="406" t="s">
        <v>1928</v>
      </c>
      <c r="DI2885" s="406" t="str">
        <f t="shared" si="77"/>
        <v>PE, Lajedo</v>
      </c>
      <c r="DJ2885" s="406">
        <v>-8.6639999999999997</v>
      </c>
      <c r="DK2885" s="80">
        <v>-36.32</v>
      </c>
      <c r="DL2885" s="80">
        <v>661</v>
      </c>
      <c r="DM2885" s="64">
        <v>8</v>
      </c>
      <c r="DN2885" s="406" t="s">
        <v>6142</v>
      </c>
      <c r="DO2885" s="406">
        <v>-8.89</v>
      </c>
      <c r="DP2885" s="80">
        <v>823</v>
      </c>
    </row>
    <row r="2886" spans="29:120" x14ac:dyDescent="0.25">
      <c r="AC2886" s="122" t="s">
        <v>311</v>
      </c>
      <c r="AD2886" s="122" t="s">
        <v>3221</v>
      </c>
      <c r="AE2886" s="127">
        <v>3</v>
      </c>
      <c r="DA2886" s="122" t="s">
        <v>323</v>
      </c>
      <c r="DB2886" s="122" t="s">
        <v>1821</v>
      </c>
      <c r="DC2886" s="122" t="s">
        <v>1821</v>
      </c>
      <c r="DD2886" s="127">
        <v>8</v>
      </c>
      <c r="DE2886" s="127">
        <v>8</v>
      </c>
      <c r="DG2886" s="405" t="s">
        <v>323</v>
      </c>
      <c r="DH2886" s="406" t="s">
        <v>1821</v>
      </c>
      <c r="DI2886" s="406" t="str">
        <f t="shared" si="77"/>
        <v>PE, Limoeiro</v>
      </c>
      <c r="DJ2886" s="406">
        <v>-7.875</v>
      </c>
      <c r="DK2886" s="80">
        <v>-35.450000000000003</v>
      </c>
      <c r="DL2886" s="80">
        <v>138</v>
      </c>
      <c r="DM2886" s="64">
        <v>8</v>
      </c>
      <c r="DN2886" s="406" t="s">
        <v>7494</v>
      </c>
      <c r="DO2886" s="406">
        <v>-7.84</v>
      </c>
      <c r="DP2886" s="80">
        <v>418</v>
      </c>
    </row>
    <row r="2887" spans="29:120" x14ac:dyDescent="0.25">
      <c r="AC2887" s="122" t="s">
        <v>27</v>
      </c>
      <c r="AD2887" s="122" t="s">
        <v>3222</v>
      </c>
      <c r="AE2887" s="127">
        <v>2</v>
      </c>
      <c r="DA2887" s="122" t="s">
        <v>323</v>
      </c>
      <c r="DB2887" s="122" t="s">
        <v>5052</v>
      </c>
      <c r="DC2887" s="122" t="s">
        <v>5052</v>
      </c>
      <c r="DD2887" s="127">
        <v>8</v>
      </c>
      <c r="DE2887" s="127">
        <v>8</v>
      </c>
      <c r="DG2887" s="405" t="s">
        <v>323</v>
      </c>
      <c r="DH2887" s="406" t="s">
        <v>5052</v>
      </c>
      <c r="DI2887" s="406" t="str">
        <f t="shared" si="77"/>
        <v>PE, Macaparana</v>
      </c>
      <c r="DJ2887" s="406">
        <v>-7.5549999999999997</v>
      </c>
      <c r="DK2887" s="80">
        <v>-35.453000000000003</v>
      </c>
      <c r="DL2887" s="80">
        <v>350</v>
      </c>
      <c r="DM2887" s="64">
        <v>8</v>
      </c>
      <c r="DN2887" s="406" t="s">
        <v>7494</v>
      </c>
      <c r="DO2887" s="406">
        <v>-7.84</v>
      </c>
      <c r="DP2887" s="80">
        <v>418</v>
      </c>
    </row>
    <row r="2888" spans="29:120" x14ac:dyDescent="0.25">
      <c r="AC2888" s="122" t="s">
        <v>333</v>
      </c>
      <c r="AD2888" s="122" t="s">
        <v>3223</v>
      </c>
      <c r="AE2888" s="127">
        <v>5</v>
      </c>
      <c r="DA2888" s="122" t="s">
        <v>323</v>
      </c>
      <c r="DB2888" s="122" t="s">
        <v>5064</v>
      </c>
      <c r="DC2888" s="122" t="s">
        <v>5064</v>
      </c>
      <c r="DD2888" s="127">
        <v>8</v>
      </c>
      <c r="DE2888" s="127">
        <v>8</v>
      </c>
      <c r="DG2888" s="405" t="s">
        <v>323</v>
      </c>
      <c r="DH2888" s="406" t="s">
        <v>5064</v>
      </c>
      <c r="DI2888" s="406" t="str">
        <f t="shared" si="77"/>
        <v>PE, Machados</v>
      </c>
      <c r="DJ2888" s="406">
        <v>-7.6859999999999999</v>
      </c>
      <c r="DK2888" s="80">
        <v>-35.515000000000001</v>
      </c>
      <c r="DL2888" s="80">
        <v>416</v>
      </c>
      <c r="DM2888" s="64">
        <v>8</v>
      </c>
      <c r="DN2888" s="406" t="s">
        <v>7494</v>
      </c>
      <c r="DO2888" s="406">
        <v>-7.84</v>
      </c>
      <c r="DP2888" s="80">
        <v>418</v>
      </c>
    </row>
    <row r="2889" spans="29:120" x14ac:dyDescent="0.25">
      <c r="AC2889" s="122" t="s">
        <v>311</v>
      </c>
      <c r="AD2889" s="122" t="s">
        <v>3224</v>
      </c>
      <c r="AE2889" s="127">
        <v>2</v>
      </c>
      <c r="DA2889" s="122" t="s">
        <v>323</v>
      </c>
      <c r="DB2889" s="122" t="s">
        <v>2728</v>
      </c>
      <c r="DC2889" s="122" t="s">
        <v>2728</v>
      </c>
      <c r="DD2889" s="127">
        <v>8</v>
      </c>
      <c r="DE2889" s="127">
        <v>8</v>
      </c>
      <c r="DG2889" s="405" t="s">
        <v>323</v>
      </c>
      <c r="DH2889" s="406" t="s">
        <v>2728</v>
      </c>
      <c r="DI2889" s="406" t="str">
        <f t="shared" si="77"/>
        <v>PE, Manari</v>
      </c>
      <c r="DJ2889" s="406">
        <v>-8.9640000000000004</v>
      </c>
      <c r="DK2889" s="80">
        <v>-37.628</v>
      </c>
      <c r="DL2889" s="80">
        <v>570</v>
      </c>
      <c r="DM2889" s="64">
        <v>8</v>
      </c>
      <c r="DN2889" s="406" t="s">
        <v>6100</v>
      </c>
      <c r="DO2889" s="406">
        <v>-8.51</v>
      </c>
      <c r="DP2889" s="80">
        <v>448</v>
      </c>
    </row>
    <row r="2890" spans="29:120" x14ac:dyDescent="0.25">
      <c r="AC2890" s="122" t="s">
        <v>311</v>
      </c>
      <c r="AD2890" s="122" t="s">
        <v>3225</v>
      </c>
      <c r="AE2890" s="127">
        <v>3</v>
      </c>
      <c r="DA2890" s="122" t="s">
        <v>323</v>
      </c>
      <c r="DB2890" s="122" t="s">
        <v>2447</v>
      </c>
      <c r="DC2890" s="122" t="s">
        <v>2447</v>
      </c>
      <c r="DD2890" s="127">
        <v>8</v>
      </c>
      <c r="DE2890" s="127">
        <v>8</v>
      </c>
      <c r="DG2890" s="405" t="s">
        <v>323</v>
      </c>
      <c r="DH2890" s="406" t="s">
        <v>2447</v>
      </c>
      <c r="DI2890" s="406" t="str">
        <f t="shared" si="77"/>
        <v>PE, Maraial</v>
      </c>
      <c r="DJ2890" s="406">
        <v>-8.8030000000000008</v>
      </c>
      <c r="DK2890" s="80">
        <v>-35.829000000000001</v>
      </c>
      <c r="DL2890" s="80">
        <v>327</v>
      </c>
      <c r="DM2890" s="64">
        <v>8</v>
      </c>
      <c r="DN2890" s="406" t="s">
        <v>6097</v>
      </c>
      <c r="DO2890" s="406">
        <v>-8.67</v>
      </c>
      <c r="DP2890" s="80">
        <v>180</v>
      </c>
    </row>
    <row r="2891" spans="29:120" x14ac:dyDescent="0.25">
      <c r="AC2891" s="122" t="s">
        <v>311</v>
      </c>
      <c r="AD2891" s="122" t="s">
        <v>3226</v>
      </c>
      <c r="AE2891" s="127">
        <v>3</v>
      </c>
      <c r="DA2891" s="122" t="s">
        <v>323</v>
      </c>
      <c r="DB2891" s="122" t="s">
        <v>2574</v>
      </c>
      <c r="DC2891" s="122" t="s">
        <v>2574</v>
      </c>
      <c r="DD2891" s="127">
        <v>7</v>
      </c>
      <c r="DE2891" s="127">
        <v>7</v>
      </c>
      <c r="DG2891" s="405" t="s">
        <v>323</v>
      </c>
      <c r="DH2891" s="406" t="s">
        <v>2574</v>
      </c>
      <c r="DI2891" s="406" t="str">
        <f t="shared" si="77"/>
        <v>PE, Mirandiba</v>
      </c>
      <c r="DJ2891" s="406">
        <v>-8.1189999999999998</v>
      </c>
      <c r="DK2891" s="80">
        <v>-38.728000000000002</v>
      </c>
      <c r="DL2891" s="80">
        <v>450</v>
      </c>
      <c r="DM2891" s="64">
        <v>7</v>
      </c>
      <c r="DN2891" s="406" t="s">
        <v>7509</v>
      </c>
      <c r="DO2891" s="406">
        <v>-7.95</v>
      </c>
      <c r="DP2891" s="80">
        <v>461</v>
      </c>
    </row>
    <row r="2892" spans="29:120" x14ac:dyDescent="0.25">
      <c r="AC2892" s="122" t="s">
        <v>333</v>
      </c>
      <c r="AD2892" s="122" t="s">
        <v>3227</v>
      </c>
      <c r="AE2892" s="127">
        <v>3</v>
      </c>
      <c r="DA2892" s="122" t="s">
        <v>323</v>
      </c>
      <c r="DB2892" s="122" t="s">
        <v>2499</v>
      </c>
      <c r="DC2892" s="122" t="s">
        <v>2499</v>
      </c>
      <c r="DD2892" s="127">
        <v>7</v>
      </c>
      <c r="DE2892" s="127">
        <v>7</v>
      </c>
      <c r="DG2892" s="405" t="s">
        <v>323</v>
      </c>
      <c r="DH2892" s="406" t="s">
        <v>2499</v>
      </c>
      <c r="DI2892" s="406" t="str">
        <f t="shared" si="77"/>
        <v>PE, Moreilândia</v>
      </c>
      <c r="DJ2892" s="406">
        <v>-7.6310000000000002</v>
      </c>
      <c r="DK2892" s="80">
        <v>-39.551000000000002</v>
      </c>
      <c r="DL2892" s="80">
        <v>502</v>
      </c>
      <c r="DM2892" s="64">
        <v>7</v>
      </c>
      <c r="DN2892" s="406" t="s">
        <v>6401</v>
      </c>
      <c r="DO2892" s="406">
        <v>-7.3</v>
      </c>
      <c r="DP2892" s="80">
        <v>409</v>
      </c>
    </row>
    <row r="2893" spans="29:120" x14ac:dyDescent="0.25">
      <c r="AC2893" s="122" t="s">
        <v>311</v>
      </c>
      <c r="AD2893" s="122" t="s">
        <v>3228</v>
      </c>
      <c r="AE2893" s="127">
        <v>3</v>
      </c>
      <c r="DA2893" s="122" t="s">
        <v>323</v>
      </c>
      <c r="DB2893" s="122" t="s">
        <v>5055</v>
      </c>
      <c r="DC2893" s="122" t="s">
        <v>5055</v>
      </c>
      <c r="DD2893" s="127">
        <v>8</v>
      </c>
      <c r="DE2893" s="127">
        <v>8</v>
      </c>
      <c r="DG2893" s="405" t="s">
        <v>323</v>
      </c>
      <c r="DH2893" s="406" t="s">
        <v>5055</v>
      </c>
      <c r="DI2893" s="406" t="str">
        <f t="shared" si="77"/>
        <v>PE, Moreno</v>
      </c>
      <c r="DJ2893" s="406">
        <v>-8.1189999999999998</v>
      </c>
      <c r="DK2893" s="80">
        <v>-35.091999999999999</v>
      </c>
      <c r="DL2893" s="80">
        <v>96</v>
      </c>
      <c r="DM2893" s="64">
        <v>8</v>
      </c>
      <c r="DN2893" s="406" t="s">
        <v>7586</v>
      </c>
      <c r="DO2893" s="406">
        <v>-8.0500000000000007</v>
      </c>
      <c r="DP2893" s="80">
        <v>10</v>
      </c>
    </row>
    <row r="2894" spans="29:120" x14ac:dyDescent="0.25">
      <c r="AC2894" s="122" t="s">
        <v>358</v>
      </c>
      <c r="AD2894" s="122" t="s">
        <v>3229</v>
      </c>
      <c r="AE2894" s="127">
        <v>5</v>
      </c>
      <c r="DA2894" s="122" t="s">
        <v>323</v>
      </c>
      <c r="DB2894" s="122" t="s">
        <v>7615</v>
      </c>
      <c r="DC2894" s="122" t="s">
        <v>5088</v>
      </c>
      <c r="DD2894" s="127">
        <v>8</v>
      </c>
      <c r="DE2894" s="127">
        <v>8</v>
      </c>
      <c r="DG2894" s="405" t="s">
        <v>323</v>
      </c>
      <c r="DH2894" s="406" t="s">
        <v>5088</v>
      </c>
      <c r="DI2894" s="406" t="str">
        <f t="shared" si="77"/>
        <v>PE, Nazaré da Mata</v>
      </c>
      <c r="DJ2894" s="406">
        <v>-7.742</v>
      </c>
      <c r="DK2894" s="80">
        <v>-35.228000000000002</v>
      </c>
      <c r="DL2894" s="80">
        <v>89</v>
      </c>
      <c r="DM2894" s="64">
        <v>8</v>
      </c>
      <c r="DN2894" s="406" t="s">
        <v>7586</v>
      </c>
      <c r="DO2894" s="406">
        <v>-8.0500000000000007</v>
      </c>
      <c r="DP2894" s="80">
        <v>10</v>
      </c>
    </row>
    <row r="2895" spans="29:120" x14ac:dyDescent="0.25">
      <c r="AC2895" s="122" t="s">
        <v>289</v>
      </c>
      <c r="AD2895" s="122" t="s">
        <v>3230</v>
      </c>
      <c r="AE2895" s="127">
        <v>8</v>
      </c>
      <c r="DA2895" s="122" t="s">
        <v>323</v>
      </c>
      <c r="DB2895" s="122" t="s">
        <v>5019</v>
      </c>
      <c r="DC2895" s="122" t="s">
        <v>5019</v>
      </c>
      <c r="DD2895" s="127">
        <v>8</v>
      </c>
      <c r="DE2895" s="127">
        <v>8</v>
      </c>
      <c r="DG2895" s="405" t="s">
        <v>323</v>
      </c>
      <c r="DH2895" s="406" t="s">
        <v>5019</v>
      </c>
      <c r="DI2895" s="406" t="str">
        <f t="shared" si="77"/>
        <v>PE, Olinda</v>
      </c>
      <c r="DJ2895" s="406">
        <v>-8.0090000000000003</v>
      </c>
      <c r="DK2895" s="80">
        <v>-34.854999999999997</v>
      </c>
      <c r="DL2895" s="80">
        <v>16</v>
      </c>
      <c r="DM2895" s="64">
        <v>8</v>
      </c>
      <c r="DN2895" s="406" t="s">
        <v>7586</v>
      </c>
      <c r="DO2895" s="406">
        <v>-8.0500000000000007</v>
      </c>
      <c r="DP2895" s="80">
        <v>10</v>
      </c>
    </row>
    <row r="2896" spans="29:120" x14ac:dyDescent="0.25">
      <c r="AC2896" s="122" t="s">
        <v>311</v>
      </c>
      <c r="AD2896" s="122" t="s">
        <v>3231</v>
      </c>
      <c r="AE2896" s="127">
        <v>3</v>
      </c>
      <c r="DA2896" s="122" t="s">
        <v>323</v>
      </c>
      <c r="DB2896" s="122" t="s">
        <v>2667</v>
      </c>
      <c r="DC2896" s="122" t="s">
        <v>2667</v>
      </c>
      <c r="DD2896" s="127">
        <v>8</v>
      </c>
      <c r="DE2896" s="127">
        <v>8</v>
      </c>
      <c r="DG2896" s="405" t="s">
        <v>323</v>
      </c>
      <c r="DH2896" s="406" t="s">
        <v>2667</v>
      </c>
      <c r="DI2896" s="406" t="str">
        <f t="shared" si="77"/>
        <v>PE, Orobó</v>
      </c>
      <c r="DJ2896" s="406">
        <v>-7.7450000000000001</v>
      </c>
      <c r="DK2896" s="80">
        <v>-35.601999999999997</v>
      </c>
      <c r="DL2896" s="80">
        <v>415</v>
      </c>
      <c r="DM2896" s="64">
        <v>8</v>
      </c>
      <c r="DN2896" s="406" t="s">
        <v>7494</v>
      </c>
      <c r="DO2896" s="406">
        <v>-7.84</v>
      </c>
      <c r="DP2896" s="80">
        <v>418</v>
      </c>
    </row>
    <row r="2897" spans="29:120" x14ac:dyDescent="0.25">
      <c r="AC2897" s="122" t="s">
        <v>311</v>
      </c>
      <c r="AD2897" s="122" t="s">
        <v>3232</v>
      </c>
      <c r="AE2897" s="127">
        <v>3</v>
      </c>
      <c r="DA2897" s="122" t="s">
        <v>323</v>
      </c>
      <c r="DB2897" s="122" t="s">
        <v>5114</v>
      </c>
      <c r="DC2897" s="122" t="s">
        <v>5114</v>
      </c>
      <c r="DD2897" s="127">
        <v>7</v>
      </c>
      <c r="DE2897" s="127">
        <v>7</v>
      </c>
      <c r="DG2897" s="405" t="s">
        <v>323</v>
      </c>
      <c r="DH2897" s="406" t="s">
        <v>5114</v>
      </c>
      <c r="DI2897" s="406" t="str">
        <f t="shared" si="77"/>
        <v>PE, Orocó</v>
      </c>
      <c r="DJ2897" s="406">
        <v>-8.6199999999999992</v>
      </c>
      <c r="DK2897" s="80">
        <v>-39.601999999999997</v>
      </c>
      <c r="DL2897" s="80">
        <v>349</v>
      </c>
      <c r="DM2897" s="64">
        <v>7</v>
      </c>
      <c r="DN2897" s="406" t="s">
        <v>6194</v>
      </c>
      <c r="DO2897" s="406">
        <v>-8.5</v>
      </c>
      <c r="DP2897" s="80">
        <v>342</v>
      </c>
    </row>
    <row r="2898" spans="29:120" x14ac:dyDescent="0.25">
      <c r="AC2898" s="122" t="s">
        <v>358</v>
      </c>
      <c r="AD2898" s="122" t="s">
        <v>3233</v>
      </c>
      <c r="AE2898" s="127">
        <v>3</v>
      </c>
      <c r="DA2898" s="122" t="s">
        <v>323</v>
      </c>
      <c r="DB2898" s="122" t="s">
        <v>5143</v>
      </c>
      <c r="DC2898" s="122" t="s">
        <v>5143</v>
      </c>
      <c r="DD2898" s="127">
        <v>7</v>
      </c>
      <c r="DE2898" s="127">
        <v>7</v>
      </c>
      <c r="DG2898" s="405" t="s">
        <v>323</v>
      </c>
      <c r="DH2898" s="406" t="s">
        <v>5143</v>
      </c>
      <c r="DI2898" s="406" t="str">
        <f t="shared" si="77"/>
        <v>PE, Ouricuri</v>
      </c>
      <c r="DJ2898" s="406">
        <v>-7.883</v>
      </c>
      <c r="DK2898" s="80">
        <v>-40.082000000000001</v>
      </c>
      <c r="DL2898" s="80">
        <v>451</v>
      </c>
      <c r="DM2898" s="64">
        <v>7</v>
      </c>
      <c r="DN2898" s="406" t="s">
        <v>6405</v>
      </c>
      <c r="DO2898" s="406">
        <v>-7.08</v>
      </c>
      <c r="DP2898" s="80">
        <v>572</v>
      </c>
    </row>
    <row r="2899" spans="29:120" x14ac:dyDescent="0.25">
      <c r="AC2899" s="122" t="s">
        <v>358</v>
      </c>
      <c r="AD2899" s="122" t="s">
        <v>3234</v>
      </c>
      <c r="AE2899" s="127">
        <v>5</v>
      </c>
      <c r="DA2899" s="122" t="s">
        <v>323</v>
      </c>
      <c r="DB2899" s="122" t="s">
        <v>5090</v>
      </c>
      <c r="DC2899" s="122" t="s">
        <v>5090</v>
      </c>
      <c r="DD2899" s="127">
        <v>8</v>
      </c>
      <c r="DE2899" s="127">
        <v>8</v>
      </c>
      <c r="DG2899" s="405" t="s">
        <v>323</v>
      </c>
      <c r="DH2899" s="406" t="s">
        <v>5090</v>
      </c>
      <c r="DI2899" s="406" t="str">
        <f t="shared" si="77"/>
        <v>PE, Palmares</v>
      </c>
      <c r="DJ2899" s="406">
        <v>-8.6829999999999998</v>
      </c>
      <c r="DK2899" s="80">
        <v>-35.591999999999999</v>
      </c>
      <c r="DL2899" s="80">
        <v>108</v>
      </c>
      <c r="DM2899" s="64">
        <v>8</v>
      </c>
      <c r="DN2899" s="406" t="s">
        <v>6097</v>
      </c>
      <c r="DO2899" s="406">
        <v>-8.67</v>
      </c>
      <c r="DP2899" s="80">
        <v>180</v>
      </c>
    </row>
    <row r="2900" spans="29:120" x14ac:dyDescent="0.25">
      <c r="AC2900" s="122" t="s">
        <v>236</v>
      </c>
      <c r="AD2900" s="122" t="s">
        <v>3235</v>
      </c>
      <c r="AE2900" s="127">
        <v>2</v>
      </c>
      <c r="DA2900" s="122" t="s">
        <v>323</v>
      </c>
      <c r="DB2900" s="122" t="s">
        <v>1986</v>
      </c>
      <c r="DC2900" s="122" t="s">
        <v>1986</v>
      </c>
      <c r="DD2900" s="127">
        <v>8</v>
      </c>
      <c r="DE2900" s="127">
        <v>8</v>
      </c>
      <c r="DG2900" s="405" t="s">
        <v>323</v>
      </c>
      <c r="DH2900" s="406" t="s">
        <v>1986</v>
      </c>
      <c r="DI2900" s="406" t="str">
        <f t="shared" si="77"/>
        <v>PE, Palmeirina</v>
      </c>
      <c r="DJ2900" s="406">
        <v>-9.0039999999999996</v>
      </c>
      <c r="DK2900" s="80">
        <v>-36.326000000000001</v>
      </c>
      <c r="DL2900" s="80">
        <v>531</v>
      </c>
      <c r="DM2900" s="64">
        <v>8</v>
      </c>
      <c r="DN2900" s="406" t="s">
        <v>6142</v>
      </c>
      <c r="DO2900" s="406">
        <v>-8.89</v>
      </c>
      <c r="DP2900" s="80">
        <v>823</v>
      </c>
    </row>
    <row r="2901" spans="29:120" x14ac:dyDescent="0.25">
      <c r="AC2901" s="122" t="s">
        <v>311</v>
      </c>
      <c r="AD2901" s="122" t="s">
        <v>3236</v>
      </c>
      <c r="AE2901" s="127">
        <v>3</v>
      </c>
      <c r="DA2901" s="122" t="s">
        <v>323</v>
      </c>
      <c r="DB2901" s="122" t="s">
        <v>2083</v>
      </c>
      <c r="DC2901" s="122" t="s">
        <v>2083</v>
      </c>
      <c r="DD2901" s="127">
        <v>8</v>
      </c>
      <c r="DE2901" s="127">
        <v>8</v>
      </c>
      <c r="DG2901" s="405" t="s">
        <v>323</v>
      </c>
      <c r="DH2901" s="406" t="s">
        <v>2083</v>
      </c>
      <c r="DI2901" s="406" t="str">
        <f t="shared" si="77"/>
        <v>PE, Panelas</v>
      </c>
      <c r="DJ2901" s="406">
        <v>-8.6639999999999997</v>
      </c>
      <c r="DK2901" s="80">
        <v>-36.006</v>
      </c>
      <c r="DL2901" s="80">
        <v>532</v>
      </c>
      <c r="DM2901" s="64">
        <v>8</v>
      </c>
      <c r="DN2901" s="406" t="s">
        <v>6097</v>
      </c>
      <c r="DO2901" s="406">
        <v>-8.67</v>
      </c>
      <c r="DP2901" s="80">
        <v>180</v>
      </c>
    </row>
    <row r="2902" spans="29:120" x14ac:dyDescent="0.25">
      <c r="AC2902" s="122" t="s">
        <v>358</v>
      </c>
      <c r="AD2902" s="122" t="s">
        <v>3237</v>
      </c>
      <c r="AE2902" s="127">
        <v>3</v>
      </c>
      <c r="DA2902" s="122" t="s">
        <v>323</v>
      </c>
      <c r="DB2902" s="122" t="s">
        <v>1855</v>
      </c>
      <c r="DC2902" s="122" t="s">
        <v>1855</v>
      </c>
      <c r="DD2902" s="127">
        <v>8</v>
      </c>
      <c r="DE2902" s="127">
        <v>8</v>
      </c>
      <c r="DG2902" s="405" t="s">
        <v>323</v>
      </c>
      <c r="DH2902" s="406" t="s">
        <v>1855</v>
      </c>
      <c r="DI2902" s="406" t="str">
        <f t="shared" si="77"/>
        <v>PE, Paranatama</v>
      </c>
      <c r="DJ2902" s="406">
        <v>-8.9209999999999994</v>
      </c>
      <c r="DK2902" s="80">
        <v>-36.658000000000001</v>
      </c>
      <c r="DL2902" s="80">
        <v>879</v>
      </c>
      <c r="DM2902" s="64">
        <v>8</v>
      </c>
      <c r="DN2902" s="406" t="s">
        <v>6142</v>
      </c>
      <c r="DO2902" s="406">
        <v>-8.89</v>
      </c>
      <c r="DP2902" s="80">
        <v>823</v>
      </c>
    </row>
    <row r="2903" spans="29:120" x14ac:dyDescent="0.25">
      <c r="AC2903" s="122" t="s">
        <v>311</v>
      </c>
      <c r="AD2903" s="122" t="s">
        <v>3238</v>
      </c>
      <c r="AE2903" s="127">
        <v>3</v>
      </c>
      <c r="DA2903" s="122" t="s">
        <v>323</v>
      </c>
      <c r="DB2903" s="122" t="s">
        <v>2500</v>
      </c>
      <c r="DC2903" s="122" t="s">
        <v>2500</v>
      </c>
      <c r="DD2903" s="127">
        <v>7</v>
      </c>
      <c r="DE2903" s="127">
        <v>7</v>
      </c>
      <c r="DG2903" s="405" t="s">
        <v>323</v>
      </c>
      <c r="DH2903" s="406" t="s">
        <v>2500</v>
      </c>
      <c r="DI2903" s="406" t="str">
        <f t="shared" si="77"/>
        <v>PE, Parnamirim</v>
      </c>
      <c r="DJ2903" s="406">
        <v>-8.0909999999999993</v>
      </c>
      <c r="DK2903" s="80">
        <v>-39.578000000000003</v>
      </c>
      <c r="DL2903" s="80">
        <v>392</v>
      </c>
      <c r="DM2903" s="64">
        <v>7</v>
      </c>
      <c r="DN2903" s="406" t="s">
        <v>6194</v>
      </c>
      <c r="DO2903" s="406">
        <v>-8.5</v>
      </c>
      <c r="DP2903" s="80">
        <v>342</v>
      </c>
    </row>
    <row r="2904" spans="29:120" x14ac:dyDescent="0.25">
      <c r="AC2904" s="122" t="s">
        <v>311</v>
      </c>
      <c r="AD2904" s="122" t="s">
        <v>3239</v>
      </c>
      <c r="AE2904" s="127">
        <v>3</v>
      </c>
      <c r="DA2904" s="122" t="s">
        <v>323</v>
      </c>
      <c r="DB2904" s="122" t="s">
        <v>5334</v>
      </c>
      <c r="DC2904" s="122" t="s">
        <v>5334</v>
      </c>
      <c r="DD2904" s="127">
        <v>8</v>
      </c>
      <c r="DE2904" s="127">
        <v>8</v>
      </c>
      <c r="DG2904" s="405" t="s">
        <v>323</v>
      </c>
      <c r="DH2904" s="406" t="s">
        <v>5334</v>
      </c>
      <c r="DI2904" s="406" t="str">
        <f t="shared" si="77"/>
        <v>PE, Passira</v>
      </c>
      <c r="DJ2904" s="406">
        <v>-7.9950000000000001</v>
      </c>
      <c r="DK2904" s="80">
        <v>-35.581000000000003</v>
      </c>
      <c r="DL2904" s="80">
        <v>176</v>
      </c>
      <c r="DM2904" s="64">
        <v>8</v>
      </c>
      <c r="DN2904" s="406" t="s">
        <v>7494</v>
      </c>
      <c r="DO2904" s="406">
        <v>-7.84</v>
      </c>
      <c r="DP2904" s="80">
        <v>418</v>
      </c>
    </row>
    <row r="2905" spans="29:120" x14ac:dyDescent="0.25">
      <c r="AC2905" s="122" t="s">
        <v>376</v>
      </c>
      <c r="AD2905" s="122" t="s">
        <v>3240</v>
      </c>
      <c r="AE2905" s="127">
        <v>3</v>
      </c>
      <c r="DA2905" s="122" t="s">
        <v>323</v>
      </c>
      <c r="DB2905" s="122" t="s">
        <v>5073</v>
      </c>
      <c r="DC2905" s="122" t="s">
        <v>5073</v>
      </c>
      <c r="DD2905" s="127">
        <v>8</v>
      </c>
      <c r="DE2905" s="127">
        <v>8</v>
      </c>
      <c r="DG2905" s="405" t="s">
        <v>323</v>
      </c>
      <c r="DH2905" s="406" t="s">
        <v>5073</v>
      </c>
      <c r="DI2905" s="406" t="str">
        <f t="shared" si="77"/>
        <v>PE, Paudalho</v>
      </c>
      <c r="DJ2905" s="406">
        <v>-7.8970000000000002</v>
      </c>
      <c r="DK2905" s="80">
        <v>-35.18</v>
      </c>
      <c r="DL2905" s="80">
        <v>69</v>
      </c>
      <c r="DM2905" s="64">
        <v>8</v>
      </c>
      <c r="DN2905" s="406" t="s">
        <v>7586</v>
      </c>
      <c r="DO2905" s="406">
        <v>-8.0500000000000007</v>
      </c>
      <c r="DP2905" s="80">
        <v>10</v>
      </c>
    </row>
    <row r="2906" spans="29:120" x14ac:dyDescent="0.25">
      <c r="AC2906" s="122" t="s">
        <v>311</v>
      </c>
      <c r="AD2906" s="122" t="s">
        <v>3241</v>
      </c>
      <c r="AE2906" s="127">
        <v>3</v>
      </c>
      <c r="DA2906" s="122" t="s">
        <v>323</v>
      </c>
      <c r="DB2906" s="122" t="s">
        <v>4494</v>
      </c>
      <c r="DC2906" s="122" t="s">
        <v>4494</v>
      </c>
      <c r="DD2906" s="127">
        <v>8</v>
      </c>
      <c r="DE2906" s="127">
        <v>8</v>
      </c>
      <c r="DG2906" s="405" t="s">
        <v>323</v>
      </c>
      <c r="DH2906" s="406" t="s">
        <v>4494</v>
      </c>
      <c r="DI2906" s="406" t="str">
        <f t="shared" si="77"/>
        <v>PE, Paulista</v>
      </c>
      <c r="DJ2906" s="406">
        <v>-7.9409999999999998</v>
      </c>
      <c r="DK2906" s="80">
        <v>-34.872999999999998</v>
      </c>
      <c r="DL2906" s="80">
        <v>13</v>
      </c>
      <c r="DM2906" s="64">
        <v>8</v>
      </c>
      <c r="DN2906" s="406" t="s">
        <v>7586</v>
      </c>
      <c r="DO2906" s="406">
        <v>-8.0500000000000007</v>
      </c>
      <c r="DP2906" s="80">
        <v>10</v>
      </c>
    </row>
    <row r="2907" spans="29:120" x14ac:dyDescent="0.25">
      <c r="AC2907" s="122" t="s">
        <v>358</v>
      </c>
      <c r="AD2907" s="122" t="s">
        <v>3242</v>
      </c>
      <c r="AE2907" s="127">
        <v>5</v>
      </c>
      <c r="DA2907" s="122" t="s">
        <v>323</v>
      </c>
      <c r="DB2907" s="122" t="s">
        <v>2484</v>
      </c>
      <c r="DC2907" s="122" t="s">
        <v>2484</v>
      </c>
      <c r="DD2907" s="127">
        <v>8</v>
      </c>
      <c r="DE2907" s="127">
        <v>8</v>
      </c>
      <c r="DG2907" s="405" t="s">
        <v>323</v>
      </c>
      <c r="DH2907" s="406" t="s">
        <v>2484</v>
      </c>
      <c r="DI2907" s="406" t="str">
        <f t="shared" si="77"/>
        <v>PE, Pedra</v>
      </c>
      <c r="DJ2907" s="406">
        <v>-8.4969999999999999</v>
      </c>
      <c r="DK2907" s="80">
        <v>-36.941000000000003</v>
      </c>
      <c r="DL2907" s="80">
        <v>593</v>
      </c>
      <c r="DM2907" s="64">
        <v>8</v>
      </c>
      <c r="DN2907" s="406" t="s">
        <v>7579</v>
      </c>
      <c r="DO2907" s="406">
        <v>-8.42</v>
      </c>
      <c r="DP2907" s="80">
        <v>681</v>
      </c>
    </row>
    <row r="2908" spans="29:120" x14ac:dyDescent="0.25">
      <c r="AC2908" s="122" t="s">
        <v>311</v>
      </c>
      <c r="AD2908" s="122" t="s">
        <v>3243</v>
      </c>
      <c r="AE2908" s="127">
        <v>3</v>
      </c>
      <c r="DA2908" s="122" t="s">
        <v>323</v>
      </c>
      <c r="DB2908" s="122" t="s">
        <v>2208</v>
      </c>
      <c r="DC2908" s="122" t="s">
        <v>2208</v>
      </c>
      <c r="DD2908" s="127">
        <v>8</v>
      </c>
      <c r="DE2908" s="127">
        <v>8</v>
      </c>
      <c r="DG2908" s="405" t="s">
        <v>323</v>
      </c>
      <c r="DH2908" s="406" t="s">
        <v>2208</v>
      </c>
      <c r="DI2908" s="406" t="str">
        <f t="shared" si="77"/>
        <v>PE, Pesqueira</v>
      </c>
      <c r="DJ2908" s="406">
        <v>-8.3580000000000005</v>
      </c>
      <c r="DK2908" s="80">
        <v>-36.695999999999998</v>
      </c>
      <c r="DL2908" s="80">
        <v>654</v>
      </c>
      <c r="DM2908" s="64">
        <v>8</v>
      </c>
      <c r="DN2908" s="406" t="s">
        <v>7579</v>
      </c>
      <c r="DO2908" s="406">
        <v>-8.42</v>
      </c>
      <c r="DP2908" s="80">
        <v>681</v>
      </c>
    </row>
    <row r="2909" spans="29:120" x14ac:dyDescent="0.25">
      <c r="AC2909" s="122" t="s">
        <v>311</v>
      </c>
      <c r="AD2909" s="122" t="s">
        <v>3244</v>
      </c>
      <c r="AE2909" s="127">
        <v>3</v>
      </c>
      <c r="DA2909" s="122" t="s">
        <v>323</v>
      </c>
      <c r="DB2909" s="122" t="s">
        <v>1329</v>
      </c>
      <c r="DC2909" s="122" t="s">
        <v>1329</v>
      </c>
      <c r="DD2909" s="127">
        <v>8</v>
      </c>
      <c r="DE2909" s="127">
        <v>8</v>
      </c>
      <c r="DG2909" s="405" t="s">
        <v>323</v>
      </c>
      <c r="DH2909" s="406" t="s">
        <v>1329</v>
      </c>
      <c r="DI2909" s="406" t="str">
        <f t="shared" si="77"/>
        <v>PE, Petrolândia</v>
      </c>
      <c r="DJ2909" s="406">
        <v>-9.0690000000000008</v>
      </c>
      <c r="DK2909" s="80">
        <v>-38.302999999999997</v>
      </c>
      <c r="DL2909" s="80">
        <v>282</v>
      </c>
      <c r="DM2909" s="64">
        <v>8</v>
      </c>
      <c r="DN2909" s="406" t="s">
        <v>6087</v>
      </c>
      <c r="DO2909" s="406">
        <v>-9.41</v>
      </c>
      <c r="DP2909" s="80">
        <v>253</v>
      </c>
    </row>
    <row r="2910" spans="29:120" x14ac:dyDescent="0.25">
      <c r="AC2910" s="122" t="s">
        <v>311</v>
      </c>
      <c r="AD2910" s="122" t="s">
        <v>2331</v>
      </c>
      <c r="AE2910" s="127">
        <v>3</v>
      </c>
      <c r="DA2910" s="122" t="s">
        <v>323</v>
      </c>
      <c r="DB2910" s="122" t="s">
        <v>5206</v>
      </c>
      <c r="DC2910" s="122" t="s">
        <v>5206</v>
      </c>
      <c r="DD2910" s="127">
        <v>7</v>
      </c>
      <c r="DE2910" s="127">
        <v>7</v>
      </c>
      <c r="DG2910" s="405" t="s">
        <v>323</v>
      </c>
      <c r="DH2910" s="406" t="s">
        <v>5206</v>
      </c>
      <c r="DI2910" s="406" t="str">
        <f t="shared" si="77"/>
        <v>PE, Petrolina</v>
      </c>
      <c r="DJ2910" s="406">
        <v>-9.3930000000000007</v>
      </c>
      <c r="DK2910" s="80">
        <v>-40.508000000000003</v>
      </c>
      <c r="DL2910" s="80">
        <v>376</v>
      </c>
      <c r="DM2910" s="64">
        <v>7</v>
      </c>
      <c r="DN2910" s="406" t="s">
        <v>6260</v>
      </c>
      <c r="DO2910" s="406">
        <v>-9.39</v>
      </c>
      <c r="DP2910" s="80">
        <v>370</v>
      </c>
    </row>
    <row r="2911" spans="29:120" x14ac:dyDescent="0.25">
      <c r="AC2911" s="122" t="s">
        <v>311</v>
      </c>
      <c r="AD2911" s="122" t="s">
        <v>3245</v>
      </c>
      <c r="AE2911" s="127">
        <v>2</v>
      </c>
      <c r="DA2911" s="122" t="s">
        <v>323</v>
      </c>
      <c r="DB2911" s="122" t="s">
        <v>2120</v>
      </c>
      <c r="DC2911" s="122" t="s">
        <v>2120</v>
      </c>
      <c r="DD2911" s="127">
        <v>8</v>
      </c>
      <c r="DE2911" s="127">
        <v>8</v>
      </c>
      <c r="DG2911" s="405" t="s">
        <v>323</v>
      </c>
      <c r="DH2911" s="406" t="s">
        <v>2120</v>
      </c>
      <c r="DI2911" s="406" t="str">
        <f t="shared" si="77"/>
        <v>PE, Poção</v>
      </c>
      <c r="DJ2911" s="406">
        <v>-8.1859999999999999</v>
      </c>
      <c r="DK2911" s="80">
        <v>-36.704999999999998</v>
      </c>
      <c r="DL2911" s="80">
        <v>1000</v>
      </c>
      <c r="DM2911" s="64">
        <v>8</v>
      </c>
      <c r="DN2911" s="406" t="s">
        <v>7579</v>
      </c>
      <c r="DO2911" s="406">
        <v>-8.42</v>
      </c>
      <c r="DP2911" s="80">
        <v>681</v>
      </c>
    </row>
    <row r="2912" spans="29:120" x14ac:dyDescent="0.25">
      <c r="AC2912" s="122" t="s">
        <v>311</v>
      </c>
      <c r="AD2912" s="122" t="s">
        <v>3246</v>
      </c>
      <c r="AE2912" s="127">
        <v>1</v>
      </c>
      <c r="DA2912" s="122" t="s">
        <v>323</v>
      </c>
      <c r="DB2912" s="122" t="s">
        <v>2463</v>
      </c>
      <c r="DC2912" s="122" t="s">
        <v>2463</v>
      </c>
      <c r="DD2912" s="127">
        <v>8</v>
      </c>
      <c r="DE2912" s="127">
        <v>8</v>
      </c>
      <c r="DG2912" s="405" t="s">
        <v>323</v>
      </c>
      <c r="DH2912" s="406" t="s">
        <v>2463</v>
      </c>
      <c r="DI2912" s="406" t="str">
        <f t="shared" si="77"/>
        <v>PE, Pombos</v>
      </c>
      <c r="DJ2912" s="406">
        <v>-8.141</v>
      </c>
      <c r="DK2912" s="80">
        <v>-35.396000000000001</v>
      </c>
      <c r="DL2912" s="80">
        <v>208</v>
      </c>
      <c r="DM2912" s="64">
        <v>8</v>
      </c>
      <c r="DN2912" s="406" t="s">
        <v>7494</v>
      </c>
      <c r="DO2912" s="406">
        <v>-7.84</v>
      </c>
      <c r="DP2912" s="80">
        <v>418</v>
      </c>
    </row>
    <row r="2913" spans="29:120" x14ac:dyDescent="0.25">
      <c r="AC2913" s="122" t="s">
        <v>311</v>
      </c>
      <c r="AD2913" s="122" t="s">
        <v>3247</v>
      </c>
      <c r="AE2913" s="127">
        <v>3</v>
      </c>
      <c r="DA2913" s="122" t="s">
        <v>323</v>
      </c>
      <c r="DB2913" s="122" t="s">
        <v>4216</v>
      </c>
      <c r="DC2913" s="122" t="s">
        <v>4216</v>
      </c>
      <c r="DD2913" s="127">
        <v>8</v>
      </c>
      <c r="DE2913" s="127">
        <v>8</v>
      </c>
      <c r="DG2913" s="405" t="s">
        <v>323</v>
      </c>
      <c r="DH2913" s="406" t="s">
        <v>4216</v>
      </c>
      <c r="DI2913" s="406" t="str">
        <f t="shared" si="77"/>
        <v>PE, Primavera</v>
      </c>
      <c r="DJ2913" s="406">
        <v>-8.3309999999999995</v>
      </c>
      <c r="DK2913" s="80">
        <v>-35.353999999999999</v>
      </c>
      <c r="DL2913" s="80">
        <v>129</v>
      </c>
      <c r="DM2913" s="64">
        <v>8</v>
      </c>
      <c r="DN2913" s="406" t="s">
        <v>6097</v>
      </c>
      <c r="DO2913" s="406">
        <v>-8.67</v>
      </c>
      <c r="DP2913" s="80">
        <v>180</v>
      </c>
    </row>
    <row r="2914" spans="29:120" x14ac:dyDescent="0.25">
      <c r="AC2914" s="122" t="s">
        <v>311</v>
      </c>
      <c r="AD2914" s="122" t="s">
        <v>3248</v>
      </c>
      <c r="AE2914" s="127">
        <v>3</v>
      </c>
      <c r="DA2914" s="122" t="s">
        <v>323</v>
      </c>
      <c r="DB2914" s="122" t="s">
        <v>2452</v>
      </c>
      <c r="DC2914" s="122" t="s">
        <v>2452</v>
      </c>
      <c r="DD2914" s="127">
        <v>8</v>
      </c>
      <c r="DE2914" s="127">
        <v>8</v>
      </c>
      <c r="DG2914" s="405" t="s">
        <v>323</v>
      </c>
      <c r="DH2914" s="406" t="s">
        <v>2452</v>
      </c>
      <c r="DI2914" s="406" t="str">
        <f t="shared" si="77"/>
        <v>PE, Quipapá</v>
      </c>
      <c r="DJ2914" s="406">
        <v>-8.8279999999999994</v>
      </c>
      <c r="DK2914" s="80">
        <v>-36.012</v>
      </c>
      <c r="DL2914" s="80">
        <v>462</v>
      </c>
      <c r="DM2914" s="64">
        <v>8</v>
      </c>
      <c r="DN2914" s="406" t="s">
        <v>6097</v>
      </c>
      <c r="DO2914" s="406">
        <v>-8.67</v>
      </c>
      <c r="DP2914" s="80">
        <v>180</v>
      </c>
    </row>
    <row r="2915" spans="29:120" x14ac:dyDescent="0.25">
      <c r="AC2915" s="122" t="s">
        <v>311</v>
      </c>
      <c r="AD2915" s="122" t="s">
        <v>3249</v>
      </c>
      <c r="AE2915" s="127">
        <v>4</v>
      </c>
      <c r="DA2915" s="122" t="s">
        <v>323</v>
      </c>
      <c r="DB2915" s="122" t="s">
        <v>5488</v>
      </c>
      <c r="DC2915" s="122" t="s">
        <v>5488</v>
      </c>
      <c r="DD2915" s="127">
        <v>8</v>
      </c>
      <c r="DE2915" s="127">
        <v>8</v>
      </c>
      <c r="DG2915" s="405" t="s">
        <v>323</v>
      </c>
      <c r="DH2915" s="406" t="s">
        <v>5488</v>
      </c>
      <c r="DI2915" s="406" t="str">
        <f t="shared" si="77"/>
        <v>PE, Quixaba</v>
      </c>
      <c r="DJ2915" s="406">
        <v>-7.72</v>
      </c>
      <c r="DK2915" s="80">
        <v>-37.847999999999999</v>
      </c>
      <c r="DL2915" s="80">
        <v>542</v>
      </c>
      <c r="DM2915" s="64">
        <v>8</v>
      </c>
      <c r="DN2915" s="406" t="s">
        <v>7509</v>
      </c>
      <c r="DO2915" s="406">
        <v>-7.95</v>
      </c>
      <c r="DP2915" s="80">
        <v>461</v>
      </c>
    </row>
    <row r="2916" spans="29:120" x14ac:dyDescent="0.25">
      <c r="AC2916" s="122" t="s">
        <v>311</v>
      </c>
      <c r="AD2916" s="122" t="s">
        <v>3250</v>
      </c>
      <c r="AE2916" s="127">
        <v>3</v>
      </c>
      <c r="DA2916" s="122" t="s">
        <v>323</v>
      </c>
      <c r="DB2916" s="122" t="s">
        <v>4110</v>
      </c>
      <c r="DC2916" s="122" t="s">
        <v>4110</v>
      </c>
      <c r="DD2916" s="127">
        <v>8</v>
      </c>
      <c r="DE2916" s="127">
        <v>8</v>
      </c>
      <c r="DG2916" s="405" t="s">
        <v>323</v>
      </c>
      <c r="DH2916" s="406" t="s">
        <v>4110</v>
      </c>
      <c r="DI2916" s="406" t="str">
        <f t="shared" si="77"/>
        <v>PE, Recife</v>
      </c>
      <c r="DJ2916" s="406">
        <v>-8.0540000000000003</v>
      </c>
      <c r="DK2916" s="80">
        <v>-34.881</v>
      </c>
      <c r="DL2916" s="80">
        <v>4</v>
      </c>
      <c r="DM2916" s="64">
        <v>8</v>
      </c>
      <c r="DN2916" s="406" t="s">
        <v>7586</v>
      </c>
      <c r="DO2916" s="406">
        <v>-8.0500000000000007</v>
      </c>
      <c r="DP2916" s="80">
        <v>10</v>
      </c>
    </row>
    <row r="2917" spans="29:120" x14ac:dyDescent="0.25">
      <c r="AC2917" s="122" t="s">
        <v>323</v>
      </c>
      <c r="AD2917" s="122" t="s">
        <v>3251</v>
      </c>
      <c r="AE2917" s="127">
        <v>7</v>
      </c>
      <c r="DA2917" s="122" t="s">
        <v>323</v>
      </c>
      <c r="DB2917" s="122" t="s">
        <v>7616</v>
      </c>
      <c r="DC2917" s="122" t="s">
        <v>2457</v>
      </c>
      <c r="DD2917" s="127">
        <v>8</v>
      </c>
      <c r="DE2917" s="127">
        <v>8</v>
      </c>
      <c r="DG2917" s="405" t="s">
        <v>323</v>
      </c>
      <c r="DH2917" s="406" t="s">
        <v>2457</v>
      </c>
      <c r="DI2917" s="406" t="str">
        <f t="shared" si="77"/>
        <v>PE, Riacho das Almas</v>
      </c>
      <c r="DJ2917" s="406">
        <v>-8.1340000000000003</v>
      </c>
      <c r="DK2917" s="80">
        <v>-35.856000000000002</v>
      </c>
      <c r="DL2917" s="80">
        <v>407</v>
      </c>
      <c r="DM2917" s="64">
        <v>8</v>
      </c>
      <c r="DN2917" s="406" t="s">
        <v>7589</v>
      </c>
      <c r="DO2917" s="406">
        <v>-8.24</v>
      </c>
      <c r="DP2917" s="80">
        <v>550</v>
      </c>
    </row>
    <row r="2918" spans="29:120" x14ac:dyDescent="0.25">
      <c r="AC2918" s="122" t="s">
        <v>311</v>
      </c>
      <c r="AD2918" s="122" t="s">
        <v>3252</v>
      </c>
      <c r="AE2918" s="127">
        <v>3</v>
      </c>
      <c r="DA2918" s="122" t="s">
        <v>323</v>
      </c>
      <c r="DB2918" s="122" t="s">
        <v>5336</v>
      </c>
      <c r="DC2918" s="122" t="s">
        <v>5336</v>
      </c>
      <c r="DD2918" s="127">
        <v>8</v>
      </c>
      <c r="DE2918" s="127">
        <v>8</v>
      </c>
      <c r="DG2918" s="405" t="s">
        <v>323</v>
      </c>
      <c r="DH2918" s="406" t="s">
        <v>5336</v>
      </c>
      <c r="DI2918" s="406" t="str">
        <f t="shared" si="77"/>
        <v>PE, Ribeirão</v>
      </c>
      <c r="DJ2918" s="406">
        <v>-8.5139999999999993</v>
      </c>
      <c r="DK2918" s="80">
        <v>-35.378</v>
      </c>
      <c r="DL2918" s="80">
        <v>97</v>
      </c>
      <c r="DM2918" s="64">
        <v>8</v>
      </c>
      <c r="DN2918" s="406" t="s">
        <v>6097</v>
      </c>
      <c r="DO2918" s="406">
        <v>-8.67</v>
      </c>
      <c r="DP2918" s="80">
        <v>180</v>
      </c>
    </row>
    <row r="2919" spans="29:120" x14ac:dyDescent="0.25">
      <c r="AC2919" s="122" t="s">
        <v>27</v>
      </c>
      <c r="AD2919" s="122" t="s">
        <v>3253</v>
      </c>
      <c r="AE2919" s="127">
        <v>2</v>
      </c>
      <c r="DA2919" s="122" t="s">
        <v>323</v>
      </c>
      <c r="DB2919" s="122" t="s">
        <v>7617</v>
      </c>
      <c r="DC2919" s="122" t="s">
        <v>5043</v>
      </c>
      <c r="DD2919" s="127">
        <v>8</v>
      </c>
      <c r="DE2919" s="127">
        <v>8</v>
      </c>
      <c r="DG2919" s="405" t="s">
        <v>323</v>
      </c>
      <c r="DH2919" s="406" t="s">
        <v>5043</v>
      </c>
      <c r="DI2919" s="406" t="str">
        <f t="shared" si="77"/>
        <v>PE, Rio Formoso</v>
      </c>
      <c r="DJ2919" s="406">
        <v>-8.6639999999999997</v>
      </c>
      <c r="DK2919" s="80">
        <v>-35.158999999999999</v>
      </c>
      <c r="DL2919" s="80">
        <v>5</v>
      </c>
      <c r="DM2919" s="64">
        <v>8</v>
      </c>
      <c r="DN2919" s="406" t="s">
        <v>6097</v>
      </c>
      <c r="DO2919" s="406">
        <v>-8.67</v>
      </c>
      <c r="DP2919" s="80">
        <v>180</v>
      </c>
    </row>
    <row r="2920" spans="29:120" x14ac:dyDescent="0.25">
      <c r="AC2920" s="122" t="s">
        <v>376</v>
      </c>
      <c r="AD2920" s="122" t="s">
        <v>3254</v>
      </c>
      <c r="AE2920" s="127">
        <v>3</v>
      </c>
      <c r="DA2920" s="122" t="s">
        <v>323</v>
      </c>
      <c r="DB2920" s="122" t="s">
        <v>2101</v>
      </c>
      <c r="DC2920" s="122" t="s">
        <v>2101</v>
      </c>
      <c r="DD2920" s="127">
        <v>8</v>
      </c>
      <c r="DE2920" s="127">
        <v>8</v>
      </c>
      <c r="DG2920" s="405" t="s">
        <v>323</v>
      </c>
      <c r="DH2920" s="406" t="s">
        <v>2101</v>
      </c>
      <c r="DI2920" s="406" t="str">
        <f t="shared" si="77"/>
        <v>PE, Sairé</v>
      </c>
      <c r="DJ2920" s="406">
        <v>-8.3279999999999994</v>
      </c>
      <c r="DK2920" s="80">
        <v>-35.706000000000003</v>
      </c>
      <c r="DL2920" s="80">
        <v>663</v>
      </c>
      <c r="DM2920" s="64">
        <v>8</v>
      </c>
      <c r="DN2920" s="406" t="s">
        <v>7589</v>
      </c>
      <c r="DO2920" s="406">
        <v>-8.24</v>
      </c>
      <c r="DP2920" s="80">
        <v>550</v>
      </c>
    </row>
    <row r="2921" spans="29:120" x14ac:dyDescent="0.25">
      <c r="AC2921" s="122" t="s">
        <v>311</v>
      </c>
      <c r="AD2921" s="122" t="s">
        <v>3255</v>
      </c>
      <c r="AE2921" s="127">
        <v>3</v>
      </c>
      <c r="DA2921" s="122" t="s">
        <v>323</v>
      </c>
      <c r="DB2921" s="122" t="s">
        <v>1966</v>
      </c>
      <c r="DC2921" s="122" t="s">
        <v>1966</v>
      </c>
      <c r="DD2921" s="127">
        <v>8</v>
      </c>
      <c r="DE2921" s="127">
        <v>8</v>
      </c>
      <c r="DG2921" s="405" t="s">
        <v>323</v>
      </c>
      <c r="DH2921" s="406" t="s">
        <v>1966</v>
      </c>
      <c r="DI2921" s="406" t="str">
        <f t="shared" si="77"/>
        <v>PE, Salgadinho</v>
      </c>
      <c r="DJ2921" s="406">
        <v>-7.9359999999999999</v>
      </c>
      <c r="DK2921" s="80">
        <v>-35.633000000000003</v>
      </c>
      <c r="DL2921" s="80">
        <v>232</v>
      </c>
      <c r="DM2921" s="64">
        <v>8</v>
      </c>
      <c r="DN2921" s="406" t="s">
        <v>7494</v>
      </c>
      <c r="DO2921" s="406">
        <v>-7.84</v>
      </c>
      <c r="DP2921" s="80">
        <v>418</v>
      </c>
    </row>
    <row r="2922" spans="29:120" x14ac:dyDescent="0.25">
      <c r="AC2922" s="122" t="s">
        <v>336</v>
      </c>
      <c r="AD2922" s="122" t="s">
        <v>3256</v>
      </c>
      <c r="AE2922" s="127">
        <v>3</v>
      </c>
      <c r="DA2922" s="122" t="s">
        <v>323</v>
      </c>
      <c r="DB2922" s="122" t="s">
        <v>2521</v>
      </c>
      <c r="DC2922" s="122" t="s">
        <v>2521</v>
      </c>
      <c r="DD2922" s="127">
        <v>7</v>
      </c>
      <c r="DE2922" s="127">
        <v>7</v>
      </c>
      <c r="DG2922" s="405" t="s">
        <v>323</v>
      </c>
      <c r="DH2922" s="406" t="s">
        <v>2521</v>
      </c>
      <c r="DI2922" s="406" t="str">
        <f t="shared" si="77"/>
        <v>PE, Salgueiro</v>
      </c>
      <c r="DJ2922" s="406">
        <v>-8.0670000000000002</v>
      </c>
      <c r="DK2922" s="80">
        <v>-39.119999999999997</v>
      </c>
      <c r="DL2922" s="80">
        <v>420</v>
      </c>
      <c r="DM2922" s="64">
        <v>7</v>
      </c>
      <c r="DN2922" s="406" t="s">
        <v>6194</v>
      </c>
      <c r="DO2922" s="406">
        <v>-8.5</v>
      </c>
      <c r="DP2922" s="80">
        <v>342</v>
      </c>
    </row>
    <row r="2923" spans="29:120" x14ac:dyDescent="0.25">
      <c r="AC2923" s="122" t="s">
        <v>311</v>
      </c>
      <c r="AD2923" s="122" t="s">
        <v>3257</v>
      </c>
      <c r="AE2923" s="127">
        <v>3</v>
      </c>
      <c r="DA2923" s="122" t="s">
        <v>323</v>
      </c>
      <c r="DB2923" s="122" t="s">
        <v>1824</v>
      </c>
      <c r="DC2923" s="122" t="s">
        <v>1824</v>
      </c>
      <c r="DD2923" s="127">
        <v>8</v>
      </c>
      <c r="DE2923" s="127">
        <v>8</v>
      </c>
      <c r="DG2923" s="405" t="s">
        <v>323</v>
      </c>
      <c r="DH2923" s="406" t="s">
        <v>1824</v>
      </c>
      <c r="DI2923" s="406" t="str">
        <f t="shared" si="77"/>
        <v>PE, Saloá</v>
      </c>
      <c r="DJ2923" s="406">
        <v>-8.9760000000000009</v>
      </c>
      <c r="DK2923" s="80">
        <v>-36.688000000000002</v>
      </c>
      <c r="DL2923" s="80">
        <v>745</v>
      </c>
      <c r="DM2923" s="64">
        <v>8</v>
      </c>
      <c r="DN2923" s="406" t="s">
        <v>6142</v>
      </c>
      <c r="DO2923" s="406">
        <v>-8.89</v>
      </c>
      <c r="DP2923" s="80">
        <v>823</v>
      </c>
    </row>
    <row r="2924" spans="29:120" x14ac:dyDescent="0.25">
      <c r="AC2924" s="122" t="s">
        <v>311</v>
      </c>
      <c r="AD2924" s="122" t="s">
        <v>3258</v>
      </c>
      <c r="AE2924" s="127">
        <v>3</v>
      </c>
      <c r="DA2924" s="122" t="s">
        <v>323</v>
      </c>
      <c r="DB2924" s="122" t="s">
        <v>2486</v>
      </c>
      <c r="DC2924" s="122" t="s">
        <v>2486</v>
      </c>
      <c r="DD2924" s="127">
        <v>8</v>
      </c>
      <c r="DE2924" s="127">
        <v>8</v>
      </c>
      <c r="DG2924" s="405" t="s">
        <v>323</v>
      </c>
      <c r="DH2924" s="406" t="s">
        <v>2486</v>
      </c>
      <c r="DI2924" s="406" t="str">
        <f t="shared" si="77"/>
        <v>PE, Sanharó</v>
      </c>
      <c r="DJ2924" s="406">
        <v>-8.3610000000000007</v>
      </c>
      <c r="DK2924" s="80">
        <v>-36.566000000000003</v>
      </c>
      <c r="DL2924" s="80">
        <v>653</v>
      </c>
      <c r="DM2924" s="64">
        <v>8</v>
      </c>
      <c r="DN2924" s="406" t="s">
        <v>7579</v>
      </c>
      <c r="DO2924" s="406">
        <v>-8.42</v>
      </c>
      <c r="DP2924" s="80">
        <v>681</v>
      </c>
    </row>
    <row r="2925" spans="29:120" x14ac:dyDescent="0.25">
      <c r="AC2925" s="122" t="s">
        <v>311</v>
      </c>
      <c r="AD2925" s="122" t="s">
        <v>3259</v>
      </c>
      <c r="AE2925" s="127">
        <v>3</v>
      </c>
      <c r="DA2925" s="122" t="s">
        <v>323</v>
      </c>
      <c r="DB2925" s="122" t="s">
        <v>7555</v>
      </c>
      <c r="DC2925" s="122" t="s">
        <v>2492</v>
      </c>
      <c r="DD2925" s="127">
        <v>7</v>
      </c>
      <c r="DE2925" s="127">
        <v>7</v>
      </c>
      <c r="DG2925" s="405" t="s">
        <v>323</v>
      </c>
      <c r="DH2925" s="406" t="s">
        <v>2492</v>
      </c>
      <c r="DI2925" s="406" t="str">
        <f t="shared" si="77"/>
        <v>PE, Santa Cruz</v>
      </c>
      <c r="DJ2925" s="406">
        <v>-8.24</v>
      </c>
      <c r="DK2925" s="80">
        <v>-40.335999999999999</v>
      </c>
      <c r="DL2925" s="80">
        <v>515</v>
      </c>
      <c r="DM2925" s="64">
        <v>7</v>
      </c>
      <c r="DN2925" s="406" t="s">
        <v>7588</v>
      </c>
      <c r="DO2925" s="406">
        <v>-8.14</v>
      </c>
      <c r="DP2925" s="80">
        <v>374</v>
      </c>
    </row>
    <row r="2926" spans="29:120" x14ac:dyDescent="0.25">
      <c r="AC2926" s="122" t="s">
        <v>311</v>
      </c>
      <c r="AD2926" s="122" t="s">
        <v>3260</v>
      </c>
      <c r="AE2926" s="127">
        <v>2</v>
      </c>
      <c r="DA2926" s="122" t="s">
        <v>323</v>
      </c>
      <c r="DB2926" s="122" t="s">
        <v>7618</v>
      </c>
      <c r="DC2926" s="122" t="s">
        <v>2757</v>
      </c>
      <c r="DD2926" s="127">
        <v>6</v>
      </c>
      <c r="DE2926" s="127">
        <v>6</v>
      </c>
      <c r="DG2926" s="405" t="s">
        <v>323</v>
      </c>
      <c r="DH2926" s="406" t="s">
        <v>2757</v>
      </c>
      <c r="DI2926" s="406" t="str">
        <f t="shared" si="77"/>
        <v>PE, Santa Cruz da Baixa Verde</v>
      </c>
      <c r="DJ2926" s="406">
        <v>-7.8209999999999997</v>
      </c>
      <c r="DK2926" s="80">
        <v>-38.152999999999999</v>
      </c>
      <c r="DL2926" s="80">
        <v>852</v>
      </c>
      <c r="DM2926" s="64">
        <v>6</v>
      </c>
      <c r="DN2926" s="406" t="s">
        <v>7509</v>
      </c>
      <c r="DO2926" s="406">
        <v>-7.95</v>
      </c>
      <c r="DP2926" s="80">
        <v>461</v>
      </c>
    </row>
    <row r="2927" spans="29:120" x14ac:dyDescent="0.25">
      <c r="AC2927" s="122" t="s">
        <v>336</v>
      </c>
      <c r="AD2927" s="122" t="s">
        <v>3261</v>
      </c>
      <c r="AE2927" s="127">
        <v>3</v>
      </c>
      <c r="DA2927" s="122" t="s">
        <v>323</v>
      </c>
      <c r="DB2927" s="122" t="s">
        <v>7619</v>
      </c>
      <c r="DC2927" s="122" t="s">
        <v>2423</v>
      </c>
      <c r="DD2927" s="127">
        <v>8</v>
      </c>
      <c r="DE2927" s="127">
        <v>8</v>
      </c>
      <c r="DG2927" s="405" t="s">
        <v>323</v>
      </c>
      <c r="DH2927" s="406" t="s">
        <v>2423</v>
      </c>
      <c r="DI2927" s="406" t="str">
        <f t="shared" si="77"/>
        <v>PE, Santa Cruz do Capibaribe</v>
      </c>
      <c r="DJ2927" s="406">
        <v>-7.9569999999999999</v>
      </c>
      <c r="DK2927" s="80">
        <v>-36.204999999999998</v>
      </c>
      <c r="DL2927" s="80">
        <v>438</v>
      </c>
      <c r="DM2927" s="64">
        <v>8</v>
      </c>
      <c r="DN2927" s="406" t="s">
        <v>7589</v>
      </c>
      <c r="DO2927" s="406">
        <v>-8.24</v>
      </c>
      <c r="DP2927" s="80">
        <v>550</v>
      </c>
    </row>
    <row r="2928" spans="29:120" x14ac:dyDescent="0.25">
      <c r="AC2928" s="122" t="s">
        <v>317</v>
      </c>
      <c r="AD2928" s="122" t="s">
        <v>3262</v>
      </c>
      <c r="AE2928" s="127">
        <v>8</v>
      </c>
      <c r="DA2928" s="122" t="s">
        <v>323</v>
      </c>
      <c r="DB2928" s="122" t="s">
        <v>7620</v>
      </c>
      <c r="DC2928" s="122" t="s">
        <v>4982</v>
      </c>
      <c r="DD2928" s="127">
        <v>7</v>
      </c>
      <c r="DE2928" s="127">
        <v>7</v>
      </c>
      <c r="DG2928" s="405" t="s">
        <v>323</v>
      </c>
      <c r="DH2928" s="406" t="s">
        <v>4982</v>
      </c>
      <c r="DI2928" s="406" t="str">
        <f t="shared" si="77"/>
        <v>PE, Santa Filomena</v>
      </c>
      <c r="DJ2928" s="406">
        <v>-8.1630000000000003</v>
      </c>
      <c r="DK2928" s="80">
        <v>-40.616</v>
      </c>
      <c r="DL2928" s="80">
        <v>630</v>
      </c>
      <c r="DM2928" s="64">
        <v>7</v>
      </c>
      <c r="DN2928" s="406" t="s">
        <v>7588</v>
      </c>
      <c r="DO2928" s="406">
        <v>-8.14</v>
      </c>
      <c r="DP2928" s="80">
        <v>374</v>
      </c>
    </row>
    <row r="2929" spans="29:120" x14ac:dyDescent="0.25">
      <c r="AC2929" s="122" t="s">
        <v>311</v>
      </c>
      <c r="AD2929" s="122" t="s">
        <v>1425</v>
      </c>
      <c r="AE2929" s="127">
        <v>4</v>
      </c>
      <c r="DA2929" s="122" t="s">
        <v>323</v>
      </c>
      <c r="DB2929" s="122" t="s">
        <v>7621</v>
      </c>
      <c r="DC2929" s="122" t="s">
        <v>2488</v>
      </c>
      <c r="DD2929" s="127">
        <v>7</v>
      </c>
      <c r="DE2929" s="127">
        <v>7</v>
      </c>
      <c r="DG2929" s="405" t="s">
        <v>323</v>
      </c>
      <c r="DH2929" s="406" t="s">
        <v>2488</v>
      </c>
      <c r="DI2929" s="406" t="str">
        <f t="shared" si="77"/>
        <v>PE, Santa Maria da Boa Vista</v>
      </c>
      <c r="DJ2929" s="406">
        <v>-8.8089999999999993</v>
      </c>
      <c r="DK2929" s="80">
        <v>-39.825000000000003</v>
      </c>
      <c r="DL2929" s="80">
        <v>361</v>
      </c>
      <c r="DM2929" s="64">
        <v>7</v>
      </c>
      <c r="DN2929" s="406" t="s">
        <v>6194</v>
      </c>
      <c r="DO2929" s="406">
        <v>-8.5</v>
      </c>
      <c r="DP2929" s="80">
        <v>342</v>
      </c>
    </row>
    <row r="2930" spans="29:120" x14ac:dyDescent="0.25">
      <c r="AC2930" s="122" t="s">
        <v>311</v>
      </c>
      <c r="AD2930" s="122" t="s">
        <v>3263</v>
      </c>
      <c r="AE2930" s="127">
        <v>4</v>
      </c>
      <c r="DA2930" s="122" t="s">
        <v>323</v>
      </c>
      <c r="DB2930" s="122" t="s">
        <v>7622</v>
      </c>
      <c r="DC2930" s="122" t="s">
        <v>2441</v>
      </c>
      <c r="DD2930" s="127">
        <v>8</v>
      </c>
      <c r="DE2930" s="127">
        <v>8</v>
      </c>
      <c r="DG2930" s="405" t="s">
        <v>323</v>
      </c>
      <c r="DH2930" s="406" t="s">
        <v>2441</v>
      </c>
      <c r="DI2930" s="406" t="str">
        <f t="shared" si="77"/>
        <v>PE, Santa Maria do Cambucá</v>
      </c>
      <c r="DJ2930" s="406">
        <v>-7.84</v>
      </c>
      <c r="DK2930" s="80">
        <v>-35.902000000000001</v>
      </c>
      <c r="DL2930" s="80">
        <v>494</v>
      </c>
      <c r="DM2930" s="64">
        <v>8</v>
      </c>
      <c r="DN2930" s="406" t="s">
        <v>7494</v>
      </c>
      <c r="DO2930" s="406">
        <v>-7.84</v>
      </c>
      <c r="DP2930" s="80">
        <v>418</v>
      </c>
    </row>
    <row r="2931" spans="29:120" x14ac:dyDescent="0.25">
      <c r="AC2931" s="122" t="s">
        <v>333</v>
      </c>
      <c r="AD2931" s="122" t="s">
        <v>3264</v>
      </c>
      <c r="AE2931" s="127">
        <v>3</v>
      </c>
      <c r="DA2931" s="122" t="s">
        <v>323</v>
      </c>
      <c r="DB2931" s="122" t="s">
        <v>7392</v>
      </c>
      <c r="DC2931" s="122" t="s">
        <v>1488</v>
      </c>
      <c r="DD2931" s="127">
        <v>7</v>
      </c>
      <c r="DE2931" s="127">
        <v>7</v>
      </c>
      <c r="DG2931" s="405" t="s">
        <v>323</v>
      </c>
      <c r="DH2931" s="406" t="s">
        <v>1488</v>
      </c>
      <c r="DI2931" s="406" t="str">
        <f t="shared" si="77"/>
        <v>PE, Santa Terezinha</v>
      </c>
      <c r="DJ2931" s="406">
        <v>-7.3780000000000001</v>
      </c>
      <c r="DK2931" s="80">
        <v>-37.479999999999997</v>
      </c>
      <c r="DL2931" s="80">
        <v>813</v>
      </c>
      <c r="DM2931" s="64">
        <v>7</v>
      </c>
      <c r="DN2931" s="406" t="s">
        <v>7490</v>
      </c>
      <c r="DO2931" s="406">
        <v>-7.02</v>
      </c>
      <c r="DP2931" s="80">
        <v>249</v>
      </c>
    </row>
    <row r="2932" spans="29:120" x14ac:dyDescent="0.25">
      <c r="AC2932" s="122" t="s">
        <v>311</v>
      </c>
      <c r="AD2932" s="122" t="s">
        <v>1704</v>
      </c>
      <c r="AE2932" s="127">
        <v>3</v>
      </c>
      <c r="DA2932" s="122" t="s">
        <v>323</v>
      </c>
      <c r="DB2932" s="122" t="s">
        <v>7623</v>
      </c>
      <c r="DC2932" s="122" t="s">
        <v>2445</v>
      </c>
      <c r="DD2932" s="127">
        <v>8</v>
      </c>
      <c r="DE2932" s="127">
        <v>8</v>
      </c>
      <c r="DG2932" s="405" t="s">
        <v>323</v>
      </c>
      <c r="DH2932" s="406" t="s">
        <v>2445</v>
      </c>
      <c r="DI2932" s="406" t="str">
        <f t="shared" si="77"/>
        <v>PE, São Benedito do Sul</v>
      </c>
      <c r="DJ2932" s="406">
        <v>-8.8079999999999998</v>
      </c>
      <c r="DK2932" s="80">
        <v>-35.951999999999998</v>
      </c>
      <c r="DL2932" s="80">
        <v>474</v>
      </c>
      <c r="DM2932" s="64">
        <v>8</v>
      </c>
      <c r="DN2932" s="406" t="s">
        <v>6097</v>
      </c>
      <c r="DO2932" s="406">
        <v>-8.67</v>
      </c>
      <c r="DP2932" s="80">
        <v>180</v>
      </c>
    </row>
    <row r="2933" spans="29:120" x14ac:dyDescent="0.25">
      <c r="AC2933" s="122" t="s">
        <v>311</v>
      </c>
      <c r="AD2933" s="122" t="s">
        <v>3265</v>
      </c>
      <c r="AE2933" s="127">
        <v>3</v>
      </c>
      <c r="DA2933" s="122" t="s">
        <v>323</v>
      </c>
      <c r="DB2933" s="122" t="s">
        <v>7624</v>
      </c>
      <c r="DC2933" s="122" t="s">
        <v>2426</v>
      </c>
      <c r="DD2933" s="127">
        <v>8</v>
      </c>
      <c r="DE2933" s="127">
        <v>8</v>
      </c>
      <c r="DG2933" s="405" t="s">
        <v>323</v>
      </c>
      <c r="DH2933" s="406" t="s">
        <v>2426</v>
      </c>
      <c r="DI2933" s="406" t="str">
        <f t="shared" si="77"/>
        <v>PE, São Bento do Una</v>
      </c>
      <c r="DJ2933" s="406">
        <v>-8.5229999999999997</v>
      </c>
      <c r="DK2933" s="80">
        <v>-36.444000000000003</v>
      </c>
      <c r="DL2933" s="80">
        <v>614</v>
      </c>
      <c r="DM2933" s="64">
        <v>8</v>
      </c>
      <c r="DN2933" s="406" t="s">
        <v>6142</v>
      </c>
      <c r="DO2933" s="406">
        <v>-8.89</v>
      </c>
      <c r="DP2933" s="80">
        <v>823</v>
      </c>
    </row>
    <row r="2934" spans="29:120" x14ac:dyDescent="0.25">
      <c r="AC2934" s="122" t="s">
        <v>311</v>
      </c>
      <c r="AD2934" s="122" t="s">
        <v>3266</v>
      </c>
      <c r="AE2934" s="127">
        <v>3</v>
      </c>
      <c r="DA2934" s="122" t="s">
        <v>323</v>
      </c>
      <c r="DB2934" s="122" t="s">
        <v>7625</v>
      </c>
      <c r="DC2934" s="122" t="s">
        <v>2860</v>
      </c>
      <c r="DD2934" s="127">
        <v>8</v>
      </c>
      <c r="DE2934" s="127">
        <v>8</v>
      </c>
      <c r="DG2934" s="405" t="s">
        <v>323</v>
      </c>
      <c r="DH2934" s="406" t="s">
        <v>2860</v>
      </c>
      <c r="DI2934" s="406" t="str">
        <f t="shared" si="77"/>
        <v>PE, São Caitano</v>
      </c>
      <c r="DJ2934" s="406">
        <v>-8.3260000000000005</v>
      </c>
      <c r="DK2934" s="80">
        <v>-36.143000000000001</v>
      </c>
      <c r="DL2934" s="80">
        <v>552</v>
      </c>
      <c r="DM2934" s="64">
        <v>8</v>
      </c>
      <c r="DN2934" s="406" t="s">
        <v>7589</v>
      </c>
      <c r="DO2934" s="406">
        <v>-8.24</v>
      </c>
      <c r="DP2934" s="80">
        <v>550</v>
      </c>
    </row>
    <row r="2935" spans="29:120" x14ac:dyDescent="0.25">
      <c r="AC2935" s="122" t="s">
        <v>311</v>
      </c>
      <c r="AD2935" s="122" t="s">
        <v>3267</v>
      </c>
      <c r="AE2935" s="127">
        <v>2</v>
      </c>
      <c r="DA2935" s="122" t="s">
        <v>323</v>
      </c>
      <c r="DB2935" s="122" t="s">
        <v>7626</v>
      </c>
      <c r="DC2935" s="122" t="s">
        <v>778</v>
      </c>
      <c r="DD2935" s="127">
        <v>8</v>
      </c>
      <c r="DE2935" s="127">
        <v>8</v>
      </c>
      <c r="DG2935" s="405" t="s">
        <v>323</v>
      </c>
      <c r="DH2935" s="406" t="s">
        <v>778</v>
      </c>
      <c r="DI2935" s="406" t="str">
        <f t="shared" si="77"/>
        <v>PE, São João</v>
      </c>
      <c r="DJ2935" s="406">
        <v>-8.8759999999999994</v>
      </c>
      <c r="DK2935" s="80">
        <v>-36.366999999999997</v>
      </c>
      <c r="DL2935" s="80">
        <v>716</v>
      </c>
      <c r="DM2935" s="64">
        <v>8</v>
      </c>
      <c r="DN2935" s="406" t="s">
        <v>6142</v>
      </c>
      <c r="DO2935" s="406">
        <v>-8.89</v>
      </c>
      <c r="DP2935" s="80">
        <v>823</v>
      </c>
    </row>
    <row r="2936" spans="29:120" x14ac:dyDescent="0.25">
      <c r="AC2936" s="122" t="s">
        <v>311</v>
      </c>
      <c r="AD2936" s="122" t="s">
        <v>3268</v>
      </c>
      <c r="AE2936" s="127">
        <v>3</v>
      </c>
      <c r="DA2936" s="122" t="s">
        <v>323</v>
      </c>
      <c r="DB2936" s="122" t="s">
        <v>7627</v>
      </c>
      <c r="DC2936" s="122" t="s">
        <v>1875</v>
      </c>
      <c r="DD2936" s="127">
        <v>8</v>
      </c>
      <c r="DE2936" s="127">
        <v>8</v>
      </c>
      <c r="DG2936" s="405" t="s">
        <v>323</v>
      </c>
      <c r="DH2936" s="406" t="s">
        <v>1875</v>
      </c>
      <c r="DI2936" s="406" t="str">
        <f t="shared" si="77"/>
        <v>PE, São Joaquim do Monte</v>
      </c>
      <c r="DJ2936" s="406">
        <v>-8.4320000000000004</v>
      </c>
      <c r="DK2936" s="80">
        <v>-35.804000000000002</v>
      </c>
      <c r="DL2936" s="80">
        <v>463</v>
      </c>
      <c r="DM2936" s="64">
        <v>8</v>
      </c>
      <c r="DN2936" s="406" t="s">
        <v>7589</v>
      </c>
      <c r="DO2936" s="406">
        <v>-8.24</v>
      </c>
      <c r="DP2936" s="80">
        <v>550</v>
      </c>
    </row>
    <row r="2937" spans="29:120" x14ac:dyDescent="0.25">
      <c r="AC2937" s="122" t="s">
        <v>311</v>
      </c>
      <c r="AD2937" s="122" t="s">
        <v>3269</v>
      </c>
      <c r="AE2937" s="127">
        <v>3</v>
      </c>
      <c r="DA2937" s="122" t="s">
        <v>323</v>
      </c>
      <c r="DB2937" s="122" t="s">
        <v>7628</v>
      </c>
      <c r="DC2937" s="122" t="s">
        <v>4082</v>
      </c>
      <c r="DD2937" s="127">
        <v>8</v>
      </c>
      <c r="DE2937" s="127">
        <v>8</v>
      </c>
      <c r="DG2937" s="405" t="s">
        <v>323</v>
      </c>
      <c r="DH2937" s="406" t="s">
        <v>4082</v>
      </c>
      <c r="DI2937" s="406" t="str">
        <f t="shared" si="77"/>
        <v>PE, São José da Coroa Grande</v>
      </c>
      <c r="DJ2937" s="406">
        <v>-8.8979999999999997</v>
      </c>
      <c r="DK2937" s="80">
        <v>-35.148000000000003</v>
      </c>
      <c r="DL2937" s="80">
        <v>2</v>
      </c>
      <c r="DM2937" s="64">
        <v>8</v>
      </c>
      <c r="DN2937" s="406" t="s">
        <v>6097</v>
      </c>
      <c r="DO2937" s="406">
        <v>-8.67</v>
      </c>
      <c r="DP2937" s="80">
        <v>180</v>
      </c>
    </row>
    <row r="2938" spans="29:120" x14ac:dyDescent="0.25">
      <c r="AC2938" s="122" t="s">
        <v>358</v>
      </c>
      <c r="AD2938" s="122" t="s">
        <v>3270</v>
      </c>
      <c r="AE2938" s="127">
        <v>5</v>
      </c>
      <c r="DA2938" s="122" t="s">
        <v>323</v>
      </c>
      <c r="DB2938" s="122" t="s">
        <v>7629</v>
      </c>
      <c r="DC2938" s="122" t="s">
        <v>5466</v>
      </c>
      <c r="DD2938" s="127">
        <v>7</v>
      </c>
      <c r="DE2938" s="127">
        <v>7</v>
      </c>
      <c r="DG2938" s="405" t="s">
        <v>323</v>
      </c>
      <c r="DH2938" s="406" t="s">
        <v>5466</v>
      </c>
      <c r="DI2938" s="406" t="str">
        <f t="shared" si="77"/>
        <v>PE, São José do Belmonte</v>
      </c>
      <c r="DJ2938" s="406">
        <v>-7.8609999999999998</v>
      </c>
      <c r="DK2938" s="80">
        <v>-38.76</v>
      </c>
      <c r="DL2938" s="80">
        <v>486</v>
      </c>
      <c r="DM2938" s="64">
        <v>7</v>
      </c>
      <c r="DN2938" s="406" t="s">
        <v>7509</v>
      </c>
      <c r="DO2938" s="406">
        <v>-7.95</v>
      </c>
      <c r="DP2938" s="80">
        <v>461</v>
      </c>
    </row>
    <row r="2939" spans="29:120" x14ac:dyDescent="0.25">
      <c r="AC2939" s="122" t="s">
        <v>358</v>
      </c>
      <c r="AD2939" s="122" t="s">
        <v>797</v>
      </c>
      <c r="AE2939" s="127">
        <v>3</v>
      </c>
      <c r="DA2939" s="122" t="s">
        <v>323</v>
      </c>
      <c r="DB2939" s="122" t="s">
        <v>7630</v>
      </c>
      <c r="DC2939" s="122" t="s">
        <v>2538</v>
      </c>
      <c r="DD2939" s="127">
        <v>6</v>
      </c>
      <c r="DE2939" s="127">
        <v>6</v>
      </c>
      <c r="DG2939" s="405" t="s">
        <v>323</v>
      </c>
      <c r="DH2939" s="406" t="s">
        <v>2538</v>
      </c>
      <c r="DI2939" s="406" t="str">
        <f t="shared" si="77"/>
        <v>PE, São José do Egito</v>
      </c>
      <c r="DJ2939" s="406">
        <v>-7.4790000000000001</v>
      </c>
      <c r="DK2939" s="80">
        <v>-37.274000000000001</v>
      </c>
      <c r="DL2939" s="80">
        <v>585</v>
      </c>
      <c r="DM2939" s="64">
        <v>6</v>
      </c>
      <c r="DN2939" s="406" t="s">
        <v>7497</v>
      </c>
      <c r="DO2939" s="406">
        <v>-7.89</v>
      </c>
      <c r="DP2939" s="80">
        <v>604</v>
      </c>
    </row>
    <row r="2940" spans="29:120" x14ac:dyDescent="0.25">
      <c r="AC2940" s="122" t="s">
        <v>236</v>
      </c>
      <c r="AD2940" s="122" t="s">
        <v>3271</v>
      </c>
      <c r="AE2940" s="127">
        <v>2</v>
      </c>
      <c r="DA2940" s="122" t="s">
        <v>323</v>
      </c>
      <c r="DB2940" s="122" t="s">
        <v>7631</v>
      </c>
      <c r="DC2940" s="122" t="s">
        <v>5075</v>
      </c>
      <c r="DD2940" s="127">
        <v>8</v>
      </c>
      <c r="DE2940" s="127">
        <v>8</v>
      </c>
      <c r="DG2940" s="405" t="s">
        <v>323</v>
      </c>
      <c r="DH2940" s="406" t="s">
        <v>5075</v>
      </c>
      <c r="DI2940" s="406" t="str">
        <f t="shared" si="77"/>
        <v>PE, São Lourenço da Mata</v>
      </c>
      <c r="DJ2940" s="406">
        <v>-8.0020000000000007</v>
      </c>
      <c r="DK2940" s="80">
        <v>-35.018000000000001</v>
      </c>
      <c r="DL2940" s="80">
        <v>58</v>
      </c>
      <c r="DM2940" s="64">
        <v>8</v>
      </c>
      <c r="DN2940" s="406" t="s">
        <v>7586</v>
      </c>
      <c r="DO2940" s="406">
        <v>-8.0500000000000007</v>
      </c>
      <c r="DP2940" s="80">
        <v>10</v>
      </c>
    </row>
    <row r="2941" spans="29:120" x14ac:dyDescent="0.25">
      <c r="AC2941" s="122" t="s">
        <v>311</v>
      </c>
      <c r="AD2941" s="122" t="s">
        <v>3272</v>
      </c>
      <c r="AE2941" s="127">
        <v>3</v>
      </c>
      <c r="DA2941" s="122" t="s">
        <v>323</v>
      </c>
      <c r="DB2941" s="122" t="s">
        <v>6778</v>
      </c>
      <c r="DC2941" s="122" t="s">
        <v>4595</v>
      </c>
      <c r="DD2941" s="127">
        <v>8</v>
      </c>
      <c r="DE2941" s="127">
        <v>8</v>
      </c>
      <c r="DG2941" s="405" t="s">
        <v>323</v>
      </c>
      <c r="DH2941" s="406" t="s">
        <v>4595</v>
      </c>
      <c r="DI2941" s="406" t="str">
        <f t="shared" si="77"/>
        <v>PE, São Vicente Ferrer</v>
      </c>
      <c r="DJ2941" s="406">
        <v>-7.5910000000000002</v>
      </c>
      <c r="DK2941" s="80">
        <v>-35.491</v>
      </c>
      <c r="DL2941" s="80">
        <v>419</v>
      </c>
      <c r="DM2941" s="64">
        <v>8</v>
      </c>
      <c r="DN2941" s="406" t="s">
        <v>7494</v>
      </c>
      <c r="DO2941" s="406">
        <v>-7.84</v>
      </c>
      <c r="DP2941" s="80">
        <v>418</v>
      </c>
    </row>
    <row r="2942" spans="29:120" x14ac:dyDescent="0.25">
      <c r="AC2942" s="122" t="s">
        <v>311</v>
      </c>
      <c r="AD2942" s="122" t="s">
        <v>3273</v>
      </c>
      <c r="AE2942" s="127">
        <v>2</v>
      </c>
      <c r="DA2942" s="122" t="s">
        <v>323</v>
      </c>
      <c r="DB2942" s="122" t="s">
        <v>7632</v>
      </c>
      <c r="DC2942" s="122" t="s">
        <v>5277</v>
      </c>
      <c r="DD2942" s="127">
        <v>6</v>
      </c>
      <c r="DE2942" s="127">
        <v>6</v>
      </c>
      <c r="DG2942" s="405" t="s">
        <v>323</v>
      </c>
      <c r="DH2942" s="406" t="s">
        <v>5277</v>
      </c>
      <c r="DI2942" s="406" t="str">
        <f t="shared" si="77"/>
        <v>PE, Serra Talhada</v>
      </c>
      <c r="DJ2942" s="406">
        <v>-7.9859999999999998</v>
      </c>
      <c r="DK2942" s="80">
        <v>-38.295999999999999</v>
      </c>
      <c r="DL2942" s="80">
        <v>429</v>
      </c>
      <c r="DM2942" s="64">
        <v>6</v>
      </c>
      <c r="DN2942" s="406" t="s">
        <v>7509</v>
      </c>
      <c r="DO2942" s="406">
        <v>-7.95</v>
      </c>
      <c r="DP2942" s="80">
        <v>461</v>
      </c>
    </row>
    <row r="2943" spans="29:120" x14ac:dyDescent="0.25">
      <c r="AC2943" s="122" t="s">
        <v>336</v>
      </c>
      <c r="AD2943" s="122" t="s">
        <v>3274</v>
      </c>
      <c r="AE2943" s="127">
        <v>5</v>
      </c>
      <c r="DA2943" s="122" t="s">
        <v>323</v>
      </c>
      <c r="DB2943" s="122" t="s">
        <v>2481</v>
      </c>
      <c r="DC2943" s="122" t="s">
        <v>2481</v>
      </c>
      <c r="DD2943" s="127">
        <v>7</v>
      </c>
      <c r="DE2943" s="127">
        <v>7</v>
      </c>
      <c r="DG2943" s="405" t="s">
        <v>323</v>
      </c>
      <c r="DH2943" s="406" t="s">
        <v>2481</v>
      </c>
      <c r="DI2943" s="406" t="str">
        <f t="shared" si="77"/>
        <v>PE, Serrita</v>
      </c>
      <c r="DJ2943" s="406">
        <v>-7.9329999999999998</v>
      </c>
      <c r="DK2943" s="80">
        <v>-39.295999999999999</v>
      </c>
      <c r="DL2943" s="80">
        <v>419</v>
      </c>
      <c r="DM2943" s="64">
        <v>7</v>
      </c>
      <c r="DN2943" s="406" t="s">
        <v>6194</v>
      </c>
      <c r="DO2943" s="406">
        <v>-8.5</v>
      </c>
      <c r="DP2943" s="80">
        <v>342</v>
      </c>
    </row>
    <row r="2944" spans="29:120" x14ac:dyDescent="0.25">
      <c r="AC2944" s="122" t="s">
        <v>358</v>
      </c>
      <c r="AD2944" s="122" t="s">
        <v>3275</v>
      </c>
      <c r="AE2944" s="127">
        <v>5</v>
      </c>
      <c r="DA2944" s="122" t="s">
        <v>323</v>
      </c>
      <c r="DB2944" s="122" t="s">
        <v>2485</v>
      </c>
      <c r="DC2944" s="122" t="s">
        <v>2485</v>
      </c>
      <c r="DD2944" s="127">
        <v>6</v>
      </c>
      <c r="DE2944" s="127">
        <v>6</v>
      </c>
      <c r="DG2944" s="405" t="s">
        <v>323</v>
      </c>
      <c r="DH2944" s="406" t="s">
        <v>2485</v>
      </c>
      <c r="DI2944" s="406" t="str">
        <f t="shared" si="77"/>
        <v>PE, Sertânia</v>
      </c>
      <c r="DJ2944" s="406">
        <v>-8.0739999999999998</v>
      </c>
      <c r="DK2944" s="80">
        <v>-37.264000000000003</v>
      </c>
      <c r="DL2944" s="80">
        <v>558</v>
      </c>
      <c r="DM2944" s="64">
        <v>6</v>
      </c>
      <c r="DN2944" s="406" t="s">
        <v>7497</v>
      </c>
      <c r="DO2944" s="406">
        <v>-7.89</v>
      </c>
      <c r="DP2944" s="80">
        <v>604</v>
      </c>
    </row>
    <row r="2945" spans="29:120" x14ac:dyDescent="0.25">
      <c r="AC2945" s="122" t="s">
        <v>311</v>
      </c>
      <c r="AD2945" s="122" t="s">
        <v>3276</v>
      </c>
      <c r="AE2945" s="127">
        <v>3</v>
      </c>
      <c r="DA2945" s="122" t="s">
        <v>323</v>
      </c>
      <c r="DB2945" s="122" t="s">
        <v>5068</v>
      </c>
      <c r="DC2945" s="122" t="s">
        <v>5068</v>
      </c>
      <c r="DD2945" s="127">
        <v>8</v>
      </c>
      <c r="DE2945" s="127">
        <v>8</v>
      </c>
      <c r="DG2945" s="405" t="s">
        <v>323</v>
      </c>
      <c r="DH2945" s="406" t="s">
        <v>5068</v>
      </c>
      <c r="DI2945" s="406" t="str">
        <f t="shared" si="77"/>
        <v>PE, Sirinhaém</v>
      </c>
      <c r="DJ2945" s="406">
        <v>-8.5909999999999993</v>
      </c>
      <c r="DK2945" s="80">
        <v>-35.116</v>
      </c>
      <c r="DL2945" s="80">
        <v>49</v>
      </c>
      <c r="DM2945" s="64">
        <v>8</v>
      </c>
      <c r="DN2945" s="406" t="s">
        <v>6097</v>
      </c>
      <c r="DO2945" s="406">
        <v>-8.67</v>
      </c>
      <c r="DP2945" s="80">
        <v>180</v>
      </c>
    </row>
    <row r="2946" spans="29:120" x14ac:dyDescent="0.25">
      <c r="AC2946" s="122" t="s">
        <v>358</v>
      </c>
      <c r="AD2946" s="122" t="s">
        <v>3277</v>
      </c>
      <c r="AE2946" s="127">
        <v>5</v>
      </c>
      <c r="DA2946" s="122" t="s">
        <v>323</v>
      </c>
      <c r="DB2946" s="122" t="s">
        <v>5522</v>
      </c>
      <c r="DC2946" s="122" t="s">
        <v>5522</v>
      </c>
      <c r="DD2946" s="127">
        <v>6</v>
      </c>
      <c r="DE2946" s="127">
        <v>6</v>
      </c>
      <c r="DG2946" s="405" t="s">
        <v>323</v>
      </c>
      <c r="DH2946" s="406" t="s">
        <v>5522</v>
      </c>
      <c r="DI2946" s="406" t="str">
        <f t="shared" si="77"/>
        <v>PE, Solidão</v>
      </c>
      <c r="DJ2946" s="406">
        <v>-7.6</v>
      </c>
      <c r="DK2946" s="80">
        <v>-37.652000000000001</v>
      </c>
      <c r="DL2946" s="80">
        <v>586</v>
      </c>
      <c r="DM2946" s="64">
        <v>6</v>
      </c>
      <c r="DN2946" s="406" t="s">
        <v>7497</v>
      </c>
      <c r="DO2946" s="406">
        <v>-7.89</v>
      </c>
      <c r="DP2946" s="80">
        <v>604</v>
      </c>
    </row>
    <row r="2947" spans="29:120" x14ac:dyDescent="0.25">
      <c r="AC2947" s="122" t="s">
        <v>311</v>
      </c>
      <c r="AD2947" s="122" t="s">
        <v>3278</v>
      </c>
      <c r="AE2947" s="127">
        <v>3</v>
      </c>
      <c r="DA2947" s="122" t="s">
        <v>323</v>
      </c>
      <c r="DB2947" s="122" t="s">
        <v>5222</v>
      </c>
      <c r="DC2947" s="122" t="s">
        <v>5222</v>
      </c>
      <c r="DD2947" s="127">
        <v>8</v>
      </c>
      <c r="DE2947" s="127">
        <v>8</v>
      </c>
      <c r="DG2947" s="405" t="s">
        <v>323</v>
      </c>
      <c r="DH2947" s="406" t="s">
        <v>5222</v>
      </c>
      <c r="DI2947" s="406" t="str">
        <f t="shared" ref="DI2947:DI3010" si="78">CONCATENATE(DG2947,", ",DH2947)</f>
        <v>PE, Surubim</v>
      </c>
      <c r="DJ2947" s="406">
        <v>-7.8319999999999999</v>
      </c>
      <c r="DK2947" s="80">
        <v>-35.756</v>
      </c>
      <c r="DL2947" s="80">
        <v>385</v>
      </c>
      <c r="DM2947" s="64">
        <v>8</v>
      </c>
      <c r="DN2947" s="406" t="s">
        <v>7494</v>
      </c>
      <c r="DO2947" s="406">
        <v>-7.84</v>
      </c>
      <c r="DP2947" s="80">
        <v>418</v>
      </c>
    </row>
    <row r="2948" spans="29:120" x14ac:dyDescent="0.25">
      <c r="AC2948" s="122" t="s">
        <v>311</v>
      </c>
      <c r="AD2948" s="122" t="s">
        <v>3279</v>
      </c>
      <c r="AE2948" s="127">
        <v>3</v>
      </c>
      <c r="DA2948" s="122" t="s">
        <v>323</v>
      </c>
      <c r="DB2948" s="122" t="s">
        <v>2255</v>
      </c>
      <c r="DC2948" s="122" t="s">
        <v>2255</v>
      </c>
      <c r="DD2948" s="127">
        <v>6</v>
      </c>
      <c r="DE2948" s="127">
        <v>6</v>
      </c>
      <c r="DG2948" s="405" t="s">
        <v>323</v>
      </c>
      <c r="DH2948" s="406" t="s">
        <v>2255</v>
      </c>
      <c r="DI2948" s="406" t="str">
        <f t="shared" si="78"/>
        <v>PE, Tabira</v>
      </c>
      <c r="DJ2948" s="406">
        <v>-7.5910000000000002</v>
      </c>
      <c r="DK2948" s="80">
        <v>-37.539000000000001</v>
      </c>
      <c r="DL2948" s="80">
        <v>558</v>
      </c>
      <c r="DM2948" s="64">
        <v>6</v>
      </c>
      <c r="DN2948" s="406" t="s">
        <v>7497</v>
      </c>
      <c r="DO2948" s="406">
        <v>-7.89</v>
      </c>
      <c r="DP2948" s="80">
        <v>604</v>
      </c>
    </row>
    <row r="2949" spans="29:120" x14ac:dyDescent="0.25">
      <c r="AC2949" s="122" t="s">
        <v>311</v>
      </c>
      <c r="AD2949" s="122" t="s">
        <v>3280</v>
      </c>
      <c r="AE2949" s="127">
        <v>3</v>
      </c>
      <c r="DA2949" s="122" t="s">
        <v>323</v>
      </c>
      <c r="DB2949" s="122" t="s">
        <v>2560</v>
      </c>
      <c r="DC2949" s="122" t="s">
        <v>2560</v>
      </c>
      <c r="DD2949" s="127">
        <v>8</v>
      </c>
      <c r="DE2949" s="127">
        <v>8</v>
      </c>
      <c r="DG2949" s="405" t="s">
        <v>323</v>
      </c>
      <c r="DH2949" s="406" t="s">
        <v>2560</v>
      </c>
      <c r="DI2949" s="406" t="str">
        <f t="shared" si="78"/>
        <v>PE, Tacaimbó</v>
      </c>
      <c r="DJ2949" s="406">
        <v>-8.3160000000000007</v>
      </c>
      <c r="DK2949" s="80">
        <v>-36.292999999999999</v>
      </c>
      <c r="DL2949" s="80">
        <v>576</v>
      </c>
      <c r="DM2949" s="64">
        <v>8</v>
      </c>
      <c r="DN2949" s="406" t="s">
        <v>7589</v>
      </c>
      <c r="DO2949" s="406">
        <v>-8.24</v>
      </c>
      <c r="DP2949" s="80">
        <v>550</v>
      </c>
    </row>
    <row r="2950" spans="29:120" x14ac:dyDescent="0.25">
      <c r="AC2950" s="122" t="s">
        <v>311</v>
      </c>
      <c r="AD2950" s="122" t="s">
        <v>3281</v>
      </c>
      <c r="AE2950" s="127">
        <v>3</v>
      </c>
      <c r="DA2950" s="122" t="s">
        <v>323</v>
      </c>
      <c r="DB2950" s="122" t="s">
        <v>2473</v>
      </c>
      <c r="DC2950" s="122" t="s">
        <v>2473</v>
      </c>
      <c r="DD2950" s="127">
        <v>8</v>
      </c>
      <c r="DE2950" s="127">
        <v>8</v>
      </c>
      <c r="DG2950" s="405" t="s">
        <v>323</v>
      </c>
      <c r="DH2950" s="406" t="s">
        <v>2473</v>
      </c>
      <c r="DI2950" s="406" t="str">
        <f t="shared" si="78"/>
        <v>PE, Tacaratu</v>
      </c>
      <c r="DJ2950" s="406">
        <v>-9.1059999999999999</v>
      </c>
      <c r="DK2950" s="80">
        <v>-38.15</v>
      </c>
      <c r="DL2950" s="80">
        <v>514</v>
      </c>
      <c r="DM2950" s="64">
        <v>8</v>
      </c>
      <c r="DN2950" s="406" t="s">
        <v>6087</v>
      </c>
      <c r="DO2950" s="406">
        <v>-9.41</v>
      </c>
      <c r="DP2950" s="80">
        <v>253</v>
      </c>
    </row>
    <row r="2951" spans="29:120" x14ac:dyDescent="0.25">
      <c r="AC2951" s="122" t="s">
        <v>311</v>
      </c>
      <c r="AD2951" s="122" t="s">
        <v>2289</v>
      </c>
      <c r="AE2951" s="127">
        <v>1</v>
      </c>
      <c r="DA2951" s="122" t="s">
        <v>323</v>
      </c>
      <c r="DB2951" s="122" t="s">
        <v>4061</v>
      </c>
      <c r="DC2951" s="122" t="s">
        <v>4061</v>
      </c>
      <c r="DD2951" s="127">
        <v>8</v>
      </c>
      <c r="DE2951" s="127">
        <v>8</v>
      </c>
      <c r="DG2951" s="405" t="s">
        <v>323</v>
      </c>
      <c r="DH2951" s="406" t="s">
        <v>4061</v>
      </c>
      <c r="DI2951" s="406" t="str">
        <f t="shared" si="78"/>
        <v>PE, Tamandaré</v>
      </c>
      <c r="DJ2951" s="406">
        <v>-8.76</v>
      </c>
      <c r="DK2951" s="80">
        <v>-35.104999999999997</v>
      </c>
      <c r="DL2951" s="80">
        <v>8</v>
      </c>
      <c r="DM2951" s="64">
        <v>8</v>
      </c>
      <c r="DN2951" s="406" t="s">
        <v>6097</v>
      </c>
      <c r="DO2951" s="406">
        <v>-8.67</v>
      </c>
      <c r="DP2951" s="80">
        <v>180</v>
      </c>
    </row>
    <row r="2952" spans="29:120" x14ac:dyDescent="0.25">
      <c r="AC2952" s="122" t="s">
        <v>333</v>
      </c>
      <c r="AD2952" s="122" t="s">
        <v>3282</v>
      </c>
      <c r="AE2952" s="127">
        <v>3</v>
      </c>
      <c r="DA2952" s="122" t="s">
        <v>323</v>
      </c>
      <c r="DB2952" s="122" t="s">
        <v>7633</v>
      </c>
      <c r="DC2952" s="122" t="s">
        <v>2808</v>
      </c>
      <c r="DD2952" s="127">
        <v>8</v>
      </c>
      <c r="DE2952" s="127">
        <v>8</v>
      </c>
      <c r="DG2952" s="405" t="s">
        <v>323</v>
      </c>
      <c r="DH2952" s="406" t="s">
        <v>2808</v>
      </c>
      <c r="DI2952" s="406" t="str">
        <f t="shared" si="78"/>
        <v>PE, Taquaritinga do Norte</v>
      </c>
      <c r="DJ2952" s="406">
        <v>-7.9029999999999996</v>
      </c>
      <c r="DK2952" s="80">
        <v>-36.043999999999997</v>
      </c>
      <c r="DL2952" s="80">
        <v>774</v>
      </c>
      <c r="DM2952" s="64">
        <v>8</v>
      </c>
      <c r="DN2952" s="406" t="s">
        <v>7494</v>
      </c>
      <c r="DO2952" s="406">
        <v>-7.84</v>
      </c>
      <c r="DP2952" s="80">
        <v>418</v>
      </c>
    </row>
    <row r="2953" spans="29:120" x14ac:dyDescent="0.25">
      <c r="AC2953" s="122" t="s">
        <v>358</v>
      </c>
      <c r="AD2953" s="122" t="s">
        <v>3283</v>
      </c>
      <c r="AE2953" s="127">
        <v>5</v>
      </c>
      <c r="DA2953" s="122" t="s">
        <v>323</v>
      </c>
      <c r="DB2953" s="122" t="s">
        <v>2414</v>
      </c>
      <c r="DC2953" s="122" t="s">
        <v>2414</v>
      </c>
      <c r="DD2953" s="127">
        <v>8</v>
      </c>
      <c r="DE2953" s="127">
        <v>8</v>
      </c>
      <c r="DG2953" s="405" t="s">
        <v>323</v>
      </c>
      <c r="DH2953" s="406" t="s">
        <v>2414</v>
      </c>
      <c r="DI2953" s="406" t="str">
        <f t="shared" si="78"/>
        <v>PE, Terezinha</v>
      </c>
      <c r="DJ2953" s="406">
        <v>-9.0559999999999992</v>
      </c>
      <c r="DK2953" s="80">
        <v>-36.622999999999998</v>
      </c>
      <c r="DL2953" s="80">
        <v>736</v>
      </c>
      <c r="DM2953" s="64">
        <v>8</v>
      </c>
      <c r="DN2953" s="406" t="s">
        <v>6142</v>
      </c>
      <c r="DO2953" s="406">
        <v>-8.89</v>
      </c>
      <c r="DP2953" s="80">
        <v>823</v>
      </c>
    </row>
    <row r="2954" spans="29:120" x14ac:dyDescent="0.25">
      <c r="AC2954" s="122" t="s">
        <v>323</v>
      </c>
      <c r="AD2954" s="122" t="s">
        <v>3284</v>
      </c>
      <c r="AE2954" s="127">
        <v>6</v>
      </c>
      <c r="DA2954" s="122" t="s">
        <v>323</v>
      </c>
      <c r="DB2954" s="122" t="s">
        <v>6394</v>
      </c>
      <c r="DC2954" s="122" t="s">
        <v>2030</v>
      </c>
      <c r="DD2954" s="127">
        <v>7</v>
      </c>
      <c r="DE2954" s="127">
        <v>7</v>
      </c>
      <c r="DG2954" s="405" t="s">
        <v>323</v>
      </c>
      <c r="DH2954" s="406" t="s">
        <v>2030</v>
      </c>
      <c r="DI2954" s="406" t="str">
        <f t="shared" si="78"/>
        <v>PE, Terra Nova</v>
      </c>
      <c r="DJ2954" s="406">
        <v>-8.23</v>
      </c>
      <c r="DK2954" s="80">
        <v>-39.375999999999998</v>
      </c>
      <c r="DL2954" s="80">
        <v>363</v>
      </c>
      <c r="DM2954" s="64">
        <v>7</v>
      </c>
      <c r="DN2954" s="406" t="s">
        <v>6194</v>
      </c>
      <c r="DO2954" s="406">
        <v>-8.5</v>
      </c>
      <c r="DP2954" s="80">
        <v>342</v>
      </c>
    </row>
    <row r="2955" spans="29:120" x14ac:dyDescent="0.25">
      <c r="AC2955" s="122" t="s">
        <v>358</v>
      </c>
      <c r="AD2955" s="122" t="s">
        <v>3285</v>
      </c>
      <c r="AE2955" s="127">
        <v>3</v>
      </c>
      <c r="DA2955" s="122" t="s">
        <v>323</v>
      </c>
      <c r="DB2955" s="122" t="s">
        <v>2493</v>
      </c>
      <c r="DC2955" s="122" t="s">
        <v>2493</v>
      </c>
      <c r="DD2955" s="127">
        <v>8</v>
      </c>
      <c r="DE2955" s="127">
        <v>8</v>
      </c>
      <c r="DG2955" s="405" t="s">
        <v>323</v>
      </c>
      <c r="DH2955" s="406" t="s">
        <v>2493</v>
      </c>
      <c r="DI2955" s="406" t="str">
        <f t="shared" si="78"/>
        <v>PE, Timbaúba</v>
      </c>
      <c r="DJ2955" s="406">
        <v>-7.5049999999999999</v>
      </c>
      <c r="DK2955" s="80">
        <v>-35.317999999999998</v>
      </c>
      <c r="DL2955" s="80">
        <v>102</v>
      </c>
      <c r="DM2955" s="64">
        <v>8</v>
      </c>
      <c r="DN2955" s="406" t="s">
        <v>7494</v>
      </c>
      <c r="DO2955" s="406">
        <v>-7.84</v>
      </c>
      <c r="DP2955" s="80">
        <v>418</v>
      </c>
    </row>
    <row r="2956" spans="29:120" x14ac:dyDescent="0.25">
      <c r="AC2956" s="122" t="s">
        <v>333</v>
      </c>
      <c r="AD2956" s="122" t="s">
        <v>3286</v>
      </c>
      <c r="AE2956" s="127">
        <v>3</v>
      </c>
      <c r="DA2956" s="122" t="s">
        <v>323</v>
      </c>
      <c r="DB2956" s="122" t="s">
        <v>2206</v>
      </c>
      <c r="DC2956" s="122" t="s">
        <v>2206</v>
      </c>
      <c r="DD2956" s="127">
        <v>8</v>
      </c>
      <c r="DE2956" s="127">
        <v>8</v>
      </c>
      <c r="DG2956" s="405" t="s">
        <v>323</v>
      </c>
      <c r="DH2956" s="406" t="s">
        <v>2206</v>
      </c>
      <c r="DI2956" s="406" t="str">
        <f t="shared" si="78"/>
        <v>PE, Toritama</v>
      </c>
      <c r="DJ2956" s="406">
        <v>-7.9989999999999997</v>
      </c>
      <c r="DK2956" s="80">
        <v>-36.051000000000002</v>
      </c>
      <c r="DL2956" s="80">
        <v>349</v>
      </c>
      <c r="DM2956" s="64">
        <v>8</v>
      </c>
      <c r="DN2956" s="406" t="s">
        <v>7589</v>
      </c>
      <c r="DO2956" s="406">
        <v>-8.24</v>
      </c>
      <c r="DP2956" s="80">
        <v>550</v>
      </c>
    </row>
    <row r="2957" spans="29:120" x14ac:dyDescent="0.25">
      <c r="AC2957" s="122" t="s">
        <v>236</v>
      </c>
      <c r="AD2957" s="122" t="s">
        <v>3287</v>
      </c>
      <c r="AE2957" s="127">
        <v>2</v>
      </c>
      <c r="DA2957" s="122" t="s">
        <v>323</v>
      </c>
      <c r="DB2957" s="122" t="s">
        <v>5348</v>
      </c>
      <c r="DC2957" s="122" t="s">
        <v>5348</v>
      </c>
      <c r="DD2957" s="127">
        <v>8</v>
      </c>
      <c r="DE2957" s="127">
        <v>8</v>
      </c>
      <c r="DG2957" s="405" t="s">
        <v>323</v>
      </c>
      <c r="DH2957" s="406" t="s">
        <v>5348</v>
      </c>
      <c r="DI2957" s="406" t="str">
        <f t="shared" si="78"/>
        <v>PE, Tracunhaém</v>
      </c>
      <c r="DJ2957" s="406">
        <v>-7.8049999999999997</v>
      </c>
      <c r="DK2957" s="80">
        <v>-35.24</v>
      </c>
      <c r="DL2957" s="80">
        <v>120</v>
      </c>
      <c r="DM2957" s="64">
        <v>8</v>
      </c>
      <c r="DN2957" s="406" t="s">
        <v>7586</v>
      </c>
      <c r="DO2957" s="406">
        <v>-8.0500000000000007</v>
      </c>
      <c r="DP2957" s="80">
        <v>10</v>
      </c>
    </row>
    <row r="2958" spans="29:120" x14ac:dyDescent="0.25">
      <c r="AC2958" s="122" t="s">
        <v>311</v>
      </c>
      <c r="AD2958" s="122" t="s">
        <v>3288</v>
      </c>
      <c r="AE2958" s="127">
        <v>1</v>
      </c>
      <c r="DA2958" s="122" t="s">
        <v>323</v>
      </c>
      <c r="DB2958" s="122" t="s">
        <v>2717</v>
      </c>
      <c r="DC2958" s="122" t="s">
        <v>2717</v>
      </c>
      <c r="DD2958" s="127">
        <v>7</v>
      </c>
      <c r="DE2958" s="127">
        <v>7</v>
      </c>
      <c r="DG2958" s="405" t="s">
        <v>323</v>
      </c>
      <c r="DH2958" s="406" t="s">
        <v>2717</v>
      </c>
      <c r="DI2958" s="406" t="str">
        <f t="shared" si="78"/>
        <v>PE, Trindade</v>
      </c>
      <c r="DJ2958" s="406">
        <v>-7.7619999999999996</v>
      </c>
      <c r="DK2958" s="80">
        <v>-40.268000000000001</v>
      </c>
      <c r="DL2958" s="80">
        <v>518</v>
      </c>
      <c r="DM2958" s="64">
        <v>7</v>
      </c>
      <c r="DN2958" s="406" t="s">
        <v>6405</v>
      </c>
      <c r="DO2958" s="406">
        <v>-7.08</v>
      </c>
      <c r="DP2958" s="80">
        <v>572</v>
      </c>
    </row>
    <row r="2959" spans="29:120" x14ac:dyDescent="0.25">
      <c r="AC2959" s="122" t="s">
        <v>311</v>
      </c>
      <c r="AD2959" s="122" t="s">
        <v>3289</v>
      </c>
      <c r="AE2959" s="127">
        <v>3</v>
      </c>
      <c r="DA2959" s="122" t="s">
        <v>323</v>
      </c>
      <c r="DB2959" s="122" t="s">
        <v>1444</v>
      </c>
      <c r="DC2959" s="122" t="s">
        <v>1444</v>
      </c>
      <c r="DD2959" s="127">
        <v>6</v>
      </c>
      <c r="DE2959" s="127">
        <v>6</v>
      </c>
      <c r="DG2959" s="405" t="s">
        <v>323</v>
      </c>
      <c r="DH2959" s="406" t="s">
        <v>1444</v>
      </c>
      <c r="DI2959" s="406" t="str">
        <f t="shared" si="78"/>
        <v>PE, Triunfo</v>
      </c>
      <c r="DJ2959" s="406">
        <v>-7.8380000000000001</v>
      </c>
      <c r="DK2959" s="80">
        <v>-38.101999999999997</v>
      </c>
      <c r="DL2959" s="80">
        <v>1004</v>
      </c>
      <c r="DM2959" s="64">
        <v>6</v>
      </c>
      <c r="DN2959" s="406" t="s">
        <v>7509</v>
      </c>
      <c r="DO2959" s="406">
        <v>-7.95</v>
      </c>
      <c r="DP2959" s="80">
        <v>461</v>
      </c>
    </row>
    <row r="2960" spans="29:120" x14ac:dyDescent="0.25">
      <c r="AC2960" s="122" t="s">
        <v>333</v>
      </c>
      <c r="AD2960" s="122" t="s">
        <v>3290</v>
      </c>
      <c r="AE2960" s="127">
        <v>3</v>
      </c>
      <c r="DA2960" s="122" t="s">
        <v>323</v>
      </c>
      <c r="DB2960" s="122" t="s">
        <v>2932</v>
      </c>
      <c r="DC2960" s="122" t="s">
        <v>2932</v>
      </c>
      <c r="DD2960" s="127">
        <v>8</v>
      </c>
      <c r="DE2960" s="127">
        <v>8</v>
      </c>
      <c r="DG2960" s="405" t="s">
        <v>323</v>
      </c>
      <c r="DH2960" s="406" t="s">
        <v>2932</v>
      </c>
      <c r="DI2960" s="406" t="str">
        <f t="shared" si="78"/>
        <v>PE, Tupanatinga</v>
      </c>
      <c r="DJ2960" s="406">
        <v>-8.7530000000000001</v>
      </c>
      <c r="DK2960" s="80">
        <v>-37.340000000000003</v>
      </c>
      <c r="DL2960" s="80">
        <v>710</v>
      </c>
      <c r="DM2960" s="64">
        <v>8</v>
      </c>
      <c r="DN2960" s="406" t="s">
        <v>6100</v>
      </c>
      <c r="DO2960" s="406">
        <v>-8.51</v>
      </c>
      <c r="DP2960" s="80">
        <v>448</v>
      </c>
    </row>
    <row r="2961" spans="29:120" x14ac:dyDescent="0.25">
      <c r="AC2961" s="122" t="s">
        <v>311</v>
      </c>
      <c r="AD2961" s="122" t="s">
        <v>3291</v>
      </c>
      <c r="AE2961" s="127">
        <v>4</v>
      </c>
      <c r="DA2961" s="122" t="s">
        <v>323</v>
      </c>
      <c r="DB2961" s="122" t="s">
        <v>2872</v>
      </c>
      <c r="DC2961" s="122" t="s">
        <v>2872</v>
      </c>
      <c r="DD2961" s="127">
        <v>6</v>
      </c>
      <c r="DE2961" s="127">
        <v>6</v>
      </c>
      <c r="DG2961" s="405" t="s">
        <v>323</v>
      </c>
      <c r="DH2961" s="406" t="s">
        <v>2872</v>
      </c>
      <c r="DI2961" s="406" t="str">
        <f t="shared" si="78"/>
        <v>PE, Tuparetama</v>
      </c>
      <c r="DJ2961" s="406">
        <v>-7.6020000000000003</v>
      </c>
      <c r="DK2961" s="80">
        <v>-37.311</v>
      </c>
      <c r="DL2961" s="80">
        <v>560</v>
      </c>
      <c r="DM2961" s="64">
        <v>6</v>
      </c>
      <c r="DN2961" s="406" t="s">
        <v>7497</v>
      </c>
      <c r="DO2961" s="406">
        <v>-7.89</v>
      </c>
      <c r="DP2961" s="80">
        <v>604</v>
      </c>
    </row>
    <row r="2962" spans="29:120" x14ac:dyDescent="0.25">
      <c r="AC2962" s="122" t="s">
        <v>236</v>
      </c>
      <c r="AD2962" s="122" t="s">
        <v>3292</v>
      </c>
      <c r="AE2962" s="127">
        <v>2</v>
      </c>
      <c r="DA2962" s="122" t="s">
        <v>323</v>
      </c>
      <c r="DB2962" s="122" t="s">
        <v>2460</v>
      </c>
      <c r="DC2962" s="122" t="s">
        <v>2460</v>
      </c>
      <c r="DD2962" s="127">
        <v>8</v>
      </c>
      <c r="DE2962" s="127">
        <v>8</v>
      </c>
      <c r="DG2962" s="405" t="s">
        <v>323</v>
      </c>
      <c r="DH2962" s="406" t="s">
        <v>2460</v>
      </c>
      <c r="DI2962" s="406" t="str">
        <f t="shared" si="78"/>
        <v>PE, Venturosa</v>
      </c>
      <c r="DJ2962" s="406">
        <v>-8.5749999999999993</v>
      </c>
      <c r="DK2962" s="80">
        <v>-36.874000000000002</v>
      </c>
      <c r="DL2962" s="80">
        <v>530</v>
      </c>
      <c r="DM2962" s="64">
        <v>8</v>
      </c>
      <c r="DN2962" s="406" t="s">
        <v>7579</v>
      </c>
      <c r="DO2962" s="406">
        <v>-8.42</v>
      </c>
      <c r="DP2962" s="80">
        <v>681</v>
      </c>
    </row>
    <row r="2963" spans="29:120" x14ac:dyDescent="0.25">
      <c r="AC2963" s="122" t="s">
        <v>311</v>
      </c>
      <c r="AD2963" s="122" t="s">
        <v>3293</v>
      </c>
      <c r="AE2963" s="127">
        <v>3</v>
      </c>
      <c r="DA2963" s="122" t="s">
        <v>323</v>
      </c>
      <c r="DB2963" s="122" t="s">
        <v>3251</v>
      </c>
      <c r="DC2963" s="122" t="s">
        <v>3251</v>
      </c>
      <c r="DD2963" s="127">
        <v>7</v>
      </c>
      <c r="DE2963" s="127">
        <v>7</v>
      </c>
      <c r="DG2963" s="405" t="s">
        <v>323</v>
      </c>
      <c r="DH2963" s="406" t="s">
        <v>3251</v>
      </c>
      <c r="DI2963" s="406" t="str">
        <f t="shared" si="78"/>
        <v>PE, Verdejante</v>
      </c>
      <c r="DJ2963" s="406">
        <v>-7.9260000000000002</v>
      </c>
      <c r="DK2963" s="80">
        <v>-38.972000000000001</v>
      </c>
      <c r="DL2963" s="80">
        <v>494</v>
      </c>
      <c r="DM2963" s="64">
        <v>7</v>
      </c>
      <c r="DN2963" s="406" t="s">
        <v>6194</v>
      </c>
      <c r="DO2963" s="406">
        <v>-8.5</v>
      </c>
      <c r="DP2963" s="80">
        <v>342</v>
      </c>
    </row>
    <row r="2964" spans="29:120" x14ac:dyDescent="0.25">
      <c r="AC2964" s="122" t="s">
        <v>336</v>
      </c>
      <c r="AD2964" s="122" t="s">
        <v>3294</v>
      </c>
      <c r="AE2964" s="127">
        <v>5</v>
      </c>
      <c r="DA2964" s="122" t="s">
        <v>323</v>
      </c>
      <c r="DB2964" s="122" t="s">
        <v>7634</v>
      </c>
      <c r="DC2964" s="122" t="s">
        <v>5442</v>
      </c>
      <c r="DD2964" s="127">
        <v>8</v>
      </c>
      <c r="DE2964" s="127">
        <v>8</v>
      </c>
      <c r="DG2964" s="405" t="s">
        <v>323</v>
      </c>
      <c r="DH2964" s="406" t="s">
        <v>5442</v>
      </c>
      <c r="DI2964" s="406" t="str">
        <f t="shared" si="78"/>
        <v>PE, Vertente do Lério</v>
      </c>
      <c r="DJ2964" s="406">
        <v>-7.7709999999999999</v>
      </c>
      <c r="DK2964" s="80">
        <v>-35.85</v>
      </c>
      <c r="DL2964" s="80">
        <v>290</v>
      </c>
      <c r="DM2964" s="64">
        <v>8</v>
      </c>
      <c r="DN2964" s="406" t="s">
        <v>7494</v>
      </c>
      <c r="DO2964" s="406">
        <v>-7.84</v>
      </c>
      <c r="DP2964" s="80">
        <v>418</v>
      </c>
    </row>
    <row r="2965" spans="29:120" x14ac:dyDescent="0.25">
      <c r="AC2965" s="122" t="s">
        <v>333</v>
      </c>
      <c r="AD2965" s="122" t="s">
        <v>3295</v>
      </c>
      <c r="AE2965" s="127">
        <v>3</v>
      </c>
      <c r="DA2965" s="122" t="s">
        <v>323</v>
      </c>
      <c r="DB2965" s="122" t="s">
        <v>2465</v>
      </c>
      <c r="DC2965" s="122" t="s">
        <v>2465</v>
      </c>
      <c r="DD2965" s="127">
        <v>8</v>
      </c>
      <c r="DE2965" s="127">
        <v>8</v>
      </c>
      <c r="DG2965" s="405" t="s">
        <v>323</v>
      </c>
      <c r="DH2965" s="406" t="s">
        <v>2465</v>
      </c>
      <c r="DI2965" s="406" t="str">
        <f t="shared" si="78"/>
        <v>PE, Vertentes</v>
      </c>
      <c r="DJ2965" s="406">
        <v>-7.9029999999999996</v>
      </c>
      <c r="DK2965" s="80">
        <v>-35.988</v>
      </c>
      <c r="DL2965" s="80">
        <v>401</v>
      </c>
      <c r="DM2965" s="64">
        <v>8</v>
      </c>
      <c r="DN2965" s="406" t="s">
        <v>7494</v>
      </c>
      <c r="DO2965" s="406">
        <v>-7.84</v>
      </c>
      <c r="DP2965" s="80">
        <v>418</v>
      </c>
    </row>
    <row r="2966" spans="29:120" x14ac:dyDescent="0.25">
      <c r="AC2966" s="122" t="s">
        <v>333</v>
      </c>
      <c r="AD2966" s="122" t="s">
        <v>3296</v>
      </c>
      <c r="AE2966" s="127">
        <v>3</v>
      </c>
      <c r="DA2966" s="122" t="s">
        <v>323</v>
      </c>
      <c r="DB2966" s="122" t="s">
        <v>5023</v>
      </c>
      <c r="DC2966" s="122" t="s">
        <v>5023</v>
      </c>
      <c r="DD2966" s="127">
        <v>8</v>
      </c>
      <c r="DE2966" s="127">
        <v>8</v>
      </c>
      <c r="DG2966" s="405" t="s">
        <v>323</v>
      </c>
      <c r="DH2966" s="406" t="s">
        <v>5023</v>
      </c>
      <c r="DI2966" s="406" t="str">
        <f t="shared" si="78"/>
        <v>PE, Vicência</v>
      </c>
      <c r="DJ2966" s="406">
        <v>-7.657</v>
      </c>
      <c r="DK2966" s="80">
        <v>-35.326999999999998</v>
      </c>
      <c r="DL2966" s="80">
        <v>119</v>
      </c>
      <c r="DM2966" s="64">
        <v>8</v>
      </c>
      <c r="DN2966" s="406" t="s">
        <v>7494</v>
      </c>
      <c r="DO2966" s="406">
        <v>-7.84</v>
      </c>
      <c r="DP2966" s="80">
        <v>418</v>
      </c>
    </row>
    <row r="2967" spans="29:120" x14ac:dyDescent="0.25">
      <c r="AC2967" s="122" t="s">
        <v>333</v>
      </c>
      <c r="AD2967" s="122" t="s">
        <v>3297</v>
      </c>
      <c r="AE2967" s="127">
        <v>3</v>
      </c>
      <c r="DA2967" s="122" t="s">
        <v>323</v>
      </c>
      <c r="DB2967" s="122" t="s">
        <v>7635</v>
      </c>
      <c r="DC2967" s="122" t="s">
        <v>5327</v>
      </c>
      <c r="DD2967" s="127">
        <v>8</v>
      </c>
      <c r="DE2967" s="127">
        <v>8</v>
      </c>
      <c r="DG2967" s="405" t="s">
        <v>323</v>
      </c>
      <c r="DH2967" s="406" t="s">
        <v>5327</v>
      </c>
      <c r="DI2967" s="406" t="str">
        <f t="shared" si="78"/>
        <v>PE, Vitória de Santo Antão</v>
      </c>
      <c r="DJ2967" s="406">
        <v>-8.1180000000000003</v>
      </c>
      <c r="DK2967" s="80">
        <v>-35.290999999999997</v>
      </c>
      <c r="DL2967" s="80">
        <v>156</v>
      </c>
      <c r="DM2967" s="64">
        <v>8</v>
      </c>
      <c r="DN2967" s="406" t="s">
        <v>7586</v>
      </c>
      <c r="DO2967" s="406">
        <v>-8.0500000000000007</v>
      </c>
      <c r="DP2967" s="80">
        <v>10</v>
      </c>
    </row>
    <row r="2968" spans="29:120" x14ac:dyDescent="0.25">
      <c r="AC2968" s="122" t="s">
        <v>311</v>
      </c>
      <c r="AD2968" s="122" t="s">
        <v>3298</v>
      </c>
      <c r="AE2968" s="127">
        <v>3</v>
      </c>
      <c r="DA2968" s="122" t="s">
        <v>323</v>
      </c>
      <c r="DB2968" s="122" t="s">
        <v>5329</v>
      </c>
      <c r="DC2968" s="122" t="s">
        <v>5329</v>
      </c>
      <c r="DD2968" s="127">
        <v>8</v>
      </c>
      <c r="DE2968" s="127">
        <v>8</v>
      </c>
      <c r="DG2968" s="405" t="s">
        <v>323</v>
      </c>
      <c r="DH2968" s="406" t="s">
        <v>5329</v>
      </c>
      <c r="DI2968" s="406" t="str">
        <f t="shared" si="78"/>
        <v>PE, Xexéu</v>
      </c>
      <c r="DJ2968" s="406">
        <v>-8.8019999999999996</v>
      </c>
      <c r="DK2968" s="80">
        <v>-35.627000000000002</v>
      </c>
      <c r="DL2968" s="80">
        <v>200</v>
      </c>
      <c r="DM2968" s="64">
        <v>8</v>
      </c>
      <c r="DN2968" s="406" t="s">
        <v>6097</v>
      </c>
      <c r="DO2968" s="406">
        <v>-8.67</v>
      </c>
      <c r="DP2968" s="80">
        <v>180</v>
      </c>
    </row>
    <row r="2969" spans="29:120" x14ac:dyDescent="0.25">
      <c r="AC2969" s="122" t="s">
        <v>333</v>
      </c>
      <c r="AD2969" s="122" t="s">
        <v>785</v>
      </c>
      <c r="AE2969" s="127">
        <v>5</v>
      </c>
      <c r="DA2969" s="122" t="s">
        <v>357</v>
      </c>
      <c r="DB2969" s="122" t="s">
        <v>5096</v>
      </c>
      <c r="DC2969" s="122" t="s">
        <v>5096</v>
      </c>
      <c r="DD2969" s="127">
        <v>7</v>
      </c>
      <c r="DE2969" s="127">
        <v>7</v>
      </c>
      <c r="DG2969" s="405" t="s">
        <v>357</v>
      </c>
      <c r="DH2969" s="406" t="s">
        <v>5096</v>
      </c>
      <c r="DI2969" s="406" t="str">
        <f t="shared" si="78"/>
        <v>PI, Acauã</v>
      </c>
      <c r="DJ2969" s="406">
        <v>-8.2149999999999999</v>
      </c>
      <c r="DK2969" s="80">
        <v>-41.082000000000001</v>
      </c>
      <c r="DL2969" s="80">
        <v>374</v>
      </c>
      <c r="DM2969" s="64">
        <v>7</v>
      </c>
      <c r="DN2969" s="406" t="s">
        <v>7588</v>
      </c>
      <c r="DO2969" s="406">
        <v>-8.14</v>
      </c>
      <c r="DP2969" s="80">
        <v>374</v>
      </c>
    </row>
    <row r="2970" spans="29:120" x14ac:dyDescent="0.25">
      <c r="AC2970" s="122" t="s">
        <v>236</v>
      </c>
      <c r="AD2970" s="122" t="s">
        <v>3299</v>
      </c>
      <c r="AE2970" s="127">
        <v>2</v>
      </c>
      <c r="DA2970" s="122" t="s">
        <v>357</v>
      </c>
      <c r="DB2970" s="122" t="s">
        <v>4719</v>
      </c>
      <c r="DC2970" s="122" t="s">
        <v>4719</v>
      </c>
      <c r="DD2970" s="127">
        <v>7</v>
      </c>
      <c r="DE2970" s="127">
        <v>7</v>
      </c>
      <c r="DG2970" s="405" t="s">
        <v>357</v>
      </c>
      <c r="DH2970" s="406" t="s">
        <v>4719</v>
      </c>
      <c r="DI2970" s="406" t="str">
        <f t="shared" si="78"/>
        <v>PI, Agricolândia</v>
      </c>
      <c r="DJ2970" s="406">
        <v>-5.7990000000000004</v>
      </c>
      <c r="DK2970" s="80">
        <v>-42.668999999999997</v>
      </c>
      <c r="DL2970" s="80">
        <v>230</v>
      </c>
      <c r="DM2970" s="64">
        <v>7</v>
      </c>
      <c r="DN2970" s="406" t="s">
        <v>6730</v>
      </c>
      <c r="DO2970" s="406">
        <v>-5.91</v>
      </c>
      <c r="DP2970" s="80">
        <v>287</v>
      </c>
    </row>
    <row r="2971" spans="29:120" x14ac:dyDescent="0.25">
      <c r="AC2971" s="122" t="s">
        <v>311</v>
      </c>
      <c r="AD2971" s="122" t="s">
        <v>3300</v>
      </c>
      <c r="AE2971" s="127">
        <v>2</v>
      </c>
      <c r="DA2971" s="122" t="s">
        <v>357</v>
      </c>
      <c r="DB2971" s="122" t="s">
        <v>6086</v>
      </c>
      <c r="DC2971" s="122" t="s">
        <v>2199</v>
      </c>
      <c r="DD2971" s="127">
        <v>7</v>
      </c>
      <c r="DE2971" s="127">
        <v>7</v>
      </c>
      <c r="DG2971" s="405" t="s">
        <v>357</v>
      </c>
      <c r="DH2971" s="406" t="s">
        <v>2199</v>
      </c>
      <c r="DI2971" s="406" t="str">
        <f t="shared" si="78"/>
        <v>PI, Água Branca</v>
      </c>
      <c r="DJ2971" s="406">
        <v>-5.89</v>
      </c>
      <c r="DK2971" s="80">
        <v>-42.637999999999998</v>
      </c>
      <c r="DL2971" s="80">
        <v>240</v>
      </c>
      <c r="DM2971" s="64">
        <v>7</v>
      </c>
      <c r="DN2971" s="406" t="s">
        <v>6730</v>
      </c>
      <c r="DO2971" s="406">
        <v>-5.91</v>
      </c>
      <c r="DP2971" s="80">
        <v>287</v>
      </c>
    </row>
    <row r="2972" spans="29:120" x14ac:dyDescent="0.25">
      <c r="AC2972" s="122" t="s">
        <v>358</v>
      </c>
      <c r="AD2972" s="122" t="s">
        <v>3301</v>
      </c>
      <c r="AE2972" s="127">
        <v>5</v>
      </c>
      <c r="DA2972" s="122" t="s">
        <v>357</v>
      </c>
      <c r="DB2972" s="122" t="s">
        <v>7636</v>
      </c>
      <c r="DC2972" s="122" t="s">
        <v>5469</v>
      </c>
      <c r="DD2972" s="127">
        <v>7</v>
      </c>
      <c r="DE2972" s="127">
        <v>7</v>
      </c>
      <c r="DG2972" s="405" t="s">
        <v>357</v>
      </c>
      <c r="DH2972" s="406" t="s">
        <v>5469</v>
      </c>
      <c r="DI2972" s="406" t="str">
        <f t="shared" si="78"/>
        <v>PI, Alagoinha do Piauí</v>
      </c>
      <c r="DJ2972" s="406">
        <v>-7.008</v>
      </c>
      <c r="DK2972" s="80">
        <v>-40.939</v>
      </c>
      <c r="DL2972" s="80">
        <v>375</v>
      </c>
      <c r="DM2972" s="64">
        <v>7</v>
      </c>
      <c r="DN2972" s="406" t="s">
        <v>7637</v>
      </c>
      <c r="DO2972" s="406">
        <v>-7.07</v>
      </c>
      <c r="DP2972" s="80">
        <v>233</v>
      </c>
    </row>
    <row r="2973" spans="29:120" x14ac:dyDescent="0.25">
      <c r="AC2973" s="122" t="s">
        <v>317</v>
      </c>
      <c r="AD2973" s="122" t="s">
        <v>3302</v>
      </c>
      <c r="AE2973" s="127">
        <v>5</v>
      </c>
      <c r="DA2973" s="122" t="s">
        <v>357</v>
      </c>
      <c r="DB2973" s="122" t="s">
        <v>7638</v>
      </c>
      <c r="DC2973" s="122" t="s">
        <v>5457</v>
      </c>
      <c r="DD2973" s="127">
        <v>7</v>
      </c>
      <c r="DE2973" s="127">
        <v>7</v>
      </c>
      <c r="DG2973" s="405" t="s">
        <v>357</v>
      </c>
      <c r="DH2973" s="406" t="s">
        <v>5457</v>
      </c>
      <c r="DI2973" s="406" t="str">
        <f t="shared" si="78"/>
        <v>PI, Alegrete do Piauí</v>
      </c>
      <c r="DJ2973" s="406">
        <v>-7.2430000000000003</v>
      </c>
      <c r="DK2973" s="80">
        <v>-40.857999999999997</v>
      </c>
      <c r="DL2973" s="80">
        <v>450</v>
      </c>
      <c r="DM2973" s="64">
        <v>7</v>
      </c>
      <c r="DN2973" s="406" t="s">
        <v>6405</v>
      </c>
      <c r="DO2973" s="406">
        <v>-7.08</v>
      </c>
      <c r="DP2973" s="80">
        <v>572</v>
      </c>
    </row>
    <row r="2974" spans="29:120" x14ac:dyDescent="0.25">
      <c r="AC2974" s="122" t="s">
        <v>311</v>
      </c>
      <c r="AD2974" s="122" t="s">
        <v>3303</v>
      </c>
      <c r="AE2974" s="127">
        <v>1</v>
      </c>
      <c r="DA2974" s="122" t="s">
        <v>357</v>
      </c>
      <c r="DB2974" s="122" t="s">
        <v>7639</v>
      </c>
      <c r="DC2974" s="122" t="s">
        <v>5570</v>
      </c>
      <c r="DD2974" s="127">
        <v>7</v>
      </c>
      <c r="DE2974" s="127">
        <v>7</v>
      </c>
      <c r="DG2974" s="405" t="s">
        <v>357</v>
      </c>
      <c r="DH2974" s="406" t="s">
        <v>5570</v>
      </c>
      <c r="DI2974" s="406" t="str">
        <f t="shared" si="78"/>
        <v>PI, Alto Longá</v>
      </c>
      <c r="DJ2974" s="406">
        <v>-5.2510000000000003</v>
      </c>
      <c r="DK2974" s="80">
        <v>-42.21</v>
      </c>
      <c r="DL2974" s="80">
        <v>170</v>
      </c>
      <c r="DM2974" s="64">
        <v>7</v>
      </c>
      <c r="DN2974" s="406" t="s">
        <v>6718</v>
      </c>
      <c r="DO2974" s="406">
        <v>-5.09</v>
      </c>
      <c r="DP2974" s="80">
        <v>74</v>
      </c>
    </row>
    <row r="2975" spans="29:120" x14ac:dyDescent="0.25">
      <c r="AC2975" s="122" t="s">
        <v>311</v>
      </c>
      <c r="AD2975" s="122" t="s">
        <v>3304</v>
      </c>
      <c r="AE2975" s="127">
        <v>1</v>
      </c>
      <c r="DA2975" s="122" t="s">
        <v>357</v>
      </c>
      <c r="DB2975" s="122" t="s">
        <v>4680</v>
      </c>
      <c r="DC2975" s="122" t="s">
        <v>4680</v>
      </c>
      <c r="DD2975" s="127">
        <v>7</v>
      </c>
      <c r="DE2975" s="127">
        <v>7</v>
      </c>
      <c r="DG2975" s="405" t="s">
        <v>357</v>
      </c>
      <c r="DH2975" s="406" t="s">
        <v>4680</v>
      </c>
      <c r="DI2975" s="406" t="str">
        <f t="shared" si="78"/>
        <v>PI, Altos</v>
      </c>
      <c r="DJ2975" s="406">
        <v>-5.0389999999999997</v>
      </c>
      <c r="DK2975" s="80">
        <v>-42.460999999999999</v>
      </c>
      <c r="DL2975" s="80">
        <v>180</v>
      </c>
      <c r="DM2975" s="64">
        <v>7</v>
      </c>
      <c r="DN2975" s="406" t="s">
        <v>6718</v>
      </c>
      <c r="DO2975" s="406">
        <v>-5.09</v>
      </c>
      <c r="DP2975" s="80">
        <v>74</v>
      </c>
    </row>
    <row r="2976" spans="29:120" x14ac:dyDescent="0.25">
      <c r="AC2976" s="122" t="s">
        <v>317</v>
      </c>
      <c r="AD2976" s="122" t="s">
        <v>3305</v>
      </c>
      <c r="AE2976" s="127">
        <v>5</v>
      </c>
      <c r="DA2976" s="122" t="s">
        <v>357</v>
      </c>
      <c r="DB2976" s="122" t="s">
        <v>7640</v>
      </c>
      <c r="DC2976" s="122" t="s">
        <v>5519</v>
      </c>
      <c r="DD2976" s="127">
        <v>7</v>
      </c>
      <c r="DE2976" s="127">
        <v>7</v>
      </c>
      <c r="DG2976" s="405" t="s">
        <v>357</v>
      </c>
      <c r="DH2976" s="406" t="s">
        <v>5519</v>
      </c>
      <c r="DI2976" s="406" t="str">
        <f t="shared" si="78"/>
        <v>PI, Alvorada do Gurguéia</v>
      </c>
      <c r="DJ2976" s="406">
        <v>-8.4239999999999995</v>
      </c>
      <c r="DK2976" s="80">
        <v>-43.777000000000001</v>
      </c>
      <c r="DL2976" s="80">
        <v>281</v>
      </c>
      <c r="DM2976" s="64">
        <v>7</v>
      </c>
      <c r="DN2976" s="406" t="s">
        <v>7641</v>
      </c>
      <c r="DO2976" s="406">
        <v>-8.44</v>
      </c>
      <c r="DP2976" s="80">
        <v>270</v>
      </c>
    </row>
    <row r="2977" spans="29:120" x14ac:dyDescent="0.25">
      <c r="AC2977" s="122" t="s">
        <v>311</v>
      </c>
      <c r="AD2977" s="122" t="s">
        <v>301</v>
      </c>
      <c r="AE2977" s="127">
        <v>1</v>
      </c>
      <c r="DA2977" s="122" t="s">
        <v>357</v>
      </c>
      <c r="DB2977" s="122" t="s">
        <v>4710</v>
      </c>
      <c r="DC2977" s="122" t="s">
        <v>4710</v>
      </c>
      <c r="DD2977" s="127">
        <v>7</v>
      </c>
      <c r="DE2977" s="127">
        <v>7</v>
      </c>
      <c r="DG2977" s="405" t="s">
        <v>357</v>
      </c>
      <c r="DH2977" s="406" t="s">
        <v>4710</v>
      </c>
      <c r="DI2977" s="406" t="str">
        <f t="shared" si="78"/>
        <v>PI, Amarante</v>
      </c>
      <c r="DJ2977" s="406">
        <v>-6.2409999999999997</v>
      </c>
      <c r="DK2977" s="80">
        <v>-42.854999999999997</v>
      </c>
      <c r="DL2977" s="80">
        <v>104</v>
      </c>
      <c r="DM2977" s="64">
        <v>7</v>
      </c>
      <c r="DN2977" s="406" t="s">
        <v>6730</v>
      </c>
      <c r="DO2977" s="406">
        <v>-5.91</v>
      </c>
      <c r="DP2977" s="80">
        <v>287</v>
      </c>
    </row>
    <row r="2978" spans="29:120" x14ac:dyDescent="0.25">
      <c r="AC2978" s="122" t="s">
        <v>311</v>
      </c>
      <c r="AD2978" s="122" t="s">
        <v>3306</v>
      </c>
      <c r="AE2978" s="127">
        <v>2</v>
      </c>
      <c r="DA2978" s="122" t="s">
        <v>357</v>
      </c>
      <c r="DB2978" s="122" t="s">
        <v>7642</v>
      </c>
      <c r="DC2978" s="122" t="s">
        <v>4696</v>
      </c>
      <c r="DD2978" s="127">
        <v>7</v>
      </c>
      <c r="DE2978" s="127">
        <v>7</v>
      </c>
      <c r="DG2978" s="405" t="s">
        <v>357</v>
      </c>
      <c r="DH2978" s="406" t="s">
        <v>4696</v>
      </c>
      <c r="DI2978" s="406" t="str">
        <f t="shared" si="78"/>
        <v>PI, Angical do Piauí</v>
      </c>
      <c r="DJ2978" s="406">
        <v>-6.0860000000000003</v>
      </c>
      <c r="DK2978" s="80">
        <v>-42.738999999999997</v>
      </c>
      <c r="DL2978" s="80">
        <v>192</v>
      </c>
      <c r="DM2978" s="64">
        <v>7</v>
      </c>
      <c r="DN2978" s="406" t="s">
        <v>6730</v>
      </c>
      <c r="DO2978" s="406">
        <v>-5.91</v>
      </c>
      <c r="DP2978" s="80">
        <v>287</v>
      </c>
    </row>
    <row r="2979" spans="29:120" x14ac:dyDescent="0.25">
      <c r="AC2979" s="122" t="s">
        <v>333</v>
      </c>
      <c r="AD2979" s="122" t="s">
        <v>3307</v>
      </c>
      <c r="AE2979" s="127">
        <v>5</v>
      </c>
      <c r="DA2979" s="122" t="s">
        <v>357</v>
      </c>
      <c r="DB2979" s="122" t="s">
        <v>7643</v>
      </c>
      <c r="DC2979" s="122" t="s">
        <v>5653</v>
      </c>
      <c r="DD2979" s="127">
        <v>7</v>
      </c>
      <c r="DE2979" s="127">
        <v>7</v>
      </c>
      <c r="DG2979" s="405" t="s">
        <v>357</v>
      </c>
      <c r="DH2979" s="406" t="s">
        <v>5653</v>
      </c>
      <c r="DI2979" s="406" t="str">
        <f t="shared" si="78"/>
        <v>PI, Anísio de Abreu</v>
      </c>
      <c r="DJ2979" s="406">
        <v>-9.1890000000000001</v>
      </c>
      <c r="DK2979" s="80">
        <v>-43.045999999999999</v>
      </c>
      <c r="DL2979" s="80">
        <v>440</v>
      </c>
      <c r="DM2979" s="64">
        <v>7</v>
      </c>
      <c r="DN2979" s="406" t="s">
        <v>6248</v>
      </c>
      <c r="DO2979" s="406">
        <v>-9.2899999999999991</v>
      </c>
      <c r="DP2979" s="80">
        <v>100</v>
      </c>
    </row>
    <row r="2980" spans="29:120" x14ac:dyDescent="0.25">
      <c r="AC2980" s="122" t="s">
        <v>333</v>
      </c>
      <c r="AD2980" s="122" t="s">
        <v>3308</v>
      </c>
      <c r="AE2980" s="127">
        <v>3</v>
      </c>
      <c r="DA2980" s="122" t="s">
        <v>357</v>
      </c>
      <c r="DB2980" s="122" t="s">
        <v>7644</v>
      </c>
      <c r="DC2980" s="122" t="s">
        <v>5301</v>
      </c>
      <c r="DD2980" s="127">
        <v>7</v>
      </c>
      <c r="DE2980" s="127">
        <v>7</v>
      </c>
      <c r="DG2980" s="405" t="s">
        <v>357</v>
      </c>
      <c r="DH2980" s="406" t="s">
        <v>5301</v>
      </c>
      <c r="DI2980" s="406" t="str">
        <f t="shared" si="78"/>
        <v>PI, Antônio Almeida</v>
      </c>
      <c r="DJ2980" s="406">
        <v>-7.2190000000000003</v>
      </c>
      <c r="DK2980" s="80">
        <v>-44.198</v>
      </c>
      <c r="DL2980" s="80">
        <v>240</v>
      </c>
      <c r="DM2980" s="64">
        <v>7</v>
      </c>
      <c r="DN2980" s="406" t="s">
        <v>6658</v>
      </c>
      <c r="DO2980" s="406">
        <v>-7.47</v>
      </c>
      <c r="DP2980" s="80">
        <v>393</v>
      </c>
    </row>
    <row r="2981" spans="29:120" x14ac:dyDescent="0.25">
      <c r="AC2981" s="122" t="s">
        <v>311</v>
      </c>
      <c r="AD2981" s="122" t="s">
        <v>3309</v>
      </c>
      <c r="AE2981" s="127">
        <v>2</v>
      </c>
      <c r="DA2981" s="122" t="s">
        <v>357</v>
      </c>
      <c r="DB2981" s="122" t="s">
        <v>5564</v>
      </c>
      <c r="DC2981" s="122" t="s">
        <v>5564</v>
      </c>
      <c r="DD2981" s="127">
        <v>7</v>
      </c>
      <c r="DE2981" s="127">
        <v>7</v>
      </c>
      <c r="DG2981" s="405" t="s">
        <v>357</v>
      </c>
      <c r="DH2981" s="406" t="s">
        <v>5564</v>
      </c>
      <c r="DI2981" s="406" t="str">
        <f t="shared" si="78"/>
        <v>PI, Aroazes</v>
      </c>
      <c r="DJ2981" s="406">
        <v>-6.1189999999999998</v>
      </c>
      <c r="DK2981" s="80">
        <v>-41.792999999999999</v>
      </c>
      <c r="DL2981" s="80">
        <v>230</v>
      </c>
      <c r="DM2981" s="64">
        <v>7</v>
      </c>
      <c r="DN2981" s="406" t="s">
        <v>7645</v>
      </c>
      <c r="DO2981" s="406">
        <v>-6.4</v>
      </c>
      <c r="DP2981" s="80">
        <v>301</v>
      </c>
    </row>
    <row r="2982" spans="29:120" x14ac:dyDescent="0.25">
      <c r="AC2982" s="122" t="s">
        <v>317</v>
      </c>
      <c r="AD2982" s="122" t="s">
        <v>3310</v>
      </c>
      <c r="AE2982" s="127">
        <v>5</v>
      </c>
      <c r="DA2982" s="122" t="s">
        <v>357</v>
      </c>
      <c r="DB2982" s="122" t="s">
        <v>7646</v>
      </c>
      <c r="DC2982" s="122" t="s">
        <v>5531</v>
      </c>
      <c r="DD2982" s="127">
        <v>8</v>
      </c>
      <c r="DE2982" s="127">
        <v>8</v>
      </c>
      <c r="DG2982" s="405" t="s">
        <v>357</v>
      </c>
      <c r="DH2982" s="406" t="s">
        <v>5531</v>
      </c>
      <c r="DI2982" s="406" t="str">
        <f t="shared" si="78"/>
        <v>PI, Aroeiras do Itaim</v>
      </c>
      <c r="DJ2982" s="406">
        <v>-7.2759999999999998</v>
      </c>
      <c r="DK2982" s="80">
        <v>-41.564</v>
      </c>
      <c r="DL2982" s="80">
        <v>196</v>
      </c>
      <c r="DM2982" s="64">
        <v>8</v>
      </c>
      <c r="DN2982" s="406" t="s">
        <v>7637</v>
      </c>
      <c r="DO2982" s="406">
        <v>-7.07</v>
      </c>
      <c r="DP2982" s="80">
        <v>233</v>
      </c>
    </row>
    <row r="2983" spans="29:120" x14ac:dyDescent="0.25">
      <c r="AC2983" s="122" t="s">
        <v>336</v>
      </c>
      <c r="AD2983" s="122" t="s">
        <v>3311</v>
      </c>
      <c r="AE2983" s="127">
        <v>3</v>
      </c>
      <c r="DA2983" s="122" t="s">
        <v>357</v>
      </c>
      <c r="DB2983" s="122" t="s">
        <v>5612</v>
      </c>
      <c r="DC2983" s="122" t="s">
        <v>5612</v>
      </c>
      <c r="DD2983" s="127">
        <v>7</v>
      </c>
      <c r="DE2983" s="127">
        <v>7</v>
      </c>
      <c r="DG2983" s="405" t="s">
        <v>357</v>
      </c>
      <c r="DH2983" s="406" t="s">
        <v>5612</v>
      </c>
      <c r="DI2983" s="406" t="str">
        <f t="shared" si="78"/>
        <v>PI, Arraial</v>
      </c>
      <c r="DJ2983" s="406">
        <v>-6.6550000000000002</v>
      </c>
      <c r="DK2983" s="80">
        <v>-42.531999999999996</v>
      </c>
      <c r="DL2983" s="80">
        <v>155</v>
      </c>
      <c r="DM2983" s="64">
        <v>7</v>
      </c>
      <c r="DN2983" s="406" t="s">
        <v>6652</v>
      </c>
      <c r="DO2983" s="406">
        <v>-6.77</v>
      </c>
      <c r="DP2983" s="80">
        <v>123</v>
      </c>
    </row>
    <row r="2984" spans="29:120" x14ac:dyDescent="0.25">
      <c r="AC2984" s="122" t="s">
        <v>358</v>
      </c>
      <c r="AD2984" s="122" t="s">
        <v>2537</v>
      </c>
      <c r="AE2984" s="127">
        <v>5</v>
      </c>
      <c r="DA2984" s="122" t="s">
        <v>357</v>
      </c>
      <c r="DB2984" s="122" t="s">
        <v>7647</v>
      </c>
      <c r="DC2984" s="122" t="s">
        <v>5317</v>
      </c>
      <c r="DD2984" s="127">
        <v>7</v>
      </c>
      <c r="DE2984" s="127">
        <v>7</v>
      </c>
      <c r="DG2984" s="405" t="s">
        <v>357</v>
      </c>
      <c r="DH2984" s="406" t="s">
        <v>5317</v>
      </c>
      <c r="DI2984" s="406" t="str">
        <f t="shared" si="78"/>
        <v>PI, Assunção do Piauí</v>
      </c>
      <c r="DJ2984" s="406">
        <v>-5.1980000000000004</v>
      </c>
      <c r="DK2984" s="80">
        <v>-41.043999999999997</v>
      </c>
      <c r="DL2984" s="80">
        <v>532</v>
      </c>
      <c r="DM2984" s="64">
        <v>7</v>
      </c>
      <c r="DN2984" s="406" t="s">
        <v>6412</v>
      </c>
      <c r="DO2984" s="406">
        <v>-5.19</v>
      </c>
      <c r="DP2984" s="80">
        <v>291</v>
      </c>
    </row>
    <row r="2985" spans="29:120" x14ac:dyDescent="0.25">
      <c r="AC2985" s="122" t="s">
        <v>358</v>
      </c>
      <c r="AD2985" s="122" t="s">
        <v>3312</v>
      </c>
      <c r="AE2985" s="127">
        <v>5</v>
      </c>
      <c r="DA2985" s="122" t="s">
        <v>357</v>
      </c>
      <c r="DB2985" s="122" t="s">
        <v>7648</v>
      </c>
      <c r="DC2985" s="122" t="s">
        <v>4054</v>
      </c>
      <c r="DD2985" s="127">
        <v>6</v>
      </c>
      <c r="DE2985" s="127">
        <v>6</v>
      </c>
      <c r="DG2985" s="405" t="s">
        <v>357</v>
      </c>
      <c r="DH2985" s="406" t="s">
        <v>4054</v>
      </c>
      <c r="DI2985" s="406" t="str">
        <f t="shared" si="78"/>
        <v>PI, Avelino Lopes</v>
      </c>
      <c r="DJ2985" s="406">
        <v>-10.137</v>
      </c>
      <c r="DK2985" s="80">
        <v>-43.948999999999998</v>
      </c>
      <c r="DL2985" s="80">
        <v>437</v>
      </c>
      <c r="DM2985" s="64">
        <v>6</v>
      </c>
      <c r="DN2985" s="406" t="s">
        <v>6238</v>
      </c>
      <c r="DO2985" s="406">
        <v>-10.72</v>
      </c>
      <c r="DP2985" s="80">
        <v>502</v>
      </c>
    </row>
    <row r="2986" spans="29:120" x14ac:dyDescent="0.25">
      <c r="AC2986" s="122" t="s">
        <v>333</v>
      </c>
      <c r="AD2986" s="122" t="s">
        <v>3313</v>
      </c>
      <c r="AE2986" s="127">
        <v>5</v>
      </c>
      <c r="DA2986" s="122" t="s">
        <v>357</v>
      </c>
      <c r="DB2986" s="122" t="s">
        <v>7649</v>
      </c>
      <c r="DC2986" s="122" t="s">
        <v>4246</v>
      </c>
      <c r="DD2986" s="127">
        <v>7</v>
      </c>
      <c r="DE2986" s="127">
        <v>7</v>
      </c>
      <c r="DG2986" s="405" t="s">
        <v>357</v>
      </c>
      <c r="DH2986" s="406" t="s">
        <v>4246</v>
      </c>
      <c r="DI2986" s="406" t="str">
        <f t="shared" si="78"/>
        <v>PI, Baixa Grande do Ribeiro</v>
      </c>
      <c r="DJ2986" s="406">
        <v>-7.85</v>
      </c>
      <c r="DK2986" s="80">
        <v>-45.213999999999999</v>
      </c>
      <c r="DL2986" s="80">
        <v>325</v>
      </c>
      <c r="DM2986" s="64">
        <v>7</v>
      </c>
      <c r="DN2986" s="406" t="s">
        <v>6658</v>
      </c>
      <c r="DO2986" s="406">
        <v>-7.47</v>
      </c>
      <c r="DP2986" s="80">
        <v>393</v>
      </c>
    </row>
    <row r="2987" spans="29:120" x14ac:dyDescent="0.25">
      <c r="AC2987" s="122" t="s">
        <v>333</v>
      </c>
      <c r="AD2987" s="122" t="s">
        <v>3314</v>
      </c>
      <c r="AE2987" s="127">
        <v>3</v>
      </c>
      <c r="DA2987" s="122" t="s">
        <v>357</v>
      </c>
      <c r="DB2987" s="122" t="s">
        <v>7650</v>
      </c>
      <c r="DC2987" s="122" t="s">
        <v>5628</v>
      </c>
      <c r="DD2987" s="127">
        <v>7</v>
      </c>
      <c r="DE2987" s="127">
        <v>7</v>
      </c>
      <c r="DG2987" s="405" t="s">
        <v>357</v>
      </c>
      <c r="DH2987" s="406" t="s">
        <v>5628</v>
      </c>
      <c r="DI2987" s="406" t="str">
        <f t="shared" si="78"/>
        <v>PI, Barra d'Alcântara</v>
      </c>
      <c r="DJ2987" s="406">
        <v>-6.5170000000000003</v>
      </c>
      <c r="DK2987" s="80">
        <v>-42.113999999999997</v>
      </c>
      <c r="DL2987" s="80">
        <v>310</v>
      </c>
      <c r="DM2987" s="64">
        <v>7</v>
      </c>
      <c r="DN2987" s="406" t="s">
        <v>7645</v>
      </c>
      <c r="DO2987" s="406">
        <v>-6.4</v>
      </c>
      <c r="DP2987" s="80">
        <v>301</v>
      </c>
    </row>
    <row r="2988" spans="29:120" x14ac:dyDescent="0.25">
      <c r="AC2988" s="122" t="s">
        <v>336</v>
      </c>
      <c r="AD2988" s="122" t="s">
        <v>3315</v>
      </c>
      <c r="AE2988" s="127">
        <v>3</v>
      </c>
      <c r="DA2988" s="122" t="s">
        <v>357</v>
      </c>
      <c r="DB2988" s="122" t="s">
        <v>4781</v>
      </c>
      <c r="DC2988" s="122" t="s">
        <v>4781</v>
      </c>
      <c r="DD2988" s="127">
        <v>7</v>
      </c>
      <c r="DE2988" s="127">
        <v>7</v>
      </c>
      <c r="DG2988" s="405" t="s">
        <v>357</v>
      </c>
      <c r="DH2988" s="406" t="s">
        <v>4781</v>
      </c>
      <c r="DI2988" s="406" t="str">
        <f t="shared" si="78"/>
        <v>PI, Barras</v>
      </c>
      <c r="DJ2988" s="406">
        <v>-4.2469999999999999</v>
      </c>
      <c r="DK2988" s="80">
        <v>-42.295999999999999</v>
      </c>
      <c r="DL2988" s="80">
        <v>70</v>
      </c>
      <c r="DM2988" s="64">
        <v>7</v>
      </c>
      <c r="DN2988" s="406" t="s">
        <v>6665</v>
      </c>
      <c r="DO2988" s="406">
        <v>-3.9</v>
      </c>
      <c r="DP2988" s="80">
        <v>65</v>
      </c>
    </row>
    <row r="2989" spans="29:120" x14ac:dyDescent="0.25">
      <c r="AC2989" s="122" t="s">
        <v>376</v>
      </c>
      <c r="AD2989" s="122" t="s">
        <v>3316</v>
      </c>
      <c r="AE2989" s="127">
        <v>3</v>
      </c>
      <c r="DA2989" s="122" t="s">
        <v>357</v>
      </c>
      <c r="DB2989" s="122" t="s">
        <v>7651</v>
      </c>
      <c r="DC2989" s="122" t="s">
        <v>5201</v>
      </c>
      <c r="DD2989" s="127">
        <v>7</v>
      </c>
      <c r="DE2989" s="127">
        <v>7</v>
      </c>
      <c r="DG2989" s="405" t="s">
        <v>357</v>
      </c>
      <c r="DH2989" s="406" t="s">
        <v>5201</v>
      </c>
      <c r="DI2989" s="406" t="str">
        <f t="shared" si="78"/>
        <v>PI, Barreiras do Piauí</v>
      </c>
      <c r="DJ2989" s="406">
        <v>-9.9250000000000007</v>
      </c>
      <c r="DK2989" s="80">
        <v>-45.475000000000001</v>
      </c>
      <c r="DL2989" s="80">
        <v>400</v>
      </c>
      <c r="DM2989" s="64">
        <v>7</v>
      </c>
      <c r="DN2989" s="406" t="s">
        <v>7652</v>
      </c>
      <c r="DO2989" s="406">
        <v>-9.8699999999999992</v>
      </c>
      <c r="DP2989" s="80">
        <v>425</v>
      </c>
    </row>
    <row r="2990" spans="29:120" x14ac:dyDescent="0.25">
      <c r="AC2990" s="122" t="s">
        <v>311</v>
      </c>
      <c r="AD2990" s="122" t="s">
        <v>3317</v>
      </c>
      <c r="AE2990" s="127">
        <v>1</v>
      </c>
      <c r="DA2990" s="122" t="s">
        <v>357</v>
      </c>
      <c r="DB2990" s="122" t="s">
        <v>7653</v>
      </c>
      <c r="DC2990" s="122" t="s">
        <v>4733</v>
      </c>
      <c r="DD2990" s="127">
        <v>7</v>
      </c>
      <c r="DE2990" s="127">
        <v>7</v>
      </c>
      <c r="DG2990" s="405" t="s">
        <v>357</v>
      </c>
      <c r="DH2990" s="406" t="s">
        <v>4733</v>
      </c>
      <c r="DI2990" s="406" t="str">
        <f t="shared" si="78"/>
        <v>PI, Barro Duro</v>
      </c>
      <c r="DJ2990" s="406">
        <v>-5.8179999999999996</v>
      </c>
      <c r="DK2990" s="80">
        <v>-42.512999999999998</v>
      </c>
      <c r="DL2990" s="80">
        <v>200</v>
      </c>
      <c r="DM2990" s="64">
        <v>7</v>
      </c>
      <c r="DN2990" s="406" t="s">
        <v>6730</v>
      </c>
      <c r="DO2990" s="406">
        <v>-5.91</v>
      </c>
      <c r="DP2990" s="80">
        <v>287</v>
      </c>
    </row>
    <row r="2991" spans="29:120" x14ac:dyDescent="0.25">
      <c r="AC2991" s="122" t="s">
        <v>358</v>
      </c>
      <c r="AD2991" s="122" t="s">
        <v>3318</v>
      </c>
      <c r="AE2991" s="127">
        <v>5</v>
      </c>
      <c r="DA2991" s="122" t="s">
        <v>357</v>
      </c>
      <c r="DB2991" s="122" t="s">
        <v>4760</v>
      </c>
      <c r="DC2991" s="122" t="s">
        <v>4760</v>
      </c>
      <c r="DD2991" s="127">
        <v>8</v>
      </c>
      <c r="DE2991" s="127">
        <v>8</v>
      </c>
      <c r="DG2991" s="405" t="s">
        <v>357</v>
      </c>
      <c r="DH2991" s="406" t="s">
        <v>4760</v>
      </c>
      <c r="DI2991" s="406" t="str">
        <f t="shared" si="78"/>
        <v>PI, Batalha</v>
      </c>
      <c r="DJ2991" s="406">
        <v>-4.024</v>
      </c>
      <c r="DK2991" s="80">
        <v>-42.078000000000003</v>
      </c>
      <c r="DL2991" s="80">
        <v>150</v>
      </c>
      <c r="DM2991" s="64">
        <v>8</v>
      </c>
      <c r="DN2991" s="406" t="s">
        <v>6665</v>
      </c>
      <c r="DO2991" s="406">
        <v>-3.9</v>
      </c>
      <c r="DP2991" s="80">
        <v>65</v>
      </c>
    </row>
    <row r="2992" spans="29:120" x14ac:dyDescent="0.25">
      <c r="AC2992" s="122" t="s">
        <v>333</v>
      </c>
      <c r="AD2992" s="122" t="s">
        <v>3319</v>
      </c>
      <c r="AE2992" s="127">
        <v>3</v>
      </c>
      <c r="DA2992" s="122" t="s">
        <v>357</v>
      </c>
      <c r="DB2992" s="122" t="s">
        <v>7654</v>
      </c>
      <c r="DC2992" s="122" t="s">
        <v>4597</v>
      </c>
      <c r="DD2992" s="127">
        <v>7</v>
      </c>
      <c r="DE2992" s="127">
        <v>7</v>
      </c>
      <c r="DG2992" s="405" t="s">
        <v>357</v>
      </c>
      <c r="DH2992" s="406" t="s">
        <v>4597</v>
      </c>
      <c r="DI2992" s="406" t="str">
        <f t="shared" si="78"/>
        <v>PI, Bela Vista do Piauí</v>
      </c>
      <c r="DJ2992" s="406">
        <v>-7.9889999999999999</v>
      </c>
      <c r="DK2992" s="80">
        <v>-41.868000000000002</v>
      </c>
      <c r="DL2992" s="80">
        <v>330</v>
      </c>
      <c r="DM2992" s="64">
        <v>7</v>
      </c>
      <c r="DN2992" s="406" t="s">
        <v>7655</v>
      </c>
      <c r="DO2992" s="406">
        <v>-8.36</v>
      </c>
      <c r="DP2992" s="80">
        <v>235</v>
      </c>
    </row>
    <row r="2993" spans="29:120" x14ac:dyDescent="0.25">
      <c r="AC2993" s="122" t="s">
        <v>311</v>
      </c>
      <c r="AD2993" s="122" t="s">
        <v>3320</v>
      </c>
      <c r="AE2993" s="127">
        <v>4</v>
      </c>
      <c r="DA2993" s="122" t="s">
        <v>357</v>
      </c>
      <c r="DB2993" s="122" t="s">
        <v>7656</v>
      </c>
      <c r="DC2993" s="122" t="s">
        <v>5452</v>
      </c>
      <c r="DD2993" s="127">
        <v>7</v>
      </c>
      <c r="DE2993" s="127">
        <v>7</v>
      </c>
      <c r="DG2993" s="405" t="s">
        <v>357</v>
      </c>
      <c r="DH2993" s="406" t="s">
        <v>5452</v>
      </c>
      <c r="DI2993" s="406" t="str">
        <f t="shared" si="78"/>
        <v>PI, Belém do Piauí</v>
      </c>
      <c r="DJ2993" s="406">
        <v>-7.3760000000000003</v>
      </c>
      <c r="DK2993" s="80">
        <v>-40.972000000000001</v>
      </c>
      <c r="DL2993" s="80">
        <v>340</v>
      </c>
      <c r="DM2993" s="64">
        <v>7</v>
      </c>
      <c r="DN2993" s="406" t="s">
        <v>7637</v>
      </c>
      <c r="DO2993" s="406">
        <v>-7.07</v>
      </c>
      <c r="DP2993" s="80">
        <v>233</v>
      </c>
    </row>
    <row r="2994" spans="29:120" x14ac:dyDescent="0.25">
      <c r="AC2994" s="122" t="s">
        <v>311</v>
      </c>
      <c r="AD2994" s="122" t="s">
        <v>3321</v>
      </c>
      <c r="AE2994" s="127">
        <v>1</v>
      </c>
      <c r="DA2994" s="122" t="s">
        <v>357</v>
      </c>
      <c r="DB2994" s="122" t="s">
        <v>4815</v>
      </c>
      <c r="DC2994" s="122" t="s">
        <v>4815</v>
      </c>
      <c r="DD2994" s="127">
        <v>7</v>
      </c>
      <c r="DE2994" s="127">
        <v>7</v>
      </c>
      <c r="DG2994" s="405" t="s">
        <v>357</v>
      </c>
      <c r="DH2994" s="406" t="s">
        <v>4815</v>
      </c>
      <c r="DI2994" s="406" t="str">
        <f t="shared" si="78"/>
        <v>PI, Beneditinos</v>
      </c>
      <c r="DJ2994" s="406">
        <v>-5.4550000000000001</v>
      </c>
      <c r="DK2994" s="80">
        <v>-42.36</v>
      </c>
      <c r="DL2994" s="80">
        <v>150</v>
      </c>
      <c r="DM2994" s="64">
        <v>7</v>
      </c>
      <c r="DN2994" s="406" t="s">
        <v>6718</v>
      </c>
      <c r="DO2994" s="406">
        <v>-5.09</v>
      </c>
      <c r="DP2994" s="80">
        <v>74</v>
      </c>
    </row>
    <row r="2995" spans="29:120" x14ac:dyDescent="0.25">
      <c r="AC2995" s="122" t="s">
        <v>311</v>
      </c>
      <c r="AD2995" s="122" t="s">
        <v>3322</v>
      </c>
      <c r="AE2995" s="127">
        <v>3</v>
      </c>
      <c r="DA2995" s="122" t="s">
        <v>357</v>
      </c>
      <c r="DB2995" s="122" t="s">
        <v>5538</v>
      </c>
      <c r="DC2995" s="122" t="s">
        <v>5538</v>
      </c>
      <c r="DD2995" s="127">
        <v>7</v>
      </c>
      <c r="DE2995" s="127">
        <v>7</v>
      </c>
      <c r="DG2995" s="405" t="s">
        <v>357</v>
      </c>
      <c r="DH2995" s="406" t="s">
        <v>5538</v>
      </c>
      <c r="DI2995" s="406" t="str">
        <f t="shared" si="78"/>
        <v>PI, Bertolínia</v>
      </c>
      <c r="DJ2995" s="406">
        <v>-7.641</v>
      </c>
      <c r="DK2995" s="80">
        <v>-43.951000000000001</v>
      </c>
      <c r="DL2995" s="80">
        <v>271</v>
      </c>
      <c r="DM2995" s="64">
        <v>7</v>
      </c>
      <c r="DN2995" s="406" t="s">
        <v>6658</v>
      </c>
      <c r="DO2995" s="406">
        <v>-7.47</v>
      </c>
      <c r="DP2995" s="80">
        <v>393</v>
      </c>
    </row>
    <row r="2996" spans="29:120" x14ac:dyDescent="0.25">
      <c r="AC2996" s="122" t="s">
        <v>333</v>
      </c>
      <c r="AD2996" s="122" t="s">
        <v>3323</v>
      </c>
      <c r="AE2996" s="127">
        <v>3</v>
      </c>
      <c r="DA2996" s="122" t="s">
        <v>357</v>
      </c>
      <c r="DB2996" s="122" t="s">
        <v>7657</v>
      </c>
      <c r="DC2996" s="122" t="s">
        <v>5404</v>
      </c>
      <c r="DD2996" s="127">
        <v>7</v>
      </c>
      <c r="DE2996" s="127">
        <v>7</v>
      </c>
      <c r="DG2996" s="405" t="s">
        <v>357</v>
      </c>
      <c r="DH2996" s="406" t="s">
        <v>5404</v>
      </c>
      <c r="DI2996" s="406" t="str">
        <f t="shared" si="78"/>
        <v>PI, Betânia do Piauí</v>
      </c>
      <c r="DJ2996" s="406">
        <v>-8.1479999999999997</v>
      </c>
      <c r="DK2996" s="80">
        <v>-40.795999999999999</v>
      </c>
      <c r="DL2996" s="80">
        <v>480</v>
      </c>
      <c r="DM2996" s="64">
        <v>7</v>
      </c>
      <c r="DN2996" s="406" t="s">
        <v>7588</v>
      </c>
      <c r="DO2996" s="406">
        <v>-8.14</v>
      </c>
      <c r="DP2996" s="80">
        <v>374</v>
      </c>
    </row>
    <row r="2997" spans="29:120" x14ac:dyDescent="0.25">
      <c r="AC2997" s="122" t="s">
        <v>336</v>
      </c>
      <c r="AD2997" s="122" t="s">
        <v>3324</v>
      </c>
      <c r="AE2997" s="127">
        <v>6</v>
      </c>
      <c r="DA2997" s="122" t="s">
        <v>357</v>
      </c>
      <c r="DB2997" s="122" t="s">
        <v>7658</v>
      </c>
      <c r="DC2997" s="122" t="s">
        <v>4769</v>
      </c>
      <c r="DD2997" s="127">
        <v>7</v>
      </c>
      <c r="DE2997" s="127">
        <v>7</v>
      </c>
      <c r="DG2997" s="405" t="s">
        <v>357</v>
      </c>
      <c r="DH2997" s="406" t="s">
        <v>4769</v>
      </c>
      <c r="DI2997" s="406" t="str">
        <f t="shared" si="78"/>
        <v>PI, Boa Hora</v>
      </c>
      <c r="DJ2997" s="406">
        <v>-4.4109999999999996</v>
      </c>
      <c r="DK2997" s="80">
        <v>-42.085999999999999</v>
      </c>
      <c r="DL2997" s="80">
        <v>121</v>
      </c>
      <c r="DM2997" s="64">
        <v>7</v>
      </c>
      <c r="DN2997" s="406" t="s">
        <v>6421</v>
      </c>
      <c r="DO2997" s="406">
        <v>-4.2699999999999996</v>
      </c>
      <c r="DP2997" s="80">
        <v>161</v>
      </c>
    </row>
    <row r="2998" spans="29:120" x14ac:dyDescent="0.25">
      <c r="AC2998" s="122" t="s">
        <v>311</v>
      </c>
      <c r="AD2998" s="122" t="s">
        <v>3325</v>
      </c>
      <c r="AE2998" s="127">
        <v>3</v>
      </c>
      <c r="DA2998" s="122" t="s">
        <v>357</v>
      </c>
      <c r="DB2998" s="122" t="s">
        <v>3708</v>
      </c>
      <c r="DC2998" s="122" t="s">
        <v>3708</v>
      </c>
      <c r="DD2998" s="127">
        <v>7</v>
      </c>
      <c r="DE2998" s="127">
        <v>7</v>
      </c>
      <c r="DG2998" s="405" t="s">
        <v>357</v>
      </c>
      <c r="DH2998" s="406" t="s">
        <v>3708</v>
      </c>
      <c r="DI2998" s="406" t="str">
        <f t="shared" si="78"/>
        <v>PI, Bocaina</v>
      </c>
      <c r="DJ2998" s="406">
        <v>-6.9429999999999996</v>
      </c>
      <c r="DK2998" s="80">
        <v>-41.323</v>
      </c>
      <c r="DL2998" s="80">
        <v>235</v>
      </c>
      <c r="DM2998" s="64">
        <v>7</v>
      </c>
      <c r="DN2998" s="406" t="s">
        <v>7637</v>
      </c>
      <c r="DO2998" s="406">
        <v>-7.07</v>
      </c>
      <c r="DP2998" s="80">
        <v>233</v>
      </c>
    </row>
    <row r="2999" spans="29:120" x14ac:dyDescent="0.25">
      <c r="AC2999" s="122" t="s">
        <v>336</v>
      </c>
      <c r="AD2999" s="122" t="s">
        <v>3326</v>
      </c>
      <c r="AE2999" s="127">
        <v>3</v>
      </c>
      <c r="DA2999" s="122" t="s">
        <v>357</v>
      </c>
      <c r="DB2999" s="122" t="s">
        <v>7511</v>
      </c>
      <c r="DC2999" s="122" t="s">
        <v>1517</v>
      </c>
      <c r="DD2999" s="127">
        <v>7</v>
      </c>
      <c r="DE2999" s="127">
        <v>7</v>
      </c>
      <c r="DG2999" s="405" t="s">
        <v>357</v>
      </c>
      <c r="DH2999" s="406" t="s">
        <v>1517</v>
      </c>
      <c r="DI2999" s="406" t="str">
        <f t="shared" si="78"/>
        <v>PI, Bom Jesus</v>
      </c>
      <c r="DJ2999" s="406">
        <v>-9.0739999999999998</v>
      </c>
      <c r="DK2999" s="80">
        <v>-44.359000000000002</v>
      </c>
      <c r="DL2999" s="80">
        <v>277</v>
      </c>
      <c r="DM2999" s="64">
        <v>7</v>
      </c>
      <c r="DN2999" s="406" t="s">
        <v>7659</v>
      </c>
      <c r="DO2999" s="406">
        <v>-9.07</v>
      </c>
      <c r="DP2999" s="80">
        <v>331</v>
      </c>
    </row>
    <row r="3000" spans="29:120" x14ac:dyDescent="0.25">
      <c r="AC3000" s="122" t="s">
        <v>311</v>
      </c>
      <c r="AD3000" s="122" t="s">
        <v>3327</v>
      </c>
      <c r="AE3000" s="127">
        <v>4</v>
      </c>
      <c r="DA3000" s="122" t="s">
        <v>357</v>
      </c>
      <c r="DB3000" s="122" t="s">
        <v>7660</v>
      </c>
      <c r="DC3000" s="122" t="s">
        <v>4683</v>
      </c>
      <c r="DD3000" s="127">
        <v>8</v>
      </c>
      <c r="DE3000" s="127">
        <v>8</v>
      </c>
      <c r="DG3000" s="405" t="s">
        <v>357</v>
      </c>
      <c r="DH3000" s="406" t="s">
        <v>4683</v>
      </c>
      <c r="DI3000" s="406" t="str">
        <f t="shared" si="78"/>
        <v>PI, Bom Princípio do Piauí</v>
      </c>
      <c r="DJ3000" s="406">
        <v>-3.1909999999999998</v>
      </c>
      <c r="DK3000" s="80">
        <v>-41.645000000000003</v>
      </c>
      <c r="DL3000" s="80">
        <v>70</v>
      </c>
      <c r="DM3000" s="64">
        <v>8</v>
      </c>
      <c r="DN3000" s="406" t="s">
        <v>6416</v>
      </c>
      <c r="DO3000" s="406">
        <v>-2.9</v>
      </c>
      <c r="DP3000" s="80">
        <v>80</v>
      </c>
    </row>
    <row r="3001" spans="29:120" x14ac:dyDescent="0.25">
      <c r="AC3001" s="122" t="s">
        <v>358</v>
      </c>
      <c r="AD3001" s="122" t="s">
        <v>3328</v>
      </c>
      <c r="AE3001" s="127">
        <v>3</v>
      </c>
      <c r="DA3001" s="122" t="s">
        <v>357</v>
      </c>
      <c r="DB3001" s="122" t="s">
        <v>7661</v>
      </c>
      <c r="DC3001" s="122" t="s">
        <v>5659</v>
      </c>
      <c r="DD3001" s="127">
        <v>7</v>
      </c>
      <c r="DE3001" s="127">
        <v>7</v>
      </c>
      <c r="DG3001" s="405" t="s">
        <v>357</v>
      </c>
      <c r="DH3001" s="406" t="s">
        <v>5659</v>
      </c>
      <c r="DI3001" s="406" t="str">
        <f t="shared" si="78"/>
        <v>PI, Bonfim do Piauí</v>
      </c>
      <c r="DJ3001" s="406">
        <v>-9.1660000000000004</v>
      </c>
      <c r="DK3001" s="80">
        <v>-42.874000000000002</v>
      </c>
      <c r="DL3001" s="80">
        <v>410</v>
      </c>
      <c r="DM3001" s="64">
        <v>7</v>
      </c>
      <c r="DN3001" s="406" t="s">
        <v>7662</v>
      </c>
      <c r="DO3001" s="406">
        <v>-9.0299999999999994</v>
      </c>
      <c r="DP3001" s="80">
        <v>402</v>
      </c>
    </row>
    <row r="3002" spans="29:120" x14ac:dyDescent="0.25">
      <c r="AC3002" s="122" t="s">
        <v>333</v>
      </c>
      <c r="AD3002" s="122" t="s">
        <v>3329</v>
      </c>
      <c r="AE3002" s="127">
        <v>3</v>
      </c>
      <c r="DA3002" s="122" t="s">
        <v>357</v>
      </c>
      <c r="DB3002" s="122" t="s">
        <v>7663</v>
      </c>
      <c r="DC3002" s="122" t="s">
        <v>4775</v>
      </c>
      <c r="DD3002" s="127">
        <v>7</v>
      </c>
      <c r="DE3002" s="127">
        <v>7</v>
      </c>
      <c r="DG3002" s="405" t="s">
        <v>357</v>
      </c>
      <c r="DH3002" s="406" t="s">
        <v>4775</v>
      </c>
      <c r="DI3002" s="406" t="str">
        <f t="shared" si="78"/>
        <v>PI, Boqueirão do Piauí</v>
      </c>
      <c r="DJ3002" s="406">
        <v>-4.4870000000000001</v>
      </c>
      <c r="DK3002" s="80">
        <v>-42.073999999999998</v>
      </c>
      <c r="DL3002" s="80">
        <v>123</v>
      </c>
      <c r="DM3002" s="64">
        <v>7</v>
      </c>
      <c r="DN3002" s="406" t="s">
        <v>6421</v>
      </c>
      <c r="DO3002" s="406">
        <v>-4.2699999999999996</v>
      </c>
      <c r="DP3002" s="80">
        <v>161</v>
      </c>
    </row>
    <row r="3003" spans="29:120" x14ac:dyDescent="0.25">
      <c r="AC3003" s="122" t="s">
        <v>311</v>
      </c>
      <c r="AD3003" s="122" t="s">
        <v>3330</v>
      </c>
      <c r="AE3003" s="127">
        <v>3</v>
      </c>
      <c r="DA3003" s="122" t="s">
        <v>357</v>
      </c>
      <c r="DB3003" s="122" t="s">
        <v>4840</v>
      </c>
      <c r="DC3003" s="122" t="s">
        <v>4840</v>
      </c>
      <c r="DD3003" s="127">
        <v>7</v>
      </c>
      <c r="DE3003" s="127">
        <v>7</v>
      </c>
      <c r="DG3003" s="405" t="s">
        <v>357</v>
      </c>
      <c r="DH3003" s="406" t="s">
        <v>4840</v>
      </c>
      <c r="DI3003" s="406" t="str">
        <f t="shared" si="78"/>
        <v>PI, Brasileira</v>
      </c>
      <c r="DJ3003" s="406">
        <v>-4.1310000000000002</v>
      </c>
      <c r="DK3003" s="80">
        <v>-41.781999999999996</v>
      </c>
      <c r="DL3003" s="80">
        <v>180</v>
      </c>
      <c r="DM3003" s="64">
        <v>7</v>
      </c>
      <c r="DN3003" s="406" t="s">
        <v>6421</v>
      </c>
      <c r="DO3003" s="406">
        <v>-4.2699999999999996</v>
      </c>
      <c r="DP3003" s="80">
        <v>161</v>
      </c>
    </row>
    <row r="3004" spans="29:120" x14ac:dyDescent="0.25">
      <c r="AC3004" s="122" t="s">
        <v>236</v>
      </c>
      <c r="AD3004" s="122" t="s">
        <v>3331</v>
      </c>
      <c r="AE3004" s="127">
        <v>2</v>
      </c>
      <c r="DA3004" s="122" t="s">
        <v>357</v>
      </c>
      <c r="DB3004" s="122" t="s">
        <v>7664</v>
      </c>
      <c r="DC3004" s="122" t="s">
        <v>4604</v>
      </c>
      <c r="DD3004" s="127">
        <v>7</v>
      </c>
      <c r="DE3004" s="127">
        <v>7</v>
      </c>
      <c r="DG3004" s="405" t="s">
        <v>357</v>
      </c>
      <c r="DH3004" s="406" t="s">
        <v>4604</v>
      </c>
      <c r="DI3004" s="406" t="str">
        <f t="shared" si="78"/>
        <v>PI, Brejo do Piauí</v>
      </c>
      <c r="DJ3004" s="406">
        <v>-8.2140000000000004</v>
      </c>
      <c r="DK3004" s="80">
        <v>-42.826000000000001</v>
      </c>
      <c r="DL3004" s="80">
        <v>297</v>
      </c>
      <c r="DM3004" s="64">
        <v>7</v>
      </c>
      <c r="DN3004" s="406" t="s">
        <v>7655</v>
      </c>
      <c r="DO3004" s="406">
        <v>-8.36</v>
      </c>
      <c r="DP3004" s="80">
        <v>235</v>
      </c>
    </row>
    <row r="3005" spans="29:120" x14ac:dyDescent="0.25">
      <c r="AC3005" s="122" t="s">
        <v>311</v>
      </c>
      <c r="AD3005" s="122" t="s">
        <v>3332</v>
      </c>
      <c r="AE3005" s="127">
        <v>3</v>
      </c>
      <c r="DA3005" s="122" t="s">
        <v>357</v>
      </c>
      <c r="DB3005" s="122" t="s">
        <v>7665</v>
      </c>
      <c r="DC3005" s="122" t="s">
        <v>4663</v>
      </c>
      <c r="DD3005" s="127">
        <v>8</v>
      </c>
      <c r="DE3005" s="127">
        <v>8</v>
      </c>
      <c r="DG3005" s="405" t="s">
        <v>357</v>
      </c>
      <c r="DH3005" s="406" t="s">
        <v>4663</v>
      </c>
      <c r="DI3005" s="406" t="str">
        <f t="shared" si="78"/>
        <v>PI, Buriti dos Lopes</v>
      </c>
      <c r="DJ3005" s="406">
        <v>-3.1749999999999998</v>
      </c>
      <c r="DK3005" s="80">
        <v>-41.866999999999997</v>
      </c>
      <c r="DL3005" s="80">
        <v>50</v>
      </c>
      <c r="DM3005" s="64">
        <v>8</v>
      </c>
      <c r="DN3005" s="406" t="s">
        <v>6416</v>
      </c>
      <c r="DO3005" s="406">
        <v>-2.9</v>
      </c>
      <c r="DP3005" s="80">
        <v>80</v>
      </c>
    </row>
    <row r="3006" spans="29:120" x14ac:dyDescent="0.25">
      <c r="AC3006" s="122" t="s">
        <v>333</v>
      </c>
      <c r="AD3006" s="122" t="s">
        <v>3333</v>
      </c>
      <c r="AE3006" s="127">
        <v>5</v>
      </c>
      <c r="DA3006" s="122" t="s">
        <v>357</v>
      </c>
      <c r="DB3006" s="122" t="s">
        <v>7666</v>
      </c>
      <c r="DC3006" s="122" t="s">
        <v>5318</v>
      </c>
      <c r="DD3006" s="127">
        <v>7</v>
      </c>
      <c r="DE3006" s="127">
        <v>7</v>
      </c>
      <c r="DG3006" s="405" t="s">
        <v>357</v>
      </c>
      <c r="DH3006" s="406" t="s">
        <v>5318</v>
      </c>
      <c r="DI3006" s="406" t="str">
        <f t="shared" si="78"/>
        <v>PI, Buriti dos Montes</v>
      </c>
      <c r="DJ3006" s="406">
        <v>-5.3120000000000003</v>
      </c>
      <c r="DK3006" s="80">
        <v>-41.097999999999999</v>
      </c>
      <c r="DL3006" s="80">
        <v>500</v>
      </c>
      <c r="DM3006" s="64">
        <v>7</v>
      </c>
      <c r="DN3006" s="406" t="s">
        <v>6412</v>
      </c>
      <c r="DO3006" s="406">
        <v>-5.19</v>
      </c>
      <c r="DP3006" s="80">
        <v>291</v>
      </c>
    </row>
    <row r="3007" spans="29:120" x14ac:dyDescent="0.25">
      <c r="AC3007" s="122" t="s">
        <v>311</v>
      </c>
      <c r="AD3007" s="122" t="s">
        <v>3334</v>
      </c>
      <c r="AE3007" s="127">
        <v>3</v>
      </c>
      <c r="DA3007" s="122" t="s">
        <v>357</v>
      </c>
      <c r="DB3007" s="122" t="s">
        <v>7667</v>
      </c>
      <c r="DC3007" s="122" t="s">
        <v>4640</v>
      </c>
      <c r="DD3007" s="127">
        <v>7</v>
      </c>
      <c r="DE3007" s="127">
        <v>7</v>
      </c>
      <c r="DG3007" s="405" t="s">
        <v>357</v>
      </c>
      <c r="DH3007" s="406" t="s">
        <v>4640</v>
      </c>
      <c r="DI3007" s="406" t="str">
        <f t="shared" si="78"/>
        <v>PI, Cabeceiras do Piauí</v>
      </c>
      <c r="DJ3007" s="406">
        <v>-4.476</v>
      </c>
      <c r="DK3007" s="80">
        <v>-42.308999999999997</v>
      </c>
      <c r="DL3007" s="80">
        <v>131</v>
      </c>
      <c r="DM3007" s="64">
        <v>7</v>
      </c>
      <c r="DN3007" s="406" t="s">
        <v>6421</v>
      </c>
      <c r="DO3007" s="406">
        <v>-4.2699999999999996</v>
      </c>
      <c r="DP3007" s="80">
        <v>161</v>
      </c>
    </row>
    <row r="3008" spans="29:120" x14ac:dyDescent="0.25">
      <c r="AC3008" s="122" t="s">
        <v>333</v>
      </c>
      <c r="AD3008" s="122" t="s">
        <v>3335</v>
      </c>
      <c r="AE3008" s="127">
        <v>3</v>
      </c>
      <c r="DA3008" s="122" t="s">
        <v>357</v>
      </c>
      <c r="DB3008" s="122" t="s">
        <v>7668</v>
      </c>
      <c r="DC3008" s="122" t="s">
        <v>5658</v>
      </c>
      <c r="DD3008" s="127">
        <v>7</v>
      </c>
      <c r="DE3008" s="127">
        <v>7</v>
      </c>
      <c r="DG3008" s="405" t="s">
        <v>357</v>
      </c>
      <c r="DH3008" s="406" t="s">
        <v>5658</v>
      </c>
      <c r="DI3008" s="406" t="str">
        <f t="shared" si="78"/>
        <v>PI, Cajazeiras do Piauí</v>
      </c>
      <c r="DJ3008" s="406">
        <v>-6.766</v>
      </c>
      <c r="DK3008" s="80">
        <v>-42.392000000000003</v>
      </c>
      <c r="DL3008" s="80">
        <v>157</v>
      </c>
      <c r="DM3008" s="64">
        <v>7</v>
      </c>
      <c r="DN3008" s="406" t="s">
        <v>7669</v>
      </c>
      <c r="DO3008" s="406">
        <v>-6.97</v>
      </c>
      <c r="DP3008" s="80">
        <v>156</v>
      </c>
    </row>
    <row r="3009" spans="29:120" x14ac:dyDescent="0.25">
      <c r="AC3009" s="122" t="s">
        <v>336</v>
      </c>
      <c r="AD3009" s="122" t="s">
        <v>3336</v>
      </c>
      <c r="AE3009" s="127">
        <v>5</v>
      </c>
      <c r="DA3009" s="122" t="s">
        <v>357</v>
      </c>
      <c r="DB3009" s="122" t="s">
        <v>7670</v>
      </c>
      <c r="DC3009" s="122" t="s">
        <v>4691</v>
      </c>
      <c r="DD3009" s="127">
        <v>8</v>
      </c>
      <c r="DE3009" s="127">
        <v>8</v>
      </c>
      <c r="DG3009" s="405" t="s">
        <v>357</v>
      </c>
      <c r="DH3009" s="406" t="s">
        <v>4691</v>
      </c>
      <c r="DI3009" s="406" t="str">
        <f t="shared" si="78"/>
        <v>PI, Cajueiro da Praia</v>
      </c>
      <c r="DJ3009" s="406">
        <v>-2.9279999999999999</v>
      </c>
      <c r="DK3009" s="80">
        <v>-41.335999999999999</v>
      </c>
      <c r="DL3009" s="80">
        <v>10</v>
      </c>
      <c r="DM3009" s="64">
        <v>8</v>
      </c>
      <c r="DN3009" s="406" t="s">
        <v>6416</v>
      </c>
      <c r="DO3009" s="406">
        <v>-2.9</v>
      </c>
      <c r="DP3009" s="80">
        <v>80</v>
      </c>
    </row>
    <row r="3010" spans="29:120" x14ac:dyDescent="0.25">
      <c r="AC3010" s="122" t="s">
        <v>333</v>
      </c>
      <c r="AD3010" s="122" t="s">
        <v>3337</v>
      </c>
      <c r="AE3010" s="127">
        <v>3</v>
      </c>
      <c r="DA3010" s="122" t="s">
        <v>357</v>
      </c>
      <c r="DB3010" s="122" t="s">
        <v>7671</v>
      </c>
      <c r="DC3010" s="122" t="s">
        <v>5460</v>
      </c>
      <c r="DD3010" s="127">
        <v>7</v>
      </c>
      <c r="DE3010" s="127">
        <v>7</v>
      </c>
      <c r="DG3010" s="405" t="s">
        <v>357</v>
      </c>
      <c r="DH3010" s="406" t="s">
        <v>5460</v>
      </c>
      <c r="DI3010" s="406" t="str">
        <f t="shared" si="78"/>
        <v>PI, Caldeirão Grande do Piauí</v>
      </c>
      <c r="DJ3010" s="406">
        <v>-7.3319999999999999</v>
      </c>
      <c r="DK3010" s="80">
        <v>-40.637</v>
      </c>
      <c r="DL3010" s="80">
        <v>661</v>
      </c>
      <c r="DM3010" s="64">
        <v>7</v>
      </c>
      <c r="DN3010" s="406" t="s">
        <v>6405</v>
      </c>
      <c r="DO3010" s="406">
        <v>-7.08</v>
      </c>
      <c r="DP3010" s="80">
        <v>572</v>
      </c>
    </row>
    <row r="3011" spans="29:120" x14ac:dyDescent="0.25">
      <c r="AC3011" s="122" t="s">
        <v>336</v>
      </c>
      <c r="AD3011" s="122" t="s">
        <v>3338</v>
      </c>
      <c r="AE3011" s="127">
        <v>3</v>
      </c>
      <c r="DA3011" s="122" t="s">
        <v>357</v>
      </c>
      <c r="DB3011" s="122" t="s">
        <v>7672</v>
      </c>
      <c r="DC3011" s="122" t="s">
        <v>4755</v>
      </c>
      <c r="DD3011" s="127">
        <v>7</v>
      </c>
      <c r="DE3011" s="127">
        <v>7</v>
      </c>
      <c r="DG3011" s="405" t="s">
        <v>357</v>
      </c>
      <c r="DH3011" s="406" t="s">
        <v>4755</v>
      </c>
      <c r="DI3011" s="406" t="str">
        <f t="shared" ref="DI3011:DI3074" si="79">CONCATENATE(DG3011,", ",DH3011)</f>
        <v>PI, Campinas do Piauí</v>
      </c>
      <c r="DJ3011" s="406">
        <v>-7.66</v>
      </c>
      <c r="DK3011" s="80">
        <v>-41.881999999999998</v>
      </c>
      <c r="DL3011" s="80">
        <v>230</v>
      </c>
      <c r="DM3011" s="64">
        <v>7</v>
      </c>
      <c r="DN3011" s="406" t="s">
        <v>7637</v>
      </c>
      <c r="DO3011" s="406">
        <v>-7.07</v>
      </c>
      <c r="DP3011" s="80">
        <v>233</v>
      </c>
    </row>
    <row r="3012" spans="29:120" x14ac:dyDescent="0.25">
      <c r="AC3012" s="122" t="s">
        <v>311</v>
      </c>
      <c r="AD3012" s="122" t="s">
        <v>3339</v>
      </c>
      <c r="AE3012" s="127">
        <v>4</v>
      </c>
      <c r="DA3012" s="122" t="s">
        <v>357</v>
      </c>
      <c r="DB3012" s="122" t="s">
        <v>7673</v>
      </c>
      <c r="DC3012" s="122" t="s">
        <v>4478</v>
      </c>
      <c r="DD3012" s="127">
        <v>7</v>
      </c>
      <c r="DE3012" s="127">
        <v>7</v>
      </c>
      <c r="DG3012" s="405" t="s">
        <v>357</v>
      </c>
      <c r="DH3012" s="406" t="s">
        <v>4478</v>
      </c>
      <c r="DI3012" s="406" t="str">
        <f t="shared" si="79"/>
        <v>PI, Campo Alegre do Fidalgo</v>
      </c>
      <c r="DJ3012" s="406">
        <v>-8.3759999999999994</v>
      </c>
      <c r="DK3012" s="80">
        <v>-41.835999999999999</v>
      </c>
      <c r="DL3012" s="80">
        <v>330</v>
      </c>
      <c r="DM3012" s="64">
        <v>7</v>
      </c>
      <c r="DN3012" s="406" t="s">
        <v>7655</v>
      </c>
      <c r="DO3012" s="406">
        <v>-8.36</v>
      </c>
      <c r="DP3012" s="80">
        <v>235</v>
      </c>
    </row>
    <row r="3013" spans="29:120" x14ac:dyDescent="0.25">
      <c r="AC3013" s="122" t="s">
        <v>311</v>
      </c>
      <c r="AD3013" s="122" t="s">
        <v>3340</v>
      </c>
      <c r="AE3013" s="127">
        <v>3</v>
      </c>
      <c r="DA3013" s="122" t="s">
        <v>357</v>
      </c>
      <c r="DB3013" s="122" t="s">
        <v>7674</v>
      </c>
      <c r="DC3013" s="122" t="s">
        <v>5477</v>
      </c>
      <c r="DD3013" s="127">
        <v>7</v>
      </c>
      <c r="DE3013" s="127">
        <v>7</v>
      </c>
      <c r="DG3013" s="405" t="s">
        <v>357</v>
      </c>
      <c r="DH3013" s="406" t="s">
        <v>5477</v>
      </c>
      <c r="DI3013" s="406" t="str">
        <f t="shared" si="79"/>
        <v>PI, Campo Grande do Piauí</v>
      </c>
      <c r="DJ3013" s="406">
        <v>-7.1319999999999997</v>
      </c>
      <c r="DK3013" s="80">
        <v>-41.036000000000001</v>
      </c>
      <c r="DL3013" s="80">
        <v>440</v>
      </c>
      <c r="DM3013" s="64">
        <v>7</v>
      </c>
      <c r="DN3013" s="406" t="s">
        <v>7637</v>
      </c>
      <c r="DO3013" s="406">
        <v>-7.07</v>
      </c>
      <c r="DP3013" s="80">
        <v>233</v>
      </c>
    </row>
    <row r="3014" spans="29:120" x14ac:dyDescent="0.25">
      <c r="AC3014" s="122" t="s">
        <v>311</v>
      </c>
      <c r="AD3014" s="122" t="s">
        <v>3341</v>
      </c>
      <c r="AE3014" s="127">
        <v>2</v>
      </c>
      <c r="DA3014" s="122" t="s">
        <v>357</v>
      </c>
      <c r="DB3014" s="122" t="s">
        <v>7675</v>
      </c>
      <c r="DC3014" s="122" t="s">
        <v>5610</v>
      </c>
      <c r="DD3014" s="127">
        <v>8</v>
      </c>
      <c r="DE3014" s="127">
        <v>8</v>
      </c>
      <c r="DG3014" s="405" t="s">
        <v>357</v>
      </c>
      <c r="DH3014" s="406" t="s">
        <v>5610</v>
      </c>
      <c r="DI3014" s="406" t="str">
        <f t="shared" si="79"/>
        <v>PI, Campo Largo do Piauí</v>
      </c>
      <c r="DJ3014" s="406">
        <v>-3.8119999999999998</v>
      </c>
      <c r="DK3014" s="80">
        <v>-42.628999999999998</v>
      </c>
      <c r="DL3014" s="80">
        <v>60</v>
      </c>
      <c r="DM3014" s="64">
        <v>8</v>
      </c>
      <c r="DN3014" s="406" t="s">
        <v>6665</v>
      </c>
      <c r="DO3014" s="406">
        <v>-3.9</v>
      </c>
      <c r="DP3014" s="80">
        <v>65</v>
      </c>
    </row>
    <row r="3015" spans="29:120" x14ac:dyDescent="0.25">
      <c r="AC3015" s="122" t="s">
        <v>336</v>
      </c>
      <c r="AD3015" s="122" t="s">
        <v>3342</v>
      </c>
      <c r="AE3015" s="127">
        <v>5</v>
      </c>
      <c r="DA3015" s="122" t="s">
        <v>357</v>
      </c>
      <c r="DB3015" s="122" t="s">
        <v>7676</v>
      </c>
      <c r="DC3015" s="122" t="s">
        <v>5527</v>
      </c>
      <c r="DD3015" s="127">
        <v>7</v>
      </c>
      <c r="DE3015" s="127">
        <v>7</v>
      </c>
      <c r="DG3015" s="405" t="s">
        <v>357</v>
      </c>
      <c r="DH3015" s="406" t="s">
        <v>5527</v>
      </c>
      <c r="DI3015" s="406" t="str">
        <f t="shared" si="79"/>
        <v>PI, Campo Maior</v>
      </c>
      <c r="DJ3015" s="406">
        <v>-4.8280000000000003</v>
      </c>
      <c r="DK3015" s="80">
        <v>-42.168999999999997</v>
      </c>
      <c r="DL3015" s="80">
        <v>125</v>
      </c>
      <c r="DM3015" s="64">
        <v>7</v>
      </c>
      <c r="DN3015" s="406" t="s">
        <v>6421</v>
      </c>
      <c r="DO3015" s="406">
        <v>-4.2699999999999996</v>
      </c>
      <c r="DP3015" s="80">
        <v>161</v>
      </c>
    </row>
    <row r="3016" spans="29:120" x14ac:dyDescent="0.25">
      <c r="AC3016" s="122" t="s">
        <v>333</v>
      </c>
      <c r="AD3016" s="122" t="s">
        <v>3343</v>
      </c>
      <c r="AE3016" s="127">
        <v>3</v>
      </c>
      <c r="DA3016" s="122" t="s">
        <v>357</v>
      </c>
      <c r="DB3016" s="122" t="s">
        <v>5540</v>
      </c>
      <c r="DC3016" s="122" t="s">
        <v>5540</v>
      </c>
      <c r="DD3016" s="127">
        <v>7</v>
      </c>
      <c r="DE3016" s="127">
        <v>7</v>
      </c>
      <c r="DG3016" s="405" t="s">
        <v>357</v>
      </c>
      <c r="DH3016" s="406" t="s">
        <v>5540</v>
      </c>
      <c r="DI3016" s="406" t="str">
        <f t="shared" si="79"/>
        <v>PI, Canavieira</v>
      </c>
      <c r="DJ3016" s="406">
        <v>-7.6879999999999997</v>
      </c>
      <c r="DK3016" s="80">
        <v>-43.720999999999997</v>
      </c>
      <c r="DL3016" s="80">
        <v>180</v>
      </c>
      <c r="DM3016" s="64">
        <v>7</v>
      </c>
      <c r="DN3016" s="406" t="s">
        <v>7641</v>
      </c>
      <c r="DO3016" s="406">
        <v>-8.44</v>
      </c>
      <c r="DP3016" s="80">
        <v>270</v>
      </c>
    </row>
    <row r="3017" spans="29:120" x14ac:dyDescent="0.25">
      <c r="AC3017" s="122" t="s">
        <v>311</v>
      </c>
      <c r="AD3017" s="122" t="s">
        <v>3344</v>
      </c>
      <c r="AE3017" s="127">
        <v>3</v>
      </c>
      <c r="DA3017" s="122" t="s">
        <v>357</v>
      </c>
      <c r="DB3017" s="122" t="s">
        <v>7677</v>
      </c>
      <c r="DC3017" s="122" t="s">
        <v>4655</v>
      </c>
      <c r="DD3017" s="127">
        <v>7</v>
      </c>
      <c r="DE3017" s="127">
        <v>7</v>
      </c>
      <c r="DG3017" s="405" t="s">
        <v>357</v>
      </c>
      <c r="DH3017" s="406" t="s">
        <v>4655</v>
      </c>
      <c r="DI3017" s="406" t="str">
        <f t="shared" si="79"/>
        <v>PI, Canto do Buriti</v>
      </c>
      <c r="DJ3017" s="406">
        <v>-8.11</v>
      </c>
      <c r="DK3017" s="80">
        <v>-42.944000000000003</v>
      </c>
      <c r="DL3017" s="80">
        <v>269</v>
      </c>
      <c r="DM3017" s="64">
        <v>7</v>
      </c>
      <c r="DN3017" s="406" t="s">
        <v>7655</v>
      </c>
      <c r="DO3017" s="406">
        <v>-8.36</v>
      </c>
      <c r="DP3017" s="80">
        <v>235</v>
      </c>
    </row>
    <row r="3018" spans="29:120" x14ac:dyDescent="0.25">
      <c r="AC3018" s="122" t="s">
        <v>333</v>
      </c>
      <c r="AD3018" s="122" t="s">
        <v>3345</v>
      </c>
      <c r="AE3018" s="127">
        <v>3</v>
      </c>
      <c r="DA3018" s="122" t="s">
        <v>357</v>
      </c>
      <c r="DB3018" s="122" t="s">
        <v>7678</v>
      </c>
      <c r="DC3018" s="122" t="s">
        <v>4850</v>
      </c>
      <c r="DD3018" s="127">
        <v>7</v>
      </c>
      <c r="DE3018" s="127">
        <v>7</v>
      </c>
      <c r="DG3018" s="405" t="s">
        <v>357</v>
      </c>
      <c r="DH3018" s="406" t="s">
        <v>4850</v>
      </c>
      <c r="DI3018" s="406" t="str">
        <f t="shared" si="79"/>
        <v>PI, Capitão de Campos</v>
      </c>
      <c r="DJ3018" s="406">
        <v>-4.4569999999999999</v>
      </c>
      <c r="DK3018" s="80">
        <v>-41.944000000000003</v>
      </c>
      <c r="DL3018" s="80">
        <v>130</v>
      </c>
      <c r="DM3018" s="64">
        <v>7</v>
      </c>
      <c r="DN3018" s="406" t="s">
        <v>6421</v>
      </c>
      <c r="DO3018" s="406">
        <v>-4.2699999999999996</v>
      </c>
      <c r="DP3018" s="80">
        <v>161</v>
      </c>
    </row>
    <row r="3019" spans="29:120" x14ac:dyDescent="0.25">
      <c r="AC3019" s="122" t="s">
        <v>311</v>
      </c>
      <c r="AD3019" s="122" t="s">
        <v>3346</v>
      </c>
      <c r="AE3019" s="127">
        <v>1</v>
      </c>
      <c r="DA3019" s="122" t="s">
        <v>357</v>
      </c>
      <c r="DB3019" s="122" t="s">
        <v>7679</v>
      </c>
      <c r="DC3019" s="122" t="s">
        <v>4474</v>
      </c>
      <c r="DD3019" s="127">
        <v>7</v>
      </c>
      <c r="DE3019" s="127">
        <v>7</v>
      </c>
      <c r="DG3019" s="405" t="s">
        <v>357</v>
      </c>
      <c r="DH3019" s="406" t="s">
        <v>4474</v>
      </c>
      <c r="DI3019" s="406" t="str">
        <f t="shared" si="79"/>
        <v>PI, Capitão Gervásio Oliveira</v>
      </c>
      <c r="DJ3019" s="406">
        <v>-8.49</v>
      </c>
      <c r="DK3019" s="80">
        <v>-41.82</v>
      </c>
      <c r="DL3019" s="80">
        <v>400</v>
      </c>
      <c r="DM3019" s="64">
        <v>7</v>
      </c>
      <c r="DN3019" s="406" t="s">
        <v>7655</v>
      </c>
      <c r="DO3019" s="406">
        <v>-8.36</v>
      </c>
      <c r="DP3019" s="80">
        <v>235</v>
      </c>
    </row>
    <row r="3020" spans="29:120" x14ac:dyDescent="0.25">
      <c r="AC3020" s="122" t="s">
        <v>322</v>
      </c>
      <c r="AD3020" s="122" t="s">
        <v>3347</v>
      </c>
      <c r="AE3020" s="127">
        <v>6</v>
      </c>
      <c r="DA3020" s="122" t="s">
        <v>357</v>
      </c>
      <c r="DB3020" s="122" t="s">
        <v>3294</v>
      </c>
      <c r="DC3020" s="122" t="s">
        <v>3294</v>
      </c>
      <c r="DD3020" s="127">
        <v>7</v>
      </c>
      <c r="DE3020" s="127">
        <v>7</v>
      </c>
      <c r="DG3020" s="405" t="s">
        <v>357</v>
      </c>
      <c r="DH3020" s="406" t="s">
        <v>3294</v>
      </c>
      <c r="DI3020" s="406" t="str">
        <f t="shared" si="79"/>
        <v>PI, Caracol</v>
      </c>
      <c r="DJ3020" s="406">
        <v>-9.2789999999999999</v>
      </c>
      <c r="DK3020" s="80">
        <v>-43.33</v>
      </c>
      <c r="DL3020" s="80">
        <v>566</v>
      </c>
      <c r="DM3020" s="64">
        <v>7</v>
      </c>
      <c r="DN3020" s="406" t="s">
        <v>6248</v>
      </c>
      <c r="DO3020" s="406">
        <v>-9.2899999999999991</v>
      </c>
      <c r="DP3020" s="80">
        <v>100</v>
      </c>
    </row>
    <row r="3021" spans="29:120" x14ac:dyDescent="0.25">
      <c r="AC3021" s="122" t="s">
        <v>333</v>
      </c>
      <c r="AD3021" s="122" t="s">
        <v>3348</v>
      </c>
      <c r="AE3021" s="127">
        <v>3</v>
      </c>
      <c r="DA3021" s="122" t="s">
        <v>357</v>
      </c>
      <c r="DB3021" s="122" t="s">
        <v>7680</v>
      </c>
      <c r="DC3021" s="122" t="s">
        <v>4741</v>
      </c>
      <c r="DD3021" s="127">
        <v>8</v>
      </c>
      <c r="DE3021" s="127">
        <v>8</v>
      </c>
      <c r="DG3021" s="405" t="s">
        <v>357</v>
      </c>
      <c r="DH3021" s="406" t="s">
        <v>4741</v>
      </c>
      <c r="DI3021" s="406" t="str">
        <f t="shared" si="79"/>
        <v>PI, Caraúbas do Piauí</v>
      </c>
      <c r="DJ3021" s="406">
        <v>-3.476</v>
      </c>
      <c r="DK3021" s="80">
        <v>-41.843000000000004</v>
      </c>
      <c r="DL3021" s="80">
        <v>50</v>
      </c>
      <c r="DM3021" s="64">
        <v>8</v>
      </c>
      <c r="DN3021" s="406" t="s">
        <v>6665</v>
      </c>
      <c r="DO3021" s="406">
        <v>-3.9</v>
      </c>
      <c r="DP3021" s="80">
        <v>65</v>
      </c>
    </row>
    <row r="3022" spans="29:120" x14ac:dyDescent="0.25">
      <c r="AC3022" s="122" t="s">
        <v>358</v>
      </c>
      <c r="AD3022" s="122" t="s">
        <v>3349</v>
      </c>
      <c r="AE3022" s="127">
        <v>3</v>
      </c>
      <c r="DA3022" s="122" t="s">
        <v>357</v>
      </c>
      <c r="DB3022" s="122" t="s">
        <v>7681</v>
      </c>
      <c r="DC3022" s="122" t="s">
        <v>5423</v>
      </c>
      <c r="DD3022" s="127">
        <v>7</v>
      </c>
      <c r="DE3022" s="127">
        <v>7</v>
      </c>
      <c r="DG3022" s="405" t="s">
        <v>357</v>
      </c>
      <c r="DH3022" s="406" t="s">
        <v>5423</v>
      </c>
      <c r="DI3022" s="406" t="str">
        <f t="shared" si="79"/>
        <v>PI, Caridade do Piauí</v>
      </c>
      <c r="DJ3022" s="406">
        <v>-7.7329999999999997</v>
      </c>
      <c r="DK3022" s="80">
        <v>-40.99</v>
      </c>
      <c r="DL3022" s="80">
        <v>347</v>
      </c>
      <c r="DM3022" s="64">
        <v>7</v>
      </c>
      <c r="DN3022" s="406" t="s">
        <v>7588</v>
      </c>
      <c r="DO3022" s="406">
        <v>-8.14</v>
      </c>
      <c r="DP3022" s="80">
        <v>374</v>
      </c>
    </row>
    <row r="3023" spans="29:120" x14ac:dyDescent="0.25">
      <c r="AC3023" s="122" t="s">
        <v>333</v>
      </c>
      <c r="AD3023" s="122" t="s">
        <v>3350</v>
      </c>
      <c r="AE3023" s="127">
        <v>3</v>
      </c>
      <c r="DA3023" s="122" t="s">
        <v>357</v>
      </c>
      <c r="DB3023" s="122" t="s">
        <v>7682</v>
      </c>
      <c r="DC3023" s="122" t="s">
        <v>5687</v>
      </c>
      <c r="DD3023" s="127">
        <v>7</v>
      </c>
      <c r="DE3023" s="127">
        <v>7</v>
      </c>
      <c r="DG3023" s="405" t="s">
        <v>357</v>
      </c>
      <c r="DH3023" s="406" t="s">
        <v>5687</v>
      </c>
      <c r="DI3023" s="406" t="str">
        <f t="shared" si="79"/>
        <v>PI, Castelo do Piauí</v>
      </c>
      <c r="DJ3023" s="406">
        <v>-5.3220000000000001</v>
      </c>
      <c r="DK3023" s="80">
        <v>-41.552999999999997</v>
      </c>
      <c r="DL3023" s="80">
        <v>239</v>
      </c>
      <c r="DM3023" s="64">
        <v>7</v>
      </c>
      <c r="DN3023" s="406" t="s">
        <v>7683</v>
      </c>
      <c r="DO3023" s="406">
        <v>-5.35</v>
      </c>
      <c r="DP3023" s="80">
        <v>286</v>
      </c>
    </row>
    <row r="3024" spans="29:120" x14ac:dyDescent="0.25">
      <c r="AC3024" s="122" t="s">
        <v>333</v>
      </c>
      <c r="AD3024" s="122" t="s">
        <v>3351</v>
      </c>
      <c r="AE3024" s="127">
        <v>4</v>
      </c>
      <c r="DA3024" s="122" t="s">
        <v>357</v>
      </c>
      <c r="DB3024" s="122" t="s">
        <v>4745</v>
      </c>
      <c r="DC3024" s="122" t="s">
        <v>4745</v>
      </c>
      <c r="DD3024" s="127">
        <v>8</v>
      </c>
      <c r="DE3024" s="127">
        <v>8</v>
      </c>
      <c r="DG3024" s="405" t="s">
        <v>357</v>
      </c>
      <c r="DH3024" s="406" t="s">
        <v>4745</v>
      </c>
      <c r="DI3024" s="406" t="str">
        <f t="shared" si="79"/>
        <v>PI, Caxingó</v>
      </c>
      <c r="DJ3024" s="406">
        <v>-3.4180000000000001</v>
      </c>
      <c r="DK3024" s="80">
        <v>-41.896000000000001</v>
      </c>
      <c r="DL3024" s="80">
        <v>13</v>
      </c>
      <c r="DM3024" s="64">
        <v>8</v>
      </c>
      <c r="DN3024" s="406" t="s">
        <v>6416</v>
      </c>
      <c r="DO3024" s="406">
        <v>-2.9</v>
      </c>
      <c r="DP3024" s="80">
        <v>80</v>
      </c>
    </row>
    <row r="3025" spans="29:120" x14ac:dyDescent="0.25">
      <c r="AC3025" s="122" t="s">
        <v>333</v>
      </c>
      <c r="AD3025" s="122" t="s">
        <v>3352</v>
      </c>
      <c r="AE3025" s="127">
        <v>3</v>
      </c>
      <c r="DA3025" s="122" t="s">
        <v>357</v>
      </c>
      <c r="DB3025" s="122" t="s">
        <v>4703</v>
      </c>
      <c r="DC3025" s="122" t="s">
        <v>4703</v>
      </c>
      <c r="DD3025" s="127">
        <v>8</v>
      </c>
      <c r="DE3025" s="127">
        <v>8</v>
      </c>
      <c r="DG3025" s="405" t="s">
        <v>357</v>
      </c>
      <c r="DH3025" s="406" t="s">
        <v>4703</v>
      </c>
      <c r="DI3025" s="406" t="str">
        <f t="shared" si="79"/>
        <v>PI, Cocal</v>
      </c>
      <c r="DJ3025" s="406">
        <v>-3.4710000000000001</v>
      </c>
      <c r="DK3025" s="80">
        <v>-41.555</v>
      </c>
      <c r="DL3025" s="80">
        <v>160</v>
      </c>
      <c r="DM3025" s="64">
        <v>8</v>
      </c>
      <c r="DN3025" s="406" t="s">
        <v>6416</v>
      </c>
      <c r="DO3025" s="406">
        <v>-2.9</v>
      </c>
      <c r="DP3025" s="80">
        <v>80</v>
      </c>
    </row>
    <row r="3026" spans="29:120" x14ac:dyDescent="0.25">
      <c r="AC3026" s="122" t="s">
        <v>317</v>
      </c>
      <c r="AD3026" s="122" t="s">
        <v>3353</v>
      </c>
      <c r="AE3026" s="127">
        <v>8</v>
      </c>
      <c r="DA3026" s="122" t="s">
        <v>357</v>
      </c>
      <c r="DB3026" s="122" t="s">
        <v>7684</v>
      </c>
      <c r="DC3026" s="122" t="s">
        <v>5587</v>
      </c>
      <c r="DD3026" s="127">
        <v>7</v>
      </c>
      <c r="DE3026" s="127">
        <v>7</v>
      </c>
      <c r="DG3026" s="405" t="s">
        <v>357</v>
      </c>
      <c r="DH3026" s="406" t="s">
        <v>5587</v>
      </c>
      <c r="DI3026" s="406" t="str">
        <f t="shared" si="79"/>
        <v>PI, Cocal de Telha</v>
      </c>
      <c r="DJ3026" s="406">
        <v>-4.5590000000000002</v>
      </c>
      <c r="DK3026" s="80">
        <v>-41.972000000000001</v>
      </c>
      <c r="DL3026" s="80">
        <v>140</v>
      </c>
      <c r="DM3026" s="64">
        <v>7</v>
      </c>
      <c r="DN3026" s="406" t="s">
        <v>6421</v>
      </c>
      <c r="DO3026" s="406">
        <v>-4.2699999999999996</v>
      </c>
      <c r="DP3026" s="80">
        <v>161</v>
      </c>
    </row>
    <row r="3027" spans="29:120" x14ac:dyDescent="0.25">
      <c r="AC3027" s="122" t="s">
        <v>311</v>
      </c>
      <c r="AD3027" s="122" t="s">
        <v>1620</v>
      </c>
      <c r="AE3027" s="127">
        <v>2</v>
      </c>
      <c r="DA3027" s="122" t="s">
        <v>357</v>
      </c>
      <c r="DB3027" s="122" t="s">
        <v>7685</v>
      </c>
      <c r="DC3027" s="122" t="s">
        <v>4676</v>
      </c>
      <c r="DD3027" s="127">
        <v>8</v>
      </c>
      <c r="DE3027" s="127">
        <v>8</v>
      </c>
      <c r="DG3027" s="405" t="s">
        <v>357</v>
      </c>
      <c r="DH3027" s="406" t="s">
        <v>4676</v>
      </c>
      <c r="DI3027" s="406" t="str">
        <f t="shared" si="79"/>
        <v>PI, Cocal dos Alves</v>
      </c>
      <c r="DJ3027" s="406">
        <v>-3.7290000000000001</v>
      </c>
      <c r="DK3027" s="80">
        <v>-41.448999999999998</v>
      </c>
      <c r="DL3027" s="80">
        <v>100</v>
      </c>
      <c r="DM3027" s="64">
        <v>8</v>
      </c>
      <c r="DN3027" s="406" t="s">
        <v>6421</v>
      </c>
      <c r="DO3027" s="406">
        <v>-4.2699999999999996</v>
      </c>
      <c r="DP3027" s="80">
        <v>161</v>
      </c>
    </row>
    <row r="3028" spans="29:120" x14ac:dyDescent="0.25">
      <c r="AC3028" s="122" t="s">
        <v>333</v>
      </c>
      <c r="AD3028" s="122" t="s">
        <v>3354</v>
      </c>
      <c r="AE3028" s="127">
        <v>3</v>
      </c>
      <c r="DA3028" s="122" t="s">
        <v>357</v>
      </c>
      <c r="DB3028" s="122" t="s">
        <v>4742</v>
      </c>
      <c r="DC3028" s="122" t="s">
        <v>4742</v>
      </c>
      <c r="DD3028" s="127">
        <v>7</v>
      </c>
      <c r="DE3028" s="127">
        <v>7</v>
      </c>
      <c r="DG3028" s="405" t="s">
        <v>357</v>
      </c>
      <c r="DH3028" s="406" t="s">
        <v>4742</v>
      </c>
      <c r="DI3028" s="406" t="str">
        <f t="shared" si="79"/>
        <v>PI, Coivaras</v>
      </c>
      <c r="DJ3028" s="406">
        <v>-5.0940000000000003</v>
      </c>
      <c r="DK3028" s="80">
        <v>-42.207000000000001</v>
      </c>
      <c r="DL3028" s="80">
        <v>190</v>
      </c>
      <c r="DM3028" s="64">
        <v>7</v>
      </c>
      <c r="DN3028" s="406" t="s">
        <v>6718</v>
      </c>
      <c r="DO3028" s="406">
        <v>-5.09</v>
      </c>
      <c r="DP3028" s="80">
        <v>74</v>
      </c>
    </row>
    <row r="3029" spans="29:120" x14ac:dyDescent="0.25">
      <c r="AC3029" s="122" t="s">
        <v>358</v>
      </c>
      <c r="AD3029" s="122" t="s">
        <v>3355</v>
      </c>
      <c r="AE3029" s="127">
        <v>5</v>
      </c>
      <c r="DA3029" s="122" t="s">
        <v>357</v>
      </c>
      <c r="DB3029" s="122" t="s">
        <v>7686</v>
      </c>
      <c r="DC3029" s="122" t="s">
        <v>4727</v>
      </c>
      <c r="DD3029" s="127">
        <v>7</v>
      </c>
      <c r="DE3029" s="127">
        <v>7</v>
      </c>
      <c r="DG3029" s="405" t="s">
        <v>357</v>
      </c>
      <c r="DH3029" s="406" t="s">
        <v>4727</v>
      </c>
      <c r="DI3029" s="406" t="str">
        <f t="shared" si="79"/>
        <v>PI, Colônia do Gurguéia</v>
      </c>
      <c r="DJ3029" s="406">
        <v>-8.1820000000000004</v>
      </c>
      <c r="DK3029" s="80">
        <v>-43.792000000000002</v>
      </c>
      <c r="DL3029" s="80">
        <v>216</v>
      </c>
      <c r="DM3029" s="64">
        <v>7</v>
      </c>
      <c r="DN3029" s="406" t="s">
        <v>7641</v>
      </c>
      <c r="DO3029" s="406">
        <v>-8.44</v>
      </c>
      <c r="DP3029" s="80">
        <v>270</v>
      </c>
    </row>
    <row r="3030" spans="29:120" x14ac:dyDescent="0.25">
      <c r="AC3030" s="122" t="s">
        <v>311</v>
      </c>
      <c r="AD3030" s="122" t="s">
        <v>3356</v>
      </c>
      <c r="AE3030" s="127">
        <v>3</v>
      </c>
      <c r="DA3030" s="122" t="s">
        <v>357</v>
      </c>
      <c r="DB3030" s="122" t="s">
        <v>7687</v>
      </c>
      <c r="DC3030" s="122" t="s">
        <v>5660</v>
      </c>
      <c r="DD3030" s="127">
        <v>7</v>
      </c>
      <c r="DE3030" s="127">
        <v>7</v>
      </c>
      <c r="DG3030" s="405" t="s">
        <v>357</v>
      </c>
      <c r="DH3030" s="406" t="s">
        <v>5660</v>
      </c>
      <c r="DI3030" s="406" t="str">
        <f t="shared" si="79"/>
        <v>PI, Colônia do Piauí</v>
      </c>
      <c r="DJ3030" s="406">
        <v>-7.2309999999999999</v>
      </c>
      <c r="DK3030" s="80">
        <v>-42.177999999999997</v>
      </c>
      <c r="DL3030" s="80">
        <v>200</v>
      </c>
      <c r="DM3030" s="64">
        <v>7</v>
      </c>
      <c r="DN3030" s="406" t="s">
        <v>7669</v>
      </c>
      <c r="DO3030" s="406">
        <v>-6.97</v>
      </c>
      <c r="DP3030" s="80">
        <v>156</v>
      </c>
    </row>
    <row r="3031" spans="29:120" x14ac:dyDescent="0.25">
      <c r="AC3031" s="122" t="s">
        <v>311</v>
      </c>
      <c r="AD3031" s="122" t="s">
        <v>3357</v>
      </c>
      <c r="AE3031" s="127">
        <v>3</v>
      </c>
      <c r="DA3031" s="122" t="s">
        <v>357</v>
      </c>
      <c r="DB3031" s="122" t="s">
        <v>7688</v>
      </c>
      <c r="DC3031" s="122" t="s">
        <v>4596</v>
      </c>
      <c r="DD3031" s="127">
        <v>7</v>
      </c>
      <c r="DE3031" s="127">
        <v>7</v>
      </c>
      <c r="DG3031" s="405" t="s">
        <v>357</v>
      </c>
      <c r="DH3031" s="406" t="s">
        <v>4596</v>
      </c>
      <c r="DI3031" s="406" t="str">
        <f t="shared" si="79"/>
        <v>PI, Conceição do Canindé</v>
      </c>
      <c r="DJ3031" s="406">
        <v>-7.8780000000000001</v>
      </c>
      <c r="DK3031" s="80">
        <v>-41.597000000000001</v>
      </c>
      <c r="DL3031" s="80">
        <v>252</v>
      </c>
      <c r="DM3031" s="64">
        <v>7</v>
      </c>
      <c r="DN3031" s="406" t="s">
        <v>7588</v>
      </c>
      <c r="DO3031" s="406">
        <v>-8.14</v>
      </c>
      <c r="DP3031" s="80">
        <v>374</v>
      </c>
    </row>
    <row r="3032" spans="29:120" x14ac:dyDescent="0.25">
      <c r="AC3032" s="122" t="s">
        <v>322</v>
      </c>
      <c r="AD3032" s="122" t="s">
        <v>3358</v>
      </c>
      <c r="AE3032" s="127">
        <v>6</v>
      </c>
      <c r="DA3032" s="122" t="s">
        <v>357</v>
      </c>
      <c r="DB3032" s="122" t="s">
        <v>7689</v>
      </c>
      <c r="DC3032" s="122" t="s">
        <v>4753</v>
      </c>
      <c r="DD3032" s="127">
        <v>7</v>
      </c>
      <c r="DE3032" s="127">
        <v>7</v>
      </c>
      <c r="DG3032" s="405" t="s">
        <v>357</v>
      </c>
      <c r="DH3032" s="406" t="s">
        <v>4753</v>
      </c>
      <c r="DI3032" s="406" t="str">
        <f t="shared" si="79"/>
        <v>PI, Coronel José Dias</v>
      </c>
      <c r="DJ3032" s="406">
        <v>-8.8160000000000007</v>
      </c>
      <c r="DK3032" s="80">
        <v>-42.512999999999998</v>
      </c>
      <c r="DL3032" s="80">
        <v>413</v>
      </c>
      <c r="DM3032" s="64">
        <v>7</v>
      </c>
      <c r="DN3032" s="406" t="s">
        <v>7662</v>
      </c>
      <c r="DO3032" s="406">
        <v>-9.0299999999999994</v>
      </c>
      <c r="DP3032" s="80">
        <v>402</v>
      </c>
    </row>
    <row r="3033" spans="29:120" x14ac:dyDescent="0.25">
      <c r="AC3033" s="122" t="s">
        <v>333</v>
      </c>
      <c r="AD3033" s="122" t="s">
        <v>3359</v>
      </c>
      <c r="AE3033" s="127">
        <v>3</v>
      </c>
      <c r="DA3033" s="122" t="s">
        <v>357</v>
      </c>
      <c r="DB3033" s="122" t="s">
        <v>5502</v>
      </c>
      <c r="DC3033" s="122" t="s">
        <v>5502</v>
      </c>
      <c r="DD3033" s="127">
        <v>6</v>
      </c>
      <c r="DE3033" s="127">
        <v>6</v>
      </c>
      <c r="DG3033" s="405" t="s">
        <v>357</v>
      </c>
      <c r="DH3033" s="406" t="s">
        <v>5502</v>
      </c>
      <c r="DI3033" s="406" t="str">
        <f t="shared" si="79"/>
        <v>PI, Corrente</v>
      </c>
      <c r="DJ3033" s="406">
        <v>-10.443</v>
      </c>
      <c r="DK3033" s="80">
        <v>-45.161999999999999</v>
      </c>
      <c r="DL3033" s="80">
        <v>438</v>
      </c>
      <c r="DM3033" s="64">
        <v>6</v>
      </c>
      <c r="DN3033" s="406" t="s">
        <v>7652</v>
      </c>
      <c r="DO3033" s="406">
        <v>-9.8699999999999992</v>
      </c>
      <c r="DP3033" s="80">
        <v>425</v>
      </c>
    </row>
    <row r="3034" spans="29:120" x14ac:dyDescent="0.25">
      <c r="AC3034" s="122" t="s">
        <v>311</v>
      </c>
      <c r="AD3034" s="122" t="s">
        <v>3360</v>
      </c>
      <c r="AE3034" s="127">
        <v>1</v>
      </c>
      <c r="DA3034" s="122" t="s">
        <v>357</v>
      </c>
      <c r="DB3034" s="122" t="s">
        <v>7690</v>
      </c>
      <c r="DC3034" s="122" t="s">
        <v>4662</v>
      </c>
      <c r="DD3034" s="127">
        <v>6</v>
      </c>
      <c r="DE3034" s="127">
        <v>6</v>
      </c>
      <c r="DG3034" s="405" t="s">
        <v>357</v>
      </c>
      <c r="DH3034" s="406" t="s">
        <v>4662</v>
      </c>
      <c r="DI3034" s="406" t="str">
        <f t="shared" si="79"/>
        <v>PI, Cristalândia do Piauí</v>
      </c>
      <c r="DJ3034" s="406">
        <v>-10.653</v>
      </c>
      <c r="DK3034" s="80">
        <v>-45.185000000000002</v>
      </c>
      <c r="DL3034" s="80">
        <v>469</v>
      </c>
      <c r="DM3034" s="64">
        <v>6</v>
      </c>
      <c r="DN3034" s="406" t="s">
        <v>6287</v>
      </c>
      <c r="DO3034" s="406">
        <v>-11.01</v>
      </c>
      <c r="DP3034" s="80">
        <v>450</v>
      </c>
    </row>
    <row r="3035" spans="29:120" x14ac:dyDescent="0.25">
      <c r="AC3035" s="122" t="s">
        <v>317</v>
      </c>
      <c r="AD3035" s="122" t="s">
        <v>3361</v>
      </c>
      <c r="AE3035" s="127">
        <v>8</v>
      </c>
      <c r="DA3035" s="122" t="s">
        <v>357</v>
      </c>
      <c r="DB3035" s="122" t="s">
        <v>7691</v>
      </c>
      <c r="DC3035" s="122" t="s">
        <v>5300</v>
      </c>
      <c r="DD3035" s="127">
        <v>7</v>
      </c>
      <c r="DE3035" s="127">
        <v>7</v>
      </c>
      <c r="DG3035" s="405" t="s">
        <v>357</v>
      </c>
      <c r="DH3035" s="406" t="s">
        <v>5300</v>
      </c>
      <c r="DI3035" s="406" t="str">
        <f t="shared" si="79"/>
        <v>PI, Cristino Castro</v>
      </c>
      <c r="DJ3035" s="406">
        <v>-8.8179999999999996</v>
      </c>
      <c r="DK3035" s="80">
        <v>-44.223999999999997</v>
      </c>
      <c r="DL3035" s="80">
        <v>239</v>
      </c>
      <c r="DM3035" s="64">
        <v>7</v>
      </c>
      <c r="DN3035" s="406" t="s">
        <v>7659</v>
      </c>
      <c r="DO3035" s="406">
        <v>-9.07</v>
      </c>
      <c r="DP3035" s="80">
        <v>331</v>
      </c>
    </row>
    <row r="3036" spans="29:120" x14ac:dyDescent="0.25">
      <c r="AC3036" s="122" t="s">
        <v>333</v>
      </c>
      <c r="AD3036" s="122" t="s">
        <v>3362</v>
      </c>
      <c r="AE3036" s="127">
        <v>3</v>
      </c>
      <c r="DA3036" s="122" t="s">
        <v>357</v>
      </c>
      <c r="DB3036" s="122" t="s">
        <v>4471</v>
      </c>
      <c r="DC3036" s="122" t="s">
        <v>4471</v>
      </c>
      <c r="DD3036" s="127">
        <v>7</v>
      </c>
      <c r="DE3036" s="127">
        <v>7</v>
      </c>
      <c r="DG3036" s="405" t="s">
        <v>357</v>
      </c>
      <c r="DH3036" s="406" t="s">
        <v>4471</v>
      </c>
      <c r="DI3036" s="406" t="str">
        <f t="shared" si="79"/>
        <v>PI, Curimatá</v>
      </c>
      <c r="DJ3036" s="406">
        <v>-10.036</v>
      </c>
      <c r="DK3036" s="80">
        <v>-44.305999999999997</v>
      </c>
      <c r="DL3036" s="80">
        <v>328</v>
      </c>
      <c r="DM3036" s="64">
        <v>7</v>
      </c>
      <c r="DN3036" s="406" t="s">
        <v>6238</v>
      </c>
      <c r="DO3036" s="406">
        <v>-10.72</v>
      </c>
      <c r="DP3036" s="80">
        <v>502</v>
      </c>
    </row>
    <row r="3037" spans="29:120" x14ac:dyDescent="0.25">
      <c r="AC3037" s="122" t="s">
        <v>336</v>
      </c>
      <c r="AD3037" s="122" t="s">
        <v>3363</v>
      </c>
      <c r="AE3037" s="127">
        <v>3</v>
      </c>
      <c r="DA3037" s="122" t="s">
        <v>357</v>
      </c>
      <c r="DB3037" s="122" t="s">
        <v>5631</v>
      </c>
      <c r="DC3037" s="122" t="s">
        <v>5631</v>
      </c>
      <c r="DD3037" s="127">
        <v>7</v>
      </c>
      <c r="DE3037" s="127">
        <v>7</v>
      </c>
      <c r="DG3037" s="405" t="s">
        <v>357</v>
      </c>
      <c r="DH3037" s="406" t="s">
        <v>5631</v>
      </c>
      <c r="DI3037" s="406" t="str">
        <f t="shared" si="79"/>
        <v>PI, Currais</v>
      </c>
      <c r="DJ3037" s="406">
        <v>-9.0069999999999997</v>
      </c>
      <c r="DK3037" s="80">
        <v>-44.411000000000001</v>
      </c>
      <c r="DL3037" s="80">
        <v>320</v>
      </c>
      <c r="DM3037" s="64">
        <v>7</v>
      </c>
      <c r="DN3037" s="406" t="s">
        <v>7659</v>
      </c>
      <c r="DO3037" s="406">
        <v>-9.07</v>
      </c>
      <c r="DP3037" s="80">
        <v>331</v>
      </c>
    </row>
    <row r="3038" spans="29:120" x14ac:dyDescent="0.25">
      <c r="AC3038" s="122" t="s">
        <v>336</v>
      </c>
      <c r="AD3038" s="122" t="s">
        <v>3364</v>
      </c>
      <c r="AE3038" s="127">
        <v>5</v>
      </c>
      <c r="DA3038" s="122" t="s">
        <v>357</v>
      </c>
      <c r="DB3038" s="122" t="s">
        <v>7692</v>
      </c>
      <c r="DC3038" s="122" t="s">
        <v>5400</v>
      </c>
      <c r="DD3038" s="127">
        <v>7</v>
      </c>
      <c r="DE3038" s="127">
        <v>7</v>
      </c>
      <c r="DG3038" s="405" t="s">
        <v>357</v>
      </c>
      <c r="DH3038" s="406" t="s">
        <v>5400</v>
      </c>
      <c r="DI3038" s="406" t="str">
        <f t="shared" si="79"/>
        <v>PI, Curral Novo do Piauí</v>
      </c>
      <c r="DJ3038" s="406">
        <v>-7.8319999999999999</v>
      </c>
      <c r="DK3038" s="80">
        <v>-40.901000000000003</v>
      </c>
      <c r="DL3038" s="80">
        <v>370</v>
      </c>
      <c r="DM3038" s="64">
        <v>7</v>
      </c>
      <c r="DN3038" s="406" t="s">
        <v>7588</v>
      </c>
      <c r="DO3038" s="406">
        <v>-8.14</v>
      </c>
      <c r="DP3038" s="80">
        <v>374</v>
      </c>
    </row>
    <row r="3039" spans="29:120" x14ac:dyDescent="0.25">
      <c r="AC3039" s="122" t="s">
        <v>333</v>
      </c>
      <c r="AD3039" s="122" t="s">
        <v>3365</v>
      </c>
      <c r="AE3039" s="127">
        <v>3</v>
      </c>
      <c r="DA3039" s="122" t="s">
        <v>357</v>
      </c>
      <c r="DB3039" s="122" t="s">
        <v>4822</v>
      </c>
      <c r="DC3039" s="122" t="s">
        <v>4822</v>
      </c>
      <c r="DD3039" s="127">
        <v>7</v>
      </c>
      <c r="DE3039" s="127">
        <v>7</v>
      </c>
      <c r="DG3039" s="405" t="s">
        <v>357</v>
      </c>
      <c r="DH3039" s="406" t="s">
        <v>4822</v>
      </c>
      <c r="DI3039" s="406" t="str">
        <f t="shared" si="79"/>
        <v>PI, Curralinhos</v>
      </c>
      <c r="DJ3039" s="406">
        <v>-5.5830000000000002</v>
      </c>
      <c r="DK3039" s="80">
        <v>-42.777999999999999</v>
      </c>
      <c r="DL3039" s="80">
        <v>126</v>
      </c>
      <c r="DM3039" s="64">
        <v>7</v>
      </c>
      <c r="DN3039" s="406" t="s">
        <v>6730</v>
      </c>
      <c r="DO3039" s="406">
        <v>-5.91</v>
      </c>
      <c r="DP3039" s="80">
        <v>287</v>
      </c>
    </row>
    <row r="3040" spans="29:120" x14ac:dyDescent="0.25">
      <c r="AC3040" s="122" t="s">
        <v>333</v>
      </c>
      <c r="AD3040" s="122" t="s">
        <v>3366</v>
      </c>
      <c r="AE3040" s="127">
        <v>3</v>
      </c>
      <c r="DA3040" s="122" t="s">
        <v>357</v>
      </c>
      <c r="DB3040" s="122" t="s">
        <v>7693</v>
      </c>
      <c r="DC3040" s="122" t="s">
        <v>4858</v>
      </c>
      <c r="DD3040" s="127">
        <v>7</v>
      </c>
      <c r="DE3040" s="127">
        <v>7</v>
      </c>
      <c r="DG3040" s="405" t="s">
        <v>357</v>
      </c>
      <c r="DH3040" s="406" t="s">
        <v>4858</v>
      </c>
      <c r="DI3040" s="406" t="str">
        <f t="shared" si="79"/>
        <v>PI, Demerval Lobão</v>
      </c>
      <c r="DJ3040" s="406">
        <v>-5.3579999999999997</v>
      </c>
      <c r="DK3040" s="80">
        <v>-42.676000000000002</v>
      </c>
      <c r="DL3040" s="80">
        <v>112</v>
      </c>
      <c r="DM3040" s="64">
        <v>7</v>
      </c>
      <c r="DN3040" s="406" t="s">
        <v>6718</v>
      </c>
      <c r="DO3040" s="406">
        <v>-5.09</v>
      </c>
      <c r="DP3040" s="80">
        <v>74</v>
      </c>
    </row>
    <row r="3041" spans="29:120" x14ac:dyDescent="0.25">
      <c r="AC3041" s="122" t="s">
        <v>311</v>
      </c>
      <c r="AD3041" s="122" t="s">
        <v>3367</v>
      </c>
      <c r="AE3041" s="127">
        <v>3</v>
      </c>
      <c r="DA3041" s="122" t="s">
        <v>357</v>
      </c>
      <c r="DB3041" s="122" t="s">
        <v>7694</v>
      </c>
      <c r="DC3041" s="122" t="s">
        <v>4660</v>
      </c>
      <c r="DD3041" s="127">
        <v>7</v>
      </c>
      <c r="DE3041" s="127">
        <v>7</v>
      </c>
      <c r="DG3041" s="405" t="s">
        <v>357</v>
      </c>
      <c r="DH3041" s="406" t="s">
        <v>4660</v>
      </c>
      <c r="DI3041" s="406" t="str">
        <f t="shared" si="79"/>
        <v>PI, Dirceu Arcoverde</v>
      </c>
      <c r="DJ3041" s="406">
        <v>-9.3379999999999992</v>
      </c>
      <c r="DK3041" s="80">
        <v>-42.427999999999997</v>
      </c>
      <c r="DL3041" s="80">
        <v>740</v>
      </c>
      <c r="DM3041" s="64">
        <v>7</v>
      </c>
      <c r="DN3041" s="406" t="s">
        <v>7662</v>
      </c>
      <c r="DO3041" s="406">
        <v>-9.0299999999999994</v>
      </c>
      <c r="DP3041" s="80">
        <v>402</v>
      </c>
    </row>
    <row r="3042" spans="29:120" x14ac:dyDescent="0.25">
      <c r="AC3042" s="122" t="s">
        <v>317</v>
      </c>
      <c r="AD3042" s="122" t="s">
        <v>3368</v>
      </c>
      <c r="AE3042" s="127">
        <v>5</v>
      </c>
      <c r="DA3042" s="122" t="s">
        <v>357</v>
      </c>
      <c r="DB3042" s="122" t="s">
        <v>7695</v>
      </c>
      <c r="DC3042" s="122" t="s">
        <v>5557</v>
      </c>
      <c r="DD3042" s="127">
        <v>7</v>
      </c>
      <c r="DE3042" s="127">
        <v>7</v>
      </c>
      <c r="DG3042" s="405" t="s">
        <v>357</v>
      </c>
      <c r="DH3042" s="406" t="s">
        <v>5557</v>
      </c>
      <c r="DI3042" s="406" t="str">
        <f t="shared" si="79"/>
        <v>PI, Dom Expedito Lopes</v>
      </c>
      <c r="DJ3042" s="406">
        <v>-6.9589999999999996</v>
      </c>
      <c r="DK3042" s="80">
        <v>-41.640999999999998</v>
      </c>
      <c r="DL3042" s="80">
        <v>405</v>
      </c>
      <c r="DM3042" s="64">
        <v>7</v>
      </c>
      <c r="DN3042" s="406" t="s">
        <v>7637</v>
      </c>
      <c r="DO3042" s="406">
        <v>-7.07</v>
      </c>
      <c r="DP3042" s="80">
        <v>233</v>
      </c>
    </row>
    <row r="3043" spans="29:120" x14ac:dyDescent="0.25">
      <c r="AC3043" s="122" t="s">
        <v>358</v>
      </c>
      <c r="AD3043" s="122" t="s">
        <v>3369</v>
      </c>
      <c r="AE3043" s="127">
        <v>5</v>
      </c>
      <c r="DA3043" s="122" t="s">
        <v>357</v>
      </c>
      <c r="DB3043" s="122" t="s">
        <v>7696</v>
      </c>
      <c r="DC3043" s="122" t="s">
        <v>4479</v>
      </c>
      <c r="DD3043" s="127">
        <v>7</v>
      </c>
      <c r="DE3043" s="127">
        <v>7</v>
      </c>
      <c r="DG3043" s="405" t="s">
        <v>357</v>
      </c>
      <c r="DH3043" s="406" t="s">
        <v>4479</v>
      </c>
      <c r="DI3043" s="406" t="str">
        <f t="shared" si="79"/>
        <v>PI, Dom Inocêncio</v>
      </c>
      <c r="DJ3043" s="406">
        <v>-9.0020000000000007</v>
      </c>
      <c r="DK3043" s="80">
        <v>-41.973999999999997</v>
      </c>
      <c r="DL3043" s="80">
        <v>340</v>
      </c>
      <c r="DM3043" s="64">
        <v>7</v>
      </c>
      <c r="DN3043" s="406" t="s">
        <v>6334</v>
      </c>
      <c r="DO3043" s="406">
        <v>-9.6199999999999992</v>
      </c>
      <c r="DP3043" s="80">
        <v>401</v>
      </c>
    </row>
    <row r="3044" spans="29:120" x14ac:dyDescent="0.25">
      <c r="AC3044" s="122" t="s">
        <v>311</v>
      </c>
      <c r="AD3044" s="122" t="s">
        <v>3370</v>
      </c>
      <c r="AE3044" s="127">
        <v>3</v>
      </c>
      <c r="DA3044" s="122" t="s">
        <v>357</v>
      </c>
      <c r="DB3044" s="122" t="s">
        <v>7697</v>
      </c>
      <c r="DC3044" s="122" t="s">
        <v>4697</v>
      </c>
      <c r="DD3044" s="127">
        <v>7</v>
      </c>
      <c r="DE3044" s="127">
        <v>7</v>
      </c>
      <c r="DG3044" s="405" t="s">
        <v>357</v>
      </c>
      <c r="DH3044" s="406" t="s">
        <v>4697</v>
      </c>
      <c r="DI3044" s="406" t="str">
        <f t="shared" si="79"/>
        <v>PI, Domingos Mourão</v>
      </c>
      <c r="DJ3044" s="406">
        <v>-4.2539999999999996</v>
      </c>
      <c r="DK3044" s="80">
        <v>-41.27</v>
      </c>
      <c r="DL3044" s="80">
        <v>150</v>
      </c>
      <c r="DM3044" s="64">
        <v>7</v>
      </c>
      <c r="DN3044" s="406" t="s">
        <v>6421</v>
      </c>
      <c r="DO3044" s="406">
        <v>-4.2699999999999996</v>
      </c>
      <c r="DP3044" s="80">
        <v>161</v>
      </c>
    </row>
    <row r="3045" spans="29:120" x14ac:dyDescent="0.25">
      <c r="AC3045" s="122" t="s">
        <v>333</v>
      </c>
      <c r="AD3045" s="122" t="s">
        <v>3371</v>
      </c>
      <c r="AE3045" s="127">
        <v>4</v>
      </c>
      <c r="DA3045" s="122" t="s">
        <v>357</v>
      </c>
      <c r="DB3045" s="122" t="s">
        <v>7698</v>
      </c>
      <c r="DC3045" s="122" t="s">
        <v>5583</v>
      </c>
      <c r="DD3045" s="127">
        <v>7</v>
      </c>
      <c r="DE3045" s="127">
        <v>7</v>
      </c>
      <c r="DG3045" s="405" t="s">
        <v>357</v>
      </c>
      <c r="DH3045" s="406" t="s">
        <v>5583</v>
      </c>
      <c r="DI3045" s="406" t="str">
        <f t="shared" si="79"/>
        <v>PI, Elesbão Veloso</v>
      </c>
      <c r="DJ3045" s="406">
        <v>-6.202</v>
      </c>
      <c r="DK3045" s="80">
        <v>-42.14</v>
      </c>
      <c r="DL3045" s="80">
        <v>203</v>
      </c>
      <c r="DM3045" s="64">
        <v>7</v>
      </c>
      <c r="DN3045" s="406" t="s">
        <v>7645</v>
      </c>
      <c r="DO3045" s="406">
        <v>-6.4</v>
      </c>
      <c r="DP3045" s="80">
        <v>301</v>
      </c>
    </row>
    <row r="3046" spans="29:120" x14ac:dyDescent="0.25">
      <c r="AC3046" s="122" t="s">
        <v>333</v>
      </c>
      <c r="AD3046" s="122" t="s">
        <v>3372</v>
      </c>
      <c r="AE3046" s="127">
        <v>3</v>
      </c>
      <c r="DA3046" s="122" t="s">
        <v>357</v>
      </c>
      <c r="DB3046" s="122" t="s">
        <v>7699</v>
      </c>
      <c r="DC3046" s="122" t="s">
        <v>4763</v>
      </c>
      <c r="DD3046" s="127">
        <v>7</v>
      </c>
      <c r="DE3046" s="127">
        <v>7</v>
      </c>
      <c r="DG3046" s="405" t="s">
        <v>357</v>
      </c>
      <c r="DH3046" s="406" t="s">
        <v>4763</v>
      </c>
      <c r="DI3046" s="406" t="str">
        <f t="shared" si="79"/>
        <v>PI, Eliseu Martins</v>
      </c>
      <c r="DJ3046" s="406">
        <v>-8.0969999999999995</v>
      </c>
      <c r="DK3046" s="80">
        <v>-43.664000000000001</v>
      </c>
      <c r="DL3046" s="80">
        <v>258</v>
      </c>
      <c r="DM3046" s="64">
        <v>7</v>
      </c>
      <c r="DN3046" s="406" t="s">
        <v>7641</v>
      </c>
      <c r="DO3046" s="406">
        <v>-8.44</v>
      </c>
      <c r="DP3046" s="80">
        <v>270</v>
      </c>
    </row>
    <row r="3047" spans="29:120" x14ac:dyDescent="0.25">
      <c r="AC3047" s="122" t="s">
        <v>333</v>
      </c>
      <c r="AD3047" s="122" t="s">
        <v>3373</v>
      </c>
      <c r="AE3047" s="127">
        <v>4</v>
      </c>
      <c r="DA3047" s="122" t="s">
        <v>357</v>
      </c>
      <c r="DB3047" s="122" t="s">
        <v>4737</v>
      </c>
      <c r="DC3047" s="122" t="s">
        <v>4737</v>
      </c>
      <c r="DD3047" s="127">
        <v>8</v>
      </c>
      <c r="DE3047" s="127">
        <v>8</v>
      </c>
      <c r="DG3047" s="405" t="s">
        <v>357</v>
      </c>
      <c r="DH3047" s="406" t="s">
        <v>4737</v>
      </c>
      <c r="DI3047" s="406" t="str">
        <f t="shared" si="79"/>
        <v>PI, Esperantina</v>
      </c>
      <c r="DJ3047" s="406">
        <v>-3.9020000000000001</v>
      </c>
      <c r="DK3047" s="80">
        <v>-42.234000000000002</v>
      </c>
      <c r="DL3047" s="80">
        <v>59</v>
      </c>
      <c r="DM3047" s="64">
        <v>8</v>
      </c>
      <c r="DN3047" s="406" t="s">
        <v>6665</v>
      </c>
      <c r="DO3047" s="406">
        <v>-3.9</v>
      </c>
      <c r="DP3047" s="80">
        <v>65</v>
      </c>
    </row>
    <row r="3048" spans="29:120" x14ac:dyDescent="0.25">
      <c r="AC3048" s="122" t="s">
        <v>333</v>
      </c>
      <c r="AD3048" s="122" t="s">
        <v>3374</v>
      </c>
      <c r="AE3048" s="127">
        <v>5</v>
      </c>
      <c r="DA3048" s="122" t="s">
        <v>357</v>
      </c>
      <c r="DB3048" s="122" t="s">
        <v>7700</v>
      </c>
      <c r="DC3048" s="122" t="s">
        <v>5548</v>
      </c>
      <c r="DD3048" s="127">
        <v>7</v>
      </c>
      <c r="DE3048" s="127">
        <v>7</v>
      </c>
      <c r="DG3048" s="405" t="s">
        <v>357</v>
      </c>
      <c r="DH3048" s="406" t="s">
        <v>5548</v>
      </c>
      <c r="DI3048" s="406" t="str">
        <f t="shared" si="79"/>
        <v>PI, Fartura do Piauí</v>
      </c>
      <c r="DJ3048" s="406">
        <v>-9.484</v>
      </c>
      <c r="DK3048" s="80">
        <v>-42.790999999999997</v>
      </c>
      <c r="DL3048" s="80">
        <v>423</v>
      </c>
      <c r="DM3048" s="64">
        <v>7</v>
      </c>
      <c r="DN3048" s="406" t="s">
        <v>7662</v>
      </c>
      <c r="DO3048" s="406">
        <v>-9.0299999999999994</v>
      </c>
      <c r="DP3048" s="80">
        <v>402</v>
      </c>
    </row>
    <row r="3049" spans="29:120" x14ac:dyDescent="0.25">
      <c r="AC3049" s="122" t="s">
        <v>311</v>
      </c>
      <c r="AD3049" s="122" t="s">
        <v>3375</v>
      </c>
      <c r="AE3049" s="127">
        <v>3</v>
      </c>
      <c r="DA3049" s="122" t="s">
        <v>357</v>
      </c>
      <c r="DB3049" s="122" t="s">
        <v>7701</v>
      </c>
      <c r="DC3049" s="122" t="s">
        <v>4677</v>
      </c>
      <c r="DD3049" s="127">
        <v>7</v>
      </c>
      <c r="DE3049" s="127">
        <v>7</v>
      </c>
      <c r="DG3049" s="405" t="s">
        <v>357</v>
      </c>
      <c r="DH3049" s="406" t="s">
        <v>4677</v>
      </c>
      <c r="DI3049" s="406" t="str">
        <f t="shared" si="79"/>
        <v>PI, Flores do Piauí</v>
      </c>
      <c r="DJ3049" s="406">
        <v>-7.7910000000000004</v>
      </c>
      <c r="DK3049" s="80">
        <v>-42.927</v>
      </c>
      <c r="DL3049" s="80">
        <v>300</v>
      </c>
      <c r="DM3049" s="64">
        <v>7</v>
      </c>
      <c r="DN3049" s="406" t="s">
        <v>7655</v>
      </c>
      <c r="DO3049" s="406">
        <v>-8.36</v>
      </c>
      <c r="DP3049" s="80">
        <v>235</v>
      </c>
    </row>
    <row r="3050" spans="29:120" x14ac:dyDescent="0.25">
      <c r="AC3050" s="122" t="s">
        <v>311</v>
      </c>
      <c r="AD3050" s="122" t="s">
        <v>2440</v>
      </c>
      <c r="AE3050" s="127">
        <v>3</v>
      </c>
      <c r="DA3050" s="122" t="s">
        <v>357</v>
      </c>
      <c r="DB3050" s="122" t="s">
        <v>7702</v>
      </c>
      <c r="DC3050" s="122" t="s">
        <v>5559</v>
      </c>
      <c r="DD3050" s="127">
        <v>7</v>
      </c>
      <c r="DE3050" s="127">
        <v>7</v>
      </c>
      <c r="DG3050" s="405" t="s">
        <v>357</v>
      </c>
      <c r="DH3050" s="406" t="s">
        <v>5559</v>
      </c>
      <c r="DI3050" s="406" t="str">
        <f t="shared" si="79"/>
        <v>PI, Floresta do Piauí</v>
      </c>
      <c r="DJ3050" s="406">
        <v>-7.4690000000000003</v>
      </c>
      <c r="DK3050" s="80">
        <v>-41.793999999999997</v>
      </c>
      <c r="DL3050" s="80">
        <v>180</v>
      </c>
      <c r="DM3050" s="64">
        <v>7</v>
      </c>
      <c r="DN3050" s="406" t="s">
        <v>7637</v>
      </c>
      <c r="DO3050" s="406">
        <v>-7.07</v>
      </c>
      <c r="DP3050" s="80">
        <v>233</v>
      </c>
    </row>
    <row r="3051" spans="29:120" x14ac:dyDescent="0.25">
      <c r="AC3051" s="122" t="s">
        <v>298</v>
      </c>
      <c r="AD3051" s="122" t="s">
        <v>825</v>
      </c>
      <c r="AE3051" s="127">
        <v>8</v>
      </c>
      <c r="DA3051" s="122" t="s">
        <v>357</v>
      </c>
      <c r="DB3051" s="122" t="s">
        <v>5271</v>
      </c>
      <c r="DC3051" s="122" t="s">
        <v>5271</v>
      </c>
      <c r="DD3051" s="127">
        <v>7</v>
      </c>
      <c r="DE3051" s="127">
        <v>7</v>
      </c>
      <c r="DG3051" s="405" t="s">
        <v>357</v>
      </c>
      <c r="DH3051" s="406" t="s">
        <v>5271</v>
      </c>
      <c r="DI3051" s="406" t="str">
        <f t="shared" si="79"/>
        <v>PI, Floriano</v>
      </c>
      <c r="DJ3051" s="406">
        <v>-6.7670000000000003</v>
      </c>
      <c r="DK3051" s="80">
        <v>-43.023000000000003</v>
      </c>
      <c r="DL3051" s="80">
        <v>112</v>
      </c>
      <c r="DM3051" s="64">
        <v>7</v>
      </c>
      <c r="DN3051" s="406" t="s">
        <v>6652</v>
      </c>
      <c r="DO3051" s="406">
        <v>-6.77</v>
      </c>
      <c r="DP3051" s="80">
        <v>123</v>
      </c>
    </row>
    <row r="3052" spans="29:120" x14ac:dyDescent="0.25">
      <c r="AC3052" s="122" t="s">
        <v>333</v>
      </c>
      <c r="AD3052" s="122" t="s">
        <v>3376</v>
      </c>
      <c r="AE3052" s="127">
        <v>6</v>
      </c>
      <c r="DA3052" s="122" t="s">
        <v>357</v>
      </c>
      <c r="DB3052" s="122" t="s">
        <v>5601</v>
      </c>
      <c r="DC3052" s="122" t="s">
        <v>5601</v>
      </c>
      <c r="DD3052" s="127">
        <v>7</v>
      </c>
      <c r="DE3052" s="127">
        <v>7</v>
      </c>
      <c r="DG3052" s="405" t="s">
        <v>357</v>
      </c>
      <c r="DH3052" s="406" t="s">
        <v>5601</v>
      </c>
      <c r="DI3052" s="406" t="str">
        <f t="shared" si="79"/>
        <v>PI, Francinópolis</v>
      </c>
      <c r="DJ3052" s="406">
        <v>-6.3959999999999999</v>
      </c>
      <c r="DK3052" s="80">
        <v>-42.262</v>
      </c>
      <c r="DL3052" s="80">
        <v>245</v>
      </c>
      <c r="DM3052" s="64">
        <v>7</v>
      </c>
      <c r="DN3052" s="406" t="s">
        <v>7645</v>
      </c>
      <c r="DO3052" s="406">
        <v>-6.4</v>
      </c>
      <c r="DP3052" s="80">
        <v>301</v>
      </c>
    </row>
    <row r="3053" spans="29:120" x14ac:dyDescent="0.25">
      <c r="AC3053" s="122" t="s">
        <v>376</v>
      </c>
      <c r="AD3053" s="122" t="s">
        <v>3377</v>
      </c>
      <c r="AE3053" s="127">
        <v>3</v>
      </c>
      <c r="DA3053" s="122" t="s">
        <v>357</v>
      </c>
      <c r="DB3053" s="122" t="s">
        <v>7703</v>
      </c>
      <c r="DC3053" s="122" t="s">
        <v>5576</v>
      </c>
      <c r="DD3053" s="127">
        <v>7</v>
      </c>
      <c r="DE3053" s="127">
        <v>7</v>
      </c>
      <c r="DG3053" s="405" t="s">
        <v>357</v>
      </c>
      <c r="DH3053" s="406" t="s">
        <v>5576</v>
      </c>
      <c r="DI3053" s="406" t="str">
        <f t="shared" si="79"/>
        <v>PI, Francisco Ayres</v>
      </c>
      <c r="DJ3053" s="406">
        <v>-6.6230000000000002</v>
      </c>
      <c r="DK3053" s="80">
        <v>-42.692999999999998</v>
      </c>
      <c r="DL3053" s="80">
        <v>125</v>
      </c>
      <c r="DM3053" s="64">
        <v>7</v>
      </c>
      <c r="DN3053" s="406" t="s">
        <v>6652</v>
      </c>
      <c r="DO3053" s="406">
        <v>-6.77</v>
      </c>
      <c r="DP3053" s="80">
        <v>123</v>
      </c>
    </row>
    <row r="3054" spans="29:120" x14ac:dyDescent="0.25">
      <c r="AC3054" s="122" t="s">
        <v>333</v>
      </c>
      <c r="AD3054" s="122" t="s">
        <v>3378</v>
      </c>
      <c r="AE3054" s="127">
        <v>3</v>
      </c>
      <c r="DA3054" s="122" t="s">
        <v>357</v>
      </c>
      <c r="DB3054" s="122" t="s">
        <v>7704</v>
      </c>
      <c r="DC3054" s="122" t="s">
        <v>5450</v>
      </c>
      <c r="DD3054" s="127">
        <v>7</v>
      </c>
      <c r="DE3054" s="127">
        <v>7</v>
      </c>
      <c r="DG3054" s="405" t="s">
        <v>357</v>
      </c>
      <c r="DH3054" s="406" t="s">
        <v>5450</v>
      </c>
      <c r="DI3054" s="406" t="str">
        <f t="shared" si="79"/>
        <v>PI, Francisco Macedo</v>
      </c>
      <c r="DJ3054" s="406">
        <v>-7.3310000000000004</v>
      </c>
      <c r="DK3054" s="80">
        <v>-40.787999999999997</v>
      </c>
      <c r="DL3054" s="80">
        <v>360</v>
      </c>
      <c r="DM3054" s="64">
        <v>7</v>
      </c>
      <c r="DN3054" s="406" t="s">
        <v>6405</v>
      </c>
      <c r="DO3054" s="406">
        <v>-7.08</v>
      </c>
      <c r="DP3054" s="80">
        <v>572</v>
      </c>
    </row>
    <row r="3055" spans="29:120" x14ac:dyDescent="0.25">
      <c r="AC3055" s="122" t="s">
        <v>333</v>
      </c>
      <c r="AD3055" s="122" t="s">
        <v>3379</v>
      </c>
      <c r="AE3055" s="127">
        <v>4</v>
      </c>
      <c r="DA3055" s="122" t="s">
        <v>357</v>
      </c>
      <c r="DB3055" s="122" t="s">
        <v>7705</v>
      </c>
      <c r="DC3055" s="122" t="s">
        <v>5479</v>
      </c>
      <c r="DD3055" s="127">
        <v>7</v>
      </c>
      <c r="DE3055" s="127">
        <v>7</v>
      </c>
      <c r="DG3055" s="405" t="s">
        <v>357</v>
      </c>
      <c r="DH3055" s="406" t="s">
        <v>5479</v>
      </c>
      <c r="DI3055" s="406" t="str">
        <f t="shared" si="79"/>
        <v>PI, Francisco Santos</v>
      </c>
      <c r="DJ3055" s="406">
        <v>-6.9930000000000003</v>
      </c>
      <c r="DK3055" s="80">
        <v>-41.137999999999998</v>
      </c>
      <c r="DL3055" s="80">
        <v>270</v>
      </c>
      <c r="DM3055" s="64">
        <v>7</v>
      </c>
      <c r="DN3055" s="406" t="s">
        <v>7637</v>
      </c>
      <c r="DO3055" s="406">
        <v>-7.07</v>
      </c>
      <c r="DP3055" s="80">
        <v>233</v>
      </c>
    </row>
    <row r="3056" spans="29:120" x14ac:dyDescent="0.25">
      <c r="AC3056" s="122" t="s">
        <v>333</v>
      </c>
      <c r="AD3056" s="122" t="s">
        <v>3380</v>
      </c>
      <c r="AE3056" s="127">
        <v>3</v>
      </c>
      <c r="DA3056" s="122" t="s">
        <v>357</v>
      </c>
      <c r="DB3056" s="122" t="s">
        <v>5485</v>
      </c>
      <c r="DC3056" s="122" t="s">
        <v>5485</v>
      </c>
      <c r="DD3056" s="127">
        <v>7</v>
      </c>
      <c r="DE3056" s="127">
        <v>7</v>
      </c>
      <c r="DG3056" s="405" t="s">
        <v>357</v>
      </c>
      <c r="DH3056" s="406" t="s">
        <v>5485</v>
      </c>
      <c r="DI3056" s="406" t="str">
        <f t="shared" si="79"/>
        <v>PI, Fronteiras</v>
      </c>
      <c r="DJ3056" s="406">
        <v>-7.0880000000000001</v>
      </c>
      <c r="DK3056" s="80">
        <v>-40.616</v>
      </c>
      <c r="DL3056" s="80">
        <v>426</v>
      </c>
      <c r="DM3056" s="64">
        <v>7</v>
      </c>
      <c r="DN3056" s="406" t="s">
        <v>6405</v>
      </c>
      <c r="DO3056" s="406">
        <v>-7.08</v>
      </c>
      <c r="DP3056" s="80">
        <v>572</v>
      </c>
    </row>
    <row r="3057" spans="29:120" x14ac:dyDescent="0.25">
      <c r="AC3057" s="122" t="s">
        <v>311</v>
      </c>
      <c r="AD3057" s="122" t="s">
        <v>3381</v>
      </c>
      <c r="AE3057" s="127">
        <v>2</v>
      </c>
      <c r="DA3057" s="122" t="s">
        <v>357</v>
      </c>
      <c r="DB3057" s="122" t="s">
        <v>5511</v>
      </c>
      <c r="DC3057" s="122" t="s">
        <v>5511</v>
      </c>
      <c r="DD3057" s="127">
        <v>7</v>
      </c>
      <c r="DE3057" s="127">
        <v>7</v>
      </c>
      <c r="DG3057" s="405" t="s">
        <v>357</v>
      </c>
      <c r="DH3057" s="406" t="s">
        <v>5511</v>
      </c>
      <c r="DI3057" s="406" t="str">
        <f t="shared" si="79"/>
        <v>PI, Geminiano</v>
      </c>
      <c r="DJ3057" s="406">
        <v>-7.1580000000000004</v>
      </c>
      <c r="DK3057" s="80">
        <v>-41.360999999999997</v>
      </c>
      <c r="DL3057" s="80">
        <v>260</v>
      </c>
      <c r="DM3057" s="64">
        <v>7</v>
      </c>
      <c r="DN3057" s="406" t="s">
        <v>7637</v>
      </c>
      <c r="DO3057" s="406">
        <v>-7.07</v>
      </c>
      <c r="DP3057" s="80">
        <v>233</v>
      </c>
    </row>
    <row r="3058" spans="29:120" x14ac:dyDescent="0.25">
      <c r="AC3058" s="122" t="s">
        <v>333</v>
      </c>
      <c r="AD3058" s="122" t="s">
        <v>3382</v>
      </c>
      <c r="AE3058" s="127">
        <v>4</v>
      </c>
      <c r="DA3058" s="122" t="s">
        <v>357</v>
      </c>
      <c r="DB3058" s="122" t="s">
        <v>5217</v>
      </c>
      <c r="DC3058" s="122" t="s">
        <v>5217</v>
      </c>
      <c r="DD3058" s="127">
        <v>7</v>
      </c>
      <c r="DE3058" s="127">
        <v>7</v>
      </c>
      <c r="DG3058" s="405" t="s">
        <v>357</v>
      </c>
      <c r="DH3058" s="406" t="s">
        <v>5217</v>
      </c>
      <c r="DI3058" s="406" t="str">
        <f t="shared" si="79"/>
        <v>PI, Gilbués</v>
      </c>
      <c r="DJ3058" s="406">
        <v>-9.8320000000000007</v>
      </c>
      <c r="DK3058" s="80">
        <v>-45.344000000000001</v>
      </c>
      <c r="DL3058" s="80">
        <v>481</v>
      </c>
      <c r="DM3058" s="64">
        <v>7</v>
      </c>
      <c r="DN3058" s="406" t="s">
        <v>7652</v>
      </c>
      <c r="DO3058" s="406">
        <v>-9.8699999999999992</v>
      </c>
      <c r="DP3058" s="80">
        <v>425</v>
      </c>
    </row>
    <row r="3059" spans="29:120" x14ac:dyDescent="0.25">
      <c r="AC3059" s="122" t="s">
        <v>311</v>
      </c>
      <c r="AD3059" s="122" t="s">
        <v>3383</v>
      </c>
      <c r="AE3059" s="127">
        <v>3</v>
      </c>
      <c r="DA3059" s="122" t="s">
        <v>357</v>
      </c>
      <c r="DB3059" s="122" t="s">
        <v>4759</v>
      </c>
      <c r="DC3059" s="122" t="s">
        <v>4759</v>
      </c>
      <c r="DD3059" s="127">
        <v>7</v>
      </c>
      <c r="DE3059" s="127">
        <v>7</v>
      </c>
      <c r="DG3059" s="405" t="s">
        <v>357</v>
      </c>
      <c r="DH3059" s="406" t="s">
        <v>4759</v>
      </c>
      <c r="DI3059" s="406" t="str">
        <f t="shared" si="79"/>
        <v>PI, Guadalupe</v>
      </c>
      <c r="DJ3059" s="406">
        <v>-6.7869999999999999</v>
      </c>
      <c r="DK3059" s="80">
        <v>-43.569000000000003</v>
      </c>
      <c r="DL3059" s="80">
        <v>177</v>
      </c>
      <c r="DM3059" s="64">
        <v>7</v>
      </c>
      <c r="DN3059" s="406" t="s">
        <v>6652</v>
      </c>
      <c r="DO3059" s="406">
        <v>-6.77</v>
      </c>
      <c r="DP3059" s="80">
        <v>123</v>
      </c>
    </row>
    <row r="3060" spans="29:120" x14ac:dyDescent="0.25">
      <c r="AC3060" s="122" t="s">
        <v>333</v>
      </c>
      <c r="AD3060" s="122" t="s">
        <v>3384</v>
      </c>
      <c r="AE3060" s="127">
        <v>2</v>
      </c>
      <c r="DA3060" s="122" t="s">
        <v>357</v>
      </c>
      <c r="DB3060" s="122" t="s">
        <v>5528</v>
      </c>
      <c r="DC3060" s="122" t="s">
        <v>5528</v>
      </c>
      <c r="DD3060" s="127">
        <v>7</v>
      </c>
      <c r="DE3060" s="127">
        <v>7</v>
      </c>
      <c r="DG3060" s="405" t="s">
        <v>357</v>
      </c>
      <c r="DH3060" s="406" t="s">
        <v>5528</v>
      </c>
      <c r="DI3060" s="406" t="str">
        <f t="shared" si="79"/>
        <v>PI, Guaribas</v>
      </c>
      <c r="DJ3060" s="406">
        <v>-9.3979999999999997</v>
      </c>
      <c r="DK3060" s="80">
        <v>-43.686999999999998</v>
      </c>
      <c r="DL3060" s="80">
        <v>520</v>
      </c>
      <c r="DM3060" s="64">
        <v>7</v>
      </c>
      <c r="DN3060" s="406" t="s">
        <v>6248</v>
      </c>
      <c r="DO3060" s="406">
        <v>-9.2899999999999991</v>
      </c>
      <c r="DP3060" s="80">
        <v>100</v>
      </c>
    </row>
    <row r="3061" spans="29:120" x14ac:dyDescent="0.25">
      <c r="AC3061" s="122" t="s">
        <v>333</v>
      </c>
      <c r="AD3061" s="122" t="s">
        <v>3385</v>
      </c>
      <c r="AE3061" s="127">
        <v>3</v>
      </c>
      <c r="DA3061" s="122" t="s">
        <v>357</v>
      </c>
      <c r="DB3061" s="122" t="s">
        <v>7706</v>
      </c>
      <c r="DC3061" s="122" t="s">
        <v>4712</v>
      </c>
      <c r="DD3061" s="127">
        <v>7</v>
      </c>
      <c r="DE3061" s="127">
        <v>7</v>
      </c>
      <c r="DG3061" s="405" t="s">
        <v>357</v>
      </c>
      <c r="DH3061" s="406" t="s">
        <v>4712</v>
      </c>
      <c r="DI3061" s="406" t="str">
        <f t="shared" si="79"/>
        <v>PI, Hugo Napoleão</v>
      </c>
      <c r="DJ3061" s="406">
        <v>-5.9889999999999999</v>
      </c>
      <c r="DK3061" s="80">
        <v>-42.555999999999997</v>
      </c>
      <c r="DL3061" s="80">
        <v>232</v>
      </c>
      <c r="DM3061" s="64">
        <v>7</v>
      </c>
      <c r="DN3061" s="406" t="s">
        <v>6730</v>
      </c>
      <c r="DO3061" s="406">
        <v>-5.91</v>
      </c>
      <c r="DP3061" s="80">
        <v>287</v>
      </c>
    </row>
    <row r="3062" spans="29:120" x14ac:dyDescent="0.25">
      <c r="AC3062" s="122" t="s">
        <v>358</v>
      </c>
      <c r="AD3062" s="122" t="s">
        <v>3386</v>
      </c>
      <c r="AE3062" s="127">
        <v>5</v>
      </c>
      <c r="DA3062" s="122" t="s">
        <v>357</v>
      </c>
      <c r="DB3062" s="122" t="s">
        <v>7707</v>
      </c>
      <c r="DC3062" s="122" t="s">
        <v>4351</v>
      </c>
      <c r="DD3062" s="127">
        <v>8</v>
      </c>
      <c r="DE3062" s="127">
        <v>8</v>
      </c>
      <c r="DG3062" s="405" t="s">
        <v>357</v>
      </c>
      <c r="DH3062" s="406" t="s">
        <v>4351</v>
      </c>
      <c r="DI3062" s="406" t="str">
        <f t="shared" si="79"/>
        <v>PI, Ilha Grande</v>
      </c>
      <c r="DJ3062" s="406">
        <v>-2.8580000000000001</v>
      </c>
      <c r="DK3062" s="80">
        <v>-41.820999999999998</v>
      </c>
      <c r="DL3062" s="80">
        <v>10</v>
      </c>
      <c r="DM3062" s="64">
        <v>8</v>
      </c>
      <c r="DN3062" s="406" t="s">
        <v>6416</v>
      </c>
      <c r="DO3062" s="406">
        <v>-2.9</v>
      </c>
      <c r="DP3062" s="80">
        <v>80</v>
      </c>
    </row>
    <row r="3063" spans="29:120" x14ac:dyDescent="0.25">
      <c r="AC3063" s="122" t="s">
        <v>311</v>
      </c>
      <c r="AD3063" s="122" t="s">
        <v>1581</v>
      </c>
      <c r="AE3063" s="127">
        <v>4</v>
      </c>
      <c r="DA3063" s="122" t="s">
        <v>357</v>
      </c>
      <c r="DB3063" s="122" t="s">
        <v>5556</v>
      </c>
      <c r="DC3063" s="122" t="s">
        <v>5556</v>
      </c>
      <c r="DD3063" s="127">
        <v>7</v>
      </c>
      <c r="DE3063" s="127">
        <v>7</v>
      </c>
      <c r="DG3063" s="405" t="s">
        <v>357</v>
      </c>
      <c r="DH3063" s="406" t="s">
        <v>5556</v>
      </c>
      <c r="DI3063" s="406" t="str">
        <f t="shared" si="79"/>
        <v>PI, Inhuma</v>
      </c>
      <c r="DJ3063" s="406">
        <v>-6.6680000000000001</v>
      </c>
      <c r="DK3063" s="80">
        <v>-41.707999999999998</v>
      </c>
      <c r="DL3063" s="80">
        <v>387</v>
      </c>
      <c r="DM3063" s="64">
        <v>7</v>
      </c>
      <c r="DN3063" s="406" t="s">
        <v>7645</v>
      </c>
      <c r="DO3063" s="406">
        <v>-6.4</v>
      </c>
      <c r="DP3063" s="80">
        <v>301</v>
      </c>
    </row>
    <row r="3064" spans="29:120" x14ac:dyDescent="0.25">
      <c r="AC3064" s="122" t="s">
        <v>311</v>
      </c>
      <c r="AD3064" s="122" t="s">
        <v>1338</v>
      </c>
      <c r="AE3064" s="127">
        <v>3</v>
      </c>
      <c r="DA3064" s="122" t="s">
        <v>357</v>
      </c>
      <c r="DB3064" s="122" t="s">
        <v>7708</v>
      </c>
      <c r="DC3064" s="122" t="s">
        <v>5578</v>
      </c>
      <c r="DD3064" s="127">
        <v>7</v>
      </c>
      <c r="DE3064" s="127">
        <v>7</v>
      </c>
      <c r="DG3064" s="405" t="s">
        <v>357</v>
      </c>
      <c r="DH3064" s="406" t="s">
        <v>5578</v>
      </c>
      <c r="DI3064" s="406" t="str">
        <f t="shared" si="79"/>
        <v>PI, Ipiranga do Piauí</v>
      </c>
      <c r="DJ3064" s="406">
        <v>-6.8280000000000003</v>
      </c>
      <c r="DK3064" s="80">
        <v>-41.741</v>
      </c>
      <c r="DL3064" s="80">
        <v>424</v>
      </c>
      <c r="DM3064" s="64">
        <v>7</v>
      </c>
      <c r="DN3064" s="406" t="s">
        <v>7637</v>
      </c>
      <c r="DO3064" s="406">
        <v>-7.07</v>
      </c>
      <c r="DP3064" s="80">
        <v>233</v>
      </c>
    </row>
    <row r="3065" spans="29:120" x14ac:dyDescent="0.25">
      <c r="AC3065" s="122" t="s">
        <v>333</v>
      </c>
      <c r="AD3065" s="122" t="s">
        <v>3387</v>
      </c>
      <c r="AE3065" s="127">
        <v>2</v>
      </c>
      <c r="DA3065" s="122" t="s">
        <v>357</v>
      </c>
      <c r="DB3065" s="122" t="s">
        <v>7709</v>
      </c>
      <c r="DC3065" s="122" t="s">
        <v>4664</v>
      </c>
      <c r="DD3065" s="127">
        <v>7</v>
      </c>
      <c r="DE3065" s="127">
        <v>7</v>
      </c>
      <c r="DG3065" s="405" t="s">
        <v>357</v>
      </c>
      <c r="DH3065" s="406" t="s">
        <v>4664</v>
      </c>
      <c r="DI3065" s="406" t="str">
        <f t="shared" si="79"/>
        <v>PI, Isaías Coelho</v>
      </c>
      <c r="DJ3065" s="406">
        <v>-7.7380000000000004</v>
      </c>
      <c r="DK3065" s="80">
        <v>-41.676000000000002</v>
      </c>
      <c r="DL3065" s="80">
        <v>260</v>
      </c>
      <c r="DM3065" s="64">
        <v>7</v>
      </c>
      <c r="DN3065" s="406" t="s">
        <v>7588</v>
      </c>
      <c r="DO3065" s="406">
        <v>-8.14</v>
      </c>
      <c r="DP3065" s="80">
        <v>374</v>
      </c>
    </row>
    <row r="3066" spans="29:120" x14ac:dyDescent="0.25">
      <c r="AC3066" s="122" t="s">
        <v>358</v>
      </c>
      <c r="AD3066" s="122" t="s">
        <v>3388</v>
      </c>
      <c r="AE3066" s="127">
        <v>3</v>
      </c>
      <c r="DA3066" s="122" t="s">
        <v>357</v>
      </c>
      <c r="DB3066" s="122" t="s">
        <v>5512</v>
      </c>
      <c r="DC3066" s="122" t="s">
        <v>5512</v>
      </c>
      <c r="DD3066" s="127">
        <v>7</v>
      </c>
      <c r="DE3066" s="127">
        <v>7</v>
      </c>
      <c r="DG3066" s="405" t="s">
        <v>357</v>
      </c>
      <c r="DH3066" s="406" t="s">
        <v>5512</v>
      </c>
      <c r="DI3066" s="406" t="str">
        <f t="shared" si="79"/>
        <v>PI, Itainópolis</v>
      </c>
      <c r="DJ3066" s="406">
        <v>-7.4470000000000001</v>
      </c>
      <c r="DK3066" s="80">
        <v>-41.478000000000002</v>
      </c>
      <c r="DL3066" s="80">
        <v>200</v>
      </c>
      <c r="DM3066" s="64">
        <v>7</v>
      </c>
      <c r="DN3066" s="406" t="s">
        <v>7637</v>
      </c>
      <c r="DO3066" s="406">
        <v>-7.07</v>
      </c>
      <c r="DP3066" s="80">
        <v>233</v>
      </c>
    </row>
    <row r="3067" spans="29:120" x14ac:dyDescent="0.25">
      <c r="AC3067" s="122" t="s">
        <v>311</v>
      </c>
      <c r="AD3067" s="122" t="s">
        <v>3389</v>
      </c>
      <c r="AE3067" s="127">
        <v>2</v>
      </c>
      <c r="DA3067" s="122" t="s">
        <v>357</v>
      </c>
      <c r="DB3067" s="122" t="s">
        <v>4700</v>
      </c>
      <c r="DC3067" s="122" t="s">
        <v>4700</v>
      </c>
      <c r="DD3067" s="127">
        <v>7</v>
      </c>
      <c r="DE3067" s="127">
        <v>7</v>
      </c>
      <c r="DG3067" s="405" t="s">
        <v>357</v>
      </c>
      <c r="DH3067" s="406" t="s">
        <v>4700</v>
      </c>
      <c r="DI3067" s="406" t="str">
        <f t="shared" si="79"/>
        <v>PI, Itaueira</v>
      </c>
      <c r="DJ3067" s="406">
        <v>-7.6029999999999998</v>
      </c>
      <c r="DK3067" s="80">
        <v>-43.026000000000003</v>
      </c>
      <c r="DL3067" s="80">
        <v>258</v>
      </c>
      <c r="DM3067" s="64">
        <v>7</v>
      </c>
      <c r="DN3067" s="406" t="s">
        <v>6652</v>
      </c>
      <c r="DO3067" s="406">
        <v>-6.77</v>
      </c>
      <c r="DP3067" s="80">
        <v>123</v>
      </c>
    </row>
    <row r="3068" spans="29:120" x14ac:dyDescent="0.25">
      <c r="AC3068" s="122" t="s">
        <v>311</v>
      </c>
      <c r="AD3068" s="122" t="s">
        <v>3390</v>
      </c>
      <c r="AE3068" s="127">
        <v>2</v>
      </c>
      <c r="DA3068" s="122" t="s">
        <v>357</v>
      </c>
      <c r="DB3068" s="122" t="s">
        <v>7710</v>
      </c>
      <c r="DC3068" s="122" t="s">
        <v>5131</v>
      </c>
      <c r="DD3068" s="127">
        <v>7</v>
      </c>
      <c r="DE3068" s="127">
        <v>7</v>
      </c>
      <c r="DG3068" s="405" t="s">
        <v>357</v>
      </c>
      <c r="DH3068" s="406" t="s">
        <v>5131</v>
      </c>
      <c r="DI3068" s="406" t="str">
        <f t="shared" si="79"/>
        <v>PI, Jacobina do Piauí</v>
      </c>
      <c r="DJ3068" s="406">
        <v>-7.9349999999999996</v>
      </c>
      <c r="DK3068" s="80">
        <v>-41.21</v>
      </c>
      <c r="DL3068" s="80">
        <v>316</v>
      </c>
      <c r="DM3068" s="64">
        <v>7</v>
      </c>
      <c r="DN3068" s="406" t="s">
        <v>7588</v>
      </c>
      <c r="DO3068" s="406">
        <v>-8.14</v>
      </c>
      <c r="DP3068" s="80">
        <v>374</v>
      </c>
    </row>
    <row r="3069" spans="29:120" x14ac:dyDescent="0.25">
      <c r="AC3069" s="122" t="s">
        <v>333</v>
      </c>
      <c r="AD3069" s="122" t="s">
        <v>3391</v>
      </c>
      <c r="AE3069" s="127">
        <v>3</v>
      </c>
      <c r="DA3069" s="122" t="s">
        <v>357</v>
      </c>
      <c r="DB3069" s="122" t="s">
        <v>5475</v>
      </c>
      <c r="DC3069" s="122" t="s">
        <v>5475</v>
      </c>
      <c r="DD3069" s="127">
        <v>7</v>
      </c>
      <c r="DE3069" s="127">
        <v>7</v>
      </c>
      <c r="DG3069" s="405" t="s">
        <v>357</v>
      </c>
      <c r="DH3069" s="406" t="s">
        <v>5475</v>
      </c>
      <c r="DI3069" s="406" t="str">
        <f t="shared" si="79"/>
        <v>PI, Jaicós</v>
      </c>
      <c r="DJ3069" s="406">
        <v>-7.359</v>
      </c>
      <c r="DK3069" s="80">
        <v>-41.137999999999998</v>
      </c>
      <c r="DL3069" s="80">
        <v>280</v>
      </c>
      <c r="DM3069" s="64">
        <v>7</v>
      </c>
      <c r="DN3069" s="406" t="s">
        <v>7637</v>
      </c>
      <c r="DO3069" s="406">
        <v>-7.07</v>
      </c>
      <c r="DP3069" s="80">
        <v>233</v>
      </c>
    </row>
    <row r="3070" spans="29:120" x14ac:dyDescent="0.25">
      <c r="AC3070" s="122" t="s">
        <v>333</v>
      </c>
      <c r="AD3070" s="122" t="s">
        <v>3392</v>
      </c>
      <c r="AE3070" s="127">
        <v>4</v>
      </c>
      <c r="DA3070" s="122" t="s">
        <v>357</v>
      </c>
      <c r="DB3070" s="122" t="s">
        <v>7711</v>
      </c>
      <c r="DC3070" s="122" t="s">
        <v>4708</v>
      </c>
      <c r="DD3070" s="127">
        <v>7</v>
      </c>
      <c r="DE3070" s="127">
        <v>7</v>
      </c>
      <c r="DG3070" s="405" t="s">
        <v>357</v>
      </c>
      <c r="DH3070" s="406" t="s">
        <v>4708</v>
      </c>
      <c r="DI3070" s="406" t="str">
        <f t="shared" si="79"/>
        <v>PI, Jardim do Mulato</v>
      </c>
      <c r="DJ3070" s="406">
        <v>-6.0990000000000002</v>
      </c>
      <c r="DK3070" s="80">
        <v>-42.63</v>
      </c>
      <c r="DL3070" s="80">
        <v>205</v>
      </c>
      <c r="DM3070" s="64">
        <v>7</v>
      </c>
      <c r="DN3070" s="406" t="s">
        <v>6730</v>
      </c>
      <c r="DO3070" s="406">
        <v>-5.91</v>
      </c>
      <c r="DP3070" s="80">
        <v>287</v>
      </c>
    </row>
    <row r="3071" spans="29:120" x14ac:dyDescent="0.25">
      <c r="AC3071" s="122" t="s">
        <v>376</v>
      </c>
      <c r="AD3071" s="122" t="s">
        <v>3393</v>
      </c>
      <c r="AE3071" s="127">
        <v>3</v>
      </c>
      <c r="DA3071" s="122" t="s">
        <v>357</v>
      </c>
      <c r="DB3071" s="122" t="s">
        <v>7712</v>
      </c>
      <c r="DC3071" s="122" t="s">
        <v>5613</v>
      </c>
      <c r="DD3071" s="127">
        <v>7</v>
      </c>
      <c r="DE3071" s="127">
        <v>7</v>
      </c>
      <c r="DG3071" s="405" t="s">
        <v>357</v>
      </c>
      <c r="DH3071" s="406" t="s">
        <v>5613</v>
      </c>
      <c r="DI3071" s="406" t="str">
        <f t="shared" si="79"/>
        <v>PI, Jatobá do Piauí</v>
      </c>
      <c r="DJ3071" s="406">
        <v>-4.7709999999999999</v>
      </c>
      <c r="DK3071" s="80">
        <v>-41.817999999999998</v>
      </c>
      <c r="DL3071" s="80">
        <v>240</v>
      </c>
      <c r="DM3071" s="64">
        <v>7</v>
      </c>
      <c r="DN3071" s="406" t="s">
        <v>6421</v>
      </c>
      <c r="DO3071" s="406">
        <v>-4.2699999999999996</v>
      </c>
      <c r="DP3071" s="80">
        <v>161</v>
      </c>
    </row>
    <row r="3072" spans="29:120" x14ac:dyDescent="0.25">
      <c r="AC3072" s="122" t="s">
        <v>333</v>
      </c>
      <c r="AD3072" s="122" t="s">
        <v>3394</v>
      </c>
      <c r="AE3072" s="127">
        <v>3</v>
      </c>
      <c r="DA3072" s="122" t="s">
        <v>357</v>
      </c>
      <c r="DB3072" s="122" t="s">
        <v>5288</v>
      </c>
      <c r="DC3072" s="122" t="s">
        <v>5288</v>
      </c>
      <c r="DD3072" s="127">
        <v>7</v>
      </c>
      <c r="DE3072" s="127">
        <v>7</v>
      </c>
      <c r="DG3072" s="405" t="s">
        <v>357</v>
      </c>
      <c r="DH3072" s="406" t="s">
        <v>5288</v>
      </c>
      <c r="DI3072" s="406" t="str">
        <f t="shared" si="79"/>
        <v>PI, Jerumenha</v>
      </c>
      <c r="DJ3072" s="406">
        <v>-7.0880000000000001</v>
      </c>
      <c r="DK3072" s="80">
        <v>-43.51</v>
      </c>
      <c r="DL3072" s="80">
        <v>145</v>
      </c>
      <c r="DM3072" s="64">
        <v>7</v>
      </c>
      <c r="DN3072" s="406" t="s">
        <v>6652</v>
      </c>
      <c r="DO3072" s="406">
        <v>-6.77</v>
      </c>
      <c r="DP3072" s="80">
        <v>123</v>
      </c>
    </row>
    <row r="3073" spans="29:120" x14ac:dyDescent="0.25">
      <c r="AC3073" s="122" t="s">
        <v>336</v>
      </c>
      <c r="AD3073" s="122" t="s">
        <v>3395</v>
      </c>
      <c r="AE3073" s="127">
        <v>5</v>
      </c>
      <c r="DA3073" s="122" t="s">
        <v>357</v>
      </c>
      <c r="DB3073" s="122" t="s">
        <v>7713</v>
      </c>
      <c r="DC3073" s="122" t="s">
        <v>4490</v>
      </c>
      <c r="DD3073" s="127">
        <v>7</v>
      </c>
      <c r="DE3073" s="127">
        <v>7</v>
      </c>
      <c r="DG3073" s="405" t="s">
        <v>357</v>
      </c>
      <c r="DH3073" s="406" t="s">
        <v>4490</v>
      </c>
      <c r="DI3073" s="406" t="str">
        <f t="shared" si="79"/>
        <v>PI, João Costa</v>
      </c>
      <c r="DJ3073" s="406">
        <v>-8.5109999999999992</v>
      </c>
      <c r="DK3073" s="80">
        <v>-42.414000000000001</v>
      </c>
      <c r="DL3073" s="80">
        <v>300</v>
      </c>
      <c r="DM3073" s="64">
        <v>7</v>
      </c>
      <c r="DN3073" s="406" t="s">
        <v>7655</v>
      </c>
      <c r="DO3073" s="406">
        <v>-8.36</v>
      </c>
      <c r="DP3073" s="80">
        <v>235</v>
      </c>
    </row>
    <row r="3074" spans="29:120" x14ac:dyDescent="0.25">
      <c r="AC3074" s="122" t="s">
        <v>236</v>
      </c>
      <c r="AD3074" s="122" t="s">
        <v>3396</v>
      </c>
      <c r="AE3074" s="127">
        <v>2</v>
      </c>
      <c r="DA3074" s="122" t="s">
        <v>357</v>
      </c>
      <c r="DB3074" s="122" t="s">
        <v>7714</v>
      </c>
      <c r="DC3074" s="122" t="s">
        <v>5606</v>
      </c>
      <c r="DD3074" s="127">
        <v>8</v>
      </c>
      <c r="DE3074" s="127">
        <v>8</v>
      </c>
      <c r="DG3074" s="405" t="s">
        <v>357</v>
      </c>
      <c r="DH3074" s="406" t="s">
        <v>5606</v>
      </c>
      <c r="DI3074" s="406" t="str">
        <f t="shared" si="79"/>
        <v>PI, Joaquim Pires</v>
      </c>
      <c r="DJ3074" s="406">
        <v>-3.508</v>
      </c>
      <c r="DK3074" s="80">
        <v>-42.198</v>
      </c>
      <c r="DL3074" s="80">
        <v>7</v>
      </c>
      <c r="DM3074" s="64">
        <v>8</v>
      </c>
      <c r="DN3074" s="406" t="s">
        <v>6665</v>
      </c>
      <c r="DO3074" s="406">
        <v>-3.9</v>
      </c>
      <c r="DP3074" s="80">
        <v>65</v>
      </c>
    </row>
    <row r="3075" spans="29:120" x14ac:dyDescent="0.25">
      <c r="AC3075" s="122" t="s">
        <v>333</v>
      </c>
      <c r="AD3075" s="122" t="s">
        <v>3397</v>
      </c>
      <c r="AE3075" s="127">
        <v>3</v>
      </c>
      <c r="DA3075" s="122" t="s">
        <v>357</v>
      </c>
      <c r="DB3075" s="122" t="s">
        <v>7715</v>
      </c>
      <c r="DC3075" s="122" t="s">
        <v>5598</v>
      </c>
      <c r="DD3075" s="127">
        <v>8</v>
      </c>
      <c r="DE3075" s="127">
        <v>8</v>
      </c>
      <c r="DG3075" s="405" t="s">
        <v>357</v>
      </c>
      <c r="DH3075" s="406" t="s">
        <v>5598</v>
      </c>
      <c r="DI3075" s="406" t="str">
        <f t="shared" ref="DI3075:DI3138" si="80">CONCATENATE(DG3075,", ",DH3075)</f>
        <v>PI, Joca Marques</v>
      </c>
      <c r="DJ3075" s="406">
        <v>-3.4780000000000002</v>
      </c>
      <c r="DK3075" s="80">
        <v>-42.427999999999997</v>
      </c>
      <c r="DL3075" s="80">
        <v>24</v>
      </c>
      <c r="DM3075" s="64">
        <v>8</v>
      </c>
      <c r="DN3075" s="406" t="s">
        <v>6665</v>
      </c>
      <c r="DO3075" s="406">
        <v>-3.9</v>
      </c>
      <c r="DP3075" s="80">
        <v>65</v>
      </c>
    </row>
    <row r="3076" spans="29:120" x14ac:dyDescent="0.25">
      <c r="AC3076" s="122" t="s">
        <v>333</v>
      </c>
      <c r="AD3076" s="122" t="s">
        <v>3398</v>
      </c>
      <c r="AE3076" s="127">
        <v>3</v>
      </c>
      <c r="DA3076" s="122" t="s">
        <v>357</v>
      </c>
      <c r="DB3076" s="122" t="s">
        <v>7716</v>
      </c>
      <c r="DC3076" s="122" t="s">
        <v>5369</v>
      </c>
      <c r="DD3076" s="127">
        <v>7</v>
      </c>
      <c r="DE3076" s="127">
        <v>7</v>
      </c>
      <c r="DG3076" s="405" t="s">
        <v>357</v>
      </c>
      <c r="DH3076" s="406" t="s">
        <v>5369</v>
      </c>
      <c r="DI3076" s="406" t="str">
        <f t="shared" si="80"/>
        <v>PI, José de Freitas</v>
      </c>
      <c r="DJ3076" s="406">
        <v>-4.7560000000000002</v>
      </c>
      <c r="DK3076" s="80">
        <v>-42.576000000000001</v>
      </c>
      <c r="DL3076" s="80">
        <v>138</v>
      </c>
      <c r="DM3076" s="64">
        <v>7</v>
      </c>
      <c r="DN3076" s="406" t="s">
        <v>6718</v>
      </c>
      <c r="DO3076" s="406">
        <v>-5.09</v>
      </c>
      <c r="DP3076" s="80">
        <v>74</v>
      </c>
    </row>
    <row r="3077" spans="29:120" x14ac:dyDescent="0.25">
      <c r="AC3077" s="122" t="s">
        <v>333</v>
      </c>
      <c r="AD3077" s="122" t="s">
        <v>3399</v>
      </c>
      <c r="AE3077" s="127">
        <v>3</v>
      </c>
      <c r="DA3077" s="122" t="s">
        <v>357</v>
      </c>
      <c r="DB3077" s="122" t="s">
        <v>7717</v>
      </c>
      <c r="DC3077" s="122" t="s">
        <v>5664</v>
      </c>
      <c r="DD3077" s="127">
        <v>7</v>
      </c>
      <c r="DE3077" s="127">
        <v>7</v>
      </c>
      <c r="DG3077" s="405" t="s">
        <v>357</v>
      </c>
      <c r="DH3077" s="406" t="s">
        <v>5664</v>
      </c>
      <c r="DI3077" s="406" t="str">
        <f t="shared" si="80"/>
        <v>PI, Juazeiro do Piauí</v>
      </c>
      <c r="DJ3077" s="406">
        <v>-5.1719999999999997</v>
      </c>
      <c r="DK3077" s="80">
        <v>-41.703000000000003</v>
      </c>
      <c r="DL3077" s="80">
        <v>175</v>
      </c>
      <c r="DM3077" s="64">
        <v>7</v>
      </c>
      <c r="DN3077" s="406" t="s">
        <v>7683</v>
      </c>
      <c r="DO3077" s="406">
        <v>-5.35</v>
      </c>
      <c r="DP3077" s="80">
        <v>286</v>
      </c>
    </row>
    <row r="3078" spans="29:120" x14ac:dyDescent="0.25">
      <c r="AC3078" s="122" t="s">
        <v>336</v>
      </c>
      <c r="AD3078" s="122" t="s">
        <v>3400</v>
      </c>
      <c r="AE3078" s="127">
        <v>3</v>
      </c>
      <c r="DA3078" s="122" t="s">
        <v>357</v>
      </c>
      <c r="DB3078" s="122" t="s">
        <v>7718</v>
      </c>
      <c r="DC3078" s="122" t="s">
        <v>4489</v>
      </c>
      <c r="DD3078" s="127">
        <v>6</v>
      </c>
      <c r="DE3078" s="127">
        <v>6</v>
      </c>
      <c r="DG3078" s="405" t="s">
        <v>357</v>
      </c>
      <c r="DH3078" s="406" t="s">
        <v>4489</v>
      </c>
      <c r="DI3078" s="406" t="str">
        <f t="shared" si="80"/>
        <v>PI, Júlio Borges</v>
      </c>
      <c r="DJ3078" s="406">
        <v>-10.323</v>
      </c>
      <c r="DK3078" s="80">
        <v>-44.238</v>
      </c>
      <c r="DL3078" s="80">
        <v>389</v>
      </c>
      <c r="DM3078" s="64">
        <v>6</v>
      </c>
      <c r="DN3078" s="406" t="s">
        <v>6238</v>
      </c>
      <c r="DO3078" s="406">
        <v>-10.72</v>
      </c>
      <c r="DP3078" s="80">
        <v>502</v>
      </c>
    </row>
    <row r="3079" spans="29:120" x14ac:dyDescent="0.25">
      <c r="AC3079" s="122" t="s">
        <v>333</v>
      </c>
      <c r="AD3079" s="122" t="s">
        <v>3401</v>
      </c>
      <c r="AE3079" s="127">
        <v>3</v>
      </c>
      <c r="DA3079" s="122" t="s">
        <v>357</v>
      </c>
      <c r="DB3079" s="122" t="s">
        <v>1913</v>
      </c>
      <c r="DC3079" s="122" t="s">
        <v>1913</v>
      </c>
      <c r="DD3079" s="127">
        <v>7</v>
      </c>
      <c r="DE3079" s="127">
        <v>7</v>
      </c>
      <c r="DG3079" s="405" t="s">
        <v>357</v>
      </c>
      <c r="DH3079" s="406" t="s">
        <v>1913</v>
      </c>
      <c r="DI3079" s="406" t="str">
        <f t="shared" si="80"/>
        <v>PI, Jurema</v>
      </c>
      <c r="DJ3079" s="406">
        <v>-9.2309999999999999</v>
      </c>
      <c r="DK3079" s="80">
        <v>-43.128</v>
      </c>
      <c r="DL3079" s="80">
        <v>535</v>
      </c>
      <c r="DM3079" s="64">
        <v>7</v>
      </c>
      <c r="DN3079" s="406" t="s">
        <v>6248</v>
      </c>
      <c r="DO3079" s="406">
        <v>-9.2899999999999991</v>
      </c>
      <c r="DP3079" s="80">
        <v>100</v>
      </c>
    </row>
    <row r="3080" spans="29:120" x14ac:dyDescent="0.25">
      <c r="AC3080" s="122" t="s">
        <v>333</v>
      </c>
      <c r="AD3080" s="122" t="s">
        <v>3402</v>
      </c>
      <c r="AE3080" s="127">
        <v>3</v>
      </c>
      <c r="DA3080" s="122" t="s">
        <v>357</v>
      </c>
      <c r="DB3080" s="122" t="s">
        <v>7719</v>
      </c>
      <c r="DC3080" s="122" t="s">
        <v>5503</v>
      </c>
      <c r="DD3080" s="127">
        <v>7</v>
      </c>
      <c r="DE3080" s="127">
        <v>7</v>
      </c>
      <c r="DG3080" s="405" t="s">
        <v>357</v>
      </c>
      <c r="DH3080" s="406" t="s">
        <v>5503</v>
      </c>
      <c r="DI3080" s="406" t="str">
        <f t="shared" si="80"/>
        <v>PI, Lagoa Alegre</v>
      </c>
      <c r="DJ3080" s="406">
        <v>-4.516</v>
      </c>
      <c r="DK3080" s="80">
        <v>-42.625</v>
      </c>
      <c r="DL3080" s="80">
        <v>114</v>
      </c>
      <c r="DM3080" s="64">
        <v>7</v>
      </c>
      <c r="DN3080" s="406" t="s">
        <v>6718</v>
      </c>
      <c r="DO3080" s="406">
        <v>-5.09</v>
      </c>
      <c r="DP3080" s="80">
        <v>74</v>
      </c>
    </row>
    <row r="3081" spans="29:120" x14ac:dyDescent="0.25">
      <c r="AC3081" s="122" t="s">
        <v>317</v>
      </c>
      <c r="AD3081" s="122" t="s">
        <v>3403</v>
      </c>
      <c r="AE3081" s="127">
        <v>5</v>
      </c>
      <c r="DA3081" s="122" t="s">
        <v>357</v>
      </c>
      <c r="DB3081" s="122" t="s">
        <v>7720</v>
      </c>
      <c r="DC3081" s="122" t="s">
        <v>5616</v>
      </c>
      <c r="DD3081" s="127">
        <v>7</v>
      </c>
      <c r="DE3081" s="127">
        <v>7</v>
      </c>
      <c r="DG3081" s="405" t="s">
        <v>357</v>
      </c>
      <c r="DH3081" s="406" t="s">
        <v>5616</v>
      </c>
      <c r="DI3081" s="406" t="str">
        <f t="shared" si="80"/>
        <v>PI, Lagoa de São Francisco</v>
      </c>
      <c r="DJ3081" s="406">
        <v>-4.3920000000000003</v>
      </c>
      <c r="DK3081" s="80">
        <v>-41.600999999999999</v>
      </c>
      <c r="DL3081" s="80">
        <v>368</v>
      </c>
      <c r="DM3081" s="64">
        <v>7</v>
      </c>
      <c r="DN3081" s="406" t="s">
        <v>6421</v>
      </c>
      <c r="DO3081" s="406">
        <v>-4.2699999999999996</v>
      </c>
      <c r="DP3081" s="80">
        <v>161</v>
      </c>
    </row>
    <row r="3082" spans="29:120" x14ac:dyDescent="0.25">
      <c r="AC3082" s="122" t="s">
        <v>333</v>
      </c>
      <c r="AD3082" s="122" t="s">
        <v>3404</v>
      </c>
      <c r="AE3082" s="127">
        <v>3</v>
      </c>
      <c r="DA3082" s="122" t="s">
        <v>357</v>
      </c>
      <c r="DB3082" s="122" t="s">
        <v>7721</v>
      </c>
      <c r="DC3082" s="122" t="s">
        <v>4472</v>
      </c>
      <c r="DD3082" s="127">
        <v>7</v>
      </c>
      <c r="DE3082" s="127">
        <v>7</v>
      </c>
      <c r="DG3082" s="405" t="s">
        <v>357</v>
      </c>
      <c r="DH3082" s="406" t="s">
        <v>4472</v>
      </c>
      <c r="DI3082" s="406" t="str">
        <f t="shared" si="80"/>
        <v>PI, Lagoa do Barro do Piauí</v>
      </c>
      <c r="DJ3082" s="406">
        <v>-8.4779999999999998</v>
      </c>
      <c r="DK3082" s="80">
        <v>-41.527000000000001</v>
      </c>
      <c r="DL3082" s="80">
        <v>456</v>
      </c>
      <c r="DM3082" s="64">
        <v>7</v>
      </c>
      <c r="DN3082" s="406" t="s">
        <v>7588</v>
      </c>
      <c r="DO3082" s="406">
        <v>-8.14</v>
      </c>
      <c r="DP3082" s="80">
        <v>374</v>
      </c>
    </row>
    <row r="3083" spans="29:120" x14ac:dyDescent="0.25">
      <c r="AC3083" s="122" t="s">
        <v>358</v>
      </c>
      <c r="AD3083" s="122" t="s">
        <v>3405</v>
      </c>
      <c r="AE3083" s="127">
        <v>3</v>
      </c>
      <c r="DA3083" s="122" t="s">
        <v>357</v>
      </c>
      <c r="DB3083" s="122" t="s">
        <v>7722</v>
      </c>
      <c r="DC3083" s="122" t="s">
        <v>4855</v>
      </c>
      <c r="DD3083" s="127">
        <v>7</v>
      </c>
      <c r="DE3083" s="127">
        <v>7</v>
      </c>
      <c r="DG3083" s="405" t="s">
        <v>357</v>
      </c>
      <c r="DH3083" s="406" t="s">
        <v>4855</v>
      </c>
      <c r="DI3083" s="406" t="str">
        <f t="shared" si="80"/>
        <v>PI, Lagoa do Piauí</v>
      </c>
      <c r="DJ3083" s="406">
        <v>-5.415</v>
      </c>
      <c r="DK3083" s="80">
        <v>-42.643000000000001</v>
      </c>
      <c r="DL3083" s="80">
        <v>185</v>
      </c>
      <c r="DM3083" s="64">
        <v>7</v>
      </c>
      <c r="DN3083" s="406" t="s">
        <v>6718</v>
      </c>
      <c r="DO3083" s="406">
        <v>-5.09</v>
      </c>
      <c r="DP3083" s="80">
        <v>74</v>
      </c>
    </row>
    <row r="3084" spans="29:120" x14ac:dyDescent="0.25">
      <c r="AC3084" s="122" t="s">
        <v>311</v>
      </c>
      <c r="AD3084" s="122" t="s">
        <v>3406</v>
      </c>
      <c r="AE3084" s="127">
        <v>2</v>
      </c>
      <c r="DA3084" s="122" t="s">
        <v>357</v>
      </c>
      <c r="DB3084" s="122" t="s">
        <v>7723</v>
      </c>
      <c r="DC3084" s="122" t="s">
        <v>5533</v>
      </c>
      <c r="DD3084" s="127">
        <v>7</v>
      </c>
      <c r="DE3084" s="127">
        <v>7</v>
      </c>
      <c r="DG3084" s="405" t="s">
        <v>357</v>
      </c>
      <c r="DH3084" s="406" t="s">
        <v>5533</v>
      </c>
      <c r="DI3084" s="406" t="str">
        <f t="shared" si="80"/>
        <v>PI, Lagoa do Sítio</v>
      </c>
      <c r="DJ3084" s="406">
        <v>-6.5129999999999999</v>
      </c>
      <c r="DK3084" s="80">
        <v>-41.584000000000003</v>
      </c>
      <c r="DL3084" s="80">
        <v>455</v>
      </c>
      <c r="DM3084" s="64">
        <v>7</v>
      </c>
      <c r="DN3084" s="406" t="s">
        <v>7645</v>
      </c>
      <c r="DO3084" s="406">
        <v>-6.4</v>
      </c>
      <c r="DP3084" s="80">
        <v>301</v>
      </c>
    </row>
    <row r="3085" spans="29:120" x14ac:dyDescent="0.25">
      <c r="AC3085" s="122" t="s">
        <v>311</v>
      </c>
      <c r="AD3085" s="122" t="s">
        <v>3407</v>
      </c>
      <c r="AE3085" s="127">
        <v>3</v>
      </c>
      <c r="DA3085" s="122" t="s">
        <v>357</v>
      </c>
      <c r="DB3085" s="122" t="s">
        <v>7724</v>
      </c>
      <c r="DC3085" s="122" t="s">
        <v>4709</v>
      </c>
      <c r="DD3085" s="127">
        <v>7</v>
      </c>
      <c r="DE3085" s="127">
        <v>7</v>
      </c>
      <c r="DG3085" s="405" t="s">
        <v>357</v>
      </c>
      <c r="DH3085" s="406" t="s">
        <v>4709</v>
      </c>
      <c r="DI3085" s="406" t="str">
        <f t="shared" si="80"/>
        <v>PI, Lagoinha do Piauí</v>
      </c>
      <c r="DJ3085" s="406">
        <v>-5.8310000000000004</v>
      </c>
      <c r="DK3085" s="80">
        <v>-42.622999999999998</v>
      </c>
      <c r="DL3085" s="80">
        <v>240</v>
      </c>
      <c r="DM3085" s="64">
        <v>7</v>
      </c>
      <c r="DN3085" s="406" t="s">
        <v>6730</v>
      </c>
      <c r="DO3085" s="406">
        <v>-5.91</v>
      </c>
      <c r="DP3085" s="80">
        <v>287</v>
      </c>
    </row>
    <row r="3086" spans="29:120" x14ac:dyDescent="0.25">
      <c r="AC3086" s="122" t="s">
        <v>333</v>
      </c>
      <c r="AD3086" s="122" t="s">
        <v>3408</v>
      </c>
      <c r="AE3086" s="127">
        <v>3</v>
      </c>
      <c r="DA3086" s="122" t="s">
        <v>357</v>
      </c>
      <c r="DB3086" s="122" t="s">
        <v>7725</v>
      </c>
      <c r="DC3086" s="122" t="s">
        <v>5305</v>
      </c>
      <c r="DD3086" s="127">
        <v>7</v>
      </c>
      <c r="DE3086" s="127">
        <v>7</v>
      </c>
      <c r="DG3086" s="405" t="s">
        <v>357</v>
      </c>
      <c r="DH3086" s="406" t="s">
        <v>5305</v>
      </c>
      <c r="DI3086" s="406" t="str">
        <f t="shared" si="80"/>
        <v>PI, Landri Sales</v>
      </c>
      <c r="DJ3086" s="406">
        <v>-7.266</v>
      </c>
      <c r="DK3086" s="80">
        <v>-43.93</v>
      </c>
      <c r="DL3086" s="80">
        <v>310</v>
      </c>
      <c r="DM3086" s="64">
        <v>7</v>
      </c>
      <c r="DN3086" s="406" t="s">
        <v>6658</v>
      </c>
      <c r="DO3086" s="406">
        <v>-7.47</v>
      </c>
      <c r="DP3086" s="80">
        <v>393</v>
      </c>
    </row>
    <row r="3087" spans="29:120" x14ac:dyDescent="0.25">
      <c r="AC3087" s="122" t="s">
        <v>336</v>
      </c>
      <c r="AD3087" s="122" t="s">
        <v>3409</v>
      </c>
      <c r="AE3087" s="127">
        <v>5</v>
      </c>
      <c r="DA3087" s="122" t="s">
        <v>357</v>
      </c>
      <c r="DB3087" s="122" t="s">
        <v>7726</v>
      </c>
      <c r="DC3087" s="122" t="s">
        <v>4603</v>
      </c>
      <c r="DD3087" s="127">
        <v>8</v>
      </c>
      <c r="DE3087" s="127">
        <v>8</v>
      </c>
      <c r="DG3087" s="405" t="s">
        <v>357</v>
      </c>
      <c r="DH3087" s="406" t="s">
        <v>4603</v>
      </c>
      <c r="DI3087" s="406" t="str">
        <f t="shared" si="80"/>
        <v>PI, Luís Correia</v>
      </c>
      <c r="DJ3087" s="406">
        <v>-2.879</v>
      </c>
      <c r="DK3087" s="80">
        <v>-41.667000000000002</v>
      </c>
      <c r="DL3087" s="80">
        <v>10</v>
      </c>
      <c r="DM3087" s="64">
        <v>8</v>
      </c>
      <c r="DN3087" s="406" t="s">
        <v>6416</v>
      </c>
      <c r="DO3087" s="406">
        <v>-2.9</v>
      </c>
      <c r="DP3087" s="80">
        <v>80</v>
      </c>
    </row>
    <row r="3088" spans="29:120" x14ac:dyDescent="0.25">
      <c r="AC3088" s="122" t="s">
        <v>289</v>
      </c>
      <c r="AD3088" s="122" t="s">
        <v>3410</v>
      </c>
      <c r="AE3088" s="127">
        <v>8</v>
      </c>
      <c r="DA3088" s="122" t="s">
        <v>357</v>
      </c>
      <c r="DB3088" s="122" t="s">
        <v>5591</v>
      </c>
      <c r="DC3088" s="122" t="s">
        <v>5591</v>
      </c>
      <c r="DD3088" s="127">
        <v>8</v>
      </c>
      <c r="DE3088" s="127">
        <v>8</v>
      </c>
      <c r="DG3088" s="405" t="s">
        <v>357</v>
      </c>
      <c r="DH3088" s="406" t="s">
        <v>5591</v>
      </c>
      <c r="DI3088" s="406" t="str">
        <f t="shared" si="80"/>
        <v>PI, Luzilândia</v>
      </c>
      <c r="DJ3088" s="406">
        <v>-3.4580000000000002</v>
      </c>
      <c r="DK3088" s="80">
        <v>-42.37</v>
      </c>
      <c r="DL3088" s="80">
        <v>30</v>
      </c>
      <c r="DM3088" s="64">
        <v>8</v>
      </c>
      <c r="DN3088" s="406" t="s">
        <v>6665</v>
      </c>
      <c r="DO3088" s="406">
        <v>-3.9</v>
      </c>
      <c r="DP3088" s="80">
        <v>65</v>
      </c>
    </row>
    <row r="3089" spans="29:120" x14ac:dyDescent="0.25">
      <c r="AC3089" s="122" t="s">
        <v>333</v>
      </c>
      <c r="AD3089" s="122" t="s">
        <v>2164</v>
      </c>
      <c r="AE3089" s="127">
        <v>6</v>
      </c>
      <c r="DA3089" s="122" t="s">
        <v>357</v>
      </c>
      <c r="DB3089" s="122" t="s">
        <v>5586</v>
      </c>
      <c r="DC3089" s="122" t="s">
        <v>5586</v>
      </c>
      <c r="DD3089" s="127">
        <v>8</v>
      </c>
      <c r="DE3089" s="127">
        <v>8</v>
      </c>
      <c r="DG3089" s="405" t="s">
        <v>357</v>
      </c>
      <c r="DH3089" s="406" t="s">
        <v>5586</v>
      </c>
      <c r="DI3089" s="406" t="str">
        <f t="shared" si="80"/>
        <v>PI, Madeiro</v>
      </c>
      <c r="DJ3089" s="406">
        <v>-3.4830000000000001</v>
      </c>
      <c r="DK3089" s="80">
        <v>-42.503999999999998</v>
      </c>
      <c r="DL3089" s="80">
        <v>30</v>
      </c>
      <c r="DM3089" s="64">
        <v>8</v>
      </c>
      <c r="DN3089" s="406" t="s">
        <v>6665</v>
      </c>
      <c r="DO3089" s="406">
        <v>-3.9</v>
      </c>
      <c r="DP3089" s="80">
        <v>65</v>
      </c>
    </row>
    <row r="3090" spans="29:120" x14ac:dyDescent="0.25">
      <c r="AC3090" s="122" t="s">
        <v>333</v>
      </c>
      <c r="AD3090" s="122" t="s">
        <v>3411</v>
      </c>
      <c r="AE3090" s="127">
        <v>3</v>
      </c>
      <c r="DA3090" s="122" t="s">
        <v>357</v>
      </c>
      <c r="DB3090" s="122" t="s">
        <v>7727</v>
      </c>
      <c r="DC3090" s="122" t="s">
        <v>5526</v>
      </c>
      <c r="DD3090" s="127">
        <v>7</v>
      </c>
      <c r="DE3090" s="127">
        <v>7</v>
      </c>
      <c r="DG3090" s="405" t="s">
        <v>357</v>
      </c>
      <c r="DH3090" s="406" t="s">
        <v>5526</v>
      </c>
      <c r="DI3090" s="406" t="str">
        <f t="shared" si="80"/>
        <v>PI, Manoel Emídio</v>
      </c>
      <c r="DJ3090" s="406">
        <v>-8.0129999999999999</v>
      </c>
      <c r="DK3090" s="80">
        <v>-43.872</v>
      </c>
      <c r="DL3090" s="80">
        <v>227</v>
      </c>
      <c r="DM3090" s="64">
        <v>7</v>
      </c>
      <c r="DN3090" s="406" t="s">
        <v>7641</v>
      </c>
      <c r="DO3090" s="406">
        <v>-8.44</v>
      </c>
      <c r="DP3090" s="80">
        <v>270</v>
      </c>
    </row>
    <row r="3091" spans="29:120" x14ac:dyDescent="0.25">
      <c r="AC3091" s="122" t="s">
        <v>336</v>
      </c>
      <c r="AD3091" s="122" t="s">
        <v>3412</v>
      </c>
      <c r="AE3091" s="127">
        <v>3</v>
      </c>
      <c r="DA3091" s="122" t="s">
        <v>357</v>
      </c>
      <c r="DB3091" s="122" t="s">
        <v>5444</v>
      </c>
      <c r="DC3091" s="122" t="s">
        <v>5444</v>
      </c>
      <c r="DD3091" s="127">
        <v>7</v>
      </c>
      <c r="DE3091" s="127">
        <v>7</v>
      </c>
      <c r="DG3091" s="405" t="s">
        <v>357</v>
      </c>
      <c r="DH3091" s="406" t="s">
        <v>5444</v>
      </c>
      <c r="DI3091" s="406" t="str">
        <f t="shared" si="80"/>
        <v>PI, Marcolândia</v>
      </c>
      <c r="DJ3091" s="406">
        <v>-7.4429999999999996</v>
      </c>
      <c r="DK3091" s="80">
        <v>-40.661000000000001</v>
      </c>
      <c r="DL3091" s="80">
        <v>778</v>
      </c>
      <c r="DM3091" s="64">
        <v>7</v>
      </c>
      <c r="DN3091" s="406" t="s">
        <v>6405</v>
      </c>
      <c r="DO3091" s="406">
        <v>-7.08</v>
      </c>
      <c r="DP3091" s="80">
        <v>572</v>
      </c>
    </row>
    <row r="3092" spans="29:120" x14ac:dyDescent="0.25">
      <c r="AC3092" s="122" t="s">
        <v>311</v>
      </c>
      <c r="AD3092" s="122" t="s">
        <v>3413</v>
      </c>
      <c r="AE3092" s="127">
        <v>2</v>
      </c>
      <c r="DA3092" s="122" t="s">
        <v>357</v>
      </c>
      <c r="DB3092" s="122" t="s">
        <v>7728</v>
      </c>
      <c r="DC3092" s="122" t="s">
        <v>5302</v>
      </c>
      <c r="DD3092" s="127">
        <v>7</v>
      </c>
      <c r="DE3092" s="127">
        <v>7</v>
      </c>
      <c r="DG3092" s="405" t="s">
        <v>357</v>
      </c>
      <c r="DH3092" s="406" t="s">
        <v>5302</v>
      </c>
      <c r="DI3092" s="406" t="str">
        <f t="shared" si="80"/>
        <v>PI, Marcos Parente</v>
      </c>
      <c r="DJ3092" s="406">
        <v>-7.1210000000000004</v>
      </c>
      <c r="DK3092" s="80">
        <v>-43.893999999999998</v>
      </c>
      <c r="DL3092" s="80">
        <v>274</v>
      </c>
      <c r="DM3092" s="64">
        <v>7</v>
      </c>
      <c r="DN3092" s="406" t="s">
        <v>6658</v>
      </c>
      <c r="DO3092" s="406">
        <v>-7.47</v>
      </c>
      <c r="DP3092" s="80">
        <v>393</v>
      </c>
    </row>
    <row r="3093" spans="29:120" x14ac:dyDescent="0.25">
      <c r="AC3093" s="122" t="s">
        <v>311</v>
      </c>
      <c r="AD3093" s="122" t="s">
        <v>3414</v>
      </c>
      <c r="AE3093" s="127">
        <v>1</v>
      </c>
      <c r="DA3093" s="122" t="s">
        <v>357</v>
      </c>
      <c r="DB3093" s="122" t="s">
        <v>7729</v>
      </c>
      <c r="DC3093" s="122" t="s">
        <v>5467</v>
      </c>
      <c r="DD3093" s="127">
        <v>7</v>
      </c>
      <c r="DE3093" s="127">
        <v>7</v>
      </c>
      <c r="DG3093" s="405" t="s">
        <v>357</v>
      </c>
      <c r="DH3093" s="406" t="s">
        <v>5467</v>
      </c>
      <c r="DI3093" s="406" t="str">
        <f t="shared" si="80"/>
        <v>PI, Massapê do Piauí</v>
      </c>
      <c r="DJ3093" s="406">
        <v>-7.4630000000000001</v>
      </c>
      <c r="DK3093" s="80">
        <v>-41.125999999999998</v>
      </c>
      <c r="DL3093" s="80">
        <v>270</v>
      </c>
      <c r="DM3093" s="64">
        <v>7</v>
      </c>
      <c r="DN3093" s="406" t="s">
        <v>7637</v>
      </c>
      <c r="DO3093" s="406">
        <v>-7.07</v>
      </c>
      <c r="DP3093" s="80">
        <v>233</v>
      </c>
    </row>
    <row r="3094" spans="29:120" x14ac:dyDescent="0.25">
      <c r="AC3094" s="122" t="s">
        <v>317</v>
      </c>
      <c r="AD3094" s="122" t="s">
        <v>3415</v>
      </c>
      <c r="AE3094" s="127">
        <v>5</v>
      </c>
      <c r="DA3094" s="122" t="s">
        <v>357</v>
      </c>
      <c r="DB3094" s="122" t="s">
        <v>7730</v>
      </c>
      <c r="DC3094" s="122" t="s">
        <v>5623</v>
      </c>
      <c r="DD3094" s="127">
        <v>8</v>
      </c>
      <c r="DE3094" s="127">
        <v>8</v>
      </c>
      <c r="DG3094" s="405" t="s">
        <v>357</v>
      </c>
      <c r="DH3094" s="406" t="s">
        <v>5623</v>
      </c>
      <c r="DI3094" s="406" t="str">
        <f t="shared" si="80"/>
        <v>PI, Matias Olímpio</v>
      </c>
      <c r="DJ3094" s="406">
        <v>-3.7160000000000002</v>
      </c>
      <c r="DK3094" s="80">
        <v>-42.555999999999997</v>
      </c>
      <c r="DL3094" s="80">
        <v>69</v>
      </c>
      <c r="DM3094" s="64">
        <v>8</v>
      </c>
      <c r="DN3094" s="406" t="s">
        <v>6665</v>
      </c>
      <c r="DO3094" s="406">
        <v>-3.9</v>
      </c>
      <c r="DP3094" s="80">
        <v>65</v>
      </c>
    </row>
    <row r="3095" spans="29:120" x14ac:dyDescent="0.25">
      <c r="AC3095" s="122" t="s">
        <v>336</v>
      </c>
      <c r="AD3095" s="122" t="s">
        <v>3416</v>
      </c>
      <c r="AE3095" s="127">
        <v>3</v>
      </c>
      <c r="DA3095" s="122" t="s">
        <v>357</v>
      </c>
      <c r="DB3095" s="122" t="s">
        <v>7731</v>
      </c>
      <c r="DC3095" s="122" t="s">
        <v>5563</v>
      </c>
      <c r="DD3095" s="127">
        <v>8</v>
      </c>
      <c r="DE3095" s="127">
        <v>8</v>
      </c>
      <c r="DG3095" s="405" t="s">
        <v>357</v>
      </c>
      <c r="DH3095" s="406" t="s">
        <v>5563</v>
      </c>
      <c r="DI3095" s="406" t="str">
        <f t="shared" si="80"/>
        <v>PI, Miguel Alves</v>
      </c>
      <c r="DJ3095" s="406">
        <v>-4.1660000000000004</v>
      </c>
      <c r="DK3095" s="80">
        <v>-42.895000000000003</v>
      </c>
      <c r="DL3095" s="80">
        <v>50</v>
      </c>
      <c r="DM3095" s="64">
        <v>8</v>
      </c>
      <c r="DN3095" s="406" t="s">
        <v>6634</v>
      </c>
      <c r="DO3095" s="406">
        <v>-3.74</v>
      </c>
      <c r="DP3095" s="80">
        <v>91</v>
      </c>
    </row>
    <row r="3096" spans="29:120" x14ac:dyDescent="0.25">
      <c r="AC3096" s="122" t="s">
        <v>358</v>
      </c>
      <c r="AD3096" s="122" t="s">
        <v>3417</v>
      </c>
      <c r="AE3096" s="127">
        <v>5</v>
      </c>
      <c r="DA3096" s="122" t="s">
        <v>357</v>
      </c>
      <c r="DB3096" s="122" t="s">
        <v>7732</v>
      </c>
      <c r="DC3096" s="122" t="s">
        <v>4768</v>
      </c>
      <c r="DD3096" s="127">
        <v>7</v>
      </c>
      <c r="DE3096" s="127">
        <v>7</v>
      </c>
      <c r="DG3096" s="405" t="s">
        <v>357</v>
      </c>
      <c r="DH3096" s="406" t="s">
        <v>4768</v>
      </c>
      <c r="DI3096" s="406" t="str">
        <f t="shared" si="80"/>
        <v>PI, Miguel Leão</v>
      </c>
      <c r="DJ3096" s="406">
        <v>-5.681</v>
      </c>
      <c r="DK3096" s="80">
        <v>-42.738999999999997</v>
      </c>
      <c r="DL3096" s="80">
        <v>185</v>
      </c>
      <c r="DM3096" s="64">
        <v>7</v>
      </c>
      <c r="DN3096" s="406" t="s">
        <v>6730</v>
      </c>
      <c r="DO3096" s="406">
        <v>-5.91</v>
      </c>
      <c r="DP3096" s="80">
        <v>287</v>
      </c>
    </row>
    <row r="3097" spans="29:120" x14ac:dyDescent="0.25">
      <c r="AC3097" s="122" t="s">
        <v>358</v>
      </c>
      <c r="AD3097" s="122" t="s">
        <v>3418</v>
      </c>
      <c r="AE3097" s="127">
        <v>8</v>
      </c>
      <c r="DA3097" s="122" t="s">
        <v>357</v>
      </c>
      <c r="DB3097" s="122" t="s">
        <v>7733</v>
      </c>
      <c r="DC3097" s="122" t="s">
        <v>5618</v>
      </c>
      <c r="DD3097" s="127">
        <v>7</v>
      </c>
      <c r="DE3097" s="127">
        <v>7</v>
      </c>
      <c r="DG3097" s="405" t="s">
        <v>357</v>
      </c>
      <c r="DH3097" s="406" t="s">
        <v>5618</v>
      </c>
      <c r="DI3097" s="406" t="str">
        <f t="shared" si="80"/>
        <v>PI, Milton Brandão</v>
      </c>
      <c r="DJ3097" s="406">
        <v>-4.6840000000000002</v>
      </c>
      <c r="DK3097" s="80">
        <v>-41.421999999999997</v>
      </c>
      <c r="DL3097" s="80">
        <v>322</v>
      </c>
      <c r="DM3097" s="64">
        <v>7</v>
      </c>
      <c r="DN3097" s="406" t="s">
        <v>6421</v>
      </c>
      <c r="DO3097" s="406">
        <v>-4.2699999999999996</v>
      </c>
      <c r="DP3097" s="80">
        <v>161</v>
      </c>
    </row>
    <row r="3098" spans="29:120" x14ac:dyDescent="0.25">
      <c r="AC3098" s="122" t="s">
        <v>333</v>
      </c>
      <c r="AD3098" s="122" t="s">
        <v>3419</v>
      </c>
      <c r="AE3098" s="127">
        <v>3</v>
      </c>
      <c r="DA3098" s="122" t="s">
        <v>357</v>
      </c>
      <c r="DB3098" s="122" t="s">
        <v>7734</v>
      </c>
      <c r="DC3098" s="122" t="s">
        <v>4799</v>
      </c>
      <c r="DD3098" s="127">
        <v>7</v>
      </c>
      <c r="DE3098" s="127">
        <v>7</v>
      </c>
      <c r="DG3098" s="405" t="s">
        <v>357</v>
      </c>
      <c r="DH3098" s="406" t="s">
        <v>4799</v>
      </c>
      <c r="DI3098" s="406" t="str">
        <f t="shared" si="80"/>
        <v>PI, Monsenhor Gil</v>
      </c>
      <c r="DJ3098" s="406">
        <v>-5.5640000000000001</v>
      </c>
      <c r="DK3098" s="80">
        <v>-42.607999999999997</v>
      </c>
      <c r="DL3098" s="80">
        <v>116</v>
      </c>
      <c r="DM3098" s="64">
        <v>7</v>
      </c>
      <c r="DN3098" s="406" t="s">
        <v>6730</v>
      </c>
      <c r="DO3098" s="406">
        <v>-5.91</v>
      </c>
      <c r="DP3098" s="80">
        <v>287</v>
      </c>
    </row>
    <row r="3099" spans="29:120" x14ac:dyDescent="0.25">
      <c r="AC3099" s="122" t="s">
        <v>317</v>
      </c>
      <c r="AD3099" s="122" t="s">
        <v>3420</v>
      </c>
      <c r="AE3099" s="127">
        <v>5</v>
      </c>
      <c r="DA3099" s="122" t="s">
        <v>357</v>
      </c>
      <c r="DB3099" s="122" t="s">
        <v>7735</v>
      </c>
      <c r="DC3099" s="122" t="s">
        <v>5473</v>
      </c>
      <c r="DD3099" s="127">
        <v>7</v>
      </c>
      <c r="DE3099" s="127">
        <v>7</v>
      </c>
      <c r="DG3099" s="405" t="s">
        <v>357</v>
      </c>
      <c r="DH3099" s="406" t="s">
        <v>5473</v>
      </c>
      <c r="DI3099" s="406" t="str">
        <f t="shared" si="80"/>
        <v>PI, Monsenhor Hipólito</v>
      </c>
      <c r="DJ3099" s="406">
        <v>-6.9960000000000004</v>
      </c>
      <c r="DK3099" s="80">
        <v>-41.03</v>
      </c>
      <c r="DL3099" s="80">
        <v>257</v>
      </c>
      <c r="DM3099" s="64">
        <v>7</v>
      </c>
      <c r="DN3099" s="406" t="s">
        <v>7637</v>
      </c>
      <c r="DO3099" s="406">
        <v>-7.07</v>
      </c>
      <c r="DP3099" s="80">
        <v>233</v>
      </c>
    </row>
    <row r="3100" spans="29:120" x14ac:dyDescent="0.25">
      <c r="AC3100" s="122" t="s">
        <v>333</v>
      </c>
      <c r="AD3100" s="122" t="s">
        <v>3421</v>
      </c>
      <c r="AE3100" s="127">
        <v>3</v>
      </c>
      <c r="DA3100" s="122" t="s">
        <v>357</v>
      </c>
      <c r="DB3100" s="122" t="s">
        <v>7736</v>
      </c>
      <c r="DC3100" s="122" t="s">
        <v>5235</v>
      </c>
      <c r="DD3100" s="127">
        <v>7</v>
      </c>
      <c r="DE3100" s="127">
        <v>7</v>
      </c>
      <c r="DG3100" s="405" t="s">
        <v>357</v>
      </c>
      <c r="DH3100" s="406" t="s">
        <v>5235</v>
      </c>
      <c r="DI3100" s="406" t="str">
        <f t="shared" si="80"/>
        <v>PI, Monte Alegre do Piauí</v>
      </c>
      <c r="DJ3100" s="406">
        <v>-9.7539999999999996</v>
      </c>
      <c r="DK3100" s="80">
        <v>-45.304000000000002</v>
      </c>
      <c r="DL3100" s="80">
        <v>453</v>
      </c>
      <c r="DM3100" s="64">
        <v>7</v>
      </c>
      <c r="DN3100" s="406" t="s">
        <v>7652</v>
      </c>
      <c r="DO3100" s="406">
        <v>-9.8699999999999992</v>
      </c>
      <c r="DP3100" s="80">
        <v>425</v>
      </c>
    </row>
    <row r="3101" spans="29:120" x14ac:dyDescent="0.25">
      <c r="AC3101" s="122" t="s">
        <v>289</v>
      </c>
      <c r="AD3101" s="122" t="s">
        <v>3422</v>
      </c>
      <c r="AE3101" s="127">
        <v>8</v>
      </c>
      <c r="DA3101" s="122" t="s">
        <v>357</v>
      </c>
      <c r="DB3101" s="122" t="s">
        <v>7737</v>
      </c>
      <c r="DC3101" s="122" t="s">
        <v>5076</v>
      </c>
      <c r="DD3101" s="127">
        <v>7</v>
      </c>
      <c r="DE3101" s="127">
        <v>7</v>
      </c>
      <c r="DG3101" s="405" t="s">
        <v>357</v>
      </c>
      <c r="DH3101" s="406" t="s">
        <v>5076</v>
      </c>
      <c r="DI3101" s="406" t="str">
        <f t="shared" si="80"/>
        <v>PI, Morro Cabeça no Tempo</v>
      </c>
      <c r="DJ3101" s="406">
        <v>-9.7249999999999996</v>
      </c>
      <c r="DK3101" s="80">
        <v>-43.901000000000003</v>
      </c>
      <c r="DL3101" s="80">
        <v>479</v>
      </c>
      <c r="DM3101" s="64">
        <v>7</v>
      </c>
      <c r="DN3101" s="406" t="s">
        <v>6248</v>
      </c>
      <c r="DO3101" s="406">
        <v>-9.2899999999999991</v>
      </c>
      <c r="DP3101" s="80">
        <v>100</v>
      </c>
    </row>
    <row r="3102" spans="29:120" x14ac:dyDescent="0.25">
      <c r="AC3102" s="122" t="s">
        <v>333</v>
      </c>
      <c r="AD3102" s="122" t="s">
        <v>3423</v>
      </c>
      <c r="AE3102" s="127">
        <v>3</v>
      </c>
      <c r="DA3102" s="122" t="s">
        <v>357</v>
      </c>
      <c r="DB3102" s="122" t="s">
        <v>7738</v>
      </c>
      <c r="DC3102" s="122" t="s">
        <v>5644</v>
      </c>
      <c r="DD3102" s="127">
        <v>8</v>
      </c>
      <c r="DE3102" s="127">
        <v>8</v>
      </c>
      <c r="DG3102" s="405" t="s">
        <v>357</v>
      </c>
      <c r="DH3102" s="406" t="s">
        <v>5644</v>
      </c>
      <c r="DI3102" s="406" t="str">
        <f t="shared" si="80"/>
        <v>PI, Morro do Chapéu do Piauí</v>
      </c>
      <c r="DJ3102" s="406">
        <v>-3.7429999999999999</v>
      </c>
      <c r="DK3102" s="80">
        <v>-42.311999999999998</v>
      </c>
      <c r="DL3102" s="80">
        <v>99</v>
      </c>
      <c r="DM3102" s="64">
        <v>8</v>
      </c>
      <c r="DN3102" s="406" t="s">
        <v>6665</v>
      </c>
      <c r="DO3102" s="406">
        <v>-3.9</v>
      </c>
      <c r="DP3102" s="80">
        <v>65</v>
      </c>
    </row>
    <row r="3103" spans="29:120" x14ac:dyDescent="0.25">
      <c r="AC3103" s="122" t="s">
        <v>311</v>
      </c>
      <c r="AD3103" s="122" t="s">
        <v>3424</v>
      </c>
      <c r="AE3103" s="127">
        <v>2</v>
      </c>
      <c r="DA3103" s="122" t="s">
        <v>357</v>
      </c>
      <c r="DB3103" s="122" t="s">
        <v>7739</v>
      </c>
      <c r="DC3103" s="122" t="s">
        <v>5550</v>
      </c>
      <c r="DD3103" s="127">
        <v>8</v>
      </c>
      <c r="DE3103" s="127">
        <v>8</v>
      </c>
      <c r="DG3103" s="405" t="s">
        <v>357</v>
      </c>
      <c r="DH3103" s="406" t="s">
        <v>5550</v>
      </c>
      <c r="DI3103" s="406" t="str">
        <f t="shared" si="80"/>
        <v>PI, Murici dos Portelas</v>
      </c>
      <c r="DJ3103" s="406">
        <v>-3.319</v>
      </c>
      <c r="DK3103" s="80">
        <v>-42.094000000000001</v>
      </c>
      <c r="DL3103" s="80">
        <v>19</v>
      </c>
      <c r="DM3103" s="64">
        <v>8</v>
      </c>
      <c r="DN3103" s="406" t="s">
        <v>6416</v>
      </c>
      <c r="DO3103" s="406">
        <v>-2.9</v>
      </c>
      <c r="DP3103" s="80">
        <v>80</v>
      </c>
    </row>
    <row r="3104" spans="29:120" x14ac:dyDescent="0.25">
      <c r="AC3104" s="122" t="s">
        <v>333</v>
      </c>
      <c r="AD3104" s="122" t="s">
        <v>3425</v>
      </c>
      <c r="AE3104" s="127">
        <v>5</v>
      </c>
      <c r="DA3104" s="122" t="s">
        <v>357</v>
      </c>
      <c r="DB3104" s="122" t="s">
        <v>7740</v>
      </c>
      <c r="DC3104" s="122" t="s">
        <v>5607</v>
      </c>
      <c r="DD3104" s="127">
        <v>7</v>
      </c>
      <c r="DE3104" s="127">
        <v>7</v>
      </c>
      <c r="DG3104" s="405" t="s">
        <v>357</v>
      </c>
      <c r="DH3104" s="406" t="s">
        <v>5607</v>
      </c>
      <c r="DI3104" s="406" t="str">
        <f t="shared" si="80"/>
        <v>PI, Nazaré do Piauí</v>
      </c>
      <c r="DJ3104" s="406">
        <v>-6.9729999999999999</v>
      </c>
      <c r="DK3104" s="80">
        <v>-42.671999999999997</v>
      </c>
      <c r="DL3104" s="80">
        <v>136</v>
      </c>
      <c r="DM3104" s="64">
        <v>7</v>
      </c>
      <c r="DN3104" s="406" t="s">
        <v>6652</v>
      </c>
      <c r="DO3104" s="406">
        <v>-6.77</v>
      </c>
      <c r="DP3104" s="80">
        <v>123</v>
      </c>
    </row>
    <row r="3105" spans="29:120" x14ac:dyDescent="0.25">
      <c r="AC3105" s="122" t="s">
        <v>333</v>
      </c>
      <c r="AD3105" s="122" t="s">
        <v>3426</v>
      </c>
      <c r="AE3105" s="127">
        <v>3</v>
      </c>
      <c r="DA3105" s="122" t="s">
        <v>357</v>
      </c>
      <c r="DB3105" s="122" t="s">
        <v>4939</v>
      </c>
      <c r="DC3105" s="122" t="s">
        <v>4939</v>
      </c>
      <c r="DD3105" s="127">
        <v>8</v>
      </c>
      <c r="DE3105" s="127">
        <v>8</v>
      </c>
      <c r="DG3105" s="405" t="s">
        <v>357</v>
      </c>
      <c r="DH3105" s="406" t="s">
        <v>4939</v>
      </c>
      <c r="DI3105" s="406" t="str">
        <f t="shared" si="80"/>
        <v>PI, Nazária</v>
      </c>
      <c r="DJ3105" s="406">
        <v>-5.0890000000000004</v>
      </c>
      <c r="DK3105" s="80">
        <v>-42.802</v>
      </c>
      <c r="DL3105" s="80">
        <v>72</v>
      </c>
      <c r="DM3105" s="64">
        <v>8</v>
      </c>
      <c r="DN3105" s="406" t="s">
        <v>6718</v>
      </c>
      <c r="DO3105" s="406">
        <v>-5.09</v>
      </c>
      <c r="DP3105" s="80">
        <v>74</v>
      </c>
    </row>
    <row r="3106" spans="29:120" x14ac:dyDescent="0.25">
      <c r="AC3106" s="122" t="s">
        <v>333</v>
      </c>
      <c r="AD3106" s="122" t="s">
        <v>3427</v>
      </c>
      <c r="AE3106" s="127">
        <v>3</v>
      </c>
      <c r="DA3106" s="122" t="s">
        <v>357</v>
      </c>
      <c r="DB3106" s="122" t="s">
        <v>7741</v>
      </c>
      <c r="DC3106" s="122" t="s">
        <v>5523</v>
      </c>
      <c r="DD3106" s="127">
        <v>7</v>
      </c>
      <c r="DE3106" s="127">
        <v>7</v>
      </c>
      <c r="DG3106" s="405" t="s">
        <v>357</v>
      </c>
      <c r="DH3106" s="406" t="s">
        <v>5523</v>
      </c>
      <c r="DI3106" s="406" t="str">
        <f t="shared" si="80"/>
        <v>PI, Nossa Senhora de Nazaré</v>
      </c>
      <c r="DJ3106" s="406">
        <v>-4.6310000000000002</v>
      </c>
      <c r="DK3106" s="80">
        <v>-42.173000000000002</v>
      </c>
      <c r="DL3106" s="80">
        <v>40</v>
      </c>
      <c r="DM3106" s="64">
        <v>7</v>
      </c>
      <c r="DN3106" s="406" t="s">
        <v>6421</v>
      </c>
      <c r="DO3106" s="406">
        <v>-4.2699999999999996</v>
      </c>
      <c r="DP3106" s="80">
        <v>161</v>
      </c>
    </row>
    <row r="3107" spans="29:120" x14ac:dyDescent="0.25">
      <c r="AC3107" s="122" t="s">
        <v>333</v>
      </c>
      <c r="AD3107" s="122" t="s">
        <v>3428</v>
      </c>
      <c r="AE3107" s="127">
        <v>3</v>
      </c>
      <c r="DA3107" s="122" t="s">
        <v>357</v>
      </c>
      <c r="DB3107" s="122" t="s">
        <v>7742</v>
      </c>
      <c r="DC3107" s="122" t="s">
        <v>5599</v>
      </c>
      <c r="DD3107" s="127">
        <v>8</v>
      </c>
      <c r="DE3107" s="127">
        <v>8</v>
      </c>
      <c r="DG3107" s="405" t="s">
        <v>357</v>
      </c>
      <c r="DH3107" s="406" t="s">
        <v>5599</v>
      </c>
      <c r="DI3107" s="406" t="str">
        <f t="shared" si="80"/>
        <v>PI, Nossa Senhora dos Remédios</v>
      </c>
      <c r="DJ3107" s="406">
        <v>-3.9790000000000001</v>
      </c>
      <c r="DK3107" s="80">
        <v>-42.621000000000002</v>
      </c>
      <c r="DL3107" s="80">
        <v>53</v>
      </c>
      <c r="DM3107" s="64">
        <v>8</v>
      </c>
      <c r="DN3107" s="406" t="s">
        <v>6665</v>
      </c>
      <c r="DO3107" s="406">
        <v>-3.9</v>
      </c>
      <c r="DP3107" s="80">
        <v>65</v>
      </c>
    </row>
    <row r="3108" spans="29:120" x14ac:dyDescent="0.25">
      <c r="AC3108" s="122" t="s">
        <v>289</v>
      </c>
      <c r="AD3108" s="122" t="s">
        <v>3429</v>
      </c>
      <c r="AE3108" s="127">
        <v>8</v>
      </c>
      <c r="DA3108" s="122" t="s">
        <v>357</v>
      </c>
      <c r="DB3108" s="122" t="s">
        <v>7743</v>
      </c>
      <c r="DC3108" s="122" t="s">
        <v>1202</v>
      </c>
      <c r="DD3108" s="127">
        <v>7</v>
      </c>
      <c r="DE3108" s="127">
        <v>7</v>
      </c>
      <c r="DG3108" s="405" t="s">
        <v>357</v>
      </c>
      <c r="DH3108" s="406" t="s">
        <v>1202</v>
      </c>
      <c r="DI3108" s="406" t="str">
        <f t="shared" si="80"/>
        <v>PI, Nova Santa Rita</v>
      </c>
      <c r="DJ3108" s="406">
        <v>-8.0869999999999997</v>
      </c>
      <c r="DK3108" s="80">
        <v>-42.052</v>
      </c>
      <c r="DL3108" s="80">
        <v>292</v>
      </c>
      <c r="DM3108" s="64">
        <v>7</v>
      </c>
      <c r="DN3108" s="406" t="s">
        <v>7655</v>
      </c>
      <c r="DO3108" s="406">
        <v>-8.36</v>
      </c>
      <c r="DP3108" s="80">
        <v>235</v>
      </c>
    </row>
    <row r="3109" spans="29:120" x14ac:dyDescent="0.25">
      <c r="AC3109" s="122" t="s">
        <v>336</v>
      </c>
      <c r="AD3109" s="122" t="s">
        <v>3430</v>
      </c>
      <c r="AE3109" s="127">
        <v>5</v>
      </c>
      <c r="DA3109" s="122" t="s">
        <v>357</v>
      </c>
      <c r="DB3109" s="122" t="s">
        <v>7744</v>
      </c>
      <c r="DC3109" s="122" t="s">
        <v>5593</v>
      </c>
      <c r="DD3109" s="127">
        <v>7</v>
      </c>
      <c r="DE3109" s="127">
        <v>7</v>
      </c>
      <c r="DG3109" s="405" t="s">
        <v>357</v>
      </c>
      <c r="DH3109" s="406" t="s">
        <v>5593</v>
      </c>
      <c r="DI3109" s="406" t="str">
        <f t="shared" si="80"/>
        <v>PI, Novo Oriente do Piauí</v>
      </c>
      <c r="DJ3109" s="406">
        <v>-6.4489999999999998</v>
      </c>
      <c r="DK3109" s="80">
        <v>-41.939</v>
      </c>
      <c r="DL3109" s="80">
        <v>235</v>
      </c>
      <c r="DM3109" s="64">
        <v>7</v>
      </c>
      <c r="DN3109" s="406" t="s">
        <v>7645</v>
      </c>
      <c r="DO3109" s="406">
        <v>-6.4</v>
      </c>
      <c r="DP3109" s="80">
        <v>301</v>
      </c>
    </row>
    <row r="3110" spans="29:120" x14ac:dyDescent="0.25">
      <c r="AC3110" s="122" t="s">
        <v>333</v>
      </c>
      <c r="AD3110" s="122" t="s">
        <v>3431</v>
      </c>
      <c r="AE3110" s="127">
        <v>3</v>
      </c>
      <c r="DA3110" s="122" t="s">
        <v>357</v>
      </c>
      <c r="DB3110" s="122" t="s">
        <v>7370</v>
      </c>
      <c r="DC3110" s="122" t="s">
        <v>4749</v>
      </c>
      <c r="DD3110" s="127">
        <v>7</v>
      </c>
      <c r="DE3110" s="127">
        <v>7</v>
      </c>
      <c r="DG3110" s="405" t="s">
        <v>357</v>
      </c>
      <c r="DH3110" s="406" t="s">
        <v>4749</v>
      </c>
      <c r="DI3110" s="406" t="str">
        <f t="shared" si="80"/>
        <v>PI, Novo Santo Antônio</v>
      </c>
      <c r="DJ3110" s="406">
        <v>-5.2880000000000003</v>
      </c>
      <c r="DK3110" s="80">
        <v>-41.933</v>
      </c>
      <c r="DL3110" s="80">
        <v>180</v>
      </c>
      <c r="DM3110" s="64">
        <v>7</v>
      </c>
      <c r="DN3110" s="406" t="s">
        <v>7683</v>
      </c>
      <c r="DO3110" s="406">
        <v>-5.35</v>
      </c>
      <c r="DP3110" s="80">
        <v>286</v>
      </c>
    </row>
    <row r="3111" spans="29:120" x14ac:dyDescent="0.25">
      <c r="AC3111" s="122" t="s">
        <v>333</v>
      </c>
      <c r="AD3111" s="122" t="s">
        <v>3432</v>
      </c>
      <c r="AE3111" s="127">
        <v>2</v>
      </c>
      <c r="DA3111" s="122" t="s">
        <v>357</v>
      </c>
      <c r="DB3111" s="122" t="s">
        <v>5685</v>
      </c>
      <c r="DC3111" s="122" t="s">
        <v>5685</v>
      </c>
      <c r="DD3111" s="127">
        <v>7</v>
      </c>
      <c r="DE3111" s="127">
        <v>7</v>
      </c>
      <c r="DG3111" s="405" t="s">
        <v>357</v>
      </c>
      <c r="DH3111" s="406" t="s">
        <v>5685</v>
      </c>
      <c r="DI3111" s="406" t="str">
        <f t="shared" si="80"/>
        <v>PI, Oeiras</v>
      </c>
      <c r="DJ3111" s="406">
        <v>-7.0250000000000004</v>
      </c>
      <c r="DK3111" s="80">
        <v>-42.131</v>
      </c>
      <c r="DL3111" s="80">
        <v>166</v>
      </c>
      <c r="DM3111" s="64">
        <v>7</v>
      </c>
      <c r="DN3111" s="406" t="s">
        <v>7669</v>
      </c>
      <c r="DO3111" s="406">
        <v>-6.97</v>
      </c>
      <c r="DP3111" s="80">
        <v>156</v>
      </c>
    </row>
    <row r="3112" spans="29:120" x14ac:dyDescent="0.25">
      <c r="AC3112" s="122" t="s">
        <v>333</v>
      </c>
      <c r="AD3112" s="122" t="s">
        <v>3433</v>
      </c>
      <c r="AE3112" s="127">
        <v>2</v>
      </c>
      <c r="DA3112" s="122" t="s">
        <v>357</v>
      </c>
      <c r="DB3112" s="122" t="s">
        <v>7745</v>
      </c>
      <c r="DC3112" s="122" t="s">
        <v>4713</v>
      </c>
      <c r="DD3112" s="127">
        <v>7</v>
      </c>
      <c r="DE3112" s="127">
        <v>7</v>
      </c>
      <c r="DG3112" s="405" t="s">
        <v>357</v>
      </c>
      <c r="DH3112" s="406" t="s">
        <v>4713</v>
      </c>
      <c r="DI3112" s="406" t="str">
        <f t="shared" si="80"/>
        <v>PI, Olho d'Água do Piauí</v>
      </c>
      <c r="DJ3112" s="406">
        <v>-5.8410000000000002</v>
      </c>
      <c r="DK3112" s="80">
        <v>-42.575000000000003</v>
      </c>
      <c r="DL3112" s="80">
        <v>235</v>
      </c>
      <c r="DM3112" s="64">
        <v>7</v>
      </c>
      <c r="DN3112" s="406" t="s">
        <v>6730</v>
      </c>
      <c r="DO3112" s="406">
        <v>-5.91</v>
      </c>
      <c r="DP3112" s="80">
        <v>287</v>
      </c>
    </row>
    <row r="3113" spans="29:120" x14ac:dyDescent="0.25">
      <c r="AC3113" s="122" t="s">
        <v>333</v>
      </c>
      <c r="AD3113" s="122" t="s">
        <v>3434</v>
      </c>
      <c r="AE3113" s="127">
        <v>2</v>
      </c>
      <c r="DA3113" s="122" t="s">
        <v>357</v>
      </c>
      <c r="DB3113" s="122" t="s">
        <v>7746</v>
      </c>
      <c r="DC3113" s="122" t="s">
        <v>5456</v>
      </c>
      <c r="DD3113" s="127">
        <v>7</v>
      </c>
      <c r="DE3113" s="127">
        <v>7</v>
      </c>
      <c r="DG3113" s="405" t="s">
        <v>357</v>
      </c>
      <c r="DH3113" s="406" t="s">
        <v>5456</v>
      </c>
      <c r="DI3113" s="406" t="str">
        <f t="shared" si="80"/>
        <v>PI, Padre Marcos</v>
      </c>
      <c r="DJ3113" s="406">
        <v>-7.3550000000000004</v>
      </c>
      <c r="DK3113" s="80">
        <v>-40.904000000000003</v>
      </c>
      <c r="DL3113" s="80">
        <v>360</v>
      </c>
      <c r="DM3113" s="64">
        <v>7</v>
      </c>
      <c r="DN3113" s="406" t="s">
        <v>6405</v>
      </c>
      <c r="DO3113" s="406">
        <v>-7.08</v>
      </c>
      <c r="DP3113" s="80">
        <v>572</v>
      </c>
    </row>
    <row r="3114" spans="29:120" x14ac:dyDescent="0.25">
      <c r="AC3114" s="122" t="s">
        <v>333</v>
      </c>
      <c r="AD3114" s="122" t="s">
        <v>3435</v>
      </c>
      <c r="AE3114" s="127">
        <v>3</v>
      </c>
      <c r="DA3114" s="122" t="s">
        <v>357</v>
      </c>
      <c r="DB3114" s="122" t="s">
        <v>7747</v>
      </c>
      <c r="DC3114" s="122" t="s">
        <v>4651</v>
      </c>
      <c r="DD3114" s="127">
        <v>7</v>
      </c>
      <c r="DE3114" s="127">
        <v>7</v>
      </c>
      <c r="DG3114" s="405" t="s">
        <v>357</v>
      </c>
      <c r="DH3114" s="406" t="s">
        <v>4651</v>
      </c>
      <c r="DI3114" s="406" t="str">
        <f t="shared" si="80"/>
        <v>PI, Paes Landim</v>
      </c>
      <c r="DJ3114" s="406">
        <v>-7.7779999999999996</v>
      </c>
      <c r="DK3114" s="80">
        <v>-42.256</v>
      </c>
      <c r="DL3114" s="80">
        <v>193</v>
      </c>
      <c r="DM3114" s="64">
        <v>7</v>
      </c>
      <c r="DN3114" s="406" t="s">
        <v>7655</v>
      </c>
      <c r="DO3114" s="406">
        <v>-8.36</v>
      </c>
      <c r="DP3114" s="80">
        <v>235</v>
      </c>
    </row>
    <row r="3115" spans="29:120" x14ac:dyDescent="0.25">
      <c r="AC3115" s="122" t="s">
        <v>311</v>
      </c>
      <c r="AD3115" s="122" t="s">
        <v>3436</v>
      </c>
      <c r="AE3115" s="127">
        <v>3</v>
      </c>
      <c r="DA3115" s="122" t="s">
        <v>357</v>
      </c>
      <c r="DB3115" s="122" t="s">
        <v>7748</v>
      </c>
      <c r="DC3115" s="122" t="s">
        <v>4644</v>
      </c>
      <c r="DD3115" s="127">
        <v>7</v>
      </c>
      <c r="DE3115" s="127">
        <v>7</v>
      </c>
      <c r="DG3115" s="405" t="s">
        <v>357</v>
      </c>
      <c r="DH3115" s="406" t="s">
        <v>4644</v>
      </c>
      <c r="DI3115" s="406" t="str">
        <f t="shared" si="80"/>
        <v>PI, Pajeú do Piauí</v>
      </c>
      <c r="DJ3115" s="406">
        <v>-7.8559999999999999</v>
      </c>
      <c r="DK3115" s="80">
        <v>-42.822000000000003</v>
      </c>
      <c r="DL3115" s="80">
        <v>290</v>
      </c>
      <c r="DM3115" s="64">
        <v>7</v>
      </c>
      <c r="DN3115" s="406" t="s">
        <v>7655</v>
      </c>
      <c r="DO3115" s="406">
        <v>-8.36</v>
      </c>
      <c r="DP3115" s="80">
        <v>235</v>
      </c>
    </row>
    <row r="3116" spans="29:120" x14ac:dyDescent="0.25">
      <c r="AC3116" s="122" t="s">
        <v>317</v>
      </c>
      <c r="AD3116" s="122" t="s">
        <v>3437</v>
      </c>
      <c r="AE3116" s="127">
        <v>3</v>
      </c>
      <c r="DA3116" s="122" t="s">
        <v>357</v>
      </c>
      <c r="DB3116" s="122" t="s">
        <v>7749</v>
      </c>
      <c r="DC3116" s="122" t="s">
        <v>5274</v>
      </c>
      <c r="DD3116" s="127">
        <v>7</v>
      </c>
      <c r="DE3116" s="127">
        <v>7</v>
      </c>
      <c r="DG3116" s="405" t="s">
        <v>357</v>
      </c>
      <c r="DH3116" s="406" t="s">
        <v>5274</v>
      </c>
      <c r="DI3116" s="406" t="str">
        <f t="shared" si="80"/>
        <v>PI, Palmeira do Piauí</v>
      </c>
      <c r="DJ3116" s="406">
        <v>-8.7270000000000003</v>
      </c>
      <c r="DK3116" s="80">
        <v>-44.235999999999997</v>
      </c>
      <c r="DL3116" s="80">
        <v>270</v>
      </c>
      <c r="DM3116" s="64">
        <v>7</v>
      </c>
      <c r="DN3116" s="406" t="s">
        <v>7659</v>
      </c>
      <c r="DO3116" s="406">
        <v>-9.07</v>
      </c>
      <c r="DP3116" s="80">
        <v>331</v>
      </c>
    </row>
    <row r="3117" spans="29:120" x14ac:dyDescent="0.25">
      <c r="AC3117" s="122" t="s">
        <v>333</v>
      </c>
      <c r="AD3117" s="122" t="s">
        <v>3438</v>
      </c>
      <c r="AE3117" s="127">
        <v>3</v>
      </c>
      <c r="DA3117" s="122" t="s">
        <v>357</v>
      </c>
      <c r="DB3117" s="122" t="s">
        <v>4735</v>
      </c>
      <c r="DC3117" s="122" t="s">
        <v>4735</v>
      </c>
      <c r="DD3117" s="127">
        <v>7</v>
      </c>
      <c r="DE3117" s="127">
        <v>7</v>
      </c>
      <c r="DG3117" s="405" t="s">
        <v>357</v>
      </c>
      <c r="DH3117" s="406" t="s">
        <v>4735</v>
      </c>
      <c r="DI3117" s="406" t="str">
        <f t="shared" si="80"/>
        <v>PI, Palmeirais</v>
      </c>
      <c r="DJ3117" s="406">
        <v>-5.9779999999999998</v>
      </c>
      <c r="DK3117" s="80">
        <v>-43.063000000000002</v>
      </c>
      <c r="DL3117" s="80">
        <v>85</v>
      </c>
      <c r="DM3117" s="64">
        <v>7</v>
      </c>
      <c r="DN3117" s="406" t="s">
        <v>6730</v>
      </c>
      <c r="DO3117" s="406">
        <v>-5.91</v>
      </c>
      <c r="DP3117" s="80">
        <v>287</v>
      </c>
    </row>
    <row r="3118" spans="29:120" x14ac:dyDescent="0.25">
      <c r="AC3118" s="122" t="s">
        <v>333</v>
      </c>
      <c r="AD3118" s="122" t="s">
        <v>3439</v>
      </c>
      <c r="AE3118" s="127">
        <v>3</v>
      </c>
      <c r="DA3118" s="122" t="s">
        <v>357</v>
      </c>
      <c r="DB3118" s="122" t="s">
        <v>5585</v>
      </c>
      <c r="DC3118" s="122" t="s">
        <v>5585</v>
      </c>
      <c r="DD3118" s="127">
        <v>7</v>
      </c>
      <c r="DE3118" s="127">
        <v>7</v>
      </c>
      <c r="DG3118" s="405" t="s">
        <v>357</v>
      </c>
      <c r="DH3118" s="406" t="s">
        <v>5585</v>
      </c>
      <c r="DI3118" s="406" t="str">
        <f t="shared" si="80"/>
        <v>PI, Paquetá</v>
      </c>
      <c r="DJ3118" s="406">
        <v>-7.1040000000000001</v>
      </c>
      <c r="DK3118" s="80">
        <v>-41.704000000000001</v>
      </c>
      <c r="DL3118" s="80">
        <v>340</v>
      </c>
      <c r="DM3118" s="64">
        <v>7</v>
      </c>
      <c r="DN3118" s="406" t="s">
        <v>7637</v>
      </c>
      <c r="DO3118" s="406">
        <v>-7.07</v>
      </c>
      <c r="DP3118" s="80">
        <v>233</v>
      </c>
    </row>
    <row r="3119" spans="29:120" x14ac:dyDescent="0.25">
      <c r="AC3119" s="122" t="s">
        <v>311</v>
      </c>
      <c r="AD3119" s="122" t="s">
        <v>3440</v>
      </c>
      <c r="AE3119" s="127">
        <v>3</v>
      </c>
      <c r="DA3119" s="122" t="s">
        <v>357</v>
      </c>
      <c r="DB3119" s="122" t="s">
        <v>5480</v>
      </c>
      <c r="DC3119" s="122" t="s">
        <v>5480</v>
      </c>
      <c r="DD3119" s="127">
        <v>6</v>
      </c>
      <c r="DE3119" s="127">
        <v>6</v>
      </c>
      <c r="DG3119" s="405" t="s">
        <v>357</v>
      </c>
      <c r="DH3119" s="406" t="s">
        <v>5480</v>
      </c>
      <c r="DI3119" s="406" t="str">
        <f t="shared" si="80"/>
        <v>PI, Parnaguá</v>
      </c>
      <c r="DJ3119" s="406">
        <v>-10.227</v>
      </c>
      <c r="DK3119" s="80">
        <v>-44.639000000000003</v>
      </c>
      <c r="DL3119" s="80">
        <v>334</v>
      </c>
      <c r="DM3119" s="64">
        <v>6</v>
      </c>
      <c r="DN3119" s="406" t="s">
        <v>7652</v>
      </c>
      <c r="DO3119" s="406">
        <v>-9.8699999999999992</v>
      </c>
      <c r="DP3119" s="80">
        <v>425</v>
      </c>
    </row>
    <row r="3120" spans="29:120" x14ac:dyDescent="0.25">
      <c r="AC3120" s="122" t="s">
        <v>333</v>
      </c>
      <c r="AD3120" s="122" t="s">
        <v>3441</v>
      </c>
      <c r="AE3120" s="127">
        <v>3</v>
      </c>
      <c r="DA3120" s="122" t="s">
        <v>357</v>
      </c>
      <c r="DB3120" s="122" t="s">
        <v>5207</v>
      </c>
      <c r="DC3120" s="122" t="s">
        <v>5207</v>
      </c>
      <c r="DD3120" s="127">
        <v>8</v>
      </c>
      <c r="DE3120" s="127">
        <v>8</v>
      </c>
      <c r="DG3120" s="405" t="s">
        <v>357</v>
      </c>
      <c r="DH3120" s="406" t="s">
        <v>5207</v>
      </c>
      <c r="DI3120" s="406" t="str">
        <f t="shared" si="80"/>
        <v>PI, Parnaíba</v>
      </c>
      <c r="DJ3120" s="406">
        <v>-2.9049999999999998</v>
      </c>
      <c r="DK3120" s="80">
        <v>-41.777000000000001</v>
      </c>
      <c r="DL3120" s="80">
        <v>5</v>
      </c>
      <c r="DM3120" s="64">
        <v>8</v>
      </c>
      <c r="DN3120" s="406" t="s">
        <v>6416</v>
      </c>
      <c r="DO3120" s="406">
        <v>-2.9</v>
      </c>
      <c r="DP3120" s="80">
        <v>80</v>
      </c>
    </row>
    <row r="3121" spans="29:120" x14ac:dyDescent="0.25">
      <c r="AC3121" s="122" t="s">
        <v>376</v>
      </c>
      <c r="AD3121" s="122" t="s">
        <v>3442</v>
      </c>
      <c r="AE3121" s="127">
        <v>3</v>
      </c>
      <c r="DA3121" s="122" t="s">
        <v>357</v>
      </c>
      <c r="DB3121" s="122" t="s">
        <v>7750</v>
      </c>
      <c r="DC3121" s="122" t="s">
        <v>4746</v>
      </c>
      <c r="DD3121" s="127">
        <v>7</v>
      </c>
      <c r="DE3121" s="127">
        <v>7</v>
      </c>
      <c r="DG3121" s="405" t="s">
        <v>357</v>
      </c>
      <c r="DH3121" s="406" t="s">
        <v>4746</v>
      </c>
      <c r="DI3121" s="406" t="str">
        <f t="shared" si="80"/>
        <v>PI, Passagem Franca do Piauí</v>
      </c>
      <c r="DJ3121" s="406">
        <v>-5.8579999999999997</v>
      </c>
      <c r="DK3121" s="80">
        <v>-42.44</v>
      </c>
      <c r="DL3121" s="80">
        <v>140</v>
      </c>
      <c r="DM3121" s="64">
        <v>7</v>
      </c>
      <c r="DN3121" s="406" t="s">
        <v>6730</v>
      </c>
      <c r="DO3121" s="406">
        <v>-5.91</v>
      </c>
      <c r="DP3121" s="80">
        <v>287</v>
      </c>
    </row>
    <row r="3122" spans="29:120" x14ac:dyDescent="0.25">
      <c r="AC3122" s="122" t="s">
        <v>336</v>
      </c>
      <c r="AD3122" s="122" t="s">
        <v>3443</v>
      </c>
      <c r="AE3122" s="127">
        <v>3</v>
      </c>
      <c r="DA3122" s="122" t="s">
        <v>357</v>
      </c>
      <c r="DB3122" s="122" t="s">
        <v>7751</v>
      </c>
      <c r="DC3122" s="122" t="s">
        <v>5458</v>
      </c>
      <c r="DD3122" s="127">
        <v>7</v>
      </c>
      <c r="DE3122" s="127">
        <v>7</v>
      </c>
      <c r="DG3122" s="405" t="s">
        <v>357</v>
      </c>
      <c r="DH3122" s="406" t="s">
        <v>5458</v>
      </c>
      <c r="DI3122" s="406" t="str">
        <f t="shared" si="80"/>
        <v>PI, Patos do Piauí</v>
      </c>
      <c r="DJ3122" s="406">
        <v>-7.6680000000000001</v>
      </c>
      <c r="DK3122" s="80">
        <v>-41.244</v>
      </c>
      <c r="DL3122" s="80">
        <v>249</v>
      </c>
      <c r="DM3122" s="64">
        <v>7</v>
      </c>
      <c r="DN3122" s="406" t="s">
        <v>7588</v>
      </c>
      <c r="DO3122" s="406">
        <v>-8.14</v>
      </c>
      <c r="DP3122" s="80">
        <v>374</v>
      </c>
    </row>
    <row r="3123" spans="29:120" x14ac:dyDescent="0.25">
      <c r="AC3123" s="122" t="s">
        <v>289</v>
      </c>
      <c r="AD3123" s="122" t="s">
        <v>3444</v>
      </c>
      <c r="AE3123" s="127">
        <v>5</v>
      </c>
      <c r="DA3123" s="122" t="s">
        <v>357</v>
      </c>
      <c r="DB3123" s="122" t="s">
        <v>7752</v>
      </c>
      <c r="DC3123" s="122" t="s">
        <v>4787</v>
      </c>
      <c r="DD3123" s="127">
        <v>8</v>
      </c>
      <c r="DE3123" s="127">
        <v>8</v>
      </c>
      <c r="DG3123" s="405" t="s">
        <v>357</v>
      </c>
      <c r="DH3123" s="406" t="s">
        <v>4787</v>
      </c>
      <c r="DI3123" s="406" t="str">
        <f t="shared" si="80"/>
        <v>PI, Pau d'Arco do Piauí</v>
      </c>
      <c r="DJ3123" s="406">
        <v>-5.2610000000000001</v>
      </c>
      <c r="DK3123" s="80">
        <v>-42.393999999999998</v>
      </c>
      <c r="DL3123" s="80">
        <v>104</v>
      </c>
      <c r="DM3123" s="64">
        <v>8</v>
      </c>
      <c r="DN3123" s="406" t="s">
        <v>6718</v>
      </c>
      <c r="DO3123" s="406">
        <v>-5.09</v>
      </c>
      <c r="DP3123" s="80">
        <v>74</v>
      </c>
    </row>
    <row r="3124" spans="29:120" x14ac:dyDescent="0.25">
      <c r="AC3124" s="122" t="s">
        <v>336</v>
      </c>
      <c r="AD3124" s="122" t="s">
        <v>3445</v>
      </c>
      <c r="AE3124" s="127">
        <v>5</v>
      </c>
      <c r="DA3124" s="122" t="s">
        <v>357</v>
      </c>
      <c r="DB3124" s="122" t="s">
        <v>5122</v>
      </c>
      <c r="DC3124" s="122" t="s">
        <v>5122</v>
      </c>
      <c r="DD3124" s="127">
        <v>7</v>
      </c>
      <c r="DE3124" s="127">
        <v>7</v>
      </c>
      <c r="DG3124" s="405" t="s">
        <v>357</v>
      </c>
      <c r="DH3124" s="406" t="s">
        <v>5122</v>
      </c>
      <c r="DI3124" s="406" t="str">
        <f t="shared" si="80"/>
        <v>PI, Paulistana</v>
      </c>
      <c r="DJ3124" s="406">
        <v>-8.1440000000000001</v>
      </c>
      <c r="DK3124" s="80">
        <v>-41.15</v>
      </c>
      <c r="DL3124" s="80">
        <v>359</v>
      </c>
      <c r="DM3124" s="64">
        <v>7</v>
      </c>
      <c r="DN3124" s="406" t="s">
        <v>7588</v>
      </c>
      <c r="DO3124" s="406">
        <v>-8.14</v>
      </c>
      <c r="DP3124" s="80">
        <v>374</v>
      </c>
    </row>
    <row r="3125" spans="29:120" x14ac:dyDescent="0.25">
      <c r="AC3125" s="122" t="s">
        <v>333</v>
      </c>
      <c r="AD3125" s="122" t="s">
        <v>3446</v>
      </c>
      <c r="AE3125" s="127">
        <v>3</v>
      </c>
      <c r="DA3125" s="122" t="s">
        <v>357</v>
      </c>
      <c r="DB3125" s="122" t="s">
        <v>4718</v>
      </c>
      <c r="DC3125" s="122" t="s">
        <v>4718</v>
      </c>
      <c r="DD3125" s="127">
        <v>7</v>
      </c>
      <c r="DE3125" s="127">
        <v>7</v>
      </c>
      <c r="DG3125" s="405" t="s">
        <v>357</v>
      </c>
      <c r="DH3125" s="406" t="s">
        <v>4718</v>
      </c>
      <c r="DI3125" s="406" t="str">
        <f t="shared" si="80"/>
        <v>PI, Pavussu</v>
      </c>
      <c r="DJ3125" s="406">
        <v>-7.9660000000000002</v>
      </c>
      <c r="DK3125" s="80">
        <v>-43.222999999999999</v>
      </c>
      <c r="DL3125" s="80">
        <v>300</v>
      </c>
      <c r="DM3125" s="64">
        <v>7</v>
      </c>
      <c r="DN3125" s="406" t="s">
        <v>7641</v>
      </c>
      <c r="DO3125" s="406">
        <v>-8.44</v>
      </c>
      <c r="DP3125" s="80">
        <v>270</v>
      </c>
    </row>
    <row r="3126" spans="29:120" x14ac:dyDescent="0.25">
      <c r="AC3126" s="122" t="s">
        <v>336</v>
      </c>
      <c r="AD3126" s="122" t="s">
        <v>3447</v>
      </c>
      <c r="AE3126" s="127">
        <v>3</v>
      </c>
      <c r="DA3126" s="122" t="s">
        <v>357</v>
      </c>
      <c r="DB3126" s="122" t="s">
        <v>7753</v>
      </c>
      <c r="DC3126" s="122" t="s">
        <v>4834</v>
      </c>
      <c r="DD3126" s="127">
        <v>7</v>
      </c>
      <c r="DE3126" s="127">
        <v>7</v>
      </c>
      <c r="DG3126" s="405" t="s">
        <v>357</v>
      </c>
      <c r="DH3126" s="406" t="s">
        <v>4834</v>
      </c>
      <c r="DI3126" s="406" t="str">
        <f t="shared" si="80"/>
        <v>PI, Pedro II</v>
      </c>
      <c r="DJ3126" s="406">
        <v>-4.4249999999999998</v>
      </c>
      <c r="DK3126" s="80">
        <v>-41.459000000000003</v>
      </c>
      <c r="DL3126" s="80">
        <v>603</v>
      </c>
      <c r="DM3126" s="64">
        <v>7</v>
      </c>
      <c r="DN3126" s="406" t="s">
        <v>6421</v>
      </c>
      <c r="DO3126" s="406">
        <v>-4.2699999999999996</v>
      </c>
      <c r="DP3126" s="80">
        <v>161</v>
      </c>
    </row>
    <row r="3127" spans="29:120" x14ac:dyDescent="0.25">
      <c r="AC3127" s="122" t="s">
        <v>333</v>
      </c>
      <c r="AD3127" s="122" t="s">
        <v>3448</v>
      </c>
      <c r="AE3127" s="127">
        <v>2</v>
      </c>
      <c r="DA3127" s="122" t="s">
        <v>357</v>
      </c>
      <c r="DB3127" s="122" t="s">
        <v>7754</v>
      </c>
      <c r="DC3127" s="122" t="s">
        <v>4487</v>
      </c>
      <c r="DD3127" s="127">
        <v>7</v>
      </c>
      <c r="DE3127" s="127">
        <v>7</v>
      </c>
      <c r="DG3127" s="405" t="s">
        <v>357</v>
      </c>
      <c r="DH3127" s="406" t="s">
        <v>4487</v>
      </c>
      <c r="DI3127" s="406" t="str">
        <f t="shared" si="80"/>
        <v>PI, Pedro Laurentino</v>
      </c>
      <c r="DJ3127" s="406">
        <v>-8.0679999999999996</v>
      </c>
      <c r="DK3127" s="80">
        <v>-42.284999999999997</v>
      </c>
      <c r="DL3127" s="80">
        <v>200</v>
      </c>
      <c r="DM3127" s="64">
        <v>7</v>
      </c>
      <c r="DN3127" s="406" t="s">
        <v>7655</v>
      </c>
      <c r="DO3127" s="406">
        <v>-8.36</v>
      </c>
      <c r="DP3127" s="80">
        <v>235</v>
      </c>
    </row>
    <row r="3128" spans="29:120" x14ac:dyDescent="0.25">
      <c r="AC3128" s="122" t="s">
        <v>336</v>
      </c>
      <c r="AD3128" s="122" t="s">
        <v>3449</v>
      </c>
      <c r="AE3128" s="127">
        <v>3</v>
      </c>
      <c r="DA3128" s="122" t="s">
        <v>357</v>
      </c>
      <c r="DB3128" s="122" t="s">
        <v>5524</v>
      </c>
      <c r="DC3128" s="122" t="s">
        <v>5524</v>
      </c>
      <c r="DD3128" s="127">
        <v>7</v>
      </c>
      <c r="DE3128" s="127">
        <v>7</v>
      </c>
      <c r="DG3128" s="405" t="s">
        <v>357</v>
      </c>
      <c r="DH3128" s="406" t="s">
        <v>5524</v>
      </c>
      <c r="DI3128" s="406" t="str">
        <f t="shared" si="80"/>
        <v>PI, Picos</v>
      </c>
      <c r="DJ3128" s="406">
        <v>-7.077</v>
      </c>
      <c r="DK3128" s="80">
        <v>-41.466999999999999</v>
      </c>
      <c r="DL3128" s="80">
        <v>206</v>
      </c>
      <c r="DM3128" s="64">
        <v>7</v>
      </c>
      <c r="DN3128" s="406" t="s">
        <v>7637</v>
      </c>
      <c r="DO3128" s="406">
        <v>-7.07</v>
      </c>
      <c r="DP3128" s="80">
        <v>233</v>
      </c>
    </row>
    <row r="3129" spans="29:120" x14ac:dyDescent="0.25">
      <c r="AC3129" s="122" t="s">
        <v>289</v>
      </c>
      <c r="AD3129" s="122" t="s">
        <v>678</v>
      </c>
      <c r="AE3129" s="127">
        <v>8</v>
      </c>
      <c r="DA3129" s="122" t="s">
        <v>357</v>
      </c>
      <c r="DB3129" s="122" t="s">
        <v>5532</v>
      </c>
      <c r="DC3129" s="122" t="s">
        <v>5532</v>
      </c>
      <c r="DD3129" s="127">
        <v>7</v>
      </c>
      <c r="DE3129" s="127">
        <v>7</v>
      </c>
      <c r="DG3129" s="405" t="s">
        <v>357</v>
      </c>
      <c r="DH3129" s="406" t="s">
        <v>5532</v>
      </c>
      <c r="DI3129" s="406" t="str">
        <f t="shared" si="80"/>
        <v>PI, Pimenteiras</v>
      </c>
      <c r="DJ3129" s="406">
        <v>-6.2450000000000001</v>
      </c>
      <c r="DK3129" s="80">
        <v>-41.418999999999997</v>
      </c>
      <c r="DL3129" s="80">
        <v>283</v>
      </c>
      <c r="DM3129" s="64">
        <v>7</v>
      </c>
      <c r="DN3129" s="406" t="s">
        <v>7645</v>
      </c>
      <c r="DO3129" s="406">
        <v>-6.4</v>
      </c>
      <c r="DP3129" s="80">
        <v>301</v>
      </c>
    </row>
    <row r="3130" spans="29:120" x14ac:dyDescent="0.25">
      <c r="AC3130" s="122" t="s">
        <v>317</v>
      </c>
      <c r="AD3130" s="122" t="s">
        <v>3450</v>
      </c>
      <c r="AE3130" s="127">
        <v>5</v>
      </c>
      <c r="DA3130" s="122" t="s">
        <v>357</v>
      </c>
      <c r="DB3130" s="122" t="s">
        <v>7755</v>
      </c>
      <c r="DC3130" s="122" t="s">
        <v>5188</v>
      </c>
      <c r="DD3130" s="127">
        <v>7</v>
      </c>
      <c r="DE3130" s="127">
        <v>7</v>
      </c>
      <c r="DG3130" s="405" t="s">
        <v>357</v>
      </c>
      <c r="DH3130" s="406" t="s">
        <v>5188</v>
      </c>
      <c r="DI3130" s="406" t="str">
        <f t="shared" si="80"/>
        <v>PI, Pio IX</v>
      </c>
      <c r="DJ3130" s="406">
        <v>-6.8380000000000001</v>
      </c>
      <c r="DK3130" s="80">
        <v>-40.579000000000001</v>
      </c>
      <c r="DL3130" s="80">
        <v>495</v>
      </c>
      <c r="DM3130" s="64">
        <v>7</v>
      </c>
      <c r="DN3130" s="406" t="s">
        <v>6405</v>
      </c>
      <c r="DO3130" s="406">
        <v>-7.08</v>
      </c>
      <c r="DP3130" s="80">
        <v>572</v>
      </c>
    </row>
    <row r="3131" spans="29:120" x14ac:dyDescent="0.25">
      <c r="AC3131" s="122" t="s">
        <v>333</v>
      </c>
      <c r="AD3131" s="122" t="s">
        <v>3451</v>
      </c>
      <c r="AE3131" s="127">
        <v>3</v>
      </c>
      <c r="DA3131" s="122" t="s">
        <v>357</v>
      </c>
      <c r="DB3131" s="122" t="s">
        <v>4747</v>
      </c>
      <c r="DC3131" s="122" t="s">
        <v>4747</v>
      </c>
      <c r="DD3131" s="127">
        <v>8</v>
      </c>
      <c r="DE3131" s="127">
        <v>8</v>
      </c>
      <c r="DG3131" s="405" t="s">
        <v>357</v>
      </c>
      <c r="DH3131" s="406" t="s">
        <v>4747</v>
      </c>
      <c r="DI3131" s="406" t="str">
        <f t="shared" si="80"/>
        <v>PI, Piracuruca</v>
      </c>
      <c r="DJ3131" s="406">
        <v>-3.9279999999999999</v>
      </c>
      <c r="DK3131" s="80">
        <v>-41.709000000000003</v>
      </c>
      <c r="DL3131" s="80">
        <v>60</v>
      </c>
      <c r="DM3131" s="64">
        <v>8</v>
      </c>
      <c r="DN3131" s="406" t="s">
        <v>6421</v>
      </c>
      <c r="DO3131" s="406">
        <v>-4.2699999999999996</v>
      </c>
      <c r="DP3131" s="80">
        <v>161</v>
      </c>
    </row>
    <row r="3132" spans="29:120" x14ac:dyDescent="0.25">
      <c r="AC3132" s="122" t="s">
        <v>333</v>
      </c>
      <c r="AD3132" s="122" t="s">
        <v>3452</v>
      </c>
      <c r="AE3132" s="127">
        <v>3</v>
      </c>
      <c r="DA3132" s="122" t="s">
        <v>357</v>
      </c>
      <c r="DB3132" s="122" t="s">
        <v>5648</v>
      </c>
      <c r="DC3132" s="122" t="s">
        <v>5648</v>
      </c>
      <c r="DD3132" s="127">
        <v>7</v>
      </c>
      <c r="DE3132" s="127">
        <v>7</v>
      </c>
      <c r="DG3132" s="405" t="s">
        <v>357</v>
      </c>
      <c r="DH3132" s="406" t="s">
        <v>5648</v>
      </c>
      <c r="DI3132" s="406" t="str">
        <f t="shared" si="80"/>
        <v>PI, Piripiri</v>
      </c>
      <c r="DJ3132" s="406">
        <v>-4.2729999999999997</v>
      </c>
      <c r="DK3132" s="80">
        <v>-41.777000000000001</v>
      </c>
      <c r="DL3132" s="80">
        <v>170</v>
      </c>
      <c r="DM3132" s="64">
        <v>7</v>
      </c>
      <c r="DN3132" s="406" t="s">
        <v>6421</v>
      </c>
      <c r="DO3132" s="406">
        <v>-4.2699999999999996</v>
      </c>
      <c r="DP3132" s="80">
        <v>161</v>
      </c>
    </row>
    <row r="3133" spans="29:120" x14ac:dyDescent="0.25">
      <c r="AC3133" s="122" t="s">
        <v>376</v>
      </c>
      <c r="AD3133" s="122" t="s">
        <v>3453</v>
      </c>
      <c r="AE3133" s="127">
        <v>6</v>
      </c>
      <c r="DA3133" s="122" t="s">
        <v>357</v>
      </c>
      <c r="DB3133" s="122" t="s">
        <v>5596</v>
      </c>
      <c r="DC3133" s="122" t="s">
        <v>5596</v>
      </c>
      <c r="DD3133" s="127">
        <v>8</v>
      </c>
      <c r="DE3133" s="127">
        <v>8</v>
      </c>
      <c r="DG3133" s="405" t="s">
        <v>357</v>
      </c>
      <c r="DH3133" s="406" t="s">
        <v>5596</v>
      </c>
      <c r="DI3133" s="406" t="str">
        <f t="shared" si="80"/>
        <v>PI, Porto</v>
      </c>
      <c r="DJ3133" s="406">
        <v>-3.8929999999999998</v>
      </c>
      <c r="DK3133" s="80">
        <v>-42.71</v>
      </c>
      <c r="DL3133" s="80">
        <v>38</v>
      </c>
      <c r="DM3133" s="64">
        <v>8</v>
      </c>
      <c r="DN3133" s="406" t="s">
        <v>6665</v>
      </c>
      <c r="DO3133" s="406">
        <v>-3.9</v>
      </c>
      <c r="DP3133" s="80">
        <v>65</v>
      </c>
    </row>
    <row r="3134" spans="29:120" x14ac:dyDescent="0.25">
      <c r="AC3134" s="122" t="s">
        <v>333</v>
      </c>
      <c r="AD3134" s="122" t="s">
        <v>3454</v>
      </c>
      <c r="AE3134" s="127">
        <v>2</v>
      </c>
      <c r="DA3134" s="122" t="s">
        <v>357</v>
      </c>
      <c r="DB3134" s="122" t="s">
        <v>7756</v>
      </c>
      <c r="DC3134" s="122" t="s">
        <v>4767</v>
      </c>
      <c r="DD3134" s="127">
        <v>7</v>
      </c>
      <c r="DE3134" s="127">
        <v>7</v>
      </c>
      <c r="DG3134" s="405" t="s">
        <v>357</v>
      </c>
      <c r="DH3134" s="406" t="s">
        <v>4767</v>
      </c>
      <c r="DI3134" s="406" t="str">
        <f t="shared" si="80"/>
        <v>PI, Porto Alegre do Piauí</v>
      </c>
      <c r="DJ3134" s="406">
        <v>-6.9669999999999996</v>
      </c>
      <c r="DK3134" s="80">
        <v>-44.182000000000002</v>
      </c>
      <c r="DL3134" s="80">
        <v>180</v>
      </c>
      <c r="DM3134" s="64">
        <v>7</v>
      </c>
      <c r="DN3134" s="406" t="s">
        <v>6658</v>
      </c>
      <c r="DO3134" s="406">
        <v>-7.47</v>
      </c>
      <c r="DP3134" s="80">
        <v>393</v>
      </c>
    </row>
    <row r="3135" spans="29:120" x14ac:dyDescent="0.25">
      <c r="AC3135" s="122" t="s">
        <v>333</v>
      </c>
      <c r="AD3135" s="122" t="s">
        <v>3455</v>
      </c>
      <c r="AE3135" s="127">
        <v>5</v>
      </c>
      <c r="DA3135" s="122" t="s">
        <v>357</v>
      </c>
      <c r="DB3135" s="122" t="s">
        <v>7757</v>
      </c>
      <c r="DC3135" s="122" t="s">
        <v>5581</v>
      </c>
      <c r="DD3135" s="127">
        <v>7</v>
      </c>
      <c r="DE3135" s="127">
        <v>7</v>
      </c>
      <c r="DG3135" s="405" t="s">
        <v>357</v>
      </c>
      <c r="DH3135" s="406" t="s">
        <v>5581</v>
      </c>
      <c r="DI3135" s="406" t="str">
        <f t="shared" si="80"/>
        <v>PI, Prata do Piauí</v>
      </c>
      <c r="DJ3135" s="406">
        <v>-5.6669999999999998</v>
      </c>
      <c r="DK3135" s="80">
        <v>-42.207000000000001</v>
      </c>
      <c r="DL3135" s="80">
        <v>115</v>
      </c>
      <c r="DM3135" s="64">
        <v>7</v>
      </c>
      <c r="DN3135" s="406" t="s">
        <v>6730</v>
      </c>
      <c r="DO3135" s="406">
        <v>-5.91</v>
      </c>
      <c r="DP3135" s="80">
        <v>287</v>
      </c>
    </row>
    <row r="3136" spans="29:120" x14ac:dyDescent="0.25">
      <c r="AC3136" s="122" t="s">
        <v>333</v>
      </c>
      <c r="AD3136" s="122" t="s">
        <v>3456</v>
      </c>
      <c r="AE3136" s="127">
        <v>3</v>
      </c>
      <c r="DA3136" s="122" t="s">
        <v>357</v>
      </c>
      <c r="DB3136" s="122" t="s">
        <v>7758</v>
      </c>
      <c r="DC3136" s="122" t="s">
        <v>4469</v>
      </c>
      <c r="DD3136" s="127">
        <v>7</v>
      </c>
      <c r="DE3136" s="127">
        <v>7</v>
      </c>
      <c r="DG3136" s="405" t="s">
        <v>357</v>
      </c>
      <c r="DH3136" s="406" t="s">
        <v>4469</v>
      </c>
      <c r="DI3136" s="406" t="str">
        <f t="shared" si="80"/>
        <v>PI, Queimada Nova</v>
      </c>
      <c r="DJ3136" s="406">
        <v>-8.5790000000000006</v>
      </c>
      <c r="DK3136" s="80">
        <v>-41.418999999999997</v>
      </c>
      <c r="DL3136" s="80">
        <v>410</v>
      </c>
      <c r="DM3136" s="64">
        <v>7</v>
      </c>
      <c r="DN3136" s="406" t="s">
        <v>7588</v>
      </c>
      <c r="DO3136" s="406">
        <v>-8.14</v>
      </c>
      <c r="DP3136" s="80">
        <v>374</v>
      </c>
    </row>
    <row r="3137" spans="29:120" x14ac:dyDescent="0.25">
      <c r="AC3137" s="122" t="s">
        <v>333</v>
      </c>
      <c r="AD3137" s="122" t="s">
        <v>3457</v>
      </c>
      <c r="AE3137" s="127">
        <v>5</v>
      </c>
      <c r="DA3137" s="122" t="s">
        <v>357</v>
      </c>
      <c r="DB3137" s="122" t="s">
        <v>7759</v>
      </c>
      <c r="DC3137" s="122" t="s">
        <v>5250</v>
      </c>
      <c r="DD3137" s="127">
        <v>7</v>
      </c>
      <c r="DE3137" s="127">
        <v>7</v>
      </c>
      <c r="DG3137" s="405" t="s">
        <v>357</v>
      </c>
      <c r="DH3137" s="406" t="s">
        <v>5250</v>
      </c>
      <c r="DI3137" s="406" t="str">
        <f t="shared" si="80"/>
        <v>PI, Redenção do Gurguéia</v>
      </c>
      <c r="DJ3137" s="406">
        <v>-9.4870000000000001</v>
      </c>
      <c r="DK3137" s="80">
        <v>-44.585999999999999</v>
      </c>
      <c r="DL3137" s="80">
        <v>292</v>
      </c>
      <c r="DM3137" s="64">
        <v>7</v>
      </c>
      <c r="DN3137" s="406" t="s">
        <v>7659</v>
      </c>
      <c r="DO3137" s="406">
        <v>-9.07</v>
      </c>
      <c r="DP3137" s="80">
        <v>331</v>
      </c>
    </row>
    <row r="3138" spans="29:120" x14ac:dyDescent="0.25">
      <c r="AC3138" s="122" t="s">
        <v>317</v>
      </c>
      <c r="AD3138" s="122" t="s">
        <v>3458</v>
      </c>
      <c r="AE3138" s="127">
        <v>5</v>
      </c>
      <c r="DA3138" s="122" t="s">
        <v>357</v>
      </c>
      <c r="DB3138" s="122" t="s">
        <v>4726</v>
      </c>
      <c r="DC3138" s="122" t="s">
        <v>4726</v>
      </c>
      <c r="DD3138" s="127">
        <v>7</v>
      </c>
      <c r="DE3138" s="127">
        <v>7</v>
      </c>
      <c r="DG3138" s="405" t="s">
        <v>357</v>
      </c>
      <c r="DH3138" s="406" t="s">
        <v>4726</v>
      </c>
      <c r="DI3138" s="406" t="str">
        <f t="shared" si="80"/>
        <v>PI, Regeneração</v>
      </c>
      <c r="DJ3138" s="406">
        <v>-6.2380000000000004</v>
      </c>
      <c r="DK3138" s="80">
        <v>-42.688000000000002</v>
      </c>
      <c r="DL3138" s="80">
        <v>164</v>
      </c>
      <c r="DM3138" s="64">
        <v>7</v>
      </c>
      <c r="DN3138" s="406" t="s">
        <v>6730</v>
      </c>
      <c r="DO3138" s="406">
        <v>-5.91</v>
      </c>
      <c r="DP3138" s="80">
        <v>287</v>
      </c>
    </row>
    <row r="3139" spans="29:120" x14ac:dyDescent="0.25">
      <c r="AC3139" s="122" t="s">
        <v>333</v>
      </c>
      <c r="AD3139" s="122" t="s">
        <v>3459</v>
      </c>
      <c r="AE3139" s="127">
        <v>3</v>
      </c>
      <c r="DA3139" s="122" t="s">
        <v>357</v>
      </c>
      <c r="DB3139" s="122" t="s">
        <v>7760</v>
      </c>
      <c r="DC3139" s="122" t="s">
        <v>5493</v>
      </c>
      <c r="DD3139" s="127">
        <v>7</v>
      </c>
      <c r="DE3139" s="127">
        <v>7</v>
      </c>
      <c r="DG3139" s="405" t="s">
        <v>357</v>
      </c>
      <c r="DH3139" s="406" t="s">
        <v>5493</v>
      </c>
      <c r="DI3139" s="406" t="str">
        <f t="shared" ref="DI3139:DI3202" si="81">CONCATENATE(DG3139,", ",DH3139)</f>
        <v>PI, Riacho Frio</v>
      </c>
      <c r="DJ3139" s="406">
        <v>-10.125</v>
      </c>
      <c r="DK3139" s="80">
        <v>-44.953000000000003</v>
      </c>
      <c r="DL3139" s="80">
        <v>400</v>
      </c>
      <c r="DM3139" s="64">
        <v>7</v>
      </c>
      <c r="DN3139" s="406" t="s">
        <v>7652</v>
      </c>
      <c r="DO3139" s="406">
        <v>-9.8699999999999992</v>
      </c>
      <c r="DP3139" s="80">
        <v>425</v>
      </c>
    </row>
    <row r="3140" spans="29:120" x14ac:dyDescent="0.25">
      <c r="AC3140" s="122" t="s">
        <v>333</v>
      </c>
      <c r="AD3140" s="122" t="s">
        <v>3460</v>
      </c>
      <c r="AE3140" s="127">
        <v>3</v>
      </c>
      <c r="DA3140" s="122" t="s">
        <v>357</v>
      </c>
      <c r="DB3140" s="122" t="s">
        <v>7761</v>
      </c>
      <c r="DC3140" s="122" t="s">
        <v>4687</v>
      </c>
      <c r="DD3140" s="127">
        <v>7</v>
      </c>
      <c r="DE3140" s="127">
        <v>7</v>
      </c>
      <c r="DG3140" s="405" t="s">
        <v>357</v>
      </c>
      <c r="DH3140" s="406" t="s">
        <v>4687</v>
      </c>
      <c r="DI3140" s="406" t="str">
        <f t="shared" si="81"/>
        <v>PI, Ribeira do Piauí</v>
      </c>
      <c r="DJ3140" s="406">
        <v>-7.6909999999999998</v>
      </c>
      <c r="DK3140" s="80">
        <v>-42.713000000000001</v>
      </c>
      <c r="DL3140" s="80">
        <v>200</v>
      </c>
      <c r="DM3140" s="64">
        <v>7</v>
      </c>
      <c r="DN3140" s="406" t="s">
        <v>7655</v>
      </c>
      <c r="DO3140" s="406">
        <v>-8.36</v>
      </c>
      <c r="DP3140" s="80">
        <v>235</v>
      </c>
    </row>
    <row r="3141" spans="29:120" x14ac:dyDescent="0.25">
      <c r="AC3141" s="122" t="s">
        <v>333</v>
      </c>
      <c r="AD3141" s="122" t="s">
        <v>3461</v>
      </c>
      <c r="AE3141" s="127">
        <v>2</v>
      </c>
      <c r="DA3141" s="122" t="s">
        <v>357</v>
      </c>
      <c r="DB3141" s="122" t="s">
        <v>7762</v>
      </c>
      <c r="DC3141" s="122" t="s">
        <v>4290</v>
      </c>
      <c r="DD3141" s="127">
        <v>7</v>
      </c>
      <c r="DE3141" s="127">
        <v>7</v>
      </c>
      <c r="DG3141" s="405" t="s">
        <v>357</v>
      </c>
      <c r="DH3141" s="406" t="s">
        <v>4290</v>
      </c>
      <c r="DI3141" s="406" t="str">
        <f t="shared" si="81"/>
        <v>PI, Ribeiro Gonçalves</v>
      </c>
      <c r="DJ3141" s="406">
        <v>-7.5579999999999998</v>
      </c>
      <c r="DK3141" s="80">
        <v>-45.241999999999997</v>
      </c>
      <c r="DL3141" s="80">
        <v>210</v>
      </c>
      <c r="DM3141" s="64">
        <v>7</v>
      </c>
      <c r="DN3141" s="406" t="s">
        <v>6658</v>
      </c>
      <c r="DO3141" s="406">
        <v>-7.47</v>
      </c>
      <c r="DP3141" s="80">
        <v>393</v>
      </c>
    </row>
    <row r="3142" spans="29:120" x14ac:dyDescent="0.25">
      <c r="AC3142" s="122" t="s">
        <v>333</v>
      </c>
      <c r="AD3142" s="122" t="s">
        <v>3462</v>
      </c>
      <c r="AE3142" s="127">
        <v>2</v>
      </c>
      <c r="DA3142" s="122" t="s">
        <v>357</v>
      </c>
      <c r="DB3142" s="122" t="s">
        <v>7763</v>
      </c>
      <c r="DC3142" s="122" t="s">
        <v>4701</v>
      </c>
      <c r="DD3142" s="127">
        <v>7</v>
      </c>
      <c r="DE3142" s="127">
        <v>7</v>
      </c>
      <c r="DG3142" s="405" t="s">
        <v>357</v>
      </c>
      <c r="DH3142" s="406" t="s">
        <v>4701</v>
      </c>
      <c r="DI3142" s="406" t="str">
        <f t="shared" si="81"/>
        <v>PI, Rio Grande do Piauí</v>
      </c>
      <c r="DJ3142" s="406">
        <v>-7.7750000000000004</v>
      </c>
      <c r="DK3142" s="80">
        <v>-43.142000000000003</v>
      </c>
      <c r="DL3142" s="80">
        <v>310</v>
      </c>
      <c r="DM3142" s="64">
        <v>7</v>
      </c>
      <c r="DN3142" s="406" t="s">
        <v>7641</v>
      </c>
      <c r="DO3142" s="406">
        <v>-8.44</v>
      </c>
      <c r="DP3142" s="80">
        <v>270</v>
      </c>
    </row>
    <row r="3143" spans="29:120" x14ac:dyDescent="0.25">
      <c r="AC3143" s="122" t="s">
        <v>333</v>
      </c>
      <c r="AD3143" s="122" t="s">
        <v>3463</v>
      </c>
      <c r="AE3143" s="127">
        <v>3</v>
      </c>
      <c r="DA3143" s="122" t="s">
        <v>357</v>
      </c>
      <c r="DB3143" s="122" t="s">
        <v>7764</v>
      </c>
      <c r="DC3143" s="122" t="s">
        <v>5600</v>
      </c>
      <c r="DD3143" s="127">
        <v>7</v>
      </c>
      <c r="DE3143" s="127">
        <v>7</v>
      </c>
      <c r="DG3143" s="405" t="s">
        <v>357</v>
      </c>
      <c r="DH3143" s="406" t="s">
        <v>5600</v>
      </c>
      <c r="DI3143" s="406" t="str">
        <f t="shared" si="81"/>
        <v>PI, Santa Cruz do Piauí</v>
      </c>
      <c r="DJ3143" s="406">
        <v>-7.1849999999999996</v>
      </c>
      <c r="DK3143" s="80">
        <v>-41.768000000000001</v>
      </c>
      <c r="DL3143" s="80">
        <v>190</v>
      </c>
      <c r="DM3143" s="64">
        <v>7</v>
      </c>
      <c r="DN3143" s="406" t="s">
        <v>7637</v>
      </c>
      <c r="DO3143" s="406">
        <v>-7.07</v>
      </c>
      <c r="DP3143" s="80">
        <v>233</v>
      </c>
    </row>
    <row r="3144" spans="29:120" x14ac:dyDescent="0.25">
      <c r="AC3144" s="122" t="s">
        <v>289</v>
      </c>
      <c r="AD3144" s="122" t="s">
        <v>3464</v>
      </c>
      <c r="AE3144" s="127">
        <v>8</v>
      </c>
      <c r="DA3144" s="122" t="s">
        <v>357</v>
      </c>
      <c r="DB3144" s="122" t="s">
        <v>7765</v>
      </c>
      <c r="DC3144" s="122" t="s">
        <v>5603</v>
      </c>
      <c r="DD3144" s="127">
        <v>7</v>
      </c>
      <c r="DE3144" s="127">
        <v>7</v>
      </c>
      <c r="DG3144" s="405" t="s">
        <v>357</v>
      </c>
      <c r="DH3144" s="406" t="s">
        <v>5603</v>
      </c>
      <c r="DI3144" s="406" t="str">
        <f t="shared" si="81"/>
        <v>PI, Santa Cruz dos Milagres</v>
      </c>
      <c r="DJ3144" s="406">
        <v>-5.8040000000000003</v>
      </c>
      <c r="DK3144" s="80">
        <v>-41.956000000000003</v>
      </c>
      <c r="DL3144" s="80">
        <v>160</v>
      </c>
      <c r="DM3144" s="64">
        <v>7</v>
      </c>
      <c r="DN3144" s="406" t="s">
        <v>7683</v>
      </c>
      <c r="DO3144" s="406">
        <v>-5.35</v>
      </c>
      <c r="DP3144" s="80">
        <v>286</v>
      </c>
    </row>
    <row r="3145" spans="29:120" x14ac:dyDescent="0.25">
      <c r="AC3145" s="122" t="s">
        <v>358</v>
      </c>
      <c r="AD3145" s="122" t="s">
        <v>3465</v>
      </c>
      <c r="AE3145" s="127">
        <v>3</v>
      </c>
      <c r="DA3145" s="122" t="s">
        <v>357</v>
      </c>
      <c r="DB3145" s="122" t="s">
        <v>7620</v>
      </c>
      <c r="DC3145" s="122" t="s">
        <v>4982</v>
      </c>
      <c r="DD3145" s="127">
        <v>7</v>
      </c>
      <c r="DE3145" s="127">
        <v>7</v>
      </c>
      <c r="DG3145" s="405" t="s">
        <v>357</v>
      </c>
      <c r="DH3145" s="406" t="s">
        <v>4982</v>
      </c>
      <c r="DI3145" s="406" t="str">
        <f t="shared" si="81"/>
        <v>PI, Santa Filomena</v>
      </c>
      <c r="DJ3145" s="406">
        <v>-9.1120000000000001</v>
      </c>
      <c r="DK3145" s="80">
        <v>-45.921999999999997</v>
      </c>
      <c r="DL3145" s="80">
        <v>277</v>
      </c>
      <c r="DM3145" s="64">
        <v>7</v>
      </c>
      <c r="DN3145" s="406" t="s">
        <v>6645</v>
      </c>
      <c r="DO3145" s="406">
        <v>-9.11</v>
      </c>
      <c r="DP3145" s="80">
        <v>281</v>
      </c>
    </row>
    <row r="3146" spans="29:120" x14ac:dyDescent="0.25">
      <c r="AC3146" s="122" t="s">
        <v>317</v>
      </c>
      <c r="AD3146" s="122" t="s">
        <v>3466</v>
      </c>
      <c r="AE3146" s="127">
        <v>3</v>
      </c>
      <c r="DA3146" s="122" t="s">
        <v>357</v>
      </c>
      <c r="DB3146" s="122" t="s">
        <v>7766</v>
      </c>
      <c r="DC3146" s="122" t="s">
        <v>5567</v>
      </c>
      <c r="DD3146" s="127">
        <v>7</v>
      </c>
      <c r="DE3146" s="127">
        <v>7</v>
      </c>
      <c r="DG3146" s="405" t="s">
        <v>357</v>
      </c>
      <c r="DH3146" s="406" t="s">
        <v>5567</v>
      </c>
      <c r="DI3146" s="406" t="str">
        <f t="shared" si="81"/>
        <v>PI, Santa Luz</v>
      </c>
      <c r="DJ3146" s="406">
        <v>-8.9540000000000006</v>
      </c>
      <c r="DK3146" s="80">
        <v>-44.128999999999998</v>
      </c>
      <c r="DL3146" s="80">
        <v>345</v>
      </c>
      <c r="DM3146" s="64">
        <v>7</v>
      </c>
      <c r="DN3146" s="406" t="s">
        <v>7659</v>
      </c>
      <c r="DO3146" s="406">
        <v>-9.07</v>
      </c>
      <c r="DP3146" s="80">
        <v>331</v>
      </c>
    </row>
    <row r="3147" spans="29:120" x14ac:dyDescent="0.25">
      <c r="AC3147" s="122" t="s">
        <v>333</v>
      </c>
      <c r="AD3147" s="122" t="s">
        <v>3467</v>
      </c>
      <c r="AE3147" s="127">
        <v>3</v>
      </c>
      <c r="DA3147" s="122" t="s">
        <v>357</v>
      </c>
      <c r="DB3147" s="122" t="s">
        <v>7767</v>
      </c>
      <c r="DC3147" s="122" t="s">
        <v>5673</v>
      </c>
      <c r="DD3147" s="127">
        <v>7</v>
      </c>
      <c r="DE3147" s="127">
        <v>7</v>
      </c>
      <c r="DG3147" s="405" t="s">
        <v>357</v>
      </c>
      <c r="DH3147" s="406" t="s">
        <v>5673</v>
      </c>
      <c r="DI3147" s="406" t="str">
        <f t="shared" si="81"/>
        <v>PI, Santa Rosa do Piauí</v>
      </c>
      <c r="DJ3147" s="406">
        <v>-6.7990000000000004</v>
      </c>
      <c r="DK3147" s="80">
        <v>-42.287999999999997</v>
      </c>
      <c r="DL3147" s="80">
        <v>327</v>
      </c>
      <c r="DM3147" s="64">
        <v>7</v>
      </c>
      <c r="DN3147" s="406" t="s">
        <v>7669</v>
      </c>
      <c r="DO3147" s="406">
        <v>-6.97</v>
      </c>
      <c r="DP3147" s="80">
        <v>156</v>
      </c>
    </row>
    <row r="3148" spans="29:120" x14ac:dyDescent="0.25">
      <c r="AC3148" s="122" t="s">
        <v>333</v>
      </c>
      <c r="AD3148" s="122" t="s">
        <v>3468</v>
      </c>
      <c r="AE3148" s="127">
        <v>3</v>
      </c>
      <c r="DA3148" s="122" t="s">
        <v>357</v>
      </c>
      <c r="DB3148" s="122" t="s">
        <v>7768</v>
      </c>
      <c r="DC3148" s="122" t="s">
        <v>5525</v>
      </c>
      <c r="DD3148" s="127">
        <v>7</v>
      </c>
      <c r="DE3148" s="127">
        <v>7</v>
      </c>
      <c r="DG3148" s="405" t="s">
        <v>357</v>
      </c>
      <c r="DH3148" s="406" t="s">
        <v>5525</v>
      </c>
      <c r="DI3148" s="406" t="str">
        <f t="shared" si="81"/>
        <v>PI, Santana do Piauí</v>
      </c>
      <c r="DJ3148" s="406">
        <v>-6.9480000000000004</v>
      </c>
      <c r="DK3148" s="80">
        <v>-41.518999999999998</v>
      </c>
      <c r="DL3148" s="80">
        <v>349</v>
      </c>
      <c r="DM3148" s="64">
        <v>7</v>
      </c>
      <c r="DN3148" s="406" t="s">
        <v>7637</v>
      </c>
      <c r="DO3148" s="406">
        <v>-7.07</v>
      </c>
      <c r="DP3148" s="80">
        <v>233</v>
      </c>
    </row>
    <row r="3149" spans="29:120" x14ac:dyDescent="0.25">
      <c r="AC3149" s="122" t="s">
        <v>333</v>
      </c>
      <c r="AD3149" s="122" t="s">
        <v>3469</v>
      </c>
      <c r="AE3149" s="127">
        <v>3</v>
      </c>
      <c r="DA3149" s="122" t="s">
        <v>357</v>
      </c>
      <c r="DB3149" s="122" t="s">
        <v>7769</v>
      </c>
      <c r="DC3149" s="122" t="s">
        <v>5497</v>
      </c>
      <c r="DD3149" s="127">
        <v>7</v>
      </c>
      <c r="DE3149" s="127">
        <v>7</v>
      </c>
      <c r="DG3149" s="405" t="s">
        <v>357</v>
      </c>
      <c r="DH3149" s="406" t="s">
        <v>5497</v>
      </c>
      <c r="DI3149" s="406" t="str">
        <f t="shared" si="81"/>
        <v>PI, Santo Antônio de Lisboa</v>
      </c>
      <c r="DJ3149" s="406">
        <v>-6.9809999999999999</v>
      </c>
      <c r="DK3149" s="80">
        <v>-41.234000000000002</v>
      </c>
      <c r="DL3149" s="80">
        <v>237</v>
      </c>
      <c r="DM3149" s="64">
        <v>7</v>
      </c>
      <c r="DN3149" s="406" t="s">
        <v>7637</v>
      </c>
      <c r="DO3149" s="406">
        <v>-7.07</v>
      </c>
      <c r="DP3149" s="80">
        <v>233</v>
      </c>
    </row>
    <row r="3150" spans="29:120" x14ac:dyDescent="0.25">
      <c r="AC3150" s="122" t="s">
        <v>311</v>
      </c>
      <c r="AD3150" s="122" t="s">
        <v>3470</v>
      </c>
      <c r="AE3150" s="127">
        <v>3</v>
      </c>
      <c r="DA3150" s="122" t="s">
        <v>357</v>
      </c>
      <c r="DB3150" s="122" t="s">
        <v>7770</v>
      </c>
      <c r="DC3150" s="122" t="s">
        <v>4689</v>
      </c>
      <c r="DD3150" s="127">
        <v>7</v>
      </c>
      <c r="DE3150" s="127">
        <v>7</v>
      </c>
      <c r="DG3150" s="405" t="s">
        <v>357</v>
      </c>
      <c r="DH3150" s="406" t="s">
        <v>4689</v>
      </c>
      <c r="DI3150" s="406" t="str">
        <f t="shared" si="81"/>
        <v>PI, Santo Antônio dos Milagres</v>
      </c>
      <c r="DJ3150" s="406">
        <v>-6.0469999999999997</v>
      </c>
      <c r="DK3150" s="80">
        <v>-42.71</v>
      </c>
      <c r="DL3150" s="80">
        <v>240</v>
      </c>
      <c r="DM3150" s="64">
        <v>7</v>
      </c>
      <c r="DN3150" s="406" t="s">
        <v>6730</v>
      </c>
      <c r="DO3150" s="406">
        <v>-5.91</v>
      </c>
      <c r="DP3150" s="80">
        <v>287</v>
      </c>
    </row>
    <row r="3151" spans="29:120" x14ac:dyDescent="0.25">
      <c r="AC3151" s="122" t="s">
        <v>333</v>
      </c>
      <c r="AD3151" s="122" t="s">
        <v>3471</v>
      </c>
      <c r="AE3151" s="127">
        <v>3</v>
      </c>
      <c r="DA3151" s="122" t="s">
        <v>357</v>
      </c>
      <c r="DB3151" s="122" t="s">
        <v>7771</v>
      </c>
      <c r="DC3151" s="122" t="s">
        <v>5590</v>
      </c>
      <c r="DD3151" s="127">
        <v>7</v>
      </c>
      <c r="DE3151" s="127">
        <v>7</v>
      </c>
      <c r="DG3151" s="405" t="s">
        <v>357</v>
      </c>
      <c r="DH3151" s="406" t="s">
        <v>5590</v>
      </c>
      <c r="DI3151" s="406" t="str">
        <f t="shared" si="81"/>
        <v>PI, Santo Inácio do Piauí</v>
      </c>
      <c r="DJ3151" s="406">
        <v>-7.43</v>
      </c>
      <c r="DK3151" s="80">
        <v>-41.911000000000001</v>
      </c>
      <c r="DL3151" s="80">
        <v>210</v>
      </c>
      <c r="DM3151" s="64">
        <v>7</v>
      </c>
      <c r="DN3151" s="406" t="s">
        <v>7669</v>
      </c>
      <c r="DO3151" s="406">
        <v>-6.97</v>
      </c>
      <c r="DP3151" s="80">
        <v>156</v>
      </c>
    </row>
    <row r="3152" spans="29:120" x14ac:dyDescent="0.25">
      <c r="AC3152" s="122" t="s">
        <v>376</v>
      </c>
      <c r="AD3152" s="122" t="s">
        <v>3472</v>
      </c>
      <c r="AE3152" s="127">
        <v>5</v>
      </c>
      <c r="DA3152" s="122" t="s">
        <v>357</v>
      </c>
      <c r="DB3152" s="122" t="s">
        <v>7772</v>
      </c>
      <c r="DC3152" s="122" t="s">
        <v>5655</v>
      </c>
      <c r="DD3152" s="127">
        <v>7</v>
      </c>
      <c r="DE3152" s="127">
        <v>7</v>
      </c>
      <c r="DG3152" s="405" t="s">
        <v>357</v>
      </c>
      <c r="DH3152" s="406" t="s">
        <v>5655</v>
      </c>
      <c r="DI3152" s="406" t="str">
        <f t="shared" si="81"/>
        <v>PI, São Braz do Piauí</v>
      </c>
      <c r="DJ3152" s="406">
        <v>-8.9619999999999997</v>
      </c>
      <c r="DK3152" s="80">
        <v>-43.003999999999998</v>
      </c>
      <c r="DL3152" s="80">
        <v>642</v>
      </c>
      <c r="DM3152" s="64">
        <v>7</v>
      </c>
      <c r="DN3152" s="406" t="s">
        <v>7662</v>
      </c>
      <c r="DO3152" s="406">
        <v>-9.0299999999999994</v>
      </c>
      <c r="DP3152" s="80">
        <v>402</v>
      </c>
    </row>
    <row r="3153" spans="29:120" x14ac:dyDescent="0.25">
      <c r="AC3153" s="122" t="s">
        <v>376</v>
      </c>
      <c r="AD3153" s="122" t="s">
        <v>3473</v>
      </c>
      <c r="AE3153" s="127">
        <v>5</v>
      </c>
      <c r="DA3153" s="122" t="s">
        <v>357</v>
      </c>
      <c r="DB3153" s="122" t="s">
        <v>7773</v>
      </c>
      <c r="DC3153" s="122" t="s">
        <v>5574</v>
      </c>
      <c r="DD3153" s="127">
        <v>7</v>
      </c>
      <c r="DE3153" s="127">
        <v>7</v>
      </c>
      <c r="DG3153" s="405" t="s">
        <v>357</v>
      </c>
      <c r="DH3153" s="406" t="s">
        <v>5574</v>
      </c>
      <c r="DI3153" s="406" t="str">
        <f t="shared" si="81"/>
        <v>PI, São Félix do Piauí</v>
      </c>
      <c r="DJ3153" s="406">
        <v>-5.9329999999999998</v>
      </c>
      <c r="DK3153" s="80">
        <v>-42.113999999999997</v>
      </c>
      <c r="DL3153" s="80">
        <v>175</v>
      </c>
      <c r="DM3153" s="64">
        <v>7</v>
      </c>
      <c r="DN3153" s="406" t="s">
        <v>7645</v>
      </c>
      <c r="DO3153" s="406">
        <v>-6.4</v>
      </c>
      <c r="DP3153" s="80">
        <v>301</v>
      </c>
    </row>
    <row r="3154" spans="29:120" x14ac:dyDescent="0.25">
      <c r="AC3154" s="122" t="s">
        <v>289</v>
      </c>
      <c r="AD3154" s="122" t="s">
        <v>3474</v>
      </c>
      <c r="AE3154" s="127">
        <v>8</v>
      </c>
      <c r="DA3154" s="122" t="s">
        <v>357</v>
      </c>
      <c r="DB3154" s="122" t="s">
        <v>7774</v>
      </c>
      <c r="DC3154" s="122" t="s">
        <v>4484</v>
      </c>
      <c r="DD3154" s="127">
        <v>7</v>
      </c>
      <c r="DE3154" s="127">
        <v>7</v>
      </c>
      <c r="DG3154" s="405" t="s">
        <v>357</v>
      </c>
      <c r="DH3154" s="406" t="s">
        <v>4484</v>
      </c>
      <c r="DI3154" s="406" t="str">
        <f t="shared" si="81"/>
        <v>PI, São Francisco de Assis do Piauí</v>
      </c>
      <c r="DJ3154" s="406">
        <v>-8.2379999999999995</v>
      </c>
      <c r="DK3154" s="80">
        <v>-41.686</v>
      </c>
      <c r="DL3154" s="80">
        <v>415</v>
      </c>
      <c r="DM3154" s="64">
        <v>7</v>
      </c>
      <c r="DN3154" s="406" t="s">
        <v>7588</v>
      </c>
      <c r="DO3154" s="406">
        <v>-8.14</v>
      </c>
      <c r="DP3154" s="80">
        <v>374</v>
      </c>
    </row>
    <row r="3155" spans="29:120" x14ac:dyDescent="0.25">
      <c r="AC3155" s="122" t="s">
        <v>333</v>
      </c>
      <c r="AD3155" s="122" t="s">
        <v>3475</v>
      </c>
      <c r="AE3155" s="127">
        <v>3</v>
      </c>
      <c r="DA3155" s="122" t="s">
        <v>357</v>
      </c>
      <c r="DB3155" s="122" t="s">
        <v>7775</v>
      </c>
      <c r="DC3155" s="122" t="s">
        <v>5611</v>
      </c>
      <c r="DD3155" s="127">
        <v>7</v>
      </c>
      <c r="DE3155" s="127">
        <v>7</v>
      </c>
      <c r="DG3155" s="405" t="s">
        <v>357</v>
      </c>
      <c r="DH3155" s="406" t="s">
        <v>5611</v>
      </c>
      <c r="DI3155" s="406" t="str">
        <f t="shared" si="81"/>
        <v>PI, São Francisco do Piauí</v>
      </c>
      <c r="DJ3155" s="406">
        <v>-7.2510000000000003</v>
      </c>
      <c r="DK3155" s="80">
        <v>-42.542999999999999</v>
      </c>
      <c r="DL3155" s="80">
        <v>158</v>
      </c>
      <c r="DM3155" s="64">
        <v>7</v>
      </c>
      <c r="DN3155" s="406" t="s">
        <v>7669</v>
      </c>
      <c r="DO3155" s="406">
        <v>-6.97</v>
      </c>
      <c r="DP3155" s="80">
        <v>156</v>
      </c>
    </row>
    <row r="3156" spans="29:120" x14ac:dyDescent="0.25">
      <c r="AC3156" s="122" t="s">
        <v>333</v>
      </c>
      <c r="AD3156" s="122" t="s">
        <v>3476</v>
      </c>
      <c r="AE3156" s="127">
        <v>2</v>
      </c>
      <c r="DA3156" s="122" t="s">
        <v>357</v>
      </c>
      <c r="DB3156" s="122" t="s">
        <v>7776</v>
      </c>
      <c r="DC3156" s="122" t="s">
        <v>5187</v>
      </c>
      <c r="DD3156" s="127">
        <v>7</v>
      </c>
      <c r="DE3156" s="127">
        <v>7</v>
      </c>
      <c r="DG3156" s="405" t="s">
        <v>357</v>
      </c>
      <c r="DH3156" s="406" t="s">
        <v>5187</v>
      </c>
      <c r="DI3156" s="406" t="str">
        <f t="shared" si="81"/>
        <v>PI, São Gonçalo do Gurguéia</v>
      </c>
      <c r="DJ3156" s="406">
        <v>-10.029999999999999</v>
      </c>
      <c r="DK3156" s="80">
        <v>-45.302999999999997</v>
      </c>
      <c r="DL3156" s="80">
        <v>440</v>
      </c>
      <c r="DM3156" s="64">
        <v>7</v>
      </c>
      <c r="DN3156" s="406" t="s">
        <v>7652</v>
      </c>
      <c r="DO3156" s="406">
        <v>-9.8699999999999992</v>
      </c>
      <c r="DP3156" s="80">
        <v>425</v>
      </c>
    </row>
    <row r="3157" spans="29:120" x14ac:dyDescent="0.25">
      <c r="AC3157" s="122" t="s">
        <v>333</v>
      </c>
      <c r="AD3157" s="122" t="s">
        <v>3477</v>
      </c>
      <c r="AE3157" s="127">
        <v>3</v>
      </c>
      <c r="DA3157" s="122" t="s">
        <v>357</v>
      </c>
      <c r="DB3157" s="122" t="s">
        <v>7777</v>
      </c>
      <c r="DC3157" s="122" t="s">
        <v>4685</v>
      </c>
      <c r="DD3157" s="127">
        <v>7</v>
      </c>
      <c r="DE3157" s="127">
        <v>7</v>
      </c>
      <c r="DG3157" s="405" t="s">
        <v>357</v>
      </c>
      <c r="DH3157" s="406" t="s">
        <v>4685</v>
      </c>
      <c r="DI3157" s="406" t="str">
        <f t="shared" si="81"/>
        <v>PI, São Gonçalo do Piauí</v>
      </c>
      <c r="DJ3157" s="406">
        <v>-5.9930000000000003</v>
      </c>
      <c r="DK3157" s="80">
        <v>-42.703000000000003</v>
      </c>
      <c r="DL3157" s="80">
        <v>270</v>
      </c>
      <c r="DM3157" s="64">
        <v>7</v>
      </c>
      <c r="DN3157" s="406" t="s">
        <v>6730</v>
      </c>
      <c r="DO3157" s="406">
        <v>-5.91</v>
      </c>
      <c r="DP3157" s="80">
        <v>287</v>
      </c>
    </row>
    <row r="3158" spans="29:120" x14ac:dyDescent="0.25">
      <c r="AC3158" s="122" t="s">
        <v>333</v>
      </c>
      <c r="AD3158" s="122" t="s">
        <v>3478</v>
      </c>
      <c r="AE3158" s="127">
        <v>3</v>
      </c>
      <c r="DA3158" s="122" t="s">
        <v>357</v>
      </c>
      <c r="DB3158" s="122" t="s">
        <v>7778</v>
      </c>
      <c r="DC3158" s="122" t="s">
        <v>5500</v>
      </c>
      <c r="DD3158" s="127">
        <v>7</v>
      </c>
      <c r="DE3158" s="127">
        <v>7</v>
      </c>
      <c r="DG3158" s="405" t="s">
        <v>357</v>
      </c>
      <c r="DH3158" s="406" t="s">
        <v>5500</v>
      </c>
      <c r="DI3158" s="406" t="str">
        <f t="shared" si="81"/>
        <v>PI, São João da Canabrava</v>
      </c>
      <c r="DJ3158" s="406">
        <v>-6.8170000000000002</v>
      </c>
      <c r="DK3158" s="80">
        <v>-41.343000000000004</v>
      </c>
      <c r="DL3158" s="80">
        <v>310</v>
      </c>
      <c r="DM3158" s="64">
        <v>7</v>
      </c>
      <c r="DN3158" s="406" t="s">
        <v>7637</v>
      </c>
      <c r="DO3158" s="406">
        <v>-7.07</v>
      </c>
      <c r="DP3158" s="80">
        <v>233</v>
      </c>
    </row>
    <row r="3159" spans="29:120" x14ac:dyDescent="0.25">
      <c r="AC3159" s="122" t="s">
        <v>333</v>
      </c>
      <c r="AD3159" s="122" t="s">
        <v>3479</v>
      </c>
      <c r="AE3159" s="127">
        <v>2</v>
      </c>
      <c r="DA3159" s="122" t="s">
        <v>357</v>
      </c>
      <c r="DB3159" s="122" t="s">
        <v>7779</v>
      </c>
      <c r="DC3159" s="122" t="s">
        <v>4634</v>
      </c>
      <c r="DD3159" s="127">
        <v>7</v>
      </c>
      <c r="DE3159" s="127">
        <v>7</v>
      </c>
      <c r="DG3159" s="405" t="s">
        <v>357</v>
      </c>
      <c r="DH3159" s="406" t="s">
        <v>4634</v>
      </c>
      <c r="DI3159" s="406" t="str">
        <f t="shared" si="81"/>
        <v>PI, São João da Fronteira</v>
      </c>
      <c r="DJ3159" s="406">
        <v>-3.956</v>
      </c>
      <c r="DK3159" s="80">
        <v>-41.258000000000003</v>
      </c>
      <c r="DL3159" s="80">
        <v>241</v>
      </c>
      <c r="DM3159" s="64">
        <v>7</v>
      </c>
      <c r="DN3159" s="406" t="s">
        <v>6421</v>
      </c>
      <c r="DO3159" s="406">
        <v>-4.2699999999999996</v>
      </c>
      <c r="DP3159" s="80">
        <v>161</v>
      </c>
    </row>
    <row r="3160" spans="29:120" x14ac:dyDescent="0.25">
      <c r="AC3160" s="122" t="s">
        <v>333</v>
      </c>
      <c r="AD3160" s="122" t="s">
        <v>3480</v>
      </c>
      <c r="AE3160" s="127">
        <v>2</v>
      </c>
      <c r="DA3160" s="122" t="s">
        <v>357</v>
      </c>
      <c r="DB3160" s="122" t="s">
        <v>7780</v>
      </c>
      <c r="DC3160" s="122" t="s">
        <v>5639</v>
      </c>
      <c r="DD3160" s="127">
        <v>7</v>
      </c>
      <c r="DE3160" s="127">
        <v>7</v>
      </c>
      <c r="DG3160" s="405" t="s">
        <v>357</v>
      </c>
      <c r="DH3160" s="406" t="s">
        <v>5639</v>
      </c>
      <c r="DI3160" s="406" t="str">
        <f t="shared" si="81"/>
        <v>PI, São João da Serra</v>
      </c>
      <c r="DJ3160" s="406">
        <v>-5.5140000000000002</v>
      </c>
      <c r="DK3160" s="80">
        <v>-41.899000000000001</v>
      </c>
      <c r="DL3160" s="80">
        <v>155</v>
      </c>
      <c r="DM3160" s="64">
        <v>7</v>
      </c>
      <c r="DN3160" s="406" t="s">
        <v>7683</v>
      </c>
      <c r="DO3160" s="406">
        <v>-5.35</v>
      </c>
      <c r="DP3160" s="80">
        <v>286</v>
      </c>
    </row>
    <row r="3161" spans="29:120" x14ac:dyDescent="0.25">
      <c r="AC3161" s="122" t="s">
        <v>358</v>
      </c>
      <c r="AD3161" s="122" t="s">
        <v>3481</v>
      </c>
      <c r="AE3161" s="127">
        <v>3</v>
      </c>
      <c r="DA3161" s="122" t="s">
        <v>357</v>
      </c>
      <c r="DB3161" s="122" t="s">
        <v>7781</v>
      </c>
      <c r="DC3161" s="122" t="s">
        <v>5654</v>
      </c>
      <c r="DD3161" s="127">
        <v>7</v>
      </c>
      <c r="DE3161" s="127">
        <v>7</v>
      </c>
      <c r="DG3161" s="405" t="s">
        <v>357</v>
      </c>
      <c r="DH3161" s="406" t="s">
        <v>5654</v>
      </c>
      <c r="DI3161" s="406" t="str">
        <f t="shared" si="81"/>
        <v>PI, São João da Varjota</v>
      </c>
      <c r="DJ3161" s="406">
        <v>-6.9420000000000002</v>
      </c>
      <c r="DK3161" s="80">
        <v>-41.89</v>
      </c>
      <c r="DL3161" s="80">
        <v>340</v>
      </c>
      <c r="DM3161" s="64">
        <v>7</v>
      </c>
      <c r="DN3161" s="406" t="s">
        <v>7669</v>
      </c>
      <c r="DO3161" s="406">
        <v>-6.97</v>
      </c>
      <c r="DP3161" s="80">
        <v>156</v>
      </c>
    </row>
    <row r="3162" spans="29:120" x14ac:dyDescent="0.25">
      <c r="AC3162" s="122" t="s">
        <v>289</v>
      </c>
      <c r="AD3162" s="122" t="s">
        <v>3482</v>
      </c>
      <c r="AE3162" s="127">
        <v>8</v>
      </c>
      <c r="DA3162" s="122" t="s">
        <v>357</v>
      </c>
      <c r="DB3162" s="122" t="s">
        <v>7782</v>
      </c>
      <c r="DC3162" s="122" t="s">
        <v>5642</v>
      </c>
      <c r="DD3162" s="127">
        <v>8</v>
      </c>
      <c r="DE3162" s="127">
        <v>8</v>
      </c>
      <c r="DG3162" s="405" t="s">
        <v>357</v>
      </c>
      <c r="DH3162" s="406" t="s">
        <v>5642</v>
      </c>
      <c r="DI3162" s="406" t="str">
        <f t="shared" si="81"/>
        <v>PI, São João do Arraial</v>
      </c>
      <c r="DJ3162" s="406">
        <v>-3.819</v>
      </c>
      <c r="DK3162" s="80">
        <v>-42.445999999999998</v>
      </c>
      <c r="DL3162" s="80">
        <v>110</v>
      </c>
      <c r="DM3162" s="64">
        <v>8</v>
      </c>
      <c r="DN3162" s="406" t="s">
        <v>6665</v>
      </c>
      <c r="DO3162" s="406">
        <v>-3.9</v>
      </c>
      <c r="DP3162" s="80">
        <v>65</v>
      </c>
    </row>
    <row r="3163" spans="29:120" x14ac:dyDescent="0.25">
      <c r="AC3163" s="122" t="s">
        <v>317</v>
      </c>
      <c r="AD3163" s="122" t="s">
        <v>3483</v>
      </c>
      <c r="AE3163" s="127">
        <v>3</v>
      </c>
      <c r="DA3163" s="122" t="s">
        <v>357</v>
      </c>
      <c r="DB3163" s="122" t="s">
        <v>7783</v>
      </c>
      <c r="DC3163" s="122" t="s">
        <v>4473</v>
      </c>
      <c r="DD3163" s="127">
        <v>7</v>
      </c>
      <c r="DE3163" s="127">
        <v>7</v>
      </c>
      <c r="DG3163" s="405" t="s">
        <v>357</v>
      </c>
      <c r="DH3163" s="406" t="s">
        <v>4473</v>
      </c>
      <c r="DI3163" s="406" t="str">
        <f t="shared" si="81"/>
        <v>PI, São João do Piauí</v>
      </c>
      <c r="DJ3163" s="406">
        <v>-8.3580000000000005</v>
      </c>
      <c r="DK3163" s="80">
        <v>-42.247</v>
      </c>
      <c r="DL3163" s="80">
        <v>222</v>
      </c>
      <c r="DM3163" s="64">
        <v>7</v>
      </c>
      <c r="DN3163" s="406" t="s">
        <v>7655</v>
      </c>
      <c r="DO3163" s="406">
        <v>-8.36</v>
      </c>
      <c r="DP3163" s="80">
        <v>235</v>
      </c>
    </row>
    <row r="3164" spans="29:120" x14ac:dyDescent="0.25">
      <c r="AC3164" s="122" t="s">
        <v>336</v>
      </c>
      <c r="AD3164" s="122" t="s">
        <v>3484</v>
      </c>
      <c r="AE3164" s="127">
        <v>5</v>
      </c>
      <c r="DA3164" s="122" t="s">
        <v>357</v>
      </c>
      <c r="DB3164" s="122" t="s">
        <v>7196</v>
      </c>
      <c r="DC3164" s="122" t="s">
        <v>1884</v>
      </c>
      <c r="DD3164" s="127">
        <v>8</v>
      </c>
      <c r="DE3164" s="127">
        <v>8</v>
      </c>
      <c r="DG3164" s="405" t="s">
        <v>357</v>
      </c>
      <c r="DH3164" s="406" t="s">
        <v>1884</v>
      </c>
      <c r="DI3164" s="406" t="str">
        <f t="shared" si="81"/>
        <v>PI, São José do Divino</v>
      </c>
      <c r="DJ3164" s="406">
        <v>-3.8109999999999999</v>
      </c>
      <c r="DK3164" s="80">
        <v>-41.832999999999998</v>
      </c>
      <c r="DL3164" s="80">
        <v>55</v>
      </c>
      <c r="DM3164" s="64">
        <v>8</v>
      </c>
      <c r="DN3164" s="406" t="s">
        <v>6665</v>
      </c>
      <c r="DO3164" s="406">
        <v>-3.9</v>
      </c>
      <c r="DP3164" s="80">
        <v>65</v>
      </c>
    </row>
    <row r="3165" spans="29:120" x14ac:dyDescent="0.25">
      <c r="AC3165" s="122" t="s">
        <v>333</v>
      </c>
      <c r="AD3165" s="122" t="s">
        <v>3485</v>
      </c>
      <c r="AE3165" s="127">
        <v>3</v>
      </c>
      <c r="DA3165" s="122" t="s">
        <v>357</v>
      </c>
      <c r="DB3165" s="122" t="s">
        <v>7784</v>
      </c>
      <c r="DC3165" s="122" t="s">
        <v>4778</v>
      </c>
      <c r="DD3165" s="127">
        <v>7</v>
      </c>
      <c r="DE3165" s="127">
        <v>7</v>
      </c>
      <c r="DG3165" s="405" t="s">
        <v>357</v>
      </c>
      <c r="DH3165" s="406" t="s">
        <v>4778</v>
      </c>
      <c r="DI3165" s="406" t="str">
        <f t="shared" si="81"/>
        <v>PI, São José do Peixe</v>
      </c>
      <c r="DJ3165" s="406">
        <v>-7.4939999999999998</v>
      </c>
      <c r="DK3165" s="80">
        <v>-42.564</v>
      </c>
      <c r="DL3165" s="80">
        <v>170</v>
      </c>
      <c r="DM3165" s="64">
        <v>7</v>
      </c>
      <c r="DN3165" s="406" t="s">
        <v>7669</v>
      </c>
      <c r="DO3165" s="406">
        <v>-6.97</v>
      </c>
      <c r="DP3165" s="80">
        <v>156</v>
      </c>
    </row>
    <row r="3166" spans="29:120" x14ac:dyDescent="0.25">
      <c r="AC3166" s="122" t="s">
        <v>289</v>
      </c>
      <c r="AD3166" s="122" t="s">
        <v>3486</v>
      </c>
      <c r="AE3166" s="127">
        <v>8</v>
      </c>
      <c r="DA3166" s="122" t="s">
        <v>357</v>
      </c>
      <c r="DB3166" s="122" t="s">
        <v>7785</v>
      </c>
      <c r="DC3166" s="122" t="s">
        <v>5517</v>
      </c>
      <c r="DD3166" s="127">
        <v>7</v>
      </c>
      <c r="DE3166" s="127">
        <v>7</v>
      </c>
      <c r="DG3166" s="405" t="s">
        <v>357</v>
      </c>
      <c r="DH3166" s="406" t="s">
        <v>5517</v>
      </c>
      <c r="DI3166" s="406" t="str">
        <f t="shared" si="81"/>
        <v>PI, São José do Piauí</v>
      </c>
      <c r="DJ3166" s="406">
        <v>-6.8719999999999999</v>
      </c>
      <c r="DK3166" s="80">
        <v>-41.475000000000001</v>
      </c>
      <c r="DL3166" s="80">
        <v>395</v>
      </c>
      <c r="DM3166" s="64">
        <v>7</v>
      </c>
      <c r="DN3166" s="406" t="s">
        <v>7637</v>
      </c>
      <c r="DO3166" s="406">
        <v>-7.07</v>
      </c>
      <c r="DP3166" s="80">
        <v>233</v>
      </c>
    </row>
    <row r="3167" spans="29:120" x14ac:dyDescent="0.25">
      <c r="AC3167" s="122" t="s">
        <v>317</v>
      </c>
      <c r="AD3167" s="122" t="s">
        <v>3487</v>
      </c>
      <c r="AE3167" s="127">
        <v>3</v>
      </c>
      <c r="DA3167" s="122" t="s">
        <v>357</v>
      </c>
      <c r="DB3167" s="122" t="s">
        <v>7786</v>
      </c>
      <c r="DC3167" s="122" t="s">
        <v>5464</v>
      </c>
      <c r="DD3167" s="127">
        <v>7</v>
      </c>
      <c r="DE3167" s="127">
        <v>7</v>
      </c>
      <c r="DG3167" s="405" t="s">
        <v>357</v>
      </c>
      <c r="DH3167" s="406" t="s">
        <v>5464</v>
      </c>
      <c r="DI3167" s="406" t="str">
        <f t="shared" si="81"/>
        <v>PI, São Julião</v>
      </c>
      <c r="DJ3167" s="406">
        <v>-7.085</v>
      </c>
      <c r="DK3167" s="80">
        <v>-40.826000000000001</v>
      </c>
      <c r="DL3167" s="80">
        <v>377</v>
      </c>
      <c r="DM3167" s="64">
        <v>7</v>
      </c>
      <c r="DN3167" s="406" t="s">
        <v>6405</v>
      </c>
      <c r="DO3167" s="406">
        <v>-7.08</v>
      </c>
      <c r="DP3167" s="80">
        <v>572</v>
      </c>
    </row>
    <row r="3168" spans="29:120" x14ac:dyDescent="0.25">
      <c r="AC3168" s="122" t="s">
        <v>333</v>
      </c>
      <c r="AD3168" s="122" t="s">
        <v>3488</v>
      </c>
      <c r="AE3168" s="127">
        <v>3</v>
      </c>
      <c r="DA3168" s="122" t="s">
        <v>357</v>
      </c>
      <c r="DB3168" s="122" t="s">
        <v>7787</v>
      </c>
      <c r="DC3168" s="122" t="s">
        <v>4871</v>
      </c>
      <c r="DD3168" s="127">
        <v>7</v>
      </c>
      <c r="DE3168" s="127">
        <v>7</v>
      </c>
      <c r="DG3168" s="405" t="s">
        <v>357</v>
      </c>
      <c r="DH3168" s="406" t="s">
        <v>4871</v>
      </c>
      <c r="DI3168" s="406" t="str">
        <f t="shared" si="81"/>
        <v>PI, São Lourenço do Piauí</v>
      </c>
      <c r="DJ3168" s="406">
        <v>-9.1690000000000005</v>
      </c>
      <c r="DK3168" s="80">
        <v>-42.545000000000002</v>
      </c>
      <c r="DL3168" s="80">
        <v>350</v>
      </c>
      <c r="DM3168" s="64">
        <v>7</v>
      </c>
      <c r="DN3168" s="406" t="s">
        <v>7662</v>
      </c>
      <c r="DO3168" s="406">
        <v>-9.0299999999999994</v>
      </c>
      <c r="DP3168" s="80">
        <v>402</v>
      </c>
    </row>
    <row r="3169" spans="29:120" x14ac:dyDescent="0.25">
      <c r="AC3169" s="122" t="s">
        <v>376</v>
      </c>
      <c r="AD3169" s="122" t="s">
        <v>2095</v>
      </c>
      <c r="AE3169" s="127">
        <v>3</v>
      </c>
      <c r="DA3169" s="122" t="s">
        <v>357</v>
      </c>
      <c r="DB3169" s="122" t="s">
        <v>7788</v>
      </c>
      <c r="DC3169" s="122" t="s">
        <v>5501</v>
      </c>
      <c r="DD3169" s="127">
        <v>7</v>
      </c>
      <c r="DE3169" s="127">
        <v>7</v>
      </c>
      <c r="DG3169" s="405" t="s">
        <v>357</v>
      </c>
      <c r="DH3169" s="406" t="s">
        <v>5501</v>
      </c>
      <c r="DI3169" s="406" t="str">
        <f t="shared" si="81"/>
        <v>PI, São Luis do Piauí</v>
      </c>
      <c r="DJ3169" s="406">
        <v>-6.8250000000000002</v>
      </c>
      <c r="DK3169" s="80">
        <v>-41.323999999999998</v>
      </c>
      <c r="DL3169" s="80">
        <v>328</v>
      </c>
      <c r="DM3169" s="64">
        <v>7</v>
      </c>
      <c r="DN3169" s="406" t="s">
        <v>7637</v>
      </c>
      <c r="DO3169" s="406">
        <v>-7.07</v>
      </c>
      <c r="DP3169" s="80">
        <v>233</v>
      </c>
    </row>
    <row r="3170" spans="29:120" x14ac:dyDescent="0.25">
      <c r="AC3170" s="122" t="s">
        <v>289</v>
      </c>
      <c r="AD3170" s="122" t="s">
        <v>3489</v>
      </c>
      <c r="AE3170" s="127">
        <v>8</v>
      </c>
      <c r="DA3170" s="122" t="s">
        <v>357</v>
      </c>
      <c r="DB3170" s="122" t="s">
        <v>7789</v>
      </c>
      <c r="DC3170" s="122" t="s">
        <v>5577</v>
      </c>
      <c r="DD3170" s="127">
        <v>7</v>
      </c>
      <c r="DE3170" s="127">
        <v>7</v>
      </c>
      <c r="DG3170" s="405" t="s">
        <v>357</v>
      </c>
      <c r="DH3170" s="406" t="s">
        <v>5577</v>
      </c>
      <c r="DI3170" s="406" t="str">
        <f t="shared" si="81"/>
        <v>PI, São Miguel da Baixa Grande</v>
      </c>
      <c r="DJ3170" s="406">
        <v>-5.8639999999999999</v>
      </c>
      <c r="DK3170" s="80">
        <v>-42.186</v>
      </c>
      <c r="DL3170" s="80">
        <v>160</v>
      </c>
      <c r="DM3170" s="64">
        <v>7</v>
      </c>
      <c r="DN3170" s="406" t="s">
        <v>6730</v>
      </c>
      <c r="DO3170" s="406">
        <v>-5.91</v>
      </c>
      <c r="DP3170" s="80">
        <v>287</v>
      </c>
    </row>
    <row r="3171" spans="29:120" x14ac:dyDescent="0.25">
      <c r="AC3171" s="122" t="s">
        <v>358</v>
      </c>
      <c r="AD3171" s="122" t="s">
        <v>3490</v>
      </c>
      <c r="AE3171" s="127">
        <v>3</v>
      </c>
      <c r="DA3171" s="122" t="s">
        <v>357</v>
      </c>
      <c r="DB3171" s="122" t="s">
        <v>7790</v>
      </c>
      <c r="DC3171" s="122" t="s">
        <v>4739</v>
      </c>
      <c r="DD3171" s="127">
        <v>7</v>
      </c>
      <c r="DE3171" s="127">
        <v>7</v>
      </c>
      <c r="DG3171" s="405" t="s">
        <v>357</v>
      </c>
      <c r="DH3171" s="406" t="s">
        <v>4739</v>
      </c>
      <c r="DI3171" s="406" t="str">
        <f t="shared" si="81"/>
        <v>PI, São Miguel do Fidalgo</v>
      </c>
      <c r="DJ3171" s="406">
        <v>-7.5860000000000003</v>
      </c>
      <c r="DK3171" s="80">
        <v>-42.37</v>
      </c>
      <c r="DL3171" s="80">
        <v>200</v>
      </c>
      <c r="DM3171" s="64">
        <v>7</v>
      </c>
      <c r="DN3171" s="406" t="s">
        <v>7669</v>
      </c>
      <c r="DO3171" s="406">
        <v>-6.97</v>
      </c>
      <c r="DP3171" s="80">
        <v>156</v>
      </c>
    </row>
    <row r="3172" spans="29:120" x14ac:dyDescent="0.25">
      <c r="AC3172" s="122" t="s">
        <v>336</v>
      </c>
      <c r="AD3172" s="122" t="s">
        <v>3491</v>
      </c>
      <c r="AE3172" s="127">
        <v>3</v>
      </c>
      <c r="DA3172" s="122" t="s">
        <v>357</v>
      </c>
      <c r="DB3172" s="122" t="s">
        <v>7791</v>
      </c>
      <c r="DC3172" s="122" t="s">
        <v>5321</v>
      </c>
      <c r="DD3172" s="127">
        <v>7</v>
      </c>
      <c r="DE3172" s="127">
        <v>7</v>
      </c>
      <c r="DG3172" s="405" t="s">
        <v>357</v>
      </c>
      <c r="DH3172" s="406" t="s">
        <v>5321</v>
      </c>
      <c r="DI3172" s="406" t="str">
        <f t="shared" si="81"/>
        <v>PI, São Miguel do Tapuio</v>
      </c>
      <c r="DJ3172" s="406">
        <v>-5.5039999999999996</v>
      </c>
      <c r="DK3172" s="80">
        <v>-41.323</v>
      </c>
      <c r="DL3172" s="80">
        <v>285</v>
      </c>
      <c r="DM3172" s="64">
        <v>7</v>
      </c>
      <c r="DN3172" s="406" t="s">
        <v>7683</v>
      </c>
      <c r="DO3172" s="406">
        <v>-5.35</v>
      </c>
      <c r="DP3172" s="80">
        <v>286</v>
      </c>
    </row>
    <row r="3173" spans="29:120" x14ac:dyDescent="0.25">
      <c r="AC3173" s="122" t="s">
        <v>376</v>
      </c>
      <c r="AD3173" s="122" t="s">
        <v>3492</v>
      </c>
      <c r="AE3173" s="127">
        <v>4</v>
      </c>
      <c r="DA3173" s="122" t="s">
        <v>357</v>
      </c>
      <c r="DB3173" s="122" t="s">
        <v>7792</v>
      </c>
      <c r="DC3173" s="122" t="s">
        <v>4678</v>
      </c>
      <c r="DD3173" s="127">
        <v>7</v>
      </c>
      <c r="DE3173" s="127">
        <v>7</v>
      </c>
      <c r="DG3173" s="405" t="s">
        <v>357</v>
      </c>
      <c r="DH3173" s="406" t="s">
        <v>4678</v>
      </c>
      <c r="DI3173" s="406" t="str">
        <f t="shared" si="81"/>
        <v>PI, São Pedro do Piauí</v>
      </c>
      <c r="DJ3173" s="406">
        <v>-5.9290000000000003</v>
      </c>
      <c r="DK3173" s="80">
        <v>-42.719000000000001</v>
      </c>
      <c r="DL3173" s="80">
        <v>264</v>
      </c>
      <c r="DM3173" s="64">
        <v>7</v>
      </c>
      <c r="DN3173" s="406" t="s">
        <v>6730</v>
      </c>
      <c r="DO3173" s="406">
        <v>-5.91</v>
      </c>
      <c r="DP3173" s="80">
        <v>287</v>
      </c>
    </row>
    <row r="3174" spans="29:120" x14ac:dyDescent="0.25">
      <c r="AC3174" s="122" t="s">
        <v>317</v>
      </c>
      <c r="AD3174" s="122" t="s">
        <v>3493</v>
      </c>
      <c r="AE3174" s="127">
        <v>3</v>
      </c>
      <c r="DA3174" s="122" t="s">
        <v>357</v>
      </c>
      <c r="DB3174" s="122" t="s">
        <v>7793</v>
      </c>
      <c r="DC3174" s="122" t="s">
        <v>4972</v>
      </c>
      <c r="DD3174" s="127">
        <v>7</v>
      </c>
      <c r="DE3174" s="127">
        <v>7</v>
      </c>
      <c r="DG3174" s="405" t="s">
        <v>357</v>
      </c>
      <c r="DH3174" s="406" t="s">
        <v>4972</v>
      </c>
      <c r="DI3174" s="406" t="str">
        <f t="shared" si="81"/>
        <v>PI, São Raimundo Nonato</v>
      </c>
      <c r="DJ3174" s="406">
        <v>-9.0150000000000006</v>
      </c>
      <c r="DK3174" s="80">
        <v>-42.698999999999998</v>
      </c>
      <c r="DL3174" s="80">
        <v>332</v>
      </c>
      <c r="DM3174" s="64">
        <v>7</v>
      </c>
      <c r="DN3174" s="406" t="s">
        <v>7662</v>
      </c>
      <c r="DO3174" s="406">
        <v>-9.0299999999999994</v>
      </c>
      <c r="DP3174" s="80">
        <v>402</v>
      </c>
    </row>
    <row r="3175" spans="29:120" x14ac:dyDescent="0.25">
      <c r="AC3175" s="122" t="s">
        <v>333</v>
      </c>
      <c r="AD3175" s="122" t="s">
        <v>3494</v>
      </c>
      <c r="AE3175" s="127">
        <v>3</v>
      </c>
      <c r="DA3175" s="122" t="s">
        <v>357</v>
      </c>
      <c r="DB3175" s="122" t="s">
        <v>7794</v>
      </c>
      <c r="DC3175" s="122" t="s">
        <v>5609</v>
      </c>
      <c r="DD3175" s="127">
        <v>6</v>
      </c>
      <c r="DE3175" s="127">
        <v>6</v>
      </c>
      <c r="DG3175" s="405" t="s">
        <v>357</v>
      </c>
      <c r="DH3175" s="406" t="s">
        <v>5609</v>
      </c>
      <c r="DI3175" s="406" t="str">
        <f t="shared" si="81"/>
        <v>PI, Sebastião Barros</v>
      </c>
      <c r="DJ3175" s="406">
        <v>-10.817</v>
      </c>
      <c r="DK3175" s="80">
        <v>-44.834000000000003</v>
      </c>
      <c r="DL3175" s="80">
        <v>500</v>
      </c>
      <c r="DM3175" s="64">
        <v>6</v>
      </c>
      <c r="DN3175" s="406" t="s">
        <v>6287</v>
      </c>
      <c r="DO3175" s="406">
        <v>-11.01</v>
      </c>
      <c r="DP3175" s="80">
        <v>450</v>
      </c>
    </row>
    <row r="3176" spans="29:120" x14ac:dyDescent="0.25">
      <c r="AC3176" s="122" t="s">
        <v>333</v>
      </c>
      <c r="AD3176" s="122" t="s">
        <v>3495</v>
      </c>
      <c r="AE3176" s="127">
        <v>3</v>
      </c>
      <c r="DA3176" s="122" t="s">
        <v>357</v>
      </c>
      <c r="DB3176" s="122" t="s">
        <v>7795</v>
      </c>
      <c r="DC3176" s="122" t="s">
        <v>5293</v>
      </c>
      <c r="DD3176" s="127">
        <v>7</v>
      </c>
      <c r="DE3176" s="127">
        <v>7</v>
      </c>
      <c r="DG3176" s="405" t="s">
        <v>357</v>
      </c>
      <c r="DH3176" s="406" t="s">
        <v>5293</v>
      </c>
      <c r="DI3176" s="406" t="str">
        <f t="shared" si="81"/>
        <v>PI, Sebastião Leal</v>
      </c>
      <c r="DJ3176" s="406">
        <v>-7.5659999999999998</v>
      </c>
      <c r="DK3176" s="80">
        <v>-44.064</v>
      </c>
      <c r="DL3176" s="80">
        <v>360</v>
      </c>
      <c r="DM3176" s="64">
        <v>7</v>
      </c>
      <c r="DN3176" s="406" t="s">
        <v>6658</v>
      </c>
      <c r="DO3176" s="406">
        <v>-7.47</v>
      </c>
      <c r="DP3176" s="80">
        <v>393</v>
      </c>
    </row>
    <row r="3177" spans="29:120" x14ac:dyDescent="0.25">
      <c r="AC3177" s="122" t="s">
        <v>289</v>
      </c>
      <c r="AD3177" s="122" t="s">
        <v>3496</v>
      </c>
      <c r="AE3177" s="127">
        <v>8</v>
      </c>
      <c r="DA3177" s="122" t="s">
        <v>357</v>
      </c>
      <c r="DB3177" s="122" t="s">
        <v>7796</v>
      </c>
      <c r="DC3177" s="122" t="s">
        <v>5641</v>
      </c>
      <c r="DD3177" s="127">
        <v>7</v>
      </c>
      <c r="DE3177" s="127">
        <v>7</v>
      </c>
      <c r="DG3177" s="405" t="s">
        <v>357</v>
      </c>
      <c r="DH3177" s="406" t="s">
        <v>5641</v>
      </c>
      <c r="DI3177" s="406" t="str">
        <f t="shared" si="81"/>
        <v>PI, Sigefredo Pacheco</v>
      </c>
      <c r="DJ3177" s="406">
        <v>-4.9180000000000001</v>
      </c>
      <c r="DK3177" s="80">
        <v>-41.731999999999999</v>
      </c>
      <c r="DL3177" s="80">
        <v>230</v>
      </c>
      <c r="DM3177" s="64">
        <v>7</v>
      </c>
      <c r="DN3177" s="406" t="s">
        <v>7683</v>
      </c>
      <c r="DO3177" s="406">
        <v>-5.35</v>
      </c>
      <c r="DP3177" s="80">
        <v>286</v>
      </c>
    </row>
    <row r="3178" spans="29:120" x14ac:dyDescent="0.25">
      <c r="AC3178" s="122" t="s">
        <v>358</v>
      </c>
      <c r="AD3178" s="122" t="s">
        <v>3497</v>
      </c>
      <c r="AE3178" s="127">
        <v>3</v>
      </c>
      <c r="DA3178" s="122" t="s">
        <v>357</v>
      </c>
      <c r="DB3178" s="122" t="s">
        <v>5421</v>
      </c>
      <c r="DC3178" s="122" t="s">
        <v>5421</v>
      </c>
      <c r="DD3178" s="127">
        <v>7</v>
      </c>
      <c r="DE3178" s="127">
        <v>7</v>
      </c>
      <c r="DG3178" s="405" t="s">
        <v>357</v>
      </c>
      <c r="DH3178" s="406" t="s">
        <v>5421</v>
      </c>
      <c r="DI3178" s="406" t="str">
        <f t="shared" si="81"/>
        <v>PI, Simões</v>
      </c>
      <c r="DJ3178" s="406">
        <v>-7.5990000000000002</v>
      </c>
      <c r="DK3178" s="80">
        <v>-40.817999999999998</v>
      </c>
      <c r="DL3178" s="80">
        <v>437</v>
      </c>
      <c r="DM3178" s="64">
        <v>7</v>
      </c>
      <c r="DN3178" s="406" t="s">
        <v>7588</v>
      </c>
      <c r="DO3178" s="406">
        <v>-8.14</v>
      </c>
      <c r="DP3178" s="80">
        <v>374</v>
      </c>
    </row>
    <row r="3179" spans="29:120" x14ac:dyDescent="0.25">
      <c r="AC3179" s="122" t="s">
        <v>376</v>
      </c>
      <c r="AD3179" s="122" t="s">
        <v>3498</v>
      </c>
      <c r="AE3179" s="127">
        <v>4</v>
      </c>
      <c r="DA3179" s="122" t="s">
        <v>357</v>
      </c>
      <c r="DB3179" s="122" t="s">
        <v>7797</v>
      </c>
      <c r="DC3179" s="122" t="s">
        <v>4730</v>
      </c>
      <c r="DD3179" s="127">
        <v>7</v>
      </c>
      <c r="DE3179" s="127">
        <v>7</v>
      </c>
      <c r="DG3179" s="405" t="s">
        <v>357</v>
      </c>
      <c r="DH3179" s="406" t="s">
        <v>4730</v>
      </c>
      <c r="DI3179" s="406" t="str">
        <f t="shared" si="81"/>
        <v>PI, Simplício Mendes</v>
      </c>
      <c r="DJ3179" s="406">
        <v>-7.8540000000000001</v>
      </c>
      <c r="DK3179" s="80">
        <v>-41.91</v>
      </c>
      <c r="DL3179" s="80">
        <v>302</v>
      </c>
      <c r="DM3179" s="64">
        <v>7</v>
      </c>
      <c r="DN3179" s="406" t="s">
        <v>7655</v>
      </c>
      <c r="DO3179" s="406">
        <v>-8.36</v>
      </c>
      <c r="DP3179" s="80">
        <v>235</v>
      </c>
    </row>
    <row r="3180" spans="29:120" x14ac:dyDescent="0.25">
      <c r="AC3180" s="122" t="s">
        <v>336</v>
      </c>
      <c r="AD3180" s="122" t="s">
        <v>3499</v>
      </c>
      <c r="AE3180" s="127">
        <v>3</v>
      </c>
      <c r="DA3180" s="122" t="s">
        <v>357</v>
      </c>
      <c r="DB3180" s="122" t="s">
        <v>7798</v>
      </c>
      <c r="DC3180" s="122" t="s">
        <v>4580</v>
      </c>
      <c r="DD3180" s="127">
        <v>7</v>
      </c>
      <c r="DE3180" s="127">
        <v>7</v>
      </c>
      <c r="DG3180" s="405" t="s">
        <v>357</v>
      </c>
      <c r="DH3180" s="406" t="s">
        <v>4580</v>
      </c>
      <c r="DI3180" s="406" t="str">
        <f t="shared" si="81"/>
        <v>PI, Socorro do Piauí</v>
      </c>
      <c r="DJ3180" s="406">
        <v>-7.8659999999999997</v>
      </c>
      <c r="DK3180" s="80">
        <v>-42.491</v>
      </c>
      <c r="DL3180" s="80">
        <v>191</v>
      </c>
      <c r="DM3180" s="64">
        <v>7</v>
      </c>
      <c r="DN3180" s="406" t="s">
        <v>7655</v>
      </c>
      <c r="DO3180" s="406">
        <v>-8.36</v>
      </c>
      <c r="DP3180" s="80">
        <v>235</v>
      </c>
    </row>
    <row r="3181" spans="29:120" x14ac:dyDescent="0.25">
      <c r="AC3181" s="122" t="s">
        <v>336</v>
      </c>
      <c r="AD3181" s="122" t="s">
        <v>3500</v>
      </c>
      <c r="AE3181" s="127">
        <v>3</v>
      </c>
      <c r="DA3181" s="122" t="s">
        <v>357</v>
      </c>
      <c r="DB3181" s="122" t="s">
        <v>5520</v>
      </c>
      <c r="DC3181" s="122" t="s">
        <v>5520</v>
      </c>
      <c r="DD3181" s="127">
        <v>7</v>
      </c>
      <c r="DE3181" s="127">
        <v>7</v>
      </c>
      <c r="DG3181" s="405" t="s">
        <v>357</v>
      </c>
      <c r="DH3181" s="406" t="s">
        <v>5520</v>
      </c>
      <c r="DI3181" s="406" t="str">
        <f t="shared" si="81"/>
        <v>PI, Sussuapara</v>
      </c>
      <c r="DJ3181" s="406">
        <v>-7.0430000000000001</v>
      </c>
      <c r="DK3181" s="80">
        <v>-41.384</v>
      </c>
      <c r="DL3181" s="80">
        <v>240</v>
      </c>
      <c r="DM3181" s="64">
        <v>7</v>
      </c>
      <c r="DN3181" s="406" t="s">
        <v>7637</v>
      </c>
      <c r="DO3181" s="406">
        <v>-7.07</v>
      </c>
      <c r="DP3181" s="80">
        <v>233</v>
      </c>
    </row>
    <row r="3182" spans="29:120" x14ac:dyDescent="0.25">
      <c r="AC3182" s="122" t="s">
        <v>289</v>
      </c>
      <c r="AD3182" s="122" t="s">
        <v>3501</v>
      </c>
      <c r="AE3182" s="127">
        <v>8</v>
      </c>
      <c r="DA3182" s="122" t="s">
        <v>357</v>
      </c>
      <c r="DB3182" s="122" t="s">
        <v>7799</v>
      </c>
      <c r="DC3182" s="122" t="s">
        <v>4646</v>
      </c>
      <c r="DD3182" s="127">
        <v>7</v>
      </c>
      <c r="DE3182" s="127">
        <v>7</v>
      </c>
      <c r="DG3182" s="405" t="s">
        <v>357</v>
      </c>
      <c r="DH3182" s="406" t="s">
        <v>4646</v>
      </c>
      <c r="DI3182" s="406" t="str">
        <f t="shared" si="81"/>
        <v>PI, Tamboril do Piauí</v>
      </c>
      <c r="DJ3182" s="406">
        <v>-8.4</v>
      </c>
      <c r="DK3182" s="80">
        <v>-42.914000000000001</v>
      </c>
      <c r="DL3182" s="80">
        <v>350</v>
      </c>
      <c r="DM3182" s="64">
        <v>7</v>
      </c>
      <c r="DN3182" s="406" t="s">
        <v>7655</v>
      </c>
      <c r="DO3182" s="406">
        <v>-8.36</v>
      </c>
      <c r="DP3182" s="80">
        <v>235</v>
      </c>
    </row>
    <row r="3183" spans="29:120" x14ac:dyDescent="0.25">
      <c r="AC3183" s="122" t="s">
        <v>376</v>
      </c>
      <c r="AD3183" s="122" t="s">
        <v>3502</v>
      </c>
      <c r="AE3183" s="127">
        <v>6</v>
      </c>
      <c r="DA3183" s="122" t="s">
        <v>357</v>
      </c>
      <c r="DB3183" s="122" t="s">
        <v>7800</v>
      </c>
      <c r="DC3183" s="122" t="s">
        <v>5652</v>
      </c>
      <c r="DD3183" s="127">
        <v>7</v>
      </c>
      <c r="DE3183" s="127">
        <v>7</v>
      </c>
      <c r="DG3183" s="405" t="s">
        <v>357</v>
      </c>
      <c r="DH3183" s="406" t="s">
        <v>5652</v>
      </c>
      <c r="DI3183" s="406" t="str">
        <f t="shared" si="81"/>
        <v>PI, Tanque do Piauí</v>
      </c>
      <c r="DJ3183" s="406">
        <v>-6.6</v>
      </c>
      <c r="DK3183" s="80">
        <v>-42.281999999999996</v>
      </c>
      <c r="DL3183" s="80">
        <v>280</v>
      </c>
      <c r="DM3183" s="64">
        <v>7</v>
      </c>
      <c r="DN3183" s="406" t="s">
        <v>7669</v>
      </c>
      <c r="DO3183" s="406">
        <v>-6.97</v>
      </c>
      <c r="DP3183" s="80">
        <v>156</v>
      </c>
    </row>
    <row r="3184" spans="29:120" x14ac:dyDescent="0.25">
      <c r="AC3184" s="122" t="s">
        <v>376</v>
      </c>
      <c r="AD3184" s="122" t="s">
        <v>3503</v>
      </c>
      <c r="AE3184" s="127">
        <v>3</v>
      </c>
      <c r="DA3184" s="122" t="s">
        <v>357</v>
      </c>
      <c r="DB3184" s="122" t="s">
        <v>4940</v>
      </c>
      <c r="DC3184" s="122" t="s">
        <v>4940</v>
      </c>
      <c r="DD3184" s="127">
        <v>7</v>
      </c>
      <c r="DE3184" s="127">
        <v>7</v>
      </c>
      <c r="DG3184" s="405" t="s">
        <v>357</v>
      </c>
      <c r="DH3184" s="406" t="s">
        <v>4940</v>
      </c>
      <c r="DI3184" s="406" t="str">
        <f t="shared" si="81"/>
        <v>PI, Teresina</v>
      </c>
      <c r="DJ3184" s="406">
        <v>-5.0890000000000004</v>
      </c>
      <c r="DK3184" s="80">
        <v>-42.802</v>
      </c>
      <c r="DL3184" s="80">
        <v>72</v>
      </c>
      <c r="DM3184" s="64">
        <v>7</v>
      </c>
      <c r="DN3184" s="406" t="s">
        <v>6718</v>
      </c>
      <c r="DO3184" s="406">
        <v>-5.09</v>
      </c>
      <c r="DP3184" s="80">
        <v>74</v>
      </c>
    </row>
    <row r="3185" spans="29:120" x14ac:dyDescent="0.25">
      <c r="AC3185" s="122" t="s">
        <v>289</v>
      </c>
      <c r="AD3185" s="122" t="s">
        <v>3504</v>
      </c>
      <c r="AE3185" s="127">
        <v>8</v>
      </c>
      <c r="DA3185" s="122" t="s">
        <v>357</v>
      </c>
      <c r="DB3185" s="122" t="s">
        <v>4789</v>
      </c>
      <c r="DC3185" s="122" t="s">
        <v>4789</v>
      </c>
      <c r="DD3185" s="127">
        <v>7</v>
      </c>
      <c r="DE3185" s="127">
        <v>7</v>
      </c>
      <c r="DG3185" s="405" t="s">
        <v>357</v>
      </c>
      <c r="DH3185" s="406" t="s">
        <v>4789</v>
      </c>
      <c r="DI3185" s="406" t="str">
        <f t="shared" si="81"/>
        <v>PI, União</v>
      </c>
      <c r="DJ3185" s="406">
        <v>-4.5860000000000003</v>
      </c>
      <c r="DK3185" s="80">
        <v>-42.863999999999997</v>
      </c>
      <c r="DL3185" s="80">
        <v>52</v>
      </c>
      <c r="DM3185" s="64">
        <v>7</v>
      </c>
      <c r="DN3185" s="406" t="s">
        <v>6718</v>
      </c>
      <c r="DO3185" s="406">
        <v>-5.09</v>
      </c>
      <c r="DP3185" s="80">
        <v>74</v>
      </c>
    </row>
    <row r="3186" spans="29:120" x14ac:dyDescent="0.25">
      <c r="AC3186" s="122" t="s">
        <v>289</v>
      </c>
      <c r="AD3186" s="122" t="s">
        <v>3505</v>
      </c>
      <c r="AE3186" s="127">
        <v>8</v>
      </c>
      <c r="DA3186" s="122" t="s">
        <v>357</v>
      </c>
      <c r="DB3186" s="122" t="s">
        <v>5230</v>
      </c>
      <c r="DC3186" s="122" t="s">
        <v>5230</v>
      </c>
      <c r="DD3186" s="127">
        <v>7</v>
      </c>
      <c r="DE3186" s="127">
        <v>7</v>
      </c>
      <c r="DG3186" s="405" t="s">
        <v>357</v>
      </c>
      <c r="DH3186" s="406" t="s">
        <v>5230</v>
      </c>
      <c r="DI3186" s="406" t="str">
        <f t="shared" si="81"/>
        <v>PI, Uruçuí</v>
      </c>
      <c r="DJ3186" s="406">
        <v>-7.2290000000000001</v>
      </c>
      <c r="DK3186" s="80">
        <v>-44.555999999999997</v>
      </c>
      <c r="DL3186" s="80">
        <v>167</v>
      </c>
      <c r="DM3186" s="64">
        <v>7</v>
      </c>
      <c r="DN3186" s="406" t="s">
        <v>6658</v>
      </c>
      <c r="DO3186" s="406">
        <v>-7.47</v>
      </c>
      <c r="DP3186" s="80">
        <v>393</v>
      </c>
    </row>
    <row r="3187" spans="29:120" x14ac:dyDescent="0.25">
      <c r="AC3187" s="122" t="s">
        <v>298</v>
      </c>
      <c r="AD3187" s="122" t="s">
        <v>3506</v>
      </c>
      <c r="AE3187" s="127">
        <v>8</v>
      </c>
      <c r="DA3187" s="122" t="s">
        <v>357</v>
      </c>
      <c r="DB3187" s="122" t="s">
        <v>7801</v>
      </c>
      <c r="DC3187" s="122" t="s">
        <v>5542</v>
      </c>
      <c r="DD3187" s="127">
        <v>7</v>
      </c>
      <c r="DE3187" s="127">
        <v>7</v>
      </c>
      <c r="DG3187" s="405" t="s">
        <v>357</v>
      </c>
      <c r="DH3187" s="406" t="s">
        <v>5542</v>
      </c>
      <c r="DI3187" s="406" t="str">
        <f t="shared" si="81"/>
        <v>PI, Valença do Piauí</v>
      </c>
      <c r="DJ3187" s="406">
        <v>-6.4080000000000004</v>
      </c>
      <c r="DK3187" s="80">
        <v>-41.746000000000002</v>
      </c>
      <c r="DL3187" s="80">
        <v>308</v>
      </c>
      <c r="DM3187" s="64">
        <v>7</v>
      </c>
      <c r="DN3187" s="406" t="s">
        <v>7645</v>
      </c>
      <c r="DO3187" s="406">
        <v>-6.4</v>
      </c>
      <c r="DP3187" s="80">
        <v>301</v>
      </c>
    </row>
    <row r="3188" spans="29:120" x14ac:dyDescent="0.25">
      <c r="AC3188" s="122" t="s">
        <v>376</v>
      </c>
      <c r="AD3188" s="122" t="s">
        <v>3507</v>
      </c>
      <c r="AE3188" s="127">
        <v>6</v>
      </c>
      <c r="DA3188" s="122" t="s">
        <v>357</v>
      </c>
      <c r="DB3188" s="122" t="s">
        <v>7802</v>
      </c>
      <c r="DC3188" s="122" t="s">
        <v>5649</v>
      </c>
      <c r="DD3188" s="127">
        <v>7</v>
      </c>
      <c r="DE3188" s="127">
        <v>7</v>
      </c>
      <c r="DG3188" s="405" t="s">
        <v>357</v>
      </c>
      <c r="DH3188" s="406" t="s">
        <v>5649</v>
      </c>
      <c r="DI3188" s="406" t="str">
        <f t="shared" si="81"/>
        <v>PI, Várzea Branca</v>
      </c>
      <c r="DJ3188" s="406">
        <v>-9.2390000000000008</v>
      </c>
      <c r="DK3188" s="80">
        <v>-42.963999999999999</v>
      </c>
      <c r="DL3188" s="80">
        <v>432</v>
      </c>
      <c r="DM3188" s="64">
        <v>7</v>
      </c>
      <c r="DN3188" s="406" t="s">
        <v>7662</v>
      </c>
      <c r="DO3188" s="406">
        <v>-9.0299999999999994</v>
      </c>
      <c r="DP3188" s="80">
        <v>402</v>
      </c>
    </row>
    <row r="3189" spans="29:120" x14ac:dyDescent="0.25">
      <c r="AC3189" s="122" t="s">
        <v>333</v>
      </c>
      <c r="AD3189" s="122" t="s">
        <v>3508</v>
      </c>
      <c r="AE3189" s="127">
        <v>3</v>
      </c>
      <c r="DA3189" s="122" t="s">
        <v>357</v>
      </c>
      <c r="DB3189" s="122" t="s">
        <v>7407</v>
      </c>
      <c r="DC3189" s="122" t="s">
        <v>5615</v>
      </c>
      <c r="DD3189" s="127">
        <v>7</v>
      </c>
      <c r="DE3189" s="127">
        <v>7</v>
      </c>
      <c r="DG3189" s="405" t="s">
        <v>357</v>
      </c>
      <c r="DH3189" s="406" t="s">
        <v>5615</v>
      </c>
      <c r="DI3189" s="406" t="str">
        <f t="shared" si="81"/>
        <v>PI, Várzea Grande</v>
      </c>
      <c r="DJ3189" s="406">
        <v>-6.5449999999999999</v>
      </c>
      <c r="DK3189" s="80">
        <v>-42.246000000000002</v>
      </c>
      <c r="DL3189" s="80">
        <v>245</v>
      </c>
      <c r="DM3189" s="64">
        <v>7</v>
      </c>
      <c r="DN3189" s="406" t="s">
        <v>7669</v>
      </c>
      <c r="DO3189" s="406">
        <v>-6.97</v>
      </c>
      <c r="DP3189" s="80">
        <v>156</v>
      </c>
    </row>
    <row r="3190" spans="29:120" x14ac:dyDescent="0.25">
      <c r="AC3190" s="122" t="s">
        <v>376</v>
      </c>
      <c r="AD3190" s="122" t="s">
        <v>3509</v>
      </c>
      <c r="AE3190" s="127">
        <v>4</v>
      </c>
      <c r="DA3190" s="122" t="s">
        <v>357</v>
      </c>
      <c r="DB3190" s="122" t="s">
        <v>7803</v>
      </c>
      <c r="DC3190" s="122" t="s">
        <v>5504</v>
      </c>
      <c r="DD3190" s="127">
        <v>7</v>
      </c>
      <c r="DE3190" s="127">
        <v>7</v>
      </c>
      <c r="DG3190" s="405" t="s">
        <v>357</v>
      </c>
      <c r="DH3190" s="406" t="s">
        <v>5504</v>
      </c>
      <c r="DI3190" s="406" t="str">
        <f t="shared" si="81"/>
        <v>PI, Vera Mendes</v>
      </c>
      <c r="DJ3190" s="406">
        <v>-7.6029999999999998</v>
      </c>
      <c r="DK3190" s="80">
        <v>-41.482999999999997</v>
      </c>
      <c r="DL3190" s="80">
        <v>297</v>
      </c>
      <c r="DM3190" s="64">
        <v>7</v>
      </c>
      <c r="DN3190" s="406" t="s">
        <v>7637</v>
      </c>
      <c r="DO3190" s="406">
        <v>-7.07</v>
      </c>
      <c r="DP3190" s="80">
        <v>233</v>
      </c>
    </row>
    <row r="3191" spans="29:120" x14ac:dyDescent="0.25">
      <c r="AC3191" s="122" t="s">
        <v>289</v>
      </c>
      <c r="AD3191" s="122" t="s">
        <v>3510</v>
      </c>
      <c r="AE3191" s="127">
        <v>8</v>
      </c>
      <c r="DA3191" s="122" t="s">
        <v>357</v>
      </c>
      <c r="DB3191" s="122" t="s">
        <v>7804</v>
      </c>
      <c r="DC3191" s="122" t="s">
        <v>5470</v>
      </c>
      <c r="DD3191" s="127">
        <v>7</v>
      </c>
      <c r="DE3191" s="127">
        <v>7</v>
      </c>
      <c r="DG3191" s="405" t="s">
        <v>357</v>
      </c>
      <c r="DH3191" s="406" t="s">
        <v>5470</v>
      </c>
      <c r="DI3191" s="406" t="str">
        <f t="shared" si="81"/>
        <v>PI, Vila Nova do Piauí</v>
      </c>
      <c r="DJ3191" s="406">
        <v>-7.1360000000000001</v>
      </c>
      <c r="DK3191" s="80">
        <v>-40.94</v>
      </c>
      <c r="DL3191" s="80">
        <v>400</v>
      </c>
      <c r="DM3191" s="64">
        <v>7</v>
      </c>
      <c r="DN3191" s="406" t="s">
        <v>7637</v>
      </c>
      <c r="DO3191" s="406">
        <v>-7.07</v>
      </c>
      <c r="DP3191" s="80">
        <v>233</v>
      </c>
    </row>
    <row r="3192" spans="29:120" x14ac:dyDescent="0.25">
      <c r="AC3192" s="122" t="s">
        <v>358</v>
      </c>
      <c r="AD3192" s="122" t="s">
        <v>3511</v>
      </c>
      <c r="AE3192" s="127">
        <v>3</v>
      </c>
      <c r="DA3192" s="122" t="s">
        <v>357</v>
      </c>
      <c r="DB3192" s="122" t="s">
        <v>7805</v>
      </c>
      <c r="DC3192" s="122" t="s">
        <v>5627</v>
      </c>
      <c r="DD3192" s="127">
        <v>7</v>
      </c>
      <c r="DE3192" s="127">
        <v>7</v>
      </c>
      <c r="DG3192" s="405" t="s">
        <v>357</v>
      </c>
      <c r="DH3192" s="406" t="s">
        <v>5627</v>
      </c>
      <c r="DI3192" s="406" t="str">
        <f t="shared" si="81"/>
        <v>PI, Wall Ferraz</v>
      </c>
      <c r="DJ3192" s="406">
        <v>-7.2329999999999997</v>
      </c>
      <c r="DK3192" s="80">
        <v>-41.91</v>
      </c>
      <c r="DL3192" s="80">
        <v>160</v>
      </c>
      <c r="DM3192" s="64">
        <v>7</v>
      </c>
      <c r="DN3192" s="406" t="s">
        <v>7669</v>
      </c>
      <c r="DO3192" s="406">
        <v>-6.97</v>
      </c>
      <c r="DP3192" s="80">
        <v>156</v>
      </c>
    </row>
    <row r="3193" spans="29:120" x14ac:dyDescent="0.25">
      <c r="AC3193" s="122" t="s">
        <v>311</v>
      </c>
      <c r="AD3193" s="122" t="s">
        <v>3512</v>
      </c>
      <c r="AE3193" s="127">
        <v>3</v>
      </c>
      <c r="DA3193" s="122" t="s">
        <v>311</v>
      </c>
      <c r="DB3193" s="122" t="s">
        <v>3201</v>
      </c>
      <c r="DC3193" s="122" t="s">
        <v>3201</v>
      </c>
      <c r="DD3193" s="127">
        <v>3</v>
      </c>
      <c r="DE3193" s="127">
        <v>3</v>
      </c>
      <c r="DG3193" s="405" t="s">
        <v>311</v>
      </c>
      <c r="DH3193" s="406" t="s">
        <v>3201</v>
      </c>
      <c r="DI3193" s="406" t="str">
        <f t="shared" si="81"/>
        <v>PR, Abatiá</v>
      </c>
      <c r="DJ3193" s="406">
        <v>-23.303999999999998</v>
      </c>
      <c r="DK3193" s="80">
        <v>-50.313000000000002</v>
      </c>
      <c r="DL3193" s="80">
        <v>620</v>
      </c>
      <c r="DM3193" s="64">
        <v>3</v>
      </c>
      <c r="DN3193" s="406" t="s">
        <v>7806</v>
      </c>
      <c r="DO3193" s="406">
        <v>-23.43</v>
      </c>
      <c r="DP3193" s="80">
        <v>668</v>
      </c>
    </row>
    <row r="3194" spans="29:120" x14ac:dyDescent="0.25">
      <c r="AC3194" s="122" t="s">
        <v>289</v>
      </c>
      <c r="AD3194" s="122" t="s">
        <v>3513</v>
      </c>
      <c r="AE3194" s="127">
        <v>8</v>
      </c>
      <c r="DA3194" s="122" t="s">
        <v>311</v>
      </c>
      <c r="DB3194" s="122" t="s">
        <v>3876</v>
      </c>
      <c r="DC3194" s="122" t="s">
        <v>3876</v>
      </c>
      <c r="DD3194" s="127">
        <v>2</v>
      </c>
      <c r="DE3194" s="127">
        <v>2</v>
      </c>
      <c r="DG3194" s="405" t="s">
        <v>311</v>
      </c>
      <c r="DH3194" s="406" t="s">
        <v>3876</v>
      </c>
      <c r="DI3194" s="406" t="str">
        <f t="shared" si="81"/>
        <v>PR, Adrianópolis</v>
      </c>
      <c r="DJ3194" s="406">
        <v>-24.657</v>
      </c>
      <c r="DK3194" s="80">
        <v>-48.991</v>
      </c>
      <c r="DL3194" s="80">
        <v>250</v>
      </c>
      <c r="DM3194" s="64">
        <v>2</v>
      </c>
      <c r="DN3194" s="406" t="s">
        <v>7807</v>
      </c>
      <c r="DO3194" s="406">
        <v>-23.98</v>
      </c>
      <c r="DP3194" s="80">
        <v>707</v>
      </c>
    </row>
    <row r="3195" spans="29:120" x14ac:dyDescent="0.25">
      <c r="AC3195" s="122" t="s">
        <v>333</v>
      </c>
      <c r="AD3195" s="122" t="s">
        <v>3514</v>
      </c>
      <c r="AE3195" s="127">
        <v>3</v>
      </c>
      <c r="DA3195" s="122" t="s">
        <v>311</v>
      </c>
      <c r="DB3195" s="122" t="s">
        <v>7808</v>
      </c>
      <c r="DC3195" s="122" t="s">
        <v>551</v>
      </c>
      <c r="DD3195" s="127">
        <v>2</v>
      </c>
      <c r="DE3195" s="127">
        <v>2</v>
      </c>
      <c r="DG3195" s="405" t="s">
        <v>311</v>
      </c>
      <c r="DH3195" s="406" t="s">
        <v>551</v>
      </c>
      <c r="DI3195" s="406" t="str">
        <f t="shared" si="81"/>
        <v>PR, Agudos do Sul</v>
      </c>
      <c r="DJ3195" s="406">
        <v>-25.992999999999999</v>
      </c>
      <c r="DK3195" s="80">
        <v>-49.335000000000001</v>
      </c>
      <c r="DL3195" s="80">
        <v>850</v>
      </c>
      <c r="DM3195" s="64">
        <v>2</v>
      </c>
      <c r="DN3195" s="406" t="s">
        <v>7809</v>
      </c>
      <c r="DO3195" s="406">
        <v>-26.25</v>
      </c>
      <c r="DP3195" s="80">
        <v>869</v>
      </c>
    </row>
    <row r="3196" spans="29:120" x14ac:dyDescent="0.25">
      <c r="AC3196" s="122" t="s">
        <v>336</v>
      </c>
      <c r="AD3196" s="122" t="s">
        <v>3515</v>
      </c>
      <c r="AE3196" s="127">
        <v>3</v>
      </c>
      <c r="DA3196" s="122" t="s">
        <v>311</v>
      </c>
      <c r="DB3196" s="122" t="s">
        <v>7810</v>
      </c>
      <c r="DC3196" s="122" t="s">
        <v>540</v>
      </c>
      <c r="DD3196" s="127">
        <v>1</v>
      </c>
      <c r="DE3196" s="127">
        <v>1</v>
      </c>
      <c r="DG3196" s="405" t="s">
        <v>311</v>
      </c>
      <c r="DH3196" s="406" t="s">
        <v>540</v>
      </c>
      <c r="DI3196" s="406" t="str">
        <f t="shared" si="81"/>
        <v>PR, Almirante Tamandaré</v>
      </c>
      <c r="DJ3196" s="406">
        <v>-25.324999999999999</v>
      </c>
      <c r="DK3196" s="80">
        <v>-49.31</v>
      </c>
      <c r="DL3196" s="80">
        <v>945</v>
      </c>
      <c r="DM3196" s="64">
        <v>1</v>
      </c>
      <c r="DN3196" s="406" t="s">
        <v>7811</v>
      </c>
      <c r="DO3196" s="406">
        <v>-25.43</v>
      </c>
      <c r="DP3196" s="80">
        <v>924</v>
      </c>
    </row>
    <row r="3197" spans="29:120" x14ac:dyDescent="0.25">
      <c r="AC3197" s="122" t="s">
        <v>333</v>
      </c>
      <c r="AD3197" s="122" t="s">
        <v>3516</v>
      </c>
      <c r="AE3197" s="127">
        <v>3</v>
      </c>
      <c r="DA3197" s="122" t="s">
        <v>311</v>
      </c>
      <c r="DB3197" s="122" t="s">
        <v>7812</v>
      </c>
      <c r="DC3197" s="122" t="s">
        <v>747</v>
      </c>
      <c r="DD3197" s="127">
        <v>2</v>
      </c>
      <c r="DE3197" s="127">
        <v>2</v>
      </c>
      <c r="DG3197" s="405" t="s">
        <v>311</v>
      </c>
      <c r="DH3197" s="406" t="s">
        <v>747</v>
      </c>
      <c r="DI3197" s="406" t="str">
        <f t="shared" si="81"/>
        <v>PR, Altamira do Paraná</v>
      </c>
      <c r="DJ3197" s="406">
        <v>-24.797999999999998</v>
      </c>
      <c r="DK3197" s="80">
        <v>-52.713000000000001</v>
      </c>
      <c r="DL3197" s="80">
        <v>560</v>
      </c>
      <c r="DM3197" s="64">
        <v>2</v>
      </c>
      <c r="DN3197" s="406" t="s">
        <v>7813</v>
      </c>
      <c r="DO3197" s="406">
        <v>-24.44</v>
      </c>
      <c r="DP3197" s="80">
        <v>654</v>
      </c>
    </row>
    <row r="3198" spans="29:120" x14ac:dyDescent="0.25">
      <c r="AC3198" s="122" t="s">
        <v>289</v>
      </c>
      <c r="AD3198" s="122" t="s">
        <v>3517</v>
      </c>
      <c r="AE3198" s="127">
        <v>8</v>
      </c>
      <c r="DA3198" s="122" t="s">
        <v>311</v>
      </c>
      <c r="DB3198" s="122" t="s">
        <v>7814</v>
      </c>
      <c r="DC3198" s="122" t="s">
        <v>3190</v>
      </c>
      <c r="DD3198" s="127">
        <v>3</v>
      </c>
      <c r="DE3198" s="127">
        <v>3</v>
      </c>
      <c r="DG3198" s="405" t="s">
        <v>311</v>
      </c>
      <c r="DH3198" s="406" t="s">
        <v>3190</v>
      </c>
      <c r="DI3198" s="406" t="str">
        <f t="shared" si="81"/>
        <v>PR, Alto Paraíso</v>
      </c>
      <c r="DJ3198" s="406">
        <v>-23.507999999999999</v>
      </c>
      <c r="DK3198" s="80">
        <v>-53.728000000000002</v>
      </c>
      <c r="DL3198" s="80">
        <v>405</v>
      </c>
      <c r="DM3198" s="64">
        <v>3</v>
      </c>
      <c r="DN3198" s="406" t="s">
        <v>7281</v>
      </c>
      <c r="DO3198" s="406">
        <v>-23.4</v>
      </c>
      <c r="DP3198" s="80">
        <v>385</v>
      </c>
    </row>
    <row r="3199" spans="29:120" x14ac:dyDescent="0.25">
      <c r="AC3199" s="122" t="s">
        <v>336</v>
      </c>
      <c r="AD3199" s="122" t="s">
        <v>3518</v>
      </c>
      <c r="AE3199" s="127">
        <v>3</v>
      </c>
      <c r="DA3199" s="122" t="s">
        <v>311</v>
      </c>
      <c r="DB3199" s="122" t="s">
        <v>7815</v>
      </c>
      <c r="DC3199" s="122" t="s">
        <v>3163</v>
      </c>
      <c r="DD3199" s="127">
        <v>3</v>
      </c>
      <c r="DE3199" s="127">
        <v>3</v>
      </c>
      <c r="DG3199" s="405" t="s">
        <v>311</v>
      </c>
      <c r="DH3199" s="406" t="s">
        <v>3163</v>
      </c>
      <c r="DI3199" s="406" t="str">
        <f t="shared" si="81"/>
        <v>PR, Alto Paraná</v>
      </c>
      <c r="DJ3199" s="406">
        <v>-23.129000000000001</v>
      </c>
      <c r="DK3199" s="80">
        <v>-52.319000000000003</v>
      </c>
      <c r="DL3199" s="80">
        <v>525</v>
      </c>
      <c r="DM3199" s="64">
        <v>3</v>
      </c>
      <c r="DN3199" s="406" t="s">
        <v>7816</v>
      </c>
      <c r="DO3199" s="406">
        <v>-23.42</v>
      </c>
      <c r="DP3199" s="80">
        <v>542</v>
      </c>
    </row>
    <row r="3200" spans="29:120" x14ac:dyDescent="0.25">
      <c r="AC3200" s="122" t="s">
        <v>298</v>
      </c>
      <c r="AD3200" s="122" t="s">
        <v>3519</v>
      </c>
      <c r="AE3200" s="127">
        <v>8</v>
      </c>
      <c r="DA3200" s="122" t="s">
        <v>311</v>
      </c>
      <c r="DB3200" s="122" t="s">
        <v>7817</v>
      </c>
      <c r="DC3200" s="122" t="s">
        <v>3591</v>
      </c>
      <c r="DD3200" s="127">
        <v>3</v>
      </c>
      <c r="DE3200" s="127">
        <v>3</v>
      </c>
      <c r="DG3200" s="405" t="s">
        <v>311</v>
      </c>
      <c r="DH3200" s="406" t="s">
        <v>3591</v>
      </c>
      <c r="DI3200" s="406" t="str">
        <f t="shared" si="81"/>
        <v>PR, Alto Piquiri</v>
      </c>
      <c r="DJ3200" s="406">
        <v>-24.027999999999999</v>
      </c>
      <c r="DK3200" s="80">
        <v>-53.441000000000003</v>
      </c>
      <c r="DL3200" s="80">
        <v>436</v>
      </c>
      <c r="DM3200" s="64">
        <v>3</v>
      </c>
      <c r="DN3200" s="406" t="s">
        <v>7281</v>
      </c>
      <c r="DO3200" s="406">
        <v>-23.4</v>
      </c>
      <c r="DP3200" s="80">
        <v>385</v>
      </c>
    </row>
    <row r="3201" spans="29:120" x14ac:dyDescent="0.25">
      <c r="AC3201" s="122" t="s">
        <v>317</v>
      </c>
      <c r="AD3201" s="122" t="s">
        <v>3520</v>
      </c>
      <c r="AE3201" s="127">
        <v>3</v>
      </c>
      <c r="DA3201" s="122" t="s">
        <v>311</v>
      </c>
      <c r="DB3201" s="122" t="s">
        <v>3586</v>
      </c>
      <c r="DC3201" s="122" t="s">
        <v>3586</v>
      </c>
      <c r="DD3201" s="127">
        <v>3</v>
      </c>
      <c r="DE3201" s="127">
        <v>3</v>
      </c>
      <c r="DG3201" s="405" t="s">
        <v>311</v>
      </c>
      <c r="DH3201" s="406" t="s">
        <v>3586</v>
      </c>
      <c r="DI3201" s="406" t="str">
        <f t="shared" si="81"/>
        <v>PR, Altônia</v>
      </c>
      <c r="DJ3201" s="406">
        <v>-23.873999999999999</v>
      </c>
      <c r="DK3201" s="80">
        <v>-53.902000000000001</v>
      </c>
      <c r="DL3201" s="80">
        <v>380</v>
      </c>
      <c r="DM3201" s="64">
        <v>3</v>
      </c>
      <c r="DN3201" s="406" t="s">
        <v>7281</v>
      </c>
      <c r="DO3201" s="406">
        <v>-23.4</v>
      </c>
      <c r="DP3201" s="80">
        <v>385</v>
      </c>
    </row>
    <row r="3202" spans="29:120" x14ac:dyDescent="0.25">
      <c r="AC3202" s="122" t="s">
        <v>333</v>
      </c>
      <c r="AD3202" s="122" t="s">
        <v>3521</v>
      </c>
      <c r="AE3202" s="127">
        <v>3</v>
      </c>
      <c r="DA3202" s="122" t="s">
        <v>311</v>
      </c>
      <c r="DB3202" s="122" t="s">
        <v>7818</v>
      </c>
      <c r="DC3202" s="122" t="s">
        <v>3792</v>
      </c>
      <c r="DD3202" s="127">
        <v>3</v>
      </c>
      <c r="DE3202" s="127">
        <v>3</v>
      </c>
      <c r="DG3202" s="405" t="s">
        <v>311</v>
      </c>
      <c r="DH3202" s="406" t="s">
        <v>3792</v>
      </c>
      <c r="DI3202" s="406" t="str">
        <f t="shared" si="81"/>
        <v>PR, Alvorada do Sul</v>
      </c>
      <c r="DJ3202" s="406">
        <v>-22.78</v>
      </c>
      <c r="DK3202" s="80">
        <v>-51.231000000000002</v>
      </c>
      <c r="DL3202" s="80">
        <v>320</v>
      </c>
      <c r="DM3202" s="64">
        <v>3</v>
      </c>
      <c r="DN3202" s="406" t="s">
        <v>7819</v>
      </c>
      <c r="DO3202" s="406">
        <v>-22.37</v>
      </c>
      <c r="DP3202" s="80">
        <v>350</v>
      </c>
    </row>
    <row r="3203" spans="29:120" x14ac:dyDescent="0.25">
      <c r="AC3203" s="122" t="s">
        <v>376</v>
      </c>
      <c r="AD3203" s="122" t="s">
        <v>3522</v>
      </c>
      <c r="AE3203" s="127">
        <v>6</v>
      </c>
      <c r="DA3203" s="122" t="s">
        <v>311</v>
      </c>
      <c r="DB3203" s="122" t="s">
        <v>3221</v>
      </c>
      <c r="DC3203" s="122" t="s">
        <v>3221</v>
      </c>
      <c r="DD3203" s="127">
        <v>3</v>
      </c>
      <c r="DE3203" s="127">
        <v>3</v>
      </c>
      <c r="DG3203" s="405" t="s">
        <v>311</v>
      </c>
      <c r="DH3203" s="406" t="s">
        <v>3221</v>
      </c>
      <c r="DI3203" s="406" t="str">
        <f t="shared" ref="DI3203:DI3266" si="82">CONCATENATE(DG3203,", ",DH3203)</f>
        <v>PR, Amaporã</v>
      </c>
      <c r="DJ3203" s="406">
        <v>-23.096</v>
      </c>
      <c r="DK3203" s="80">
        <v>-52.787999999999997</v>
      </c>
      <c r="DL3203" s="80">
        <v>430</v>
      </c>
      <c r="DM3203" s="64">
        <v>3</v>
      </c>
      <c r="DN3203" s="406" t="s">
        <v>7820</v>
      </c>
      <c r="DO3203" s="406">
        <v>-23.36</v>
      </c>
      <c r="DP3203" s="80">
        <v>381</v>
      </c>
    </row>
    <row r="3204" spans="29:120" x14ac:dyDescent="0.25">
      <c r="AC3204" s="122" t="s">
        <v>336</v>
      </c>
      <c r="AD3204" s="122" t="s">
        <v>3523</v>
      </c>
      <c r="AE3204" s="127">
        <v>3</v>
      </c>
      <c r="DA3204" s="122" t="s">
        <v>311</v>
      </c>
      <c r="DB3204" s="122" t="s">
        <v>1665</v>
      </c>
      <c r="DC3204" s="122" t="s">
        <v>1665</v>
      </c>
      <c r="DD3204" s="127">
        <v>2</v>
      </c>
      <c r="DE3204" s="127">
        <v>2</v>
      </c>
      <c r="DG3204" s="405" t="s">
        <v>311</v>
      </c>
      <c r="DH3204" s="406" t="s">
        <v>1665</v>
      </c>
      <c r="DI3204" s="406" t="str">
        <f t="shared" si="82"/>
        <v>PR, Ampére</v>
      </c>
      <c r="DJ3204" s="406">
        <v>-25.914999999999999</v>
      </c>
      <c r="DK3204" s="80">
        <v>-53.472999999999999</v>
      </c>
      <c r="DL3204" s="80">
        <v>521</v>
      </c>
      <c r="DM3204" s="64">
        <v>2</v>
      </c>
      <c r="DN3204" s="406" t="s">
        <v>7821</v>
      </c>
      <c r="DO3204" s="406">
        <v>-25.72</v>
      </c>
      <c r="DP3204" s="80">
        <v>346</v>
      </c>
    </row>
    <row r="3205" spans="29:120" x14ac:dyDescent="0.25">
      <c r="AC3205" s="122" t="s">
        <v>336</v>
      </c>
      <c r="AD3205" s="122" t="s">
        <v>3524</v>
      </c>
      <c r="AE3205" s="127">
        <v>5</v>
      </c>
      <c r="DA3205" s="122" t="s">
        <v>311</v>
      </c>
      <c r="DB3205" s="122" t="s">
        <v>3146</v>
      </c>
      <c r="DC3205" s="122" t="s">
        <v>3146</v>
      </c>
      <c r="DD3205" s="127">
        <v>2</v>
      </c>
      <c r="DE3205" s="127">
        <v>2</v>
      </c>
      <c r="DG3205" s="405" t="s">
        <v>311</v>
      </c>
      <c r="DH3205" s="406" t="s">
        <v>3146</v>
      </c>
      <c r="DI3205" s="406" t="str">
        <f t="shared" si="82"/>
        <v>PR, Anahy</v>
      </c>
      <c r="DJ3205" s="406">
        <v>-24.643999999999998</v>
      </c>
      <c r="DK3205" s="80">
        <v>-53.134999999999998</v>
      </c>
      <c r="DL3205" s="80">
        <v>651</v>
      </c>
      <c r="DM3205" s="64">
        <v>2</v>
      </c>
      <c r="DN3205" s="406" t="s">
        <v>7284</v>
      </c>
      <c r="DO3205" s="406">
        <v>-24.56</v>
      </c>
      <c r="DP3205" s="80">
        <v>392</v>
      </c>
    </row>
    <row r="3206" spans="29:120" x14ac:dyDescent="0.25">
      <c r="AC3206" s="122" t="s">
        <v>358</v>
      </c>
      <c r="AD3206" s="122" t="s">
        <v>3525</v>
      </c>
      <c r="AE3206" s="127">
        <v>5</v>
      </c>
      <c r="DA3206" s="122" t="s">
        <v>311</v>
      </c>
      <c r="DB3206" s="122" t="s">
        <v>3626</v>
      </c>
      <c r="DC3206" s="122" t="s">
        <v>3626</v>
      </c>
      <c r="DD3206" s="127">
        <v>3</v>
      </c>
      <c r="DE3206" s="127">
        <v>3</v>
      </c>
      <c r="DG3206" s="405" t="s">
        <v>311</v>
      </c>
      <c r="DH3206" s="406" t="s">
        <v>3626</v>
      </c>
      <c r="DI3206" s="406" t="str">
        <f t="shared" si="82"/>
        <v>PR, Andirá</v>
      </c>
      <c r="DJ3206" s="406">
        <v>-23.050999999999998</v>
      </c>
      <c r="DK3206" s="80">
        <v>-50.228999999999999</v>
      </c>
      <c r="DL3206" s="80">
        <v>470</v>
      </c>
      <c r="DM3206" s="64">
        <v>3</v>
      </c>
      <c r="DN3206" s="406" t="s">
        <v>7822</v>
      </c>
      <c r="DO3206" s="406">
        <v>-22.98</v>
      </c>
      <c r="DP3206" s="80">
        <v>448</v>
      </c>
    </row>
    <row r="3207" spans="29:120" x14ac:dyDescent="0.25">
      <c r="AC3207" s="122" t="s">
        <v>333</v>
      </c>
      <c r="AD3207" s="122" t="s">
        <v>3526</v>
      </c>
      <c r="AE3207" s="127">
        <v>3</v>
      </c>
      <c r="DA3207" s="122" t="s">
        <v>311</v>
      </c>
      <c r="DB3207" s="122" t="s">
        <v>3346</v>
      </c>
      <c r="DC3207" s="122" t="s">
        <v>3346</v>
      </c>
      <c r="DD3207" s="127">
        <v>1</v>
      </c>
      <c r="DE3207" s="127">
        <v>1</v>
      </c>
      <c r="DG3207" s="405" t="s">
        <v>311</v>
      </c>
      <c r="DH3207" s="406" t="s">
        <v>3346</v>
      </c>
      <c r="DI3207" s="406" t="str">
        <f t="shared" si="82"/>
        <v>PR, Ângulo</v>
      </c>
      <c r="DJ3207" s="406">
        <v>-23.195</v>
      </c>
      <c r="DK3207" s="80">
        <v>-51.914999999999999</v>
      </c>
      <c r="DL3207" s="80">
        <v>300</v>
      </c>
      <c r="DM3207" s="64">
        <v>1</v>
      </c>
      <c r="DN3207" s="406" t="s">
        <v>7816</v>
      </c>
      <c r="DO3207" s="406">
        <v>-23.42</v>
      </c>
      <c r="DP3207" s="80">
        <v>542</v>
      </c>
    </row>
    <row r="3208" spans="29:120" x14ac:dyDescent="0.25">
      <c r="AC3208" s="122" t="s">
        <v>376</v>
      </c>
      <c r="AD3208" s="122" t="s">
        <v>3527</v>
      </c>
      <c r="AE3208" s="127">
        <v>3</v>
      </c>
      <c r="DA3208" s="122" t="s">
        <v>311</v>
      </c>
      <c r="DB3208" s="122" t="s">
        <v>3278</v>
      </c>
      <c r="DC3208" s="122" t="s">
        <v>3278</v>
      </c>
      <c r="DD3208" s="127">
        <v>3</v>
      </c>
      <c r="DE3208" s="127">
        <v>3</v>
      </c>
      <c r="DG3208" s="405" t="s">
        <v>311</v>
      </c>
      <c r="DH3208" s="406" t="s">
        <v>3278</v>
      </c>
      <c r="DI3208" s="406" t="str">
        <f t="shared" si="82"/>
        <v>PR, Antonina</v>
      </c>
      <c r="DJ3208" s="406">
        <v>-25.428999999999998</v>
      </c>
      <c r="DK3208" s="80">
        <v>-48.712000000000003</v>
      </c>
      <c r="DL3208" s="80">
        <v>20</v>
      </c>
      <c r="DM3208" s="64">
        <v>3</v>
      </c>
      <c r="DN3208" s="406" t="s">
        <v>7823</v>
      </c>
      <c r="DO3208" s="406">
        <v>-25.57</v>
      </c>
      <c r="DP3208" s="80">
        <v>1</v>
      </c>
    </row>
    <row r="3209" spans="29:120" x14ac:dyDescent="0.25">
      <c r="AC3209" s="122" t="s">
        <v>336</v>
      </c>
      <c r="AD3209" s="122" t="s">
        <v>3528</v>
      </c>
      <c r="AE3209" s="127">
        <v>3</v>
      </c>
      <c r="DA3209" s="122" t="s">
        <v>311</v>
      </c>
      <c r="DB3209" s="122" t="s">
        <v>7824</v>
      </c>
      <c r="DC3209" s="122" t="s">
        <v>1623</v>
      </c>
      <c r="DD3209" s="127">
        <v>2</v>
      </c>
      <c r="DE3209" s="127">
        <v>2</v>
      </c>
      <c r="DG3209" s="405" t="s">
        <v>311</v>
      </c>
      <c r="DH3209" s="406" t="s">
        <v>1623</v>
      </c>
      <c r="DI3209" s="406" t="str">
        <f t="shared" si="82"/>
        <v>PR, Antônio Olinto</v>
      </c>
      <c r="DJ3209" s="406">
        <v>-25.986000000000001</v>
      </c>
      <c r="DK3209" s="80">
        <v>-50.197000000000003</v>
      </c>
      <c r="DL3209" s="80">
        <v>802</v>
      </c>
      <c r="DM3209" s="64">
        <v>2</v>
      </c>
      <c r="DN3209" s="406" t="s">
        <v>7825</v>
      </c>
      <c r="DO3209" s="406">
        <v>-26.4</v>
      </c>
      <c r="DP3209" s="80">
        <v>808</v>
      </c>
    </row>
    <row r="3210" spans="29:120" x14ac:dyDescent="0.25">
      <c r="AC3210" s="122" t="s">
        <v>376</v>
      </c>
      <c r="AD3210" s="122" t="s">
        <v>3529</v>
      </c>
      <c r="AE3210" s="127">
        <v>3</v>
      </c>
      <c r="DA3210" s="122" t="s">
        <v>311</v>
      </c>
      <c r="DB3210" s="122" t="s">
        <v>1948</v>
      </c>
      <c r="DC3210" s="122" t="s">
        <v>1948</v>
      </c>
      <c r="DD3210" s="127">
        <v>3</v>
      </c>
      <c r="DE3210" s="127">
        <v>3</v>
      </c>
      <c r="DG3210" s="405" t="s">
        <v>311</v>
      </c>
      <c r="DH3210" s="406" t="s">
        <v>1948</v>
      </c>
      <c r="DI3210" s="406" t="str">
        <f t="shared" si="82"/>
        <v>PR, Apucarana</v>
      </c>
      <c r="DJ3210" s="406">
        <v>-23.550999999999998</v>
      </c>
      <c r="DK3210" s="80">
        <v>-51.460999999999999</v>
      </c>
      <c r="DL3210" s="80">
        <v>820</v>
      </c>
      <c r="DM3210" s="64">
        <v>3</v>
      </c>
      <c r="DN3210" s="406" t="s">
        <v>7826</v>
      </c>
      <c r="DO3210" s="406">
        <v>-23.38</v>
      </c>
      <c r="DP3210" s="80">
        <v>566</v>
      </c>
    </row>
    <row r="3211" spans="29:120" x14ac:dyDescent="0.25">
      <c r="AC3211" s="122" t="s">
        <v>358</v>
      </c>
      <c r="AD3211" s="122" t="s">
        <v>3530</v>
      </c>
      <c r="AE3211" s="127">
        <v>8</v>
      </c>
      <c r="DA3211" s="122" t="s">
        <v>311</v>
      </c>
      <c r="DB3211" s="122" t="s">
        <v>827</v>
      </c>
      <c r="DC3211" s="122" t="s">
        <v>827</v>
      </c>
      <c r="DD3211" s="127">
        <v>3</v>
      </c>
      <c r="DE3211" s="127">
        <v>3</v>
      </c>
      <c r="DG3211" s="405" t="s">
        <v>311</v>
      </c>
      <c r="DH3211" s="406" t="s">
        <v>827</v>
      </c>
      <c r="DI3211" s="406" t="str">
        <f t="shared" si="82"/>
        <v>PR, Arapongas</v>
      </c>
      <c r="DJ3211" s="406">
        <v>-23.419</v>
      </c>
      <c r="DK3211" s="80">
        <v>-51.423999999999999</v>
      </c>
      <c r="DL3211" s="80">
        <v>729</v>
      </c>
      <c r="DM3211" s="64">
        <v>3</v>
      </c>
      <c r="DN3211" s="406" t="s">
        <v>7826</v>
      </c>
      <c r="DO3211" s="406">
        <v>-23.38</v>
      </c>
      <c r="DP3211" s="80">
        <v>566</v>
      </c>
    </row>
    <row r="3212" spans="29:120" x14ac:dyDescent="0.25">
      <c r="AC3212" s="122" t="s">
        <v>289</v>
      </c>
      <c r="AD3212" s="122" t="s">
        <v>3531</v>
      </c>
      <c r="AE3212" s="127">
        <v>8</v>
      </c>
      <c r="DA3212" s="122" t="s">
        <v>311</v>
      </c>
      <c r="DB3212" s="122" t="s">
        <v>836</v>
      </c>
      <c r="DC3212" s="122" t="s">
        <v>836</v>
      </c>
      <c r="DD3212" s="127">
        <v>2</v>
      </c>
      <c r="DE3212" s="127">
        <v>2</v>
      </c>
      <c r="DG3212" s="405" t="s">
        <v>311</v>
      </c>
      <c r="DH3212" s="406" t="s">
        <v>836</v>
      </c>
      <c r="DI3212" s="406" t="str">
        <f t="shared" si="82"/>
        <v>PR, Arapoti</v>
      </c>
      <c r="DJ3212" s="406">
        <v>-24.158000000000001</v>
      </c>
      <c r="DK3212" s="80">
        <v>-49.826999999999998</v>
      </c>
      <c r="DL3212" s="80">
        <v>860</v>
      </c>
      <c r="DM3212" s="64">
        <v>2</v>
      </c>
      <c r="DN3212" s="406" t="s">
        <v>7827</v>
      </c>
      <c r="DO3212" s="406">
        <v>-23.77</v>
      </c>
      <c r="DP3212" s="80">
        <v>930</v>
      </c>
    </row>
    <row r="3213" spans="29:120" x14ac:dyDescent="0.25">
      <c r="AC3213" s="122" t="s">
        <v>333</v>
      </c>
      <c r="AD3213" s="122" t="s">
        <v>3532</v>
      </c>
      <c r="AE3213" s="127">
        <v>3</v>
      </c>
      <c r="DA3213" s="122" t="s">
        <v>311</v>
      </c>
      <c r="DB3213" s="122" t="s">
        <v>766</v>
      </c>
      <c r="DC3213" s="122" t="s">
        <v>766</v>
      </c>
      <c r="DD3213" s="127">
        <v>2</v>
      </c>
      <c r="DE3213" s="127">
        <v>2</v>
      </c>
      <c r="DG3213" s="405" t="s">
        <v>311</v>
      </c>
      <c r="DH3213" s="406" t="s">
        <v>766</v>
      </c>
      <c r="DI3213" s="406" t="str">
        <f t="shared" si="82"/>
        <v>PR, Arapuã</v>
      </c>
      <c r="DJ3213" s="406">
        <v>-24.315999999999999</v>
      </c>
      <c r="DK3213" s="80">
        <v>-51.786999999999999</v>
      </c>
      <c r="DL3213" s="80">
        <v>680</v>
      </c>
      <c r="DM3213" s="64">
        <v>2</v>
      </c>
      <c r="DN3213" s="406" t="s">
        <v>7813</v>
      </c>
      <c r="DO3213" s="406">
        <v>-24.44</v>
      </c>
      <c r="DP3213" s="80">
        <v>654</v>
      </c>
    </row>
    <row r="3214" spans="29:120" x14ac:dyDescent="0.25">
      <c r="AC3214" s="122" t="s">
        <v>333</v>
      </c>
      <c r="AD3214" s="122" t="s">
        <v>3533</v>
      </c>
      <c r="AE3214" s="127">
        <v>3</v>
      </c>
      <c r="DA3214" s="122" t="s">
        <v>311</v>
      </c>
      <c r="DB3214" s="122" t="s">
        <v>1952</v>
      </c>
      <c r="DC3214" s="122" t="s">
        <v>1952</v>
      </c>
      <c r="DD3214" s="127">
        <v>3</v>
      </c>
      <c r="DE3214" s="127">
        <v>3</v>
      </c>
      <c r="DG3214" s="405" t="s">
        <v>311</v>
      </c>
      <c r="DH3214" s="406" t="s">
        <v>1952</v>
      </c>
      <c r="DI3214" s="406" t="str">
        <f t="shared" si="82"/>
        <v>PR, Araruna</v>
      </c>
      <c r="DJ3214" s="406">
        <v>-23.931999999999999</v>
      </c>
      <c r="DK3214" s="80">
        <v>-52.496000000000002</v>
      </c>
      <c r="DL3214" s="80">
        <v>610</v>
      </c>
      <c r="DM3214" s="64">
        <v>3</v>
      </c>
      <c r="DN3214" s="406" t="s">
        <v>7820</v>
      </c>
      <c r="DO3214" s="406">
        <v>-23.36</v>
      </c>
      <c r="DP3214" s="80">
        <v>381</v>
      </c>
    </row>
    <row r="3215" spans="29:120" x14ac:dyDescent="0.25">
      <c r="AC3215" s="122" t="s">
        <v>376</v>
      </c>
      <c r="AD3215" s="122" t="s">
        <v>3534</v>
      </c>
      <c r="AE3215" s="127">
        <v>3</v>
      </c>
      <c r="DA3215" s="122" t="s">
        <v>311</v>
      </c>
      <c r="DB3215" s="122" t="s">
        <v>509</v>
      </c>
      <c r="DC3215" s="122" t="s">
        <v>509</v>
      </c>
      <c r="DD3215" s="127">
        <v>1</v>
      </c>
      <c r="DE3215" s="127">
        <v>1</v>
      </c>
      <c r="DG3215" s="405" t="s">
        <v>311</v>
      </c>
      <c r="DH3215" s="406" t="s">
        <v>509</v>
      </c>
      <c r="DI3215" s="406" t="str">
        <f t="shared" si="82"/>
        <v>PR, Araucária</v>
      </c>
      <c r="DJ3215" s="406">
        <v>-25.593</v>
      </c>
      <c r="DK3215" s="80">
        <v>-49.41</v>
      </c>
      <c r="DL3215" s="80">
        <v>897</v>
      </c>
      <c r="DM3215" s="64">
        <v>1</v>
      </c>
      <c r="DN3215" s="406" t="s">
        <v>7811</v>
      </c>
      <c r="DO3215" s="406">
        <v>-25.43</v>
      </c>
      <c r="DP3215" s="80">
        <v>924</v>
      </c>
    </row>
    <row r="3216" spans="29:120" x14ac:dyDescent="0.25">
      <c r="AC3216" s="122" t="s">
        <v>333</v>
      </c>
      <c r="AD3216" s="122" t="s">
        <v>3535</v>
      </c>
      <c r="AE3216" s="127">
        <v>3</v>
      </c>
      <c r="DA3216" s="122" t="s">
        <v>311</v>
      </c>
      <c r="DB3216" s="122" t="s">
        <v>7828</v>
      </c>
      <c r="DC3216" s="122" t="s">
        <v>769</v>
      </c>
      <c r="DD3216" s="127">
        <v>2</v>
      </c>
      <c r="DE3216" s="127">
        <v>2</v>
      </c>
      <c r="DG3216" s="405" t="s">
        <v>311</v>
      </c>
      <c r="DH3216" s="406" t="s">
        <v>769</v>
      </c>
      <c r="DI3216" s="406" t="str">
        <f t="shared" si="82"/>
        <v>PR, Ariranha do Ivaí</v>
      </c>
      <c r="DJ3216" s="406">
        <v>-24.385999999999999</v>
      </c>
      <c r="DK3216" s="80">
        <v>-51.585000000000001</v>
      </c>
      <c r="DL3216" s="80">
        <v>700</v>
      </c>
      <c r="DM3216" s="64">
        <v>2</v>
      </c>
      <c r="DN3216" s="406" t="s">
        <v>7813</v>
      </c>
      <c r="DO3216" s="406">
        <v>-24.44</v>
      </c>
      <c r="DP3216" s="80">
        <v>654</v>
      </c>
    </row>
    <row r="3217" spans="29:120" x14ac:dyDescent="0.25">
      <c r="AC3217" s="122" t="s">
        <v>358</v>
      </c>
      <c r="AD3217" s="122" t="s">
        <v>2282</v>
      </c>
      <c r="AE3217" s="127">
        <v>3</v>
      </c>
      <c r="DA3217" s="122" t="s">
        <v>311</v>
      </c>
      <c r="DB3217" s="122" t="s">
        <v>3436</v>
      </c>
      <c r="DC3217" s="122" t="s">
        <v>3436</v>
      </c>
      <c r="DD3217" s="127">
        <v>3</v>
      </c>
      <c r="DE3217" s="127">
        <v>3</v>
      </c>
      <c r="DG3217" s="405" t="s">
        <v>311</v>
      </c>
      <c r="DH3217" s="406" t="s">
        <v>3436</v>
      </c>
      <c r="DI3217" s="406" t="str">
        <f t="shared" si="82"/>
        <v>PR, Assaí</v>
      </c>
      <c r="DJ3217" s="406">
        <v>-23.373000000000001</v>
      </c>
      <c r="DK3217" s="80">
        <v>-50.841000000000001</v>
      </c>
      <c r="DL3217" s="80">
        <v>605</v>
      </c>
      <c r="DM3217" s="64">
        <v>3</v>
      </c>
      <c r="DN3217" s="406" t="s">
        <v>7806</v>
      </c>
      <c r="DO3217" s="406">
        <v>-23.43</v>
      </c>
      <c r="DP3217" s="80">
        <v>668</v>
      </c>
    </row>
    <row r="3218" spans="29:120" x14ac:dyDescent="0.25">
      <c r="AC3218" s="122" t="s">
        <v>376</v>
      </c>
      <c r="AD3218" s="122" t="s">
        <v>3536</v>
      </c>
      <c r="AE3218" s="127">
        <v>3</v>
      </c>
      <c r="DA3218" s="122" t="s">
        <v>311</v>
      </c>
      <c r="DB3218" s="122" t="s">
        <v>7829</v>
      </c>
      <c r="DC3218" s="122" t="s">
        <v>3259</v>
      </c>
      <c r="DD3218" s="127">
        <v>3</v>
      </c>
      <c r="DE3218" s="127">
        <v>3</v>
      </c>
      <c r="DG3218" s="405" t="s">
        <v>311</v>
      </c>
      <c r="DH3218" s="406" t="s">
        <v>3259</v>
      </c>
      <c r="DI3218" s="406" t="str">
        <f t="shared" si="82"/>
        <v>PR, Assis Chateaubriand</v>
      </c>
      <c r="DJ3218" s="406">
        <v>-24.42</v>
      </c>
      <c r="DK3218" s="80">
        <v>-53.521000000000001</v>
      </c>
      <c r="DL3218" s="80">
        <v>406</v>
      </c>
      <c r="DM3218" s="64">
        <v>3</v>
      </c>
      <c r="DN3218" s="406" t="s">
        <v>7284</v>
      </c>
      <c r="DO3218" s="406">
        <v>-24.56</v>
      </c>
      <c r="DP3218" s="80">
        <v>392</v>
      </c>
    </row>
    <row r="3219" spans="29:120" x14ac:dyDescent="0.25">
      <c r="AC3219" s="122" t="s">
        <v>376</v>
      </c>
      <c r="AD3219" s="122" t="s">
        <v>3537</v>
      </c>
      <c r="AE3219" s="127">
        <v>6</v>
      </c>
      <c r="DA3219" s="122" t="s">
        <v>311</v>
      </c>
      <c r="DB3219" s="122" t="s">
        <v>3638</v>
      </c>
      <c r="DC3219" s="122" t="s">
        <v>3638</v>
      </c>
      <c r="DD3219" s="127">
        <v>3</v>
      </c>
      <c r="DE3219" s="127">
        <v>3</v>
      </c>
      <c r="DG3219" s="405" t="s">
        <v>311</v>
      </c>
      <c r="DH3219" s="406" t="s">
        <v>3638</v>
      </c>
      <c r="DI3219" s="406" t="str">
        <f t="shared" si="82"/>
        <v>PR, Astorga</v>
      </c>
      <c r="DJ3219" s="406">
        <v>-23.233000000000001</v>
      </c>
      <c r="DK3219" s="80">
        <v>-51.665999999999997</v>
      </c>
      <c r="DL3219" s="80">
        <v>675</v>
      </c>
      <c r="DM3219" s="64">
        <v>3</v>
      </c>
      <c r="DN3219" s="406" t="s">
        <v>7816</v>
      </c>
      <c r="DO3219" s="406">
        <v>-23.42</v>
      </c>
      <c r="DP3219" s="80">
        <v>542</v>
      </c>
    </row>
    <row r="3220" spans="29:120" x14ac:dyDescent="0.25">
      <c r="AC3220" s="122" t="s">
        <v>376</v>
      </c>
      <c r="AD3220" s="122" t="s">
        <v>3175</v>
      </c>
      <c r="AE3220" s="127">
        <v>3</v>
      </c>
      <c r="DA3220" s="122" t="s">
        <v>311</v>
      </c>
      <c r="DB3220" s="122" t="s">
        <v>3304</v>
      </c>
      <c r="DC3220" s="122" t="s">
        <v>3304</v>
      </c>
      <c r="DD3220" s="127">
        <v>1</v>
      </c>
      <c r="DE3220" s="127">
        <v>1</v>
      </c>
      <c r="DG3220" s="405" t="s">
        <v>311</v>
      </c>
      <c r="DH3220" s="406" t="s">
        <v>3304</v>
      </c>
      <c r="DI3220" s="406" t="str">
        <f t="shared" si="82"/>
        <v>PR, Atalaia</v>
      </c>
      <c r="DJ3220" s="406">
        <v>-23.151</v>
      </c>
      <c r="DK3220" s="80">
        <v>-52.054000000000002</v>
      </c>
      <c r="DL3220" s="80">
        <v>502</v>
      </c>
      <c r="DM3220" s="64">
        <v>1</v>
      </c>
      <c r="DN3220" s="406" t="s">
        <v>7816</v>
      </c>
      <c r="DO3220" s="406">
        <v>-23.42</v>
      </c>
      <c r="DP3220" s="80">
        <v>542</v>
      </c>
    </row>
    <row r="3221" spans="29:120" x14ac:dyDescent="0.25">
      <c r="AC3221" s="122" t="s">
        <v>376</v>
      </c>
      <c r="AD3221" s="122" t="s">
        <v>3538</v>
      </c>
      <c r="AE3221" s="127">
        <v>3</v>
      </c>
      <c r="DA3221" s="122" t="s">
        <v>311</v>
      </c>
      <c r="DB3221" s="122" t="s">
        <v>7830</v>
      </c>
      <c r="DC3221" s="122" t="s">
        <v>451</v>
      </c>
      <c r="DD3221" s="127">
        <v>2</v>
      </c>
      <c r="DE3221" s="127">
        <v>2</v>
      </c>
      <c r="DG3221" s="405" t="s">
        <v>311</v>
      </c>
      <c r="DH3221" s="406" t="s">
        <v>451</v>
      </c>
      <c r="DI3221" s="406" t="str">
        <f t="shared" si="82"/>
        <v>PR, Balsa Nova</v>
      </c>
      <c r="DJ3221" s="406">
        <v>-25.584</v>
      </c>
      <c r="DK3221" s="80">
        <v>-49.636000000000003</v>
      </c>
      <c r="DL3221" s="80">
        <v>871</v>
      </c>
      <c r="DM3221" s="64">
        <v>2</v>
      </c>
      <c r="DN3221" s="406" t="s">
        <v>7811</v>
      </c>
      <c r="DO3221" s="406">
        <v>-25.43</v>
      </c>
      <c r="DP3221" s="80">
        <v>924</v>
      </c>
    </row>
    <row r="3222" spans="29:120" x14ac:dyDescent="0.25">
      <c r="AC3222" s="122" t="s">
        <v>376</v>
      </c>
      <c r="AD3222" s="122" t="s">
        <v>667</v>
      </c>
      <c r="AE3222" s="127">
        <v>6</v>
      </c>
      <c r="DA3222" s="122" t="s">
        <v>311</v>
      </c>
      <c r="DB3222" s="122" t="s">
        <v>2341</v>
      </c>
      <c r="DC3222" s="122" t="s">
        <v>2341</v>
      </c>
      <c r="DD3222" s="127">
        <v>3</v>
      </c>
      <c r="DE3222" s="127">
        <v>3</v>
      </c>
      <c r="DG3222" s="405" t="s">
        <v>311</v>
      </c>
      <c r="DH3222" s="406" t="s">
        <v>2341</v>
      </c>
      <c r="DI3222" s="406" t="str">
        <f t="shared" si="82"/>
        <v>PR, Bandeirantes</v>
      </c>
      <c r="DJ3222" s="406">
        <v>-23.11</v>
      </c>
      <c r="DK3222" s="80">
        <v>-50.368000000000002</v>
      </c>
      <c r="DL3222" s="80">
        <v>420</v>
      </c>
      <c r="DM3222" s="64">
        <v>3</v>
      </c>
      <c r="DN3222" s="406" t="s">
        <v>7806</v>
      </c>
      <c r="DO3222" s="406">
        <v>-23.43</v>
      </c>
      <c r="DP3222" s="80">
        <v>668</v>
      </c>
    </row>
    <row r="3223" spans="29:120" x14ac:dyDescent="0.25">
      <c r="AC3223" s="122" t="s">
        <v>317</v>
      </c>
      <c r="AD3223" s="122" t="s">
        <v>3539</v>
      </c>
      <c r="AE3223" s="127">
        <v>5</v>
      </c>
      <c r="DA3223" s="122" t="s">
        <v>311</v>
      </c>
      <c r="DB3223" s="122" t="s">
        <v>7831</v>
      </c>
      <c r="DC3223" s="122" t="s">
        <v>3155</v>
      </c>
      <c r="DD3223" s="127">
        <v>3</v>
      </c>
      <c r="DE3223" s="127">
        <v>3</v>
      </c>
      <c r="DG3223" s="405" t="s">
        <v>311</v>
      </c>
      <c r="DH3223" s="406" t="s">
        <v>3155</v>
      </c>
      <c r="DI3223" s="406" t="str">
        <f t="shared" si="82"/>
        <v>PR, Barbosa Ferraz</v>
      </c>
      <c r="DJ3223" s="406">
        <v>-24.03</v>
      </c>
      <c r="DK3223" s="80">
        <v>-52.012</v>
      </c>
      <c r="DL3223" s="80">
        <v>374</v>
      </c>
      <c r="DM3223" s="64">
        <v>3</v>
      </c>
      <c r="DN3223" s="406" t="s">
        <v>7813</v>
      </c>
      <c r="DO3223" s="406">
        <v>-24.44</v>
      </c>
      <c r="DP3223" s="80">
        <v>654</v>
      </c>
    </row>
    <row r="3224" spans="29:120" x14ac:dyDescent="0.25">
      <c r="AC3224" s="122" t="s">
        <v>376</v>
      </c>
      <c r="AD3224" s="122" t="s">
        <v>3540</v>
      </c>
      <c r="AE3224" s="127">
        <v>3</v>
      </c>
      <c r="DA3224" s="122" t="s">
        <v>311</v>
      </c>
      <c r="DB3224" s="122" t="s">
        <v>7832</v>
      </c>
      <c r="DC3224" s="122" t="s">
        <v>3615</v>
      </c>
      <c r="DD3224" s="127">
        <v>3</v>
      </c>
      <c r="DE3224" s="127">
        <v>3</v>
      </c>
      <c r="DG3224" s="405" t="s">
        <v>311</v>
      </c>
      <c r="DH3224" s="406" t="s">
        <v>3615</v>
      </c>
      <c r="DI3224" s="406" t="str">
        <f t="shared" si="82"/>
        <v>PR, Barra do Jacaré</v>
      </c>
      <c r="DJ3224" s="406">
        <v>-23.114999999999998</v>
      </c>
      <c r="DK3224" s="80">
        <v>-50.180999999999997</v>
      </c>
      <c r="DL3224" s="80">
        <v>560</v>
      </c>
      <c r="DM3224" s="64">
        <v>3</v>
      </c>
      <c r="DN3224" s="406" t="s">
        <v>7822</v>
      </c>
      <c r="DO3224" s="406">
        <v>-22.98</v>
      </c>
      <c r="DP3224" s="80">
        <v>448</v>
      </c>
    </row>
    <row r="3225" spans="29:120" x14ac:dyDescent="0.25">
      <c r="AC3225" s="122" t="s">
        <v>376</v>
      </c>
      <c r="AD3225" s="122" t="s">
        <v>3541</v>
      </c>
      <c r="AE3225" s="127">
        <v>3</v>
      </c>
      <c r="DA3225" s="122" t="s">
        <v>311</v>
      </c>
      <c r="DB3225" s="122" t="s">
        <v>1367</v>
      </c>
      <c r="DC3225" s="122" t="s">
        <v>1367</v>
      </c>
      <c r="DD3225" s="127">
        <v>2</v>
      </c>
      <c r="DE3225" s="127">
        <v>2</v>
      </c>
      <c r="DG3225" s="405" t="s">
        <v>311</v>
      </c>
      <c r="DH3225" s="406" t="s">
        <v>1367</v>
      </c>
      <c r="DI3225" s="406" t="str">
        <f t="shared" si="82"/>
        <v>PR, Barracão</v>
      </c>
      <c r="DJ3225" s="406">
        <v>-26.254000000000001</v>
      </c>
      <c r="DK3225" s="80">
        <v>-53.633000000000003</v>
      </c>
      <c r="DL3225" s="80">
        <v>828</v>
      </c>
      <c r="DM3225" s="64">
        <v>2</v>
      </c>
      <c r="DN3225" s="406" t="s">
        <v>7833</v>
      </c>
      <c r="DO3225" s="406">
        <v>-26.29</v>
      </c>
      <c r="DP3225" s="80">
        <v>810</v>
      </c>
    </row>
    <row r="3226" spans="29:120" x14ac:dyDescent="0.25">
      <c r="AC3226" s="122" t="s">
        <v>376</v>
      </c>
      <c r="AD3226" s="122" t="s">
        <v>3542</v>
      </c>
      <c r="AE3226" s="127">
        <v>3</v>
      </c>
      <c r="DA3226" s="122" t="s">
        <v>311</v>
      </c>
      <c r="DB3226" s="122" t="s">
        <v>7834</v>
      </c>
      <c r="DC3226" s="122" t="s">
        <v>3621</v>
      </c>
      <c r="DD3226" s="127">
        <v>2</v>
      </c>
      <c r="DE3226" s="127">
        <v>2</v>
      </c>
      <c r="DG3226" s="405" t="s">
        <v>311</v>
      </c>
      <c r="DH3226" s="406" t="s">
        <v>5729</v>
      </c>
      <c r="DI3226" s="406" t="str">
        <f t="shared" si="82"/>
        <v>PR, Bela Vista da Caroba</v>
      </c>
      <c r="DJ3226" s="406">
        <v>-25.881</v>
      </c>
      <c r="DK3226" s="80">
        <v>-53.664999999999999</v>
      </c>
      <c r="DL3226" s="80">
        <v>558</v>
      </c>
      <c r="DM3226" s="64">
        <v>2</v>
      </c>
      <c r="DN3226" s="406" t="s">
        <v>7821</v>
      </c>
      <c r="DO3226" s="406">
        <v>-25.72</v>
      </c>
      <c r="DP3226" s="80">
        <v>346</v>
      </c>
    </row>
    <row r="3227" spans="29:120" x14ac:dyDescent="0.25">
      <c r="AC3227" s="122" t="s">
        <v>333</v>
      </c>
      <c r="AD3227" s="122" t="s">
        <v>3543</v>
      </c>
      <c r="AE3227" s="127">
        <v>3</v>
      </c>
      <c r="DA3227" s="122" t="s">
        <v>311</v>
      </c>
      <c r="DB3227" s="122" t="s">
        <v>7835</v>
      </c>
      <c r="DC3227" s="122" t="s">
        <v>1796</v>
      </c>
      <c r="DD3227" s="127">
        <v>3</v>
      </c>
      <c r="DE3227" s="127">
        <v>3</v>
      </c>
      <c r="DG3227" s="405" t="s">
        <v>311</v>
      </c>
      <c r="DH3227" s="406" t="s">
        <v>1796</v>
      </c>
      <c r="DI3227" s="406" t="str">
        <f t="shared" si="82"/>
        <v>PR, Bela Vista do Paraíso</v>
      </c>
      <c r="DJ3227" s="406">
        <v>-22.997</v>
      </c>
      <c r="DK3227" s="80">
        <v>-51.191000000000003</v>
      </c>
      <c r="DL3227" s="80">
        <v>590</v>
      </c>
      <c r="DM3227" s="64">
        <v>3</v>
      </c>
      <c r="DN3227" s="406" t="s">
        <v>7826</v>
      </c>
      <c r="DO3227" s="406">
        <v>-23.38</v>
      </c>
      <c r="DP3227" s="80">
        <v>566</v>
      </c>
    </row>
    <row r="3228" spans="29:120" x14ac:dyDescent="0.25">
      <c r="AC3228" s="122" t="s">
        <v>376</v>
      </c>
      <c r="AD3228" s="122" t="s">
        <v>3544</v>
      </c>
      <c r="AE3228" s="127">
        <v>6</v>
      </c>
      <c r="DA3228" s="122" t="s">
        <v>311</v>
      </c>
      <c r="DB3228" s="122" t="s">
        <v>809</v>
      </c>
      <c r="DC3228" s="122" t="s">
        <v>809</v>
      </c>
      <c r="DD3228" s="127">
        <v>1</v>
      </c>
      <c r="DE3228" s="127">
        <v>1</v>
      </c>
      <c r="DG3228" s="405" t="s">
        <v>311</v>
      </c>
      <c r="DH3228" s="406" t="s">
        <v>809</v>
      </c>
      <c r="DI3228" s="406" t="str">
        <f t="shared" si="82"/>
        <v>PR, Bituruna</v>
      </c>
      <c r="DJ3228" s="406">
        <v>-26.161000000000001</v>
      </c>
      <c r="DK3228" s="80">
        <v>-51.552999999999997</v>
      </c>
      <c r="DL3228" s="80">
        <v>987</v>
      </c>
      <c r="DM3228" s="64">
        <v>1</v>
      </c>
      <c r="DN3228" s="406" t="s">
        <v>7836</v>
      </c>
      <c r="DO3228" s="406">
        <v>-26.4</v>
      </c>
      <c r="DP3228" s="80">
        <v>1018</v>
      </c>
    </row>
    <row r="3229" spans="29:120" x14ac:dyDescent="0.25">
      <c r="AC3229" s="122" t="s">
        <v>311</v>
      </c>
      <c r="AD3229" s="122" t="s">
        <v>3545</v>
      </c>
      <c r="AE3229" s="127">
        <v>2</v>
      </c>
      <c r="DA3229" s="122" t="s">
        <v>311</v>
      </c>
      <c r="DB3229" s="122" t="s">
        <v>6467</v>
      </c>
      <c r="DC3229" s="122" t="s">
        <v>588</v>
      </c>
      <c r="DD3229" s="127">
        <v>3</v>
      </c>
      <c r="DE3229" s="127">
        <v>3</v>
      </c>
      <c r="DG3229" s="405" t="s">
        <v>311</v>
      </c>
      <c r="DH3229" s="406" t="s">
        <v>588</v>
      </c>
      <c r="DI3229" s="406" t="str">
        <f t="shared" si="82"/>
        <v>PR, Boa Esperança</v>
      </c>
      <c r="DJ3229" s="406">
        <v>-24.242000000000001</v>
      </c>
      <c r="DK3229" s="80">
        <v>-52.789000000000001</v>
      </c>
      <c r="DL3229" s="80">
        <v>500</v>
      </c>
      <c r="DM3229" s="64">
        <v>3</v>
      </c>
      <c r="DN3229" s="406" t="s">
        <v>7813</v>
      </c>
      <c r="DO3229" s="406">
        <v>-24.44</v>
      </c>
      <c r="DP3229" s="80">
        <v>654</v>
      </c>
    </row>
    <row r="3230" spans="29:120" x14ac:dyDescent="0.25">
      <c r="AC3230" s="122" t="s">
        <v>289</v>
      </c>
      <c r="AD3230" s="122" t="s">
        <v>3546</v>
      </c>
      <c r="AE3230" s="127">
        <v>7</v>
      </c>
      <c r="DA3230" s="122" t="s">
        <v>311</v>
      </c>
      <c r="DB3230" s="122" t="s">
        <v>7837</v>
      </c>
      <c r="DC3230" s="122" t="s">
        <v>3137</v>
      </c>
      <c r="DD3230" s="127">
        <v>2</v>
      </c>
      <c r="DE3230" s="127">
        <v>2</v>
      </c>
      <c r="DG3230" s="405" t="s">
        <v>311</v>
      </c>
      <c r="DH3230" s="406" t="s">
        <v>3137</v>
      </c>
      <c r="DI3230" s="406" t="str">
        <f t="shared" si="82"/>
        <v>PR, Boa Esperança do Iguaçu</v>
      </c>
      <c r="DJ3230" s="406">
        <v>-25.635999999999999</v>
      </c>
      <c r="DK3230" s="80">
        <v>-53.212000000000003</v>
      </c>
      <c r="DL3230" s="80">
        <v>521</v>
      </c>
      <c r="DM3230" s="64">
        <v>2</v>
      </c>
      <c r="DN3230" s="406" t="s">
        <v>7838</v>
      </c>
      <c r="DO3230" s="406">
        <v>-25.69</v>
      </c>
      <c r="DP3230" s="80">
        <v>520</v>
      </c>
    </row>
    <row r="3231" spans="29:120" x14ac:dyDescent="0.25">
      <c r="AC3231" s="122" t="s">
        <v>376</v>
      </c>
      <c r="AD3231" s="122" t="s">
        <v>3547</v>
      </c>
      <c r="AE3231" s="127">
        <v>6</v>
      </c>
      <c r="DA3231" s="122" t="s">
        <v>311</v>
      </c>
      <c r="DB3231" s="122" t="s">
        <v>7839</v>
      </c>
      <c r="DC3231" s="122" t="s">
        <v>748</v>
      </c>
      <c r="DD3231" s="127">
        <v>2</v>
      </c>
      <c r="DE3231" s="127">
        <v>2</v>
      </c>
      <c r="DG3231" s="405" t="s">
        <v>311</v>
      </c>
      <c r="DH3231" s="406" t="s">
        <v>748</v>
      </c>
      <c r="DI3231" s="406" t="str">
        <f t="shared" si="82"/>
        <v>PR, Boa Ventura de São Roque</v>
      </c>
      <c r="DJ3231" s="406">
        <v>-24.869</v>
      </c>
      <c r="DK3231" s="80">
        <v>-51.628</v>
      </c>
      <c r="DL3231" s="80">
        <v>950</v>
      </c>
      <c r="DM3231" s="64">
        <v>2</v>
      </c>
      <c r="DN3231" s="406" t="s">
        <v>7813</v>
      </c>
      <c r="DO3231" s="406">
        <v>-24.44</v>
      </c>
      <c r="DP3231" s="80">
        <v>654</v>
      </c>
    </row>
    <row r="3232" spans="29:120" x14ac:dyDescent="0.25">
      <c r="AC3232" s="122" t="s">
        <v>333</v>
      </c>
      <c r="AD3232" s="122" t="s">
        <v>3548</v>
      </c>
      <c r="AE3232" s="127">
        <v>2</v>
      </c>
      <c r="DA3232" s="122" t="s">
        <v>311</v>
      </c>
      <c r="DB3232" s="122" t="s">
        <v>7840</v>
      </c>
      <c r="DC3232" s="122" t="s">
        <v>3112</v>
      </c>
      <c r="DD3232" s="127">
        <v>2</v>
      </c>
      <c r="DE3232" s="127">
        <v>2</v>
      </c>
      <c r="DG3232" s="405" t="s">
        <v>311</v>
      </c>
      <c r="DH3232" s="406" t="s">
        <v>3112</v>
      </c>
      <c r="DI3232" s="406" t="str">
        <f t="shared" si="82"/>
        <v>PR, Boa Vista da Aparecida</v>
      </c>
      <c r="DJ3232" s="406">
        <v>-25.436</v>
      </c>
      <c r="DK3232" s="80">
        <v>-53.408000000000001</v>
      </c>
      <c r="DL3232" s="80">
        <v>445</v>
      </c>
      <c r="DM3232" s="64">
        <v>2</v>
      </c>
      <c r="DN3232" s="406" t="s">
        <v>7838</v>
      </c>
      <c r="DO3232" s="406">
        <v>-25.69</v>
      </c>
      <c r="DP3232" s="80">
        <v>520</v>
      </c>
    </row>
    <row r="3233" spans="29:120" x14ac:dyDescent="0.25">
      <c r="AC3233" s="122" t="s">
        <v>333</v>
      </c>
      <c r="AD3233" s="122" t="s">
        <v>3549</v>
      </c>
      <c r="AE3233" s="127">
        <v>3</v>
      </c>
      <c r="DA3233" s="122" t="s">
        <v>311</v>
      </c>
      <c r="DB3233" s="122" t="s">
        <v>7841</v>
      </c>
      <c r="DC3233" s="122" t="s">
        <v>319</v>
      </c>
      <c r="DD3233" s="127">
        <v>2</v>
      </c>
      <c r="DE3233" s="127">
        <v>2</v>
      </c>
      <c r="DG3233" s="405" t="s">
        <v>311</v>
      </c>
      <c r="DH3233" s="406" t="s">
        <v>319</v>
      </c>
      <c r="DI3233" s="406" t="str">
        <f t="shared" si="82"/>
        <v>PR, Bocaiúva do Sul</v>
      </c>
      <c r="DJ3233" s="406">
        <v>-25.206</v>
      </c>
      <c r="DK3233" s="80">
        <v>-49.115000000000002</v>
      </c>
      <c r="DL3233" s="80">
        <v>980</v>
      </c>
      <c r="DM3233" s="64">
        <v>2</v>
      </c>
      <c r="DN3233" s="406" t="s">
        <v>7811</v>
      </c>
      <c r="DO3233" s="406">
        <v>-25.43</v>
      </c>
      <c r="DP3233" s="80">
        <v>924</v>
      </c>
    </row>
    <row r="3234" spans="29:120" x14ac:dyDescent="0.25">
      <c r="AC3234" s="122" t="s">
        <v>336</v>
      </c>
      <c r="AD3234" s="122" t="s">
        <v>3550</v>
      </c>
      <c r="AE3234" s="127">
        <v>5</v>
      </c>
      <c r="DA3234" s="122" t="s">
        <v>311</v>
      </c>
      <c r="DB3234" s="122" t="s">
        <v>7842</v>
      </c>
      <c r="DC3234" s="122" t="s">
        <v>1235</v>
      </c>
      <c r="DD3234" s="127">
        <v>2</v>
      </c>
      <c r="DE3234" s="127">
        <v>2</v>
      </c>
      <c r="DG3234" s="405" t="s">
        <v>311</v>
      </c>
      <c r="DH3234" s="406" t="s">
        <v>1235</v>
      </c>
      <c r="DI3234" s="406" t="str">
        <f t="shared" si="82"/>
        <v>PR, Bom Jesus do Sul</v>
      </c>
      <c r="DJ3234" s="406">
        <v>-26.193000000000001</v>
      </c>
      <c r="DK3234" s="80">
        <v>-53.597000000000001</v>
      </c>
      <c r="DL3234" s="80">
        <v>660</v>
      </c>
      <c r="DM3234" s="64">
        <v>2</v>
      </c>
      <c r="DN3234" s="406" t="s">
        <v>7833</v>
      </c>
      <c r="DO3234" s="406">
        <v>-26.29</v>
      </c>
      <c r="DP3234" s="80">
        <v>810</v>
      </c>
    </row>
    <row r="3235" spans="29:120" x14ac:dyDescent="0.25">
      <c r="AC3235" s="122" t="s">
        <v>336</v>
      </c>
      <c r="AD3235" s="122" t="s">
        <v>3551</v>
      </c>
      <c r="AE3235" s="127">
        <v>6</v>
      </c>
      <c r="DA3235" s="122" t="s">
        <v>311</v>
      </c>
      <c r="DB3235" s="122" t="s">
        <v>6862</v>
      </c>
      <c r="DC3235" s="122" t="s">
        <v>592</v>
      </c>
      <c r="DD3235" s="127">
        <v>3</v>
      </c>
      <c r="DE3235" s="127">
        <v>3</v>
      </c>
      <c r="DG3235" s="405" t="s">
        <v>311</v>
      </c>
      <c r="DH3235" s="406" t="s">
        <v>592</v>
      </c>
      <c r="DI3235" s="406" t="str">
        <f t="shared" si="82"/>
        <v>PR, Bom Sucesso</v>
      </c>
      <c r="DJ3235" s="406">
        <v>-23.71</v>
      </c>
      <c r="DK3235" s="80">
        <v>-51.764000000000003</v>
      </c>
      <c r="DL3235" s="80">
        <v>580</v>
      </c>
      <c r="DM3235" s="64">
        <v>3</v>
      </c>
      <c r="DN3235" s="406" t="s">
        <v>7816</v>
      </c>
      <c r="DO3235" s="406">
        <v>-23.42</v>
      </c>
      <c r="DP3235" s="80">
        <v>542</v>
      </c>
    </row>
    <row r="3236" spans="29:120" x14ac:dyDescent="0.25">
      <c r="AC3236" s="122" t="s">
        <v>376</v>
      </c>
      <c r="AD3236" s="122" t="s">
        <v>3552</v>
      </c>
      <c r="AE3236" s="127">
        <v>2</v>
      </c>
      <c r="DA3236" s="122" t="s">
        <v>311</v>
      </c>
      <c r="DB3236" s="122" t="s">
        <v>7843</v>
      </c>
      <c r="DC3236" s="122" t="s">
        <v>802</v>
      </c>
      <c r="DD3236" s="127">
        <v>2</v>
      </c>
      <c r="DE3236" s="127">
        <v>2</v>
      </c>
      <c r="DG3236" s="405" t="s">
        <v>311</v>
      </c>
      <c r="DH3236" s="406" t="s">
        <v>802</v>
      </c>
      <c r="DI3236" s="406" t="str">
        <f t="shared" si="82"/>
        <v>PR, Bom Sucesso do Sul</v>
      </c>
      <c r="DJ3236" s="406">
        <v>-26.076000000000001</v>
      </c>
      <c r="DK3236" s="80">
        <v>-52.834000000000003</v>
      </c>
      <c r="DL3236" s="80">
        <v>640</v>
      </c>
      <c r="DM3236" s="64">
        <v>2</v>
      </c>
      <c r="DN3236" s="406" t="s">
        <v>7844</v>
      </c>
      <c r="DO3236" s="406">
        <v>-26.41</v>
      </c>
      <c r="DP3236" s="80">
        <v>960</v>
      </c>
    </row>
    <row r="3237" spans="29:120" x14ac:dyDescent="0.25">
      <c r="AC3237" s="122" t="s">
        <v>376</v>
      </c>
      <c r="AD3237" s="122" t="s">
        <v>3553</v>
      </c>
      <c r="AE3237" s="127">
        <v>3</v>
      </c>
      <c r="DA3237" s="122" t="s">
        <v>311</v>
      </c>
      <c r="DB3237" s="122" t="s">
        <v>3157</v>
      </c>
      <c r="DC3237" s="122" t="s">
        <v>3157</v>
      </c>
      <c r="DD3237" s="127">
        <v>2</v>
      </c>
      <c r="DE3237" s="127">
        <v>2</v>
      </c>
      <c r="DG3237" s="405" t="s">
        <v>311</v>
      </c>
      <c r="DH3237" s="406" t="s">
        <v>3157</v>
      </c>
      <c r="DI3237" s="406" t="str">
        <f t="shared" si="82"/>
        <v>PR, Borrazópolis</v>
      </c>
      <c r="DJ3237" s="406">
        <v>-23.940999999999999</v>
      </c>
      <c r="DK3237" s="80">
        <v>-51.588000000000001</v>
      </c>
      <c r="DL3237" s="80">
        <v>635</v>
      </c>
      <c r="DM3237" s="64">
        <v>2</v>
      </c>
      <c r="DN3237" s="406" t="s">
        <v>7813</v>
      </c>
      <c r="DO3237" s="406">
        <v>-24.44</v>
      </c>
      <c r="DP3237" s="80">
        <v>654</v>
      </c>
    </row>
    <row r="3238" spans="29:120" x14ac:dyDescent="0.25">
      <c r="AC3238" s="122" t="s">
        <v>336</v>
      </c>
      <c r="AD3238" s="122" t="s">
        <v>3554</v>
      </c>
      <c r="AE3238" s="127">
        <v>3</v>
      </c>
      <c r="DA3238" s="122" t="s">
        <v>311</v>
      </c>
      <c r="DB3238" s="122" t="s">
        <v>750</v>
      </c>
      <c r="DC3238" s="122" t="s">
        <v>750</v>
      </c>
      <c r="DD3238" s="127">
        <v>2</v>
      </c>
      <c r="DE3238" s="127">
        <v>2</v>
      </c>
      <c r="DG3238" s="405" t="s">
        <v>311</v>
      </c>
      <c r="DH3238" s="406" t="s">
        <v>750</v>
      </c>
      <c r="DI3238" s="406" t="str">
        <f t="shared" si="82"/>
        <v>PR, Braganey</v>
      </c>
      <c r="DJ3238" s="406">
        <v>-24.815999999999999</v>
      </c>
      <c r="DK3238" s="80">
        <v>-53.122</v>
      </c>
      <c r="DL3238" s="80">
        <v>654</v>
      </c>
      <c r="DM3238" s="64">
        <v>2</v>
      </c>
      <c r="DN3238" s="406" t="s">
        <v>7838</v>
      </c>
      <c r="DO3238" s="406">
        <v>-25.69</v>
      </c>
      <c r="DP3238" s="80">
        <v>520</v>
      </c>
    </row>
    <row r="3239" spans="29:120" x14ac:dyDescent="0.25">
      <c r="AC3239" s="122" t="s">
        <v>376</v>
      </c>
      <c r="AD3239" s="122" t="s">
        <v>3555</v>
      </c>
      <c r="AE3239" s="127">
        <v>3</v>
      </c>
      <c r="DA3239" s="122" t="s">
        <v>311</v>
      </c>
      <c r="DB3239" s="122" t="s">
        <v>7845</v>
      </c>
      <c r="DC3239" s="122" t="s">
        <v>3127</v>
      </c>
      <c r="DD3239" s="127">
        <v>3</v>
      </c>
      <c r="DE3239" s="127">
        <v>3</v>
      </c>
      <c r="DG3239" s="405" t="s">
        <v>311</v>
      </c>
      <c r="DH3239" s="406" t="s">
        <v>3127</v>
      </c>
      <c r="DI3239" s="406" t="str">
        <f t="shared" si="82"/>
        <v>PR, Brasilândia do Sul</v>
      </c>
      <c r="DJ3239" s="406">
        <v>-24.196999999999999</v>
      </c>
      <c r="DK3239" s="80">
        <v>-53.524999999999999</v>
      </c>
      <c r="DL3239" s="80">
        <v>378</v>
      </c>
      <c r="DM3239" s="64">
        <v>3</v>
      </c>
      <c r="DN3239" s="406" t="s">
        <v>7284</v>
      </c>
      <c r="DO3239" s="406">
        <v>-24.56</v>
      </c>
      <c r="DP3239" s="80">
        <v>392</v>
      </c>
    </row>
    <row r="3240" spans="29:120" x14ac:dyDescent="0.25">
      <c r="AC3240" s="122" t="s">
        <v>376</v>
      </c>
      <c r="AD3240" s="122" t="s">
        <v>3556</v>
      </c>
      <c r="AE3240" s="127">
        <v>4</v>
      </c>
      <c r="DA3240" s="122" t="s">
        <v>311</v>
      </c>
      <c r="DB3240" s="122" t="s">
        <v>3658</v>
      </c>
      <c r="DC3240" s="122" t="s">
        <v>3658</v>
      </c>
      <c r="DD3240" s="127">
        <v>3</v>
      </c>
      <c r="DE3240" s="127">
        <v>3</v>
      </c>
      <c r="DG3240" s="405" t="s">
        <v>311</v>
      </c>
      <c r="DH3240" s="406" t="s">
        <v>3658</v>
      </c>
      <c r="DI3240" s="406" t="str">
        <f t="shared" si="82"/>
        <v>PR, Cafeara</v>
      </c>
      <c r="DJ3240" s="406">
        <v>-22.792999999999999</v>
      </c>
      <c r="DK3240" s="80">
        <v>-51.716000000000001</v>
      </c>
      <c r="DL3240" s="80">
        <v>420</v>
      </c>
      <c r="DM3240" s="64">
        <v>3</v>
      </c>
      <c r="DN3240" s="406" t="s">
        <v>7264</v>
      </c>
      <c r="DO3240" s="406">
        <v>-22.49</v>
      </c>
      <c r="DP3240" s="80">
        <v>311</v>
      </c>
    </row>
    <row r="3241" spans="29:120" x14ac:dyDescent="0.25">
      <c r="AC3241" s="122" t="s">
        <v>376</v>
      </c>
      <c r="AD3241" s="122" t="s">
        <v>3557</v>
      </c>
      <c r="AE3241" s="127">
        <v>3</v>
      </c>
      <c r="DA3241" s="122" t="s">
        <v>311</v>
      </c>
      <c r="DB3241" s="122" t="s">
        <v>3175</v>
      </c>
      <c r="DC3241" s="122" t="s">
        <v>3175</v>
      </c>
      <c r="DD3241" s="127">
        <v>3</v>
      </c>
      <c r="DE3241" s="127">
        <v>3</v>
      </c>
      <c r="DG3241" s="405" t="s">
        <v>311</v>
      </c>
      <c r="DH3241" s="406" t="s">
        <v>3175</v>
      </c>
      <c r="DI3241" s="406" t="str">
        <f t="shared" si="82"/>
        <v>PR, Cafelândia</v>
      </c>
      <c r="DJ3241" s="406">
        <v>-24.617999999999999</v>
      </c>
      <c r="DK3241" s="80">
        <v>-53.32</v>
      </c>
      <c r="DL3241" s="80">
        <v>521</v>
      </c>
      <c r="DM3241" s="64">
        <v>3</v>
      </c>
      <c r="DN3241" s="406" t="s">
        <v>7284</v>
      </c>
      <c r="DO3241" s="406">
        <v>-24.56</v>
      </c>
      <c r="DP3241" s="80">
        <v>392</v>
      </c>
    </row>
    <row r="3242" spans="29:120" x14ac:dyDescent="0.25">
      <c r="AC3242" s="122" t="s">
        <v>376</v>
      </c>
      <c r="AD3242" s="122" t="s">
        <v>3558</v>
      </c>
      <c r="AE3242" s="127">
        <v>3</v>
      </c>
      <c r="DA3242" s="122" t="s">
        <v>311</v>
      </c>
      <c r="DB3242" s="122" t="s">
        <v>7846</v>
      </c>
      <c r="DC3242" s="122" t="s">
        <v>3595</v>
      </c>
      <c r="DD3242" s="127">
        <v>3</v>
      </c>
      <c r="DE3242" s="127">
        <v>3</v>
      </c>
      <c r="DG3242" s="405" t="s">
        <v>311</v>
      </c>
      <c r="DH3242" s="406" t="s">
        <v>3595</v>
      </c>
      <c r="DI3242" s="406" t="str">
        <f t="shared" si="82"/>
        <v>PR, Cafezal do Sul</v>
      </c>
      <c r="DJ3242" s="406">
        <v>-23.902000000000001</v>
      </c>
      <c r="DK3242" s="80">
        <v>-53.512999999999998</v>
      </c>
      <c r="DL3242" s="80">
        <v>425</v>
      </c>
      <c r="DM3242" s="64">
        <v>3</v>
      </c>
      <c r="DN3242" s="406" t="s">
        <v>7281</v>
      </c>
      <c r="DO3242" s="406">
        <v>-23.4</v>
      </c>
      <c r="DP3242" s="80">
        <v>385</v>
      </c>
    </row>
    <row r="3243" spans="29:120" x14ac:dyDescent="0.25">
      <c r="AC3243" s="122" t="s">
        <v>376</v>
      </c>
      <c r="AD3243" s="122" t="s">
        <v>3559</v>
      </c>
      <c r="AE3243" s="127">
        <v>3</v>
      </c>
      <c r="DA3243" s="122" t="s">
        <v>311</v>
      </c>
      <c r="DB3243" s="122" t="s">
        <v>3247</v>
      </c>
      <c r="DC3243" s="122" t="s">
        <v>3247</v>
      </c>
      <c r="DD3243" s="127">
        <v>3</v>
      </c>
      <c r="DE3243" s="127">
        <v>3</v>
      </c>
      <c r="DG3243" s="405" t="s">
        <v>311</v>
      </c>
      <c r="DH3243" s="406" t="s">
        <v>3247</v>
      </c>
      <c r="DI3243" s="406" t="str">
        <f t="shared" si="82"/>
        <v>PR, Califórnia</v>
      </c>
      <c r="DJ3243" s="406">
        <v>-23.65</v>
      </c>
      <c r="DK3243" s="80">
        <v>-51.354999999999997</v>
      </c>
      <c r="DL3243" s="80">
        <v>800</v>
      </c>
      <c r="DM3243" s="64">
        <v>3</v>
      </c>
      <c r="DN3243" s="406" t="s">
        <v>7826</v>
      </c>
      <c r="DO3243" s="406">
        <v>-23.38</v>
      </c>
      <c r="DP3243" s="80">
        <v>566</v>
      </c>
    </row>
    <row r="3244" spans="29:120" x14ac:dyDescent="0.25">
      <c r="AC3244" s="122" t="s">
        <v>376</v>
      </c>
      <c r="AD3244" s="122" t="s">
        <v>3560</v>
      </c>
      <c r="AE3244" s="127">
        <v>6</v>
      </c>
      <c r="DA3244" s="122" t="s">
        <v>311</v>
      </c>
      <c r="DB3244" s="122" t="s">
        <v>2594</v>
      </c>
      <c r="DC3244" s="122" t="s">
        <v>2594</v>
      </c>
      <c r="DD3244" s="127">
        <v>3</v>
      </c>
      <c r="DE3244" s="127">
        <v>3</v>
      </c>
      <c r="DG3244" s="405" t="s">
        <v>311</v>
      </c>
      <c r="DH3244" s="406" t="s">
        <v>2594</v>
      </c>
      <c r="DI3244" s="406" t="str">
        <f t="shared" si="82"/>
        <v>PR, Cambará</v>
      </c>
      <c r="DJ3244" s="406">
        <v>-23.045999999999999</v>
      </c>
      <c r="DK3244" s="80">
        <v>-50.073999999999998</v>
      </c>
      <c r="DL3244" s="80">
        <v>545</v>
      </c>
      <c r="DM3244" s="64">
        <v>3</v>
      </c>
      <c r="DN3244" s="406" t="s">
        <v>7822</v>
      </c>
      <c r="DO3244" s="406">
        <v>-22.98</v>
      </c>
      <c r="DP3244" s="80">
        <v>448</v>
      </c>
    </row>
    <row r="3245" spans="29:120" x14ac:dyDescent="0.25">
      <c r="AC3245" s="122" t="s">
        <v>376</v>
      </c>
      <c r="AD3245" s="122" t="s">
        <v>3561</v>
      </c>
      <c r="AE3245" s="127">
        <v>3</v>
      </c>
      <c r="DA3245" s="122" t="s">
        <v>311</v>
      </c>
      <c r="DB3245" s="122" t="s">
        <v>3756</v>
      </c>
      <c r="DC3245" s="122" t="s">
        <v>3756</v>
      </c>
      <c r="DD3245" s="127">
        <v>3</v>
      </c>
      <c r="DE3245" s="127">
        <v>3</v>
      </c>
      <c r="DG3245" s="405" t="s">
        <v>311</v>
      </c>
      <c r="DH3245" s="406" t="s">
        <v>3756</v>
      </c>
      <c r="DI3245" s="406" t="str">
        <f t="shared" si="82"/>
        <v>PR, Cambé</v>
      </c>
      <c r="DJ3245" s="406">
        <v>-23.276</v>
      </c>
      <c r="DK3245" s="80">
        <v>-51.277999999999999</v>
      </c>
      <c r="DL3245" s="80">
        <v>650</v>
      </c>
      <c r="DM3245" s="64">
        <v>3</v>
      </c>
      <c r="DN3245" s="406" t="s">
        <v>7826</v>
      </c>
      <c r="DO3245" s="406">
        <v>-23.38</v>
      </c>
      <c r="DP3245" s="80">
        <v>566</v>
      </c>
    </row>
    <row r="3246" spans="29:120" x14ac:dyDescent="0.25">
      <c r="AC3246" s="122" t="s">
        <v>376</v>
      </c>
      <c r="AD3246" s="122" t="s">
        <v>3562</v>
      </c>
      <c r="AE3246" s="127">
        <v>3</v>
      </c>
      <c r="DA3246" s="122" t="s">
        <v>311</v>
      </c>
      <c r="DB3246" s="122" t="s">
        <v>3174</v>
      </c>
      <c r="DC3246" s="122" t="s">
        <v>3174</v>
      </c>
      <c r="DD3246" s="127">
        <v>3</v>
      </c>
      <c r="DE3246" s="127">
        <v>3</v>
      </c>
      <c r="DG3246" s="405" t="s">
        <v>311</v>
      </c>
      <c r="DH3246" s="406" t="s">
        <v>3174</v>
      </c>
      <c r="DI3246" s="406" t="str">
        <f t="shared" si="82"/>
        <v>PR, Cambira</v>
      </c>
      <c r="DJ3246" s="406">
        <v>-23.582999999999998</v>
      </c>
      <c r="DK3246" s="80">
        <v>-51.578000000000003</v>
      </c>
      <c r="DL3246" s="80">
        <v>805</v>
      </c>
      <c r="DM3246" s="64">
        <v>3</v>
      </c>
      <c r="DN3246" s="406" t="s">
        <v>7816</v>
      </c>
      <c r="DO3246" s="406">
        <v>-23.42</v>
      </c>
      <c r="DP3246" s="80">
        <v>542</v>
      </c>
    </row>
    <row r="3247" spans="29:120" x14ac:dyDescent="0.25">
      <c r="AC3247" s="122" t="s">
        <v>376</v>
      </c>
      <c r="AD3247" s="122" t="s">
        <v>3563</v>
      </c>
      <c r="AE3247" s="127">
        <v>3</v>
      </c>
      <c r="DA3247" s="122" t="s">
        <v>311</v>
      </c>
      <c r="DB3247" s="122" t="s">
        <v>7847</v>
      </c>
      <c r="DC3247" s="122" t="s">
        <v>744</v>
      </c>
      <c r="DD3247" s="127">
        <v>2</v>
      </c>
      <c r="DE3247" s="127">
        <v>2</v>
      </c>
      <c r="DG3247" s="405" t="s">
        <v>311</v>
      </c>
      <c r="DH3247" s="406" t="s">
        <v>744</v>
      </c>
      <c r="DI3247" s="406" t="str">
        <f t="shared" si="82"/>
        <v>PR, Campina da Lagoa</v>
      </c>
      <c r="DJ3247" s="406">
        <v>-24.591999999999999</v>
      </c>
      <c r="DK3247" s="80">
        <v>-52.798999999999999</v>
      </c>
      <c r="DL3247" s="80">
        <v>610</v>
      </c>
      <c r="DM3247" s="64">
        <v>2</v>
      </c>
      <c r="DN3247" s="406" t="s">
        <v>7813</v>
      </c>
      <c r="DO3247" s="406">
        <v>-24.44</v>
      </c>
      <c r="DP3247" s="80">
        <v>654</v>
      </c>
    </row>
    <row r="3248" spans="29:120" x14ac:dyDescent="0.25">
      <c r="AC3248" s="122" t="s">
        <v>333</v>
      </c>
      <c r="AD3248" s="122" t="s">
        <v>3564</v>
      </c>
      <c r="AE3248" s="127">
        <v>6</v>
      </c>
      <c r="DA3248" s="122" t="s">
        <v>311</v>
      </c>
      <c r="DB3248" s="122" t="s">
        <v>7848</v>
      </c>
      <c r="DC3248" s="122" t="s">
        <v>751</v>
      </c>
      <c r="DD3248" s="127">
        <v>2</v>
      </c>
      <c r="DE3248" s="127">
        <v>2</v>
      </c>
      <c r="DG3248" s="405" t="s">
        <v>311</v>
      </c>
      <c r="DH3248" s="406" t="s">
        <v>751</v>
      </c>
      <c r="DI3248" s="406" t="str">
        <f t="shared" si="82"/>
        <v>PR, Campina do Simão</v>
      </c>
      <c r="DJ3248" s="406">
        <v>-25.079000000000001</v>
      </c>
      <c r="DK3248" s="80">
        <v>-51.826999999999998</v>
      </c>
      <c r="DL3248" s="80">
        <v>994</v>
      </c>
      <c r="DM3248" s="64">
        <v>2</v>
      </c>
      <c r="DN3248" s="406" t="s">
        <v>7813</v>
      </c>
      <c r="DO3248" s="406">
        <v>-24.44</v>
      </c>
      <c r="DP3248" s="80">
        <v>654</v>
      </c>
    </row>
    <row r="3249" spans="29:120" x14ac:dyDescent="0.25">
      <c r="AC3249" s="122" t="s">
        <v>376</v>
      </c>
      <c r="AD3249" s="122" t="s">
        <v>3565</v>
      </c>
      <c r="AE3249" s="127">
        <v>6</v>
      </c>
      <c r="DA3249" s="122" t="s">
        <v>311</v>
      </c>
      <c r="DB3249" s="122" t="s">
        <v>7849</v>
      </c>
      <c r="DC3249" s="122" t="s">
        <v>425</v>
      </c>
      <c r="DD3249" s="127">
        <v>2</v>
      </c>
      <c r="DE3249" s="127">
        <v>2</v>
      </c>
      <c r="DG3249" s="405" t="s">
        <v>311</v>
      </c>
      <c r="DH3249" s="406" t="s">
        <v>425</v>
      </c>
      <c r="DI3249" s="406" t="str">
        <f t="shared" si="82"/>
        <v>PR, Campina Grande do Sul</v>
      </c>
      <c r="DJ3249" s="406">
        <v>-25.306000000000001</v>
      </c>
      <c r="DK3249" s="80">
        <v>-49.055</v>
      </c>
      <c r="DL3249" s="80">
        <v>903</v>
      </c>
      <c r="DM3249" s="64">
        <v>2</v>
      </c>
      <c r="DN3249" s="406" t="s">
        <v>7811</v>
      </c>
      <c r="DO3249" s="406">
        <v>-25.43</v>
      </c>
      <c r="DP3249" s="80">
        <v>924</v>
      </c>
    </row>
    <row r="3250" spans="29:120" x14ac:dyDescent="0.25">
      <c r="AC3250" s="122" t="s">
        <v>376</v>
      </c>
      <c r="AD3250" s="122" t="s">
        <v>3566</v>
      </c>
      <c r="AE3250" s="127">
        <v>3</v>
      </c>
      <c r="DA3250" s="122" t="s">
        <v>311</v>
      </c>
      <c r="DB3250" s="122" t="s">
        <v>7850</v>
      </c>
      <c r="DC3250" s="122" t="s">
        <v>752</v>
      </c>
      <c r="DD3250" s="127">
        <v>2</v>
      </c>
      <c r="DE3250" s="127">
        <v>2</v>
      </c>
      <c r="DG3250" s="405" t="s">
        <v>311</v>
      </c>
      <c r="DH3250" s="406" t="s">
        <v>752</v>
      </c>
      <c r="DI3250" s="406" t="str">
        <f t="shared" si="82"/>
        <v>PR, Campo Bonito</v>
      </c>
      <c r="DJ3250" s="406">
        <v>-25.030999999999999</v>
      </c>
      <c r="DK3250" s="80">
        <v>-52.993000000000002</v>
      </c>
      <c r="DL3250" s="80">
        <v>720</v>
      </c>
      <c r="DM3250" s="64">
        <v>2</v>
      </c>
      <c r="DN3250" s="406" t="s">
        <v>7838</v>
      </c>
      <c r="DO3250" s="406">
        <v>-25.69</v>
      </c>
      <c r="DP3250" s="80">
        <v>520</v>
      </c>
    </row>
    <row r="3251" spans="29:120" x14ac:dyDescent="0.25">
      <c r="AC3251" s="122" t="s">
        <v>376</v>
      </c>
      <c r="AD3251" s="122" t="s">
        <v>3567</v>
      </c>
      <c r="AE3251" s="127">
        <v>6</v>
      </c>
      <c r="DA3251" s="122" t="s">
        <v>311</v>
      </c>
      <c r="DB3251" s="122" t="s">
        <v>7851</v>
      </c>
      <c r="DC3251" s="122" t="s">
        <v>1736</v>
      </c>
      <c r="DD3251" s="127">
        <v>2</v>
      </c>
      <c r="DE3251" s="127">
        <v>2</v>
      </c>
      <c r="DG3251" s="405" t="s">
        <v>311</v>
      </c>
      <c r="DH3251" s="406" t="s">
        <v>1736</v>
      </c>
      <c r="DI3251" s="406" t="str">
        <f t="shared" si="82"/>
        <v>PR, Campo do Tenente</v>
      </c>
      <c r="DJ3251" s="406">
        <v>-25.978000000000002</v>
      </c>
      <c r="DK3251" s="80">
        <v>-49.683</v>
      </c>
      <c r="DL3251" s="80">
        <v>798</v>
      </c>
      <c r="DM3251" s="64">
        <v>2</v>
      </c>
      <c r="DN3251" s="406" t="s">
        <v>7809</v>
      </c>
      <c r="DO3251" s="406">
        <v>-26.25</v>
      </c>
      <c r="DP3251" s="80">
        <v>869</v>
      </c>
    </row>
    <row r="3252" spans="29:120" x14ac:dyDescent="0.25">
      <c r="AC3252" s="122" t="s">
        <v>376</v>
      </c>
      <c r="AD3252" s="122" t="s">
        <v>3568</v>
      </c>
      <c r="AE3252" s="127">
        <v>6</v>
      </c>
      <c r="DA3252" s="122" t="s">
        <v>311</v>
      </c>
      <c r="DB3252" s="122" t="s">
        <v>7852</v>
      </c>
      <c r="DC3252" s="122" t="s">
        <v>479</v>
      </c>
      <c r="DD3252" s="127">
        <v>1</v>
      </c>
      <c r="DE3252" s="127">
        <v>1</v>
      </c>
      <c r="DG3252" s="405" t="s">
        <v>311</v>
      </c>
      <c r="DH3252" s="406" t="s">
        <v>479</v>
      </c>
      <c r="DI3252" s="406" t="str">
        <f t="shared" si="82"/>
        <v>PR, Campo Largo</v>
      </c>
      <c r="DJ3252" s="406">
        <v>-25.459</v>
      </c>
      <c r="DK3252" s="80">
        <v>-49.527999999999999</v>
      </c>
      <c r="DL3252" s="80">
        <v>956</v>
      </c>
      <c r="DM3252" s="64">
        <v>1</v>
      </c>
      <c r="DN3252" s="406" t="s">
        <v>7811</v>
      </c>
      <c r="DO3252" s="406">
        <v>-25.43</v>
      </c>
      <c r="DP3252" s="80">
        <v>924</v>
      </c>
    </row>
    <row r="3253" spans="29:120" x14ac:dyDescent="0.25">
      <c r="AC3253" s="122" t="s">
        <v>333</v>
      </c>
      <c r="AD3253" s="122" t="s">
        <v>3569</v>
      </c>
      <c r="AE3253" s="127">
        <v>6</v>
      </c>
      <c r="DA3253" s="122" t="s">
        <v>311</v>
      </c>
      <c r="DB3253" s="122" t="s">
        <v>7853</v>
      </c>
      <c r="DC3253" s="122" t="s">
        <v>531</v>
      </c>
      <c r="DD3253" s="127">
        <v>1</v>
      </c>
      <c r="DE3253" s="127">
        <v>1</v>
      </c>
      <c r="DG3253" s="405" t="s">
        <v>311</v>
      </c>
      <c r="DH3253" s="406" t="s">
        <v>531</v>
      </c>
      <c r="DI3253" s="406" t="str">
        <f t="shared" si="82"/>
        <v>PR, Campo Magro</v>
      </c>
      <c r="DJ3253" s="406">
        <v>-25.369</v>
      </c>
      <c r="DK3253" s="80">
        <v>-49.451000000000001</v>
      </c>
      <c r="DL3253" s="80">
        <v>931</v>
      </c>
      <c r="DM3253" s="64">
        <v>1</v>
      </c>
      <c r="DN3253" s="406" t="s">
        <v>7811</v>
      </c>
      <c r="DO3253" s="406">
        <v>-25.43</v>
      </c>
      <c r="DP3253" s="80">
        <v>924</v>
      </c>
    </row>
    <row r="3254" spans="29:120" x14ac:dyDescent="0.25">
      <c r="AC3254" s="122" t="s">
        <v>376</v>
      </c>
      <c r="AD3254" s="122" t="s">
        <v>3570</v>
      </c>
      <c r="AE3254" s="127">
        <v>6</v>
      </c>
      <c r="DA3254" s="122" t="s">
        <v>311</v>
      </c>
      <c r="DB3254" s="122" t="s">
        <v>7854</v>
      </c>
      <c r="DC3254" s="122" t="s">
        <v>803</v>
      </c>
      <c r="DD3254" s="127">
        <v>3</v>
      </c>
      <c r="DE3254" s="127">
        <v>3</v>
      </c>
      <c r="DG3254" s="405" t="s">
        <v>311</v>
      </c>
      <c r="DH3254" s="406" t="s">
        <v>803</v>
      </c>
      <c r="DI3254" s="406" t="str">
        <f t="shared" si="82"/>
        <v>PR, Campo Mourão</v>
      </c>
      <c r="DJ3254" s="406">
        <v>-24.045999999999999</v>
      </c>
      <c r="DK3254" s="80">
        <v>-52.383000000000003</v>
      </c>
      <c r="DL3254" s="80">
        <v>585</v>
      </c>
      <c r="DM3254" s="64">
        <v>3</v>
      </c>
      <c r="DN3254" s="406" t="s">
        <v>7813</v>
      </c>
      <c r="DO3254" s="406">
        <v>-24.44</v>
      </c>
      <c r="DP3254" s="80">
        <v>654</v>
      </c>
    </row>
    <row r="3255" spans="29:120" x14ac:dyDescent="0.25">
      <c r="AC3255" s="122" t="s">
        <v>376</v>
      </c>
      <c r="AD3255" s="122" t="s">
        <v>3571</v>
      </c>
      <c r="AE3255" s="127">
        <v>4</v>
      </c>
      <c r="DA3255" s="122" t="s">
        <v>311</v>
      </c>
      <c r="DB3255" s="122" t="s">
        <v>7855</v>
      </c>
      <c r="DC3255" s="122" t="s">
        <v>3300</v>
      </c>
      <c r="DD3255" s="127">
        <v>2</v>
      </c>
      <c r="DE3255" s="127">
        <v>2</v>
      </c>
      <c r="DG3255" s="405" t="s">
        <v>311</v>
      </c>
      <c r="DH3255" s="406" t="s">
        <v>3300</v>
      </c>
      <c r="DI3255" s="406" t="str">
        <f t="shared" si="82"/>
        <v>PR, Cândido de Abreu</v>
      </c>
      <c r="DJ3255" s="406">
        <v>-24.567</v>
      </c>
      <c r="DK3255" s="80">
        <v>-51.332999999999998</v>
      </c>
      <c r="DL3255" s="80">
        <v>540</v>
      </c>
      <c r="DM3255" s="64">
        <v>2</v>
      </c>
      <c r="DN3255" s="406" t="s">
        <v>7813</v>
      </c>
      <c r="DO3255" s="406">
        <v>-24.44</v>
      </c>
      <c r="DP3255" s="80">
        <v>654</v>
      </c>
    </row>
    <row r="3256" spans="29:120" x14ac:dyDescent="0.25">
      <c r="AC3256" s="122" t="s">
        <v>376</v>
      </c>
      <c r="AD3256" s="122" t="s">
        <v>3572</v>
      </c>
      <c r="AE3256" s="127">
        <v>6</v>
      </c>
      <c r="DA3256" s="122" t="s">
        <v>311</v>
      </c>
      <c r="DB3256" s="122" t="s">
        <v>796</v>
      </c>
      <c r="DC3256" s="122" t="s">
        <v>796</v>
      </c>
      <c r="DD3256" s="127">
        <v>2</v>
      </c>
      <c r="DE3256" s="127">
        <v>2</v>
      </c>
      <c r="DG3256" s="405" t="s">
        <v>311</v>
      </c>
      <c r="DH3256" s="406" t="s">
        <v>796</v>
      </c>
      <c r="DI3256" s="406" t="str">
        <f t="shared" si="82"/>
        <v>PR, Candói</v>
      </c>
      <c r="DJ3256" s="406">
        <v>-25.663</v>
      </c>
      <c r="DK3256" s="80">
        <v>-52.125999999999998</v>
      </c>
      <c r="DL3256" s="80">
        <v>950</v>
      </c>
      <c r="DM3256" s="64">
        <v>2</v>
      </c>
      <c r="DN3256" s="406" t="s">
        <v>7856</v>
      </c>
      <c r="DO3256" s="406">
        <v>-26.42</v>
      </c>
      <c r="DP3256" s="80">
        <v>980</v>
      </c>
    </row>
    <row r="3257" spans="29:120" x14ac:dyDescent="0.25">
      <c r="AC3257" s="122" t="s">
        <v>376</v>
      </c>
      <c r="AD3257" s="122" t="s">
        <v>3573</v>
      </c>
      <c r="AE3257" s="127">
        <v>6</v>
      </c>
      <c r="DA3257" s="122" t="s">
        <v>311</v>
      </c>
      <c r="DB3257" s="122" t="s">
        <v>797</v>
      </c>
      <c r="DC3257" s="122" t="s">
        <v>797</v>
      </c>
      <c r="DD3257" s="127">
        <v>2</v>
      </c>
      <c r="DE3257" s="127">
        <v>2</v>
      </c>
      <c r="DG3257" s="405" t="s">
        <v>311</v>
      </c>
      <c r="DH3257" s="406" t="s">
        <v>797</v>
      </c>
      <c r="DI3257" s="406" t="str">
        <f t="shared" si="82"/>
        <v>PR, Cantagalo</v>
      </c>
      <c r="DJ3257" s="406">
        <v>-25.373999999999999</v>
      </c>
      <c r="DK3257" s="80">
        <v>-52.125999999999998</v>
      </c>
      <c r="DL3257" s="80">
        <v>840</v>
      </c>
      <c r="DM3257" s="64">
        <v>2</v>
      </c>
      <c r="DN3257" s="406" t="s">
        <v>7838</v>
      </c>
      <c r="DO3257" s="406">
        <v>-25.69</v>
      </c>
      <c r="DP3257" s="80">
        <v>520</v>
      </c>
    </row>
    <row r="3258" spans="29:120" x14ac:dyDescent="0.25">
      <c r="AC3258" s="122" t="s">
        <v>376</v>
      </c>
      <c r="AD3258" s="122" t="s">
        <v>3574</v>
      </c>
      <c r="AE3258" s="127">
        <v>6</v>
      </c>
      <c r="DA3258" s="122" t="s">
        <v>311</v>
      </c>
      <c r="DB3258" s="122" t="s">
        <v>3309</v>
      </c>
      <c r="DC3258" s="122" t="s">
        <v>3309</v>
      </c>
      <c r="DD3258" s="127">
        <v>2</v>
      </c>
      <c r="DE3258" s="127">
        <v>2</v>
      </c>
      <c r="DG3258" s="405" t="s">
        <v>311</v>
      </c>
      <c r="DH3258" s="406" t="s">
        <v>3309</v>
      </c>
      <c r="DI3258" s="406" t="str">
        <f t="shared" si="82"/>
        <v>PR, Capanema</v>
      </c>
      <c r="DJ3258" s="406">
        <v>-25.672000000000001</v>
      </c>
      <c r="DK3258" s="80">
        <v>-53.808999999999997</v>
      </c>
      <c r="DL3258" s="80">
        <v>368</v>
      </c>
      <c r="DM3258" s="64">
        <v>2</v>
      </c>
      <c r="DN3258" s="406" t="s">
        <v>7821</v>
      </c>
      <c r="DO3258" s="406">
        <v>-25.72</v>
      </c>
      <c r="DP3258" s="80">
        <v>346</v>
      </c>
    </row>
    <row r="3259" spans="29:120" x14ac:dyDescent="0.25">
      <c r="AC3259" s="122" t="s">
        <v>376</v>
      </c>
      <c r="AD3259" s="122" t="s">
        <v>3575</v>
      </c>
      <c r="AE3259" s="127">
        <v>6</v>
      </c>
      <c r="DA3259" s="122" t="s">
        <v>311</v>
      </c>
      <c r="DB3259" s="122" t="s">
        <v>7857</v>
      </c>
      <c r="DC3259" s="122" t="s">
        <v>3204</v>
      </c>
      <c r="DD3259" s="127">
        <v>2</v>
      </c>
      <c r="DE3259" s="127">
        <v>2</v>
      </c>
      <c r="DG3259" s="405" t="s">
        <v>311</v>
      </c>
      <c r="DH3259" s="406" t="s">
        <v>3204</v>
      </c>
      <c r="DI3259" s="406" t="str">
        <f t="shared" si="82"/>
        <v>PR, Capitão Leônidas Marques</v>
      </c>
      <c r="DJ3259" s="406">
        <v>-25.478999999999999</v>
      </c>
      <c r="DK3259" s="80">
        <v>-53.613999999999997</v>
      </c>
      <c r="DL3259" s="80">
        <v>250</v>
      </c>
      <c r="DM3259" s="64">
        <v>2</v>
      </c>
      <c r="DN3259" s="406" t="s">
        <v>7821</v>
      </c>
      <c r="DO3259" s="406">
        <v>-25.72</v>
      </c>
      <c r="DP3259" s="80">
        <v>346</v>
      </c>
    </row>
    <row r="3260" spans="29:120" x14ac:dyDescent="0.25">
      <c r="AC3260" s="122" t="s">
        <v>376</v>
      </c>
      <c r="AD3260" s="122" t="s">
        <v>3576</v>
      </c>
      <c r="AE3260" s="127">
        <v>6</v>
      </c>
      <c r="DA3260" s="122" t="s">
        <v>311</v>
      </c>
      <c r="DB3260" s="122" t="s">
        <v>847</v>
      </c>
      <c r="DC3260" s="122" t="s">
        <v>847</v>
      </c>
      <c r="DD3260" s="127">
        <v>2</v>
      </c>
      <c r="DE3260" s="127">
        <v>2</v>
      </c>
      <c r="DG3260" s="405" t="s">
        <v>311</v>
      </c>
      <c r="DH3260" s="406" t="s">
        <v>847</v>
      </c>
      <c r="DI3260" s="406" t="str">
        <f t="shared" si="82"/>
        <v>PR, Carambeí</v>
      </c>
      <c r="DJ3260" s="406">
        <v>-24.917999999999999</v>
      </c>
      <c r="DK3260" s="80">
        <v>-50.097000000000001</v>
      </c>
      <c r="DL3260" s="80">
        <v>120</v>
      </c>
      <c r="DM3260" s="64">
        <v>2</v>
      </c>
      <c r="DN3260" s="406" t="s">
        <v>7858</v>
      </c>
      <c r="DO3260" s="406">
        <v>-24.79</v>
      </c>
      <c r="DP3260" s="80">
        <v>1008</v>
      </c>
    </row>
    <row r="3261" spans="29:120" x14ac:dyDescent="0.25">
      <c r="AC3261" s="122" t="s">
        <v>376</v>
      </c>
      <c r="AD3261" s="122" t="s">
        <v>3577</v>
      </c>
      <c r="AE3261" s="127">
        <v>6</v>
      </c>
      <c r="DA3261" s="122" t="s">
        <v>311</v>
      </c>
      <c r="DB3261" s="122" t="s">
        <v>999</v>
      </c>
      <c r="DC3261" s="122" t="s">
        <v>999</v>
      </c>
      <c r="DD3261" s="127">
        <v>3</v>
      </c>
      <c r="DE3261" s="127">
        <v>3</v>
      </c>
      <c r="DG3261" s="405" t="s">
        <v>311</v>
      </c>
      <c r="DH3261" s="406" t="s">
        <v>999</v>
      </c>
      <c r="DI3261" s="406" t="str">
        <f t="shared" si="82"/>
        <v>PR, Carlópolis</v>
      </c>
      <c r="DJ3261" s="406">
        <v>-23.425000000000001</v>
      </c>
      <c r="DK3261" s="80">
        <v>-49.720999999999997</v>
      </c>
      <c r="DL3261" s="80">
        <v>521</v>
      </c>
      <c r="DM3261" s="64">
        <v>3</v>
      </c>
      <c r="DN3261" s="406" t="s">
        <v>7859</v>
      </c>
      <c r="DO3261" s="406">
        <v>-23.5</v>
      </c>
      <c r="DP3261" s="80">
        <v>522</v>
      </c>
    </row>
    <row r="3262" spans="29:120" x14ac:dyDescent="0.25">
      <c r="AC3262" s="122" t="s">
        <v>376</v>
      </c>
      <c r="AD3262" s="122" t="s">
        <v>3578</v>
      </c>
      <c r="AE3262" s="127">
        <v>6</v>
      </c>
      <c r="DA3262" s="122" t="s">
        <v>311</v>
      </c>
      <c r="DB3262" s="122" t="s">
        <v>435</v>
      </c>
      <c r="DC3262" s="122" t="s">
        <v>435</v>
      </c>
      <c r="DD3262" s="127">
        <v>2</v>
      </c>
      <c r="DE3262" s="127">
        <v>2</v>
      </c>
      <c r="DG3262" s="405" t="s">
        <v>311</v>
      </c>
      <c r="DH3262" s="406" t="s">
        <v>435</v>
      </c>
      <c r="DI3262" s="406" t="str">
        <f t="shared" si="82"/>
        <v>PR, Cascavel</v>
      </c>
      <c r="DJ3262" s="406">
        <v>-24.956</v>
      </c>
      <c r="DK3262" s="80">
        <v>-53.454999999999998</v>
      </c>
      <c r="DL3262" s="80">
        <v>781</v>
      </c>
      <c r="DM3262" s="64">
        <v>2</v>
      </c>
      <c r="DN3262" s="406" t="s">
        <v>7284</v>
      </c>
      <c r="DO3262" s="406">
        <v>-24.56</v>
      </c>
      <c r="DP3262" s="80">
        <v>392</v>
      </c>
    </row>
    <row r="3263" spans="29:120" x14ac:dyDescent="0.25">
      <c r="AC3263" s="122" t="s">
        <v>376</v>
      </c>
      <c r="AD3263" s="122" t="s">
        <v>3579</v>
      </c>
      <c r="AE3263" s="127">
        <v>6</v>
      </c>
      <c r="DA3263" s="122" t="s">
        <v>311</v>
      </c>
      <c r="DB3263" s="122" t="s">
        <v>710</v>
      </c>
      <c r="DC3263" s="122" t="s">
        <v>710</v>
      </c>
      <c r="DD3263" s="127">
        <v>1</v>
      </c>
      <c r="DE3263" s="127">
        <v>1</v>
      </c>
      <c r="DG3263" s="405" t="s">
        <v>311</v>
      </c>
      <c r="DH3263" s="406" t="s">
        <v>710</v>
      </c>
      <c r="DI3263" s="406" t="str">
        <f t="shared" si="82"/>
        <v>PR, Castro</v>
      </c>
      <c r="DJ3263" s="406">
        <v>-24.791</v>
      </c>
      <c r="DK3263" s="80">
        <v>-50.012</v>
      </c>
      <c r="DL3263" s="80">
        <v>999</v>
      </c>
      <c r="DM3263" s="64">
        <v>1</v>
      </c>
      <c r="DN3263" s="406" t="s">
        <v>7858</v>
      </c>
      <c r="DO3263" s="406">
        <v>-24.79</v>
      </c>
      <c r="DP3263" s="80">
        <v>1008</v>
      </c>
    </row>
    <row r="3264" spans="29:120" x14ac:dyDescent="0.25">
      <c r="AC3264" s="122" t="s">
        <v>376</v>
      </c>
      <c r="AD3264" s="122" t="s">
        <v>3580</v>
      </c>
      <c r="AE3264" s="127">
        <v>3</v>
      </c>
      <c r="DA3264" s="122" t="s">
        <v>311</v>
      </c>
      <c r="DB3264" s="122" t="s">
        <v>434</v>
      </c>
      <c r="DC3264" s="122" t="s">
        <v>434</v>
      </c>
      <c r="DD3264" s="127">
        <v>2</v>
      </c>
      <c r="DE3264" s="127">
        <v>2</v>
      </c>
      <c r="DG3264" s="405" t="s">
        <v>311</v>
      </c>
      <c r="DH3264" s="406" t="s">
        <v>434</v>
      </c>
      <c r="DI3264" s="406" t="str">
        <f t="shared" si="82"/>
        <v>PR, Catanduvas</v>
      </c>
      <c r="DJ3264" s="406">
        <v>-25.202999999999999</v>
      </c>
      <c r="DK3264" s="80">
        <v>-53.156999999999996</v>
      </c>
      <c r="DL3264" s="80">
        <v>762</v>
      </c>
      <c r="DM3264" s="64">
        <v>2</v>
      </c>
      <c r="DN3264" s="406" t="s">
        <v>7838</v>
      </c>
      <c r="DO3264" s="406">
        <v>-25.69</v>
      </c>
      <c r="DP3264" s="80">
        <v>520</v>
      </c>
    </row>
    <row r="3265" spans="29:120" x14ac:dyDescent="0.25">
      <c r="AC3265" s="122" t="s">
        <v>376</v>
      </c>
      <c r="AD3265" s="122" t="s">
        <v>3581</v>
      </c>
      <c r="AE3265" s="127">
        <v>6</v>
      </c>
      <c r="DA3265" s="122" t="s">
        <v>311</v>
      </c>
      <c r="DB3265" s="122" t="s">
        <v>7860</v>
      </c>
      <c r="DC3265" s="122" t="s">
        <v>3672</v>
      </c>
      <c r="DD3265" s="127">
        <v>3</v>
      </c>
      <c r="DE3265" s="127">
        <v>3</v>
      </c>
      <c r="DG3265" s="405" t="s">
        <v>311</v>
      </c>
      <c r="DH3265" s="406" t="s">
        <v>3672</v>
      </c>
      <c r="DI3265" s="406" t="str">
        <f t="shared" si="82"/>
        <v>PR, Centenário do Sul</v>
      </c>
      <c r="DJ3265" s="406">
        <v>-22.821000000000002</v>
      </c>
      <c r="DK3265" s="80">
        <v>-51.594999999999999</v>
      </c>
      <c r="DL3265" s="80">
        <v>560</v>
      </c>
      <c r="DM3265" s="64">
        <v>3</v>
      </c>
      <c r="DN3265" s="406" t="s">
        <v>7264</v>
      </c>
      <c r="DO3265" s="406">
        <v>-22.49</v>
      </c>
      <c r="DP3265" s="80">
        <v>311</v>
      </c>
    </row>
    <row r="3266" spans="29:120" x14ac:dyDescent="0.25">
      <c r="AC3266" s="122" t="s">
        <v>376</v>
      </c>
      <c r="AD3266" s="122" t="s">
        <v>3582</v>
      </c>
      <c r="AE3266" s="127">
        <v>4</v>
      </c>
      <c r="DA3266" s="122" t="s">
        <v>311</v>
      </c>
      <c r="DB3266" s="122" t="s">
        <v>7861</v>
      </c>
      <c r="DC3266" s="122" t="s">
        <v>3288</v>
      </c>
      <c r="DD3266" s="127">
        <v>1</v>
      </c>
      <c r="DE3266" s="127">
        <v>1</v>
      </c>
      <c r="DG3266" s="405" t="s">
        <v>311</v>
      </c>
      <c r="DH3266" s="406" t="s">
        <v>3288</v>
      </c>
      <c r="DI3266" s="406" t="str">
        <f t="shared" si="82"/>
        <v>PR, Cerro Azul</v>
      </c>
      <c r="DJ3266" s="406">
        <v>-24.824000000000002</v>
      </c>
      <c r="DK3266" s="80">
        <v>-49.261000000000003</v>
      </c>
      <c r="DL3266" s="80">
        <v>318</v>
      </c>
      <c r="DM3266" s="64">
        <v>1</v>
      </c>
      <c r="DN3266" s="406" t="s">
        <v>7811</v>
      </c>
      <c r="DO3266" s="406">
        <v>-25.43</v>
      </c>
      <c r="DP3266" s="80">
        <v>924</v>
      </c>
    </row>
    <row r="3267" spans="29:120" x14ac:dyDescent="0.25">
      <c r="AC3267" s="122" t="s">
        <v>376</v>
      </c>
      <c r="AD3267" s="122" t="s">
        <v>3583</v>
      </c>
      <c r="AE3267" s="127">
        <v>4</v>
      </c>
      <c r="DA3267" s="122" t="s">
        <v>311</v>
      </c>
      <c r="DB3267" s="122" t="s">
        <v>7862</v>
      </c>
      <c r="DC3267" s="122" t="s">
        <v>818</v>
      </c>
      <c r="DD3267" s="127">
        <v>2</v>
      </c>
      <c r="DE3267" s="127">
        <v>2</v>
      </c>
      <c r="DG3267" s="405" t="s">
        <v>311</v>
      </c>
      <c r="DH3267" s="406" t="s">
        <v>818</v>
      </c>
      <c r="DI3267" s="406" t="str">
        <f t="shared" ref="DI3267:DI3330" si="83">CONCATENATE(DG3267,", ",DH3267)</f>
        <v>PR, Céu Azul</v>
      </c>
      <c r="DJ3267" s="406">
        <v>-25.146999999999998</v>
      </c>
      <c r="DK3267" s="80">
        <v>-53.848999999999997</v>
      </c>
      <c r="DL3267" s="80">
        <v>620</v>
      </c>
      <c r="DM3267" s="64">
        <v>2</v>
      </c>
      <c r="DN3267" s="406" t="s">
        <v>7821</v>
      </c>
      <c r="DO3267" s="406">
        <v>-25.72</v>
      </c>
      <c r="DP3267" s="80">
        <v>346</v>
      </c>
    </row>
    <row r="3268" spans="29:120" x14ac:dyDescent="0.25">
      <c r="AC3268" s="122" t="s">
        <v>236</v>
      </c>
      <c r="AD3268" s="122" t="s">
        <v>3584</v>
      </c>
      <c r="AE3268" s="127">
        <v>2</v>
      </c>
      <c r="DA3268" s="122" t="s">
        <v>311</v>
      </c>
      <c r="DB3268" s="122" t="s">
        <v>774</v>
      </c>
      <c r="DC3268" s="122" t="s">
        <v>774</v>
      </c>
      <c r="DD3268" s="127">
        <v>2</v>
      </c>
      <c r="DE3268" s="127">
        <v>2</v>
      </c>
      <c r="DG3268" s="405" t="s">
        <v>311</v>
      </c>
      <c r="DH3268" s="406" t="s">
        <v>774</v>
      </c>
      <c r="DI3268" s="406" t="str">
        <f t="shared" si="83"/>
        <v>PR, Chopinzinho</v>
      </c>
      <c r="DJ3268" s="406">
        <v>-25.856000000000002</v>
      </c>
      <c r="DK3268" s="80">
        <v>-52.523000000000003</v>
      </c>
      <c r="DL3268" s="80">
        <v>720</v>
      </c>
      <c r="DM3268" s="64">
        <v>2</v>
      </c>
      <c r="DN3268" s="406" t="s">
        <v>7838</v>
      </c>
      <c r="DO3268" s="406">
        <v>-25.69</v>
      </c>
      <c r="DP3268" s="80">
        <v>520</v>
      </c>
    </row>
    <row r="3269" spans="29:120" x14ac:dyDescent="0.25">
      <c r="AC3269" s="122" t="s">
        <v>311</v>
      </c>
      <c r="AD3269" s="122" t="s">
        <v>3585</v>
      </c>
      <c r="AE3269" s="127">
        <v>3</v>
      </c>
      <c r="DA3269" s="122" t="s">
        <v>311</v>
      </c>
      <c r="DB3269" s="122" t="s">
        <v>804</v>
      </c>
      <c r="DC3269" s="122" t="s">
        <v>804</v>
      </c>
      <c r="DD3269" s="127">
        <v>3</v>
      </c>
      <c r="DE3269" s="127">
        <v>3</v>
      </c>
      <c r="DG3269" s="405" t="s">
        <v>311</v>
      </c>
      <c r="DH3269" s="406" t="s">
        <v>804</v>
      </c>
      <c r="DI3269" s="406" t="str">
        <f t="shared" si="83"/>
        <v>PR, Cianorte</v>
      </c>
      <c r="DJ3269" s="406">
        <v>-23.663</v>
      </c>
      <c r="DK3269" s="80">
        <v>-52.604999999999997</v>
      </c>
      <c r="DL3269" s="80">
        <v>543</v>
      </c>
      <c r="DM3269" s="64">
        <v>3</v>
      </c>
      <c r="DN3269" s="406" t="s">
        <v>7820</v>
      </c>
      <c r="DO3269" s="406">
        <v>-23.36</v>
      </c>
      <c r="DP3269" s="80">
        <v>381</v>
      </c>
    </row>
    <row r="3270" spans="29:120" x14ac:dyDescent="0.25">
      <c r="AC3270" s="122" t="s">
        <v>311</v>
      </c>
      <c r="AD3270" s="122" t="s">
        <v>3586</v>
      </c>
      <c r="AE3270" s="127">
        <v>3</v>
      </c>
      <c r="DA3270" s="122" t="s">
        <v>311</v>
      </c>
      <c r="DB3270" s="122" t="s">
        <v>7863</v>
      </c>
      <c r="DC3270" s="122" t="s">
        <v>3248</v>
      </c>
      <c r="DD3270" s="127">
        <v>3</v>
      </c>
      <c r="DE3270" s="127">
        <v>3</v>
      </c>
      <c r="DG3270" s="405" t="s">
        <v>311</v>
      </c>
      <c r="DH3270" s="406" t="s">
        <v>3248</v>
      </c>
      <c r="DI3270" s="406" t="str">
        <f t="shared" si="83"/>
        <v>PR, Cidade Gaúcha</v>
      </c>
      <c r="DJ3270" s="406">
        <v>-23.38</v>
      </c>
      <c r="DK3270" s="80">
        <v>-52.945</v>
      </c>
      <c r="DL3270" s="80">
        <v>404</v>
      </c>
      <c r="DM3270" s="64">
        <v>3</v>
      </c>
      <c r="DN3270" s="406" t="s">
        <v>7820</v>
      </c>
      <c r="DO3270" s="406">
        <v>-23.36</v>
      </c>
      <c r="DP3270" s="80">
        <v>381</v>
      </c>
    </row>
    <row r="3271" spans="29:120" x14ac:dyDescent="0.25">
      <c r="AC3271" s="122" t="s">
        <v>311</v>
      </c>
      <c r="AD3271" s="122" t="s">
        <v>3587</v>
      </c>
      <c r="AE3271" s="127">
        <v>3</v>
      </c>
      <c r="DA3271" s="122" t="s">
        <v>311</v>
      </c>
      <c r="DB3271" s="122" t="s">
        <v>1551</v>
      </c>
      <c r="DC3271" s="122" t="s">
        <v>1551</v>
      </c>
      <c r="DD3271" s="127">
        <v>1</v>
      </c>
      <c r="DE3271" s="127">
        <v>1</v>
      </c>
      <c r="DG3271" s="405" t="s">
        <v>311</v>
      </c>
      <c r="DH3271" s="406" t="s">
        <v>1551</v>
      </c>
      <c r="DI3271" s="406" t="str">
        <f t="shared" si="83"/>
        <v>PR, Clevelândia</v>
      </c>
      <c r="DJ3271" s="406">
        <v>-26.396000000000001</v>
      </c>
      <c r="DK3271" s="80">
        <v>-52.470999999999997</v>
      </c>
      <c r="DL3271" s="80">
        <v>967</v>
      </c>
      <c r="DM3271" s="64">
        <v>1</v>
      </c>
      <c r="DN3271" s="406" t="s">
        <v>7856</v>
      </c>
      <c r="DO3271" s="406">
        <v>-26.42</v>
      </c>
      <c r="DP3271" s="80">
        <v>980</v>
      </c>
    </row>
    <row r="3272" spans="29:120" x14ac:dyDescent="0.25">
      <c r="AC3272" s="122" t="s">
        <v>317</v>
      </c>
      <c r="AD3272" s="122" t="s">
        <v>3588</v>
      </c>
      <c r="AE3272" s="127">
        <v>8</v>
      </c>
      <c r="DA3272" s="122" t="s">
        <v>311</v>
      </c>
      <c r="DB3272" s="122" t="s">
        <v>423</v>
      </c>
      <c r="DC3272" s="122" t="s">
        <v>423</v>
      </c>
      <c r="DD3272" s="127">
        <v>1</v>
      </c>
      <c r="DE3272" s="127">
        <v>1</v>
      </c>
      <c r="DG3272" s="405" t="s">
        <v>311</v>
      </c>
      <c r="DH3272" s="406" t="s">
        <v>423</v>
      </c>
      <c r="DI3272" s="406" t="str">
        <f t="shared" si="83"/>
        <v>PR, Colombo</v>
      </c>
      <c r="DJ3272" s="406">
        <v>-25.292000000000002</v>
      </c>
      <c r="DK3272" s="80">
        <v>-49.223999999999997</v>
      </c>
      <c r="DL3272" s="80">
        <v>1027</v>
      </c>
      <c r="DM3272" s="64">
        <v>1</v>
      </c>
      <c r="DN3272" s="406" t="s">
        <v>7811</v>
      </c>
      <c r="DO3272" s="406">
        <v>-25.43</v>
      </c>
      <c r="DP3272" s="80">
        <v>924</v>
      </c>
    </row>
    <row r="3273" spans="29:120" x14ac:dyDescent="0.25">
      <c r="AC3273" s="122" t="s">
        <v>311</v>
      </c>
      <c r="AD3273" s="122" t="s">
        <v>3589</v>
      </c>
      <c r="AE3273" s="127">
        <v>3</v>
      </c>
      <c r="DA3273" s="122" t="s">
        <v>311</v>
      </c>
      <c r="DB3273" s="122" t="s">
        <v>1581</v>
      </c>
      <c r="DC3273" s="122" t="s">
        <v>1581</v>
      </c>
      <c r="DD3273" s="127">
        <v>4</v>
      </c>
      <c r="DE3273" s="127">
        <v>4</v>
      </c>
      <c r="DG3273" s="405" t="s">
        <v>311</v>
      </c>
      <c r="DH3273" s="406" t="s">
        <v>1581</v>
      </c>
      <c r="DI3273" s="406" t="str">
        <f t="shared" si="83"/>
        <v>PR, Colorado</v>
      </c>
      <c r="DJ3273" s="406">
        <v>-22.838000000000001</v>
      </c>
      <c r="DK3273" s="80">
        <v>-51.972999999999999</v>
      </c>
      <c r="DL3273" s="80">
        <v>400</v>
      </c>
      <c r="DM3273" s="64">
        <v>4</v>
      </c>
      <c r="DN3273" s="406" t="s">
        <v>7264</v>
      </c>
      <c r="DO3273" s="406">
        <v>-22.49</v>
      </c>
      <c r="DP3273" s="80">
        <v>311</v>
      </c>
    </row>
    <row r="3274" spans="29:120" x14ac:dyDescent="0.25">
      <c r="AC3274" s="122" t="s">
        <v>236</v>
      </c>
      <c r="AD3274" s="122" t="s">
        <v>3590</v>
      </c>
      <c r="AE3274" s="127">
        <v>3</v>
      </c>
      <c r="DA3274" s="122" t="s">
        <v>311</v>
      </c>
      <c r="DB3274" s="122" t="s">
        <v>2147</v>
      </c>
      <c r="DC3274" s="122" t="s">
        <v>2147</v>
      </c>
      <c r="DD3274" s="127">
        <v>2</v>
      </c>
      <c r="DE3274" s="127">
        <v>2</v>
      </c>
      <c r="DG3274" s="405" t="s">
        <v>311</v>
      </c>
      <c r="DH3274" s="406" t="s">
        <v>2147</v>
      </c>
      <c r="DI3274" s="406" t="str">
        <f t="shared" si="83"/>
        <v>PR, Congonhinhas</v>
      </c>
      <c r="DJ3274" s="406">
        <v>-23.550999999999998</v>
      </c>
      <c r="DK3274" s="80">
        <v>-50.554000000000002</v>
      </c>
      <c r="DL3274" s="80">
        <v>753</v>
      </c>
      <c r="DM3274" s="64">
        <v>2</v>
      </c>
      <c r="DN3274" s="406" t="s">
        <v>7806</v>
      </c>
      <c r="DO3274" s="406">
        <v>-23.43</v>
      </c>
      <c r="DP3274" s="80">
        <v>668</v>
      </c>
    </row>
    <row r="3275" spans="29:120" x14ac:dyDescent="0.25">
      <c r="AC3275" s="122" t="s">
        <v>311</v>
      </c>
      <c r="AD3275" s="122" t="s">
        <v>3591</v>
      </c>
      <c r="AE3275" s="127">
        <v>3</v>
      </c>
      <c r="DA3275" s="122" t="s">
        <v>311</v>
      </c>
      <c r="DB3275" s="122" t="s">
        <v>7864</v>
      </c>
      <c r="DC3275" s="122" t="s">
        <v>3306</v>
      </c>
      <c r="DD3275" s="127">
        <v>2</v>
      </c>
      <c r="DE3275" s="127">
        <v>2</v>
      </c>
      <c r="DG3275" s="405" t="s">
        <v>311</v>
      </c>
      <c r="DH3275" s="406" t="s">
        <v>3306</v>
      </c>
      <c r="DI3275" s="406" t="str">
        <f t="shared" si="83"/>
        <v>PR, Conselheiro Mairinck</v>
      </c>
      <c r="DJ3275" s="406">
        <v>-23.63</v>
      </c>
      <c r="DK3275" s="80">
        <v>-50.168999999999997</v>
      </c>
      <c r="DL3275" s="80">
        <v>520</v>
      </c>
      <c r="DM3275" s="64">
        <v>2</v>
      </c>
      <c r="DN3275" s="406" t="s">
        <v>7827</v>
      </c>
      <c r="DO3275" s="406">
        <v>-23.77</v>
      </c>
      <c r="DP3275" s="80">
        <v>930</v>
      </c>
    </row>
    <row r="3276" spans="29:120" x14ac:dyDescent="0.25">
      <c r="AC3276" s="122" t="s">
        <v>311</v>
      </c>
      <c r="AD3276" s="122" t="s">
        <v>3592</v>
      </c>
      <c r="AE3276" s="127">
        <v>3</v>
      </c>
      <c r="DA3276" s="122" t="s">
        <v>311</v>
      </c>
      <c r="DB3276" s="122" t="s">
        <v>461</v>
      </c>
      <c r="DC3276" s="122" t="s">
        <v>461</v>
      </c>
      <c r="DD3276" s="127">
        <v>1</v>
      </c>
      <c r="DE3276" s="127">
        <v>1</v>
      </c>
      <c r="DG3276" s="405" t="s">
        <v>311</v>
      </c>
      <c r="DH3276" s="406" t="s">
        <v>461</v>
      </c>
      <c r="DI3276" s="406" t="str">
        <f t="shared" si="83"/>
        <v>PR, Contenda</v>
      </c>
      <c r="DJ3276" s="406">
        <v>-25.675999999999998</v>
      </c>
      <c r="DK3276" s="80">
        <v>-49.534999999999997</v>
      </c>
      <c r="DL3276" s="80">
        <v>883</v>
      </c>
      <c r="DM3276" s="64">
        <v>1</v>
      </c>
      <c r="DN3276" s="406" t="s">
        <v>7811</v>
      </c>
      <c r="DO3276" s="406">
        <v>-25.43</v>
      </c>
      <c r="DP3276" s="80">
        <v>924</v>
      </c>
    </row>
    <row r="3277" spans="29:120" x14ac:dyDescent="0.25">
      <c r="AC3277" s="122" t="s">
        <v>311</v>
      </c>
      <c r="AD3277" s="122" t="s">
        <v>3593</v>
      </c>
      <c r="AE3277" s="127">
        <v>3</v>
      </c>
      <c r="DA3277" s="122" t="s">
        <v>311</v>
      </c>
      <c r="DB3277" s="122" t="s">
        <v>463</v>
      </c>
      <c r="DC3277" s="122" t="s">
        <v>463</v>
      </c>
      <c r="DD3277" s="127">
        <v>3</v>
      </c>
      <c r="DE3277" s="127">
        <v>3</v>
      </c>
      <c r="DG3277" s="405" t="s">
        <v>311</v>
      </c>
      <c r="DH3277" s="406" t="s">
        <v>463</v>
      </c>
      <c r="DI3277" s="406" t="str">
        <f t="shared" si="83"/>
        <v>PR, Corbélia</v>
      </c>
      <c r="DJ3277" s="406">
        <v>-24.798999999999999</v>
      </c>
      <c r="DK3277" s="80">
        <v>-53.307000000000002</v>
      </c>
      <c r="DL3277" s="80">
        <v>895</v>
      </c>
      <c r="DM3277" s="64">
        <v>3</v>
      </c>
      <c r="DN3277" s="406" t="s">
        <v>7284</v>
      </c>
      <c r="DO3277" s="406">
        <v>-24.56</v>
      </c>
      <c r="DP3277" s="80">
        <v>392</v>
      </c>
    </row>
    <row r="3278" spans="29:120" x14ac:dyDescent="0.25">
      <c r="AC3278" s="122" t="s">
        <v>311</v>
      </c>
      <c r="AD3278" s="122" t="s">
        <v>3594</v>
      </c>
      <c r="AE3278" s="127">
        <v>3</v>
      </c>
      <c r="DA3278" s="122" t="s">
        <v>311</v>
      </c>
      <c r="DB3278" s="122" t="s">
        <v>7865</v>
      </c>
      <c r="DC3278" s="122" t="s">
        <v>3272</v>
      </c>
      <c r="DD3278" s="127">
        <v>3</v>
      </c>
      <c r="DE3278" s="127">
        <v>3</v>
      </c>
      <c r="DG3278" s="405" t="s">
        <v>311</v>
      </c>
      <c r="DH3278" s="406" t="s">
        <v>3272</v>
      </c>
      <c r="DI3278" s="406" t="str">
        <f t="shared" si="83"/>
        <v>PR, Cornélio Procópio</v>
      </c>
      <c r="DJ3278" s="406">
        <v>-23.181000000000001</v>
      </c>
      <c r="DK3278" s="80">
        <v>-50.646999999999998</v>
      </c>
      <c r="DL3278" s="80">
        <v>676</v>
      </c>
      <c r="DM3278" s="64">
        <v>3</v>
      </c>
      <c r="DN3278" s="406" t="s">
        <v>7806</v>
      </c>
      <c r="DO3278" s="406">
        <v>-23.43</v>
      </c>
      <c r="DP3278" s="80">
        <v>668</v>
      </c>
    </row>
    <row r="3279" spans="29:120" x14ac:dyDescent="0.25">
      <c r="AC3279" s="122" t="s">
        <v>311</v>
      </c>
      <c r="AD3279" s="122" t="s">
        <v>3595</v>
      </c>
      <c r="AE3279" s="127">
        <v>3</v>
      </c>
      <c r="DA3279" s="122" t="s">
        <v>311</v>
      </c>
      <c r="DB3279" s="122" t="s">
        <v>7866</v>
      </c>
      <c r="DC3279" s="122" t="s">
        <v>749</v>
      </c>
      <c r="DD3279" s="127">
        <v>1</v>
      </c>
      <c r="DE3279" s="127">
        <v>1</v>
      </c>
      <c r="DG3279" s="405" t="s">
        <v>311</v>
      </c>
      <c r="DH3279" s="406" t="s">
        <v>749</v>
      </c>
      <c r="DI3279" s="406" t="str">
        <f t="shared" si="83"/>
        <v>PR, Coronel Domingos Soares</v>
      </c>
      <c r="DJ3279" s="406">
        <v>-26.228000000000002</v>
      </c>
      <c r="DK3279" s="80">
        <v>-52.031999999999996</v>
      </c>
      <c r="DL3279" s="80">
        <v>1113</v>
      </c>
      <c r="DM3279" s="64">
        <v>1</v>
      </c>
      <c r="DN3279" s="406" t="s">
        <v>7856</v>
      </c>
      <c r="DO3279" s="406">
        <v>-26.42</v>
      </c>
      <c r="DP3279" s="80">
        <v>980</v>
      </c>
    </row>
    <row r="3280" spans="29:120" x14ac:dyDescent="0.25">
      <c r="AC3280" s="122" t="s">
        <v>311</v>
      </c>
      <c r="AD3280" s="122" t="s">
        <v>3596</v>
      </c>
      <c r="AE3280" s="127">
        <v>3</v>
      </c>
      <c r="DA3280" s="122" t="s">
        <v>311</v>
      </c>
      <c r="DB3280" s="122" t="s">
        <v>7867</v>
      </c>
      <c r="DC3280" s="122" t="s">
        <v>786</v>
      </c>
      <c r="DD3280" s="127">
        <v>2</v>
      </c>
      <c r="DE3280" s="127">
        <v>2</v>
      </c>
      <c r="DG3280" s="405" t="s">
        <v>311</v>
      </c>
      <c r="DH3280" s="406" t="s">
        <v>786</v>
      </c>
      <c r="DI3280" s="406" t="str">
        <f t="shared" si="83"/>
        <v>PR, Coronel Vivida</v>
      </c>
      <c r="DJ3280" s="406">
        <v>-25.98</v>
      </c>
      <c r="DK3280" s="80">
        <v>-52.567999999999998</v>
      </c>
      <c r="DL3280" s="80">
        <v>700</v>
      </c>
      <c r="DM3280" s="64">
        <v>2</v>
      </c>
      <c r="DN3280" s="406" t="s">
        <v>7856</v>
      </c>
      <c r="DO3280" s="406">
        <v>-26.42</v>
      </c>
      <c r="DP3280" s="80">
        <v>980</v>
      </c>
    </row>
    <row r="3281" spans="29:120" x14ac:dyDescent="0.25">
      <c r="AC3281" s="122" t="s">
        <v>236</v>
      </c>
      <c r="AD3281" s="122" t="s">
        <v>3597</v>
      </c>
      <c r="AE3281" s="127">
        <v>2</v>
      </c>
      <c r="DA3281" s="122" t="s">
        <v>311</v>
      </c>
      <c r="DB3281" s="122" t="s">
        <v>7868</v>
      </c>
      <c r="DC3281" s="122" t="s">
        <v>3171</v>
      </c>
      <c r="DD3281" s="127">
        <v>3</v>
      </c>
      <c r="DE3281" s="127">
        <v>3</v>
      </c>
      <c r="DG3281" s="405" t="s">
        <v>311</v>
      </c>
      <c r="DH3281" s="406" t="s">
        <v>3171</v>
      </c>
      <c r="DI3281" s="406" t="str">
        <f t="shared" si="83"/>
        <v>PR, Corumbataí do Sul</v>
      </c>
      <c r="DJ3281" s="406">
        <v>-24.100999999999999</v>
      </c>
      <c r="DK3281" s="80">
        <v>-52.12</v>
      </c>
      <c r="DL3281" s="80">
        <v>601</v>
      </c>
      <c r="DM3281" s="64">
        <v>3</v>
      </c>
      <c r="DN3281" s="406" t="s">
        <v>7813</v>
      </c>
      <c r="DO3281" s="406">
        <v>-24.44</v>
      </c>
      <c r="DP3281" s="80">
        <v>654</v>
      </c>
    </row>
    <row r="3282" spans="29:120" x14ac:dyDescent="0.25">
      <c r="AC3282" s="122" t="s">
        <v>311</v>
      </c>
      <c r="AD3282" s="122" t="s">
        <v>3598</v>
      </c>
      <c r="AE3282" s="127">
        <v>3</v>
      </c>
      <c r="DA3282" s="122" t="s">
        <v>311</v>
      </c>
      <c r="DB3282" s="122" t="s">
        <v>7869</v>
      </c>
      <c r="DC3282" s="122" t="s">
        <v>469</v>
      </c>
      <c r="DD3282" s="127">
        <v>2</v>
      </c>
      <c r="DE3282" s="127">
        <v>2</v>
      </c>
      <c r="DG3282" s="405" t="s">
        <v>311</v>
      </c>
      <c r="DH3282" s="406" t="s">
        <v>469</v>
      </c>
      <c r="DI3282" s="406" t="str">
        <f t="shared" si="83"/>
        <v>PR, Cruz Machado</v>
      </c>
      <c r="DJ3282" s="406">
        <v>-26.016999999999999</v>
      </c>
      <c r="DK3282" s="80">
        <v>-51.347000000000001</v>
      </c>
      <c r="DL3282" s="80">
        <v>940</v>
      </c>
      <c r="DM3282" s="64">
        <v>2</v>
      </c>
      <c r="DN3282" s="406" t="s">
        <v>7836</v>
      </c>
      <c r="DO3282" s="406">
        <v>-26.4</v>
      </c>
      <c r="DP3282" s="80">
        <v>1018</v>
      </c>
    </row>
    <row r="3283" spans="29:120" x14ac:dyDescent="0.25">
      <c r="AC3283" s="122" t="s">
        <v>236</v>
      </c>
      <c r="AD3283" s="122" t="s">
        <v>3599</v>
      </c>
      <c r="AE3283" s="127">
        <v>2</v>
      </c>
      <c r="DA3283" s="122" t="s">
        <v>311</v>
      </c>
      <c r="DB3283" s="122" t="s">
        <v>7870</v>
      </c>
      <c r="DC3283" s="122" t="s">
        <v>1716</v>
      </c>
      <c r="DD3283" s="127">
        <v>2</v>
      </c>
      <c r="DE3283" s="127">
        <v>2</v>
      </c>
      <c r="DG3283" s="405" t="s">
        <v>311</v>
      </c>
      <c r="DH3283" s="406" t="s">
        <v>1716</v>
      </c>
      <c r="DI3283" s="406" t="str">
        <f t="shared" si="83"/>
        <v>PR, Cruzeiro do Iguaçu</v>
      </c>
      <c r="DJ3283" s="406">
        <v>-25.616</v>
      </c>
      <c r="DK3283" s="80">
        <v>-53.128</v>
      </c>
      <c r="DL3283" s="80">
        <v>535</v>
      </c>
      <c r="DM3283" s="64">
        <v>2</v>
      </c>
      <c r="DN3283" s="406" t="s">
        <v>7838</v>
      </c>
      <c r="DO3283" s="406">
        <v>-25.69</v>
      </c>
      <c r="DP3283" s="80">
        <v>520</v>
      </c>
    </row>
    <row r="3284" spans="29:120" x14ac:dyDescent="0.25">
      <c r="AC3284" s="122" t="s">
        <v>311</v>
      </c>
      <c r="AD3284" s="122" t="s">
        <v>3600</v>
      </c>
      <c r="AE3284" s="127">
        <v>3</v>
      </c>
      <c r="DA3284" s="122" t="s">
        <v>311</v>
      </c>
      <c r="DB3284" s="122" t="s">
        <v>7871</v>
      </c>
      <c r="DC3284" s="122" t="s">
        <v>3196</v>
      </c>
      <c r="DD3284" s="127">
        <v>3</v>
      </c>
      <c r="DE3284" s="127">
        <v>3</v>
      </c>
      <c r="DG3284" s="405" t="s">
        <v>311</v>
      </c>
      <c r="DH3284" s="406" t="s">
        <v>3196</v>
      </c>
      <c r="DI3284" s="406" t="str">
        <f t="shared" si="83"/>
        <v>PR, Cruzeiro do Oeste</v>
      </c>
      <c r="DJ3284" s="406">
        <v>-23.785</v>
      </c>
      <c r="DK3284" s="80">
        <v>-53.073</v>
      </c>
      <c r="DL3284" s="80">
        <v>438</v>
      </c>
      <c r="DM3284" s="64">
        <v>3</v>
      </c>
      <c r="DN3284" s="406" t="s">
        <v>7820</v>
      </c>
      <c r="DO3284" s="406">
        <v>-23.36</v>
      </c>
      <c r="DP3284" s="80">
        <v>381</v>
      </c>
    </row>
    <row r="3285" spans="29:120" x14ac:dyDescent="0.25">
      <c r="AC3285" s="122" t="s">
        <v>236</v>
      </c>
      <c r="AD3285" s="122" t="s">
        <v>3601</v>
      </c>
      <c r="AE3285" s="127">
        <v>2</v>
      </c>
      <c r="DA3285" s="122" t="s">
        <v>311</v>
      </c>
      <c r="DB3285" s="122" t="s">
        <v>6072</v>
      </c>
      <c r="DC3285" s="122" t="s">
        <v>1425</v>
      </c>
      <c r="DD3285" s="127">
        <v>4</v>
      </c>
      <c r="DE3285" s="127">
        <v>4</v>
      </c>
      <c r="DG3285" s="405" t="s">
        <v>311</v>
      </c>
      <c r="DH3285" s="406" t="s">
        <v>1425</v>
      </c>
      <c r="DI3285" s="406" t="str">
        <f t="shared" si="83"/>
        <v>PR, Cruzeiro do Sul</v>
      </c>
      <c r="DJ3285" s="406">
        <v>-22.962</v>
      </c>
      <c r="DK3285" s="80">
        <v>-52.161000000000001</v>
      </c>
      <c r="DL3285" s="80">
        <v>358</v>
      </c>
      <c r="DM3285" s="64">
        <v>4</v>
      </c>
      <c r="DN3285" s="406" t="s">
        <v>7264</v>
      </c>
      <c r="DO3285" s="406">
        <v>-22.49</v>
      </c>
      <c r="DP3285" s="80">
        <v>311</v>
      </c>
    </row>
    <row r="3286" spans="29:120" x14ac:dyDescent="0.25">
      <c r="AC3286" s="122" t="s">
        <v>27</v>
      </c>
      <c r="AD3286" s="122" t="s">
        <v>3602</v>
      </c>
      <c r="AE3286" s="127">
        <v>2</v>
      </c>
      <c r="DA3286" s="122" t="s">
        <v>311</v>
      </c>
      <c r="DB3286" s="122" t="s">
        <v>3194</v>
      </c>
      <c r="DC3286" s="122" t="s">
        <v>3194</v>
      </c>
      <c r="DD3286" s="127">
        <v>2</v>
      </c>
      <c r="DE3286" s="127">
        <v>2</v>
      </c>
      <c r="DG3286" s="405" t="s">
        <v>311</v>
      </c>
      <c r="DH3286" s="406" t="s">
        <v>3194</v>
      </c>
      <c r="DI3286" s="406" t="str">
        <f t="shared" si="83"/>
        <v>PR, Cruzmaltina</v>
      </c>
      <c r="DJ3286" s="406">
        <v>-24.013000000000002</v>
      </c>
      <c r="DK3286" s="80">
        <v>-51.459000000000003</v>
      </c>
      <c r="DL3286" s="80">
        <v>690</v>
      </c>
      <c r="DM3286" s="64">
        <v>2</v>
      </c>
      <c r="DN3286" s="406" t="s">
        <v>7813</v>
      </c>
      <c r="DO3286" s="406">
        <v>-24.44</v>
      </c>
      <c r="DP3286" s="80">
        <v>654</v>
      </c>
    </row>
    <row r="3287" spans="29:120" x14ac:dyDescent="0.25">
      <c r="AC3287" s="122" t="s">
        <v>311</v>
      </c>
      <c r="AD3287" s="122" t="s">
        <v>3603</v>
      </c>
      <c r="AE3287" s="127">
        <v>3</v>
      </c>
      <c r="DA3287" s="122" t="s">
        <v>311</v>
      </c>
      <c r="DB3287" s="122" t="s">
        <v>711</v>
      </c>
      <c r="DC3287" s="122" t="s">
        <v>711</v>
      </c>
      <c r="DD3287" s="127">
        <v>1</v>
      </c>
      <c r="DE3287" s="127">
        <v>1</v>
      </c>
      <c r="DG3287" s="405" t="s">
        <v>311</v>
      </c>
      <c r="DH3287" s="406" t="s">
        <v>711</v>
      </c>
      <c r="DI3287" s="406" t="str">
        <f t="shared" si="83"/>
        <v>PR, Curitiba</v>
      </c>
      <c r="DJ3287" s="406">
        <v>-25.428000000000001</v>
      </c>
      <c r="DK3287" s="80">
        <v>-49.273000000000003</v>
      </c>
      <c r="DL3287" s="80">
        <v>934</v>
      </c>
      <c r="DM3287" s="64">
        <v>1</v>
      </c>
      <c r="DN3287" s="406" t="s">
        <v>7811</v>
      </c>
      <c r="DO3287" s="406">
        <v>-25.43</v>
      </c>
      <c r="DP3287" s="80">
        <v>924</v>
      </c>
    </row>
    <row r="3288" spans="29:120" x14ac:dyDescent="0.25">
      <c r="AC3288" s="122" t="s">
        <v>311</v>
      </c>
      <c r="AD3288" s="122" t="s">
        <v>3604</v>
      </c>
      <c r="AE3288" s="127">
        <v>3</v>
      </c>
      <c r="DA3288" s="122" t="s">
        <v>311</v>
      </c>
      <c r="DB3288" s="122" t="s">
        <v>527</v>
      </c>
      <c r="DC3288" s="122" t="s">
        <v>527</v>
      </c>
      <c r="DD3288" s="127">
        <v>2</v>
      </c>
      <c r="DE3288" s="127">
        <v>2</v>
      </c>
      <c r="DG3288" s="405" t="s">
        <v>311</v>
      </c>
      <c r="DH3288" s="406" t="s">
        <v>527</v>
      </c>
      <c r="DI3288" s="406" t="str">
        <f t="shared" si="83"/>
        <v>PR, Curiúva</v>
      </c>
      <c r="DJ3288" s="406">
        <v>-24.033000000000001</v>
      </c>
      <c r="DK3288" s="80">
        <v>-50.457999999999998</v>
      </c>
      <c r="DL3288" s="80">
        <v>776</v>
      </c>
      <c r="DM3288" s="64">
        <v>2</v>
      </c>
      <c r="DN3288" s="406" t="s">
        <v>7827</v>
      </c>
      <c r="DO3288" s="406">
        <v>-23.77</v>
      </c>
      <c r="DP3288" s="80">
        <v>930</v>
      </c>
    </row>
    <row r="3289" spans="29:120" x14ac:dyDescent="0.25">
      <c r="AC3289" s="122" t="s">
        <v>27</v>
      </c>
      <c r="AD3289" s="122" t="s">
        <v>3605</v>
      </c>
      <c r="AE3289" s="127">
        <v>2</v>
      </c>
      <c r="DA3289" s="122" t="s">
        <v>311</v>
      </c>
      <c r="DB3289" s="122" t="s">
        <v>7872</v>
      </c>
      <c r="DC3289" s="122" t="s">
        <v>3407</v>
      </c>
      <c r="DD3289" s="127">
        <v>3</v>
      </c>
      <c r="DE3289" s="127">
        <v>3</v>
      </c>
      <c r="DG3289" s="405" t="s">
        <v>311</v>
      </c>
      <c r="DH3289" s="406" t="s">
        <v>3407</v>
      </c>
      <c r="DI3289" s="406" t="str">
        <f t="shared" si="83"/>
        <v>PR, Diamante do Norte</v>
      </c>
      <c r="DJ3289" s="406">
        <v>-22.655999999999999</v>
      </c>
      <c r="DK3289" s="80">
        <v>-52.86</v>
      </c>
      <c r="DL3289" s="80">
        <v>378</v>
      </c>
      <c r="DM3289" s="64">
        <v>3</v>
      </c>
      <c r="DN3289" s="406" t="s">
        <v>7257</v>
      </c>
      <c r="DO3289" s="406">
        <v>-22.64</v>
      </c>
      <c r="DP3289" s="80">
        <v>362</v>
      </c>
    </row>
    <row r="3290" spans="29:120" x14ac:dyDescent="0.25">
      <c r="AC3290" s="122" t="s">
        <v>311</v>
      </c>
      <c r="AD3290" s="122" t="s">
        <v>3606</v>
      </c>
      <c r="AE3290" s="127">
        <v>2</v>
      </c>
      <c r="DA3290" s="122" t="s">
        <v>311</v>
      </c>
      <c r="DB3290" s="122" t="s">
        <v>7873</v>
      </c>
      <c r="DC3290" s="122" t="s">
        <v>772</v>
      </c>
      <c r="DD3290" s="127">
        <v>2</v>
      </c>
      <c r="DE3290" s="127">
        <v>2</v>
      </c>
      <c r="DG3290" s="405" t="s">
        <v>311</v>
      </c>
      <c r="DH3290" s="406" t="s">
        <v>772</v>
      </c>
      <c r="DI3290" s="406" t="str">
        <f t="shared" si="83"/>
        <v>PR, Diamante do Sul</v>
      </c>
      <c r="DJ3290" s="406">
        <v>-25.042999999999999</v>
      </c>
      <c r="DK3290" s="80">
        <v>-52.68</v>
      </c>
      <c r="DL3290" s="80">
        <v>620</v>
      </c>
      <c r="DM3290" s="64">
        <v>2</v>
      </c>
      <c r="DN3290" s="406" t="s">
        <v>7838</v>
      </c>
      <c r="DO3290" s="406">
        <v>-25.69</v>
      </c>
      <c r="DP3290" s="80">
        <v>520</v>
      </c>
    </row>
    <row r="3291" spans="29:120" x14ac:dyDescent="0.25">
      <c r="AC3291" s="122" t="s">
        <v>311</v>
      </c>
      <c r="AD3291" s="122" t="s">
        <v>3607</v>
      </c>
      <c r="AE3291" s="127">
        <v>3</v>
      </c>
      <c r="DA3291" s="122" t="s">
        <v>311</v>
      </c>
      <c r="DB3291" s="122" t="s">
        <v>7874</v>
      </c>
      <c r="DC3291" s="122" t="s">
        <v>3600</v>
      </c>
      <c r="DD3291" s="127">
        <v>3</v>
      </c>
      <c r="DE3291" s="127">
        <v>3</v>
      </c>
      <c r="DG3291" s="405" t="s">
        <v>311</v>
      </c>
      <c r="DH3291" s="406" t="s">
        <v>3600</v>
      </c>
      <c r="DI3291" s="406" t="str">
        <f t="shared" si="83"/>
        <v>PR, Diamante d'Oeste</v>
      </c>
      <c r="DJ3291" s="406">
        <v>-24.943000000000001</v>
      </c>
      <c r="DK3291" s="80">
        <v>-54.103000000000002</v>
      </c>
      <c r="DL3291" s="80">
        <v>521</v>
      </c>
      <c r="DM3291" s="64">
        <v>3</v>
      </c>
      <c r="DN3291" s="406" t="s">
        <v>7284</v>
      </c>
      <c r="DO3291" s="406">
        <v>-24.56</v>
      </c>
      <c r="DP3291" s="80">
        <v>392</v>
      </c>
    </row>
    <row r="3292" spans="29:120" x14ac:dyDescent="0.25">
      <c r="AC3292" s="122" t="s">
        <v>311</v>
      </c>
      <c r="AD3292" s="122" t="s">
        <v>3608</v>
      </c>
      <c r="AE3292" s="127">
        <v>3</v>
      </c>
      <c r="DA3292" s="122" t="s">
        <v>311</v>
      </c>
      <c r="DB3292" s="122" t="s">
        <v>7875</v>
      </c>
      <c r="DC3292" s="122" t="s">
        <v>1729</v>
      </c>
      <c r="DD3292" s="127">
        <v>2</v>
      </c>
      <c r="DE3292" s="127">
        <v>2</v>
      </c>
      <c r="DG3292" s="405" t="s">
        <v>311</v>
      </c>
      <c r="DH3292" s="406" t="s">
        <v>1729</v>
      </c>
      <c r="DI3292" s="406" t="str">
        <f t="shared" si="83"/>
        <v>PR, Dois Vizinhos</v>
      </c>
      <c r="DJ3292" s="406">
        <v>-25.734000000000002</v>
      </c>
      <c r="DK3292" s="80">
        <v>-53.057000000000002</v>
      </c>
      <c r="DL3292" s="80">
        <v>509</v>
      </c>
      <c r="DM3292" s="64">
        <v>2</v>
      </c>
      <c r="DN3292" s="406" t="s">
        <v>7838</v>
      </c>
      <c r="DO3292" s="406">
        <v>-25.69</v>
      </c>
      <c r="DP3292" s="80">
        <v>520</v>
      </c>
    </row>
    <row r="3293" spans="29:120" x14ac:dyDescent="0.25">
      <c r="AC3293" s="122" t="s">
        <v>311</v>
      </c>
      <c r="AD3293" s="122" t="s">
        <v>3609</v>
      </c>
      <c r="AE3293" s="127">
        <v>3</v>
      </c>
      <c r="DA3293" s="122" t="s">
        <v>311</v>
      </c>
      <c r="DB3293" s="122" t="s">
        <v>3192</v>
      </c>
      <c r="DC3293" s="122" t="s">
        <v>3192</v>
      </c>
      <c r="DD3293" s="127">
        <v>3</v>
      </c>
      <c r="DE3293" s="127">
        <v>3</v>
      </c>
      <c r="DG3293" s="405" t="s">
        <v>311</v>
      </c>
      <c r="DH3293" s="406" t="s">
        <v>3192</v>
      </c>
      <c r="DI3293" s="406" t="str">
        <f t="shared" si="83"/>
        <v>PR, Douradina</v>
      </c>
      <c r="DJ3293" s="406">
        <v>-23.381</v>
      </c>
      <c r="DK3293" s="80">
        <v>-53.292000000000002</v>
      </c>
      <c r="DL3293" s="80">
        <v>406</v>
      </c>
      <c r="DM3293" s="64">
        <v>3</v>
      </c>
      <c r="DN3293" s="406" t="s">
        <v>7281</v>
      </c>
      <c r="DO3293" s="406">
        <v>-23.4</v>
      </c>
      <c r="DP3293" s="80">
        <v>385</v>
      </c>
    </row>
    <row r="3294" spans="29:120" x14ac:dyDescent="0.25">
      <c r="AC3294" s="122" t="s">
        <v>311</v>
      </c>
      <c r="AD3294" s="122" t="s">
        <v>3610</v>
      </c>
      <c r="AE3294" s="127">
        <v>2</v>
      </c>
      <c r="DA3294" s="122" t="s">
        <v>311</v>
      </c>
      <c r="DB3294" s="122" t="s">
        <v>7876</v>
      </c>
      <c r="DC3294" s="122" t="s">
        <v>3298</v>
      </c>
      <c r="DD3294" s="127">
        <v>3</v>
      </c>
      <c r="DE3294" s="127">
        <v>3</v>
      </c>
      <c r="DG3294" s="405" t="s">
        <v>311</v>
      </c>
      <c r="DH3294" s="406" t="s">
        <v>3298</v>
      </c>
      <c r="DI3294" s="406" t="str">
        <f t="shared" si="83"/>
        <v>PR, Doutor Camargo</v>
      </c>
      <c r="DJ3294" s="406">
        <v>-23.556000000000001</v>
      </c>
      <c r="DK3294" s="80">
        <v>-52.218000000000004</v>
      </c>
      <c r="DL3294" s="80">
        <v>381</v>
      </c>
      <c r="DM3294" s="64">
        <v>3</v>
      </c>
      <c r="DN3294" s="406" t="s">
        <v>7816</v>
      </c>
      <c r="DO3294" s="406">
        <v>-23.42</v>
      </c>
      <c r="DP3294" s="80">
        <v>542</v>
      </c>
    </row>
    <row r="3295" spans="29:120" x14ac:dyDescent="0.25">
      <c r="AC3295" s="122" t="s">
        <v>311</v>
      </c>
      <c r="AD3295" s="122" t="s">
        <v>3611</v>
      </c>
      <c r="AE3295" s="127">
        <v>3</v>
      </c>
      <c r="DA3295" s="122" t="s">
        <v>311</v>
      </c>
      <c r="DB3295" s="122" t="s">
        <v>7877</v>
      </c>
      <c r="DC3295" s="122" t="s">
        <v>857</v>
      </c>
      <c r="DD3295" s="127">
        <v>2</v>
      </c>
      <c r="DE3295" s="127">
        <v>2</v>
      </c>
      <c r="DG3295" s="405" t="s">
        <v>311</v>
      </c>
      <c r="DH3295" s="406" t="s">
        <v>857</v>
      </c>
      <c r="DI3295" s="406" t="str">
        <f t="shared" si="83"/>
        <v>PR, Doutor Ulysses</v>
      </c>
      <c r="DJ3295" s="406">
        <v>-24.568000000000001</v>
      </c>
      <c r="DK3295" s="80">
        <v>-49.42</v>
      </c>
      <c r="DL3295" s="80">
        <v>795</v>
      </c>
      <c r="DM3295" s="64">
        <v>2</v>
      </c>
      <c r="DN3295" s="406" t="s">
        <v>7858</v>
      </c>
      <c r="DO3295" s="406">
        <v>-24.79</v>
      </c>
      <c r="DP3295" s="80">
        <v>1008</v>
      </c>
    </row>
    <row r="3296" spans="29:120" x14ac:dyDescent="0.25">
      <c r="AC3296" s="122" t="s">
        <v>311</v>
      </c>
      <c r="AD3296" s="122" t="s">
        <v>3612</v>
      </c>
      <c r="AE3296" s="127">
        <v>4</v>
      </c>
      <c r="DA3296" s="122" t="s">
        <v>311</v>
      </c>
      <c r="DB3296" s="122" t="s">
        <v>7878</v>
      </c>
      <c r="DC3296" s="122" t="s">
        <v>1672</v>
      </c>
      <c r="DD3296" s="127">
        <v>2</v>
      </c>
      <c r="DE3296" s="127">
        <v>2</v>
      </c>
      <c r="DG3296" s="405" t="s">
        <v>311</v>
      </c>
      <c r="DH3296" s="406" t="s">
        <v>1672</v>
      </c>
      <c r="DI3296" s="406" t="str">
        <f t="shared" si="83"/>
        <v>PR, Enéas Marques</v>
      </c>
      <c r="DJ3296" s="406">
        <v>-25.942</v>
      </c>
      <c r="DK3296" s="80">
        <v>-53.164000000000001</v>
      </c>
      <c r="DL3296" s="80">
        <v>758</v>
      </c>
      <c r="DM3296" s="64">
        <v>2</v>
      </c>
      <c r="DN3296" s="406" t="s">
        <v>7838</v>
      </c>
      <c r="DO3296" s="406">
        <v>-25.69</v>
      </c>
      <c r="DP3296" s="80">
        <v>520</v>
      </c>
    </row>
    <row r="3297" spans="29:120" x14ac:dyDescent="0.25">
      <c r="AC3297" s="122" t="s">
        <v>311</v>
      </c>
      <c r="AD3297" s="122" t="s">
        <v>2585</v>
      </c>
      <c r="AE3297" s="127">
        <v>3</v>
      </c>
      <c r="DA3297" s="122" t="s">
        <v>311</v>
      </c>
      <c r="DB3297" s="122" t="s">
        <v>7879</v>
      </c>
      <c r="DC3297" s="122" t="s">
        <v>3214</v>
      </c>
      <c r="DD3297" s="127">
        <v>3</v>
      </c>
      <c r="DE3297" s="127">
        <v>3</v>
      </c>
      <c r="DG3297" s="405" t="s">
        <v>311</v>
      </c>
      <c r="DH3297" s="406" t="s">
        <v>3214</v>
      </c>
      <c r="DI3297" s="406" t="str">
        <f t="shared" si="83"/>
        <v>PR, Engenheiro Beltrão</v>
      </c>
      <c r="DJ3297" s="406">
        <v>-23.797000000000001</v>
      </c>
      <c r="DK3297" s="80">
        <v>-52.268999999999998</v>
      </c>
      <c r="DL3297" s="80">
        <v>470</v>
      </c>
      <c r="DM3297" s="64">
        <v>3</v>
      </c>
      <c r="DN3297" s="406" t="s">
        <v>7816</v>
      </c>
      <c r="DO3297" s="406">
        <v>-23.42</v>
      </c>
      <c r="DP3297" s="80">
        <v>542</v>
      </c>
    </row>
    <row r="3298" spans="29:120" x14ac:dyDescent="0.25">
      <c r="AC3298" s="122" t="s">
        <v>311</v>
      </c>
      <c r="AD3298" s="122" t="s">
        <v>3613</v>
      </c>
      <c r="AE3298" s="127">
        <v>3</v>
      </c>
      <c r="DA3298" s="122" t="s">
        <v>311</v>
      </c>
      <c r="DB3298" s="122" t="s">
        <v>7880</v>
      </c>
      <c r="DC3298" s="122" t="s">
        <v>3199</v>
      </c>
      <c r="DD3298" s="127">
        <v>3</v>
      </c>
      <c r="DE3298" s="127">
        <v>3</v>
      </c>
      <c r="DG3298" s="405" t="s">
        <v>311</v>
      </c>
      <c r="DH3298" s="406" t="s">
        <v>3199</v>
      </c>
      <c r="DI3298" s="406" t="str">
        <f t="shared" si="83"/>
        <v>PR, Entre Rios do Oeste</v>
      </c>
      <c r="DJ3298" s="406">
        <v>-24.704000000000001</v>
      </c>
      <c r="DK3298" s="80">
        <v>-54.234000000000002</v>
      </c>
      <c r="DL3298" s="80">
        <v>230</v>
      </c>
      <c r="DM3298" s="64">
        <v>3</v>
      </c>
      <c r="DN3298" s="406" t="s">
        <v>7284</v>
      </c>
      <c r="DO3298" s="406">
        <v>-24.56</v>
      </c>
      <c r="DP3298" s="80">
        <v>392</v>
      </c>
    </row>
    <row r="3299" spans="29:120" x14ac:dyDescent="0.25">
      <c r="AC3299" s="122" t="s">
        <v>311</v>
      </c>
      <c r="AD3299" s="122" t="s">
        <v>3614</v>
      </c>
      <c r="AE3299" s="127">
        <v>3</v>
      </c>
      <c r="DA3299" s="122" t="s">
        <v>311</v>
      </c>
      <c r="DB3299" s="122" t="s">
        <v>7881</v>
      </c>
      <c r="DC3299" s="122" t="s">
        <v>3589</v>
      </c>
      <c r="DD3299" s="127">
        <v>3</v>
      </c>
      <c r="DE3299" s="127">
        <v>3</v>
      </c>
      <c r="DG3299" s="405" t="s">
        <v>311</v>
      </c>
      <c r="DH3299" s="406" t="s">
        <v>3589</v>
      </c>
      <c r="DI3299" s="406" t="str">
        <f t="shared" si="83"/>
        <v>PR, Esperança Nova</v>
      </c>
      <c r="DJ3299" s="406">
        <v>-23.724</v>
      </c>
      <c r="DK3299" s="80">
        <v>-53.811</v>
      </c>
      <c r="DL3299" s="80">
        <v>377</v>
      </c>
      <c r="DM3299" s="64">
        <v>3</v>
      </c>
      <c r="DN3299" s="406" t="s">
        <v>7281</v>
      </c>
      <c r="DO3299" s="406">
        <v>-23.4</v>
      </c>
      <c r="DP3299" s="80">
        <v>385</v>
      </c>
    </row>
    <row r="3300" spans="29:120" x14ac:dyDescent="0.25">
      <c r="AC3300" s="122" t="s">
        <v>311</v>
      </c>
      <c r="AD3300" s="122" t="s">
        <v>3615</v>
      </c>
      <c r="AE3300" s="127">
        <v>3</v>
      </c>
      <c r="DA3300" s="122" t="s">
        <v>311</v>
      </c>
      <c r="DB3300" s="122" t="s">
        <v>7882</v>
      </c>
      <c r="DC3300" s="122" t="s">
        <v>3211</v>
      </c>
      <c r="DD3300" s="127">
        <v>2</v>
      </c>
      <c r="DE3300" s="127">
        <v>2</v>
      </c>
      <c r="DG3300" s="405" t="s">
        <v>311</v>
      </c>
      <c r="DH3300" s="406" t="s">
        <v>3211</v>
      </c>
      <c r="DI3300" s="406" t="str">
        <f t="shared" si="83"/>
        <v>PR, Espigão Alto do Iguaçu</v>
      </c>
      <c r="DJ3300" s="406">
        <v>-25.423999999999999</v>
      </c>
      <c r="DK3300" s="80">
        <v>-52.835999999999999</v>
      </c>
      <c r="DL3300" s="80">
        <v>618</v>
      </c>
      <c r="DM3300" s="64">
        <v>2</v>
      </c>
      <c r="DN3300" s="406" t="s">
        <v>7838</v>
      </c>
      <c r="DO3300" s="406">
        <v>-25.69</v>
      </c>
      <c r="DP3300" s="80">
        <v>520</v>
      </c>
    </row>
    <row r="3301" spans="29:120" x14ac:dyDescent="0.25">
      <c r="AC3301" s="122" t="s">
        <v>311</v>
      </c>
      <c r="AD3301" s="122" t="s">
        <v>3616</v>
      </c>
      <c r="AE3301" s="127">
        <v>3</v>
      </c>
      <c r="DA3301" s="122" t="s">
        <v>311</v>
      </c>
      <c r="DB3301" s="122" t="s">
        <v>3165</v>
      </c>
      <c r="DC3301" s="122" t="s">
        <v>3165</v>
      </c>
      <c r="DD3301" s="127">
        <v>3</v>
      </c>
      <c r="DE3301" s="127">
        <v>3</v>
      </c>
      <c r="DG3301" s="405" t="s">
        <v>311</v>
      </c>
      <c r="DH3301" s="406" t="s">
        <v>3165</v>
      </c>
      <c r="DI3301" s="406" t="str">
        <f t="shared" si="83"/>
        <v>PR, Farol</v>
      </c>
      <c r="DJ3301" s="406">
        <v>-24.1</v>
      </c>
      <c r="DK3301" s="80">
        <v>-52.622999999999998</v>
      </c>
      <c r="DL3301" s="80">
        <v>600</v>
      </c>
      <c r="DM3301" s="64">
        <v>3</v>
      </c>
      <c r="DN3301" s="406" t="s">
        <v>7813</v>
      </c>
      <c r="DO3301" s="406">
        <v>-24.44</v>
      </c>
      <c r="DP3301" s="80">
        <v>654</v>
      </c>
    </row>
    <row r="3302" spans="29:120" x14ac:dyDescent="0.25">
      <c r="AC3302" s="122" t="s">
        <v>311</v>
      </c>
      <c r="AD3302" s="122" t="s">
        <v>3617</v>
      </c>
      <c r="AE3302" s="127">
        <v>2</v>
      </c>
      <c r="DA3302" s="122" t="s">
        <v>311</v>
      </c>
      <c r="DB3302" s="122" t="s">
        <v>3224</v>
      </c>
      <c r="DC3302" s="122" t="s">
        <v>3224</v>
      </c>
      <c r="DD3302" s="127">
        <v>2</v>
      </c>
      <c r="DE3302" s="127">
        <v>2</v>
      </c>
      <c r="DG3302" s="405" t="s">
        <v>311</v>
      </c>
      <c r="DH3302" s="406" t="s">
        <v>3224</v>
      </c>
      <c r="DI3302" s="406" t="str">
        <f t="shared" si="83"/>
        <v>PR, Faxinal</v>
      </c>
      <c r="DJ3302" s="406">
        <v>-24.001000000000001</v>
      </c>
      <c r="DK3302" s="80">
        <v>-51.32</v>
      </c>
      <c r="DL3302" s="80">
        <v>840</v>
      </c>
      <c r="DM3302" s="64">
        <v>2</v>
      </c>
      <c r="DN3302" s="406" t="s">
        <v>7826</v>
      </c>
      <c r="DO3302" s="406">
        <v>-23.38</v>
      </c>
      <c r="DP3302" s="80">
        <v>566</v>
      </c>
    </row>
    <row r="3303" spans="29:120" x14ac:dyDescent="0.25">
      <c r="AC3303" s="122" t="s">
        <v>311</v>
      </c>
      <c r="AD3303" s="122" t="s">
        <v>3618</v>
      </c>
      <c r="AE3303" s="127">
        <v>3</v>
      </c>
      <c r="DA3303" s="122" t="s">
        <v>311</v>
      </c>
      <c r="DB3303" s="122" t="s">
        <v>7883</v>
      </c>
      <c r="DC3303" s="122" t="s">
        <v>507</v>
      </c>
      <c r="DD3303" s="127">
        <v>1</v>
      </c>
      <c r="DE3303" s="127">
        <v>1</v>
      </c>
      <c r="DG3303" s="405" t="s">
        <v>311</v>
      </c>
      <c r="DH3303" s="406" t="s">
        <v>507</v>
      </c>
      <c r="DI3303" s="406" t="str">
        <f t="shared" si="83"/>
        <v>PR, Fazenda Rio Grande</v>
      </c>
      <c r="DJ3303" s="406">
        <v>-25.658000000000001</v>
      </c>
      <c r="DK3303" s="80">
        <v>-49.308</v>
      </c>
      <c r="DL3303" s="80">
        <v>910</v>
      </c>
      <c r="DM3303" s="64">
        <v>1</v>
      </c>
      <c r="DN3303" s="406" t="s">
        <v>7811</v>
      </c>
      <c r="DO3303" s="406">
        <v>-25.43</v>
      </c>
      <c r="DP3303" s="80">
        <v>924</v>
      </c>
    </row>
    <row r="3304" spans="29:120" x14ac:dyDescent="0.25">
      <c r="AC3304" s="122" t="s">
        <v>311</v>
      </c>
      <c r="AD3304" s="122" t="s">
        <v>3619</v>
      </c>
      <c r="AE3304" s="127">
        <v>3</v>
      </c>
      <c r="DA3304" s="122" t="s">
        <v>311</v>
      </c>
      <c r="DB3304" s="122" t="s">
        <v>3187</v>
      </c>
      <c r="DC3304" s="122" t="s">
        <v>3187</v>
      </c>
      <c r="DD3304" s="127">
        <v>3</v>
      </c>
      <c r="DE3304" s="127">
        <v>3</v>
      </c>
      <c r="DG3304" s="405" t="s">
        <v>311</v>
      </c>
      <c r="DH3304" s="406" t="s">
        <v>3187</v>
      </c>
      <c r="DI3304" s="406" t="str">
        <f t="shared" si="83"/>
        <v>PR, Fênix</v>
      </c>
      <c r="DJ3304" s="406">
        <v>-23.916</v>
      </c>
      <c r="DK3304" s="80">
        <v>-51.978999999999999</v>
      </c>
      <c r="DL3304" s="80">
        <v>365</v>
      </c>
      <c r="DM3304" s="64">
        <v>3</v>
      </c>
      <c r="DN3304" s="406" t="s">
        <v>7816</v>
      </c>
      <c r="DO3304" s="406">
        <v>-23.42</v>
      </c>
      <c r="DP3304" s="80">
        <v>542</v>
      </c>
    </row>
    <row r="3305" spans="29:120" x14ac:dyDescent="0.25">
      <c r="AC3305" s="122" t="s">
        <v>333</v>
      </c>
      <c r="AD3305" s="122" t="s">
        <v>3620</v>
      </c>
      <c r="AE3305" s="127">
        <v>3</v>
      </c>
      <c r="DA3305" s="122" t="s">
        <v>311</v>
      </c>
      <c r="DB3305" s="122" t="s">
        <v>7884</v>
      </c>
      <c r="DC3305" s="122" t="s">
        <v>808</v>
      </c>
      <c r="DD3305" s="127">
        <v>2</v>
      </c>
      <c r="DE3305" s="127">
        <v>2</v>
      </c>
      <c r="DG3305" s="405" t="s">
        <v>311</v>
      </c>
      <c r="DH3305" s="406" t="s">
        <v>808</v>
      </c>
      <c r="DI3305" s="406" t="str">
        <f t="shared" si="83"/>
        <v>PR, Fernandes Pinheiro</v>
      </c>
      <c r="DJ3305" s="406">
        <v>-25.413</v>
      </c>
      <c r="DK3305" s="80">
        <v>-50.548000000000002</v>
      </c>
      <c r="DL3305" s="80">
        <v>824</v>
      </c>
      <c r="DM3305" s="64">
        <v>2</v>
      </c>
      <c r="DN3305" s="406" t="s">
        <v>7885</v>
      </c>
      <c r="DO3305" s="406">
        <v>-25.01</v>
      </c>
      <c r="DP3305" s="80">
        <v>808</v>
      </c>
    </row>
    <row r="3306" spans="29:120" x14ac:dyDescent="0.25">
      <c r="AC3306" s="122" t="s">
        <v>311</v>
      </c>
      <c r="AD3306" s="122" t="s">
        <v>3621</v>
      </c>
      <c r="AE3306" s="127">
        <v>2</v>
      </c>
      <c r="DA3306" s="122" t="s">
        <v>311</v>
      </c>
      <c r="DB3306" s="122" t="s">
        <v>558</v>
      </c>
      <c r="DC3306" s="122" t="s">
        <v>558</v>
      </c>
      <c r="DD3306" s="127">
        <v>2</v>
      </c>
      <c r="DE3306" s="127">
        <v>2</v>
      </c>
      <c r="DG3306" s="405" t="s">
        <v>311</v>
      </c>
      <c r="DH3306" s="406" t="s">
        <v>558</v>
      </c>
      <c r="DI3306" s="406" t="str">
        <f t="shared" si="83"/>
        <v>PR, Figueira</v>
      </c>
      <c r="DJ3306" s="406">
        <v>-23.849</v>
      </c>
      <c r="DK3306" s="80">
        <v>-50.402999999999999</v>
      </c>
      <c r="DL3306" s="80">
        <v>620</v>
      </c>
      <c r="DM3306" s="64">
        <v>2</v>
      </c>
      <c r="DN3306" s="406" t="s">
        <v>7827</v>
      </c>
      <c r="DO3306" s="406">
        <v>-23.77</v>
      </c>
      <c r="DP3306" s="80">
        <v>930</v>
      </c>
    </row>
    <row r="3307" spans="29:120" x14ac:dyDescent="0.25">
      <c r="AC3307" s="122" t="s">
        <v>358</v>
      </c>
      <c r="AD3307" s="122" t="s">
        <v>3622</v>
      </c>
      <c r="AE3307" s="127">
        <v>3</v>
      </c>
      <c r="DA3307" s="122" t="s">
        <v>311</v>
      </c>
      <c r="DB3307" s="122" t="s">
        <v>7886</v>
      </c>
      <c r="DC3307" s="122" t="s">
        <v>1135</v>
      </c>
      <c r="DD3307" s="127">
        <v>2</v>
      </c>
      <c r="DE3307" s="127">
        <v>2</v>
      </c>
      <c r="DG3307" s="405" t="s">
        <v>311</v>
      </c>
      <c r="DH3307" s="406" t="s">
        <v>1135</v>
      </c>
      <c r="DI3307" s="406" t="str">
        <f t="shared" si="83"/>
        <v>PR, Flor da Serra do Sul</v>
      </c>
      <c r="DJ3307" s="406">
        <v>-26.257000000000001</v>
      </c>
      <c r="DK3307" s="80">
        <v>-53.307000000000002</v>
      </c>
      <c r="DL3307" s="80">
        <v>905</v>
      </c>
      <c r="DM3307" s="64">
        <v>2</v>
      </c>
      <c r="DN3307" s="406" t="s">
        <v>7833</v>
      </c>
      <c r="DO3307" s="406">
        <v>-26.29</v>
      </c>
      <c r="DP3307" s="80">
        <v>810</v>
      </c>
    </row>
    <row r="3308" spans="29:120" x14ac:dyDescent="0.25">
      <c r="AC3308" s="122" t="s">
        <v>376</v>
      </c>
      <c r="AD3308" s="122" t="s">
        <v>3623</v>
      </c>
      <c r="AE3308" s="127">
        <v>3</v>
      </c>
      <c r="DA3308" s="122" t="s">
        <v>311</v>
      </c>
      <c r="DB3308" s="122" t="s">
        <v>3291</v>
      </c>
      <c r="DC3308" s="122" t="s">
        <v>3291</v>
      </c>
      <c r="DD3308" s="127">
        <v>4</v>
      </c>
      <c r="DE3308" s="127">
        <v>4</v>
      </c>
      <c r="DG3308" s="405" t="s">
        <v>311</v>
      </c>
      <c r="DH3308" s="406" t="s">
        <v>3291</v>
      </c>
      <c r="DI3308" s="406" t="str">
        <f t="shared" si="83"/>
        <v>PR, Floraí</v>
      </c>
      <c r="DJ3308" s="406">
        <v>-23.317</v>
      </c>
      <c r="DK3308" s="80">
        <v>-52.304000000000002</v>
      </c>
      <c r="DL3308" s="80">
        <v>482</v>
      </c>
      <c r="DM3308" s="64">
        <v>4</v>
      </c>
      <c r="DN3308" s="406" t="s">
        <v>7816</v>
      </c>
      <c r="DO3308" s="406">
        <v>-23.42</v>
      </c>
      <c r="DP3308" s="80">
        <v>542</v>
      </c>
    </row>
    <row r="3309" spans="29:120" x14ac:dyDescent="0.25">
      <c r="AC3309" s="122" t="s">
        <v>311</v>
      </c>
      <c r="AD3309" s="122" t="s">
        <v>3624</v>
      </c>
      <c r="AE3309" s="127">
        <v>2</v>
      </c>
      <c r="DA3309" s="122" t="s">
        <v>311</v>
      </c>
      <c r="DB3309" s="122" t="s">
        <v>3303</v>
      </c>
      <c r="DC3309" s="122" t="s">
        <v>3303</v>
      </c>
      <c r="DD3309" s="127">
        <v>1</v>
      </c>
      <c r="DE3309" s="127">
        <v>1</v>
      </c>
      <c r="DG3309" s="405" t="s">
        <v>311</v>
      </c>
      <c r="DH3309" s="406" t="s">
        <v>3303</v>
      </c>
      <c r="DI3309" s="406" t="str">
        <f t="shared" si="83"/>
        <v>PR, Floresta</v>
      </c>
      <c r="DJ3309" s="406">
        <v>-23.599</v>
      </c>
      <c r="DK3309" s="80">
        <v>-52.081000000000003</v>
      </c>
      <c r="DL3309" s="80">
        <v>392</v>
      </c>
      <c r="DM3309" s="64">
        <v>1</v>
      </c>
      <c r="DN3309" s="406" t="s">
        <v>7816</v>
      </c>
      <c r="DO3309" s="406">
        <v>-23.42</v>
      </c>
      <c r="DP3309" s="80">
        <v>542</v>
      </c>
    </row>
    <row r="3310" spans="29:120" x14ac:dyDescent="0.25">
      <c r="AC3310" s="122" t="s">
        <v>333</v>
      </c>
      <c r="AD3310" s="122" t="s">
        <v>3625</v>
      </c>
      <c r="AE3310" s="127">
        <v>3</v>
      </c>
      <c r="DA3310" s="122" t="s">
        <v>311</v>
      </c>
      <c r="DB3310" s="122" t="s">
        <v>3788</v>
      </c>
      <c r="DC3310" s="122" t="s">
        <v>3788</v>
      </c>
      <c r="DD3310" s="127">
        <v>3</v>
      </c>
      <c r="DE3310" s="127">
        <v>3</v>
      </c>
      <c r="DG3310" s="405" t="s">
        <v>311</v>
      </c>
      <c r="DH3310" s="406" t="s">
        <v>3788</v>
      </c>
      <c r="DI3310" s="406" t="str">
        <f t="shared" si="83"/>
        <v>PR, Florestópolis</v>
      </c>
      <c r="DJ3310" s="406">
        <v>-22.863</v>
      </c>
      <c r="DK3310" s="80">
        <v>-51.387</v>
      </c>
      <c r="DL3310" s="80">
        <v>515</v>
      </c>
      <c r="DM3310" s="64">
        <v>3</v>
      </c>
      <c r="DN3310" s="406" t="s">
        <v>7826</v>
      </c>
      <c r="DO3310" s="406">
        <v>-23.38</v>
      </c>
      <c r="DP3310" s="80">
        <v>566</v>
      </c>
    </row>
    <row r="3311" spans="29:120" x14ac:dyDescent="0.25">
      <c r="AC3311" s="122" t="s">
        <v>311</v>
      </c>
      <c r="AD3311" s="122" t="s">
        <v>3626</v>
      </c>
      <c r="AE3311" s="127">
        <v>3</v>
      </c>
      <c r="DA3311" s="122" t="s">
        <v>311</v>
      </c>
      <c r="DB3311" s="122" t="s">
        <v>3327</v>
      </c>
      <c r="DC3311" s="122" t="s">
        <v>3327</v>
      </c>
      <c r="DD3311" s="127">
        <v>4</v>
      </c>
      <c r="DE3311" s="127">
        <v>4</v>
      </c>
      <c r="DG3311" s="405" t="s">
        <v>311</v>
      </c>
      <c r="DH3311" s="406" t="s">
        <v>3327</v>
      </c>
      <c r="DI3311" s="406" t="str">
        <f t="shared" si="83"/>
        <v>PR, Flórida</v>
      </c>
      <c r="DJ3311" s="406">
        <v>-23.087</v>
      </c>
      <c r="DK3311" s="80">
        <v>-51.954000000000001</v>
      </c>
      <c r="DL3311" s="80">
        <v>460</v>
      </c>
      <c r="DM3311" s="64">
        <v>4</v>
      </c>
      <c r="DN3311" s="406" t="s">
        <v>7816</v>
      </c>
      <c r="DO3311" s="406">
        <v>-23.42</v>
      </c>
      <c r="DP3311" s="80">
        <v>542</v>
      </c>
    </row>
    <row r="3312" spans="29:120" x14ac:dyDescent="0.25">
      <c r="AC3312" s="122" t="s">
        <v>376</v>
      </c>
      <c r="AD3312" s="122" t="s">
        <v>3627</v>
      </c>
      <c r="AE3312" s="127">
        <v>3</v>
      </c>
      <c r="DA3312" s="122" t="s">
        <v>311</v>
      </c>
      <c r="DB3312" s="122" t="s">
        <v>7887</v>
      </c>
      <c r="DC3312" s="122" t="s">
        <v>3216</v>
      </c>
      <c r="DD3312" s="127">
        <v>3</v>
      </c>
      <c r="DE3312" s="127">
        <v>3</v>
      </c>
      <c r="DG3312" s="405" t="s">
        <v>311</v>
      </c>
      <c r="DH3312" s="406" t="s">
        <v>3216</v>
      </c>
      <c r="DI3312" s="406" t="str">
        <f t="shared" si="83"/>
        <v>PR, Formosa do Oeste</v>
      </c>
      <c r="DJ3312" s="406">
        <v>-24.292999999999999</v>
      </c>
      <c r="DK3312" s="80">
        <v>-53.313000000000002</v>
      </c>
      <c r="DL3312" s="80">
        <v>422</v>
      </c>
      <c r="DM3312" s="64">
        <v>3</v>
      </c>
      <c r="DN3312" s="406" t="s">
        <v>7284</v>
      </c>
      <c r="DO3312" s="406">
        <v>-24.56</v>
      </c>
      <c r="DP3312" s="80">
        <v>392</v>
      </c>
    </row>
    <row r="3313" spans="29:120" x14ac:dyDescent="0.25">
      <c r="AC3313" s="122" t="s">
        <v>311</v>
      </c>
      <c r="AD3313" s="122" t="s">
        <v>2341</v>
      </c>
      <c r="AE3313" s="127">
        <v>3</v>
      </c>
      <c r="DA3313" s="122" t="s">
        <v>311</v>
      </c>
      <c r="DB3313" s="122" t="s">
        <v>7888</v>
      </c>
      <c r="DC3313" s="122" t="s">
        <v>3585</v>
      </c>
      <c r="DD3313" s="127">
        <v>3</v>
      </c>
      <c r="DE3313" s="127">
        <v>3</v>
      </c>
      <c r="DG3313" s="405" t="s">
        <v>311</v>
      </c>
      <c r="DH3313" s="406" t="s">
        <v>3585</v>
      </c>
      <c r="DI3313" s="406" t="str">
        <f t="shared" si="83"/>
        <v>PR, Foz do Iguaçu</v>
      </c>
      <c r="DJ3313" s="406">
        <v>-25.547999999999998</v>
      </c>
      <c r="DK3313" s="80">
        <v>-54.588000000000001</v>
      </c>
      <c r="DL3313" s="80">
        <v>164</v>
      </c>
      <c r="DM3313" s="64">
        <v>3</v>
      </c>
      <c r="DN3313" s="406" t="s">
        <v>7889</v>
      </c>
      <c r="DO3313" s="406">
        <v>-25.6</v>
      </c>
      <c r="DP3313" s="80">
        <v>231</v>
      </c>
    </row>
    <row r="3314" spans="29:120" x14ac:dyDescent="0.25">
      <c r="AC3314" s="122" t="s">
        <v>333</v>
      </c>
      <c r="AD3314" s="122" t="s">
        <v>3628</v>
      </c>
      <c r="AE3314" s="127">
        <v>3</v>
      </c>
      <c r="DA3314" s="122" t="s">
        <v>311</v>
      </c>
      <c r="DB3314" s="122" t="s">
        <v>7890</v>
      </c>
      <c r="DC3314" s="122" t="s">
        <v>791</v>
      </c>
      <c r="DD3314" s="127">
        <v>2</v>
      </c>
      <c r="DE3314" s="127">
        <v>2</v>
      </c>
      <c r="DG3314" s="405" t="s">
        <v>311</v>
      </c>
      <c r="DH3314" s="406" t="s">
        <v>791</v>
      </c>
      <c r="DI3314" s="406" t="str">
        <f t="shared" si="83"/>
        <v>PR, Foz do Jordão</v>
      </c>
      <c r="DJ3314" s="406">
        <v>-25.736999999999998</v>
      </c>
      <c r="DK3314" s="80">
        <v>-52.119</v>
      </c>
      <c r="DL3314" s="80">
        <v>820</v>
      </c>
      <c r="DM3314" s="64">
        <v>2</v>
      </c>
      <c r="DN3314" s="406" t="s">
        <v>7856</v>
      </c>
      <c r="DO3314" s="406">
        <v>-26.42</v>
      </c>
      <c r="DP3314" s="80">
        <v>980</v>
      </c>
    </row>
    <row r="3315" spans="29:120" x14ac:dyDescent="0.25">
      <c r="AC3315" s="122" t="s">
        <v>311</v>
      </c>
      <c r="AD3315" s="122" t="s">
        <v>3629</v>
      </c>
      <c r="AE3315" s="127">
        <v>3</v>
      </c>
      <c r="DA3315" s="122" t="s">
        <v>311</v>
      </c>
      <c r="DB3315" s="122" t="s">
        <v>7891</v>
      </c>
      <c r="DC3315" s="122" t="s">
        <v>3594</v>
      </c>
      <c r="DD3315" s="127">
        <v>3</v>
      </c>
      <c r="DE3315" s="127">
        <v>3</v>
      </c>
      <c r="DG3315" s="405" t="s">
        <v>311</v>
      </c>
      <c r="DH3315" s="406" t="s">
        <v>3594</v>
      </c>
      <c r="DI3315" s="406" t="str">
        <f t="shared" si="83"/>
        <v>PR, Francisco Alves</v>
      </c>
      <c r="DJ3315" s="406">
        <v>-24.065999999999999</v>
      </c>
      <c r="DK3315" s="80">
        <v>-53.847999999999999</v>
      </c>
      <c r="DL3315" s="80">
        <v>331</v>
      </c>
      <c r="DM3315" s="64">
        <v>3</v>
      </c>
      <c r="DN3315" s="406" t="s">
        <v>7284</v>
      </c>
      <c r="DO3315" s="406">
        <v>-24.56</v>
      </c>
      <c r="DP3315" s="80">
        <v>392</v>
      </c>
    </row>
    <row r="3316" spans="29:120" x14ac:dyDescent="0.25">
      <c r="AC3316" s="122" t="s">
        <v>336</v>
      </c>
      <c r="AD3316" s="122" t="s">
        <v>3630</v>
      </c>
      <c r="AE3316" s="127">
        <v>3</v>
      </c>
      <c r="DA3316" s="122" t="s">
        <v>311</v>
      </c>
      <c r="DB3316" s="122" t="s">
        <v>7892</v>
      </c>
      <c r="DC3316" s="122" t="s">
        <v>794</v>
      </c>
      <c r="DD3316" s="127">
        <v>2</v>
      </c>
      <c r="DE3316" s="127">
        <v>2</v>
      </c>
      <c r="DG3316" s="405" t="s">
        <v>311</v>
      </c>
      <c r="DH3316" s="406" t="s">
        <v>794</v>
      </c>
      <c r="DI3316" s="406" t="str">
        <f t="shared" si="83"/>
        <v>PR, Francisco Beltrão</v>
      </c>
      <c r="DJ3316" s="406">
        <v>-26.081</v>
      </c>
      <c r="DK3316" s="80">
        <v>-53.055</v>
      </c>
      <c r="DL3316" s="80">
        <v>570</v>
      </c>
      <c r="DM3316" s="64">
        <v>2</v>
      </c>
      <c r="DN3316" s="406" t="s">
        <v>7844</v>
      </c>
      <c r="DO3316" s="406">
        <v>-26.41</v>
      </c>
      <c r="DP3316" s="80">
        <v>960</v>
      </c>
    </row>
    <row r="3317" spans="29:120" x14ac:dyDescent="0.25">
      <c r="AC3317" s="122" t="s">
        <v>376</v>
      </c>
      <c r="AD3317" s="122" t="s">
        <v>3631</v>
      </c>
      <c r="AE3317" s="127">
        <v>3</v>
      </c>
      <c r="DA3317" s="122" t="s">
        <v>311</v>
      </c>
      <c r="DB3317" s="122" t="s">
        <v>7341</v>
      </c>
      <c r="DC3317" s="122" t="s">
        <v>1751</v>
      </c>
      <c r="DD3317" s="127">
        <v>2</v>
      </c>
      <c r="DE3317" s="127">
        <v>2</v>
      </c>
      <c r="DG3317" s="405" t="s">
        <v>311</v>
      </c>
      <c r="DH3317" s="406" t="s">
        <v>1751</v>
      </c>
      <c r="DI3317" s="406" t="str">
        <f t="shared" si="83"/>
        <v>PR, General Carneiro</v>
      </c>
      <c r="DJ3317" s="406">
        <v>-26.428000000000001</v>
      </c>
      <c r="DK3317" s="80">
        <v>-51.316000000000003</v>
      </c>
      <c r="DL3317" s="80">
        <v>983</v>
      </c>
      <c r="DM3317" s="64">
        <v>2</v>
      </c>
      <c r="DN3317" s="406" t="s">
        <v>7836</v>
      </c>
      <c r="DO3317" s="406">
        <v>-26.4</v>
      </c>
      <c r="DP3317" s="80">
        <v>1018</v>
      </c>
    </row>
    <row r="3318" spans="29:120" x14ac:dyDescent="0.25">
      <c r="AC3318" s="122" t="s">
        <v>358</v>
      </c>
      <c r="AD3318" s="122" t="s">
        <v>3632</v>
      </c>
      <c r="AE3318" s="127">
        <v>3</v>
      </c>
      <c r="DA3318" s="122" t="s">
        <v>311</v>
      </c>
      <c r="DB3318" s="122" t="s">
        <v>7893</v>
      </c>
      <c r="DC3318" s="122" t="s">
        <v>3138</v>
      </c>
      <c r="DD3318" s="127">
        <v>2</v>
      </c>
      <c r="DE3318" s="127">
        <v>2</v>
      </c>
      <c r="DG3318" s="405" t="s">
        <v>311</v>
      </c>
      <c r="DH3318" s="406" t="s">
        <v>3138</v>
      </c>
      <c r="DI3318" s="406" t="str">
        <f t="shared" si="83"/>
        <v>PR, Godoy Moreira</v>
      </c>
      <c r="DJ3318" s="406">
        <v>-24.177</v>
      </c>
      <c r="DK3318" s="80">
        <v>-51.923999999999999</v>
      </c>
      <c r="DL3318" s="80">
        <v>512</v>
      </c>
      <c r="DM3318" s="64">
        <v>2</v>
      </c>
      <c r="DN3318" s="406" t="s">
        <v>7813</v>
      </c>
      <c r="DO3318" s="406">
        <v>-24.44</v>
      </c>
      <c r="DP3318" s="80">
        <v>654</v>
      </c>
    </row>
    <row r="3319" spans="29:120" x14ac:dyDescent="0.25">
      <c r="AC3319" s="122" t="s">
        <v>311</v>
      </c>
      <c r="AD3319" s="122" t="s">
        <v>3633</v>
      </c>
      <c r="AE3319" s="127">
        <v>3</v>
      </c>
      <c r="DA3319" s="122" t="s">
        <v>311</v>
      </c>
      <c r="DB3319" s="122" t="s">
        <v>3266</v>
      </c>
      <c r="DC3319" s="122" t="s">
        <v>3266</v>
      </c>
      <c r="DD3319" s="127">
        <v>3</v>
      </c>
      <c r="DE3319" s="127">
        <v>3</v>
      </c>
      <c r="DG3319" s="405" t="s">
        <v>311</v>
      </c>
      <c r="DH3319" s="406" t="s">
        <v>3266</v>
      </c>
      <c r="DI3319" s="406" t="str">
        <f t="shared" si="83"/>
        <v>PR, Goioerê</v>
      </c>
      <c r="DJ3319" s="406">
        <v>-24.184999999999999</v>
      </c>
      <c r="DK3319" s="80">
        <v>-53.027999999999999</v>
      </c>
      <c r="DL3319" s="80">
        <v>505</v>
      </c>
      <c r="DM3319" s="64">
        <v>3</v>
      </c>
      <c r="DN3319" s="406" t="s">
        <v>7820</v>
      </c>
      <c r="DO3319" s="406">
        <v>-23.36</v>
      </c>
      <c r="DP3319" s="80">
        <v>381</v>
      </c>
    </row>
    <row r="3320" spans="29:120" x14ac:dyDescent="0.25">
      <c r="AC3320" s="122" t="s">
        <v>311</v>
      </c>
      <c r="AD3320" s="122" t="s">
        <v>3634</v>
      </c>
      <c r="AE3320" s="127">
        <v>3</v>
      </c>
      <c r="DA3320" s="122" t="s">
        <v>311</v>
      </c>
      <c r="DB3320" s="122" t="s">
        <v>771</v>
      </c>
      <c r="DC3320" s="122" t="s">
        <v>771</v>
      </c>
      <c r="DD3320" s="127">
        <v>2</v>
      </c>
      <c r="DE3320" s="127">
        <v>2</v>
      </c>
      <c r="DG3320" s="405" t="s">
        <v>311</v>
      </c>
      <c r="DH3320" s="406" t="s">
        <v>771</v>
      </c>
      <c r="DI3320" s="406" t="str">
        <f t="shared" si="83"/>
        <v>PR, Goioxim</v>
      </c>
      <c r="DJ3320" s="406">
        <v>-25.195</v>
      </c>
      <c r="DK3320" s="80">
        <v>-51.993000000000002</v>
      </c>
      <c r="DL3320" s="80">
        <v>973</v>
      </c>
      <c r="DM3320" s="64">
        <v>2</v>
      </c>
      <c r="DN3320" s="406" t="s">
        <v>7813</v>
      </c>
      <c r="DO3320" s="406">
        <v>-24.44</v>
      </c>
      <c r="DP3320" s="80">
        <v>654</v>
      </c>
    </row>
    <row r="3321" spans="29:120" x14ac:dyDescent="0.25">
      <c r="AC3321" s="122" t="s">
        <v>376</v>
      </c>
      <c r="AD3321" s="122" t="s">
        <v>3635</v>
      </c>
      <c r="AE3321" s="127">
        <v>3</v>
      </c>
      <c r="DA3321" s="122" t="s">
        <v>311</v>
      </c>
      <c r="DB3321" s="122" t="s">
        <v>7894</v>
      </c>
      <c r="DC3321" s="122" t="s">
        <v>3606</v>
      </c>
      <c r="DD3321" s="127">
        <v>2</v>
      </c>
      <c r="DE3321" s="127">
        <v>2</v>
      </c>
      <c r="DG3321" s="405" t="s">
        <v>311</v>
      </c>
      <c r="DH3321" s="406" t="s">
        <v>3606</v>
      </c>
      <c r="DI3321" s="406" t="str">
        <f t="shared" si="83"/>
        <v>PR, Grandes Rios</v>
      </c>
      <c r="DJ3321" s="406">
        <v>-24.146000000000001</v>
      </c>
      <c r="DK3321" s="80">
        <v>-51.506</v>
      </c>
      <c r="DL3321" s="80">
        <v>610</v>
      </c>
      <c r="DM3321" s="64">
        <v>2</v>
      </c>
      <c r="DN3321" s="406" t="s">
        <v>7813</v>
      </c>
      <c r="DO3321" s="406">
        <v>-24.44</v>
      </c>
      <c r="DP3321" s="80">
        <v>654</v>
      </c>
    </row>
    <row r="3322" spans="29:120" x14ac:dyDescent="0.25">
      <c r="AC3322" s="122" t="s">
        <v>376</v>
      </c>
      <c r="AD3322" s="122" t="s">
        <v>3636</v>
      </c>
      <c r="AE3322" s="127">
        <v>3</v>
      </c>
      <c r="DA3322" s="122" t="s">
        <v>311</v>
      </c>
      <c r="DB3322" s="122" t="s">
        <v>3103</v>
      </c>
      <c r="DC3322" s="122" t="s">
        <v>3103</v>
      </c>
      <c r="DD3322" s="127">
        <v>3</v>
      </c>
      <c r="DE3322" s="127">
        <v>3</v>
      </c>
      <c r="DG3322" s="405" t="s">
        <v>311</v>
      </c>
      <c r="DH3322" s="406" t="s">
        <v>3103</v>
      </c>
      <c r="DI3322" s="406" t="str">
        <f t="shared" si="83"/>
        <v>PR, Guaíra</v>
      </c>
      <c r="DJ3322" s="406">
        <v>-24.08</v>
      </c>
      <c r="DK3322" s="80">
        <v>-54.256</v>
      </c>
      <c r="DL3322" s="80">
        <v>220</v>
      </c>
      <c r="DM3322" s="64">
        <v>3</v>
      </c>
      <c r="DN3322" s="406" t="s">
        <v>7284</v>
      </c>
      <c r="DO3322" s="406">
        <v>-24.56</v>
      </c>
      <c r="DP3322" s="80">
        <v>392</v>
      </c>
    </row>
    <row r="3323" spans="29:120" x14ac:dyDescent="0.25">
      <c r="AC3323" s="122" t="s">
        <v>376</v>
      </c>
      <c r="AD3323" s="122" t="s">
        <v>3637</v>
      </c>
      <c r="AE3323" s="127">
        <v>3</v>
      </c>
      <c r="DA3323" s="122" t="s">
        <v>311</v>
      </c>
      <c r="DB3323" s="122" t="s">
        <v>3215</v>
      </c>
      <c r="DC3323" s="122" t="s">
        <v>3215</v>
      </c>
      <c r="DD3323" s="127">
        <v>3</v>
      </c>
      <c r="DE3323" s="127">
        <v>3</v>
      </c>
      <c r="DG3323" s="405" t="s">
        <v>311</v>
      </c>
      <c r="DH3323" s="406" t="s">
        <v>3215</v>
      </c>
      <c r="DI3323" s="406" t="str">
        <f t="shared" si="83"/>
        <v>PR, Guairaçá</v>
      </c>
      <c r="DJ3323" s="406">
        <v>-22.934000000000001</v>
      </c>
      <c r="DK3323" s="80">
        <v>-52.686</v>
      </c>
      <c r="DL3323" s="80">
        <v>470</v>
      </c>
      <c r="DM3323" s="64">
        <v>3</v>
      </c>
      <c r="DN3323" s="406" t="s">
        <v>7257</v>
      </c>
      <c r="DO3323" s="406">
        <v>-22.64</v>
      </c>
      <c r="DP3323" s="80">
        <v>362</v>
      </c>
    </row>
    <row r="3324" spans="29:120" x14ac:dyDescent="0.25">
      <c r="AC3324" s="122" t="s">
        <v>311</v>
      </c>
      <c r="AD3324" s="122" t="s">
        <v>3638</v>
      </c>
      <c r="AE3324" s="127">
        <v>3</v>
      </c>
      <c r="DA3324" s="122" t="s">
        <v>311</v>
      </c>
      <c r="DB3324" s="122" t="s">
        <v>1706</v>
      </c>
      <c r="DC3324" s="122" t="s">
        <v>1706</v>
      </c>
      <c r="DD3324" s="127">
        <v>2</v>
      </c>
      <c r="DE3324" s="127">
        <v>2</v>
      </c>
      <c r="DG3324" s="405" t="s">
        <v>311</v>
      </c>
      <c r="DH3324" s="406" t="s">
        <v>1706</v>
      </c>
      <c r="DI3324" s="406" t="str">
        <f t="shared" si="83"/>
        <v>PR, Guamiranga</v>
      </c>
      <c r="DJ3324" s="406">
        <v>-25.190999999999999</v>
      </c>
      <c r="DK3324" s="80">
        <v>-50.805</v>
      </c>
      <c r="DL3324" s="80">
        <v>801</v>
      </c>
      <c r="DM3324" s="64">
        <v>2</v>
      </c>
      <c r="DN3324" s="406" t="s">
        <v>7885</v>
      </c>
      <c r="DO3324" s="406">
        <v>-25.01</v>
      </c>
      <c r="DP3324" s="80">
        <v>808</v>
      </c>
    </row>
    <row r="3325" spans="29:120" x14ac:dyDescent="0.25">
      <c r="AC3325" s="122" t="s">
        <v>311</v>
      </c>
      <c r="AD3325" s="122" t="s">
        <v>3639</v>
      </c>
      <c r="AE3325" s="127">
        <v>3</v>
      </c>
      <c r="DA3325" s="122" t="s">
        <v>311</v>
      </c>
      <c r="DB3325" s="122" t="s">
        <v>3390</v>
      </c>
      <c r="DC3325" s="122" t="s">
        <v>3390</v>
      </c>
      <c r="DD3325" s="127">
        <v>2</v>
      </c>
      <c r="DE3325" s="127">
        <v>2</v>
      </c>
      <c r="DG3325" s="405" t="s">
        <v>311</v>
      </c>
      <c r="DH3325" s="406" t="s">
        <v>3390</v>
      </c>
      <c r="DI3325" s="406" t="str">
        <f t="shared" si="83"/>
        <v>PR, Guapirama</v>
      </c>
      <c r="DJ3325" s="406">
        <v>-23.515999999999998</v>
      </c>
      <c r="DK3325" s="80">
        <v>-50.04</v>
      </c>
      <c r="DL3325" s="80">
        <v>520</v>
      </c>
      <c r="DM3325" s="64">
        <v>2</v>
      </c>
      <c r="DN3325" s="406" t="s">
        <v>7859</v>
      </c>
      <c r="DO3325" s="406">
        <v>-23.5</v>
      </c>
      <c r="DP3325" s="80">
        <v>522</v>
      </c>
    </row>
    <row r="3326" spans="29:120" x14ac:dyDescent="0.25">
      <c r="AC3326" s="122" t="s">
        <v>311</v>
      </c>
      <c r="AD3326" s="122" t="s">
        <v>3640</v>
      </c>
      <c r="AE3326" s="127">
        <v>3</v>
      </c>
      <c r="DA3326" s="122" t="s">
        <v>311</v>
      </c>
      <c r="DB3326" s="122" t="s">
        <v>3183</v>
      </c>
      <c r="DC3326" s="122" t="s">
        <v>3183</v>
      </c>
      <c r="DD3326" s="127">
        <v>3</v>
      </c>
      <c r="DE3326" s="127">
        <v>3</v>
      </c>
      <c r="DG3326" s="405" t="s">
        <v>311</v>
      </c>
      <c r="DH3326" s="406" t="s">
        <v>3183</v>
      </c>
      <c r="DI3326" s="406" t="str">
        <f t="shared" si="83"/>
        <v>PR, Guaporema</v>
      </c>
      <c r="DJ3326" s="406">
        <v>-23.343</v>
      </c>
      <c r="DK3326" s="80">
        <v>-52.779000000000003</v>
      </c>
      <c r="DL3326" s="80">
        <v>405</v>
      </c>
      <c r="DM3326" s="64">
        <v>3</v>
      </c>
      <c r="DN3326" s="406" t="s">
        <v>7820</v>
      </c>
      <c r="DO3326" s="406">
        <v>-23.36</v>
      </c>
      <c r="DP3326" s="80">
        <v>381</v>
      </c>
    </row>
    <row r="3327" spans="29:120" x14ac:dyDescent="0.25">
      <c r="AC3327" s="122" t="s">
        <v>376</v>
      </c>
      <c r="AD3327" s="122" t="s">
        <v>3641</v>
      </c>
      <c r="AE3327" s="127">
        <v>2</v>
      </c>
      <c r="DA3327" s="122" t="s">
        <v>311</v>
      </c>
      <c r="DB3327" s="122" t="s">
        <v>2876</v>
      </c>
      <c r="DC3327" s="122" t="s">
        <v>2876</v>
      </c>
      <c r="DD3327" s="127">
        <v>3</v>
      </c>
      <c r="DE3327" s="127">
        <v>3</v>
      </c>
      <c r="DG3327" s="405" t="s">
        <v>311</v>
      </c>
      <c r="DH3327" s="406" t="s">
        <v>2876</v>
      </c>
      <c r="DI3327" s="406" t="str">
        <f t="shared" si="83"/>
        <v>PR, Guaraci</v>
      </c>
      <c r="DJ3327" s="406">
        <v>-22.972999999999999</v>
      </c>
      <c r="DK3327" s="80">
        <v>-51.65</v>
      </c>
      <c r="DL3327" s="80">
        <v>540</v>
      </c>
      <c r="DM3327" s="64">
        <v>3</v>
      </c>
      <c r="DN3327" s="406" t="s">
        <v>7816</v>
      </c>
      <c r="DO3327" s="406">
        <v>-23.42</v>
      </c>
      <c r="DP3327" s="80">
        <v>542</v>
      </c>
    </row>
    <row r="3328" spans="29:120" x14ac:dyDescent="0.25">
      <c r="AC3328" s="122" t="s">
        <v>317</v>
      </c>
      <c r="AD3328" s="122" t="s">
        <v>3642</v>
      </c>
      <c r="AE3328" s="127">
        <v>5</v>
      </c>
      <c r="DA3328" s="122" t="s">
        <v>311</v>
      </c>
      <c r="DB3328" s="122" t="s">
        <v>759</v>
      </c>
      <c r="DC3328" s="122" t="s">
        <v>759</v>
      </c>
      <c r="DD3328" s="127">
        <v>2</v>
      </c>
      <c r="DE3328" s="127">
        <v>2</v>
      </c>
      <c r="DG3328" s="405" t="s">
        <v>311</v>
      </c>
      <c r="DH3328" s="406" t="s">
        <v>759</v>
      </c>
      <c r="DI3328" s="406" t="str">
        <f t="shared" si="83"/>
        <v>PR, Guaraniaçu</v>
      </c>
      <c r="DJ3328" s="406">
        <v>-25.100999999999999</v>
      </c>
      <c r="DK3328" s="80">
        <v>-52.878</v>
      </c>
      <c r="DL3328" s="80">
        <v>923</v>
      </c>
      <c r="DM3328" s="64">
        <v>2</v>
      </c>
      <c r="DN3328" s="406" t="s">
        <v>7838</v>
      </c>
      <c r="DO3328" s="406">
        <v>-25.69</v>
      </c>
      <c r="DP3328" s="80">
        <v>520</v>
      </c>
    </row>
    <row r="3329" spans="29:120" x14ac:dyDescent="0.25">
      <c r="AC3329" s="122" t="s">
        <v>311</v>
      </c>
      <c r="AD3329" s="122" t="s">
        <v>3643</v>
      </c>
      <c r="AE3329" s="127">
        <v>3</v>
      </c>
      <c r="DA3329" s="122" t="s">
        <v>311</v>
      </c>
      <c r="DB3329" s="122" t="s">
        <v>367</v>
      </c>
      <c r="DC3329" s="122" t="s">
        <v>367</v>
      </c>
      <c r="DD3329" s="127">
        <v>1</v>
      </c>
      <c r="DE3329" s="127">
        <v>1</v>
      </c>
      <c r="DG3329" s="405" t="s">
        <v>311</v>
      </c>
      <c r="DH3329" s="406" t="s">
        <v>367</v>
      </c>
      <c r="DI3329" s="406" t="str">
        <f t="shared" si="83"/>
        <v>PR, Guarapuava</v>
      </c>
      <c r="DJ3329" s="406">
        <v>-25.395</v>
      </c>
      <c r="DK3329" s="80">
        <v>-51.457999999999998</v>
      </c>
      <c r="DL3329" s="80">
        <v>1098</v>
      </c>
      <c r="DM3329" s="64">
        <v>1</v>
      </c>
      <c r="DN3329" s="406" t="s">
        <v>7895</v>
      </c>
      <c r="DO3329" s="406">
        <v>-25.57</v>
      </c>
      <c r="DP3329" s="80">
        <v>1260</v>
      </c>
    </row>
    <row r="3330" spans="29:120" x14ac:dyDescent="0.25">
      <c r="AC3330" s="122" t="s">
        <v>333</v>
      </c>
      <c r="AD3330" s="122" t="s">
        <v>3644</v>
      </c>
      <c r="AE3330" s="127">
        <v>5</v>
      </c>
      <c r="DA3330" s="122" t="s">
        <v>311</v>
      </c>
      <c r="DB3330" s="122" t="s">
        <v>3063</v>
      </c>
      <c r="DC3330" s="122" t="s">
        <v>3063</v>
      </c>
      <c r="DD3330" s="127">
        <v>3</v>
      </c>
      <c r="DE3330" s="127">
        <v>3</v>
      </c>
      <c r="DG3330" s="405" t="s">
        <v>311</v>
      </c>
      <c r="DH3330" s="406" t="s">
        <v>3063</v>
      </c>
      <c r="DI3330" s="406" t="str">
        <f t="shared" si="83"/>
        <v>PR, Guaraqueçaba</v>
      </c>
      <c r="DJ3330" s="406">
        <v>-25.306999999999999</v>
      </c>
      <c r="DK3330" s="80">
        <v>-48.329000000000001</v>
      </c>
      <c r="DL3330" s="80">
        <v>20</v>
      </c>
      <c r="DM3330" s="64">
        <v>3</v>
      </c>
      <c r="DN3330" s="406" t="s">
        <v>7823</v>
      </c>
      <c r="DO3330" s="406">
        <v>-25.57</v>
      </c>
      <c r="DP3330" s="80">
        <v>1</v>
      </c>
    </row>
    <row r="3331" spans="29:120" x14ac:dyDescent="0.25">
      <c r="AC3331" s="122" t="s">
        <v>311</v>
      </c>
      <c r="AD3331" s="122" t="s">
        <v>2876</v>
      </c>
      <c r="AE3331" s="127">
        <v>3</v>
      </c>
      <c r="DA3331" s="122" t="s">
        <v>311</v>
      </c>
      <c r="DB3331" s="122" t="s">
        <v>3120</v>
      </c>
      <c r="DC3331" s="122" t="s">
        <v>3120</v>
      </c>
      <c r="DD3331" s="127">
        <v>5</v>
      </c>
      <c r="DE3331" s="127">
        <v>5</v>
      </c>
      <c r="DG3331" s="405" t="s">
        <v>311</v>
      </c>
      <c r="DH3331" s="406" t="s">
        <v>3120</v>
      </c>
      <c r="DI3331" s="406" t="str">
        <f t="shared" ref="DI3331:DI3394" si="84">CONCATENATE(DG3331,", ",DH3331)</f>
        <v>PR, Guaratuba</v>
      </c>
      <c r="DJ3331" s="406">
        <v>-25.882999999999999</v>
      </c>
      <c r="DK3331" s="80">
        <v>-48.575000000000003</v>
      </c>
      <c r="DL3331" s="80">
        <v>15</v>
      </c>
      <c r="DM3331" s="64">
        <v>5</v>
      </c>
      <c r="DN3331" s="406" t="s">
        <v>7896</v>
      </c>
      <c r="DO3331" s="406">
        <v>-26.12</v>
      </c>
      <c r="DP3331" s="80">
        <v>2</v>
      </c>
    </row>
    <row r="3332" spans="29:120" x14ac:dyDescent="0.25">
      <c r="AC3332" s="122" t="s">
        <v>376</v>
      </c>
      <c r="AD3332" s="122" t="s">
        <v>3645</v>
      </c>
      <c r="AE3332" s="127">
        <v>3</v>
      </c>
      <c r="DA3332" s="122" t="s">
        <v>311</v>
      </c>
      <c r="DB3332" s="122" t="s">
        <v>7897</v>
      </c>
      <c r="DC3332" s="122" t="s">
        <v>745</v>
      </c>
      <c r="DD3332" s="127">
        <v>1</v>
      </c>
      <c r="DE3332" s="127">
        <v>1</v>
      </c>
      <c r="DG3332" s="405" t="s">
        <v>311</v>
      </c>
      <c r="DH3332" s="406" t="s">
        <v>745</v>
      </c>
      <c r="DI3332" s="406" t="str">
        <f t="shared" si="84"/>
        <v>PR, Honório Serpa</v>
      </c>
      <c r="DJ3332" s="406">
        <v>-26.140999999999998</v>
      </c>
      <c r="DK3332" s="80">
        <v>-52.387</v>
      </c>
      <c r="DL3332" s="80">
        <v>816</v>
      </c>
      <c r="DM3332" s="64">
        <v>1</v>
      </c>
      <c r="DN3332" s="406" t="s">
        <v>7856</v>
      </c>
      <c r="DO3332" s="406">
        <v>-26.42</v>
      </c>
      <c r="DP3332" s="80">
        <v>980</v>
      </c>
    </row>
    <row r="3333" spans="29:120" x14ac:dyDescent="0.25">
      <c r="AC3333" s="122" t="s">
        <v>336</v>
      </c>
      <c r="AD3333" s="122" t="s">
        <v>3646</v>
      </c>
      <c r="AE3333" s="127">
        <v>3</v>
      </c>
      <c r="DA3333" s="122" t="s">
        <v>311</v>
      </c>
      <c r="DB3333" s="122" t="s">
        <v>712</v>
      </c>
      <c r="DC3333" s="122" t="s">
        <v>712</v>
      </c>
      <c r="DD3333" s="127">
        <v>2</v>
      </c>
      <c r="DE3333" s="127">
        <v>2</v>
      </c>
      <c r="DG3333" s="405" t="s">
        <v>311</v>
      </c>
      <c r="DH3333" s="406" t="s">
        <v>712</v>
      </c>
      <c r="DI3333" s="406" t="str">
        <f t="shared" si="84"/>
        <v>PR, Ibaiti</v>
      </c>
      <c r="DJ3333" s="406">
        <v>-23.849</v>
      </c>
      <c r="DK3333" s="80">
        <v>-50.188000000000002</v>
      </c>
      <c r="DL3333" s="80">
        <v>760</v>
      </c>
      <c r="DM3333" s="64">
        <v>2</v>
      </c>
      <c r="DN3333" s="406" t="s">
        <v>7827</v>
      </c>
      <c r="DO3333" s="406">
        <v>-23.77</v>
      </c>
      <c r="DP3333" s="80">
        <v>930</v>
      </c>
    </row>
    <row r="3334" spans="29:120" x14ac:dyDescent="0.25">
      <c r="AC3334" s="122" t="s">
        <v>376</v>
      </c>
      <c r="AD3334" s="122" t="s">
        <v>3647</v>
      </c>
      <c r="AE3334" s="127">
        <v>3</v>
      </c>
      <c r="DA3334" s="122" t="s">
        <v>311</v>
      </c>
      <c r="DB3334" s="122" t="s">
        <v>445</v>
      </c>
      <c r="DC3334" s="122" t="s">
        <v>445</v>
      </c>
      <c r="DD3334" s="127">
        <v>2</v>
      </c>
      <c r="DE3334" s="127">
        <v>2</v>
      </c>
      <c r="DG3334" s="405" t="s">
        <v>311</v>
      </c>
      <c r="DH3334" s="406" t="s">
        <v>445</v>
      </c>
      <c r="DI3334" s="406" t="str">
        <f t="shared" si="84"/>
        <v>PR, Ibema</v>
      </c>
      <c r="DJ3334" s="406">
        <v>-25.106000000000002</v>
      </c>
      <c r="DK3334" s="80">
        <v>-53.012</v>
      </c>
      <c r="DL3334" s="80">
        <v>910</v>
      </c>
      <c r="DM3334" s="64">
        <v>2</v>
      </c>
      <c r="DN3334" s="406" t="s">
        <v>7838</v>
      </c>
      <c r="DO3334" s="406">
        <v>-25.69</v>
      </c>
      <c r="DP3334" s="80">
        <v>520</v>
      </c>
    </row>
    <row r="3335" spans="29:120" x14ac:dyDescent="0.25">
      <c r="AC3335" s="122" t="s">
        <v>358</v>
      </c>
      <c r="AD3335" s="122" t="s">
        <v>3648</v>
      </c>
      <c r="AE3335" s="127">
        <v>3</v>
      </c>
      <c r="DA3335" s="122" t="s">
        <v>311</v>
      </c>
      <c r="DB3335" s="122" t="s">
        <v>4026</v>
      </c>
      <c r="DC3335" s="122" t="s">
        <v>4026</v>
      </c>
      <c r="DD3335" s="127">
        <v>3</v>
      </c>
      <c r="DE3335" s="127">
        <v>3</v>
      </c>
      <c r="DG3335" s="405" t="s">
        <v>311</v>
      </c>
      <c r="DH3335" s="406" t="s">
        <v>4026</v>
      </c>
      <c r="DI3335" s="406" t="str">
        <f t="shared" si="84"/>
        <v>PR, Ibiporã</v>
      </c>
      <c r="DJ3335" s="406">
        <v>-23.268999999999998</v>
      </c>
      <c r="DK3335" s="80">
        <v>-51.048000000000002</v>
      </c>
      <c r="DL3335" s="80">
        <v>497</v>
      </c>
      <c r="DM3335" s="64">
        <v>3</v>
      </c>
      <c r="DN3335" s="406" t="s">
        <v>7826</v>
      </c>
      <c r="DO3335" s="406">
        <v>-23.38</v>
      </c>
      <c r="DP3335" s="80">
        <v>566</v>
      </c>
    </row>
    <row r="3336" spans="29:120" x14ac:dyDescent="0.25">
      <c r="AC3336" s="122" t="s">
        <v>376</v>
      </c>
      <c r="AD3336" s="122" t="s">
        <v>3649</v>
      </c>
      <c r="AE3336" s="127">
        <v>3</v>
      </c>
      <c r="DA3336" s="122" t="s">
        <v>311</v>
      </c>
      <c r="DB3336" s="122" t="s">
        <v>3370</v>
      </c>
      <c r="DC3336" s="122" t="s">
        <v>3370</v>
      </c>
      <c r="DD3336" s="127">
        <v>3</v>
      </c>
      <c r="DE3336" s="127">
        <v>3</v>
      </c>
      <c r="DG3336" s="405" t="s">
        <v>311</v>
      </c>
      <c r="DH3336" s="406" t="s">
        <v>3370</v>
      </c>
      <c r="DI3336" s="406" t="str">
        <f t="shared" si="84"/>
        <v>PR, Icaraíma</v>
      </c>
      <c r="DJ3336" s="406">
        <v>-23.396000000000001</v>
      </c>
      <c r="DK3336" s="80">
        <v>-53.613999999999997</v>
      </c>
      <c r="DL3336" s="80">
        <v>305</v>
      </c>
      <c r="DM3336" s="64">
        <v>3</v>
      </c>
      <c r="DN3336" s="406" t="s">
        <v>7281</v>
      </c>
      <c r="DO3336" s="406">
        <v>-23.4</v>
      </c>
      <c r="DP3336" s="80">
        <v>385</v>
      </c>
    </row>
    <row r="3337" spans="29:120" x14ac:dyDescent="0.25">
      <c r="AC3337" s="122" t="s">
        <v>376</v>
      </c>
      <c r="AD3337" s="122" t="s">
        <v>3650</v>
      </c>
      <c r="AE3337" s="127">
        <v>2</v>
      </c>
      <c r="DA3337" s="122" t="s">
        <v>311</v>
      </c>
      <c r="DB3337" s="122" t="s">
        <v>3356</v>
      </c>
      <c r="DC3337" s="122" t="s">
        <v>3356</v>
      </c>
      <c r="DD3337" s="127">
        <v>3</v>
      </c>
      <c r="DE3337" s="127">
        <v>3</v>
      </c>
      <c r="DG3337" s="405" t="s">
        <v>311</v>
      </c>
      <c r="DH3337" s="406" t="s">
        <v>3356</v>
      </c>
      <c r="DI3337" s="406" t="str">
        <f t="shared" si="84"/>
        <v>PR, Iguaraçu</v>
      </c>
      <c r="DJ3337" s="406">
        <v>-23.196999999999999</v>
      </c>
      <c r="DK3337" s="80">
        <v>-51.828000000000003</v>
      </c>
      <c r="DL3337" s="80">
        <v>558</v>
      </c>
      <c r="DM3337" s="64">
        <v>3</v>
      </c>
      <c r="DN3337" s="406" t="s">
        <v>7816</v>
      </c>
      <c r="DO3337" s="406">
        <v>-23.42</v>
      </c>
      <c r="DP3337" s="80">
        <v>542</v>
      </c>
    </row>
    <row r="3338" spans="29:120" x14ac:dyDescent="0.25">
      <c r="AC3338" s="122" t="s">
        <v>376</v>
      </c>
      <c r="AD3338" s="122" t="s">
        <v>3651</v>
      </c>
      <c r="AE3338" s="127">
        <v>2</v>
      </c>
      <c r="DA3338" s="122" t="s">
        <v>311</v>
      </c>
      <c r="DB3338" s="122" t="s">
        <v>758</v>
      </c>
      <c r="DC3338" s="122" t="s">
        <v>758</v>
      </c>
      <c r="DD3338" s="127">
        <v>2</v>
      </c>
      <c r="DE3338" s="127">
        <v>2</v>
      </c>
      <c r="DG3338" s="405" t="s">
        <v>311</v>
      </c>
      <c r="DH3338" s="406" t="s">
        <v>758</v>
      </c>
      <c r="DI3338" s="406" t="str">
        <f t="shared" si="84"/>
        <v>PR, Iguatu</v>
      </c>
      <c r="DJ3338" s="406">
        <v>-24.716999999999999</v>
      </c>
      <c r="DK3338" s="80">
        <v>-53.084000000000003</v>
      </c>
      <c r="DL3338" s="80">
        <v>420</v>
      </c>
      <c r="DM3338" s="64">
        <v>2</v>
      </c>
      <c r="DN3338" s="406" t="s">
        <v>7284</v>
      </c>
      <c r="DO3338" s="406">
        <v>-24.56</v>
      </c>
      <c r="DP3338" s="80">
        <v>392</v>
      </c>
    </row>
    <row r="3339" spans="29:120" x14ac:dyDescent="0.25">
      <c r="AC3339" s="122" t="s">
        <v>376</v>
      </c>
      <c r="AD3339" s="122" t="s">
        <v>3652</v>
      </c>
      <c r="AE3339" s="127">
        <v>2</v>
      </c>
      <c r="DA3339" s="122" t="s">
        <v>311</v>
      </c>
      <c r="DB3339" s="122" t="s">
        <v>839</v>
      </c>
      <c r="DC3339" s="122" t="s">
        <v>839</v>
      </c>
      <c r="DD3339" s="127">
        <v>2</v>
      </c>
      <c r="DE3339" s="127">
        <v>2</v>
      </c>
      <c r="DG3339" s="405" t="s">
        <v>311</v>
      </c>
      <c r="DH3339" s="406" t="s">
        <v>839</v>
      </c>
      <c r="DI3339" s="406" t="str">
        <f t="shared" si="84"/>
        <v>PR, Imbaú</v>
      </c>
      <c r="DJ3339" s="406">
        <v>-24.445</v>
      </c>
      <c r="DK3339" s="80">
        <v>-50.761000000000003</v>
      </c>
      <c r="DL3339" s="80">
        <v>940</v>
      </c>
      <c r="DM3339" s="64">
        <v>2</v>
      </c>
      <c r="DN3339" s="406" t="s">
        <v>7885</v>
      </c>
      <c r="DO3339" s="406">
        <v>-25.01</v>
      </c>
      <c r="DP3339" s="80">
        <v>808</v>
      </c>
    </row>
    <row r="3340" spans="29:120" x14ac:dyDescent="0.25">
      <c r="AC3340" s="122" t="s">
        <v>333</v>
      </c>
      <c r="AD3340" s="122" t="s">
        <v>3653</v>
      </c>
      <c r="AE3340" s="127">
        <v>5</v>
      </c>
      <c r="DA3340" s="122" t="s">
        <v>311</v>
      </c>
      <c r="DB3340" s="122" t="s">
        <v>810</v>
      </c>
      <c r="DC3340" s="122" t="s">
        <v>810</v>
      </c>
      <c r="DD3340" s="127">
        <v>2</v>
      </c>
      <c r="DE3340" s="127">
        <v>2</v>
      </c>
      <c r="DG3340" s="405" t="s">
        <v>311</v>
      </c>
      <c r="DH3340" s="406" t="s">
        <v>810</v>
      </c>
      <c r="DI3340" s="406" t="str">
        <f t="shared" si="84"/>
        <v>PR, Imbituva</v>
      </c>
      <c r="DJ3340" s="406">
        <v>-25.23</v>
      </c>
      <c r="DK3340" s="80">
        <v>-50.603999999999999</v>
      </c>
      <c r="DL3340" s="80">
        <v>900</v>
      </c>
      <c r="DM3340" s="64">
        <v>2</v>
      </c>
      <c r="DN3340" s="406" t="s">
        <v>7885</v>
      </c>
      <c r="DO3340" s="406">
        <v>-25.01</v>
      </c>
      <c r="DP3340" s="80">
        <v>808</v>
      </c>
    </row>
    <row r="3341" spans="29:120" x14ac:dyDescent="0.25">
      <c r="AC3341" s="122" t="s">
        <v>376</v>
      </c>
      <c r="AD3341" s="122" t="s">
        <v>3654</v>
      </c>
      <c r="AE3341" s="127">
        <v>3</v>
      </c>
      <c r="DA3341" s="122" t="s">
        <v>311</v>
      </c>
      <c r="DB3341" s="122" t="s">
        <v>7898</v>
      </c>
      <c r="DC3341" s="122" t="s">
        <v>1400</v>
      </c>
      <c r="DD3341" s="127">
        <v>2</v>
      </c>
      <c r="DE3341" s="127">
        <v>2</v>
      </c>
      <c r="DG3341" s="405" t="s">
        <v>311</v>
      </c>
      <c r="DH3341" s="406" t="s">
        <v>1400</v>
      </c>
      <c r="DI3341" s="406" t="str">
        <f t="shared" si="84"/>
        <v>PR, Inácio Martins</v>
      </c>
      <c r="DJ3341" s="406">
        <v>-25.571000000000002</v>
      </c>
      <c r="DK3341" s="80">
        <v>-51.079000000000001</v>
      </c>
      <c r="DL3341" s="80">
        <v>1202</v>
      </c>
      <c r="DM3341" s="64">
        <v>2</v>
      </c>
      <c r="DN3341" s="406" t="s">
        <v>7895</v>
      </c>
      <c r="DO3341" s="406">
        <v>-25.57</v>
      </c>
      <c r="DP3341" s="80">
        <v>1260</v>
      </c>
    </row>
    <row r="3342" spans="29:120" x14ac:dyDescent="0.25">
      <c r="AC3342" s="122" t="s">
        <v>376</v>
      </c>
      <c r="AD3342" s="122" t="s">
        <v>3655</v>
      </c>
      <c r="AE3342" s="127">
        <v>6</v>
      </c>
      <c r="DA3342" s="122" t="s">
        <v>311</v>
      </c>
      <c r="DB3342" s="122" t="s">
        <v>2440</v>
      </c>
      <c r="DC3342" s="122" t="s">
        <v>2440</v>
      </c>
      <c r="DD3342" s="127">
        <v>3</v>
      </c>
      <c r="DE3342" s="127">
        <v>3</v>
      </c>
      <c r="DG3342" s="405" t="s">
        <v>311</v>
      </c>
      <c r="DH3342" s="406" t="s">
        <v>2440</v>
      </c>
      <c r="DI3342" s="406" t="str">
        <f t="shared" si="84"/>
        <v>PR, Inajá</v>
      </c>
      <c r="DJ3342" s="406">
        <v>-22.748999999999999</v>
      </c>
      <c r="DK3342" s="80">
        <v>-52.198</v>
      </c>
      <c r="DL3342" s="80">
        <v>408</v>
      </c>
      <c r="DM3342" s="64">
        <v>3</v>
      </c>
      <c r="DN3342" s="406" t="s">
        <v>7264</v>
      </c>
      <c r="DO3342" s="406">
        <v>-22.49</v>
      </c>
      <c r="DP3342" s="80">
        <v>311</v>
      </c>
    </row>
    <row r="3343" spans="29:120" x14ac:dyDescent="0.25">
      <c r="AC3343" s="122" t="s">
        <v>376</v>
      </c>
      <c r="AD3343" s="122" t="s">
        <v>3656</v>
      </c>
      <c r="AE3343" s="127">
        <v>2</v>
      </c>
      <c r="DA3343" s="122" t="s">
        <v>311</v>
      </c>
      <c r="DB3343" s="122" t="s">
        <v>2800</v>
      </c>
      <c r="DC3343" s="122" t="s">
        <v>2800</v>
      </c>
      <c r="DD3343" s="127">
        <v>3</v>
      </c>
      <c r="DE3343" s="127">
        <v>3</v>
      </c>
      <c r="DG3343" s="405" t="s">
        <v>311</v>
      </c>
      <c r="DH3343" s="406" t="s">
        <v>2800</v>
      </c>
      <c r="DI3343" s="406" t="str">
        <f t="shared" si="84"/>
        <v>PR, Indianópolis</v>
      </c>
      <c r="DJ3343" s="406">
        <v>-23.475999999999999</v>
      </c>
      <c r="DK3343" s="80">
        <v>-52.695999999999998</v>
      </c>
      <c r="DL3343" s="80">
        <v>469</v>
      </c>
      <c r="DM3343" s="64">
        <v>3</v>
      </c>
      <c r="DN3343" s="406" t="s">
        <v>7820</v>
      </c>
      <c r="DO3343" s="406">
        <v>-23.36</v>
      </c>
      <c r="DP3343" s="80">
        <v>381</v>
      </c>
    </row>
    <row r="3344" spans="29:120" x14ac:dyDescent="0.25">
      <c r="AC3344" s="122" t="s">
        <v>376</v>
      </c>
      <c r="AD3344" s="122" t="s">
        <v>3657</v>
      </c>
      <c r="AE3344" s="127">
        <v>3</v>
      </c>
      <c r="DA3344" s="122" t="s">
        <v>311</v>
      </c>
      <c r="DB3344" s="122" t="s">
        <v>828</v>
      </c>
      <c r="DC3344" s="122" t="s">
        <v>828</v>
      </c>
      <c r="DD3344" s="127">
        <v>2</v>
      </c>
      <c r="DE3344" s="127">
        <v>2</v>
      </c>
      <c r="DG3344" s="405" t="s">
        <v>311</v>
      </c>
      <c r="DH3344" s="406" t="s">
        <v>828</v>
      </c>
      <c r="DI3344" s="406" t="str">
        <f t="shared" si="84"/>
        <v>PR, Ipiranga</v>
      </c>
      <c r="DJ3344" s="406">
        <v>-25.024000000000001</v>
      </c>
      <c r="DK3344" s="80">
        <v>-50.584000000000003</v>
      </c>
      <c r="DL3344" s="80">
        <v>800</v>
      </c>
      <c r="DM3344" s="64">
        <v>2</v>
      </c>
      <c r="DN3344" s="406" t="s">
        <v>7885</v>
      </c>
      <c r="DO3344" s="406">
        <v>-25.01</v>
      </c>
      <c r="DP3344" s="80">
        <v>808</v>
      </c>
    </row>
    <row r="3345" spans="29:120" x14ac:dyDescent="0.25">
      <c r="AC3345" s="122" t="s">
        <v>311</v>
      </c>
      <c r="AD3345" s="122" t="s">
        <v>3658</v>
      </c>
      <c r="AE3345" s="127">
        <v>3</v>
      </c>
      <c r="DA3345" s="122" t="s">
        <v>311</v>
      </c>
      <c r="DB3345" s="122" t="s">
        <v>3608</v>
      </c>
      <c r="DC3345" s="122" t="s">
        <v>3608</v>
      </c>
      <c r="DD3345" s="127">
        <v>3</v>
      </c>
      <c r="DE3345" s="127">
        <v>3</v>
      </c>
      <c r="DG3345" s="405" t="s">
        <v>311</v>
      </c>
      <c r="DH3345" s="406" t="s">
        <v>3608</v>
      </c>
      <c r="DI3345" s="406" t="str">
        <f t="shared" si="84"/>
        <v>PR, Iporã</v>
      </c>
      <c r="DJ3345" s="406">
        <v>-24.003</v>
      </c>
      <c r="DK3345" s="80">
        <v>-53.704000000000001</v>
      </c>
      <c r="DL3345" s="80">
        <v>341</v>
      </c>
      <c r="DM3345" s="64">
        <v>3</v>
      </c>
      <c r="DN3345" s="406" t="s">
        <v>7281</v>
      </c>
      <c r="DO3345" s="406">
        <v>-23.4</v>
      </c>
      <c r="DP3345" s="80">
        <v>385</v>
      </c>
    </row>
    <row r="3346" spans="29:120" x14ac:dyDescent="0.25">
      <c r="AC3346" s="122" t="s">
        <v>376</v>
      </c>
      <c r="AD3346" s="122" t="s">
        <v>1366</v>
      </c>
      <c r="AE3346" s="127">
        <v>3</v>
      </c>
      <c r="DA3346" s="122" t="s">
        <v>311</v>
      </c>
      <c r="DB3346" s="122" t="s">
        <v>7899</v>
      </c>
      <c r="DC3346" s="122" t="s">
        <v>3241</v>
      </c>
      <c r="DD3346" s="127">
        <v>3</v>
      </c>
      <c r="DE3346" s="127">
        <v>3</v>
      </c>
      <c r="DG3346" s="405" t="s">
        <v>311</v>
      </c>
      <c r="DH3346" s="406" t="s">
        <v>3241</v>
      </c>
      <c r="DI3346" s="406" t="str">
        <f t="shared" si="84"/>
        <v>PR, Iracema do Oeste</v>
      </c>
      <c r="DJ3346" s="406">
        <v>-24.428000000000001</v>
      </c>
      <c r="DK3346" s="80">
        <v>-53.354999999999997</v>
      </c>
      <c r="DL3346" s="80">
        <v>498</v>
      </c>
      <c r="DM3346" s="64">
        <v>3</v>
      </c>
      <c r="DN3346" s="406" t="s">
        <v>7284</v>
      </c>
      <c r="DO3346" s="406">
        <v>-24.56</v>
      </c>
      <c r="DP3346" s="80">
        <v>392</v>
      </c>
    </row>
    <row r="3347" spans="29:120" x14ac:dyDescent="0.25">
      <c r="AC3347" s="122" t="s">
        <v>376</v>
      </c>
      <c r="AD3347" s="122" t="s">
        <v>3659</v>
      </c>
      <c r="AE3347" s="127">
        <v>3</v>
      </c>
      <c r="DA3347" s="122" t="s">
        <v>311</v>
      </c>
      <c r="DB3347" s="122" t="s">
        <v>1105</v>
      </c>
      <c r="DC3347" s="122" t="s">
        <v>1105</v>
      </c>
      <c r="DD3347" s="127">
        <v>2</v>
      </c>
      <c r="DE3347" s="127">
        <v>2</v>
      </c>
      <c r="DG3347" s="405" t="s">
        <v>311</v>
      </c>
      <c r="DH3347" s="406" t="s">
        <v>1105</v>
      </c>
      <c r="DI3347" s="406" t="str">
        <f t="shared" si="84"/>
        <v>PR, Irati</v>
      </c>
      <c r="DJ3347" s="406">
        <v>-25.466999999999999</v>
      </c>
      <c r="DK3347" s="80">
        <v>-50.651000000000003</v>
      </c>
      <c r="DL3347" s="80">
        <v>820</v>
      </c>
      <c r="DM3347" s="64">
        <v>2</v>
      </c>
      <c r="DN3347" s="406" t="s">
        <v>7895</v>
      </c>
      <c r="DO3347" s="406">
        <v>-25.57</v>
      </c>
      <c r="DP3347" s="80">
        <v>1260</v>
      </c>
    </row>
    <row r="3348" spans="29:120" x14ac:dyDescent="0.25">
      <c r="AC3348" s="122" t="s">
        <v>311</v>
      </c>
      <c r="AD3348" s="122" t="s">
        <v>3660</v>
      </c>
      <c r="AE3348" s="127">
        <v>3</v>
      </c>
      <c r="DA3348" s="122" t="s">
        <v>311</v>
      </c>
      <c r="DB3348" s="122" t="s">
        <v>3150</v>
      </c>
      <c r="DC3348" s="122" t="s">
        <v>3150</v>
      </c>
      <c r="DD3348" s="127">
        <v>2</v>
      </c>
      <c r="DE3348" s="127">
        <v>2</v>
      </c>
      <c r="DG3348" s="405" t="s">
        <v>311</v>
      </c>
      <c r="DH3348" s="406" t="s">
        <v>3150</v>
      </c>
      <c r="DI3348" s="406" t="str">
        <f t="shared" si="84"/>
        <v>PR, Iretama</v>
      </c>
      <c r="DJ3348" s="406">
        <v>-24.423999999999999</v>
      </c>
      <c r="DK3348" s="80">
        <v>-52.106000000000002</v>
      </c>
      <c r="DL3348" s="80">
        <v>595</v>
      </c>
      <c r="DM3348" s="64">
        <v>2</v>
      </c>
      <c r="DN3348" s="406" t="s">
        <v>7813</v>
      </c>
      <c r="DO3348" s="406">
        <v>-24.44</v>
      </c>
      <c r="DP3348" s="80">
        <v>654</v>
      </c>
    </row>
    <row r="3349" spans="29:120" x14ac:dyDescent="0.25">
      <c r="AC3349" s="122" t="s">
        <v>376</v>
      </c>
      <c r="AD3349" s="122" t="s">
        <v>3661</v>
      </c>
      <c r="AE3349" s="127">
        <v>4</v>
      </c>
      <c r="DA3349" s="122" t="s">
        <v>311</v>
      </c>
      <c r="DB3349" s="122" t="s">
        <v>3691</v>
      </c>
      <c r="DC3349" s="122" t="s">
        <v>3691</v>
      </c>
      <c r="DD3349" s="127">
        <v>3</v>
      </c>
      <c r="DE3349" s="127">
        <v>3</v>
      </c>
      <c r="DG3349" s="405" t="s">
        <v>311</v>
      </c>
      <c r="DH3349" s="406" t="s">
        <v>3691</v>
      </c>
      <c r="DI3349" s="406" t="str">
        <f t="shared" si="84"/>
        <v>PR, Itaguajé</v>
      </c>
      <c r="DJ3349" s="406">
        <v>-22.617999999999999</v>
      </c>
      <c r="DK3349" s="80">
        <v>-51.966000000000001</v>
      </c>
      <c r="DL3349" s="80">
        <v>349</v>
      </c>
      <c r="DM3349" s="64">
        <v>3</v>
      </c>
      <c r="DN3349" s="406" t="s">
        <v>7264</v>
      </c>
      <c r="DO3349" s="406">
        <v>-22.49</v>
      </c>
      <c r="DP3349" s="80">
        <v>311</v>
      </c>
    </row>
    <row r="3350" spans="29:120" x14ac:dyDescent="0.25">
      <c r="AC3350" s="122" t="s">
        <v>376</v>
      </c>
      <c r="AD3350" s="122" t="s">
        <v>3662</v>
      </c>
      <c r="AE3350" s="127">
        <v>3</v>
      </c>
      <c r="DA3350" s="122" t="s">
        <v>311</v>
      </c>
      <c r="DB3350" s="122" t="s">
        <v>3593</v>
      </c>
      <c r="DC3350" s="122" t="s">
        <v>3593</v>
      </c>
      <c r="DD3350" s="127">
        <v>3</v>
      </c>
      <c r="DE3350" s="127">
        <v>3</v>
      </c>
      <c r="DG3350" s="405" t="s">
        <v>311</v>
      </c>
      <c r="DH3350" s="406" t="s">
        <v>3593</v>
      </c>
      <c r="DI3350" s="406" t="str">
        <f t="shared" si="84"/>
        <v>PR, Itaipulândia</v>
      </c>
      <c r="DJ3350" s="406">
        <v>-25.137</v>
      </c>
      <c r="DK3350" s="80">
        <v>-54.302</v>
      </c>
      <c r="DL3350" s="80">
        <v>258</v>
      </c>
      <c r="DM3350" s="64">
        <v>3</v>
      </c>
      <c r="DN3350" s="406" t="s">
        <v>7889</v>
      </c>
      <c r="DO3350" s="406">
        <v>-25.6</v>
      </c>
      <c r="DP3350" s="80">
        <v>231</v>
      </c>
    </row>
    <row r="3351" spans="29:120" x14ac:dyDescent="0.25">
      <c r="AC3351" s="122" t="s">
        <v>317</v>
      </c>
      <c r="AD3351" s="122" t="s">
        <v>3663</v>
      </c>
      <c r="AE3351" s="127">
        <v>8</v>
      </c>
      <c r="DA3351" s="122" t="s">
        <v>311</v>
      </c>
      <c r="DB3351" s="122" t="s">
        <v>3696</v>
      </c>
      <c r="DC3351" s="122" t="s">
        <v>3696</v>
      </c>
      <c r="DD3351" s="127">
        <v>3</v>
      </c>
      <c r="DE3351" s="127">
        <v>3</v>
      </c>
      <c r="DG3351" s="405" t="s">
        <v>311</v>
      </c>
      <c r="DH3351" s="406" t="s">
        <v>3696</v>
      </c>
      <c r="DI3351" s="406" t="str">
        <f t="shared" si="84"/>
        <v>PR, Itambaracá</v>
      </c>
      <c r="DJ3351" s="406">
        <v>-23.018000000000001</v>
      </c>
      <c r="DK3351" s="80">
        <v>-50.405999999999999</v>
      </c>
      <c r="DL3351" s="80">
        <v>402</v>
      </c>
      <c r="DM3351" s="64">
        <v>3</v>
      </c>
      <c r="DN3351" s="406" t="s">
        <v>7806</v>
      </c>
      <c r="DO3351" s="406">
        <v>-23.43</v>
      </c>
      <c r="DP3351" s="80">
        <v>668</v>
      </c>
    </row>
    <row r="3352" spans="29:120" x14ac:dyDescent="0.25">
      <c r="AC3352" s="122" t="s">
        <v>376</v>
      </c>
      <c r="AD3352" s="122" t="s">
        <v>3664</v>
      </c>
      <c r="AE3352" s="127">
        <v>3</v>
      </c>
      <c r="DA3352" s="122" t="s">
        <v>311</v>
      </c>
      <c r="DB3352" s="122" t="s">
        <v>2289</v>
      </c>
      <c r="DC3352" s="122" t="s">
        <v>2289</v>
      </c>
      <c r="DD3352" s="127">
        <v>1</v>
      </c>
      <c r="DE3352" s="127">
        <v>1</v>
      </c>
      <c r="DG3352" s="405" t="s">
        <v>311</v>
      </c>
      <c r="DH3352" s="406" t="s">
        <v>2289</v>
      </c>
      <c r="DI3352" s="406" t="str">
        <f t="shared" si="84"/>
        <v>PR, Itambé</v>
      </c>
      <c r="DJ3352" s="406">
        <v>-23.661000000000001</v>
      </c>
      <c r="DK3352" s="80">
        <v>-51.99</v>
      </c>
      <c r="DL3352" s="80">
        <v>428</v>
      </c>
      <c r="DM3352" s="64">
        <v>1</v>
      </c>
      <c r="DN3352" s="406" t="s">
        <v>7816</v>
      </c>
      <c r="DO3352" s="406">
        <v>-23.42</v>
      </c>
      <c r="DP3352" s="80">
        <v>542</v>
      </c>
    </row>
    <row r="3353" spans="29:120" x14ac:dyDescent="0.25">
      <c r="AC3353" s="122" t="s">
        <v>311</v>
      </c>
      <c r="AD3353" s="122" t="s">
        <v>3665</v>
      </c>
      <c r="AE3353" s="127">
        <v>3</v>
      </c>
      <c r="DA3353" s="122" t="s">
        <v>311</v>
      </c>
      <c r="DB3353" s="122" t="s">
        <v>7900</v>
      </c>
      <c r="DC3353" s="122" t="s">
        <v>790</v>
      </c>
      <c r="DD3353" s="127">
        <v>2</v>
      </c>
      <c r="DE3353" s="127">
        <v>2</v>
      </c>
      <c r="DG3353" s="405" t="s">
        <v>311</v>
      </c>
      <c r="DH3353" s="406" t="s">
        <v>790</v>
      </c>
      <c r="DI3353" s="406" t="str">
        <f t="shared" si="84"/>
        <v>PR, Itapejara d'Oeste</v>
      </c>
      <c r="DJ3353" s="406">
        <v>-25.965</v>
      </c>
      <c r="DK3353" s="80">
        <v>-52.816000000000003</v>
      </c>
      <c r="DL3353" s="80">
        <v>670</v>
      </c>
      <c r="DM3353" s="64">
        <v>2</v>
      </c>
      <c r="DN3353" s="406" t="s">
        <v>7838</v>
      </c>
      <c r="DO3353" s="406">
        <v>-25.69</v>
      </c>
      <c r="DP3353" s="80">
        <v>520</v>
      </c>
    </row>
    <row r="3354" spans="29:120" x14ac:dyDescent="0.25">
      <c r="AC3354" s="122" t="s">
        <v>376</v>
      </c>
      <c r="AD3354" s="122" t="s">
        <v>3666</v>
      </c>
      <c r="AE3354" s="127">
        <v>3</v>
      </c>
      <c r="DA3354" s="122" t="s">
        <v>311</v>
      </c>
      <c r="DB3354" s="122" t="s">
        <v>477</v>
      </c>
      <c r="DC3354" s="122" t="s">
        <v>477</v>
      </c>
      <c r="DD3354" s="127">
        <v>1</v>
      </c>
      <c r="DE3354" s="127">
        <v>1</v>
      </c>
      <c r="DG3354" s="405" t="s">
        <v>311</v>
      </c>
      <c r="DH3354" s="406" t="s">
        <v>477</v>
      </c>
      <c r="DI3354" s="406" t="str">
        <f t="shared" si="84"/>
        <v>PR, Itaperuçu</v>
      </c>
      <c r="DJ3354" s="406">
        <v>-25.22</v>
      </c>
      <c r="DK3354" s="80">
        <v>-49.347999999999999</v>
      </c>
      <c r="DL3354" s="80">
        <v>995</v>
      </c>
      <c r="DM3354" s="64">
        <v>1</v>
      </c>
      <c r="DN3354" s="406" t="s">
        <v>7811</v>
      </c>
      <c r="DO3354" s="406">
        <v>-25.43</v>
      </c>
      <c r="DP3354" s="80">
        <v>924</v>
      </c>
    </row>
    <row r="3355" spans="29:120" x14ac:dyDescent="0.25">
      <c r="AC3355" s="122" t="s">
        <v>376</v>
      </c>
      <c r="AD3355" s="122" t="s">
        <v>3667</v>
      </c>
      <c r="AE3355" s="127">
        <v>2</v>
      </c>
      <c r="DA3355" s="122" t="s">
        <v>311</v>
      </c>
      <c r="DB3355" s="122" t="s">
        <v>7901</v>
      </c>
      <c r="DC3355" s="122" t="s">
        <v>3383</v>
      </c>
      <c r="DD3355" s="127">
        <v>3</v>
      </c>
      <c r="DE3355" s="127">
        <v>3</v>
      </c>
      <c r="DG3355" s="405" t="s">
        <v>311</v>
      </c>
      <c r="DH3355" s="406" t="s">
        <v>3383</v>
      </c>
      <c r="DI3355" s="406" t="str">
        <f t="shared" si="84"/>
        <v>PR, Itaúna do Sul</v>
      </c>
      <c r="DJ3355" s="406">
        <v>-22.731000000000002</v>
      </c>
      <c r="DK3355" s="80">
        <v>-52.887</v>
      </c>
      <c r="DL3355" s="80">
        <v>482</v>
      </c>
      <c r="DM3355" s="64">
        <v>3</v>
      </c>
      <c r="DN3355" s="406" t="s">
        <v>7257</v>
      </c>
      <c r="DO3355" s="406">
        <v>-22.64</v>
      </c>
      <c r="DP3355" s="80">
        <v>362</v>
      </c>
    </row>
    <row r="3356" spans="29:120" x14ac:dyDescent="0.25">
      <c r="AC3356" s="122" t="s">
        <v>376</v>
      </c>
      <c r="AD3356" s="122" t="s">
        <v>3668</v>
      </c>
      <c r="AE3356" s="127">
        <v>6</v>
      </c>
      <c r="DA3356" s="122" t="s">
        <v>311</v>
      </c>
      <c r="DB3356" s="122" t="s">
        <v>1747</v>
      </c>
      <c r="DC3356" s="122" t="s">
        <v>1747</v>
      </c>
      <c r="DD3356" s="127">
        <v>2</v>
      </c>
      <c r="DE3356" s="127">
        <v>2</v>
      </c>
      <c r="DG3356" s="405" t="s">
        <v>311</v>
      </c>
      <c r="DH3356" s="406" t="s">
        <v>1747</v>
      </c>
      <c r="DI3356" s="406" t="str">
        <f t="shared" si="84"/>
        <v>PR, Ivaí</v>
      </c>
      <c r="DJ3356" s="406">
        <v>-25.010999999999999</v>
      </c>
      <c r="DK3356" s="80">
        <v>-50.859000000000002</v>
      </c>
      <c r="DL3356" s="80">
        <v>748</v>
      </c>
      <c r="DM3356" s="64">
        <v>2</v>
      </c>
      <c r="DN3356" s="406" t="s">
        <v>7885</v>
      </c>
      <c r="DO3356" s="406">
        <v>-25.01</v>
      </c>
      <c r="DP3356" s="80">
        <v>808</v>
      </c>
    </row>
    <row r="3357" spans="29:120" x14ac:dyDescent="0.25">
      <c r="AC3357" s="122" t="s">
        <v>376</v>
      </c>
      <c r="AD3357" s="122" t="s">
        <v>3648</v>
      </c>
      <c r="AE3357" s="127">
        <v>4</v>
      </c>
      <c r="DA3357" s="122" t="s">
        <v>311</v>
      </c>
      <c r="DB3357" s="122" t="s">
        <v>1640</v>
      </c>
      <c r="DC3357" s="122" t="s">
        <v>1640</v>
      </c>
      <c r="DD3357" s="127">
        <v>2</v>
      </c>
      <c r="DE3357" s="127">
        <v>2</v>
      </c>
      <c r="DG3357" s="405" t="s">
        <v>311</v>
      </c>
      <c r="DH3357" s="406" t="s">
        <v>1640</v>
      </c>
      <c r="DI3357" s="406" t="str">
        <f t="shared" si="84"/>
        <v>PR, Ivaiporã</v>
      </c>
      <c r="DJ3357" s="406">
        <v>-24.248000000000001</v>
      </c>
      <c r="DK3357" s="80">
        <v>-51.685000000000002</v>
      </c>
      <c r="DL3357" s="80">
        <v>692</v>
      </c>
      <c r="DM3357" s="64">
        <v>2</v>
      </c>
      <c r="DN3357" s="406" t="s">
        <v>7813</v>
      </c>
      <c r="DO3357" s="406">
        <v>-24.44</v>
      </c>
      <c r="DP3357" s="80">
        <v>654</v>
      </c>
    </row>
    <row r="3358" spans="29:120" x14ac:dyDescent="0.25">
      <c r="AC3358" s="122" t="s">
        <v>333</v>
      </c>
      <c r="AD3358" s="122" t="s">
        <v>3669</v>
      </c>
      <c r="AE3358" s="127">
        <v>3</v>
      </c>
      <c r="DA3358" s="122" t="s">
        <v>311</v>
      </c>
      <c r="DB3358" s="122" t="s">
        <v>3252</v>
      </c>
      <c r="DC3358" s="122" t="s">
        <v>3252</v>
      </c>
      <c r="DD3358" s="127">
        <v>3</v>
      </c>
      <c r="DE3358" s="127">
        <v>3</v>
      </c>
      <c r="DG3358" s="405" t="s">
        <v>311</v>
      </c>
      <c r="DH3358" s="406" t="s">
        <v>3252</v>
      </c>
      <c r="DI3358" s="406" t="str">
        <f t="shared" si="84"/>
        <v>PR, Ivaté</v>
      </c>
      <c r="DJ3358" s="406">
        <v>-23.408999999999999</v>
      </c>
      <c r="DK3358" s="80">
        <v>-53.369</v>
      </c>
      <c r="DL3358" s="80">
        <v>410</v>
      </c>
      <c r="DM3358" s="64">
        <v>3</v>
      </c>
      <c r="DN3358" s="406" t="s">
        <v>7281</v>
      </c>
      <c r="DO3358" s="406">
        <v>-23.4</v>
      </c>
      <c r="DP3358" s="80">
        <v>385</v>
      </c>
    </row>
    <row r="3359" spans="29:120" x14ac:dyDescent="0.25">
      <c r="AC3359" s="122" t="s">
        <v>376</v>
      </c>
      <c r="AD3359" s="122" t="s">
        <v>3670</v>
      </c>
      <c r="AE3359" s="127">
        <v>4</v>
      </c>
      <c r="DA3359" s="122" t="s">
        <v>311</v>
      </c>
      <c r="DB3359" s="122" t="s">
        <v>3279</v>
      </c>
      <c r="DC3359" s="122" t="s">
        <v>3279</v>
      </c>
      <c r="DD3359" s="127">
        <v>3</v>
      </c>
      <c r="DE3359" s="127">
        <v>3</v>
      </c>
      <c r="DG3359" s="405" t="s">
        <v>311</v>
      </c>
      <c r="DH3359" s="406" t="s">
        <v>3279</v>
      </c>
      <c r="DI3359" s="406" t="str">
        <f t="shared" si="84"/>
        <v>PR, Ivatuba</v>
      </c>
      <c r="DJ3359" s="406">
        <v>-23.619</v>
      </c>
      <c r="DK3359" s="80">
        <v>-52.220999999999997</v>
      </c>
      <c r="DL3359" s="80">
        <v>340</v>
      </c>
      <c r="DM3359" s="64">
        <v>3</v>
      </c>
      <c r="DN3359" s="406" t="s">
        <v>7816</v>
      </c>
      <c r="DO3359" s="406">
        <v>-23.42</v>
      </c>
      <c r="DP3359" s="80">
        <v>542</v>
      </c>
    </row>
    <row r="3360" spans="29:120" x14ac:dyDescent="0.25">
      <c r="AC3360" s="122" t="s">
        <v>376</v>
      </c>
      <c r="AD3360" s="122" t="s">
        <v>3671</v>
      </c>
      <c r="AE3360" s="127">
        <v>3</v>
      </c>
      <c r="DA3360" s="122" t="s">
        <v>311</v>
      </c>
      <c r="DB3360" s="122" t="s">
        <v>554</v>
      </c>
      <c r="DC3360" s="122" t="s">
        <v>554</v>
      </c>
      <c r="DD3360" s="127">
        <v>2</v>
      </c>
      <c r="DE3360" s="127">
        <v>2</v>
      </c>
      <c r="DG3360" s="405" t="s">
        <v>311</v>
      </c>
      <c r="DH3360" s="406" t="s">
        <v>554</v>
      </c>
      <c r="DI3360" s="406" t="str">
        <f t="shared" si="84"/>
        <v>PR, Jaboti</v>
      </c>
      <c r="DJ3360" s="406">
        <v>-23.742999999999999</v>
      </c>
      <c r="DK3360" s="80">
        <v>-50.076000000000001</v>
      </c>
      <c r="DL3360" s="80">
        <v>560</v>
      </c>
      <c r="DM3360" s="64">
        <v>2</v>
      </c>
      <c r="DN3360" s="406" t="s">
        <v>7827</v>
      </c>
      <c r="DO3360" s="406">
        <v>-23.77</v>
      </c>
      <c r="DP3360" s="80">
        <v>930</v>
      </c>
    </row>
    <row r="3361" spans="29:120" x14ac:dyDescent="0.25">
      <c r="AC3361" s="122" t="s">
        <v>311</v>
      </c>
      <c r="AD3361" s="122" t="s">
        <v>3672</v>
      </c>
      <c r="AE3361" s="127">
        <v>3</v>
      </c>
      <c r="DA3361" s="122" t="s">
        <v>311</v>
      </c>
      <c r="DB3361" s="122" t="s">
        <v>3633</v>
      </c>
      <c r="DC3361" s="122" t="s">
        <v>3633</v>
      </c>
      <c r="DD3361" s="127">
        <v>3</v>
      </c>
      <c r="DE3361" s="127">
        <v>3</v>
      </c>
      <c r="DG3361" s="405" t="s">
        <v>311</v>
      </c>
      <c r="DH3361" s="406" t="s">
        <v>3633</v>
      </c>
      <c r="DI3361" s="406" t="str">
        <f t="shared" si="84"/>
        <v>PR, Jacarezinho</v>
      </c>
      <c r="DJ3361" s="406">
        <v>-23.161000000000001</v>
      </c>
      <c r="DK3361" s="80">
        <v>-49.969000000000001</v>
      </c>
      <c r="DL3361" s="80">
        <v>501</v>
      </c>
      <c r="DM3361" s="64">
        <v>3</v>
      </c>
      <c r="DN3361" s="406" t="s">
        <v>7822</v>
      </c>
      <c r="DO3361" s="406">
        <v>-22.98</v>
      </c>
      <c r="DP3361" s="80">
        <v>448</v>
      </c>
    </row>
    <row r="3362" spans="29:120" x14ac:dyDescent="0.25">
      <c r="AC3362" s="122" t="s">
        <v>376</v>
      </c>
      <c r="AD3362" s="122" t="s">
        <v>3673</v>
      </c>
      <c r="AE3362" s="127">
        <v>6</v>
      </c>
      <c r="DA3362" s="122" t="s">
        <v>311</v>
      </c>
      <c r="DB3362" s="122" t="s">
        <v>3693</v>
      </c>
      <c r="DC3362" s="122" t="s">
        <v>3693</v>
      </c>
      <c r="DD3362" s="127">
        <v>3</v>
      </c>
      <c r="DE3362" s="127">
        <v>3</v>
      </c>
      <c r="DG3362" s="405" t="s">
        <v>311</v>
      </c>
      <c r="DH3362" s="406" t="s">
        <v>3693</v>
      </c>
      <c r="DI3362" s="406" t="str">
        <f t="shared" si="84"/>
        <v>PR, Jaguapitã</v>
      </c>
      <c r="DJ3362" s="406">
        <v>-23.113</v>
      </c>
      <c r="DK3362" s="80">
        <v>-51.531999999999996</v>
      </c>
      <c r="DL3362" s="80">
        <v>610</v>
      </c>
      <c r="DM3362" s="64">
        <v>3</v>
      </c>
      <c r="DN3362" s="406" t="s">
        <v>7826</v>
      </c>
      <c r="DO3362" s="406">
        <v>-23.38</v>
      </c>
      <c r="DP3362" s="80">
        <v>566</v>
      </c>
    </row>
    <row r="3363" spans="29:120" x14ac:dyDescent="0.25">
      <c r="AC3363" s="122" t="s">
        <v>333</v>
      </c>
      <c r="AD3363" s="122" t="s">
        <v>797</v>
      </c>
      <c r="AE3363" s="127">
        <v>3</v>
      </c>
      <c r="DA3363" s="122" t="s">
        <v>311</v>
      </c>
      <c r="DB3363" s="122" t="s">
        <v>841</v>
      </c>
      <c r="DC3363" s="122" t="s">
        <v>841</v>
      </c>
      <c r="DD3363" s="127">
        <v>2</v>
      </c>
      <c r="DE3363" s="127">
        <v>2</v>
      </c>
      <c r="DG3363" s="405" t="s">
        <v>311</v>
      </c>
      <c r="DH3363" s="406" t="s">
        <v>841</v>
      </c>
      <c r="DI3363" s="406" t="str">
        <f t="shared" si="84"/>
        <v>PR, Jaguariaíva</v>
      </c>
      <c r="DJ3363" s="406">
        <v>-24.251000000000001</v>
      </c>
      <c r="DK3363" s="80">
        <v>-49.706000000000003</v>
      </c>
      <c r="DL3363" s="80">
        <v>850</v>
      </c>
      <c r="DM3363" s="64">
        <v>2</v>
      </c>
      <c r="DN3363" s="406" t="s">
        <v>7858</v>
      </c>
      <c r="DO3363" s="406">
        <v>-24.79</v>
      </c>
      <c r="DP3363" s="80">
        <v>1008</v>
      </c>
    </row>
    <row r="3364" spans="29:120" x14ac:dyDescent="0.25">
      <c r="AC3364" s="122" t="s">
        <v>333</v>
      </c>
      <c r="AD3364" s="122" t="s">
        <v>3674</v>
      </c>
      <c r="AE3364" s="127">
        <v>5</v>
      </c>
      <c r="DA3364" s="122" t="s">
        <v>311</v>
      </c>
      <c r="DB3364" s="122" t="s">
        <v>7902</v>
      </c>
      <c r="DC3364" s="122" t="s">
        <v>3197</v>
      </c>
      <c r="DD3364" s="127">
        <v>3</v>
      </c>
      <c r="DE3364" s="127">
        <v>3</v>
      </c>
      <c r="DG3364" s="405" t="s">
        <v>311</v>
      </c>
      <c r="DH3364" s="406" t="s">
        <v>3197</v>
      </c>
      <c r="DI3364" s="406" t="str">
        <f t="shared" si="84"/>
        <v>PR, Jandaia do Sul</v>
      </c>
      <c r="DJ3364" s="406">
        <v>-23.603000000000002</v>
      </c>
      <c r="DK3364" s="80">
        <v>-51.643000000000001</v>
      </c>
      <c r="DL3364" s="80">
        <v>807</v>
      </c>
      <c r="DM3364" s="64">
        <v>3</v>
      </c>
      <c r="DN3364" s="406" t="s">
        <v>7816</v>
      </c>
      <c r="DO3364" s="406">
        <v>-23.42</v>
      </c>
      <c r="DP3364" s="80">
        <v>542</v>
      </c>
    </row>
    <row r="3365" spans="29:120" x14ac:dyDescent="0.25">
      <c r="AC3365" s="122" t="s">
        <v>376</v>
      </c>
      <c r="AD3365" s="122" t="s">
        <v>3675</v>
      </c>
      <c r="AE3365" s="127">
        <v>3</v>
      </c>
      <c r="DA3365" s="122" t="s">
        <v>311</v>
      </c>
      <c r="DB3365" s="122" t="s">
        <v>3159</v>
      </c>
      <c r="DC3365" s="122" t="s">
        <v>3159</v>
      </c>
      <c r="DD3365" s="127">
        <v>3</v>
      </c>
      <c r="DE3365" s="127">
        <v>3</v>
      </c>
      <c r="DG3365" s="405" t="s">
        <v>311</v>
      </c>
      <c r="DH3365" s="406" t="s">
        <v>3159</v>
      </c>
      <c r="DI3365" s="406" t="str">
        <f t="shared" si="84"/>
        <v>PR, Janiópolis</v>
      </c>
      <c r="DJ3365" s="406">
        <v>-24.141999999999999</v>
      </c>
      <c r="DK3365" s="80">
        <v>-52.781999999999996</v>
      </c>
      <c r="DL3365" s="80">
        <v>560</v>
      </c>
      <c r="DM3365" s="64">
        <v>3</v>
      </c>
      <c r="DN3365" s="406" t="s">
        <v>7820</v>
      </c>
      <c r="DO3365" s="406">
        <v>-23.36</v>
      </c>
      <c r="DP3365" s="80">
        <v>381</v>
      </c>
    </row>
    <row r="3366" spans="29:120" x14ac:dyDescent="0.25">
      <c r="AC3366" s="122" t="s">
        <v>376</v>
      </c>
      <c r="AD3366" s="122" t="s">
        <v>3676</v>
      </c>
      <c r="AE3366" s="127">
        <v>3</v>
      </c>
      <c r="DA3366" s="122" t="s">
        <v>311</v>
      </c>
      <c r="DB3366" s="122" t="s">
        <v>713</v>
      </c>
      <c r="DC3366" s="122" t="s">
        <v>713</v>
      </c>
      <c r="DD3366" s="127">
        <v>2</v>
      </c>
      <c r="DE3366" s="127">
        <v>2</v>
      </c>
      <c r="DG3366" s="405" t="s">
        <v>311</v>
      </c>
      <c r="DH3366" s="406" t="s">
        <v>713</v>
      </c>
      <c r="DI3366" s="406" t="str">
        <f t="shared" si="84"/>
        <v>PR, Japira</v>
      </c>
      <c r="DJ3366" s="406">
        <v>-23.812999999999999</v>
      </c>
      <c r="DK3366" s="80">
        <v>-50.139000000000003</v>
      </c>
      <c r="DL3366" s="80">
        <v>660</v>
      </c>
      <c r="DM3366" s="64">
        <v>2</v>
      </c>
      <c r="DN3366" s="406" t="s">
        <v>7827</v>
      </c>
      <c r="DO3366" s="406">
        <v>-23.77</v>
      </c>
      <c r="DP3366" s="80">
        <v>930</v>
      </c>
    </row>
    <row r="3367" spans="29:120" x14ac:dyDescent="0.25">
      <c r="AC3367" s="122" t="s">
        <v>376</v>
      </c>
      <c r="AD3367" s="122" t="s">
        <v>3677</v>
      </c>
      <c r="AE3367" s="127">
        <v>3</v>
      </c>
      <c r="DA3367" s="122" t="s">
        <v>311</v>
      </c>
      <c r="DB3367" s="122" t="s">
        <v>3611</v>
      </c>
      <c r="DC3367" s="122" t="s">
        <v>3611</v>
      </c>
      <c r="DD3367" s="127">
        <v>3</v>
      </c>
      <c r="DE3367" s="127">
        <v>3</v>
      </c>
      <c r="DG3367" s="405" t="s">
        <v>311</v>
      </c>
      <c r="DH3367" s="406" t="s">
        <v>3611</v>
      </c>
      <c r="DI3367" s="406" t="str">
        <f t="shared" si="84"/>
        <v>PR, Japurá</v>
      </c>
      <c r="DJ3367" s="406">
        <v>-23.47</v>
      </c>
      <c r="DK3367" s="80">
        <v>-52.552999999999997</v>
      </c>
      <c r="DL3367" s="80">
        <v>344</v>
      </c>
      <c r="DM3367" s="64">
        <v>3</v>
      </c>
      <c r="DN3367" s="406" t="s">
        <v>7820</v>
      </c>
      <c r="DO3367" s="406">
        <v>-23.36</v>
      </c>
      <c r="DP3367" s="80">
        <v>381</v>
      </c>
    </row>
    <row r="3368" spans="29:120" x14ac:dyDescent="0.25">
      <c r="AC3368" s="122" t="s">
        <v>333</v>
      </c>
      <c r="AD3368" s="122" t="s">
        <v>3678</v>
      </c>
      <c r="AE3368" s="127">
        <v>5</v>
      </c>
      <c r="DA3368" s="122" t="s">
        <v>311</v>
      </c>
      <c r="DB3368" s="122" t="s">
        <v>7903</v>
      </c>
      <c r="DC3368" s="122" t="s">
        <v>800</v>
      </c>
      <c r="DD3368" s="127">
        <v>2</v>
      </c>
      <c r="DE3368" s="127">
        <v>2</v>
      </c>
      <c r="DG3368" s="405" t="s">
        <v>311</v>
      </c>
      <c r="DH3368" s="406" t="s">
        <v>800</v>
      </c>
      <c r="DI3368" s="406" t="str">
        <f t="shared" si="84"/>
        <v>PR, Jardim Alegre</v>
      </c>
      <c r="DJ3368" s="406">
        <v>-24.178999999999998</v>
      </c>
      <c r="DK3368" s="80">
        <v>-51.692</v>
      </c>
      <c r="DL3368" s="80">
        <v>652</v>
      </c>
      <c r="DM3368" s="64">
        <v>2</v>
      </c>
      <c r="DN3368" s="406" t="s">
        <v>7813</v>
      </c>
      <c r="DO3368" s="406">
        <v>-24.44</v>
      </c>
      <c r="DP3368" s="80">
        <v>654</v>
      </c>
    </row>
    <row r="3369" spans="29:120" x14ac:dyDescent="0.25">
      <c r="AC3369" s="122" t="s">
        <v>358</v>
      </c>
      <c r="AD3369" s="122" t="s">
        <v>3679</v>
      </c>
      <c r="AE3369" s="127">
        <v>3</v>
      </c>
      <c r="DA3369" s="122" t="s">
        <v>311</v>
      </c>
      <c r="DB3369" s="122" t="s">
        <v>7904</v>
      </c>
      <c r="DC3369" s="122" t="s">
        <v>3512</v>
      </c>
      <c r="DD3369" s="127">
        <v>3</v>
      </c>
      <c r="DE3369" s="127">
        <v>3</v>
      </c>
      <c r="DG3369" s="405" t="s">
        <v>311</v>
      </c>
      <c r="DH3369" s="406" t="s">
        <v>3512</v>
      </c>
      <c r="DI3369" s="406" t="str">
        <f t="shared" si="84"/>
        <v>PR, Jardim Olinda</v>
      </c>
      <c r="DJ3369" s="406">
        <v>-22.548999999999999</v>
      </c>
      <c r="DK3369" s="80">
        <v>-52.061</v>
      </c>
      <c r="DL3369" s="80">
        <v>260</v>
      </c>
      <c r="DM3369" s="64">
        <v>3</v>
      </c>
      <c r="DN3369" s="406" t="s">
        <v>7264</v>
      </c>
      <c r="DO3369" s="406">
        <v>-22.49</v>
      </c>
      <c r="DP3369" s="80">
        <v>311</v>
      </c>
    </row>
    <row r="3370" spans="29:120" x14ac:dyDescent="0.25">
      <c r="AC3370" s="122" t="s">
        <v>358</v>
      </c>
      <c r="AD3370" s="122" t="s">
        <v>3680</v>
      </c>
      <c r="AE3370" s="127">
        <v>3</v>
      </c>
      <c r="DA3370" s="122" t="s">
        <v>311</v>
      </c>
      <c r="DB3370" s="122" t="s">
        <v>3804</v>
      </c>
      <c r="DC3370" s="122" t="s">
        <v>3804</v>
      </c>
      <c r="DD3370" s="127">
        <v>3</v>
      </c>
      <c r="DE3370" s="127">
        <v>3</v>
      </c>
      <c r="DG3370" s="405" t="s">
        <v>311</v>
      </c>
      <c r="DH3370" s="406" t="s">
        <v>3804</v>
      </c>
      <c r="DI3370" s="406" t="str">
        <f t="shared" si="84"/>
        <v>PR, Jataizinho</v>
      </c>
      <c r="DJ3370" s="406">
        <v>-23.254000000000001</v>
      </c>
      <c r="DK3370" s="80">
        <v>-50.98</v>
      </c>
      <c r="DL3370" s="80">
        <v>352</v>
      </c>
      <c r="DM3370" s="64">
        <v>3</v>
      </c>
      <c r="DN3370" s="406" t="s">
        <v>7826</v>
      </c>
      <c r="DO3370" s="406">
        <v>-23.38</v>
      </c>
      <c r="DP3370" s="80">
        <v>566</v>
      </c>
    </row>
    <row r="3371" spans="29:120" x14ac:dyDescent="0.25">
      <c r="AC3371" s="122" t="s">
        <v>376</v>
      </c>
      <c r="AD3371" s="122" t="s">
        <v>3681</v>
      </c>
      <c r="AE3371" s="127">
        <v>5</v>
      </c>
      <c r="DA3371" s="122" t="s">
        <v>311</v>
      </c>
      <c r="DB3371" s="122" t="s">
        <v>3238</v>
      </c>
      <c r="DC3371" s="122" t="s">
        <v>3238</v>
      </c>
      <c r="DD3371" s="127">
        <v>3</v>
      </c>
      <c r="DE3371" s="127">
        <v>3</v>
      </c>
      <c r="DG3371" s="405" t="s">
        <v>311</v>
      </c>
      <c r="DH3371" s="406" t="s">
        <v>3238</v>
      </c>
      <c r="DI3371" s="406" t="str">
        <f t="shared" si="84"/>
        <v>PR, Jesuítas</v>
      </c>
      <c r="DJ3371" s="406">
        <v>-24.385000000000002</v>
      </c>
      <c r="DK3371" s="80">
        <v>-53.387999999999998</v>
      </c>
      <c r="DL3371" s="80">
        <v>489</v>
      </c>
      <c r="DM3371" s="64">
        <v>3</v>
      </c>
      <c r="DN3371" s="406" t="s">
        <v>7284</v>
      </c>
      <c r="DO3371" s="406">
        <v>-24.56</v>
      </c>
      <c r="DP3371" s="80">
        <v>392</v>
      </c>
    </row>
    <row r="3372" spans="29:120" x14ac:dyDescent="0.25">
      <c r="AC3372" s="122" t="s">
        <v>333</v>
      </c>
      <c r="AD3372" s="122" t="s">
        <v>3682</v>
      </c>
      <c r="AE3372" s="127">
        <v>4</v>
      </c>
      <c r="DA3372" s="122" t="s">
        <v>311</v>
      </c>
      <c r="DB3372" s="122" t="s">
        <v>7905</v>
      </c>
      <c r="DC3372" s="122" t="s">
        <v>3545</v>
      </c>
      <c r="DD3372" s="127">
        <v>2</v>
      </c>
      <c r="DE3372" s="127">
        <v>2</v>
      </c>
      <c r="DG3372" s="405" t="s">
        <v>311</v>
      </c>
      <c r="DH3372" s="406" t="s">
        <v>3545</v>
      </c>
      <c r="DI3372" s="406" t="str">
        <f t="shared" si="84"/>
        <v>PR, Joaquim Távora</v>
      </c>
      <c r="DJ3372" s="406">
        <v>-23.498999999999999</v>
      </c>
      <c r="DK3372" s="80">
        <v>-49.905000000000001</v>
      </c>
      <c r="DL3372" s="80">
        <v>620</v>
      </c>
      <c r="DM3372" s="64">
        <v>2</v>
      </c>
      <c r="DN3372" s="406" t="s">
        <v>7859</v>
      </c>
      <c r="DO3372" s="406">
        <v>-23.5</v>
      </c>
      <c r="DP3372" s="80">
        <v>522</v>
      </c>
    </row>
    <row r="3373" spans="29:120" x14ac:dyDescent="0.25">
      <c r="AC3373" s="122" t="s">
        <v>336</v>
      </c>
      <c r="AD3373" s="122" t="s">
        <v>3683</v>
      </c>
      <c r="AE3373" s="127">
        <v>3</v>
      </c>
      <c r="DA3373" s="122" t="s">
        <v>311</v>
      </c>
      <c r="DB3373" s="122" t="s">
        <v>7906</v>
      </c>
      <c r="DC3373" s="122" t="s">
        <v>3218</v>
      </c>
      <c r="DD3373" s="127">
        <v>3</v>
      </c>
      <c r="DE3373" s="127">
        <v>3</v>
      </c>
      <c r="DG3373" s="405" t="s">
        <v>311</v>
      </c>
      <c r="DH3373" s="406" t="s">
        <v>3218</v>
      </c>
      <c r="DI3373" s="406" t="str">
        <f t="shared" si="84"/>
        <v>PR, Jundiaí do Sul</v>
      </c>
      <c r="DJ3373" s="406">
        <v>-23.437000000000001</v>
      </c>
      <c r="DK3373" s="80">
        <v>-50.247999999999998</v>
      </c>
      <c r="DL3373" s="80">
        <v>520</v>
      </c>
      <c r="DM3373" s="64">
        <v>3</v>
      </c>
      <c r="DN3373" s="406" t="s">
        <v>7806</v>
      </c>
      <c r="DO3373" s="406">
        <v>-23.43</v>
      </c>
      <c r="DP3373" s="80">
        <v>668</v>
      </c>
    </row>
    <row r="3374" spans="29:120" x14ac:dyDescent="0.25">
      <c r="AC3374" s="122" t="s">
        <v>376</v>
      </c>
      <c r="AD3374" s="122" t="s">
        <v>3684</v>
      </c>
      <c r="AE3374" s="127">
        <v>3</v>
      </c>
      <c r="DA3374" s="122" t="s">
        <v>311</v>
      </c>
      <c r="DB3374" s="122" t="s">
        <v>755</v>
      </c>
      <c r="DC3374" s="122" t="s">
        <v>755</v>
      </c>
      <c r="DD3374" s="127">
        <v>3</v>
      </c>
      <c r="DE3374" s="127">
        <v>3</v>
      </c>
      <c r="DG3374" s="405" t="s">
        <v>311</v>
      </c>
      <c r="DH3374" s="406" t="s">
        <v>755</v>
      </c>
      <c r="DI3374" s="406" t="str">
        <f t="shared" si="84"/>
        <v>PR, Juranda</v>
      </c>
      <c r="DJ3374" s="406">
        <v>-24.42</v>
      </c>
      <c r="DK3374" s="80">
        <v>-52.843000000000004</v>
      </c>
      <c r="DL3374" s="80">
        <v>521</v>
      </c>
      <c r="DM3374" s="64">
        <v>3</v>
      </c>
      <c r="DN3374" s="406" t="s">
        <v>7813</v>
      </c>
      <c r="DO3374" s="406">
        <v>-24.44</v>
      </c>
      <c r="DP3374" s="80">
        <v>654</v>
      </c>
    </row>
    <row r="3375" spans="29:120" x14ac:dyDescent="0.25">
      <c r="AC3375" s="122" t="s">
        <v>376</v>
      </c>
      <c r="AD3375" s="122" t="s">
        <v>3685</v>
      </c>
      <c r="AE3375" s="127">
        <v>6</v>
      </c>
      <c r="DA3375" s="122" t="s">
        <v>311</v>
      </c>
      <c r="DB3375" s="122" t="s">
        <v>2585</v>
      </c>
      <c r="DC3375" s="122" t="s">
        <v>2585</v>
      </c>
      <c r="DD3375" s="127">
        <v>3</v>
      </c>
      <c r="DE3375" s="127">
        <v>3</v>
      </c>
      <c r="DG3375" s="405" t="s">
        <v>311</v>
      </c>
      <c r="DH3375" s="406" t="s">
        <v>2585</v>
      </c>
      <c r="DI3375" s="406" t="str">
        <f t="shared" si="84"/>
        <v>PR, Jussara</v>
      </c>
      <c r="DJ3375" s="406">
        <v>-23.620999999999999</v>
      </c>
      <c r="DK3375" s="80">
        <v>-52.469000000000001</v>
      </c>
      <c r="DL3375" s="80">
        <v>382</v>
      </c>
      <c r="DM3375" s="64">
        <v>3</v>
      </c>
      <c r="DN3375" s="406" t="s">
        <v>7820</v>
      </c>
      <c r="DO3375" s="406">
        <v>-23.36</v>
      </c>
      <c r="DP3375" s="80">
        <v>381</v>
      </c>
    </row>
    <row r="3376" spans="29:120" x14ac:dyDescent="0.25">
      <c r="AC3376" s="122" t="s">
        <v>376</v>
      </c>
      <c r="AD3376" s="122" t="s">
        <v>3686</v>
      </c>
      <c r="AE3376" s="127">
        <v>4</v>
      </c>
      <c r="DA3376" s="122" t="s">
        <v>311</v>
      </c>
      <c r="DB3376" s="122" t="s">
        <v>3172</v>
      </c>
      <c r="DC3376" s="122" t="s">
        <v>3172</v>
      </c>
      <c r="DD3376" s="127">
        <v>2</v>
      </c>
      <c r="DE3376" s="127">
        <v>2</v>
      </c>
      <c r="DG3376" s="405" t="s">
        <v>311</v>
      </c>
      <c r="DH3376" s="406" t="s">
        <v>3172</v>
      </c>
      <c r="DI3376" s="406" t="str">
        <f t="shared" si="84"/>
        <v>PR, Kaloré</v>
      </c>
      <c r="DJ3376" s="406">
        <v>-23.817</v>
      </c>
      <c r="DK3376" s="80">
        <v>-51.667999999999999</v>
      </c>
      <c r="DL3376" s="80">
        <v>520</v>
      </c>
      <c r="DM3376" s="64">
        <v>2</v>
      </c>
      <c r="DN3376" s="406" t="s">
        <v>7816</v>
      </c>
      <c r="DO3376" s="406">
        <v>-23.42</v>
      </c>
      <c r="DP3376" s="80">
        <v>542</v>
      </c>
    </row>
    <row r="3377" spans="29:120" x14ac:dyDescent="0.25">
      <c r="AC3377" s="122" t="s">
        <v>376</v>
      </c>
      <c r="AD3377" s="122" t="s">
        <v>3687</v>
      </c>
      <c r="AE3377" s="127">
        <v>6</v>
      </c>
      <c r="DA3377" s="122" t="s">
        <v>311</v>
      </c>
      <c r="DB3377" s="122" t="s">
        <v>517</v>
      </c>
      <c r="DC3377" s="122" t="s">
        <v>517</v>
      </c>
      <c r="DD3377" s="127">
        <v>2</v>
      </c>
      <c r="DE3377" s="127">
        <v>2</v>
      </c>
      <c r="DG3377" s="405" t="s">
        <v>311</v>
      </c>
      <c r="DH3377" s="406" t="s">
        <v>517</v>
      </c>
      <c r="DI3377" s="406" t="str">
        <f t="shared" si="84"/>
        <v>PR, Lapa</v>
      </c>
      <c r="DJ3377" s="406">
        <v>-25.77</v>
      </c>
      <c r="DK3377" s="80">
        <v>-49.716000000000001</v>
      </c>
      <c r="DL3377" s="80">
        <v>908</v>
      </c>
      <c r="DM3377" s="64">
        <v>2</v>
      </c>
      <c r="DN3377" s="406" t="s">
        <v>7809</v>
      </c>
      <c r="DO3377" s="406">
        <v>-26.25</v>
      </c>
      <c r="DP3377" s="80">
        <v>869</v>
      </c>
    </row>
    <row r="3378" spans="29:120" x14ac:dyDescent="0.25">
      <c r="AC3378" s="122" t="s">
        <v>376</v>
      </c>
      <c r="AD3378" s="122" t="s">
        <v>3688</v>
      </c>
      <c r="AE3378" s="127">
        <v>3</v>
      </c>
      <c r="DA3378" s="122" t="s">
        <v>311</v>
      </c>
      <c r="DB3378" s="122" t="s">
        <v>785</v>
      </c>
      <c r="DC3378" s="122" t="s">
        <v>785</v>
      </c>
      <c r="DD3378" s="127">
        <v>2</v>
      </c>
      <c r="DE3378" s="127">
        <v>2</v>
      </c>
      <c r="DG3378" s="405" t="s">
        <v>311</v>
      </c>
      <c r="DH3378" s="406" t="s">
        <v>785</v>
      </c>
      <c r="DI3378" s="406" t="str">
        <f t="shared" si="84"/>
        <v>PR, Laranjal</v>
      </c>
      <c r="DJ3378" s="406">
        <v>-24.887</v>
      </c>
      <c r="DK3378" s="80">
        <v>-52.469000000000001</v>
      </c>
      <c r="DL3378" s="80">
        <v>740</v>
      </c>
      <c r="DM3378" s="64">
        <v>2</v>
      </c>
      <c r="DN3378" s="406" t="s">
        <v>7813</v>
      </c>
      <c r="DO3378" s="406">
        <v>-24.44</v>
      </c>
      <c r="DP3378" s="80">
        <v>654</v>
      </c>
    </row>
    <row r="3379" spans="29:120" x14ac:dyDescent="0.25">
      <c r="AC3379" s="122" t="s">
        <v>333</v>
      </c>
      <c r="AD3379" s="122" t="s">
        <v>3689</v>
      </c>
      <c r="AE3379" s="127">
        <v>5</v>
      </c>
      <c r="DA3379" s="122" t="s">
        <v>311</v>
      </c>
      <c r="DB3379" s="122" t="s">
        <v>7907</v>
      </c>
      <c r="DC3379" s="122" t="s">
        <v>781</v>
      </c>
      <c r="DD3379" s="127">
        <v>2</v>
      </c>
      <c r="DE3379" s="127">
        <v>2</v>
      </c>
      <c r="DG3379" s="405" t="s">
        <v>311</v>
      </c>
      <c r="DH3379" s="406" t="s">
        <v>781</v>
      </c>
      <c r="DI3379" s="406" t="str">
        <f t="shared" si="84"/>
        <v>PR, Laranjeiras do Sul</v>
      </c>
      <c r="DJ3379" s="406">
        <v>-25.408000000000001</v>
      </c>
      <c r="DK3379" s="80">
        <v>-52.415999999999997</v>
      </c>
      <c r="DL3379" s="80">
        <v>840</v>
      </c>
      <c r="DM3379" s="64">
        <v>2</v>
      </c>
      <c r="DN3379" s="406" t="s">
        <v>7838</v>
      </c>
      <c r="DO3379" s="406">
        <v>-25.69</v>
      </c>
      <c r="DP3379" s="80">
        <v>520</v>
      </c>
    </row>
    <row r="3380" spans="29:120" x14ac:dyDescent="0.25">
      <c r="AC3380" s="122" t="s">
        <v>333</v>
      </c>
      <c r="AD3380" s="122" t="s">
        <v>3690</v>
      </c>
      <c r="AE3380" s="127">
        <v>3</v>
      </c>
      <c r="DA3380" s="122" t="s">
        <v>311</v>
      </c>
      <c r="DB3380" s="122" t="s">
        <v>3618</v>
      </c>
      <c r="DC3380" s="122" t="s">
        <v>3618</v>
      </c>
      <c r="DD3380" s="127">
        <v>3</v>
      </c>
      <c r="DE3380" s="127">
        <v>3</v>
      </c>
      <c r="DG3380" s="405" t="s">
        <v>311</v>
      </c>
      <c r="DH3380" s="406" t="s">
        <v>3618</v>
      </c>
      <c r="DI3380" s="406" t="str">
        <f t="shared" si="84"/>
        <v>PR, Leópolis</v>
      </c>
      <c r="DJ3380" s="406">
        <v>-23.08</v>
      </c>
      <c r="DK3380" s="80">
        <v>-50.750999999999998</v>
      </c>
      <c r="DL3380" s="80">
        <v>486</v>
      </c>
      <c r="DM3380" s="64">
        <v>3</v>
      </c>
      <c r="DN3380" s="406" t="s">
        <v>7806</v>
      </c>
      <c r="DO3380" s="406">
        <v>-23.43</v>
      </c>
      <c r="DP3380" s="80">
        <v>668</v>
      </c>
    </row>
    <row r="3381" spans="29:120" x14ac:dyDescent="0.25">
      <c r="AC3381" s="122" t="s">
        <v>311</v>
      </c>
      <c r="AD3381" s="122" t="s">
        <v>3691</v>
      </c>
      <c r="AE3381" s="127">
        <v>3</v>
      </c>
      <c r="DA3381" s="122" t="s">
        <v>311</v>
      </c>
      <c r="DB3381" s="122" t="s">
        <v>3168</v>
      </c>
      <c r="DC3381" s="122" t="s">
        <v>3168</v>
      </c>
      <c r="DD3381" s="127">
        <v>2</v>
      </c>
      <c r="DE3381" s="127">
        <v>2</v>
      </c>
      <c r="DG3381" s="405" t="s">
        <v>311</v>
      </c>
      <c r="DH3381" s="406" t="s">
        <v>3168</v>
      </c>
      <c r="DI3381" s="406" t="str">
        <f t="shared" si="84"/>
        <v>PR, Lidianópolis</v>
      </c>
      <c r="DJ3381" s="406">
        <v>-24.109000000000002</v>
      </c>
      <c r="DK3381" s="80">
        <v>-51.652999999999999</v>
      </c>
      <c r="DL3381" s="80">
        <v>570</v>
      </c>
      <c r="DM3381" s="64">
        <v>2</v>
      </c>
      <c r="DN3381" s="406" t="s">
        <v>7813</v>
      </c>
      <c r="DO3381" s="406">
        <v>-24.44</v>
      </c>
      <c r="DP3381" s="80">
        <v>654</v>
      </c>
    </row>
    <row r="3382" spans="29:120" x14ac:dyDescent="0.25">
      <c r="AC3382" s="122" t="s">
        <v>376</v>
      </c>
      <c r="AD3382" s="122" t="s">
        <v>3692</v>
      </c>
      <c r="AE3382" s="127">
        <v>3</v>
      </c>
      <c r="DA3382" s="122" t="s">
        <v>311</v>
      </c>
      <c r="DB3382" s="122" t="s">
        <v>757</v>
      </c>
      <c r="DC3382" s="122" t="s">
        <v>757</v>
      </c>
      <c r="DD3382" s="127">
        <v>2</v>
      </c>
      <c r="DE3382" s="127">
        <v>2</v>
      </c>
      <c r="DG3382" s="405" t="s">
        <v>311</v>
      </c>
      <c r="DH3382" s="406" t="s">
        <v>757</v>
      </c>
      <c r="DI3382" s="406" t="str">
        <f t="shared" si="84"/>
        <v>PR, Lindoeste</v>
      </c>
      <c r="DJ3382" s="406">
        <v>-25.26</v>
      </c>
      <c r="DK3382" s="80">
        <v>-53.576000000000001</v>
      </c>
      <c r="DL3382" s="80">
        <v>585</v>
      </c>
      <c r="DM3382" s="64">
        <v>2</v>
      </c>
      <c r="DN3382" s="406" t="s">
        <v>7821</v>
      </c>
      <c r="DO3382" s="406">
        <v>-25.72</v>
      </c>
      <c r="DP3382" s="80">
        <v>346</v>
      </c>
    </row>
    <row r="3383" spans="29:120" x14ac:dyDescent="0.25">
      <c r="AC3383" s="122" t="s">
        <v>311</v>
      </c>
      <c r="AD3383" s="122" t="s">
        <v>3693</v>
      </c>
      <c r="AE3383" s="127">
        <v>3</v>
      </c>
      <c r="DA3383" s="122" t="s">
        <v>311</v>
      </c>
      <c r="DB3383" s="122" t="s">
        <v>3280</v>
      </c>
      <c r="DC3383" s="122" t="s">
        <v>3280</v>
      </c>
      <c r="DD3383" s="127">
        <v>3</v>
      </c>
      <c r="DE3383" s="127">
        <v>3</v>
      </c>
      <c r="DG3383" s="405" t="s">
        <v>311</v>
      </c>
      <c r="DH3383" s="406" t="s">
        <v>3280</v>
      </c>
      <c r="DI3383" s="406" t="str">
        <f t="shared" si="84"/>
        <v>PR, Loanda</v>
      </c>
      <c r="DJ3383" s="406">
        <v>-22.922999999999998</v>
      </c>
      <c r="DK3383" s="80">
        <v>-53.137</v>
      </c>
      <c r="DL3383" s="80">
        <v>495</v>
      </c>
      <c r="DM3383" s="64">
        <v>3</v>
      </c>
      <c r="DN3383" s="406" t="s">
        <v>7257</v>
      </c>
      <c r="DO3383" s="406">
        <v>-22.64</v>
      </c>
      <c r="DP3383" s="80">
        <v>362</v>
      </c>
    </row>
    <row r="3384" spans="29:120" x14ac:dyDescent="0.25">
      <c r="AC3384" s="122" t="s">
        <v>333</v>
      </c>
      <c r="AD3384" s="122" t="s">
        <v>3694</v>
      </c>
      <c r="AE3384" s="127">
        <v>3</v>
      </c>
      <c r="DA3384" s="122" t="s">
        <v>311</v>
      </c>
      <c r="DB3384" s="122" t="s">
        <v>3320</v>
      </c>
      <c r="DC3384" s="122" t="s">
        <v>3320</v>
      </c>
      <c r="DD3384" s="127">
        <v>4</v>
      </c>
      <c r="DE3384" s="127">
        <v>4</v>
      </c>
      <c r="DG3384" s="405" t="s">
        <v>311</v>
      </c>
      <c r="DH3384" s="406" t="s">
        <v>3320</v>
      </c>
      <c r="DI3384" s="406" t="str">
        <f t="shared" si="84"/>
        <v>PR, Lobato</v>
      </c>
      <c r="DJ3384" s="406">
        <v>-23.007999999999999</v>
      </c>
      <c r="DK3384" s="80">
        <v>-51.951000000000001</v>
      </c>
      <c r="DL3384" s="80">
        <v>450</v>
      </c>
      <c r="DM3384" s="64">
        <v>4</v>
      </c>
      <c r="DN3384" s="406" t="s">
        <v>7816</v>
      </c>
      <c r="DO3384" s="406">
        <v>-23.42</v>
      </c>
      <c r="DP3384" s="80">
        <v>542</v>
      </c>
    </row>
    <row r="3385" spans="29:120" x14ac:dyDescent="0.25">
      <c r="AC3385" s="122" t="s">
        <v>333</v>
      </c>
      <c r="AD3385" s="122" t="s">
        <v>3695</v>
      </c>
      <c r="AE3385" s="127">
        <v>3</v>
      </c>
      <c r="DA3385" s="122" t="s">
        <v>311</v>
      </c>
      <c r="DB3385" s="122" t="s">
        <v>3780</v>
      </c>
      <c r="DC3385" s="122" t="s">
        <v>3780</v>
      </c>
      <c r="DD3385" s="127">
        <v>3</v>
      </c>
      <c r="DE3385" s="127">
        <v>3</v>
      </c>
      <c r="DG3385" s="405" t="s">
        <v>311</v>
      </c>
      <c r="DH3385" s="406" t="s">
        <v>3780</v>
      </c>
      <c r="DI3385" s="406" t="str">
        <f t="shared" si="84"/>
        <v>PR, Londrina</v>
      </c>
      <c r="DJ3385" s="406">
        <v>-23.31</v>
      </c>
      <c r="DK3385" s="80">
        <v>-51.162999999999997</v>
      </c>
      <c r="DL3385" s="80">
        <v>585</v>
      </c>
      <c r="DM3385" s="64">
        <v>3</v>
      </c>
      <c r="DN3385" s="406" t="s">
        <v>7826</v>
      </c>
      <c r="DO3385" s="406">
        <v>-23.38</v>
      </c>
      <c r="DP3385" s="80">
        <v>566</v>
      </c>
    </row>
    <row r="3386" spans="29:120" x14ac:dyDescent="0.25">
      <c r="AC3386" s="122" t="s">
        <v>311</v>
      </c>
      <c r="AD3386" s="122" t="s">
        <v>3696</v>
      </c>
      <c r="AE3386" s="127">
        <v>3</v>
      </c>
      <c r="DA3386" s="122" t="s">
        <v>311</v>
      </c>
      <c r="DB3386" s="122" t="s">
        <v>773</v>
      </c>
      <c r="DC3386" s="122" t="s">
        <v>773</v>
      </c>
      <c r="DD3386" s="127">
        <v>3</v>
      </c>
      <c r="DE3386" s="127">
        <v>3</v>
      </c>
      <c r="DG3386" s="405" t="s">
        <v>311</v>
      </c>
      <c r="DH3386" s="406" t="s">
        <v>773</v>
      </c>
      <c r="DI3386" s="406" t="str">
        <f t="shared" si="84"/>
        <v>PR, Luiziana</v>
      </c>
      <c r="DJ3386" s="406">
        <v>-24.286000000000001</v>
      </c>
      <c r="DK3386" s="80">
        <v>-52.276000000000003</v>
      </c>
      <c r="DL3386" s="80">
        <v>752</v>
      </c>
      <c r="DM3386" s="64">
        <v>3</v>
      </c>
      <c r="DN3386" s="406" t="s">
        <v>7813</v>
      </c>
      <c r="DO3386" s="406">
        <v>-24.44</v>
      </c>
      <c r="DP3386" s="80">
        <v>654</v>
      </c>
    </row>
    <row r="3387" spans="29:120" x14ac:dyDescent="0.25">
      <c r="AC3387" s="122" t="s">
        <v>333</v>
      </c>
      <c r="AD3387" s="122" t="s">
        <v>3697</v>
      </c>
      <c r="AE3387" s="127">
        <v>5</v>
      </c>
      <c r="DA3387" s="122" t="s">
        <v>311</v>
      </c>
      <c r="DB3387" s="122" t="s">
        <v>3152</v>
      </c>
      <c r="DC3387" s="122" t="s">
        <v>3152</v>
      </c>
      <c r="DD3387" s="127">
        <v>2</v>
      </c>
      <c r="DE3387" s="127">
        <v>2</v>
      </c>
      <c r="DG3387" s="405" t="s">
        <v>311</v>
      </c>
      <c r="DH3387" s="406" t="s">
        <v>3152</v>
      </c>
      <c r="DI3387" s="406" t="str">
        <f t="shared" si="84"/>
        <v>PR, Lunardelli</v>
      </c>
      <c r="DJ3387" s="406">
        <v>-24.079000000000001</v>
      </c>
      <c r="DK3387" s="80">
        <v>-51.738</v>
      </c>
      <c r="DL3387" s="80">
        <v>640</v>
      </c>
      <c r="DM3387" s="64">
        <v>2</v>
      </c>
      <c r="DN3387" s="406" t="s">
        <v>7813</v>
      </c>
      <c r="DO3387" s="406">
        <v>-24.44</v>
      </c>
      <c r="DP3387" s="80">
        <v>654</v>
      </c>
    </row>
    <row r="3388" spans="29:120" x14ac:dyDescent="0.25">
      <c r="AC3388" s="122" t="s">
        <v>376</v>
      </c>
      <c r="AD3388" s="122" t="s">
        <v>3698</v>
      </c>
      <c r="AE3388" s="127">
        <v>6</v>
      </c>
      <c r="DA3388" s="122" t="s">
        <v>311</v>
      </c>
      <c r="DB3388" s="122" t="s">
        <v>3665</v>
      </c>
      <c r="DC3388" s="122" t="s">
        <v>3665</v>
      </c>
      <c r="DD3388" s="127">
        <v>3</v>
      </c>
      <c r="DE3388" s="127">
        <v>3</v>
      </c>
      <c r="DG3388" s="405" t="s">
        <v>311</v>
      </c>
      <c r="DH3388" s="406" t="s">
        <v>3665</v>
      </c>
      <c r="DI3388" s="406" t="str">
        <f t="shared" si="84"/>
        <v>PR, Lupionópolis</v>
      </c>
      <c r="DJ3388" s="406">
        <v>-22.754999999999999</v>
      </c>
      <c r="DK3388" s="80">
        <v>-51.656999999999996</v>
      </c>
      <c r="DL3388" s="80">
        <v>350</v>
      </c>
      <c r="DM3388" s="64">
        <v>3</v>
      </c>
      <c r="DN3388" s="406" t="s">
        <v>7264</v>
      </c>
      <c r="DO3388" s="406">
        <v>-22.49</v>
      </c>
      <c r="DP3388" s="80">
        <v>311</v>
      </c>
    </row>
    <row r="3389" spans="29:120" x14ac:dyDescent="0.25">
      <c r="AC3389" s="122" t="s">
        <v>311</v>
      </c>
      <c r="AD3389" s="122" t="s">
        <v>1814</v>
      </c>
      <c r="AE3389" s="127">
        <v>3</v>
      </c>
      <c r="DA3389" s="122" t="s">
        <v>311</v>
      </c>
      <c r="DB3389" s="122" t="s">
        <v>1513</v>
      </c>
      <c r="DC3389" s="122" t="s">
        <v>1513</v>
      </c>
      <c r="DD3389" s="127">
        <v>2</v>
      </c>
      <c r="DE3389" s="127">
        <v>2</v>
      </c>
      <c r="DG3389" s="405" t="s">
        <v>311</v>
      </c>
      <c r="DH3389" s="406" t="s">
        <v>1513</v>
      </c>
      <c r="DI3389" s="406" t="str">
        <f t="shared" si="84"/>
        <v>PR, Mallet</v>
      </c>
      <c r="DJ3389" s="406">
        <v>-25.878</v>
      </c>
      <c r="DK3389" s="80">
        <v>-50.820999999999998</v>
      </c>
      <c r="DL3389" s="80">
        <v>901</v>
      </c>
      <c r="DM3389" s="64">
        <v>2</v>
      </c>
      <c r="DN3389" s="406" t="s">
        <v>7895</v>
      </c>
      <c r="DO3389" s="406">
        <v>-25.57</v>
      </c>
      <c r="DP3389" s="80">
        <v>1260</v>
      </c>
    </row>
    <row r="3390" spans="29:120" x14ac:dyDescent="0.25">
      <c r="AC3390" s="122" t="s">
        <v>376</v>
      </c>
      <c r="AD3390" s="122" t="s">
        <v>3699</v>
      </c>
      <c r="AE3390" s="127">
        <v>3</v>
      </c>
      <c r="DA3390" s="122" t="s">
        <v>311</v>
      </c>
      <c r="DB3390" s="122" t="s">
        <v>762</v>
      </c>
      <c r="DC3390" s="122" t="s">
        <v>762</v>
      </c>
      <c r="DD3390" s="127">
        <v>3</v>
      </c>
      <c r="DE3390" s="127">
        <v>3</v>
      </c>
      <c r="DG3390" s="405" t="s">
        <v>311</v>
      </c>
      <c r="DH3390" s="406" t="s">
        <v>762</v>
      </c>
      <c r="DI3390" s="406" t="str">
        <f t="shared" si="84"/>
        <v>PR, Mamborê</v>
      </c>
      <c r="DJ3390" s="406">
        <v>-24.318999999999999</v>
      </c>
      <c r="DK3390" s="80">
        <v>-52.53</v>
      </c>
      <c r="DL3390" s="80">
        <v>762</v>
      </c>
      <c r="DM3390" s="64">
        <v>3</v>
      </c>
      <c r="DN3390" s="406" t="s">
        <v>7813</v>
      </c>
      <c r="DO3390" s="406">
        <v>-24.44</v>
      </c>
      <c r="DP3390" s="80">
        <v>654</v>
      </c>
    </row>
    <row r="3391" spans="29:120" x14ac:dyDescent="0.25">
      <c r="AC3391" s="122" t="s">
        <v>376</v>
      </c>
      <c r="AD3391" s="122" t="s">
        <v>3700</v>
      </c>
      <c r="AE3391" s="127">
        <v>3</v>
      </c>
      <c r="DA3391" s="122" t="s">
        <v>311</v>
      </c>
      <c r="DB3391" s="122" t="s">
        <v>3317</v>
      </c>
      <c r="DC3391" s="122" t="s">
        <v>3317</v>
      </c>
      <c r="DD3391" s="127">
        <v>1</v>
      </c>
      <c r="DE3391" s="127">
        <v>1</v>
      </c>
      <c r="DG3391" s="405" t="s">
        <v>311</v>
      </c>
      <c r="DH3391" s="406" t="s">
        <v>3317</v>
      </c>
      <c r="DI3391" s="406" t="str">
        <f t="shared" si="84"/>
        <v>PR, Mandaguaçu</v>
      </c>
      <c r="DJ3391" s="406">
        <v>-23.347000000000001</v>
      </c>
      <c r="DK3391" s="80">
        <v>-52.094999999999999</v>
      </c>
      <c r="DL3391" s="80">
        <v>580</v>
      </c>
      <c r="DM3391" s="64">
        <v>1</v>
      </c>
      <c r="DN3391" s="406" t="s">
        <v>7816</v>
      </c>
      <c r="DO3391" s="406">
        <v>-23.42</v>
      </c>
      <c r="DP3391" s="80">
        <v>542</v>
      </c>
    </row>
    <row r="3392" spans="29:120" x14ac:dyDescent="0.25">
      <c r="AC3392" s="122" t="s">
        <v>376</v>
      </c>
      <c r="AD3392" s="122" t="s">
        <v>3701</v>
      </c>
      <c r="AE3392" s="127">
        <v>4</v>
      </c>
      <c r="DA3392" s="122" t="s">
        <v>311</v>
      </c>
      <c r="DB3392" s="122" t="s">
        <v>3231</v>
      </c>
      <c r="DC3392" s="122" t="s">
        <v>3231</v>
      </c>
      <c r="DD3392" s="127">
        <v>3</v>
      </c>
      <c r="DE3392" s="127">
        <v>3</v>
      </c>
      <c r="DG3392" s="405" t="s">
        <v>311</v>
      </c>
      <c r="DH3392" s="406" t="s">
        <v>3231</v>
      </c>
      <c r="DI3392" s="406" t="str">
        <f t="shared" si="84"/>
        <v>PR, Mandaguari</v>
      </c>
      <c r="DJ3392" s="406">
        <v>-23.547999999999998</v>
      </c>
      <c r="DK3392" s="80">
        <v>-51.670999999999999</v>
      </c>
      <c r="DL3392" s="80">
        <v>741</v>
      </c>
      <c r="DM3392" s="64">
        <v>3</v>
      </c>
      <c r="DN3392" s="406" t="s">
        <v>7816</v>
      </c>
      <c r="DO3392" s="406">
        <v>-23.42</v>
      </c>
      <c r="DP3392" s="80">
        <v>542</v>
      </c>
    </row>
    <row r="3393" spans="29:120" x14ac:dyDescent="0.25">
      <c r="AC3393" s="122" t="s">
        <v>376</v>
      </c>
      <c r="AD3393" s="122" t="s">
        <v>3702</v>
      </c>
      <c r="AE3393" s="127">
        <v>3</v>
      </c>
      <c r="DA3393" s="122" t="s">
        <v>311</v>
      </c>
      <c r="DB3393" s="122" t="s">
        <v>499</v>
      </c>
      <c r="DC3393" s="122" t="s">
        <v>499</v>
      </c>
      <c r="DD3393" s="127">
        <v>1</v>
      </c>
      <c r="DE3393" s="127">
        <v>1</v>
      </c>
      <c r="DG3393" s="405" t="s">
        <v>311</v>
      </c>
      <c r="DH3393" s="406" t="s">
        <v>499</v>
      </c>
      <c r="DI3393" s="406" t="str">
        <f t="shared" si="84"/>
        <v>PR, Mandirituba</v>
      </c>
      <c r="DJ3393" s="406">
        <v>-25.779</v>
      </c>
      <c r="DK3393" s="80">
        <v>-49.326000000000001</v>
      </c>
      <c r="DL3393" s="80">
        <v>925</v>
      </c>
      <c r="DM3393" s="64">
        <v>1</v>
      </c>
      <c r="DN3393" s="406" t="s">
        <v>7811</v>
      </c>
      <c r="DO3393" s="406">
        <v>-25.43</v>
      </c>
      <c r="DP3393" s="80">
        <v>924</v>
      </c>
    </row>
    <row r="3394" spans="29:120" x14ac:dyDescent="0.25">
      <c r="AC3394" s="122" t="s">
        <v>376</v>
      </c>
      <c r="AD3394" s="122" t="s">
        <v>3703</v>
      </c>
      <c r="AE3394" s="127">
        <v>6</v>
      </c>
      <c r="DA3394" s="122" t="s">
        <v>311</v>
      </c>
      <c r="DB3394" s="122" t="s">
        <v>1525</v>
      </c>
      <c r="DC3394" s="122" t="s">
        <v>1525</v>
      </c>
      <c r="DD3394" s="127">
        <v>2</v>
      </c>
      <c r="DE3394" s="127">
        <v>2</v>
      </c>
      <c r="DG3394" s="405" t="s">
        <v>311</v>
      </c>
      <c r="DH3394" s="406" t="s">
        <v>1525</v>
      </c>
      <c r="DI3394" s="406" t="str">
        <f t="shared" si="84"/>
        <v>PR, Manfrinópolis</v>
      </c>
      <c r="DJ3394" s="406">
        <v>-26.143999999999998</v>
      </c>
      <c r="DK3394" s="80">
        <v>-53.311</v>
      </c>
      <c r="DL3394" s="80">
        <v>650</v>
      </c>
      <c r="DM3394" s="64">
        <v>2</v>
      </c>
      <c r="DN3394" s="406" t="s">
        <v>7833</v>
      </c>
      <c r="DO3394" s="406">
        <v>-26.29</v>
      </c>
      <c r="DP3394" s="80">
        <v>810</v>
      </c>
    </row>
    <row r="3395" spans="29:120" x14ac:dyDescent="0.25">
      <c r="AC3395" s="122" t="s">
        <v>376</v>
      </c>
      <c r="AD3395" s="122" t="s">
        <v>3704</v>
      </c>
      <c r="AE3395" s="127">
        <v>4</v>
      </c>
      <c r="DA3395" s="122" t="s">
        <v>311</v>
      </c>
      <c r="DB3395" s="122" t="s">
        <v>763</v>
      </c>
      <c r="DC3395" s="122" t="s">
        <v>763</v>
      </c>
      <c r="DD3395" s="127">
        <v>1</v>
      </c>
      <c r="DE3395" s="127">
        <v>1</v>
      </c>
      <c r="DG3395" s="405" t="s">
        <v>311</v>
      </c>
      <c r="DH3395" s="406" t="s">
        <v>763</v>
      </c>
      <c r="DI3395" s="406" t="str">
        <f t="shared" ref="DI3395:DI3458" si="85">CONCATENATE(DG3395,", ",DH3395)</f>
        <v>PR, Mangueirinha</v>
      </c>
      <c r="DJ3395" s="406">
        <v>-25.940999999999999</v>
      </c>
      <c r="DK3395" s="80">
        <v>-52.176000000000002</v>
      </c>
      <c r="DL3395" s="80">
        <v>921</v>
      </c>
      <c r="DM3395" s="64">
        <v>1</v>
      </c>
      <c r="DN3395" s="406" t="s">
        <v>7856</v>
      </c>
      <c r="DO3395" s="406">
        <v>-26.42</v>
      </c>
      <c r="DP3395" s="80">
        <v>980</v>
      </c>
    </row>
    <row r="3396" spans="29:120" x14ac:dyDescent="0.25">
      <c r="AC3396" s="122" t="s">
        <v>376</v>
      </c>
      <c r="AD3396" s="122" t="s">
        <v>3705</v>
      </c>
      <c r="AE3396" s="127">
        <v>3</v>
      </c>
      <c r="DA3396" s="122" t="s">
        <v>311</v>
      </c>
      <c r="DB3396" s="122" t="s">
        <v>7908</v>
      </c>
      <c r="DC3396" s="122" t="s">
        <v>768</v>
      </c>
      <c r="DD3396" s="127">
        <v>2</v>
      </c>
      <c r="DE3396" s="127">
        <v>2</v>
      </c>
      <c r="DG3396" s="405" t="s">
        <v>311</v>
      </c>
      <c r="DH3396" s="406" t="s">
        <v>768</v>
      </c>
      <c r="DI3396" s="406" t="str">
        <f t="shared" si="85"/>
        <v>PR, Manoel Ribas</v>
      </c>
      <c r="DJ3396" s="406">
        <v>-24.515999999999998</v>
      </c>
      <c r="DK3396" s="80">
        <v>-51.667999999999999</v>
      </c>
      <c r="DL3396" s="80">
        <v>880</v>
      </c>
      <c r="DM3396" s="64">
        <v>2</v>
      </c>
      <c r="DN3396" s="406" t="s">
        <v>7813</v>
      </c>
      <c r="DO3396" s="406">
        <v>-24.44</v>
      </c>
      <c r="DP3396" s="80">
        <v>654</v>
      </c>
    </row>
    <row r="3397" spans="29:120" x14ac:dyDescent="0.25">
      <c r="AC3397" s="122" t="s">
        <v>376</v>
      </c>
      <c r="AD3397" s="122" t="s">
        <v>3706</v>
      </c>
      <c r="AE3397" s="127">
        <v>6</v>
      </c>
      <c r="DA3397" s="122" t="s">
        <v>311</v>
      </c>
      <c r="DB3397" s="122" t="s">
        <v>7909</v>
      </c>
      <c r="DC3397" s="122" t="s">
        <v>3440</v>
      </c>
      <c r="DD3397" s="127">
        <v>3</v>
      </c>
      <c r="DE3397" s="127">
        <v>3</v>
      </c>
      <c r="DG3397" s="405" t="s">
        <v>311</v>
      </c>
      <c r="DH3397" s="406" t="s">
        <v>3440</v>
      </c>
      <c r="DI3397" s="406" t="str">
        <f t="shared" si="85"/>
        <v>PR, Marechal Cândido Rondon</v>
      </c>
      <c r="DJ3397" s="406">
        <v>-24.556000000000001</v>
      </c>
      <c r="DK3397" s="80">
        <v>-54.057000000000002</v>
      </c>
      <c r="DL3397" s="80">
        <v>410</v>
      </c>
      <c r="DM3397" s="64">
        <v>3</v>
      </c>
      <c r="DN3397" s="406" t="s">
        <v>7284</v>
      </c>
      <c r="DO3397" s="406">
        <v>-24.56</v>
      </c>
      <c r="DP3397" s="80">
        <v>392</v>
      </c>
    </row>
    <row r="3398" spans="29:120" x14ac:dyDescent="0.25">
      <c r="AC3398" s="122" t="s">
        <v>376</v>
      </c>
      <c r="AD3398" s="122" t="s">
        <v>3707</v>
      </c>
      <c r="AE3398" s="127">
        <v>4</v>
      </c>
      <c r="DA3398" s="122" t="s">
        <v>311</v>
      </c>
      <c r="DB3398" s="122" t="s">
        <v>7910</v>
      </c>
      <c r="DC3398" s="122" t="s">
        <v>3180</v>
      </c>
      <c r="DD3398" s="127">
        <v>3</v>
      </c>
      <c r="DE3398" s="127">
        <v>3</v>
      </c>
      <c r="DG3398" s="405" t="s">
        <v>311</v>
      </c>
      <c r="DH3398" s="406" t="s">
        <v>3180</v>
      </c>
      <c r="DI3398" s="406" t="str">
        <f t="shared" si="85"/>
        <v>PR, Maria Helena</v>
      </c>
      <c r="DJ3398" s="406">
        <v>-23.616</v>
      </c>
      <c r="DK3398" s="80">
        <v>-53.204999999999998</v>
      </c>
      <c r="DL3398" s="80">
        <v>373</v>
      </c>
      <c r="DM3398" s="64">
        <v>3</v>
      </c>
      <c r="DN3398" s="406" t="s">
        <v>7820</v>
      </c>
      <c r="DO3398" s="406">
        <v>-23.36</v>
      </c>
      <c r="DP3398" s="80">
        <v>381</v>
      </c>
    </row>
    <row r="3399" spans="29:120" x14ac:dyDescent="0.25">
      <c r="AC3399" s="122" t="s">
        <v>376</v>
      </c>
      <c r="AD3399" s="122" t="s">
        <v>3708</v>
      </c>
      <c r="AE3399" s="127">
        <v>4</v>
      </c>
      <c r="DA3399" s="122" t="s">
        <v>311</v>
      </c>
      <c r="DB3399" s="122" t="s">
        <v>3293</v>
      </c>
      <c r="DC3399" s="122" t="s">
        <v>3293</v>
      </c>
      <c r="DD3399" s="127">
        <v>3</v>
      </c>
      <c r="DE3399" s="127">
        <v>3</v>
      </c>
      <c r="DG3399" s="405" t="s">
        <v>311</v>
      </c>
      <c r="DH3399" s="406" t="s">
        <v>3293</v>
      </c>
      <c r="DI3399" s="406" t="str">
        <f t="shared" si="85"/>
        <v>PR, Marialva</v>
      </c>
      <c r="DJ3399" s="406">
        <v>-23.484999999999999</v>
      </c>
      <c r="DK3399" s="80">
        <v>-51.792000000000002</v>
      </c>
      <c r="DL3399" s="80">
        <v>670</v>
      </c>
      <c r="DM3399" s="64">
        <v>3</v>
      </c>
      <c r="DN3399" s="406" t="s">
        <v>7816</v>
      </c>
      <c r="DO3399" s="406">
        <v>-23.42</v>
      </c>
      <c r="DP3399" s="80">
        <v>542</v>
      </c>
    </row>
    <row r="3400" spans="29:120" x14ac:dyDescent="0.25">
      <c r="AC3400" s="122" t="s">
        <v>333</v>
      </c>
      <c r="AD3400" s="122" t="s">
        <v>3709</v>
      </c>
      <c r="AE3400" s="127">
        <v>3</v>
      </c>
      <c r="DA3400" s="122" t="s">
        <v>311</v>
      </c>
      <c r="DB3400" s="122" t="s">
        <v>7911</v>
      </c>
      <c r="DC3400" s="122" t="s">
        <v>3228</v>
      </c>
      <c r="DD3400" s="127">
        <v>3</v>
      </c>
      <c r="DE3400" s="127">
        <v>3</v>
      </c>
      <c r="DG3400" s="405" t="s">
        <v>311</v>
      </c>
      <c r="DH3400" s="406" t="s">
        <v>3228</v>
      </c>
      <c r="DI3400" s="406" t="str">
        <f t="shared" si="85"/>
        <v>PR, Marilândia do Sul</v>
      </c>
      <c r="DJ3400" s="406">
        <v>-23.745000000000001</v>
      </c>
      <c r="DK3400" s="80">
        <v>-51.308</v>
      </c>
      <c r="DL3400" s="80">
        <v>758</v>
      </c>
      <c r="DM3400" s="64">
        <v>3</v>
      </c>
      <c r="DN3400" s="406" t="s">
        <v>7826</v>
      </c>
      <c r="DO3400" s="406">
        <v>-23.38</v>
      </c>
      <c r="DP3400" s="80">
        <v>566</v>
      </c>
    </row>
    <row r="3401" spans="29:120" x14ac:dyDescent="0.25">
      <c r="AC3401" s="122" t="s">
        <v>336</v>
      </c>
      <c r="AD3401" s="122" t="s">
        <v>3710</v>
      </c>
      <c r="AE3401" s="127">
        <v>5</v>
      </c>
      <c r="DA3401" s="122" t="s">
        <v>311</v>
      </c>
      <c r="DB3401" s="122" t="s">
        <v>3334</v>
      </c>
      <c r="DC3401" s="122" t="s">
        <v>3334</v>
      </c>
      <c r="DD3401" s="127">
        <v>3</v>
      </c>
      <c r="DE3401" s="127">
        <v>3</v>
      </c>
      <c r="DG3401" s="405" t="s">
        <v>311</v>
      </c>
      <c r="DH3401" s="406" t="s">
        <v>3334</v>
      </c>
      <c r="DI3401" s="406" t="str">
        <f t="shared" si="85"/>
        <v>PR, Marilena</v>
      </c>
      <c r="DJ3401" s="406">
        <v>-22.736000000000001</v>
      </c>
      <c r="DK3401" s="80">
        <v>-53.04</v>
      </c>
      <c r="DL3401" s="80">
        <v>380</v>
      </c>
      <c r="DM3401" s="64">
        <v>3</v>
      </c>
      <c r="DN3401" s="406" t="s">
        <v>7257</v>
      </c>
      <c r="DO3401" s="406">
        <v>-22.64</v>
      </c>
      <c r="DP3401" s="80">
        <v>362</v>
      </c>
    </row>
    <row r="3402" spans="29:120" x14ac:dyDescent="0.25">
      <c r="AC3402" s="122" t="s">
        <v>376</v>
      </c>
      <c r="AD3402" s="122" t="s">
        <v>3711</v>
      </c>
      <c r="AE3402" s="127">
        <v>4</v>
      </c>
      <c r="DA3402" s="122" t="s">
        <v>311</v>
      </c>
      <c r="DB3402" s="122" t="s">
        <v>3226</v>
      </c>
      <c r="DC3402" s="122" t="s">
        <v>3226</v>
      </c>
      <c r="DD3402" s="127">
        <v>3</v>
      </c>
      <c r="DE3402" s="127">
        <v>3</v>
      </c>
      <c r="DG3402" s="405" t="s">
        <v>311</v>
      </c>
      <c r="DH3402" s="406" t="s">
        <v>3226</v>
      </c>
      <c r="DI3402" s="406" t="str">
        <f t="shared" si="85"/>
        <v>PR, Mariluz</v>
      </c>
      <c r="DJ3402" s="406">
        <v>-24.001999999999999</v>
      </c>
      <c r="DK3402" s="80">
        <v>-53.146000000000001</v>
      </c>
      <c r="DL3402" s="80">
        <v>453</v>
      </c>
      <c r="DM3402" s="64">
        <v>3</v>
      </c>
      <c r="DN3402" s="406" t="s">
        <v>7820</v>
      </c>
      <c r="DO3402" s="406">
        <v>-23.36</v>
      </c>
      <c r="DP3402" s="80">
        <v>381</v>
      </c>
    </row>
    <row r="3403" spans="29:120" x14ac:dyDescent="0.25">
      <c r="AC3403" s="122" t="s">
        <v>376</v>
      </c>
      <c r="AD3403" s="122" t="s">
        <v>3712</v>
      </c>
      <c r="AE3403" s="127">
        <v>4</v>
      </c>
      <c r="DA3403" s="122" t="s">
        <v>311</v>
      </c>
      <c r="DB3403" s="122" t="s">
        <v>3414</v>
      </c>
      <c r="DC3403" s="122" t="s">
        <v>3414</v>
      </c>
      <c r="DD3403" s="127">
        <v>1</v>
      </c>
      <c r="DE3403" s="127">
        <v>1</v>
      </c>
      <c r="DG3403" s="405" t="s">
        <v>311</v>
      </c>
      <c r="DH3403" s="406" t="s">
        <v>3414</v>
      </c>
      <c r="DI3403" s="406" t="str">
        <f t="shared" si="85"/>
        <v>PR, Maringá</v>
      </c>
      <c r="DJ3403" s="406">
        <v>-23.425000000000001</v>
      </c>
      <c r="DK3403" s="80">
        <v>-51.939</v>
      </c>
      <c r="DL3403" s="80">
        <v>596</v>
      </c>
      <c r="DM3403" s="64">
        <v>1</v>
      </c>
      <c r="DN3403" s="406" t="s">
        <v>7816</v>
      </c>
      <c r="DO3403" s="406">
        <v>-23.42</v>
      </c>
      <c r="DP3403" s="80">
        <v>542</v>
      </c>
    </row>
    <row r="3404" spans="29:120" x14ac:dyDescent="0.25">
      <c r="AC3404" s="122" t="s">
        <v>376</v>
      </c>
      <c r="AD3404" s="122" t="s">
        <v>3713</v>
      </c>
      <c r="AE3404" s="127">
        <v>3</v>
      </c>
      <c r="DA3404" s="122" t="s">
        <v>311</v>
      </c>
      <c r="DB3404" s="122" t="s">
        <v>312</v>
      </c>
      <c r="DC3404" s="122" t="s">
        <v>312</v>
      </c>
      <c r="DD3404" s="127">
        <v>2</v>
      </c>
      <c r="DE3404" s="127">
        <v>2</v>
      </c>
      <c r="DG3404" s="405" t="s">
        <v>311</v>
      </c>
      <c r="DH3404" s="406" t="s">
        <v>312</v>
      </c>
      <c r="DI3404" s="406" t="str">
        <f t="shared" si="85"/>
        <v>PR, Mariópolis</v>
      </c>
      <c r="DJ3404" s="406">
        <v>-26.355</v>
      </c>
      <c r="DK3404" s="80">
        <v>-52.558999999999997</v>
      </c>
      <c r="DL3404" s="80">
        <v>879</v>
      </c>
      <c r="DM3404" s="64">
        <v>2</v>
      </c>
      <c r="DN3404" s="406" t="s">
        <v>7856</v>
      </c>
      <c r="DO3404" s="406">
        <v>-26.42</v>
      </c>
      <c r="DP3404" s="80">
        <v>980</v>
      </c>
    </row>
    <row r="3405" spans="29:120" x14ac:dyDescent="0.25">
      <c r="AC3405" s="122" t="s">
        <v>376</v>
      </c>
      <c r="AD3405" s="122" t="s">
        <v>3714</v>
      </c>
      <c r="AE3405" s="127">
        <v>4</v>
      </c>
      <c r="DA3405" s="122" t="s">
        <v>311</v>
      </c>
      <c r="DB3405" s="122" t="s">
        <v>3085</v>
      </c>
      <c r="DC3405" s="122" t="s">
        <v>3085</v>
      </c>
      <c r="DD3405" s="127">
        <v>3</v>
      </c>
      <c r="DE3405" s="127">
        <v>3</v>
      </c>
      <c r="DG3405" s="405" t="s">
        <v>311</v>
      </c>
      <c r="DH3405" s="406" t="s">
        <v>3085</v>
      </c>
      <c r="DI3405" s="406" t="str">
        <f t="shared" si="85"/>
        <v>PR, Maripá</v>
      </c>
      <c r="DJ3405" s="406">
        <v>-24.417999999999999</v>
      </c>
      <c r="DK3405" s="80">
        <v>-53.83</v>
      </c>
      <c r="DL3405" s="80">
        <v>402</v>
      </c>
      <c r="DM3405" s="64">
        <v>3</v>
      </c>
      <c r="DN3405" s="406" t="s">
        <v>7284</v>
      </c>
      <c r="DO3405" s="406">
        <v>-24.56</v>
      </c>
      <c r="DP3405" s="80">
        <v>392</v>
      </c>
    </row>
    <row r="3406" spans="29:120" x14ac:dyDescent="0.25">
      <c r="AC3406" s="122" t="s">
        <v>333</v>
      </c>
      <c r="AD3406" s="122" t="s">
        <v>3715</v>
      </c>
      <c r="AE3406" s="127">
        <v>3</v>
      </c>
      <c r="DA3406" s="122" t="s">
        <v>311</v>
      </c>
      <c r="DB3406" s="122" t="s">
        <v>770</v>
      </c>
      <c r="DC3406" s="122" t="s">
        <v>770</v>
      </c>
      <c r="DD3406" s="127">
        <v>2</v>
      </c>
      <c r="DE3406" s="127">
        <v>2</v>
      </c>
      <c r="DG3406" s="405" t="s">
        <v>311</v>
      </c>
      <c r="DH3406" s="406" t="s">
        <v>770</v>
      </c>
      <c r="DI3406" s="406" t="str">
        <f t="shared" si="85"/>
        <v>PR, Marmeleiro</v>
      </c>
      <c r="DJ3406" s="406">
        <v>-26.149000000000001</v>
      </c>
      <c r="DK3406" s="80">
        <v>-53.026000000000003</v>
      </c>
      <c r="DL3406" s="80">
        <v>660</v>
      </c>
      <c r="DM3406" s="64">
        <v>2</v>
      </c>
      <c r="DN3406" s="406" t="s">
        <v>7844</v>
      </c>
      <c r="DO3406" s="406">
        <v>-26.41</v>
      </c>
      <c r="DP3406" s="80">
        <v>960</v>
      </c>
    </row>
    <row r="3407" spans="29:120" x14ac:dyDescent="0.25">
      <c r="AC3407" s="122" t="s">
        <v>376</v>
      </c>
      <c r="AD3407" s="122" t="s">
        <v>3716</v>
      </c>
      <c r="AE3407" s="127">
        <v>4</v>
      </c>
      <c r="DA3407" s="122" t="s">
        <v>311</v>
      </c>
      <c r="DB3407" s="122" t="s">
        <v>501</v>
      </c>
      <c r="DC3407" s="122" t="s">
        <v>501</v>
      </c>
      <c r="DD3407" s="127">
        <v>2</v>
      </c>
      <c r="DE3407" s="127">
        <v>2</v>
      </c>
      <c r="DG3407" s="405" t="s">
        <v>311</v>
      </c>
      <c r="DH3407" s="406" t="s">
        <v>501</v>
      </c>
      <c r="DI3407" s="406" t="str">
        <f t="shared" si="85"/>
        <v>PR, Marquinho</v>
      </c>
      <c r="DJ3407" s="406">
        <v>-25.113</v>
      </c>
      <c r="DK3407" s="80">
        <v>-52.253999999999998</v>
      </c>
      <c r="DL3407" s="80">
        <v>836</v>
      </c>
      <c r="DM3407" s="64">
        <v>2</v>
      </c>
      <c r="DN3407" s="406" t="s">
        <v>7813</v>
      </c>
      <c r="DO3407" s="406">
        <v>-24.44</v>
      </c>
      <c r="DP3407" s="80">
        <v>654</v>
      </c>
    </row>
    <row r="3408" spans="29:120" x14ac:dyDescent="0.25">
      <c r="AC3408" s="122" t="s">
        <v>376</v>
      </c>
      <c r="AD3408" s="122" t="s">
        <v>3717</v>
      </c>
      <c r="AE3408" s="127">
        <v>4</v>
      </c>
      <c r="DA3408" s="122" t="s">
        <v>311</v>
      </c>
      <c r="DB3408" s="122" t="s">
        <v>3184</v>
      </c>
      <c r="DC3408" s="122" t="s">
        <v>3184</v>
      </c>
      <c r="DD3408" s="127">
        <v>3</v>
      </c>
      <c r="DE3408" s="127">
        <v>3</v>
      </c>
      <c r="DG3408" s="405" t="s">
        <v>311</v>
      </c>
      <c r="DH3408" s="406" t="s">
        <v>3184</v>
      </c>
      <c r="DI3408" s="406" t="str">
        <f t="shared" si="85"/>
        <v>PR, Marumbi</v>
      </c>
      <c r="DJ3408" s="406">
        <v>-23.706</v>
      </c>
      <c r="DK3408" s="80">
        <v>-51.639000000000003</v>
      </c>
      <c r="DL3408" s="80">
        <v>650</v>
      </c>
      <c r="DM3408" s="64">
        <v>3</v>
      </c>
      <c r="DN3408" s="406" t="s">
        <v>7816</v>
      </c>
      <c r="DO3408" s="406">
        <v>-23.42</v>
      </c>
      <c r="DP3408" s="80">
        <v>542</v>
      </c>
    </row>
    <row r="3409" spans="29:120" x14ac:dyDescent="0.25">
      <c r="AC3409" s="122" t="s">
        <v>333</v>
      </c>
      <c r="AD3409" s="122" t="s">
        <v>3718</v>
      </c>
      <c r="AE3409" s="127">
        <v>3</v>
      </c>
      <c r="DA3409" s="122" t="s">
        <v>311</v>
      </c>
      <c r="DB3409" s="122" t="s">
        <v>3619</v>
      </c>
      <c r="DC3409" s="122" t="s">
        <v>3619</v>
      </c>
      <c r="DD3409" s="127">
        <v>3</v>
      </c>
      <c r="DE3409" s="127">
        <v>3</v>
      </c>
      <c r="DG3409" s="405" t="s">
        <v>311</v>
      </c>
      <c r="DH3409" s="406" t="s">
        <v>3619</v>
      </c>
      <c r="DI3409" s="406" t="str">
        <f t="shared" si="85"/>
        <v>PR, Matelândia</v>
      </c>
      <c r="DJ3409" s="406">
        <v>-25.241</v>
      </c>
      <c r="DK3409" s="80">
        <v>-53.996000000000002</v>
      </c>
      <c r="DL3409" s="80">
        <v>555</v>
      </c>
      <c r="DM3409" s="64">
        <v>3</v>
      </c>
      <c r="DN3409" s="406" t="s">
        <v>7821</v>
      </c>
      <c r="DO3409" s="406">
        <v>-25.72</v>
      </c>
      <c r="DP3409" s="80">
        <v>346</v>
      </c>
    </row>
    <row r="3410" spans="29:120" x14ac:dyDescent="0.25">
      <c r="AC3410" s="122" t="s">
        <v>376</v>
      </c>
      <c r="AD3410" s="122" t="s">
        <v>3719</v>
      </c>
      <c r="AE3410" s="127">
        <v>6</v>
      </c>
      <c r="DA3410" s="122" t="s">
        <v>311</v>
      </c>
      <c r="DB3410" s="122" t="s">
        <v>3087</v>
      </c>
      <c r="DC3410" s="122" t="s">
        <v>3087</v>
      </c>
      <c r="DD3410" s="127">
        <v>3</v>
      </c>
      <c r="DE3410" s="127">
        <v>3</v>
      </c>
      <c r="DG3410" s="405" t="s">
        <v>311</v>
      </c>
      <c r="DH3410" s="406" t="s">
        <v>3087</v>
      </c>
      <c r="DI3410" s="406" t="str">
        <f t="shared" si="85"/>
        <v>PR, Matinhos</v>
      </c>
      <c r="DJ3410" s="406">
        <v>-25.818000000000001</v>
      </c>
      <c r="DK3410" s="80">
        <v>-48.542999999999999</v>
      </c>
      <c r="DL3410" s="80">
        <v>15</v>
      </c>
      <c r="DM3410" s="64">
        <v>3</v>
      </c>
      <c r="DN3410" s="406" t="s">
        <v>7823</v>
      </c>
      <c r="DO3410" s="406">
        <v>-25.57</v>
      </c>
      <c r="DP3410" s="80">
        <v>1</v>
      </c>
    </row>
    <row r="3411" spans="29:120" x14ac:dyDescent="0.25">
      <c r="AC3411" s="122" t="s">
        <v>333</v>
      </c>
      <c r="AD3411" s="122" t="s">
        <v>3720</v>
      </c>
      <c r="AE3411" s="127">
        <v>3</v>
      </c>
      <c r="DA3411" s="122" t="s">
        <v>311</v>
      </c>
      <c r="DB3411" s="122" t="s">
        <v>7912</v>
      </c>
      <c r="DC3411" s="122" t="s">
        <v>754</v>
      </c>
      <c r="DD3411" s="127">
        <v>2</v>
      </c>
      <c r="DE3411" s="127">
        <v>2</v>
      </c>
      <c r="DG3411" s="405" t="s">
        <v>311</v>
      </c>
      <c r="DH3411" s="406" t="s">
        <v>754</v>
      </c>
      <c r="DI3411" s="406" t="str">
        <f t="shared" si="85"/>
        <v>PR, Mato Rico</v>
      </c>
      <c r="DJ3411" s="406">
        <v>-24.704999999999998</v>
      </c>
      <c r="DK3411" s="80">
        <v>-52.146000000000001</v>
      </c>
      <c r="DL3411" s="80">
        <v>700</v>
      </c>
      <c r="DM3411" s="64">
        <v>2</v>
      </c>
      <c r="DN3411" s="406" t="s">
        <v>7813</v>
      </c>
      <c r="DO3411" s="406">
        <v>-24.44</v>
      </c>
      <c r="DP3411" s="80">
        <v>654</v>
      </c>
    </row>
    <row r="3412" spans="29:120" x14ac:dyDescent="0.25">
      <c r="AC3412" s="122" t="s">
        <v>376</v>
      </c>
      <c r="AD3412" s="122" t="s">
        <v>3721</v>
      </c>
      <c r="AE3412" s="127">
        <v>3</v>
      </c>
      <c r="DA3412" s="122" t="s">
        <v>311</v>
      </c>
      <c r="DB3412" s="122" t="s">
        <v>7913</v>
      </c>
      <c r="DC3412" s="122" t="s">
        <v>3267</v>
      </c>
      <c r="DD3412" s="127">
        <v>2</v>
      </c>
      <c r="DE3412" s="127">
        <v>2</v>
      </c>
      <c r="DG3412" s="405" t="s">
        <v>311</v>
      </c>
      <c r="DH3412" s="406" t="s">
        <v>3267</v>
      </c>
      <c r="DI3412" s="406" t="str">
        <f t="shared" si="85"/>
        <v>PR, Mauá da Serra</v>
      </c>
      <c r="DJ3412" s="406">
        <v>-23.901</v>
      </c>
      <c r="DK3412" s="80">
        <v>-51.228999999999999</v>
      </c>
      <c r="DL3412" s="80">
        <v>1020</v>
      </c>
      <c r="DM3412" s="64">
        <v>2</v>
      </c>
      <c r="DN3412" s="406" t="s">
        <v>7826</v>
      </c>
      <c r="DO3412" s="406">
        <v>-23.38</v>
      </c>
      <c r="DP3412" s="80">
        <v>566</v>
      </c>
    </row>
    <row r="3413" spans="29:120" x14ac:dyDescent="0.25">
      <c r="AC3413" s="122" t="s">
        <v>333</v>
      </c>
      <c r="AD3413" s="122" t="s">
        <v>3722</v>
      </c>
      <c r="AE3413" s="127">
        <v>3</v>
      </c>
      <c r="DA3413" s="122" t="s">
        <v>311</v>
      </c>
      <c r="DB3413" s="122" t="s">
        <v>3603</v>
      </c>
      <c r="DC3413" s="122" t="s">
        <v>3603</v>
      </c>
      <c r="DD3413" s="127">
        <v>3</v>
      </c>
      <c r="DE3413" s="127">
        <v>3</v>
      </c>
      <c r="DG3413" s="405" t="s">
        <v>311</v>
      </c>
      <c r="DH3413" s="406" t="s">
        <v>3603</v>
      </c>
      <c r="DI3413" s="406" t="str">
        <f t="shared" si="85"/>
        <v>PR, Medianeira</v>
      </c>
      <c r="DJ3413" s="406">
        <v>-25.295000000000002</v>
      </c>
      <c r="DK3413" s="80">
        <v>-54.094000000000001</v>
      </c>
      <c r="DL3413" s="80">
        <v>412</v>
      </c>
      <c r="DM3413" s="64">
        <v>3</v>
      </c>
      <c r="DN3413" s="406" t="s">
        <v>7821</v>
      </c>
      <c r="DO3413" s="406">
        <v>-25.72</v>
      </c>
      <c r="DP3413" s="80">
        <v>346</v>
      </c>
    </row>
    <row r="3414" spans="29:120" x14ac:dyDescent="0.25">
      <c r="AC3414" s="122" t="s">
        <v>376</v>
      </c>
      <c r="AD3414" s="122" t="s">
        <v>3723</v>
      </c>
      <c r="AE3414" s="127">
        <v>6</v>
      </c>
      <c r="DA3414" s="122" t="s">
        <v>311</v>
      </c>
      <c r="DB3414" s="122" t="s">
        <v>3239</v>
      </c>
      <c r="DC3414" s="122" t="s">
        <v>3239</v>
      </c>
      <c r="DD3414" s="127">
        <v>3</v>
      </c>
      <c r="DE3414" s="127">
        <v>3</v>
      </c>
      <c r="DG3414" s="405" t="s">
        <v>311</v>
      </c>
      <c r="DH3414" s="406" t="s">
        <v>3239</v>
      </c>
      <c r="DI3414" s="406" t="str">
        <f t="shared" si="85"/>
        <v>PR, Mercedes</v>
      </c>
      <c r="DJ3414" s="406">
        <v>-24.454000000000001</v>
      </c>
      <c r="DK3414" s="80">
        <v>-54.161999999999999</v>
      </c>
      <c r="DL3414" s="80">
        <v>408</v>
      </c>
      <c r="DM3414" s="64">
        <v>3</v>
      </c>
      <c r="DN3414" s="406" t="s">
        <v>7284</v>
      </c>
      <c r="DO3414" s="406">
        <v>-24.56</v>
      </c>
      <c r="DP3414" s="80">
        <v>392</v>
      </c>
    </row>
    <row r="3415" spans="29:120" x14ac:dyDescent="0.25">
      <c r="AC3415" s="122" t="s">
        <v>376</v>
      </c>
      <c r="AD3415" s="122" t="s">
        <v>3724</v>
      </c>
      <c r="AE3415" s="127">
        <v>4</v>
      </c>
      <c r="DA3415" s="122" t="s">
        <v>311</v>
      </c>
      <c r="DB3415" s="122" t="s">
        <v>3189</v>
      </c>
      <c r="DC3415" s="122" t="s">
        <v>3189</v>
      </c>
      <c r="DD3415" s="127">
        <v>3</v>
      </c>
      <c r="DE3415" s="127">
        <v>3</v>
      </c>
      <c r="DG3415" s="405" t="s">
        <v>311</v>
      </c>
      <c r="DH3415" s="406" t="s">
        <v>3189</v>
      </c>
      <c r="DI3415" s="406" t="str">
        <f t="shared" si="85"/>
        <v>PR, Mirador</v>
      </c>
      <c r="DJ3415" s="406">
        <v>-23.257999999999999</v>
      </c>
      <c r="DK3415" s="80">
        <v>-52.776000000000003</v>
      </c>
      <c r="DL3415" s="80">
        <v>352</v>
      </c>
      <c r="DM3415" s="64">
        <v>3</v>
      </c>
      <c r="DN3415" s="406" t="s">
        <v>7820</v>
      </c>
      <c r="DO3415" s="406">
        <v>-23.36</v>
      </c>
      <c r="DP3415" s="80">
        <v>381</v>
      </c>
    </row>
    <row r="3416" spans="29:120" x14ac:dyDescent="0.25">
      <c r="AC3416" s="122" t="s">
        <v>376</v>
      </c>
      <c r="AD3416" s="122" t="s">
        <v>3725</v>
      </c>
      <c r="AE3416" s="127">
        <v>4</v>
      </c>
      <c r="DA3416" s="122" t="s">
        <v>311</v>
      </c>
      <c r="DB3416" s="122" t="s">
        <v>3770</v>
      </c>
      <c r="DC3416" s="122" t="s">
        <v>3770</v>
      </c>
      <c r="DD3416" s="127">
        <v>3</v>
      </c>
      <c r="DE3416" s="127">
        <v>3</v>
      </c>
      <c r="DG3416" s="405" t="s">
        <v>311</v>
      </c>
      <c r="DH3416" s="406" t="s">
        <v>3770</v>
      </c>
      <c r="DI3416" s="406" t="str">
        <f t="shared" si="85"/>
        <v>PR, Miraselva</v>
      </c>
      <c r="DJ3416" s="406">
        <v>-22.966000000000001</v>
      </c>
      <c r="DK3416" s="80">
        <v>-51.454999999999998</v>
      </c>
      <c r="DL3416" s="80">
        <v>570</v>
      </c>
      <c r="DM3416" s="64">
        <v>3</v>
      </c>
      <c r="DN3416" s="406" t="s">
        <v>7826</v>
      </c>
      <c r="DO3416" s="406">
        <v>-23.38</v>
      </c>
      <c r="DP3416" s="80">
        <v>566</v>
      </c>
    </row>
    <row r="3417" spans="29:120" x14ac:dyDescent="0.25">
      <c r="AC3417" s="122" t="s">
        <v>333</v>
      </c>
      <c r="AD3417" s="122" t="s">
        <v>3726</v>
      </c>
      <c r="AE3417" s="127">
        <v>3</v>
      </c>
      <c r="DA3417" s="122" t="s">
        <v>311</v>
      </c>
      <c r="DB3417" s="122" t="s">
        <v>3592</v>
      </c>
      <c r="DC3417" s="122" t="s">
        <v>3592</v>
      </c>
      <c r="DD3417" s="127">
        <v>3</v>
      </c>
      <c r="DE3417" s="127">
        <v>3</v>
      </c>
      <c r="DG3417" s="405" t="s">
        <v>311</v>
      </c>
      <c r="DH3417" s="406" t="s">
        <v>3592</v>
      </c>
      <c r="DI3417" s="406" t="str">
        <f t="shared" si="85"/>
        <v>PR, Missal</v>
      </c>
      <c r="DJ3417" s="406">
        <v>-25.091999999999999</v>
      </c>
      <c r="DK3417" s="80">
        <v>-54.247999999999998</v>
      </c>
      <c r="DL3417" s="80">
        <v>328</v>
      </c>
      <c r="DM3417" s="64">
        <v>3</v>
      </c>
      <c r="DN3417" s="406" t="s">
        <v>7284</v>
      </c>
      <c r="DO3417" s="406">
        <v>-24.56</v>
      </c>
      <c r="DP3417" s="80">
        <v>392</v>
      </c>
    </row>
    <row r="3418" spans="29:120" x14ac:dyDescent="0.25">
      <c r="AC3418" s="122" t="s">
        <v>336</v>
      </c>
      <c r="AD3418" s="122" t="s">
        <v>3192</v>
      </c>
      <c r="AE3418" s="127">
        <v>3</v>
      </c>
      <c r="DA3418" s="122" t="s">
        <v>311</v>
      </c>
      <c r="DB3418" s="122" t="s">
        <v>7914</v>
      </c>
      <c r="DC3418" s="122" t="s">
        <v>3243</v>
      </c>
      <c r="DD3418" s="127">
        <v>3</v>
      </c>
      <c r="DE3418" s="127">
        <v>3</v>
      </c>
      <c r="DG3418" s="405" t="s">
        <v>311</v>
      </c>
      <c r="DH3418" s="406" t="s">
        <v>3243</v>
      </c>
      <c r="DI3418" s="406" t="str">
        <f t="shared" si="85"/>
        <v>PR, Moreira Sales</v>
      </c>
      <c r="DJ3418" s="406">
        <v>-24.062000000000001</v>
      </c>
      <c r="DK3418" s="80">
        <v>-53.006999999999998</v>
      </c>
      <c r="DL3418" s="80">
        <v>450</v>
      </c>
      <c r="DM3418" s="64">
        <v>3</v>
      </c>
      <c r="DN3418" s="406" t="s">
        <v>7820</v>
      </c>
      <c r="DO3418" s="406">
        <v>-23.36</v>
      </c>
      <c r="DP3418" s="80">
        <v>381</v>
      </c>
    </row>
    <row r="3419" spans="29:120" x14ac:dyDescent="0.25">
      <c r="AC3419" s="122" t="s">
        <v>333</v>
      </c>
      <c r="AD3419" s="122" t="s">
        <v>3727</v>
      </c>
      <c r="AE3419" s="127">
        <v>3</v>
      </c>
      <c r="DA3419" s="122" t="s">
        <v>311</v>
      </c>
      <c r="DB3419" s="122" t="s">
        <v>3325</v>
      </c>
      <c r="DC3419" s="122" t="s">
        <v>3325</v>
      </c>
      <c r="DD3419" s="127">
        <v>3</v>
      </c>
      <c r="DE3419" s="127">
        <v>3</v>
      </c>
      <c r="DG3419" s="405" t="s">
        <v>311</v>
      </c>
      <c r="DH3419" s="406" t="s">
        <v>3325</v>
      </c>
      <c r="DI3419" s="406" t="str">
        <f t="shared" si="85"/>
        <v>PR, Morretes</v>
      </c>
      <c r="DJ3419" s="406">
        <v>-25.477</v>
      </c>
      <c r="DK3419" s="80">
        <v>-48.834000000000003</v>
      </c>
      <c r="DL3419" s="80">
        <v>10</v>
      </c>
      <c r="DM3419" s="64">
        <v>3</v>
      </c>
      <c r="DN3419" s="406" t="s">
        <v>7823</v>
      </c>
      <c r="DO3419" s="406">
        <v>-25.57</v>
      </c>
      <c r="DP3419" s="80">
        <v>1</v>
      </c>
    </row>
    <row r="3420" spans="29:120" x14ac:dyDescent="0.25">
      <c r="AC3420" s="122" t="s">
        <v>376</v>
      </c>
      <c r="AD3420" s="122" t="s">
        <v>2637</v>
      </c>
      <c r="AE3420" s="127">
        <v>3</v>
      </c>
      <c r="DA3420" s="122" t="s">
        <v>311</v>
      </c>
      <c r="DB3420" s="122" t="s">
        <v>7915</v>
      </c>
      <c r="DC3420" s="122" t="s">
        <v>3375</v>
      </c>
      <c r="DD3420" s="127">
        <v>3</v>
      </c>
      <c r="DE3420" s="127">
        <v>3</v>
      </c>
      <c r="DG3420" s="405" t="s">
        <v>311</v>
      </c>
      <c r="DH3420" s="406" t="s">
        <v>3375</v>
      </c>
      <c r="DI3420" s="406" t="str">
        <f t="shared" si="85"/>
        <v>PR, Munhoz de Melo</v>
      </c>
      <c r="DJ3420" s="406">
        <v>-23.148</v>
      </c>
      <c r="DK3420" s="80">
        <v>-51.774000000000001</v>
      </c>
      <c r="DL3420" s="80">
        <v>568</v>
      </c>
      <c r="DM3420" s="64">
        <v>3</v>
      </c>
      <c r="DN3420" s="406" t="s">
        <v>7816</v>
      </c>
      <c r="DO3420" s="406">
        <v>-23.42</v>
      </c>
      <c r="DP3420" s="80">
        <v>542</v>
      </c>
    </row>
    <row r="3421" spans="29:120" x14ac:dyDescent="0.25">
      <c r="AC3421" s="122" t="s">
        <v>333</v>
      </c>
      <c r="AD3421" s="122" t="s">
        <v>3728</v>
      </c>
      <c r="AE3421" s="127">
        <v>3</v>
      </c>
      <c r="DA3421" s="122" t="s">
        <v>311</v>
      </c>
      <c r="DB3421" s="122" t="s">
        <v>7916</v>
      </c>
      <c r="DC3421" s="122" t="s">
        <v>3639</v>
      </c>
      <c r="DD3421" s="127">
        <v>3</v>
      </c>
      <c r="DE3421" s="127">
        <v>3</v>
      </c>
      <c r="DG3421" s="405" t="s">
        <v>311</v>
      </c>
      <c r="DH3421" s="406" t="s">
        <v>3639</v>
      </c>
      <c r="DI3421" s="406" t="str">
        <f t="shared" si="85"/>
        <v>PR, Nossa Senhora das Graças</v>
      </c>
      <c r="DJ3421" s="406">
        <v>-22.914000000000001</v>
      </c>
      <c r="DK3421" s="80">
        <v>-51.793999999999997</v>
      </c>
      <c r="DL3421" s="80">
        <v>489</v>
      </c>
      <c r="DM3421" s="64">
        <v>3</v>
      </c>
      <c r="DN3421" s="406" t="s">
        <v>7264</v>
      </c>
      <c r="DO3421" s="406">
        <v>-22.49</v>
      </c>
      <c r="DP3421" s="80">
        <v>311</v>
      </c>
    </row>
    <row r="3422" spans="29:120" x14ac:dyDescent="0.25">
      <c r="AC3422" s="122" t="s">
        <v>376</v>
      </c>
      <c r="AD3422" s="122" t="s">
        <v>3729</v>
      </c>
      <c r="AE3422" s="127">
        <v>3</v>
      </c>
      <c r="DA3422" s="122" t="s">
        <v>311</v>
      </c>
      <c r="DB3422" s="122" t="s">
        <v>7917</v>
      </c>
      <c r="DC3422" s="122" t="s">
        <v>3213</v>
      </c>
      <c r="DD3422" s="127">
        <v>3</v>
      </c>
      <c r="DE3422" s="127">
        <v>3</v>
      </c>
      <c r="DG3422" s="405" t="s">
        <v>311</v>
      </c>
      <c r="DH3422" s="406" t="s">
        <v>3213</v>
      </c>
      <c r="DI3422" s="406" t="str">
        <f t="shared" si="85"/>
        <v>PR, Nova Aliança do Ivaí</v>
      </c>
      <c r="DJ3422" s="406">
        <v>-23.177</v>
      </c>
      <c r="DK3422" s="80">
        <v>-52.601999999999997</v>
      </c>
      <c r="DL3422" s="80">
        <v>396</v>
      </c>
      <c r="DM3422" s="64">
        <v>3</v>
      </c>
      <c r="DN3422" s="406" t="s">
        <v>7820</v>
      </c>
      <c r="DO3422" s="406">
        <v>-23.36</v>
      </c>
      <c r="DP3422" s="80">
        <v>381</v>
      </c>
    </row>
    <row r="3423" spans="29:120" x14ac:dyDescent="0.25">
      <c r="AC3423" s="122" t="s">
        <v>333</v>
      </c>
      <c r="AD3423" s="122" t="s">
        <v>3730</v>
      </c>
      <c r="AE3423" s="127">
        <v>3</v>
      </c>
      <c r="DA3423" s="122" t="s">
        <v>311</v>
      </c>
      <c r="DB3423" s="122" t="s">
        <v>7918</v>
      </c>
      <c r="DC3423" s="122" t="s">
        <v>3344</v>
      </c>
      <c r="DD3423" s="127">
        <v>3</v>
      </c>
      <c r="DE3423" s="127">
        <v>3</v>
      </c>
      <c r="DG3423" s="405" t="s">
        <v>311</v>
      </c>
      <c r="DH3423" s="406" t="s">
        <v>3344</v>
      </c>
      <c r="DI3423" s="406" t="str">
        <f t="shared" si="85"/>
        <v>PR, Nova América da Colina</v>
      </c>
      <c r="DJ3423" s="406">
        <v>-23.331</v>
      </c>
      <c r="DK3423" s="80">
        <v>-50.718000000000004</v>
      </c>
      <c r="DL3423" s="80">
        <v>641</v>
      </c>
      <c r="DM3423" s="64">
        <v>3</v>
      </c>
      <c r="DN3423" s="406" t="s">
        <v>7806</v>
      </c>
      <c r="DO3423" s="406">
        <v>-23.43</v>
      </c>
      <c r="DP3423" s="80">
        <v>668</v>
      </c>
    </row>
    <row r="3424" spans="29:120" x14ac:dyDescent="0.25">
      <c r="AC3424" s="122" t="s">
        <v>376</v>
      </c>
      <c r="AD3424" s="122" t="s">
        <v>3731</v>
      </c>
      <c r="AE3424" s="127">
        <v>4</v>
      </c>
      <c r="DA3424" s="122" t="s">
        <v>311</v>
      </c>
      <c r="DB3424" s="122" t="s">
        <v>6580</v>
      </c>
      <c r="DC3424" s="122" t="s">
        <v>2783</v>
      </c>
      <c r="DD3424" s="127">
        <v>3</v>
      </c>
      <c r="DE3424" s="127">
        <v>3</v>
      </c>
      <c r="DG3424" s="405" t="s">
        <v>311</v>
      </c>
      <c r="DH3424" s="406" t="s">
        <v>2783</v>
      </c>
      <c r="DI3424" s="406" t="str">
        <f t="shared" si="85"/>
        <v>PR, Nova Aurora</v>
      </c>
      <c r="DJ3424" s="406">
        <v>-24.529</v>
      </c>
      <c r="DK3424" s="80">
        <v>-53.256</v>
      </c>
      <c r="DL3424" s="80">
        <v>526</v>
      </c>
      <c r="DM3424" s="64">
        <v>3</v>
      </c>
      <c r="DN3424" s="406" t="s">
        <v>7284</v>
      </c>
      <c r="DO3424" s="406">
        <v>-24.56</v>
      </c>
      <c r="DP3424" s="80">
        <v>392</v>
      </c>
    </row>
    <row r="3425" spans="29:120" x14ac:dyDescent="0.25">
      <c r="AC3425" s="122" t="s">
        <v>333</v>
      </c>
      <c r="AD3425" s="122" t="s">
        <v>3732</v>
      </c>
      <c r="AE3425" s="127">
        <v>4</v>
      </c>
      <c r="DA3425" s="122" t="s">
        <v>311</v>
      </c>
      <c r="DB3425" s="122" t="s">
        <v>7919</v>
      </c>
      <c r="DC3425" s="122" t="s">
        <v>761</v>
      </c>
      <c r="DD3425" s="127">
        <v>2</v>
      </c>
      <c r="DE3425" s="127">
        <v>2</v>
      </c>
      <c r="DG3425" s="405" t="s">
        <v>311</v>
      </c>
      <c r="DH3425" s="406" t="s">
        <v>761</v>
      </c>
      <c r="DI3425" s="406" t="str">
        <f t="shared" si="85"/>
        <v>PR, Nova Cantu</v>
      </c>
      <c r="DJ3425" s="406">
        <v>-24.672999999999998</v>
      </c>
      <c r="DK3425" s="80">
        <v>-52.569000000000003</v>
      </c>
      <c r="DL3425" s="80">
        <v>555</v>
      </c>
      <c r="DM3425" s="64">
        <v>2</v>
      </c>
      <c r="DN3425" s="406" t="s">
        <v>7813</v>
      </c>
      <c r="DO3425" s="406">
        <v>-24.44</v>
      </c>
      <c r="DP3425" s="80">
        <v>654</v>
      </c>
    </row>
    <row r="3426" spans="29:120" x14ac:dyDescent="0.25">
      <c r="AC3426" s="122" t="s">
        <v>376</v>
      </c>
      <c r="AD3426" s="122" t="s">
        <v>3733</v>
      </c>
      <c r="AE3426" s="127">
        <v>5</v>
      </c>
      <c r="DA3426" s="122" t="s">
        <v>311</v>
      </c>
      <c r="DB3426" s="122" t="s">
        <v>7920</v>
      </c>
      <c r="DC3426" s="122" t="s">
        <v>3246</v>
      </c>
      <c r="DD3426" s="127">
        <v>1</v>
      </c>
      <c r="DE3426" s="127">
        <v>1</v>
      </c>
      <c r="DG3426" s="405" t="s">
        <v>311</v>
      </c>
      <c r="DH3426" s="406" t="s">
        <v>3246</v>
      </c>
      <c r="DI3426" s="406" t="str">
        <f t="shared" si="85"/>
        <v>PR, Nova Esperança</v>
      </c>
      <c r="DJ3426" s="406">
        <v>-23.184000000000001</v>
      </c>
      <c r="DK3426" s="80">
        <v>-52.204999999999998</v>
      </c>
      <c r="DL3426" s="80">
        <v>550</v>
      </c>
      <c r="DM3426" s="64">
        <v>1</v>
      </c>
      <c r="DN3426" s="406" t="s">
        <v>7816</v>
      </c>
      <c r="DO3426" s="406">
        <v>-23.42</v>
      </c>
      <c r="DP3426" s="80">
        <v>542</v>
      </c>
    </row>
    <row r="3427" spans="29:120" x14ac:dyDescent="0.25">
      <c r="AC3427" s="122" t="s">
        <v>376</v>
      </c>
      <c r="AD3427" s="122" t="s">
        <v>3734</v>
      </c>
      <c r="AE3427" s="127">
        <v>4</v>
      </c>
      <c r="DA3427" s="122" t="s">
        <v>311</v>
      </c>
      <c r="DB3427" s="122" t="s">
        <v>7921</v>
      </c>
      <c r="DC3427" s="122" t="s">
        <v>1713</v>
      </c>
      <c r="DD3427" s="127">
        <v>2</v>
      </c>
      <c r="DE3427" s="127">
        <v>2</v>
      </c>
      <c r="DG3427" s="405" t="s">
        <v>311</v>
      </c>
      <c r="DH3427" s="406" t="s">
        <v>1713</v>
      </c>
      <c r="DI3427" s="406" t="str">
        <f t="shared" si="85"/>
        <v>PR, Nova Esperança do Sudoeste</v>
      </c>
      <c r="DJ3427" s="406">
        <v>-25.907</v>
      </c>
      <c r="DK3427" s="80">
        <v>-53.262999999999998</v>
      </c>
      <c r="DL3427" s="80">
        <v>538</v>
      </c>
      <c r="DM3427" s="64">
        <v>2</v>
      </c>
      <c r="DN3427" s="406" t="s">
        <v>7838</v>
      </c>
      <c r="DO3427" s="406">
        <v>-25.69</v>
      </c>
      <c r="DP3427" s="80">
        <v>520</v>
      </c>
    </row>
    <row r="3428" spans="29:120" x14ac:dyDescent="0.25">
      <c r="AC3428" s="122" t="s">
        <v>376</v>
      </c>
      <c r="AD3428" s="122" t="s">
        <v>3735</v>
      </c>
      <c r="AE3428" s="127">
        <v>4</v>
      </c>
      <c r="DA3428" s="122" t="s">
        <v>311</v>
      </c>
      <c r="DB3428" s="122" t="s">
        <v>6318</v>
      </c>
      <c r="DC3428" s="122" t="s">
        <v>2229</v>
      </c>
      <c r="DD3428" s="127">
        <v>3</v>
      </c>
      <c r="DE3428" s="127">
        <v>3</v>
      </c>
      <c r="DG3428" s="405" t="s">
        <v>311</v>
      </c>
      <c r="DH3428" s="406" t="s">
        <v>2229</v>
      </c>
      <c r="DI3428" s="406" t="str">
        <f t="shared" si="85"/>
        <v>PR, Nova Fátima</v>
      </c>
      <c r="DJ3428" s="406">
        <v>-23.431999999999999</v>
      </c>
      <c r="DK3428" s="80">
        <v>-50.564</v>
      </c>
      <c r="DL3428" s="80">
        <v>673</v>
      </c>
      <c r="DM3428" s="64">
        <v>3</v>
      </c>
      <c r="DN3428" s="406" t="s">
        <v>7806</v>
      </c>
      <c r="DO3428" s="406">
        <v>-23.43</v>
      </c>
      <c r="DP3428" s="80">
        <v>668</v>
      </c>
    </row>
    <row r="3429" spans="29:120" x14ac:dyDescent="0.25">
      <c r="AC3429" s="122" t="s">
        <v>333</v>
      </c>
      <c r="AD3429" s="122" t="s">
        <v>3736</v>
      </c>
      <c r="AE3429" s="127">
        <v>4</v>
      </c>
      <c r="DA3429" s="122" t="s">
        <v>311</v>
      </c>
      <c r="DB3429" s="122" t="s">
        <v>7922</v>
      </c>
      <c r="DC3429" s="122" t="s">
        <v>787</v>
      </c>
      <c r="DD3429" s="127">
        <v>2</v>
      </c>
      <c r="DE3429" s="127">
        <v>2</v>
      </c>
      <c r="DG3429" s="405" t="s">
        <v>311</v>
      </c>
      <c r="DH3429" s="406" t="s">
        <v>787</v>
      </c>
      <c r="DI3429" s="406" t="str">
        <f t="shared" si="85"/>
        <v>PR, Nova Laranjeiras</v>
      </c>
      <c r="DJ3429" s="406">
        <v>-25.306999999999999</v>
      </c>
      <c r="DK3429" s="80">
        <v>-52.540999999999997</v>
      </c>
      <c r="DL3429" s="80">
        <v>700</v>
      </c>
      <c r="DM3429" s="64">
        <v>2</v>
      </c>
      <c r="DN3429" s="406" t="s">
        <v>7838</v>
      </c>
      <c r="DO3429" s="406">
        <v>-25.69</v>
      </c>
      <c r="DP3429" s="80">
        <v>520</v>
      </c>
    </row>
    <row r="3430" spans="29:120" x14ac:dyDescent="0.25">
      <c r="AC3430" s="122" t="s">
        <v>376</v>
      </c>
      <c r="AD3430" s="122" t="s">
        <v>3737</v>
      </c>
      <c r="AE3430" s="127">
        <v>4</v>
      </c>
      <c r="DA3430" s="122" t="s">
        <v>311</v>
      </c>
      <c r="DB3430" s="122" t="s">
        <v>7923</v>
      </c>
      <c r="DC3430" s="122" t="s">
        <v>3332</v>
      </c>
      <c r="DD3430" s="127">
        <v>3</v>
      </c>
      <c r="DE3430" s="127">
        <v>3</v>
      </c>
      <c r="DG3430" s="405" t="s">
        <v>311</v>
      </c>
      <c r="DH3430" s="406" t="s">
        <v>3332</v>
      </c>
      <c r="DI3430" s="406" t="str">
        <f t="shared" si="85"/>
        <v>PR, Nova Londrina</v>
      </c>
      <c r="DJ3430" s="406">
        <v>-22.765999999999998</v>
      </c>
      <c r="DK3430" s="80">
        <v>-52.984999999999999</v>
      </c>
      <c r="DL3430" s="80">
        <v>400</v>
      </c>
      <c r="DM3430" s="64">
        <v>3</v>
      </c>
      <c r="DN3430" s="406" t="s">
        <v>7257</v>
      </c>
      <c r="DO3430" s="406">
        <v>-22.64</v>
      </c>
      <c r="DP3430" s="80">
        <v>362</v>
      </c>
    </row>
    <row r="3431" spans="29:120" x14ac:dyDescent="0.25">
      <c r="AC3431" s="122" t="s">
        <v>376</v>
      </c>
      <c r="AD3431" s="122" t="s">
        <v>3738</v>
      </c>
      <c r="AE3431" s="127">
        <v>4</v>
      </c>
      <c r="DA3431" s="122" t="s">
        <v>311</v>
      </c>
      <c r="DB3431" s="122" t="s">
        <v>7364</v>
      </c>
      <c r="DC3431" s="122" t="s">
        <v>3179</v>
      </c>
      <c r="DD3431" s="127">
        <v>3</v>
      </c>
      <c r="DE3431" s="127">
        <v>3</v>
      </c>
      <c r="DG3431" s="405" t="s">
        <v>311</v>
      </c>
      <c r="DH3431" s="406" t="s">
        <v>3179</v>
      </c>
      <c r="DI3431" s="406" t="str">
        <f t="shared" si="85"/>
        <v>PR, Nova Olímpia</v>
      </c>
      <c r="DJ3431" s="406">
        <v>-23.472000000000001</v>
      </c>
      <c r="DK3431" s="80">
        <v>-53.088999999999999</v>
      </c>
      <c r="DL3431" s="80">
        <v>438</v>
      </c>
      <c r="DM3431" s="64">
        <v>3</v>
      </c>
      <c r="DN3431" s="406" t="s">
        <v>7820</v>
      </c>
      <c r="DO3431" s="406">
        <v>-23.36</v>
      </c>
      <c r="DP3431" s="80">
        <v>381</v>
      </c>
    </row>
    <row r="3432" spans="29:120" x14ac:dyDescent="0.25">
      <c r="AC3432" s="122" t="s">
        <v>376</v>
      </c>
      <c r="AD3432" s="122" t="s">
        <v>3739</v>
      </c>
      <c r="AE3432" s="127">
        <v>3</v>
      </c>
      <c r="DA3432" s="122" t="s">
        <v>311</v>
      </c>
      <c r="DB3432" s="122" t="s">
        <v>7924</v>
      </c>
      <c r="DC3432" s="122" t="s">
        <v>3110</v>
      </c>
      <c r="DD3432" s="127">
        <v>2</v>
      </c>
      <c r="DE3432" s="127">
        <v>2</v>
      </c>
      <c r="DG3432" s="405" t="s">
        <v>311</v>
      </c>
      <c r="DH3432" s="406" t="s">
        <v>3110</v>
      </c>
      <c r="DI3432" s="406" t="str">
        <f t="shared" si="85"/>
        <v>PR, Nova Prata do Iguaçu</v>
      </c>
      <c r="DJ3432" s="406">
        <v>-25.632999999999999</v>
      </c>
      <c r="DK3432" s="80">
        <v>-53.347000000000001</v>
      </c>
      <c r="DL3432" s="80">
        <v>438</v>
      </c>
      <c r="DM3432" s="64">
        <v>2</v>
      </c>
      <c r="DN3432" s="406" t="s">
        <v>7838</v>
      </c>
      <c r="DO3432" s="406">
        <v>-25.69</v>
      </c>
      <c r="DP3432" s="80">
        <v>520</v>
      </c>
    </row>
    <row r="3433" spans="29:120" x14ac:dyDescent="0.25">
      <c r="AC3433" s="122" t="s">
        <v>311</v>
      </c>
      <c r="AD3433" s="122" t="s">
        <v>3740</v>
      </c>
      <c r="AE3433" s="127">
        <v>3</v>
      </c>
      <c r="DA3433" s="122" t="s">
        <v>311</v>
      </c>
      <c r="DB3433" s="122" t="s">
        <v>7925</v>
      </c>
      <c r="DC3433" s="122" t="s">
        <v>3389</v>
      </c>
      <c r="DD3433" s="127">
        <v>2</v>
      </c>
      <c r="DE3433" s="127">
        <v>2</v>
      </c>
      <c r="DG3433" s="405" t="s">
        <v>311</v>
      </c>
      <c r="DH3433" s="406" t="s">
        <v>3389</v>
      </c>
      <c r="DI3433" s="406" t="str">
        <f t="shared" si="85"/>
        <v>PR, Nova Santa Bárbara</v>
      </c>
      <c r="DJ3433" s="406">
        <v>-23.597000000000001</v>
      </c>
      <c r="DK3433" s="80">
        <v>-50.723999999999997</v>
      </c>
      <c r="DL3433" s="80">
        <v>736</v>
      </c>
      <c r="DM3433" s="64">
        <v>2</v>
      </c>
      <c r="DN3433" s="406" t="s">
        <v>7806</v>
      </c>
      <c r="DO3433" s="406">
        <v>-23.43</v>
      </c>
      <c r="DP3433" s="80">
        <v>668</v>
      </c>
    </row>
    <row r="3434" spans="29:120" x14ac:dyDescent="0.25">
      <c r="AC3434" s="122" t="s">
        <v>376</v>
      </c>
      <c r="AD3434" s="122" t="s">
        <v>3741</v>
      </c>
      <c r="AE3434" s="127">
        <v>4</v>
      </c>
      <c r="DA3434" s="122" t="s">
        <v>311</v>
      </c>
      <c r="DB3434" s="122" t="s">
        <v>7926</v>
      </c>
      <c r="DC3434" s="122" t="s">
        <v>3188</v>
      </c>
      <c r="DD3434" s="127">
        <v>3</v>
      </c>
      <c r="DE3434" s="127">
        <v>3</v>
      </c>
      <c r="DG3434" s="405" t="s">
        <v>311</v>
      </c>
      <c r="DH3434" s="406" t="s">
        <v>3188</v>
      </c>
      <c r="DI3434" s="406" t="str">
        <f t="shared" si="85"/>
        <v>PR, Nova Santa Rosa</v>
      </c>
      <c r="DJ3434" s="406">
        <v>-24.466000000000001</v>
      </c>
      <c r="DK3434" s="80">
        <v>-53.953000000000003</v>
      </c>
      <c r="DL3434" s="80">
        <v>379</v>
      </c>
      <c r="DM3434" s="64">
        <v>3</v>
      </c>
      <c r="DN3434" s="406" t="s">
        <v>7284</v>
      </c>
      <c r="DO3434" s="406">
        <v>-24.56</v>
      </c>
      <c r="DP3434" s="80">
        <v>392</v>
      </c>
    </row>
    <row r="3435" spans="29:120" x14ac:dyDescent="0.25">
      <c r="AC3435" s="122" t="s">
        <v>376</v>
      </c>
      <c r="AD3435" s="122" t="s">
        <v>3742</v>
      </c>
      <c r="AE3435" s="127">
        <v>3</v>
      </c>
      <c r="DA3435" s="122" t="s">
        <v>311</v>
      </c>
      <c r="DB3435" s="122" t="s">
        <v>7927</v>
      </c>
      <c r="DC3435" s="122" t="s">
        <v>566</v>
      </c>
      <c r="DD3435" s="127">
        <v>2</v>
      </c>
      <c r="DE3435" s="127">
        <v>2</v>
      </c>
      <c r="DG3435" s="405" t="s">
        <v>311</v>
      </c>
      <c r="DH3435" s="406" t="s">
        <v>566</v>
      </c>
      <c r="DI3435" s="406" t="str">
        <f t="shared" si="85"/>
        <v>PR, Nova Tebas</v>
      </c>
      <c r="DJ3435" s="406">
        <v>-24.437999999999999</v>
      </c>
      <c r="DK3435" s="80">
        <v>-51.945</v>
      </c>
      <c r="DL3435" s="80">
        <v>650</v>
      </c>
      <c r="DM3435" s="64">
        <v>2</v>
      </c>
      <c r="DN3435" s="406" t="s">
        <v>7813</v>
      </c>
      <c r="DO3435" s="406">
        <v>-24.44</v>
      </c>
      <c r="DP3435" s="80">
        <v>654</v>
      </c>
    </row>
    <row r="3436" spans="29:120" x14ac:dyDescent="0.25">
      <c r="AC3436" s="122" t="s">
        <v>376</v>
      </c>
      <c r="AD3436" s="122" t="s">
        <v>3743</v>
      </c>
      <c r="AE3436" s="127">
        <v>3</v>
      </c>
      <c r="DA3436" s="122" t="s">
        <v>311</v>
      </c>
      <c r="DB3436" s="122" t="s">
        <v>7928</v>
      </c>
      <c r="DC3436" s="122" t="s">
        <v>3160</v>
      </c>
      <c r="DD3436" s="127">
        <v>3</v>
      </c>
      <c r="DE3436" s="127">
        <v>3</v>
      </c>
      <c r="DG3436" s="405" t="s">
        <v>311</v>
      </c>
      <c r="DH3436" s="406" t="s">
        <v>3160</v>
      </c>
      <c r="DI3436" s="406" t="str">
        <f t="shared" si="85"/>
        <v>PR, Novo Itacolomi</v>
      </c>
      <c r="DJ3436" s="406">
        <v>-23.763999999999999</v>
      </c>
      <c r="DK3436" s="80">
        <v>-51.506999999999998</v>
      </c>
      <c r="DL3436" s="80">
        <v>620</v>
      </c>
      <c r="DM3436" s="64">
        <v>3</v>
      </c>
      <c r="DN3436" s="406" t="s">
        <v>7826</v>
      </c>
      <c r="DO3436" s="406">
        <v>-23.38</v>
      </c>
      <c r="DP3436" s="80">
        <v>566</v>
      </c>
    </row>
    <row r="3437" spans="29:120" x14ac:dyDescent="0.25">
      <c r="AC3437" s="122" t="s">
        <v>376</v>
      </c>
      <c r="AD3437" s="122" t="s">
        <v>2893</v>
      </c>
      <c r="AE3437" s="127">
        <v>4</v>
      </c>
      <c r="DA3437" s="122" t="s">
        <v>311</v>
      </c>
      <c r="DB3437" s="122" t="s">
        <v>3341</v>
      </c>
      <c r="DC3437" s="122" t="s">
        <v>3341</v>
      </c>
      <c r="DD3437" s="127">
        <v>2</v>
      </c>
      <c r="DE3437" s="127">
        <v>2</v>
      </c>
      <c r="DG3437" s="405" t="s">
        <v>311</v>
      </c>
      <c r="DH3437" s="406" t="s">
        <v>3341</v>
      </c>
      <c r="DI3437" s="406" t="str">
        <f t="shared" si="85"/>
        <v>PR, Ortigueira</v>
      </c>
      <c r="DJ3437" s="406">
        <v>-24.207999999999998</v>
      </c>
      <c r="DK3437" s="80">
        <v>-50.948999999999998</v>
      </c>
      <c r="DL3437" s="80">
        <v>758</v>
      </c>
      <c r="DM3437" s="64">
        <v>2</v>
      </c>
      <c r="DN3437" s="406" t="s">
        <v>7885</v>
      </c>
      <c r="DO3437" s="406">
        <v>-25.01</v>
      </c>
      <c r="DP3437" s="80">
        <v>808</v>
      </c>
    </row>
    <row r="3438" spans="29:120" x14ac:dyDescent="0.25">
      <c r="AC3438" s="122" t="s">
        <v>333</v>
      </c>
      <c r="AD3438" s="122" t="s">
        <v>3744</v>
      </c>
      <c r="AE3438" s="127">
        <v>4</v>
      </c>
      <c r="DA3438" s="122" t="s">
        <v>311</v>
      </c>
      <c r="DB3438" s="122" t="s">
        <v>3321</v>
      </c>
      <c r="DC3438" s="122" t="s">
        <v>3321</v>
      </c>
      <c r="DD3438" s="127">
        <v>1</v>
      </c>
      <c r="DE3438" s="127">
        <v>1</v>
      </c>
      <c r="DG3438" s="405" t="s">
        <v>311</v>
      </c>
      <c r="DH3438" s="406" t="s">
        <v>3321</v>
      </c>
      <c r="DI3438" s="406" t="str">
        <f t="shared" si="85"/>
        <v>PR, Ourizona</v>
      </c>
      <c r="DJ3438" s="406">
        <v>-23.405000000000001</v>
      </c>
      <c r="DK3438" s="80">
        <v>-52.198999999999998</v>
      </c>
      <c r="DL3438" s="80">
        <v>525</v>
      </c>
      <c r="DM3438" s="64">
        <v>1</v>
      </c>
      <c r="DN3438" s="406" t="s">
        <v>7816</v>
      </c>
      <c r="DO3438" s="406">
        <v>-23.42</v>
      </c>
      <c r="DP3438" s="80">
        <v>542</v>
      </c>
    </row>
    <row r="3439" spans="29:120" x14ac:dyDescent="0.25">
      <c r="AC3439" s="122" t="s">
        <v>376</v>
      </c>
      <c r="AD3439" s="122" t="s">
        <v>3745</v>
      </c>
      <c r="AE3439" s="127">
        <v>4</v>
      </c>
      <c r="DA3439" s="122" t="s">
        <v>311</v>
      </c>
      <c r="DB3439" s="122" t="s">
        <v>7929</v>
      </c>
      <c r="DC3439" s="122" t="s">
        <v>3176</v>
      </c>
      <c r="DD3439" s="127">
        <v>3</v>
      </c>
      <c r="DE3439" s="127">
        <v>3</v>
      </c>
      <c r="DG3439" s="405" t="s">
        <v>311</v>
      </c>
      <c r="DH3439" s="406" t="s">
        <v>3176</v>
      </c>
      <c r="DI3439" s="406" t="str">
        <f t="shared" si="85"/>
        <v>PR, Ouro Verde do Oeste</v>
      </c>
      <c r="DJ3439" s="406">
        <v>-24.805</v>
      </c>
      <c r="DK3439" s="80">
        <v>-53.902999999999999</v>
      </c>
      <c r="DL3439" s="80">
        <v>991</v>
      </c>
      <c r="DM3439" s="64">
        <v>3</v>
      </c>
      <c r="DN3439" s="406" t="s">
        <v>7284</v>
      </c>
      <c r="DO3439" s="406">
        <v>-24.56</v>
      </c>
      <c r="DP3439" s="80">
        <v>392</v>
      </c>
    </row>
    <row r="3440" spans="29:120" x14ac:dyDescent="0.25">
      <c r="AC3440" s="122" t="s">
        <v>333</v>
      </c>
      <c r="AD3440" s="122" t="s">
        <v>3746</v>
      </c>
      <c r="AE3440" s="127">
        <v>4</v>
      </c>
      <c r="DA3440" s="122" t="s">
        <v>311</v>
      </c>
      <c r="DB3440" s="122" t="s">
        <v>3360</v>
      </c>
      <c r="DC3440" s="122" t="s">
        <v>3360</v>
      </c>
      <c r="DD3440" s="127">
        <v>1</v>
      </c>
      <c r="DE3440" s="127">
        <v>1</v>
      </c>
      <c r="DG3440" s="405" t="s">
        <v>311</v>
      </c>
      <c r="DH3440" s="406" t="s">
        <v>3360</v>
      </c>
      <c r="DI3440" s="406" t="str">
        <f t="shared" si="85"/>
        <v>PR, Paiçandu</v>
      </c>
      <c r="DJ3440" s="406">
        <v>-23.457999999999998</v>
      </c>
      <c r="DK3440" s="80">
        <v>-52.048999999999999</v>
      </c>
      <c r="DL3440" s="80">
        <v>470</v>
      </c>
      <c r="DM3440" s="64">
        <v>1</v>
      </c>
      <c r="DN3440" s="406" t="s">
        <v>7816</v>
      </c>
      <c r="DO3440" s="406">
        <v>-23.42</v>
      </c>
      <c r="DP3440" s="80">
        <v>542</v>
      </c>
    </row>
    <row r="3441" spans="29:120" x14ac:dyDescent="0.25">
      <c r="AC3441" s="122" t="s">
        <v>376</v>
      </c>
      <c r="AD3441" s="122" t="s">
        <v>3747</v>
      </c>
      <c r="AE3441" s="127">
        <v>4</v>
      </c>
      <c r="DA3441" s="122" t="s">
        <v>311</v>
      </c>
      <c r="DB3441" s="122" t="s">
        <v>1637</v>
      </c>
      <c r="DC3441" s="122" t="s">
        <v>1637</v>
      </c>
      <c r="DD3441" s="127">
        <v>1</v>
      </c>
      <c r="DE3441" s="127">
        <v>1</v>
      </c>
      <c r="DG3441" s="405" t="s">
        <v>311</v>
      </c>
      <c r="DH3441" s="406" t="s">
        <v>1637</v>
      </c>
      <c r="DI3441" s="406" t="str">
        <f t="shared" si="85"/>
        <v>PR, Palmas</v>
      </c>
      <c r="DJ3441" s="406">
        <v>-26.484000000000002</v>
      </c>
      <c r="DK3441" s="80">
        <v>-51.991</v>
      </c>
      <c r="DL3441" s="80">
        <v>1035</v>
      </c>
      <c r="DM3441" s="64">
        <v>1</v>
      </c>
      <c r="DN3441" s="406" t="s">
        <v>7856</v>
      </c>
      <c r="DO3441" s="406">
        <v>-26.42</v>
      </c>
      <c r="DP3441" s="80">
        <v>980</v>
      </c>
    </row>
    <row r="3442" spans="29:120" x14ac:dyDescent="0.25">
      <c r="AC3442" s="122" t="s">
        <v>333</v>
      </c>
      <c r="AD3442" s="122" t="s">
        <v>3748</v>
      </c>
      <c r="AE3442" s="127">
        <v>3</v>
      </c>
      <c r="DA3442" s="122" t="s">
        <v>311</v>
      </c>
      <c r="DB3442" s="122" t="s">
        <v>793</v>
      </c>
      <c r="DC3442" s="122" t="s">
        <v>793</v>
      </c>
      <c r="DD3442" s="127">
        <v>2</v>
      </c>
      <c r="DE3442" s="127">
        <v>2</v>
      </c>
      <c r="DG3442" s="405" t="s">
        <v>311</v>
      </c>
      <c r="DH3442" s="406" t="s">
        <v>793</v>
      </c>
      <c r="DI3442" s="406" t="str">
        <f t="shared" si="85"/>
        <v>PR, Palmeira</v>
      </c>
      <c r="DJ3442" s="406">
        <v>-25.428999999999998</v>
      </c>
      <c r="DK3442" s="80">
        <v>-50.006</v>
      </c>
      <c r="DL3442" s="80">
        <v>865</v>
      </c>
      <c r="DM3442" s="64">
        <v>2</v>
      </c>
      <c r="DN3442" s="406" t="s">
        <v>7858</v>
      </c>
      <c r="DO3442" s="406">
        <v>-24.79</v>
      </c>
      <c r="DP3442" s="80">
        <v>1008</v>
      </c>
    </row>
    <row r="3443" spans="29:120" x14ac:dyDescent="0.25">
      <c r="AC3443" s="122" t="s">
        <v>376</v>
      </c>
      <c r="AD3443" s="122" t="s">
        <v>3749</v>
      </c>
      <c r="AE3443" s="127">
        <v>3</v>
      </c>
      <c r="DA3443" s="122" t="s">
        <v>311</v>
      </c>
      <c r="DB3443" s="122" t="s">
        <v>513</v>
      </c>
      <c r="DC3443" s="122" t="s">
        <v>513</v>
      </c>
      <c r="DD3443" s="127">
        <v>2</v>
      </c>
      <c r="DE3443" s="127">
        <v>2</v>
      </c>
      <c r="DG3443" s="405" t="s">
        <v>311</v>
      </c>
      <c r="DH3443" s="406" t="s">
        <v>513</v>
      </c>
      <c r="DI3443" s="406" t="str">
        <f t="shared" si="85"/>
        <v>PR, Palmital</v>
      </c>
      <c r="DJ3443" s="406">
        <v>-24.893000000000001</v>
      </c>
      <c r="DK3443" s="80">
        <v>-52.203000000000003</v>
      </c>
      <c r="DL3443" s="80">
        <v>840</v>
      </c>
      <c r="DM3443" s="64">
        <v>2</v>
      </c>
      <c r="DN3443" s="406" t="s">
        <v>7813</v>
      </c>
      <c r="DO3443" s="406">
        <v>-24.44</v>
      </c>
      <c r="DP3443" s="80">
        <v>654</v>
      </c>
    </row>
    <row r="3444" spans="29:120" x14ac:dyDescent="0.25">
      <c r="AC3444" s="122" t="s">
        <v>376</v>
      </c>
      <c r="AD3444" s="122" t="s">
        <v>3750</v>
      </c>
      <c r="AE3444" s="127">
        <v>6</v>
      </c>
      <c r="DA3444" s="122" t="s">
        <v>311</v>
      </c>
      <c r="DB3444" s="122" t="s">
        <v>3322</v>
      </c>
      <c r="DC3444" s="122" t="s">
        <v>3322</v>
      </c>
      <c r="DD3444" s="127">
        <v>3</v>
      </c>
      <c r="DE3444" s="127">
        <v>3</v>
      </c>
      <c r="DG3444" s="405" t="s">
        <v>311</v>
      </c>
      <c r="DH3444" s="406" t="s">
        <v>3322</v>
      </c>
      <c r="DI3444" s="406" t="str">
        <f t="shared" si="85"/>
        <v>PR, Palotina</v>
      </c>
      <c r="DJ3444" s="406">
        <v>-24.283999999999999</v>
      </c>
      <c r="DK3444" s="80">
        <v>-53.84</v>
      </c>
      <c r="DL3444" s="80">
        <v>333</v>
      </c>
      <c r="DM3444" s="64">
        <v>3</v>
      </c>
      <c r="DN3444" s="406" t="s">
        <v>7284</v>
      </c>
      <c r="DO3444" s="406">
        <v>-24.56</v>
      </c>
      <c r="DP3444" s="80">
        <v>392</v>
      </c>
    </row>
    <row r="3445" spans="29:120" x14ac:dyDescent="0.25">
      <c r="AC3445" s="122" t="s">
        <v>376</v>
      </c>
      <c r="AD3445" s="122" t="s">
        <v>3751</v>
      </c>
      <c r="AE3445" s="127">
        <v>4</v>
      </c>
      <c r="DA3445" s="122" t="s">
        <v>311</v>
      </c>
      <c r="DB3445" s="122" t="s">
        <v>7930</v>
      </c>
      <c r="DC3445" s="122" t="s">
        <v>3614</v>
      </c>
      <c r="DD3445" s="127">
        <v>3</v>
      </c>
      <c r="DE3445" s="127">
        <v>3</v>
      </c>
      <c r="DG3445" s="405" t="s">
        <v>311</v>
      </c>
      <c r="DH3445" s="406" t="s">
        <v>3614</v>
      </c>
      <c r="DI3445" s="406" t="str">
        <f t="shared" si="85"/>
        <v>PR, Paraíso do Norte</v>
      </c>
      <c r="DJ3445" s="406">
        <v>-23.280999999999999</v>
      </c>
      <c r="DK3445" s="80">
        <v>-52.601999999999997</v>
      </c>
      <c r="DL3445" s="80">
        <v>372</v>
      </c>
      <c r="DM3445" s="64">
        <v>3</v>
      </c>
      <c r="DN3445" s="406" t="s">
        <v>7820</v>
      </c>
      <c r="DO3445" s="406">
        <v>-23.36</v>
      </c>
      <c r="DP3445" s="80">
        <v>381</v>
      </c>
    </row>
    <row r="3446" spans="29:120" x14ac:dyDescent="0.25">
      <c r="AC3446" s="122" t="s">
        <v>376</v>
      </c>
      <c r="AD3446" s="122" t="s">
        <v>3752</v>
      </c>
      <c r="AE3446" s="127">
        <v>3</v>
      </c>
      <c r="DA3446" s="122" t="s">
        <v>311</v>
      </c>
      <c r="DB3446" s="122" t="s">
        <v>3263</v>
      </c>
      <c r="DC3446" s="122" t="s">
        <v>3263</v>
      </c>
      <c r="DD3446" s="127">
        <v>4</v>
      </c>
      <c r="DE3446" s="127">
        <v>4</v>
      </c>
      <c r="DG3446" s="405" t="s">
        <v>311</v>
      </c>
      <c r="DH3446" s="406" t="s">
        <v>3263</v>
      </c>
      <c r="DI3446" s="406" t="str">
        <f t="shared" si="85"/>
        <v>PR, Paranacity</v>
      </c>
      <c r="DJ3446" s="406">
        <v>-22.93</v>
      </c>
      <c r="DK3446" s="80">
        <v>-52.151000000000003</v>
      </c>
      <c r="DL3446" s="80">
        <v>380</v>
      </c>
      <c r="DM3446" s="64">
        <v>4</v>
      </c>
      <c r="DN3446" s="406" t="s">
        <v>7264</v>
      </c>
      <c r="DO3446" s="406">
        <v>-22.49</v>
      </c>
      <c r="DP3446" s="80">
        <v>311</v>
      </c>
    </row>
    <row r="3447" spans="29:120" x14ac:dyDescent="0.25">
      <c r="AC3447" s="122" t="s">
        <v>376</v>
      </c>
      <c r="AD3447" s="122" t="s">
        <v>3753</v>
      </c>
      <c r="AE3447" s="127">
        <v>3</v>
      </c>
      <c r="DA3447" s="122" t="s">
        <v>311</v>
      </c>
      <c r="DB3447" s="122" t="s">
        <v>3076</v>
      </c>
      <c r="DC3447" s="122" t="s">
        <v>3076</v>
      </c>
      <c r="DD3447" s="127">
        <v>3</v>
      </c>
      <c r="DE3447" s="127">
        <v>3</v>
      </c>
      <c r="DG3447" s="405" t="s">
        <v>311</v>
      </c>
      <c r="DH3447" s="406" t="s">
        <v>3076</v>
      </c>
      <c r="DI3447" s="406" t="str">
        <f t="shared" si="85"/>
        <v>PR, Paranaguá</v>
      </c>
      <c r="DJ3447" s="406">
        <v>-25.52</v>
      </c>
      <c r="DK3447" s="80">
        <v>-48.509</v>
      </c>
      <c r="DL3447" s="80">
        <v>3</v>
      </c>
      <c r="DM3447" s="64">
        <v>3</v>
      </c>
      <c r="DN3447" s="406" t="s">
        <v>7823</v>
      </c>
      <c r="DO3447" s="406">
        <v>-25.57</v>
      </c>
      <c r="DP3447" s="80">
        <v>1</v>
      </c>
    </row>
    <row r="3448" spans="29:120" x14ac:dyDescent="0.25">
      <c r="AC3448" s="122" t="s">
        <v>376</v>
      </c>
      <c r="AD3448" s="122" t="s">
        <v>3072</v>
      </c>
      <c r="AE3448" s="127">
        <v>5</v>
      </c>
      <c r="DA3448" s="122" t="s">
        <v>311</v>
      </c>
      <c r="DB3448" s="122" t="s">
        <v>3470</v>
      </c>
      <c r="DC3448" s="122" t="s">
        <v>3470</v>
      </c>
      <c r="DD3448" s="127">
        <v>3</v>
      </c>
      <c r="DE3448" s="127">
        <v>3</v>
      </c>
      <c r="DG3448" s="405" t="s">
        <v>311</v>
      </c>
      <c r="DH3448" s="406" t="s">
        <v>3470</v>
      </c>
      <c r="DI3448" s="406" t="str">
        <f t="shared" si="85"/>
        <v>PR, Paranapoema</v>
      </c>
      <c r="DJ3448" s="406">
        <v>-22.634</v>
      </c>
      <c r="DK3448" s="80">
        <v>-52.097999999999999</v>
      </c>
      <c r="DL3448" s="80">
        <v>390</v>
      </c>
      <c r="DM3448" s="64">
        <v>3</v>
      </c>
      <c r="DN3448" s="406" t="s">
        <v>7264</v>
      </c>
      <c r="DO3448" s="406">
        <v>-22.49</v>
      </c>
      <c r="DP3448" s="80">
        <v>311</v>
      </c>
    </row>
    <row r="3449" spans="29:120" x14ac:dyDescent="0.25">
      <c r="AC3449" s="122" t="s">
        <v>376</v>
      </c>
      <c r="AD3449" s="122" t="s">
        <v>3754</v>
      </c>
      <c r="AE3449" s="127">
        <v>4</v>
      </c>
      <c r="DA3449" s="122" t="s">
        <v>311</v>
      </c>
      <c r="DB3449" s="122" t="s">
        <v>3124</v>
      </c>
      <c r="DC3449" s="122" t="s">
        <v>3124</v>
      </c>
      <c r="DD3449" s="127">
        <v>3</v>
      </c>
      <c r="DE3449" s="127">
        <v>3</v>
      </c>
      <c r="DG3449" s="405" t="s">
        <v>311</v>
      </c>
      <c r="DH3449" s="406" t="s">
        <v>3124</v>
      </c>
      <c r="DI3449" s="406" t="str">
        <f t="shared" si="85"/>
        <v>PR, Paranavaí</v>
      </c>
      <c r="DJ3449" s="406">
        <v>-23.073</v>
      </c>
      <c r="DK3449" s="80">
        <v>-52.465000000000003</v>
      </c>
      <c r="DL3449" s="80">
        <v>470</v>
      </c>
      <c r="DM3449" s="64">
        <v>3</v>
      </c>
      <c r="DN3449" s="406" t="s">
        <v>7820</v>
      </c>
      <c r="DO3449" s="406">
        <v>-23.36</v>
      </c>
      <c r="DP3449" s="80">
        <v>381</v>
      </c>
    </row>
    <row r="3450" spans="29:120" x14ac:dyDescent="0.25">
      <c r="AC3450" s="122" t="s">
        <v>376</v>
      </c>
      <c r="AD3450" s="122" t="s">
        <v>3755</v>
      </c>
      <c r="AE3450" s="127">
        <v>6</v>
      </c>
      <c r="DA3450" s="122" t="s">
        <v>311</v>
      </c>
      <c r="DB3450" s="122" t="s">
        <v>7931</v>
      </c>
      <c r="DC3450" s="122" t="s">
        <v>3236</v>
      </c>
      <c r="DD3450" s="127">
        <v>3</v>
      </c>
      <c r="DE3450" s="127">
        <v>3</v>
      </c>
      <c r="DG3450" s="405" t="s">
        <v>311</v>
      </c>
      <c r="DH3450" s="406" t="s">
        <v>3236</v>
      </c>
      <c r="DI3450" s="406" t="str">
        <f t="shared" si="85"/>
        <v>PR, Pato Bragado</v>
      </c>
      <c r="DJ3450" s="406">
        <v>-24.626000000000001</v>
      </c>
      <c r="DK3450" s="80">
        <v>-54.225000000000001</v>
      </c>
      <c r="DL3450" s="80">
        <v>288</v>
      </c>
      <c r="DM3450" s="64">
        <v>3</v>
      </c>
      <c r="DN3450" s="406" t="s">
        <v>7284</v>
      </c>
      <c r="DO3450" s="406">
        <v>-24.56</v>
      </c>
      <c r="DP3450" s="80">
        <v>392</v>
      </c>
    </row>
    <row r="3451" spans="29:120" x14ac:dyDescent="0.25">
      <c r="AC3451" s="122" t="s">
        <v>311</v>
      </c>
      <c r="AD3451" s="122" t="s">
        <v>3756</v>
      </c>
      <c r="AE3451" s="127">
        <v>3</v>
      </c>
      <c r="DA3451" s="122" t="s">
        <v>311</v>
      </c>
      <c r="DB3451" s="122" t="s">
        <v>7932</v>
      </c>
      <c r="DC3451" s="122" t="s">
        <v>805</v>
      </c>
      <c r="DD3451" s="127">
        <v>2</v>
      </c>
      <c r="DE3451" s="127">
        <v>2</v>
      </c>
      <c r="DG3451" s="405" t="s">
        <v>311</v>
      </c>
      <c r="DH3451" s="406" t="s">
        <v>805</v>
      </c>
      <c r="DI3451" s="406" t="str">
        <f t="shared" si="85"/>
        <v>PR, Pato Branco</v>
      </c>
      <c r="DJ3451" s="406">
        <v>-26.228999999999999</v>
      </c>
      <c r="DK3451" s="80">
        <v>-52.670999999999999</v>
      </c>
      <c r="DL3451" s="80">
        <v>761</v>
      </c>
      <c r="DM3451" s="64">
        <v>2</v>
      </c>
      <c r="DN3451" s="406" t="s">
        <v>7844</v>
      </c>
      <c r="DO3451" s="406">
        <v>-26.41</v>
      </c>
      <c r="DP3451" s="80">
        <v>960</v>
      </c>
    </row>
    <row r="3452" spans="29:120" x14ac:dyDescent="0.25">
      <c r="AC3452" s="122" t="s">
        <v>376</v>
      </c>
      <c r="AD3452" s="122" t="s">
        <v>3757</v>
      </c>
      <c r="AE3452" s="127">
        <v>6</v>
      </c>
      <c r="DA3452" s="122" t="s">
        <v>311</v>
      </c>
      <c r="DB3452" s="122" t="s">
        <v>7933</v>
      </c>
      <c r="DC3452" s="122" t="s">
        <v>1495</v>
      </c>
      <c r="DD3452" s="127">
        <v>2</v>
      </c>
      <c r="DE3452" s="127">
        <v>2</v>
      </c>
      <c r="DG3452" s="405" t="s">
        <v>311</v>
      </c>
      <c r="DH3452" s="406" t="s">
        <v>1495</v>
      </c>
      <c r="DI3452" s="406" t="str">
        <f t="shared" si="85"/>
        <v>PR, Paula Freitas</v>
      </c>
      <c r="DJ3452" s="406">
        <v>-26.207999999999998</v>
      </c>
      <c r="DK3452" s="80">
        <v>-50.938000000000002</v>
      </c>
      <c r="DL3452" s="80">
        <v>748</v>
      </c>
      <c r="DM3452" s="64">
        <v>2</v>
      </c>
      <c r="DN3452" s="406" t="s">
        <v>7836</v>
      </c>
      <c r="DO3452" s="406">
        <v>-26.4</v>
      </c>
      <c r="DP3452" s="80">
        <v>1018</v>
      </c>
    </row>
    <row r="3453" spans="29:120" x14ac:dyDescent="0.25">
      <c r="AC3453" s="122" t="s">
        <v>376</v>
      </c>
      <c r="AD3453" s="122" t="s">
        <v>3758</v>
      </c>
      <c r="AE3453" s="127">
        <v>6</v>
      </c>
      <c r="DA3453" s="122" t="s">
        <v>311</v>
      </c>
      <c r="DB3453" s="122" t="s">
        <v>7934</v>
      </c>
      <c r="DC3453" s="122" t="s">
        <v>1485</v>
      </c>
      <c r="DD3453" s="127">
        <v>2</v>
      </c>
      <c r="DE3453" s="127">
        <v>2</v>
      </c>
      <c r="DG3453" s="405" t="s">
        <v>311</v>
      </c>
      <c r="DH3453" s="406" t="s">
        <v>1485</v>
      </c>
      <c r="DI3453" s="406" t="str">
        <f t="shared" si="85"/>
        <v>PR, Paulo Frontin</v>
      </c>
      <c r="DJ3453" s="406">
        <v>-26.04</v>
      </c>
      <c r="DK3453" s="80">
        <v>-50.835999999999999</v>
      </c>
      <c r="DL3453" s="80">
        <v>778</v>
      </c>
      <c r="DM3453" s="64">
        <v>2</v>
      </c>
      <c r="DN3453" s="406" t="s">
        <v>7895</v>
      </c>
      <c r="DO3453" s="406">
        <v>-25.57</v>
      </c>
      <c r="DP3453" s="80">
        <v>1260</v>
      </c>
    </row>
    <row r="3454" spans="29:120" x14ac:dyDescent="0.25">
      <c r="AC3454" s="122" t="s">
        <v>376</v>
      </c>
      <c r="AD3454" s="122" t="s">
        <v>3759</v>
      </c>
      <c r="AE3454" s="127">
        <v>4</v>
      </c>
      <c r="DA3454" s="122" t="s">
        <v>311</v>
      </c>
      <c r="DB3454" s="122" t="s">
        <v>3207</v>
      </c>
      <c r="DC3454" s="122" t="s">
        <v>3207</v>
      </c>
      <c r="DD3454" s="127">
        <v>3</v>
      </c>
      <c r="DE3454" s="127">
        <v>3</v>
      </c>
      <c r="DG3454" s="405" t="s">
        <v>311</v>
      </c>
      <c r="DH3454" s="406" t="s">
        <v>3207</v>
      </c>
      <c r="DI3454" s="406" t="str">
        <f t="shared" si="85"/>
        <v>PR, Peabiru</v>
      </c>
      <c r="DJ3454" s="406">
        <v>-23.913</v>
      </c>
      <c r="DK3454" s="80">
        <v>-52.343000000000004</v>
      </c>
      <c r="DL3454" s="80">
        <v>523</v>
      </c>
      <c r="DM3454" s="64">
        <v>3</v>
      </c>
      <c r="DN3454" s="406" t="s">
        <v>7816</v>
      </c>
      <c r="DO3454" s="406">
        <v>-23.42</v>
      </c>
      <c r="DP3454" s="80">
        <v>542</v>
      </c>
    </row>
    <row r="3455" spans="29:120" x14ac:dyDescent="0.25">
      <c r="AC3455" s="122" t="s">
        <v>376</v>
      </c>
      <c r="AD3455" s="122" t="s">
        <v>3760</v>
      </c>
      <c r="AE3455" s="127">
        <v>6</v>
      </c>
      <c r="DA3455" s="122" t="s">
        <v>311</v>
      </c>
      <c r="DB3455" s="122" t="s">
        <v>3598</v>
      </c>
      <c r="DC3455" s="122" t="s">
        <v>3598</v>
      </c>
      <c r="DD3455" s="127">
        <v>3</v>
      </c>
      <c r="DE3455" s="127">
        <v>3</v>
      </c>
      <c r="DG3455" s="405" t="s">
        <v>311</v>
      </c>
      <c r="DH3455" s="406" t="s">
        <v>3598</v>
      </c>
      <c r="DI3455" s="406" t="str">
        <f t="shared" si="85"/>
        <v>PR, Perobal</v>
      </c>
      <c r="DJ3455" s="406">
        <v>-23.896000000000001</v>
      </c>
      <c r="DK3455" s="80">
        <v>-53.41</v>
      </c>
      <c r="DL3455" s="80">
        <v>402</v>
      </c>
      <c r="DM3455" s="64">
        <v>3</v>
      </c>
      <c r="DN3455" s="406" t="s">
        <v>7281</v>
      </c>
      <c r="DO3455" s="406">
        <v>-23.4</v>
      </c>
      <c r="DP3455" s="80">
        <v>385</v>
      </c>
    </row>
    <row r="3456" spans="29:120" x14ac:dyDescent="0.25">
      <c r="AC3456" s="122" t="s">
        <v>333</v>
      </c>
      <c r="AD3456" s="122" t="s">
        <v>3761</v>
      </c>
      <c r="AE3456" s="127">
        <v>3</v>
      </c>
      <c r="DA3456" s="122" t="s">
        <v>311</v>
      </c>
      <c r="DB3456" s="122" t="s">
        <v>3604</v>
      </c>
      <c r="DC3456" s="122" t="s">
        <v>3604</v>
      </c>
      <c r="DD3456" s="127">
        <v>3</v>
      </c>
      <c r="DE3456" s="127">
        <v>3</v>
      </c>
      <c r="DG3456" s="405" t="s">
        <v>311</v>
      </c>
      <c r="DH3456" s="406" t="s">
        <v>3604</v>
      </c>
      <c r="DI3456" s="406" t="str">
        <f t="shared" si="85"/>
        <v>PR, Pérola</v>
      </c>
      <c r="DJ3456" s="406">
        <v>-23.805</v>
      </c>
      <c r="DK3456" s="80">
        <v>-53.683999999999997</v>
      </c>
      <c r="DL3456" s="80">
        <v>440</v>
      </c>
      <c r="DM3456" s="64">
        <v>3</v>
      </c>
      <c r="DN3456" s="406" t="s">
        <v>7281</v>
      </c>
      <c r="DO3456" s="406">
        <v>-23.4</v>
      </c>
      <c r="DP3456" s="80">
        <v>385</v>
      </c>
    </row>
    <row r="3457" spans="29:120" x14ac:dyDescent="0.25">
      <c r="AC3457" s="122" t="s">
        <v>376</v>
      </c>
      <c r="AD3457" s="122" t="s">
        <v>3762</v>
      </c>
      <c r="AE3457" s="127">
        <v>6</v>
      </c>
      <c r="DA3457" s="122" t="s">
        <v>311</v>
      </c>
      <c r="DB3457" s="122" t="s">
        <v>7935</v>
      </c>
      <c r="DC3457" s="122" t="s">
        <v>3624</v>
      </c>
      <c r="DD3457" s="127">
        <v>2</v>
      </c>
      <c r="DE3457" s="127">
        <v>2</v>
      </c>
      <c r="DG3457" s="405" t="s">
        <v>311</v>
      </c>
      <c r="DH3457" s="406" t="s">
        <v>3624</v>
      </c>
      <c r="DI3457" s="406" t="str">
        <f t="shared" si="85"/>
        <v>PR, Pérola d'Oeste</v>
      </c>
      <c r="DJ3457" s="406">
        <v>-25.824000000000002</v>
      </c>
      <c r="DK3457" s="80">
        <v>-53.74</v>
      </c>
      <c r="DL3457" s="80">
        <v>401</v>
      </c>
      <c r="DM3457" s="64">
        <v>2</v>
      </c>
      <c r="DN3457" s="406" t="s">
        <v>7821</v>
      </c>
      <c r="DO3457" s="406">
        <v>-25.72</v>
      </c>
      <c r="DP3457" s="80">
        <v>346</v>
      </c>
    </row>
    <row r="3458" spans="29:120" x14ac:dyDescent="0.25">
      <c r="AC3458" s="122" t="s">
        <v>376</v>
      </c>
      <c r="AD3458" s="122" t="s">
        <v>3763</v>
      </c>
      <c r="AE3458" s="127">
        <v>4</v>
      </c>
      <c r="DA3458" s="122" t="s">
        <v>311</v>
      </c>
      <c r="DB3458" s="122" t="s">
        <v>714</v>
      </c>
      <c r="DC3458" s="122" t="s">
        <v>714</v>
      </c>
      <c r="DD3458" s="127">
        <v>2</v>
      </c>
      <c r="DE3458" s="127">
        <v>2</v>
      </c>
      <c r="DG3458" s="405" t="s">
        <v>311</v>
      </c>
      <c r="DH3458" s="406" t="s">
        <v>714</v>
      </c>
      <c r="DI3458" s="406" t="str">
        <f t="shared" si="85"/>
        <v>PR, Piên</v>
      </c>
      <c r="DJ3458" s="406">
        <v>-26.097999999999999</v>
      </c>
      <c r="DK3458" s="80">
        <v>-49.429000000000002</v>
      </c>
      <c r="DL3458" s="80">
        <v>818</v>
      </c>
      <c r="DM3458" s="64">
        <v>2</v>
      </c>
      <c r="DN3458" s="406" t="s">
        <v>7809</v>
      </c>
      <c r="DO3458" s="406">
        <v>-26.25</v>
      </c>
      <c r="DP3458" s="80">
        <v>869</v>
      </c>
    </row>
    <row r="3459" spans="29:120" x14ac:dyDescent="0.25">
      <c r="AC3459" s="122" t="s">
        <v>376</v>
      </c>
      <c r="AD3459" s="122" t="s">
        <v>3764</v>
      </c>
      <c r="AE3459" s="127">
        <v>6</v>
      </c>
      <c r="DA3459" s="122" t="s">
        <v>311</v>
      </c>
      <c r="DB3459" s="122" t="s">
        <v>485</v>
      </c>
      <c r="DC3459" s="122" t="s">
        <v>485</v>
      </c>
      <c r="DD3459" s="127">
        <v>2</v>
      </c>
      <c r="DE3459" s="127">
        <v>2</v>
      </c>
      <c r="DG3459" s="405" t="s">
        <v>311</v>
      </c>
      <c r="DH3459" s="406" t="s">
        <v>485</v>
      </c>
      <c r="DI3459" s="406" t="str">
        <f t="shared" ref="DI3459:DI3522" si="86">CONCATENATE(DG3459,", ",DH3459)</f>
        <v>PR, Pinhais</v>
      </c>
      <c r="DJ3459" s="406">
        <v>-25.445</v>
      </c>
      <c r="DK3459" s="80">
        <v>-49.192999999999998</v>
      </c>
      <c r="DL3459" s="80">
        <v>893</v>
      </c>
      <c r="DM3459" s="64">
        <v>2</v>
      </c>
      <c r="DN3459" s="406" t="s">
        <v>7811</v>
      </c>
      <c r="DO3459" s="406">
        <v>-25.43</v>
      </c>
      <c r="DP3459" s="80">
        <v>924</v>
      </c>
    </row>
    <row r="3460" spans="29:120" x14ac:dyDescent="0.25">
      <c r="AC3460" s="122" t="s">
        <v>376</v>
      </c>
      <c r="AD3460" s="122" t="s">
        <v>470</v>
      </c>
      <c r="AE3460" s="127">
        <v>4</v>
      </c>
      <c r="DA3460" s="122" t="s">
        <v>311</v>
      </c>
      <c r="DB3460" s="122" t="s">
        <v>7936</v>
      </c>
      <c r="DC3460" s="122" t="s">
        <v>1561</v>
      </c>
      <c r="DD3460" s="127">
        <v>2</v>
      </c>
      <c r="DE3460" s="127">
        <v>2</v>
      </c>
      <c r="DG3460" s="405" t="s">
        <v>311</v>
      </c>
      <c r="DH3460" s="406" t="s">
        <v>1561</v>
      </c>
      <c r="DI3460" s="406" t="str">
        <f t="shared" si="86"/>
        <v>PR, Pinhal de São Bento</v>
      </c>
      <c r="DJ3460" s="406">
        <v>-26.03</v>
      </c>
      <c r="DK3460" s="80">
        <v>-53.482999999999997</v>
      </c>
      <c r="DL3460" s="80">
        <v>480</v>
      </c>
      <c r="DM3460" s="64">
        <v>2</v>
      </c>
      <c r="DN3460" s="406" t="s">
        <v>7833</v>
      </c>
      <c r="DO3460" s="406">
        <v>-26.29</v>
      </c>
      <c r="DP3460" s="80">
        <v>810</v>
      </c>
    </row>
    <row r="3461" spans="29:120" x14ac:dyDescent="0.25">
      <c r="AC3461" s="122" t="s">
        <v>333</v>
      </c>
      <c r="AD3461" s="122" t="s">
        <v>3765</v>
      </c>
      <c r="AE3461" s="127">
        <v>3</v>
      </c>
      <c r="DA3461" s="122" t="s">
        <v>311</v>
      </c>
      <c r="DB3461" s="122" t="s">
        <v>552</v>
      </c>
      <c r="DC3461" s="122" t="s">
        <v>552</v>
      </c>
      <c r="DD3461" s="127">
        <v>2</v>
      </c>
      <c r="DE3461" s="127">
        <v>2</v>
      </c>
      <c r="DG3461" s="405" t="s">
        <v>311</v>
      </c>
      <c r="DH3461" s="406" t="s">
        <v>552</v>
      </c>
      <c r="DI3461" s="406" t="str">
        <f t="shared" si="86"/>
        <v>PR, Pinhalão</v>
      </c>
      <c r="DJ3461" s="406">
        <v>-23.792999999999999</v>
      </c>
      <c r="DK3461" s="80">
        <v>-50.055999999999997</v>
      </c>
      <c r="DL3461" s="80">
        <v>601</v>
      </c>
      <c r="DM3461" s="64">
        <v>2</v>
      </c>
      <c r="DN3461" s="406" t="s">
        <v>7827</v>
      </c>
      <c r="DO3461" s="406">
        <v>-23.77</v>
      </c>
      <c r="DP3461" s="80">
        <v>930</v>
      </c>
    </row>
    <row r="3462" spans="29:120" x14ac:dyDescent="0.25">
      <c r="AC3462" s="122" t="s">
        <v>376</v>
      </c>
      <c r="AD3462" s="122" t="s">
        <v>3766</v>
      </c>
      <c r="AE3462" s="127">
        <v>4</v>
      </c>
      <c r="DA3462" s="122" t="s">
        <v>311</v>
      </c>
      <c r="DB3462" s="122" t="s">
        <v>825</v>
      </c>
      <c r="DC3462" s="122" t="s">
        <v>825</v>
      </c>
      <c r="DD3462" s="127">
        <v>1</v>
      </c>
      <c r="DE3462" s="127">
        <v>1</v>
      </c>
      <c r="DG3462" s="405" t="s">
        <v>311</v>
      </c>
      <c r="DH3462" s="406" t="s">
        <v>825</v>
      </c>
      <c r="DI3462" s="406" t="str">
        <f t="shared" si="86"/>
        <v>PR, Pinhão</v>
      </c>
      <c r="DJ3462" s="406">
        <v>-25.696000000000002</v>
      </c>
      <c r="DK3462" s="80">
        <v>-51.66</v>
      </c>
      <c r="DL3462" s="80">
        <v>1041</v>
      </c>
      <c r="DM3462" s="64">
        <v>1</v>
      </c>
      <c r="DN3462" s="406" t="s">
        <v>7895</v>
      </c>
      <c r="DO3462" s="406">
        <v>-25.57</v>
      </c>
      <c r="DP3462" s="80">
        <v>1260</v>
      </c>
    </row>
    <row r="3463" spans="29:120" x14ac:dyDescent="0.25">
      <c r="AC3463" s="122" t="s">
        <v>376</v>
      </c>
      <c r="AD3463" s="122" t="s">
        <v>3767</v>
      </c>
      <c r="AE3463" s="127">
        <v>4</v>
      </c>
      <c r="DA3463" s="122" t="s">
        <v>311</v>
      </c>
      <c r="DB3463" s="122" t="s">
        <v>7937</v>
      </c>
      <c r="DC3463" s="122" t="s">
        <v>715</v>
      </c>
      <c r="DD3463" s="127">
        <v>2</v>
      </c>
      <c r="DE3463" s="127">
        <v>2</v>
      </c>
      <c r="DG3463" s="405" t="s">
        <v>311</v>
      </c>
      <c r="DH3463" s="406" t="s">
        <v>715</v>
      </c>
      <c r="DI3463" s="406" t="str">
        <f t="shared" si="86"/>
        <v>PR, Piraí do Sul</v>
      </c>
      <c r="DJ3463" s="406">
        <v>-24.526</v>
      </c>
      <c r="DK3463" s="80">
        <v>-49.948999999999998</v>
      </c>
      <c r="DL3463" s="80">
        <v>1036</v>
      </c>
      <c r="DM3463" s="64">
        <v>2</v>
      </c>
      <c r="DN3463" s="406" t="s">
        <v>7858</v>
      </c>
      <c r="DO3463" s="406">
        <v>-24.79</v>
      </c>
      <c r="DP3463" s="80">
        <v>1008</v>
      </c>
    </row>
    <row r="3464" spans="29:120" x14ac:dyDescent="0.25">
      <c r="AC3464" s="122" t="s">
        <v>376</v>
      </c>
      <c r="AD3464" s="122" t="s">
        <v>3768</v>
      </c>
      <c r="AE3464" s="127">
        <v>3</v>
      </c>
      <c r="DA3464" s="122" t="s">
        <v>311</v>
      </c>
      <c r="DB3464" s="122" t="s">
        <v>831</v>
      </c>
      <c r="DC3464" s="122" t="s">
        <v>831</v>
      </c>
      <c r="DD3464" s="127">
        <v>2</v>
      </c>
      <c r="DE3464" s="127">
        <v>2</v>
      </c>
      <c r="DG3464" s="405" t="s">
        <v>311</v>
      </c>
      <c r="DH3464" s="406" t="s">
        <v>831</v>
      </c>
      <c r="DI3464" s="406" t="str">
        <f t="shared" si="86"/>
        <v>PR, Piraquara</v>
      </c>
      <c r="DJ3464" s="406">
        <v>-25.442</v>
      </c>
      <c r="DK3464" s="80">
        <v>-49.063000000000002</v>
      </c>
      <c r="DL3464" s="80">
        <v>905</v>
      </c>
      <c r="DM3464" s="64">
        <v>2</v>
      </c>
      <c r="DN3464" s="406" t="s">
        <v>7811</v>
      </c>
      <c r="DO3464" s="406">
        <v>-25.43</v>
      </c>
      <c r="DP3464" s="80">
        <v>924</v>
      </c>
    </row>
    <row r="3465" spans="29:120" x14ac:dyDescent="0.25">
      <c r="AC3465" s="122" t="s">
        <v>376</v>
      </c>
      <c r="AD3465" s="122" t="s">
        <v>3769</v>
      </c>
      <c r="AE3465" s="127">
        <v>3</v>
      </c>
      <c r="DA3465" s="122" t="s">
        <v>311</v>
      </c>
      <c r="DB3465" s="122" t="s">
        <v>753</v>
      </c>
      <c r="DC3465" s="122" t="s">
        <v>753</v>
      </c>
      <c r="DD3465" s="127">
        <v>2</v>
      </c>
      <c r="DE3465" s="127">
        <v>2</v>
      </c>
      <c r="DG3465" s="405" t="s">
        <v>311</v>
      </c>
      <c r="DH3465" s="406" t="s">
        <v>753</v>
      </c>
      <c r="DI3465" s="406" t="str">
        <f t="shared" si="86"/>
        <v>PR, Pitanga</v>
      </c>
      <c r="DJ3465" s="406">
        <v>-24.757000000000001</v>
      </c>
      <c r="DK3465" s="80">
        <v>-51.761000000000003</v>
      </c>
      <c r="DL3465" s="80">
        <v>952</v>
      </c>
      <c r="DM3465" s="64">
        <v>2</v>
      </c>
      <c r="DN3465" s="406" t="s">
        <v>7813</v>
      </c>
      <c r="DO3465" s="406">
        <v>-24.44</v>
      </c>
      <c r="DP3465" s="80">
        <v>654</v>
      </c>
    </row>
    <row r="3466" spans="29:120" x14ac:dyDescent="0.25">
      <c r="AC3466" s="122" t="s">
        <v>311</v>
      </c>
      <c r="AD3466" s="122" t="s">
        <v>3770</v>
      </c>
      <c r="AE3466" s="127">
        <v>3</v>
      </c>
      <c r="DA3466" s="122" t="s">
        <v>311</v>
      </c>
      <c r="DB3466" s="122" t="s">
        <v>3643</v>
      </c>
      <c r="DC3466" s="122" t="s">
        <v>3643</v>
      </c>
      <c r="DD3466" s="127">
        <v>3</v>
      </c>
      <c r="DE3466" s="127">
        <v>3</v>
      </c>
      <c r="DG3466" s="405" t="s">
        <v>311</v>
      </c>
      <c r="DH3466" s="406" t="s">
        <v>3643</v>
      </c>
      <c r="DI3466" s="406" t="str">
        <f t="shared" si="86"/>
        <v>PR, Pitangueiras</v>
      </c>
      <c r="DJ3466" s="406">
        <v>-23.231000000000002</v>
      </c>
      <c r="DK3466" s="80">
        <v>-51.585999999999999</v>
      </c>
      <c r="DL3466" s="80">
        <v>660</v>
      </c>
      <c r="DM3466" s="64">
        <v>3</v>
      </c>
      <c r="DN3466" s="406" t="s">
        <v>7816</v>
      </c>
      <c r="DO3466" s="406">
        <v>-23.42</v>
      </c>
      <c r="DP3466" s="80">
        <v>542</v>
      </c>
    </row>
    <row r="3467" spans="29:120" x14ac:dyDescent="0.25">
      <c r="AC3467" s="122" t="s">
        <v>336</v>
      </c>
      <c r="AD3467" s="122" t="s">
        <v>3771</v>
      </c>
      <c r="AE3467" s="127">
        <v>6</v>
      </c>
      <c r="DA3467" s="122" t="s">
        <v>311</v>
      </c>
      <c r="DB3467" s="122" t="s">
        <v>7938</v>
      </c>
      <c r="DC3467" s="122" t="s">
        <v>3258</v>
      </c>
      <c r="DD3467" s="127">
        <v>3</v>
      </c>
      <c r="DE3467" s="127">
        <v>3</v>
      </c>
      <c r="DG3467" s="405" t="s">
        <v>311</v>
      </c>
      <c r="DH3467" s="406" t="s">
        <v>3258</v>
      </c>
      <c r="DI3467" s="406" t="str">
        <f t="shared" si="86"/>
        <v>PR, Planaltina do Paraná</v>
      </c>
      <c r="DJ3467" s="406">
        <v>-23.007000000000001</v>
      </c>
      <c r="DK3467" s="80">
        <v>-52.914000000000001</v>
      </c>
      <c r="DL3467" s="80">
        <v>465</v>
      </c>
      <c r="DM3467" s="64">
        <v>3</v>
      </c>
      <c r="DN3467" s="406" t="s">
        <v>7820</v>
      </c>
      <c r="DO3467" s="406">
        <v>-23.36</v>
      </c>
      <c r="DP3467" s="80">
        <v>381</v>
      </c>
    </row>
    <row r="3468" spans="29:120" x14ac:dyDescent="0.25">
      <c r="AC3468" s="122" t="s">
        <v>376</v>
      </c>
      <c r="AD3468" s="122" t="s">
        <v>3772</v>
      </c>
      <c r="AE3468" s="127">
        <v>4</v>
      </c>
      <c r="DA3468" s="122" t="s">
        <v>311</v>
      </c>
      <c r="DB3468" s="122" t="s">
        <v>1620</v>
      </c>
      <c r="DC3468" s="122" t="s">
        <v>1620</v>
      </c>
      <c r="DD3468" s="127">
        <v>2</v>
      </c>
      <c r="DE3468" s="127">
        <v>2</v>
      </c>
      <c r="DG3468" s="405" t="s">
        <v>311</v>
      </c>
      <c r="DH3468" s="406" t="s">
        <v>1620</v>
      </c>
      <c r="DI3468" s="406" t="str">
        <f t="shared" si="86"/>
        <v>PR, Planalto</v>
      </c>
      <c r="DJ3468" s="406">
        <v>-25.716000000000001</v>
      </c>
      <c r="DK3468" s="80">
        <v>-53.765999999999998</v>
      </c>
      <c r="DL3468" s="80">
        <v>400</v>
      </c>
      <c r="DM3468" s="64">
        <v>2</v>
      </c>
      <c r="DN3468" s="406" t="s">
        <v>7821</v>
      </c>
      <c r="DO3468" s="406">
        <v>-25.72</v>
      </c>
      <c r="DP3468" s="80">
        <v>346</v>
      </c>
    </row>
    <row r="3469" spans="29:120" x14ac:dyDescent="0.25">
      <c r="AC3469" s="122" t="s">
        <v>311</v>
      </c>
      <c r="AD3469" s="122" t="s">
        <v>3773</v>
      </c>
      <c r="AE3469" s="127">
        <v>3</v>
      </c>
      <c r="DA3469" s="122" t="s">
        <v>311</v>
      </c>
      <c r="DB3469" s="122" t="s">
        <v>7939</v>
      </c>
      <c r="DC3469" s="122" t="s">
        <v>756</v>
      </c>
      <c r="DD3469" s="127">
        <v>2</v>
      </c>
      <c r="DE3469" s="127">
        <v>2</v>
      </c>
      <c r="DG3469" s="405" t="s">
        <v>311</v>
      </c>
      <c r="DH3469" s="406" t="s">
        <v>756</v>
      </c>
      <c r="DI3469" s="406" t="str">
        <f t="shared" si="86"/>
        <v>PR, Ponta Grossa</v>
      </c>
      <c r="DJ3469" s="406">
        <v>-25.094999999999999</v>
      </c>
      <c r="DK3469" s="80">
        <v>-50.161999999999999</v>
      </c>
      <c r="DL3469" s="80">
        <v>969</v>
      </c>
      <c r="DM3469" s="64">
        <v>2</v>
      </c>
      <c r="DN3469" s="406" t="s">
        <v>7858</v>
      </c>
      <c r="DO3469" s="406">
        <v>-24.79</v>
      </c>
      <c r="DP3469" s="80">
        <v>1008</v>
      </c>
    </row>
    <row r="3470" spans="29:120" x14ac:dyDescent="0.25">
      <c r="AC3470" s="122" t="s">
        <v>376</v>
      </c>
      <c r="AD3470" s="122" t="s">
        <v>3774</v>
      </c>
      <c r="AE3470" s="127">
        <v>4</v>
      </c>
      <c r="DA3470" s="122" t="s">
        <v>311</v>
      </c>
      <c r="DB3470" s="122" t="s">
        <v>7940</v>
      </c>
      <c r="DC3470" s="122" t="s">
        <v>3079</v>
      </c>
      <c r="DD3470" s="127">
        <v>3</v>
      </c>
      <c r="DE3470" s="127">
        <v>3</v>
      </c>
      <c r="DG3470" s="405" t="s">
        <v>311</v>
      </c>
      <c r="DH3470" s="406" t="s">
        <v>3079</v>
      </c>
      <c r="DI3470" s="406" t="str">
        <f t="shared" si="86"/>
        <v>PR, Pontal do Paraná</v>
      </c>
      <c r="DJ3470" s="406">
        <v>-25.673999999999999</v>
      </c>
      <c r="DK3470" s="80">
        <v>-48.511000000000003</v>
      </c>
      <c r="DL3470" s="80">
        <v>10</v>
      </c>
      <c r="DM3470" s="64">
        <v>3</v>
      </c>
      <c r="DN3470" s="406" t="s">
        <v>7823</v>
      </c>
      <c r="DO3470" s="406">
        <v>-25.57</v>
      </c>
      <c r="DP3470" s="80">
        <v>1</v>
      </c>
    </row>
    <row r="3471" spans="29:120" x14ac:dyDescent="0.25">
      <c r="AC3471" s="122" t="s">
        <v>376</v>
      </c>
      <c r="AD3471" s="122" t="s">
        <v>3775</v>
      </c>
      <c r="AE3471" s="127">
        <v>3</v>
      </c>
      <c r="DA3471" s="122" t="s">
        <v>311</v>
      </c>
      <c r="DB3471" s="122" t="s">
        <v>3740</v>
      </c>
      <c r="DC3471" s="122" t="s">
        <v>3740</v>
      </c>
      <c r="DD3471" s="127">
        <v>3</v>
      </c>
      <c r="DE3471" s="127">
        <v>3</v>
      </c>
      <c r="DG3471" s="405" t="s">
        <v>311</v>
      </c>
      <c r="DH3471" s="406" t="s">
        <v>3740</v>
      </c>
      <c r="DI3471" s="406" t="str">
        <f t="shared" si="86"/>
        <v>PR, Porecatu</v>
      </c>
      <c r="DJ3471" s="406">
        <v>-22.756</v>
      </c>
      <c r="DK3471" s="80">
        <v>-51.378999999999998</v>
      </c>
      <c r="DL3471" s="80">
        <v>420</v>
      </c>
      <c r="DM3471" s="64">
        <v>3</v>
      </c>
      <c r="DN3471" s="406" t="s">
        <v>7819</v>
      </c>
      <c r="DO3471" s="406">
        <v>-22.37</v>
      </c>
      <c r="DP3471" s="80">
        <v>350</v>
      </c>
    </row>
    <row r="3472" spans="29:120" x14ac:dyDescent="0.25">
      <c r="AC3472" s="122" t="s">
        <v>376</v>
      </c>
      <c r="AD3472" s="122" t="s">
        <v>3776</v>
      </c>
      <c r="AE3472" s="127">
        <v>4</v>
      </c>
      <c r="DA3472" s="122" t="s">
        <v>311</v>
      </c>
      <c r="DB3472" s="122" t="s">
        <v>7941</v>
      </c>
      <c r="DC3472" s="122" t="s">
        <v>776</v>
      </c>
      <c r="DD3472" s="127">
        <v>2</v>
      </c>
      <c r="DE3472" s="127">
        <v>2</v>
      </c>
      <c r="DG3472" s="405" t="s">
        <v>311</v>
      </c>
      <c r="DH3472" s="406" t="s">
        <v>776</v>
      </c>
      <c r="DI3472" s="406" t="str">
        <f t="shared" si="86"/>
        <v>PR, Porto Amazonas</v>
      </c>
      <c r="DJ3472" s="406">
        <v>-25.545000000000002</v>
      </c>
      <c r="DK3472" s="80">
        <v>-49.89</v>
      </c>
      <c r="DL3472" s="80">
        <v>793</v>
      </c>
      <c r="DM3472" s="64">
        <v>2</v>
      </c>
      <c r="DN3472" s="406" t="s">
        <v>7811</v>
      </c>
      <c r="DO3472" s="406">
        <v>-25.43</v>
      </c>
      <c r="DP3472" s="80">
        <v>924</v>
      </c>
    </row>
    <row r="3473" spans="29:120" x14ac:dyDescent="0.25">
      <c r="AC3473" s="122" t="s">
        <v>333</v>
      </c>
      <c r="AD3473" s="122" t="s">
        <v>3777</v>
      </c>
      <c r="AE3473" s="127">
        <v>3</v>
      </c>
      <c r="DA3473" s="122" t="s">
        <v>311</v>
      </c>
      <c r="DB3473" s="122" t="s">
        <v>7942</v>
      </c>
      <c r="DC3473" s="122" t="s">
        <v>783</v>
      </c>
      <c r="DD3473" s="127">
        <v>2</v>
      </c>
      <c r="DE3473" s="127">
        <v>2</v>
      </c>
      <c r="DG3473" s="405" t="s">
        <v>311</v>
      </c>
      <c r="DH3473" s="406" t="s">
        <v>783</v>
      </c>
      <c r="DI3473" s="406" t="str">
        <f t="shared" si="86"/>
        <v>PR, Porto Barreiro</v>
      </c>
      <c r="DJ3473" s="406">
        <v>-25.547000000000001</v>
      </c>
      <c r="DK3473" s="80">
        <v>-52.408000000000001</v>
      </c>
      <c r="DL3473" s="80">
        <v>830</v>
      </c>
      <c r="DM3473" s="64">
        <v>2</v>
      </c>
      <c r="DN3473" s="406" t="s">
        <v>7838</v>
      </c>
      <c r="DO3473" s="406">
        <v>-25.69</v>
      </c>
      <c r="DP3473" s="80">
        <v>520</v>
      </c>
    </row>
    <row r="3474" spans="29:120" x14ac:dyDescent="0.25">
      <c r="AC3474" s="122" t="s">
        <v>376</v>
      </c>
      <c r="AD3474" s="122" t="s">
        <v>3778</v>
      </c>
      <c r="AE3474" s="127">
        <v>4</v>
      </c>
      <c r="DA3474" s="122" t="s">
        <v>311</v>
      </c>
      <c r="DB3474" s="122" t="s">
        <v>7943</v>
      </c>
      <c r="DC3474" s="122" t="s">
        <v>3289</v>
      </c>
      <c r="DD3474" s="127">
        <v>3</v>
      </c>
      <c r="DE3474" s="127">
        <v>3</v>
      </c>
      <c r="DG3474" s="405" t="s">
        <v>311</v>
      </c>
      <c r="DH3474" s="406" t="s">
        <v>3289</v>
      </c>
      <c r="DI3474" s="406" t="str">
        <f t="shared" si="86"/>
        <v>PR, Porto Rico</v>
      </c>
      <c r="DJ3474" s="406">
        <v>-22.771999999999998</v>
      </c>
      <c r="DK3474" s="80">
        <v>-53.267000000000003</v>
      </c>
      <c r="DL3474" s="80">
        <v>252</v>
      </c>
      <c r="DM3474" s="64">
        <v>3</v>
      </c>
      <c r="DN3474" s="406" t="s">
        <v>7257</v>
      </c>
      <c r="DO3474" s="406">
        <v>-22.64</v>
      </c>
      <c r="DP3474" s="80">
        <v>362</v>
      </c>
    </row>
    <row r="3475" spans="29:120" x14ac:dyDescent="0.25">
      <c r="AC3475" s="122" t="s">
        <v>333</v>
      </c>
      <c r="AD3475" s="122" t="s">
        <v>3779</v>
      </c>
      <c r="AE3475" s="127">
        <v>3</v>
      </c>
      <c r="DA3475" s="122" t="s">
        <v>311</v>
      </c>
      <c r="DB3475" s="122" t="s">
        <v>7944</v>
      </c>
      <c r="DC3475" s="122" t="s">
        <v>801</v>
      </c>
      <c r="DD3475" s="127">
        <v>2</v>
      </c>
      <c r="DE3475" s="127">
        <v>2</v>
      </c>
      <c r="DG3475" s="405" t="s">
        <v>311</v>
      </c>
      <c r="DH3475" s="406" t="s">
        <v>801</v>
      </c>
      <c r="DI3475" s="406" t="str">
        <f t="shared" si="86"/>
        <v>PR, Porto Vitória</v>
      </c>
      <c r="DJ3475" s="406">
        <v>-26.161000000000001</v>
      </c>
      <c r="DK3475" s="80">
        <v>-51.231999999999999</v>
      </c>
      <c r="DL3475" s="80">
        <v>750</v>
      </c>
      <c r="DM3475" s="64">
        <v>2</v>
      </c>
      <c r="DN3475" s="406" t="s">
        <v>7836</v>
      </c>
      <c r="DO3475" s="406">
        <v>-26.4</v>
      </c>
      <c r="DP3475" s="80">
        <v>1018</v>
      </c>
    </row>
    <row r="3476" spans="29:120" x14ac:dyDescent="0.25">
      <c r="AC3476" s="122" t="s">
        <v>311</v>
      </c>
      <c r="AD3476" s="122" t="s">
        <v>3780</v>
      </c>
      <c r="AE3476" s="127">
        <v>3</v>
      </c>
      <c r="DA3476" s="122" t="s">
        <v>311</v>
      </c>
      <c r="DB3476" s="122" t="s">
        <v>7945</v>
      </c>
      <c r="DC3476" s="122" t="s">
        <v>3773</v>
      </c>
      <c r="DD3476" s="127">
        <v>3</v>
      </c>
      <c r="DE3476" s="127">
        <v>3</v>
      </c>
      <c r="DG3476" s="405" t="s">
        <v>311</v>
      </c>
      <c r="DH3476" s="406" t="s">
        <v>3773</v>
      </c>
      <c r="DI3476" s="406" t="str">
        <f t="shared" si="86"/>
        <v>PR, Prado Ferreira</v>
      </c>
      <c r="DJ3476" s="406">
        <v>-23.039000000000001</v>
      </c>
      <c r="DK3476" s="80">
        <v>-51.442</v>
      </c>
      <c r="DL3476" s="80">
        <v>651</v>
      </c>
      <c r="DM3476" s="64">
        <v>3</v>
      </c>
      <c r="DN3476" s="406" t="s">
        <v>7826</v>
      </c>
      <c r="DO3476" s="406">
        <v>-23.38</v>
      </c>
      <c r="DP3476" s="80">
        <v>566</v>
      </c>
    </row>
    <row r="3477" spans="29:120" x14ac:dyDescent="0.25">
      <c r="AC3477" s="122" t="s">
        <v>376</v>
      </c>
      <c r="AD3477" s="122" t="s">
        <v>3781</v>
      </c>
      <c r="AE3477" s="127">
        <v>4</v>
      </c>
      <c r="DA3477" s="122" t="s">
        <v>311</v>
      </c>
      <c r="DB3477" s="122" t="s">
        <v>1638</v>
      </c>
      <c r="DC3477" s="122" t="s">
        <v>1638</v>
      </c>
      <c r="DD3477" s="127">
        <v>2</v>
      </c>
      <c r="DE3477" s="127">
        <v>2</v>
      </c>
      <c r="DG3477" s="405" t="s">
        <v>311</v>
      </c>
      <c r="DH3477" s="406" t="s">
        <v>1638</v>
      </c>
      <c r="DI3477" s="406" t="str">
        <f t="shared" si="86"/>
        <v>PR, Pranchita</v>
      </c>
      <c r="DJ3477" s="406">
        <v>-26.02</v>
      </c>
      <c r="DK3477" s="80">
        <v>-53.74</v>
      </c>
      <c r="DL3477" s="80">
        <v>541</v>
      </c>
      <c r="DM3477" s="64">
        <v>2</v>
      </c>
      <c r="DN3477" s="406" t="s">
        <v>7833</v>
      </c>
      <c r="DO3477" s="406">
        <v>-26.29</v>
      </c>
      <c r="DP3477" s="80">
        <v>810</v>
      </c>
    </row>
    <row r="3478" spans="29:120" x14ac:dyDescent="0.25">
      <c r="AC3478" s="122" t="s">
        <v>376</v>
      </c>
      <c r="AD3478" s="122" t="s">
        <v>3782</v>
      </c>
      <c r="AE3478" s="127">
        <v>6</v>
      </c>
      <c r="DA3478" s="122" t="s">
        <v>311</v>
      </c>
      <c r="DB3478" s="122" t="s">
        <v>7946</v>
      </c>
      <c r="DC3478" s="122" t="s">
        <v>301</v>
      </c>
      <c r="DD3478" s="127">
        <v>1</v>
      </c>
      <c r="DE3478" s="127">
        <v>1</v>
      </c>
      <c r="DG3478" s="405" t="s">
        <v>311</v>
      </c>
      <c r="DH3478" s="406" t="s">
        <v>301</v>
      </c>
      <c r="DI3478" s="406" t="str">
        <f t="shared" si="86"/>
        <v>PR, Presidente Castelo Branco</v>
      </c>
      <c r="DJ3478" s="406">
        <v>-23.277999999999999</v>
      </c>
      <c r="DK3478" s="80">
        <v>-52.152000000000001</v>
      </c>
      <c r="DL3478" s="80">
        <v>570</v>
      </c>
      <c r="DM3478" s="64">
        <v>1</v>
      </c>
      <c r="DN3478" s="406" t="s">
        <v>7816</v>
      </c>
      <c r="DO3478" s="406">
        <v>-23.42</v>
      </c>
      <c r="DP3478" s="80">
        <v>542</v>
      </c>
    </row>
    <row r="3479" spans="29:120" x14ac:dyDescent="0.25">
      <c r="AC3479" s="122" t="s">
        <v>333</v>
      </c>
      <c r="AD3479" s="122" t="s">
        <v>3783</v>
      </c>
      <c r="AE3479" s="127">
        <v>2</v>
      </c>
      <c r="DA3479" s="122" t="s">
        <v>311</v>
      </c>
      <c r="DB3479" s="122" t="s">
        <v>7947</v>
      </c>
      <c r="DC3479" s="122" t="s">
        <v>3822</v>
      </c>
      <c r="DD3479" s="127">
        <v>3</v>
      </c>
      <c r="DE3479" s="127">
        <v>3</v>
      </c>
      <c r="DG3479" s="405" t="s">
        <v>311</v>
      </c>
      <c r="DH3479" s="406" t="s">
        <v>3822</v>
      </c>
      <c r="DI3479" s="406" t="str">
        <f t="shared" si="86"/>
        <v>PR, Primeiro de Maio</v>
      </c>
      <c r="DJ3479" s="406">
        <v>-22.850999999999999</v>
      </c>
      <c r="DK3479" s="80">
        <v>-51.027999999999999</v>
      </c>
      <c r="DL3479" s="80">
        <v>330</v>
      </c>
      <c r="DM3479" s="64">
        <v>3</v>
      </c>
      <c r="DN3479" s="406" t="s">
        <v>7819</v>
      </c>
      <c r="DO3479" s="406">
        <v>-22.37</v>
      </c>
      <c r="DP3479" s="80">
        <v>350</v>
      </c>
    </row>
    <row r="3480" spans="29:120" x14ac:dyDescent="0.25">
      <c r="AC3480" s="122" t="s">
        <v>376</v>
      </c>
      <c r="AD3480" s="122" t="s">
        <v>3784</v>
      </c>
      <c r="AE3480" s="127">
        <v>3</v>
      </c>
      <c r="DA3480" s="122" t="s">
        <v>311</v>
      </c>
      <c r="DB3480" s="122" t="s">
        <v>1604</v>
      </c>
      <c r="DC3480" s="122" t="s">
        <v>1604</v>
      </c>
      <c r="DD3480" s="127">
        <v>1</v>
      </c>
      <c r="DE3480" s="127">
        <v>1</v>
      </c>
      <c r="DG3480" s="405" t="s">
        <v>311</v>
      </c>
      <c r="DH3480" s="406" t="s">
        <v>1604</v>
      </c>
      <c r="DI3480" s="406" t="str">
        <f t="shared" si="86"/>
        <v>PR, Prudentópolis</v>
      </c>
      <c r="DJ3480" s="406">
        <v>-25.213000000000001</v>
      </c>
      <c r="DK3480" s="80">
        <v>-50.978000000000002</v>
      </c>
      <c r="DL3480" s="80">
        <v>840</v>
      </c>
      <c r="DM3480" s="64">
        <v>1</v>
      </c>
      <c r="DN3480" s="406" t="s">
        <v>7885</v>
      </c>
      <c r="DO3480" s="406">
        <v>-25.01</v>
      </c>
      <c r="DP3480" s="80">
        <v>808</v>
      </c>
    </row>
    <row r="3481" spans="29:120" x14ac:dyDescent="0.25">
      <c r="AC3481" s="122" t="s">
        <v>376</v>
      </c>
      <c r="AD3481" s="122" t="s">
        <v>3785</v>
      </c>
      <c r="AE3481" s="127">
        <v>6</v>
      </c>
      <c r="DA3481" s="122" t="s">
        <v>311</v>
      </c>
      <c r="DB3481" s="122" t="s">
        <v>7948</v>
      </c>
      <c r="DC3481" s="122" t="s">
        <v>3217</v>
      </c>
      <c r="DD3481" s="127">
        <v>3</v>
      </c>
      <c r="DE3481" s="127">
        <v>3</v>
      </c>
      <c r="DG3481" s="405" t="s">
        <v>311</v>
      </c>
      <c r="DH3481" s="406" t="s">
        <v>3217</v>
      </c>
      <c r="DI3481" s="406" t="str">
        <f t="shared" si="86"/>
        <v>PR, Quarto Centenário</v>
      </c>
      <c r="DJ3481" s="406">
        <v>-24.279</v>
      </c>
      <c r="DK3481" s="80">
        <v>-53.076000000000001</v>
      </c>
      <c r="DL3481" s="80">
        <v>472</v>
      </c>
      <c r="DM3481" s="64">
        <v>3</v>
      </c>
      <c r="DN3481" s="406" t="s">
        <v>7820</v>
      </c>
      <c r="DO3481" s="406">
        <v>-23.36</v>
      </c>
      <c r="DP3481" s="80">
        <v>381</v>
      </c>
    </row>
    <row r="3482" spans="29:120" x14ac:dyDescent="0.25">
      <c r="AC3482" s="122" t="s">
        <v>376</v>
      </c>
      <c r="AD3482" s="122" t="s">
        <v>3786</v>
      </c>
      <c r="AE3482" s="127">
        <v>4</v>
      </c>
      <c r="DA3482" s="122" t="s">
        <v>311</v>
      </c>
      <c r="DB3482" s="122" t="s">
        <v>941</v>
      </c>
      <c r="DC3482" s="122" t="s">
        <v>941</v>
      </c>
      <c r="DD3482" s="127">
        <v>2</v>
      </c>
      <c r="DE3482" s="127">
        <v>2</v>
      </c>
      <c r="DG3482" s="405" t="s">
        <v>311</v>
      </c>
      <c r="DH3482" s="406" t="s">
        <v>941</v>
      </c>
      <c r="DI3482" s="406" t="str">
        <f t="shared" si="86"/>
        <v>PR, Quatiguá</v>
      </c>
      <c r="DJ3482" s="406">
        <v>-23.567</v>
      </c>
      <c r="DK3482" s="80">
        <v>-49.914000000000001</v>
      </c>
      <c r="DL3482" s="80">
        <v>785</v>
      </c>
      <c r="DM3482" s="64">
        <v>2</v>
      </c>
      <c r="DN3482" s="406" t="s">
        <v>7859</v>
      </c>
      <c r="DO3482" s="406">
        <v>-23.5</v>
      </c>
      <c r="DP3482" s="80">
        <v>522</v>
      </c>
    </row>
    <row r="3483" spans="29:120" x14ac:dyDescent="0.25">
      <c r="AC3483" s="122" t="s">
        <v>376</v>
      </c>
      <c r="AD3483" s="122" t="s">
        <v>3787</v>
      </c>
      <c r="AE3483" s="127">
        <v>4</v>
      </c>
      <c r="DA3483" s="122" t="s">
        <v>311</v>
      </c>
      <c r="DB3483" s="122" t="s">
        <v>7949</v>
      </c>
      <c r="DC3483" s="122" t="s">
        <v>506</v>
      </c>
      <c r="DD3483" s="127">
        <v>2</v>
      </c>
      <c r="DE3483" s="127">
        <v>2</v>
      </c>
      <c r="DG3483" s="405" t="s">
        <v>311</v>
      </c>
      <c r="DH3483" s="406" t="s">
        <v>506</v>
      </c>
      <c r="DI3483" s="406" t="str">
        <f t="shared" si="86"/>
        <v>PR, Quatro Barras</v>
      </c>
      <c r="DJ3483" s="406">
        <v>-25.366</v>
      </c>
      <c r="DK3483" s="80">
        <v>-49.076999999999998</v>
      </c>
      <c r="DL3483" s="80">
        <v>936</v>
      </c>
      <c r="DM3483" s="64">
        <v>2</v>
      </c>
      <c r="DN3483" s="406" t="s">
        <v>7811</v>
      </c>
      <c r="DO3483" s="406">
        <v>-25.43</v>
      </c>
      <c r="DP3483" s="80">
        <v>924</v>
      </c>
    </row>
    <row r="3484" spans="29:120" x14ac:dyDescent="0.25">
      <c r="AC3484" s="122" t="s">
        <v>311</v>
      </c>
      <c r="AD3484" s="122" t="s">
        <v>3788</v>
      </c>
      <c r="AE3484" s="127">
        <v>3</v>
      </c>
      <c r="DA3484" s="122" t="s">
        <v>311</v>
      </c>
      <c r="DB3484" s="122" t="s">
        <v>7950</v>
      </c>
      <c r="DC3484" s="122" t="s">
        <v>3357</v>
      </c>
      <c r="DD3484" s="127">
        <v>3</v>
      </c>
      <c r="DE3484" s="127">
        <v>3</v>
      </c>
      <c r="DG3484" s="405" t="s">
        <v>311</v>
      </c>
      <c r="DH3484" s="406" t="s">
        <v>3357</v>
      </c>
      <c r="DI3484" s="406" t="str">
        <f t="shared" si="86"/>
        <v>PR, Quatro Pontes</v>
      </c>
      <c r="DJ3484" s="406">
        <v>-24.574999999999999</v>
      </c>
      <c r="DK3484" s="80">
        <v>-53.976999999999997</v>
      </c>
      <c r="DL3484" s="80">
        <v>427</v>
      </c>
      <c r="DM3484" s="64">
        <v>3</v>
      </c>
      <c r="DN3484" s="406" t="s">
        <v>7284</v>
      </c>
      <c r="DO3484" s="406">
        <v>-24.56</v>
      </c>
      <c r="DP3484" s="80">
        <v>392</v>
      </c>
    </row>
    <row r="3485" spans="29:120" x14ac:dyDescent="0.25">
      <c r="AC3485" s="122" t="s">
        <v>333</v>
      </c>
      <c r="AD3485" s="122" t="s">
        <v>3789</v>
      </c>
      <c r="AE3485" s="127">
        <v>4</v>
      </c>
      <c r="DA3485" s="122" t="s">
        <v>311</v>
      </c>
      <c r="DB3485" s="122" t="s">
        <v>7951</v>
      </c>
      <c r="DC3485" s="122" t="s">
        <v>3260</v>
      </c>
      <c r="DD3485" s="127">
        <v>2</v>
      </c>
      <c r="DE3485" s="127">
        <v>2</v>
      </c>
      <c r="DG3485" s="405" t="s">
        <v>311</v>
      </c>
      <c r="DH3485" s="406" t="s">
        <v>3260</v>
      </c>
      <c r="DI3485" s="406" t="str">
        <f t="shared" si="86"/>
        <v>PR, Quedas do Iguaçu</v>
      </c>
      <c r="DJ3485" s="406">
        <v>-25.45</v>
      </c>
      <c r="DK3485" s="80">
        <v>-52.908000000000001</v>
      </c>
      <c r="DL3485" s="80">
        <v>562</v>
      </c>
      <c r="DM3485" s="64">
        <v>2</v>
      </c>
      <c r="DN3485" s="406" t="s">
        <v>7838</v>
      </c>
      <c r="DO3485" s="406">
        <v>-25.69</v>
      </c>
      <c r="DP3485" s="80">
        <v>520</v>
      </c>
    </row>
    <row r="3486" spans="29:120" x14ac:dyDescent="0.25">
      <c r="AC3486" s="122" t="s">
        <v>376</v>
      </c>
      <c r="AD3486" s="122" t="s">
        <v>3790</v>
      </c>
      <c r="AE3486" s="127">
        <v>4</v>
      </c>
      <c r="DA3486" s="122" t="s">
        <v>311</v>
      </c>
      <c r="DB3486" s="122" t="s">
        <v>7952</v>
      </c>
      <c r="DC3486" s="122" t="s">
        <v>3225</v>
      </c>
      <c r="DD3486" s="127">
        <v>3</v>
      </c>
      <c r="DE3486" s="127">
        <v>3</v>
      </c>
      <c r="DG3486" s="405" t="s">
        <v>311</v>
      </c>
      <c r="DH3486" s="406" t="s">
        <v>3225</v>
      </c>
      <c r="DI3486" s="406" t="str">
        <f t="shared" si="86"/>
        <v>PR, Querência do Norte</v>
      </c>
      <c r="DJ3486" s="406">
        <v>-23.084</v>
      </c>
      <c r="DK3486" s="80">
        <v>-53.484000000000002</v>
      </c>
      <c r="DL3486" s="80">
        <v>338</v>
      </c>
      <c r="DM3486" s="64">
        <v>3</v>
      </c>
      <c r="DN3486" s="406" t="s">
        <v>7281</v>
      </c>
      <c r="DO3486" s="406">
        <v>-23.4</v>
      </c>
      <c r="DP3486" s="80">
        <v>385</v>
      </c>
    </row>
    <row r="3487" spans="29:120" x14ac:dyDescent="0.25">
      <c r="AC3487" s="122" t="s">
        <v>376</v>
      </c>
      <c r="AD3487" s="122" t="s">
        <v>3791</v>
      </c>
      <c r="AE3487" s="127">
        <v>4</v>
      </c>
      <c r="DA3487" s="122" t="s">
        <v>311</v>
      </c>
      <c r="DB3487" s="122" t="s">
        <v>7953</v>
      </c>
      <c r="DC3487" s="122" t="s">
        <v>3209</v>
      </c>
      <c r="DD3487" s="127">
        <v>3</v>
      </c>
      <c r="DE3487" s="127">
        <v>3</v>
      </c>
      <c r="DG3487" s="405" t="s">
        <v>311</v>
      </c>
      <c r="DH3487" s="406" t="s">
        <v>3209</v>
      </c>
      <c r="DI3487" s="406" t="str">
        <f t="shared" si="86"/>
        <v>PR, Quinta do Sol</v>
      </c>
      <c r="DJ3487" s="406">
        <v>-23.852</v>
      </c>
      <c r="DK3487" s="80">
        <v>-52.13</v>
      </c>
      <c r="DL3487" s="80">
        <v>422</v>
      </c>
      <c r="DM3487" s="64">
        <v>3</v>
      </c>
      <c r="DN3487" s="406" t="s">
        <v>7816</v>
      </c>
      <c r="DO3487" s="406">
        <v>-23.42</v>
      </c>
      <c r="DP3487" s="80">
        <v>542</v>
      </c>
    </row>
    <row r="3488" spans="29:120" x14ac:dyDescent="0.25">
      <c r="AC3488" s="122" t="s">
        <v>311</v>
      </c>
      <c r="AD3488" s="122" t="s">
        <v>3792</v>
      </c>
      <c r="AE3488" s="127">
        <v>3</v>
      </c>
      <c r="DA3488" s="122" t="s">
        <v>311</v>
      </c>
      <c r="DB3488" s="122" t="s">
        <v>514</v>
      </c>
      <c r="DC3488" s="122" t="s">
        <v>514</v>
      </c>
      <c r="DD3488" s="127">
        <v>2</v>
      </c>
      <c r="DE3488" s="127">
        <v>2</v>
      </c>
      <c r="DG3488" s="405" t="s">
        <v>311</v>
      </c>
      <c r="DH3488" s="406" t="s">
        <v>514</v>
      </c>
      <c r="DI3488" s="406" t="str">
        <f t="shared" si="86"/>
        <v>PR, Quitandinha</v>
      </c>
      <c r="DJ3488" s="406">
        <v>-25.872</v>
      </c>
      <c r="DK3488" s="80">
        <v>-49.497999999999998</v>
      </c>
      <c r="DL3488" s="80">
        <v>845</v>
      </c>
      <c r="DM3488" s="64">
        <v>2</v>
      </c>
      <c r="DN3488" s="406" t="s">
        <v>7809</v>
      </c>
      <c r="DO3488" s="406">
        <v>-26.25</v>
      </c>
      <c r="DP3488" s="80">
        <v>869</v>
      </c>
    </row>
    <row r="3489" spans="29:120" x14ac:dyDescent="0.25">
      <c r="AC3489" s="122" t="s">
        <v>333</v>
      </c>
      <c r="AD3489" s="122" t="s">
        <v>3793</v>
      </c>
      <c r="AE3489" s="127">
        <v>6</v>
      </c>
      <c r="DA3489" s="122" t="s">
        <v>311</v>
      </c>
      <c r="DB3489" s="122" t="s">
        <v>3613</v>
      </c>
      <c r="DC3489" s="122" t="s">
        <v>3613</v>
      </c>
      <c r="DD3489" s="127">
        <v>3</v>
      </c>
      <c r="DE3489" s="127">
        <v>3</v>
      </c>
      <c r="DG3489" s="405" t="s">
        <v>311</v>
      </c>
      <c r="DH3489" s="406" t="s">
        <v>3613</v>
      </c>
      <c r="DI3489" s="406" t="str">
        <f t="shared" si="86"/>
        <v>PR, Ramilândia</v>
      </c>
      <c r="DJ3489" s="406">
        <v>-25.12</v>
      </c>
      <c r="DK3489" s="80">
        <v>-54.024999999999999</v>
      </c>
      <c r="DL3489" s="80">
        <v>580</v>
      </c>
      <c r="DM3489" s="64">
        <v>3</v>
      </c>
      <c r="DN3489" s="406" t="s">
        <v>7284</v>
      </c>
      <c r="DO3489" s="406">
        <v>-24.56</v>
      </c>
      <c r="DP3489" s="80">
        <v>392</v>
      </c>
    </row>
    <row r="3490" spans="29:120" x14ac:dyDescent="0.25">
      <c r="AC3490" s="122" t="s">
        <v>376</v>
      </c>
      <c r="AD3490" s="122" t="s">
        <v>3794</v>
      </c>
      <c r="AE3490" s="127">
        <v>3</v>
      </c>
      <c r="DA3490" s="122" t="s">
        <v>311</v>
      </c>
      <c r="DB3490" s="122" t="s">
        <v>7954</v>
      </c>
      <c r="DC3490" s="122" t="s">
        <v>3640</v>
      </c>
      <c r="DD3490" s="127">
        <v>3</v>
      </c>
      <c r="DE3490" s="127">
        <v>3</v>
      </c>
      <c r="DG3490" s="405" t="s">
        <v>311</v>
      </c>
      <c r="DH3490" s="406" t="s">
        <v>3640</v>
      </c>
      <c r="DI3490" s="406" t="str">
        <f t="shared" si="86"/>
        <v>PR, Rancho Alegre</v>
      </c>
      <c r="DJ3490" s="406">
        <v>-23.07</v>
      </c>
      <c r="DK3490" s="80">
        <v>-50.912999999999997</v>
      </c>
      <c r="DL3490" s="80">
        <v>416</v>
      </c>
      <c r="DM3490" s="64">
        <v>3</v>
      </c>
      <c r="DN3490" s="406" t="s">
        <v>7826</v>
      </c>
      <c r="DO3490" s="406">
        <v>-23.38</v>
      </c>
      <c r="DP3490" s="80">
        <v>566</v>
      </c>
    </row>
    <row r="3491" spans="29:120" x14ac:dyDescent="0.25">
      <c r="AC3491" s="122" t="s">
        <v>376</v>
      </c>
      <c r="AD3491" s="122" t="s">
        <v>3795</v>
      </c>
      <c r="AE3491" s="127">
        <v>6</v>
      </c>
      <c r="DA3491" s="122" t="s">
        <v>311</v>
      </c>
      <c r="DB3491" s="122" t="s">
        <v>7955</v>
      </c>
      <c r="DC3491" s="122" t="s">
        <v>3167</v>
      </c>
      <c r="DD3491" s="127">
        <v>3</v>
      </c>
      <c r="DE3491" s="127">
        <v>3</v>
      </c>
      <c r="DG3491" s="405" t="s">
        <v>311</v>
      </c>
      <c r="DH3491" s="406" t="s">
        <v>3167</v>
      </c>
      <c r="DI3491" s="406" t="str">
        <f t="shared" si="86"/>
        <v>PR, Rancho Alegre d'Oeste</v>
      </c>
      <c r="DJ3491" s="406">
        <v>-24.306999999999999</v>
      </c>
      <c r="DK3491" s="80">
        <v>-52.954000000000001</v>
      </c>
      <c r="DL3491" s="80">
        <v>528</v>
      </c>
      <c r="DM3491" s="64">
        <v>3</v>
      </c>
      <c r="DN3491" s="406" t="s">
        <v>7813</v>
      </c>
      <c r="DO3491" s="406">
        <v>-24.44</v>
      </c>
      <c r="DP3491" s="80">
        <v>654</v>
      </c>
    </row>
    <row r="3492" spans="29:120" x14ac:dyDescent="0.25">
      <c r="AC3492" s="122" t="s">
        <v>333</v>
      </c>
      <c r="AD3492" s="122" t="s">
        <v>3796</v>
      </c>
      <c r="AE3492" s="127">
        <v>2</v>
      </c>
      <c r="DA3492" s="122" t="s">
        <v>311</v>
      </c>
      <c r="DB3492" s="122" t="s">
        <v>3245</v>
      </c>
      <c r="DC3492" s="122" t="s">
        <v>3245</v>
      </c>
      <c r="DD3492" s="127">
        <v>2</v>
      </c>
      <c r="DE3492" s="127">
        <v>2</v>
      </c>
      <c r="DG3492" s="405" t="s">
        <v>311</v>
      </c>
      <c r="DH3492" s="406" t="s">
        <v>3245</v>
      </c>
      <c r="DI3492" s="406" t="str">
        <f t="shared" si="86"/>
        <v>PR, Realeza</v>
      </c>
      <c r="DJ3492" s="406">
        <v>-25.766999999999999</v>
      </c>
      <c r="DK3492" s="80">
        <v>-53.527000000000001</v>
      </c>
      <c r="DL3492" s="80">
        <v>520</v>
      </c>
      <c r="DM3492" s="64">
        <v>2</v>
      </c>
      <c r="DN3492" s="406" t="s">
        <v>7821</v>
      </c>
      <c r="DO3492" s="406">
        <v>-25.72</v>
      </c>
      <c r="DP3492" s="80">
        <v>346</v>
      </c>
    </row>
    <row r="3493" spans="29:120" x14ac:dyDescent="0.25">
      <c r="AC3493" s="122" t="s">
        <v>376</v>
      </c>
      <c r="AD3493" s="122" t="s">
        <v>3797</v>
      </c>
      <c r="AE3493" s="127">
        <v>6</v>
      </c>
      <c r="DA3493" s="122" t="s">
        <v>311</v>
      </c>
      <c r="DB3493" s="122" t="s">
        <v>1585</v>
      </c>
      <c r="DC3493" s="122" t="s">
        <v>1585</v>
      </c>
      <c r="DD3493" s="127">
        <v>2</v>
      </c>
      <c r="DE3493" s="127">
        <v>2</v>
      </c>
      <c r="DG3493" s="405" t="s">
        <v>311</v>
      </c>
      <c r="DH3493" s="406" t="s">
        <v>1585</v>
      </c>
      <c r="DI3493" s="406" t="str">
        <f t="shared" si="86"/>
        <v>PR, Rebouças</v>
      </c>
      <c r="DJ3493" s="406">
        <v>-25.620999999999999</v>
      </c>
      <c r="DK3493" s="80">
        <v>-50.692999999999998</v>
      </c>
      <c r="DL3493" s="80">
        <v>815</v>
      </c>
      <c r="DM3493" s="64">
        <v>2</v>
      </c>
      <c r="DN3493" s="406" t="s">
        <v>7895</v>
      </c>
      <c r="DO3493" s="406">
        <v>-25.57</v>
      </c>
      <c r="DP3493" s="80">
        <v>1260</v>
      </c>
    </row>
    <row r="3494" spans="29:120" x14ac:dyDescent="0.25">
      <c r="AC3494" s="122" t="s">
        <v>333</v>
      </c>
      <c r="AD3494" s="122" t="s">
        <v>3798</v>
      </c>
      <c r="AE3494" s="127">
        <v>3</v>
      </c>
      <c r="DA3494" s="122" t="s">
        <v>311</v>
      </c>
      <c r="DB3494" s="122" t="s">
        <v>780</v>
      </c>
      <c r="DC3494" s="122" t="s">
        <v>780</v>
      </c>
      <c r="DD3494" s="127">
        <v>2</v>
      </c>
      <c r="DE3494" s="127">
        <v>2</v>
      </c>
      <c r="DG3494" s="405" t="s">
        <v>311</v>
      </c>
      <c r="DH3494" s="406" t="s">
        <v>780</v>
      </c>
      <c r="DI3494" s="406" t="str">
        <f t="shared" si="86"/>
        <v>PR, Renascença</v>
      </c>
      <c r="DJ3494" s="406">
        <v>-26.158000000000001</v>
      </c>
      <c r="DK3494" s="80">
        <v>-52.969000000000001</v>
      </c>
      <c r="DL3494" s="80">
        <v>688</v>
      </c>
      <c r="DM3494" s="64">
        <v>2</v>
      </c>
      <c r="DN3494" s="406" t="s">
        <v>7844</v>
      </c>
      <c r="DO3494" s="406">
        <v>-26.41</v>
      </c>
      <c r="DP3494" s="80">
        <v>960</v>
      </c>
    </row>
    <row r="3495" spans="29:120" x14ac:dyDescent="0.25">
      <c r="AC3495" s="122" t="s">
        <v>376</v>
      </c>
      <c r="AD3495" s="122" t="s">
        <v>3799</v>
      </c>
      <c r="AE3495" s="127">
        <v>6</v>
      </c>
      <c r="DA3495" s="122" t="s">
        <v>311</v>
      </c>
      <c r="DB3495" s="122" t="s">
        <v>848</v>
      </c>
      <c r="DC3495" s="122" t="s">
        <v>848</v>
      </c>
      <c r="DD3495" s="127">
        <v>2</v>
      </c>
      <c r="DE3495" s="127">
        <v>2</v>
      </c>
      <c r="DG3495" s="405" t="s">
        <v>311</v>
      </c>
      <c r="DH3495" s="406" t="s">
        <v>848</v>
      </c>
      <c r="DI3495" s="406" t="str">
        <f t="shared" si="86"/>
        <v>PR, Reserva</v>
      </c>
      <c r="DJ3495" s="406">
        <v>-24.65</v>
      </c>
      <c r="DK3495" s="80">
        <v>-50.850999999999999</v>
      </c>
      <c r="DL3495" s="80">
        <v>938</v>
      </c>
      <c r="DM3495" s="64">
        <v>2</v>
      </c>
      <c r="DN3495" s="406" t="s">
        <v>7885</v>
      </c>
      <c r="DO3495" s="406">
        <v>-25.01</v>
      </c>
      <c r="DP3495" s="80">
        <v>808</v>
      </c>
    </row>
    <row r="3496" spans="29:120" x14ac:dyDescent="0.25">
      <c r="AC3496" s="122" t="s">
        <v>311</v>
      </c>
      <c r="AD3496" s="122" t="s">
        <v>3800</v>
      </c>
      <c r="AE3496" s="127">
        <v>3</v>
      </c>
      <c r="DA3496" s="122" t="s">
        <v>311</v>
      </c>
      <c r="DB3496" s="122" t="s">
        <v>7956</v>
      </c>
      <c r="DC3496" s="122" t="s">
        <v>798</v>
      </c>
      <c r="DD3496" s="127">
        <v>1</v>
      </c>
      <c r="DE3496" s="127">
        <v>1</v>
      </c>
      <c r="DG3496" s="405" t="s">
        <v>311</v>
      </c>
      <c r="DH3496" s="406" t="s">
        <v>798</v>
      </c>
      <c r="DI3496" s="406" t="str">
        <f t="shared" si="86"/>
        <v>PR, Reserva do Iguaçu</v>
      </c>
      <c r="DJ3496" s="406">
        <v>-25.838999999999999</v>
      </c>
      <c r="DK3496" s="80">
        <v>-52.027999999999999</v>
      </c>
      <c r="DL3496" s="80">
        <v>1020</v>
      </c>
      <c r="DM3496" s="64">
        <v>1</v>
      </c>
      <c r="DN3496" s="406" t="s">
        <v>7856</v>
      </c>
      <c r="DO3496" s="406">
        <v>-26.42</v>
      </c>
      <c r="DP3496" s="80">
        <v>980</v>
      </c>
    </row>
    <row r="3497" spans="29:120" x14ac:dyDescent="0.25">
      <c r="AC3497" s="122" t="s">
        <v>376</v>
      </c>
      <c r="AD3497" s="122" t="s">
        <v>3801</v>
      </c>
      <c r="AE3497" s="127">
        <v>5</v>
      </c>
      <c r="DA3497" s="122" t="s">
        <v>311</v>
      </c>
      <c r="DB3497" s="122" t="s">
        <v>7957</v>
      </c>
      <c r="DC3497" s="122" t="s">
        <v>3800</v>
      </c>
      <c r="DD3497" s="127">
        <v>3</v>
      </c>
      <c r="DE3497" s="127">
        <v>3</v>
      </c>
      <c r="DG3497" s="405" t="s">
        <v>311</v>
      </c>
      <c r="DH3497" s="406" t="s">
        <v>3800</v>
      </c>
      <c r="DI3497" s="406" t="str">
        <f t="shared" si="86"/>
        <v>PR, Ribeirão Claro</v>
      </c>
      <c r="DJ3497" s="406">
        <v>-23.193999999999999</v>
      </c>
      <c r="DK3497" s="80">
        <v>-49.758000000000003</v>
      </c>
      <c r="DL3497" s="80">
        <v>690</v>
      </c>
      <c r="DM3497" s="64">
        <v>3</v>
      </c>
      <c r="DN3497" s="406" t="s">
        <v>7822</v>
      </c>
      <c r="DO3497" s="406">
        <v>-22.98</v>
      </c>
      <c r="DP3497" s="80">
        <v>448</v>
      </c>
    </row>
    <row r="3498" spans="29:120" x14ac:dyDescent="0.25">
      <c r="AC3498" s="122" t="s">
        <v>376</v>
      </c>
      <c r="AD3498" s="122" t="s">
        <v>3802</v>
      </c>
      <c r="AE3498" s="127">
        <v>3</v>
      </c>
      <c r="DA3498" s="122" t="s">
        <v>311</v>
      </c>
      <c r="DB3498" s="122" t="s">
        <v>7958</v>
      </c>
      <c r="DC3498" s="122" t="s">
        <v>3232</v>
      </c>
      <c r="DD3498" s="127">
        <v>3</v>
      </c>
      <c r="DE3498" s="127">
        <v>3</v>
      </c>
      <c r="DG3498" s="405" t="s">
        <v>311</v>
      </c>
      <c r="DH3498" s="406" t="s">
        <v>3232</v>
      </c>
      <c r="DI3498" s="406" t="str">
        <f t="shared" si="86"/>
        <v>PR, Ribeirão do Pinhal</v>
      </c>
      <c r="DJ3498" s="406">
        <v>-23.408000000000001</v>
      </c>
      <c r="DK3498" s="80">
        <v>-50.356999999999999</v>
      </c>
      <c r="DL3498" s="80">
        <v>620</v>
      </c>
      <c r="DM3498" s="64">
        <v>3</v>
      </c>
      <c r="DN3498" s="406" t="s">
        <v>7806</v>
      </c>
      <c r="DO3498" s="406">
        <v>-23.43</v>
      </c>
      <c r="DP3498" s="80">
        <v>668</v>
      </c>
    </row>
    <row r="3499" spans="29:120" x14ac:dyDescent="0.25">
      <c r="AC3499" s="122" t="s">
        <v>376</v>
      </c>
      <c r="AD3499" s="122" t="s">
        <v>3803</v>
      </c>
      <c r="AE3499" s="127">
        <v>6</v>
      </c>
      <c r="DA3499" s="122" t="s">
        <v>311</v>
      </c>
      <c r="DB3499" s="122" t="s">
        <v>7959</v>
      </c>
      <c r="DC3499" s="122" t="s">
        <v>1574</v>
      </c>
      <c r="DD3499" s="127">
        <v>2</v>
      </c>
      <c r="DE3499" s="127">
        <v>2</v>
      </c>
      <c r="DG3499" s="405" t="s">
        <v>311</v>
      </c>
      <c r="DH3499" s="406" t="s">
        <v>1574</v>
      </c>
      <c r="DI3499" s="406" t="str">
        <f t="shared" si="86"/>
        <v>PR, Rio Azul</v>
      </c>
      <c r="DJ3499" s="406">
        <v>-25.733000000000001</v>
      </c>
      <c r="DK3499" s="80">
        <v>-50.795999999999999</v>
      </c>
      <c r="DL3499" s="80">
        <v>925</v>
      </c>
      <c r="DM3499" s="64">
        <v>2</v>
      </c>
      <c r="DN3499" s="406" t="s">
        <v>7895</v>
      </c>
      <c r="DO3499" s="406">
        <v>-25.57</v>
      </c>
      <c r="DP3499" s="80">
        <v>1260</v>
      </c>
    </row>
    <row r="3500" spans="29:120" x14ac:dyDescent="0.25">
      <c r="AC3500" s="122" t="s">
        <v>311</v>
      </c>
      <c r="AD3500" s="122" t="s">
        <v>3804</v>
      </c>
      <c r="AE3500" s="127">
        <v>3</v>
      </c>
      <c r="DA3500" s="122" t="s">
        <v>311</v>
      </c>
      <c r="DB3500" s="122" t="s">
        <v>7960</v>
      </c>
      <c r="DC3500" s="122" t="s">
        <v>3205</v>
      </c>
      <c r="DD3500" s="127">
        <v>3</v>
      </c>
      <c r="DE3500" s="127">
        <v>3</v>
      </c>
      <c r="DG3500" s="405" t="s">
        <v>311</v>
      </c>
      <c r="DH3500" s="406" t="s">
        <v>3205</v>
      </c>
      <c r="DI3500" s="406" t="str">
        <f t="shared" si="86"/>
        <v>PR, Rio Bom</v>
      </c>
      <c r="DJ3500" s="406">
        <v>-23.762</v>
      </c>
      <c r="DK3500" s="80">
        <v>-51.411000000000001</v>
      </c>
      <c r="DL3500" s="80">
        <v>680</v>
      </c>
      <c r="DM3500" s="64">
        <v>3</v>
      </c>
      <c r="DN3500" s="406" t="s">
        <v>7826</v>
      </c>
      <c r="DO3500" s="406">
        <v>-23.38</v>
      </c>
      <c r="DP3500" s="80">
        <v>566</v>
      </c>
    </row>
    <row r="3501" spans="29:120" x14ac:dyDescent="0.25">
      <c r="AC3501" s="122" t="s">
        <v>376</v>
      </c>
      <c r="AD3501" s="122" t="s">
        <v>3805</v>
      </c>
      <c r="AE3501" s="127">
        <v>6</v>
      </c>
      <c r="DA3501" s="122" t="s">
        <v>311</v>
      </c>
      <c r="DB3501" s="122" t="s">
        <v>7961</v>
      </c>
      <c r="DC3501" s="122" t="s">
        <v>775</v>
      </c>
      <c r="DD3501" s="127">
        <v>2</v>
      </c>
      <c r="DE3501" s="127">
        <v>2</v>
      </c>
      <c r="DG3501" s="405" t="s">
        <v>311</v>
      </c>
      <c r="DH3501" s="406" t="s">
        <v>775</v>
      </c>
      <c r="DI3501" s="406" t="str">
        <f t="shared" si="86"/>
        <v>PR, Rio Bonito do Iguaçu</v>
      </c>
      <c r="DJ3501" s="406">
        <v>-25.491</v>
      </c>
      <c r="DK3501" s="80">
        <v>-52.526000000000003</v>
      </c>
      <c r="DL3501" s="80">
        <v>700</v>
      </c>
      <c r="DM3501" s="64">
        <v>2</v>
      </c>
      <c r="DN3501" s="406" t="s">
        <v>7838</v>
      </c>
      <c r="DO3501" s="406">
        <v>-25.69</v>
      </c>
      <c r="DP3501" s="80">
        <v>520</v>
      </c>
    </row>
    <row r="3502" spans="29:120" x14ac:dyDescent="0.25">
      <c r="AC3502" s="122" t="s">
        <v>333</v>
      </c>
      <c r="AD3502" s="122" t="s">
        <v>3806</v>
      </c>
      <c r="AE3502" s="127">
        <v>3</v>
      </c>
      <c r="DA3502" s="122" t="s">
        <v>311</v>
      </c>
      <c r="DB3502" s="122" t="s">
        <v>7962</v>
      </c>
      <c r="DC3502" s="122" t="s">
        <v>811</v>
      </c>
      <c r="DD3502" s="127">
        <v>2</v>
      </c>
      <c r="DE3502" s="127">
        <v>2</v>
      </c>
      <c r="DG3502" s="405" t="s">
        <v>311</v>
      </c>
      <c r="DH3502" s="406" t="s">
        <v>811</v>
      </c>
      <c r="DI3502" s="406" t="str">
        <f t="shared" si="86"/>
        <v>PR, Rio Branco do Ivaí</v>
      </c>
      <c r="DJ3502" s="406">
        <v>-24.324000000000002</v>
      </c>
      <c r="DK3502" s="80">
        <v>-51.313000000000002</v>
      </c>
      <c r="DL3502" s="80">
        <v>650</v>
      </c>
      <c r="DM3502" s="64">
        <v>2</v>
      </c>
      <c r="DN3502" s="406" t="s">
        <v>7813</v>
      </c>
      <c r="DO3502" s="406">
        <v>-24.44</v>
      </c>
      <c r="DP3502" s="80">
        <v>654</v>
      </c>
    </row>
    <row r="3503" spans="29:120" x14ac:dyDescent="0.25">
      <c r="AC3503" s="122" t="s">
        <v>376</v>
      </c>
      <c r="AD3503" s="122" t="s">
        <v>3807</v>
      </c>
      <c r="AE3503" s="127">
        <v>3</v>
      </c>
      <c r="DA3503" s="122" t="s">
        <v>311</v>
      </c>
      <c r="DB3503" s="122" t="s">
        <v>7963</v>
      </c>
      <c r="DC3503" s="122" t="s">
        <v>467</v>
      </c>
      <c r="DD3503" s="127">
        <v>1</v>
      </c>
      <c r="DE3503" s="127">
        <v>1</v>
      </c>
      <c r="DG3503" s="405" t="s">
        <v>311</v>
      </c>
      <c r="DH3503" s="406" t="s">
        <v>467</v>
      </c>
      <c r="DI3503" s="406" t="str">
        <f t="shared" si="86"/>
        <v>PR, Rio Branco do Sul</v>
      </c>
      <c r="DJ3503" s="406">
        <v>-25.19</v>
      </c>
      <c r="DK3503" s="80">
        <v>-49.314</v>
      </c>
      <c r="DL3503" s="80">
        <v>1053</v>
      </c>
      <c r="DM3503" s="64">
        <v>1</v>
      </c>
      <c r="DN3503" s="406" t="s">
        <v>7811</v>
      </c>
      <c r="DO3503" s="406">
        <v>-25.43</v>
      </c>
      <c r="DP3503" s="80">
        <v>924</v>
      </c>
    </row>
    <row r="3504" spans="29:120" x14ac:dyDescent="0.25">
      <c r="AC3504" s="122" t="s">
        <v>376</v>
      </c>
      <c r="AD3504" s="122" t="s">
        <v>3808</v>
      </c>
      <c r="AE3504" s="127">
        <v>4</v>
      </c>
      <c r="DA3504" s="122" t="s">
        <v>311</v>
      </c>
      <c r="DB3504" s="122" t="s">
        <v>7293</v>
      </c>
      <c r="DC3504" s="122" t="s">
        <v>1659</v>
      </c>
      <c r="DD3504" s="127">
        <v>2</v>
      </c>
      <c r="DE3504" s="127">
        <v>2</v>
      </c>
      <c r="DG3504" s="405" t="s">
        <v>311</v>
      </c>
      <c r="DH3504" s="406" t="s">
        <v>1659</v>
      </c>
      <c r="DI3504" s="406" t="str">
        <f t="shared" si="86"/>
        <v>PR, Rio Negro</v>
      </c>
      <c r="DJ3504" s="406">
        <v>-26.106000000000002</v>
      </c>
      <c r="DK3504" s="80">
        <v>-49.798000000000002</v>
      </c>
      <c r="DL3504" s="80">
        <v>780</v>
      </c>
      <c r="DM3504" s="64">
        <v>2</v>
      </c>
      <c r="DN3504" s="406" t="s">
        <v>7809</v>
      </c>
      <c r="DO3504" s="406">
        <v>-26.25</v>
      </c>
      <c r="DP3504" s="80">
        <v>869</v>
      </c>
    </row>
    <row r="3505" spans="29:120" x14ac:dyDescent="0.25">
      <c r="AC3505" s="122" t="s">
        <v>376</v>
      </c>
      <c r="AD3505" s="122" t="s">
        <v>1119</v>
      </c>
      <c r="AE3505" s="127">
        <v>4</v>
      </c>
      <c r="DA3505" s="122" t="s">
        <v>311</v>
      </c>
      <c r="DB3505" s="122" t="s">
        <v>888</v>
      </c>
      <c r="DC3505" s="122" t="s">
        <v>888</v>
      </c>
      <c r="DD3505" s="127">
        <v>3</v>
      </c>
      <c r="DE3505" s="127">
        <v>3</v>
      </c>
      <c r="DG3505" s="405" t="s">
        <v>311</v>
      </c>
      <c r="DH3505" s="406" t="s">
        <v>888</v>
      </c>
      <c r="DI3505" s="406" t="str">
        <f t="shared" si="86"/>
        <v>PR, Rolândia</v>
      </c>
      <c r="DJ3505" s="406">
        <v>-23.31</v>
      </c>
      <c r="DK3505" s="80">
        <v>-51.369</v>
      </c>
      <c r="DL3505" s="80">
        <v>730</v>
      </c>
      <c r="DM3505" s="64">
        <v>3</v>
      </c>
      <c r="DN3505" s="406" t="s">
        <v>7826</v>
      </c>
      <c r="DO3505" s="406">
        <v>-23.38</v>
      </c>
      <c r="DP3505" s="80">
        <v>566</v>
      </c>
    </row>
    <row r="3506" spans="29:120" x14ac:dyDescent="0.25">
      <c r="AC3506" s="122" t="s">
        <v>376</v>
      </c>
      <c r="AD3506" s="122" t="s">
        <v>3809</v>
      </c>
      <c r="AE3506" s="127">
        <v>4</v>
      </c>
      <c r="DA3506" s="122" t="s">
        <v>311</v>
      </c>
      <c r="DB3506" s="122" t="s">
        <v>777</v>
      </c>
      <c r="DC3506" s="122" t="s">
        <v>777</v>
      </c>
      <c r="DD3506" s="127">
        <v>2</v>
      </c>
      <c r="DE3506" s="127">
        <v>2</v>
      </c>
      <c r="DG3506" s="405" t="s">
        <v>311</v>
      </c>
      <c r="DH3506" s="406" t="s">
        <v>777</v>
      </c>
      <c r="DI3506" s="406" t="str">
        <f t="shared" si="86"/>
        <v>PR, Roncador</v>
      </c>
      <c r="DJ3506" s="406">
        <v>-24.603000000000002</v>
      </c>
      <c r="DK3506" s="80">
        <v>-52.274999999999999</v>
      </c>
      <c r="DL3506" s="80">
        <v>762</v>
      </c>
      <c r="DM3506" s="64">
        <v>2</v>
      </c>
      <c r="DN3506" s="406" t="s">
        <v>7813</v>
      </c>
      <c r="DO3506" s="406">
        <v>-24.44</v>
      </c>
      <c r="DP3506" s="80">
        <v>654</v>
      </c>
    </row>
    <row r="3507" spans="29:120" x14ac:dyDescent="0.25">
      <c r="AC3507" s="122" t="s">
        <v>376</v>
      </c>
      <c r="AD3507" s="122" t="s">
        <v>1102</v>
      </c>
      <c r="AE3507" s="127">
        <v>3</v>
      </c>
      <c r="DA3507" s="122" t="s">
        <v>311</v>
      </c>
      <c r="DB3507" s="122" t="s">
        <v>3193</v>
      </c>
      <c r="DC3507" s="122" t="s">
        <v>3193</v>
      </c>
      <c r="DD3507" s="127">
        <v>3</v>
      </c>
      <c r="DE3507" s="127">
        <v>3</v>
      </c>
      <c r="DG3507" s="405" t="s">
        <v>311</v>
      </c>
      <c r="DH3507" s="406" t="s">
        <v>3193</v>
      </c>
      <c r="DI3507" s="406" t="str">
        <f t="shared" si="86"/>
        <v>PR, Rondon</v>
      </c>
      <c r="DJ3507" s="406">
        <v>-23.411000000000001</v>
      </c>
      <c r="DK3507" s="80">
        <v>-52.761000000000003</v>
      </c>
      <c r="DL3507" s="80">
        <v>400</v>
      </c>
      <c r="DM3507" s="64">
        <v>3</v>
      </c>
      <c r="DN3507" s="406" t="s">
        <v>7820</v>
      </c>
      <c r="DO3507" s="406">
        <v>-23.36</v>
      </c>
      <c r="DP3507" s="80">
        <v>381</v>
      </c>
    </row>
    <row r="3508" spans="29:120" x14ac:dyDescent="0.25">
      <c r="AC3508" s="122" t="s">
        <v>376</v>
      </c>
      <c r="AD3508" s="122" t="s">
        <v>3810</v>
      </c>
      <c r="AE3508" s="127">
        <v>4</v>
      </c>
      <c r="DA3508" s="122" t="s">
        <v>311</v>
      </c>
      <c r="DB3508" s="122" t="s">
        <v>7964</v>
      </c>
      <c r="DC3508" s="122" t="s">
        <v>3273</v>
      </c>
      <c r="DD3508" s="127">
        <v>2</v>
      </c>
      <c r="DE3508" s="127">
        <v>2</v>
      </c>
      <c r="DG3508" s="405" t="s">
        <v>311</v>
      </c>
      <c r="DH3508" s="406" t="s">
        <v>3273</v>
      </c>
      <c r="DI3508" s="406" t="str">
        <f t="shared" si="86"/>
        <v>PR, Rosário do Ivaí</v>
      </c>
      <c r="DJ3508" s="406">
        <v>-24.277999999999999</v>
      </c>
      <c r="DK3508" s="80">
        <v>-51.274999999999999</v>
      </c>
      <c r="DL3508" s="80">
        <v>750</v>
      </c>
      <c r="DM3508" s="64">
        <v>2</v>
      </c>
      <c r="DN3508" s="406" t="s">
        <v>7813</v>
      </c>
      <c r="DO3508" s="406">
        <v>-24.44</v>
      </c>
      <c r="DP3508" s="80">
        <v>654</v>
      </c>
    </row>
    <row r="3509" spans="29:120" x14ac:dyDescent="0.25">
      <c r="AC3509" s="122" t="s">
        <v>376</v>
      </c>
      <c r="AD3509" s="122" t="s">
        <v>3811</v>
      </c>
      <c r="AE3509" s="127">
        <v>4</v>
      </c>
      <c r="DA3509" s="122" t="s">
        <v>311</v>
      </c>
      <c r="DB3509" s="122" t="s">
        <v>856</v>
      </c>
      <c r="DC3509" s="122" t="s">
        <v>856</v>
      </c>
      <c r="DD3509" s="127">
        <v>3</v>
      </c>
      <c r="DE3509" s="127">
        <v>3</v>
      </c>
      <c r="DG3509" s="405" t="s">
        <v>311</v>
      </c>
      <c r="DH3509" s="406" t="s">
        <v>856</v>
      </c>
      <c r="DI3509" s="406" t="str">
        <f t="shared" si="86"/>
        <v>PR, Sabáudia</v>
      </c>
      <c r="DJ3509" s="406">
        <v>-23.318000000000001</v>
      </c>
      <c r="DK3509" s="80">
        <v>-51.552999999999997</v>
      </c>
      <c r="DL3509" s="80">
        <v>730</v>
      </c>
      <c r="DM3509" s="64">
        <v>3</v>
      </c>
      <c r="DN3509" s="406" t="s">
        <v>7826</v>
      </c>
      <c r="DO3509" s="406">
        <v>-23.38</v>
      </c>
      <c r="DP3509" s="80">
        <v>566</v>
      </c>
    </row>
    <row r="3510" spans="29:120" x14ac:dyDescent="0.25">
      <c r="AC3510" s="122" t="s">
        <v>376</v>
      </c>
      <c r="AD3510" s="122" t="s">
        <v>3812</v>
      </c>
      <c r="AE3510" s="127">
        <v>6</v>
      </c>
      <c r="DA3510" s="122" t="s">
        <v>311</v>
      </c>
      <c r="DB3510" s="122" t="s">
        <v>7965</v>
      </c>
      <c r="DC3510" s="122" t="s">
        <v>1526</v>
      </c>
      <c r="DD3510" s="127">
        <v>2</v>
      </c>
      <c r="DE3510" s="127">
        <v>2</v>
      </c>
      <c r="DG3510" s="405" t="s">
        <v>311</v>
      </c>
      <c r="DH3510" s="406" t="s">
        <v>1526</v>
      </c>
      <c r="DI3510" s="406" t="str">
        <f t="shared" si="86"/>
        <v>PR, Salgado Filho</v>
      </c>
      <c r="DJ3510" s="406">
        <v>-26.17</v>
      </c>
      <c r="DK3510" s="80">
        <v>-53.360999999999997</v>
      </c>
      <c r="DL3510" s="80">
        <v>620</v>
      </c>
      <c r="DM3510" s="64">
        <v>2</v>
      </c>
      <c r="DN3510" s="406" t="s">
        <v>7833</v>
      </c>
      <c r="DO3510" s="406">
        <v>-26.29</v>
      </c>
      <c r="DP3510" s="80">
        <v>810</v>
      </c>
    </row>
    <row r="3511" spans="29:120" x14ac:dyDescent="0.25">
      <c r="AC3511" s="122" t="s">
        <v>376</v>
      </c>
      <c r="AD3511" s="122" t="s">
        <v>3813</v>
      </c>
      <c r="AE3511" s="127">
        <v>4</v>
      </c>
      <c r="DA3511" s="122" t="s">
        <v>311</v>
      </c>
      <c r="DB3511" s="122" t="s">
        <v>7966</v>
      </c>
      <c r="DC3511" s="122" t="s">
        <v>994</v>
      </c>
      <c r="DD3511" s="127">
        <v>3</v>
      </c>
      <c r="DE3511" s="127">
        <v>3</v>
      </c>
      <c r="DG3511" s="405" t="s">
        <v>311</v>
      </c>
      <c r="DH3511" s="406" t="s">
        <v>994</v>
      </c>
      <c r="DI3511" s="406" t="str">
        <f t="shared" si="86"/>
        <v>PR, Salto do Itararé</v>
      </c>
      <c r="DJ3511" s="406">
        <v>-23.600999999999999</v>
      </c>
      <c r="DK3511" s="80">
        <v>-49.625999999999998</v>
      </c>
      <c r="DL3511" s="80">
        <v>502</v>
      </c>
      <c r="DM3511" s="64">
        <v>3</v>
      </c>
      <c r="DN3511" s="406" t="s">
        <v>7859</v>
      </c>
      <c r="DO3511" s="406">
        <v>-23.5</v>
      </c>
      <c r="DP3511" s="80">
        <v>522</v>
      </c>
    </row>
    <row r="3512" spans="29:120" x14ac:dyDescent="0.25">
      <c r="AC3512" s="122" t="s">
        <v>376</v>
      </c>
      <c r="AD3512" s="122" t="s">
        <v>3814</v>
      </c>
      <c r="AE3512" s="127">
        <v>3</v>
      </c>
      <c r="DA3512" s="122" t="s">
        <v>311</v>
      </c>
      <c r="DB3512" s="122" t="s">
        <v>7967</v>
      </c>
      <c r="DC3512" s="122" t="s">
        <v>3617</v>
      </c>
      <c r="DD3512" s="127">
        <v>2</v>
      </c>
      <c r="DE3512" s="127">
        <v>2</v>
      </c>
      <c r="DG3512" s="405" t="s">
        <v>311</v>
      </c>
      <c r="DH3512" s="406" t="s">
        <v>3617</v>
      </c>
      <c r="DI3512" s="406" t="str">
        <f t="shared" si="86"/>
        <v>PR, Salto do Lontra</v>
      </c>
      <c r="DJ3512" s="406">
        <v>-25.783999999999999</v>
      </c>
      <c r="DK3512" s="80">
        <v>-53.308999999999997</v>
      </c>
      <c r="DL3512" s="80">
        <v>538</v>
      </c>
      <c r="DM3512" s="64">
        <v>2</v>
      </c>
      <c r="DN3512" s="406" t="s">
        <v>7838</v>
      </c>
      <c r="DO3512" s="406">
        <v>-25.69</v>
      </c>
      <c r="DP3512" s="80">
        <v>520</v>
      </c>
    </row>
    <row r="3513" spans="29:120" x14ac:dyDescent="0.25">
      <c r="AC3513" s="122" t="s">
        <v>376</v>
      </c>
      <c r="AD3513" s="122" t="s">
        <v>3815</v>
      </c>
      <c r="AE3513" s="127">
        <v>3</v>
      </c>
      <c r="DA3513" s="122" t="s">
        <v>311</v>
      </c>
      <c r="DB3513" s="122" t="s">
        <v>7968</v>
      </c>
      <c r="DC3513" s="122" t="s">
        <v>3269</v>
      </c>
      <c r="DD3513" s="127">
        <v>3</v>
      </c>
      <c r="DE3513" s="127">
        <v>3</v>
      </c>
      <c r="DG3513" s="405" t="s">
        <v>311</v>
      </c>
      <c r="DH3513" s="406" t="s">
        <v>3269</v>
      </c>
      <c r="DI3513" s="406" t="str">
        <f t="shared" si="86"/>
        <v>PR, Santa Amélia</v>
      </c>
      <c r="DJ3513" s="406">
        <v>-23.265999999999998</v>
      </c>
      <c r="DK3513" s="80">
        <v>-50.423999999999999</v>
      </c>
      <c r="DL3513" s="80">
        <v>500</v>
      </c>
      <c r="DM3513" s="64">
        <v>3</v>
      </c>
      <c r="DN3513" s="406" t="s">
        <v>7806</v>
      </c>
      <c r="DO3513" s="406">
        <v>-23.43</v>
      </c>
      <c r="DP3513" s="80">
        <v>668</v>
      </c>
    </row>
    <row r="3514" spans="29:120" x14ac:dyDescent="0.25">
      <c r="AC3514" s="122" t="s">
        <v>376</v>
      </c>
      <c r="AD3514" s="122" t="s">
        <v>3816</v>
      </c>
      <c r="AE3514" s="127">
        <v>4</v>
      </c>
      <c r="DA3514" s="122" t="s">
        <v>311</v>
      </c>
      <c r="DB3514" s="122" t="s">
        <v>7969</v>
      </c>
      <c r="DC3514" s="122" t="s">
        <v>3424</v>
      </c>
      <c r="DD3514" s="127">
        <v>2</v>
      </c>
      <c r="DE3514" s="127">
        <v>2</v>
      </c>
      <c r="DG3514" s="405" t="s">
        <v>311</v>
      </c>
      <c r="DH3514" s="406" t="s">
        <v>3424</v>
      </c>
      <c r="DI3514" s="406" t="str">
        <f t="shared" si="86"/>
        <v>PR, Santa Cecília do Pavão</v>
      </c>
      <c r="DJ3514" s="406">
        <v>-23.516999999999999</v>
      </c>
      <c r="DK3514" s="80">
        <v>-50.783999999999999</v>
      </c>
      <c r="DL3514" s="80">
        <v>660</v>
      </c>
      <c r="DM3514" s="64">
        <v>2</v>
      </c>
      <c r="DN3514" s="406" t="s">
        <v>7806</v>
      </c>
      <c r="DO3514" s="406">
        <v>-23.43</v>
      </c>
      <c r="DP3514" s="80">
        <v>668</v>
      </c>
    </row>
    <row r="3515" spans="29:120" x14ac:dyDescent="0.25">
      <c r="AC3515" s="122" t="s">
        <v>376</v>
      </c>
      <c r="AD3515" s="122" t="s">
        <v>3817</v>
      </c>
      <c r="AE3515" s="127">
        <v>4</v>
      </c>
      <c r="DA3515" s="122" t="s">
        <v>311</v>
      </c>
      <c r="DB3515" s="122" t="s">
        <v>7970</v>
      </c>
      <c r="DC3515" s="122" t="s">
        <v>3257</v>
      </c>
      <c r="DD3515" s="127">
        <v>3</v>
      </c>
      <c r="DE3515" s="127">
        <v>3</v>
      </c>
      <c r="DG3515" s="405" t="s">
        <v>311</v>
      </c>
      <c r="DH3515" s="406" t="s">
        <v>3257</v>
      </c>
      <c r="DI3515" s="406" t="str">
        <f t="shared" si="86"/>
        <v>PR, Santa Cruz de Monte Castelo</v>
      </c>
      <c r="DJ3515" s="406">
        <v>-22.952999999999999</v>
      </c>
      <c r="DK3515" s="80">
        <v>-53.296999999999997</v>
      </c>
      <c r="DL3515" s="80">
        <v>382</v>
      </c>
      <c r="DM3515" s="64">
        <v>3</v>
      </c>
      <c r="DN3515" s="406" t="s">
        <v>7257</v>
      </c>
      <c r="DO3515" s="406">
        <v>-22.64</v>
      </c>
      <c r="DP3515" s="80">
        <v>362</v>
      </c>
    </row>
    <row r="3516" spans="29:120" x14ac:dyDescent="0.25">
      <c r="AC3516" s="122" t="s">
        <v>376</v>
      </c>
      <c r="AD3516" s="122" t="s">
        <v>3818</v>
      </c>
      <c r="AE3516" s="127">
        <v>3</v>
      </c>
      <c r="DA3516" s="122" t="s">
        <v>311</v>
      </c>
      <c r="DB3516" s="122" t="s">
        <v>7971</v>
      </c>
      <c r="DC3516" s="122" t="s">
        <v>3634</v>
      </c>
      <c r="DD3516" s="127">
        <v>3</v>
      </c>
      <c r="DE3516" s="127">
        <v>3</v>
      </c>
      <c r="DG3516" s="405" t="s">
        <v>311</v>
      </c>
      <c r="DH3516" s="406" t="s">
        <v>3634</v>
      </c>
      <c r="DI3516" s="406" t="str">
        <f t="shared" si="86"/>
        <v>PR, Santa Fé</v>
      </c>
      <c r="DJ3516" s="406">
        <v>-23.038</v>
      </c>
      <c r="DK3516" s="80">
        <v>-51.805</v>
      </c>
      <c r="DL3516" s="80">
        <v>538</v>
      </c>
      <c r="DM3516" s="64">
        <v>3</v>
      </c>
      <c r="DN3516" s="406" t="s">
        <v>7816</v>
      </c>
      <c r="DO3516" s="406">
        <v>-23.42</v>
      </c>
      <c r="DP3516" s="80">
        <v>542</v>
      </c>
    </row>
    <row r="3517" spans="29:120" x14ac:dyDescent="0.25">
      <c r="AC3517" s="122" t="s">
        <v>376</v>
      </c>
      <c r="AD3517" s="122" t="s">
        <v>3819</v>
      </c>
      <c r="AE3517" s="127">
        <v>6</v>
      </c>
      <c r="DA3517" s="122" t="s">
        <v>311</v>
      </c>
      <c r="DB3517" s="122" t="s">
        <v>6748</v>
      </c>
      <c r="DC3517" s="122" t="s">
        <v>1704</v>
      </c>
      <c r="DD3517" s="127">
        <v>3</v>
      </c>
      <c r="DE3517" s="127">
        <v>3</v>
      </c>
      <c r="DG3517" s="405" t="s">
        <v>311</v>
      </c>
      <c r="DH3517" s="406" t="s">
        <v>1704</v>
      </c>
      <c r="DI3517" s="406" t="str">
        <f t="shared" si="86"/>
        <v>PR, Santa Helena</v>
      </c>
      <c r="DJ3517" s="406">
        <v>-24.86</v>
      </c>
      <c r="DK3517" s="80">
        <v>-54.332999999999998</v>
      </c>
      <c r="DL3517" s="80">
        <v>258</v>
      </c>
      <c r="DM3517" s="64">
        <v>3</v>
      </c>
      <c r="DN3517" s="406" t="s">
        <v>7284</v>
      </c>
      <c r="DO3517" s="406">
        <v>-24.56</v>
      </c>
      <c r="DP3517" s="80">
        <v>392</v>
      </c>
    </row>
    <row r="3518" spans="29:120" x14ac:dyDescent="0.25">
      <c r="AC3518" s="122" t="s">
        <v>376</v>
      </c>
      <c r="AD3518" s="122" t="s">
        <v>3820</v>
      </c>
      <c r="AE3518" s="127">
        <v>6</v>
      </c>
      <c r="DA3518" s="122" t="s">
        <v>311</v>
      </c>
      <c r="DB3518" s="122" t="s">
        <v>6359</v>
      </c>
      <c r="DC3518" s="122" t="s">
        <v>1814</v>
      </c>
      <c r="DD3518" s="127">
        <v>3</v>
      </c>
      <c r="DE3518" s="127">
        <v>3</v>
      </c>
      <c r="DG3518" s="405" t="s">
        <v>311</v>
      </c>
      <c r="DH3518" s="406" t="s">
        <v>1814</v>
      </c>
      <c r="DI3518" s="406" t="str">
        <f t="shared" si="86"/>
        <v>PR, Santa Inês</v>
      </c>
      <c r="DJ3518" s="406">
        <v>-22.638000000000002</v>
      </c>
      <c r="DK3518" s="80">
        <v>-51.902999999999999</v>
      </c>
      <c r="DL3518" s="80">
        <v>360</v>
      </c>
      <c r="DM3518" s="64">
        <v>3</v>
      </c>
      <c r="DN3518" s="406" t="s">
        <v>7264</v>
      </c>
      <c r="DO3518" s="406">
        <v>-22.49</v>
      </c>
      <c r="DP3518" s="80">
        <v>311</v>
      </c>
    </row>
    <row r="3519" spans="29:120" x14ac:dyDescent="0.25">
      <c r="AC3519" s="122" t="s">
        <v>376</v>
      </c>
      <c r="AD3519" s="122" t="s">
        <v>3821</v>
      </c>
      <c r="AE3519" s="127">
        <v>4</v>
      </c>
      <c r="DA3519" s="122" t="s">
        <v>311</v>
      </c>
      <c r="DB3519" s="122" t="s">
        <v>7972</v>
      </c>
      <c r="DC3519" s="122" t="s">
        <v>3250</v>
      </c>
      <c r="DD3519" s="127">
        <v>3</v>
      </c>
      <c r="DE3519" s="127">
        <v>3</v>
      </c>
      <c r="DG3519" s="405" t="s">
        <v>311</v>
      </c>
      <c r="DH3519" s="406" t="s">
        <v>3250</v>
      </c>
      <c r="DI3519" s="406" t="str">
        <f t="shared" si="86"/>
        <v>PR, Santa Isabel do Ivaí</v>
      </c>
      <c r="DJ3519" s="406">
        <v>-23.003</v>
      </c>
      <c r="DK3519" s="80">
        <v>-53.197000000000003</v>
      </c>
      <c r="DL3519" s="80">
        <v>424</v>
      </c>
      <c r="DM3519" s="64">
        <v>3</v>
      </c>
      <c r="DN3519" s="406" t="s">
        <v>7820</v>
      </c>
      <c r="DO3519" s="406">
        <v>-23.36</v>
      </c>
      <c r="DP3519" s="80">
        <v>381</v>
      </c>
    </row>
    <row r="3520" spans="29:120" x14ac:dyDescent="0.25">
      <c r="AC3520" s="122" t="s">
        <v>311</v>
      </c>
      <c r="AD3520" s="122" t="s">
        <v>3822</v>
      </c>
      <c r="AE3520" s="127">
        <v>3</v>
      </c>
      <c r="DA3520" s="122" t="s">
        <v>311</v>
      </c>
      <c r="DB3520" s="122" t="s">
        <v>7973</v>
      </c>
      <c r="DC3520" s="122" t="s">
        <v>3610</v>
      </c>
      <c r="DD3520" s="127">
        <v>2</v>
      </c>
      <c r="DE3520" s="127">
        <v>2</v>
      </c>
      <c r="DG3520" s="405" t="s">
        <v>311</v>
      </c>
      <c r="DH3520" s="406" t="s">
        <v>3610</v>
      </c>
      <c r="DI3520" s="406" t="str">
        <f t="shared" si="86"/>
        <v>PR, Santa Izabel do Oeste</v>
      </c>
      <c r="DJ3520" s="406">
        <v>-25.821000000000002</v>
      </c>
      <c r="DK3520" s="80">
        <v>-53.484000000000002</v>
      </c>
      <c r="DL3520" s="80">
        <v>518</v>
      </c>
      <c r="DM3520" s="64">
        <v>2</v>
      </c>
      <c r="DN3520" s="406" t="s">
        <v>7821</v>
      </c>
      <c r="DO3520" s="406">
        <v>-25.72</v>
      </c>
      <c r="DP3520" s="80">
        <v>346</v>
      </c>
    </row>
    <row r="3521" spans="29:120" x14ac:dyDescent="0.25">
      <c r="AC3521" s="122" t="s">
        <v>333</v>
      </c>
      <c r="AD3521" s="122" t="s">
        <v>3823</v>
      </c>
      <c r="AE3521" s="127">
        <v>4</v>
      </c>
      <c r="DA3521" s="122" t="s">
        <v>311</v>
      </c>
      <c r="DB3521" s="122" t="s">
        <v>7974</v>
      </c>
      <c r="DC3521" s="122" t="s">
        <v>470</v>
      </c>
      <c r="DD3521" s="127">
        <v>2</v>
      </c>
      <c r="DE3521" s="127">
        <v>2</v>
      </c>
      <c r="DG3521" s="405" t="s">
        <v>311</v>
      </c>
      <c r="DH3521" s="406" t="s">
        <v>470</v>
      </c>
      <c r="DI3521" s="406" t="str">
        <f t="shared" si="86"/>
        <v>PR, Santa Lúcia</v>
      </c>
      <c r="DJ3521" s="406">
        <v>-25.407</v>
      </c>
      <c r="DK3521" s="80">
        <v>-53.566000000000003</v>
      </c>
      <c r="DL3521" s="80">
        <v>441</v>
      </c>
      <c r="DM3521" s="64">
        <v>2</v>
      </c>
      <c r="DN3521" s="406" t="s">
        <v>7821</v>
      </c>
      <c r="DO3521" s="406">
        <v>-25.72</v>
      </c>
      <c r="DP3521" s="80">
        <v>346</v>
      </c>
    </row>
    <row r="3522" spans="29:120" x14ac:dyDescent="0.25">
      <c r="AC3522" s="122" t="s">
        <v>376</v>
      </c>
      <c r="AD3522" s="122" t="s">
        <v>3824</v>
      </c>
      <c r="AE3522" s="127">
        <v>6</v>
      </c>
      <c r="DA3522" s="122" t="s">
        <v>311</v>
      </c>
      <c r="DB3522" s="122" t="s">
        <v>7975</v>
      </c>
      <c r="DC3522" s="122" t="s">
        <v>447</v>
      </c>
      <c r="DD3522" s="127">
        <v>2</v>
      </c>
      <c r="DE3522" s="127">
        <v>2</v>
      </c>
      <c r="DG3522" s="405" t="s">
        <v>311</v>
      </c>
      <c r="DH3522" s="406" t="s">
        <v>447</v>
      </c>
      <c r="DI3522" s="406" t="str">
        <f t="shared" si="86"/>
        <v>PR, Santa Maria do Oeste</v>
      </c>
      <c r="DJ3522" s="406">
        <v>-24.939</v>
      </c>
      <c r="DK3522" s="80">
        <v>-51.863</v>
      </c>
      <c r="DL3522" s="80">
        <v>1049</v>
      </c>
      <c r="DM3522" s="64">
        <v>2</v>
      </c>
      <c r="DN3522" s="406" t="s">
        <v>7813</v>
      </c>
      <c r="DO3522" s="406">
        <v>-24.44</v>
      </c>
      <c r="DP3522" s="80">
        <v>654</v>
      </c>
    </row>
    <row r="3523" spans="29:120" x14ac:dyDescent="0.25">
      <c r="AC3523" s="122" t="s">
        <v>376</v>
      </c>
      <c r="AD3523" s="122" t="s">
        <v>3825</v>
      </c>
      <c r="AE3523" s="127">
        <v>6</v>
      </c>
      <c r="DA3523" s="122" t="s">
        <v>311</v>
      </c>
      <c r="DB3523" s="122" t="s">
        <v>7976</v>
      </c>
      <c r="DC3523" s="122" t="s">
        <v>3616</v>
      </c>
      <c r="DD3523" s="127">
        <v>3</v>
      </c>
      <c r="DE3523" s="127">
        <v>3</v>
      </c>
      <c r="DG3523" s="405" t="s">
        <v>311</v>
      </c>
      <c r="DH3523" s="406" t="s">
        <v>3616</v>
      </c>
      <c r="DI3523" s="406" t="str">
        <f t="shared" ref="DI3523:DI3586" si="87">CONCATENATE(DG3523,", ",DH3523)</f>
        <v>PR, Santa Mariana</v>
      </c>
      <c r="DJ3523" s="406">
        <v>-23.151</v>
      </c>
      <c r="DK3523" s="80">
        <v>-50.518999999999998</v>
      </c>
      <c r="DL3523" s="80">
        <v>455</v>
      </c>
      <c r="DM3523" s="64">
        <v>3</v>
      </c>
      <c r="DN3523" s="406" t="s">
        <v>7806</v>
      </c>
      <c r="DO3523" s="406">
        <v>-23.43</v>
      </c>
      <c r="DP3523" s="80">
        <v>668</v>
      </c>
    </row>
    <row r="3524" spans="29:120" x14ac:dyDescent="0.25">
      <c r="AC3524" s="122" t="s">
        <v>376</v>
      </c>
      <c r="AD3524" s="122" t="s">
        <v>3826</v>
      </c>
      <c r="AE3524" s="127">
        <v>6</v>
      </c>
      <c r="DA3524" s="122" t="s">
        <v>311</v>
      </c>
      <c r="DB3524" s="122" t="s">
        <v>7977</v>
      </c>
      <c r="DC3524" s="122" t="s">
        <v>3244</v>
      </c>
      <c r="DD3524" s="127">
        <v>3</v>
      </c>
      <c r="DE3524" s="127">
        <v>3</v>
      </c>
      <c r="DG3524" s="405" t="s">
        <v>311</v>
      </c>
      <c r="DH3524" s="406" t="s">
        <v>3244</v>
      </c>
      <c r="DI3524" s="406" t="str">
        <f t="shared" si="87"/>
        <v>PR, Santa Mônica</v>
      </c>
      <c r="DJ3524" s="406">
        <v>-23.108000000000001</v>
      </c>
      <c r="DK3524" s="80">
        <v>-53.109000000000002</v>
      </c>
      <c r="DL3524" s="80">
        <v>382</v>
      </c>
      <c r="DM3524" s="64">
        <v>3</v>
      </c>
      <c r="DN3524" s="406" t="s">
        <v>7820</v>
      </c>
      <c r="DO3524" s="406">
        <v>-23.36</v>
      </c>
      <c r="DP3524" s="80">
        <v>381</v>
      </c>
    </row>
    <row r="3525" spans="29:120" x14ac:dyDescent="0.25">
      <c r="AC3525" s="122" t="s">
        <v>376</v>
      </c>
      <c r="AD3525" s="122" t="s">
        <v>3827</v>
      </c>
      <c r="AE3525" s="127">
        <v>4</v>
      </c>
      <c r="DA3525" s="122" t="s">
        <v>311</v>
      </c>
      <c r="DB3525" s="122" t="s">
        <v>7978</v>
      </c>
      <c r="DC3525" s="122" t="s">
        <v>746</v>
      </c>
      <c r="DD3525" s="127">
        <v>3</v>
      </c>
      <c r="DE3525" s="127">
        <v>3</v>
      </c>
      <c r="DG3525" s="405" t="s">
        <v>311</v>
      </c>
      <c r="DH3525" s="406" t="s">
        <v>746</v>
      </c>
      <c r="DI3525" s="406" t="str">
        <f t="shared" si="87"/>
        <v>PR, Santa Tereza do Oeste</v>
      </c>
      <c r="DJ3525" s="406">
        <v>-25.052</v>
      </c>
      <c r="DK3525" s="80">
        <v>-53.633000000000003</v>
      </c>
      <c r="DL3525" s="80">
        <v>749</v>
      </c>
      <c r="DM3525" s="64">
        <v>3</v>
      </c>
      <c r="DN3525" s="406" t="s">
        <v>7284</v>
      </c>
      <c r="DO3525" s="406">
        <v>-24.56</v>
      </c>
      <c r="DP3525" s="80">
        <v>392</v>
      </c>
    </row>
    <row r="3526" spans="29:120" x14ac:dyDescent="0.25">
      <c r="AC3526" s="122" t="s">
        <v>376</v>
      </c>
      <c r="AD3526" s="122" t="s">
        <v>3828</v>
      </c>
      <c r="AE3526" s="127">
        <v>4</v>
      </c>
      <c r="DA3526" s="122" t="s">
        <v>311</v>
      </c>
      <c r="DB3526" s="122" t="s">
        <v>7979</v>
      </c>
      <c r="DC3526" s="122" t="s">
        <v>3105</v>
      </c>
      <c r="DD3526" s="127">
        <v>3</v>
      </c>
      <c r="DE3526" s="127">
        <v>3</v>
      </c>
      <c r="DG3526" s="405" t="s">
        <v>311</v>
      </c>
      <c r="DH3526" s="406" t="s">
        <v>3105</v>
      </c>
      <c r="DI3526" s="406" t="str">
        <f t="shared" si="87"/>
        <v>PR, Santa Terezinha de Itaipu</v>
      </c>
      <c r="DJ3526" s="406">
        <v>-25.446999999999999</v>
      </c>
      <c r="DK3526" s="80">
        <v>-54.401000000000003</v>
      </c>
      <c r="DL3526" s="80">
        <v>218</v>
      </c>
      <c r="DM3526" s="64">
        <v>3</v>
      </c>
      <c r="DN3526" s="406" t="s">
        <v>7889</v>
      </c>
      <c r="DO3526" s="406">
        <v>-25.6</v>
      </c>
      <c r="DP3526" s="80">
        <v>231</v>
      </c>
    </row>
    <row r="3527" spans="29:120" x14ac:dyDescent="0.25">
      <c r="AC3527" s="122" t="s">
        <v>376</v>
      </c>
      <c r="AD3527" s="122" t="s">
        <v>3829</v>
      </c>
      <c r="AE3527" s="127">
        <v>6</v>
      </c>
      <c r="DA3527" s="122" t="s">
        <v>311</v>
      </c>
      <c r="DB3527" s="122" t="s">
        <v>7980</v>
      </c>
      <c r="DC3527" s="122" t="s">
        <v>954</v>
      </c>
      <c r="DD3527" s="127">
        <v>3</v>
      </c>
      <c r="DE3527" s="127">
        <v>3</v>
      </c>
      <c r="DG3527" s="405" t="s">
        <v>311</v>
      </c>
      <c r="DH3527" s="406" t="s">
        <v>954</v>
      </c>
      <c r="DI3527" s="406" t="str">
        <f t="shared" si="87"/>
        <v>PR, Santana do Itararé</v>
      </c>
      <c r="DJ3527" s="406">
        <v>-23.754999999999999</v>
      </c>
      <c r="DK3527" s="80">
        <v>-49.628999999999998</v>
      </c>
      <c r="DL3527" s="80">
        <v>545</v>
      </c>
      <c r="DM3527" s="64">
        <v>3</v>
      </c>
      <c r="DN3527" s="406" t="s">
        <v>7859</v>
      </c>
      <c r="DO3527" s="406">
        <v>-23.5</v>
      </c>
      <c r="DP3527" s="80">
        <v>522</v>
      </c>
    </row>
    <row r="3528" spans="29:120" x14ac:dyDescent="0.25">
      <c r="AC3528" s="122" t="s">
        <v>376</v>
      </c>
      <c r="AD3528" s="122" t="s">
        <v>3830</v>
      </c>
      <c r="AE3528" s="127">
        <v>4</v>
      </c>
      <c r="DA3528" s="122" t="s">
        <v>311</v>
      </c>
      <c r="DB3528" s="122" t="s">
        <v>7981</v>
      </c>
      <c r="DC3528" s="122" t="s">
        <v>3268</v>
      </c>
      <c r="DD3528" s="127">
        <v>3</v>
      </c>
      <c r="DE3528" s="127">
        <v>3</v>
      </c>
      <c r="DG3528" s="405" t="s">
        <v>311</v>
      </c>
      <c r="DH3528" s="406" t="s">
        <v>3268</v>
      </c>
      <c r="DI3528" s="406" t="str">
        <f t="shared" si="87"/>
        <v>PR, Santo Antônio da Platina</v>
      </c>
      <c r="DJ3528" s="406">
        <v>-23.295000000000002</v>
      </c>
      <c r="DK3528" s="80">
        <v>-50.076999999999998</v>
      </c>
      <c r="DL3528" s="80">
        <v>505</v>
      </c>
      <c r="DM3528" s="64">
        <v>3</v>
      </c>
      <c r="DN3528" s="406" t="s">
        <v>7859</v>
      </c>
      <c r="DO3528" s="406">
        <v>-23.5</v>
      </c>
      <c r="DP3528" s="80">
        <v>522</v>
      </c>
    </row>
    <row r="3529" spans="29:120" x14ac:dyDescent="0.25">
      <c r="AC3529" s="122" t="s">
        <v>376</v>
      </c>
      <c r="AD3529" s="122" t="s">
        <v>3831</v>
      </c>
      <c r="AE3529" s="127">
        <v>4</v>
      </c>
      <c r="DA3529" s="122" t="s">
        <v>311</v>
      </c>
      <c r="DB3529" s="122" t="s">
        <v>7982</v>
      </c>
      <c r="DC3529" s="122" t="s">
        <v>3330</v>
      </c>
      <c r="DD3529" s="127">
        <v>3</v>
      </c>
      <c r="DE3529" s="127">
        <v>3</v>
      </c>
      <c r="DG3529" s="405" t="s">
        <v>311</v>
      </c>
      <c r="DH3529" s="406" t="s">
        <v>3330</v>
      </c>
      <c r="DI3529" s="406" t="str">
        <f t="shared" si="87"/>
        <v>PR, Santo Antônio do Caiuá</v>
      </c>
      <c r="DJ3529" s="406">
        <v>-22.734999999999999</v>
      </c>
      <c r="DK3529" s="80">
        <v>-52.341999999999999</v>
      </c>
      <c r="DL3529" s="80">
        <v>440</v>
      </c>
      <c r="DM3529" s="64">
        <v>3</v>
      </c>
      <c r="DN3529" s="406" t="s">
        <v>7264</v>
      </c>
      <c r="DO3529" s="406">
        <v>-22.49</v>
      </c>
      <c r="DP3529" s="80">
        <v>311</v>
      </c>
    </row>
    <row r="3530" spans="29:120" x14ac:dyDescent="0.25">
      <c r="AC3530" s="122" t="s">
        <v>376</v>
      </c>
      <c r="AD3530" s="122" t="s">
        <v>3832</v>
      </c>
      <c r="AE3530" s="127">
        <v>6</v>
      </c>
      <c r="DA3530" s="122" t="s">
        <v>311</v>
      </c>
      <c r="DB3530" s="122" t="s">
        <v>7983</v>
      </c>
      <c r="DC3530" s="122" t="s">
        <v>3406</v>
      </c>
      <c r="DD3530" s="127">
        <v>2</v>
      </c>
      <c r="DE3530" s="127">
        <v>2</v>
      </c>
      <c r="DG3530" s="405" t="s">
        <v>311</v>
      </c>
      <c r="DH3530" s="406" t="s">
        <v>3406</v>
      </c>
      <c r="DI3530" s="406" t="str">
        <f t="shared" si="87"/>
        <v>PR, Santo Antônio do Paraíso</v>
      </c>
      <c r="DJ3530" s="406">
        <v>-23.494</v>
      </c>
      <c r="DK3530" s="80">
        <v>-50.646000000000001</v>
      </c>
      <c r="DL3530" s="80">
        <v>655</v>
      </c>
      <c r="DM3530" s="64">
        <v>2</v>
      </c>
      <c r="DN3530" s="406" t="s">
        <v>7806</v>
      </c>
      <c r="DO3530" s="406">
        <v>-23.43</v>
      </c>
      <c r="DP3530" s="80">
        <v>668</v>
      </c>
    </row>
    <row r="3531" spans="29:120" x14ac:dyDescent="0.25">
      <c r="AC3531" s="122" t="s">
        <v>376</v>
      </c>
      <c r="AD3531" s="122" t="s">
        <v>3833</v>
      </c>
      <c r="AE3531" s="127">
        <v>4</v>
      </c>
      <c r="DA3531" s="122" t="s">
        <v>311</v>
      </c>
      <c r="DB3531" s="122" t="s">
        <v>7984</v>
      </c>
      <c r="DC3531" s="122" t="s">
        <v>1571</v>
      </c>
      <c r="DD3531" s="127">
        <v>2</v>
      </c>
      <c r="DE3531" s="127">
        <v>2</v>
      </c>
      <c r="DG3531" s="405" t="s">
        <v>311</v>
      </c>
      <c r="DH3531" s="406" t="s">
        <v>1571</v>
      </c>
      <c r="DI3531" s="406" t="str">
        <f t="shared" si="87"/>
        <v>PR, Santo Antônio do Sudoeste</v>
      </c>
      <c r="DJ3531" s="406">
        <v>-26.07</v>
      </c>
      <c r="DK3531" s="80">
        <v>-53.722999999999999</v>
      </c>
      <c r="DL3531" s="80">
        <v>548</v>
      </c>
      <c r="DM3531" s="64">
        <v>2</v>
      </c>
      <c r="DN3531" s="406" t="s">
        <v>7833</v>
      </c>
      <c r="DO3531" s="406">
        <v>-26.29</v>
      </c>
      <c r="DP3531" s="80">
        <v>810</v>
      </c>
    </row>
    <row r="3532" spans="29:120" x14ac:dyDescent="0.25">
      <c r="AC3532" s="122" t="s">
        <v>376</v>
      </c>
      <c r="AD3532" s="122" t="s">
        <v>3834</v>
      </c>
      <c r="AE3532" s="127">
        <v>6</v>
      </c>
      <c r="DA3532" s="122" t="s">
        <v>311</v>
      </c>
      <c r="DB3532" s="122" t="s">
        <v>7985</v>
      </c>
      <c r="DC3532" s="122" t="s">
        <v>3660</v>
      </c>
      <c r="DD3532" s="127">
        <v>3</v>
      </c>
      <c r="DE3532" s="127">
        <v>3</v>
      </c>
      <c r="DG3532" s="405" t="s">
        <v>311</v>
      </c>
      <c r="DH3532" s="406" t="s">
        <v>3660</v>
      </c>
      <c r="DI3532" s="406" t="str">
        <f t="shared" si="87"/>
        <v>PR, Santo Inácio</v>
      </c>
      <c r="DJ3532" s="406">
        <v>-22.698</v>
      </c>
      <c r="DK3532" s="80">
        <v>-51.793999999999997</v>
      </c>
      <c r="DL3532" s="80">
        <v>370</v>
      </c>
      <c r="DM3532" s="64">
        <v>3</v>
      </c>
      <c r="DN3532" s="406" t="s">
        <v>7264</v>
      </c>
      <c r="DO3532" s="406">
        <v>-22.49</v>
      </c>
      <c r="DP3532" s="80">
        <v>311</v>
      </c>
    </row>
    <row r="3533" spans="29:120" x14ac:dyDescent="0.25">
      <c r="AC3533" s="122" t="s">
        <v>376</v>
      </c>
      <c r="AD3533" s="122" t="s">
        <v>3835</v>
      </c>
      <c r="AE3533" s="127">
        <v>5</v>
      </c>
      <c r="DA3533" s="122" t="s">
        <v>311</v>
      </c>
      <c r="DB3533" s="122" t="s">
        <v>7986</v>
      </c>
      <c r="DC3533" s="122" t="s">
        <v>3612</v>
      </c>
      <c r="DD3533" s="127">
        <v>4</v>
      </c>
      <c r="DE3533" s="127">
        <v>4</v>
      </c>
      <c r="DG3533" s="405" t="s">
        <v>311</v>
      </c>
      <c r="DH3533" s="406" t="s">
        <v>3612</v>
      </c>
      <c r="DI3533" s="406" t="str">
        <f t="shared" si="87"/>
        <v>PR, São Carlos do Ivaí</v>
      </c>
      <c r="DJ3533" s="406">
        <v>-23.315000000000001</v>
      </c>
      <c r="DK3533" s="80">
        <v>-52.475999999999999</v>
      </c>
      <c r="DL3533" s="80">
        <v>380</v>
      </c>
      <c r="DM3533" s="64">
        <v>4</v>
      </c>
      <c r="DN3533" s="406" t="s">
        <v>7820</v>
      </c>
      <c r="DO3533" s="406">
        <v>-23.36</v>
      </c>
      <c r="DP3533" s="80">
        <v>381</v>
      </c>
    </row>
    <row r="3534" spans="29:120" x14ac:dyDescent="0.25">
      <c r="AC3534" s="122" t="s">
        <v>376</v>
      </c>
      <c r="AD3534" s="122" t="s">
        <v>3836</v>
      </c>
      <c r="AE3534" s="127">
        <v>3</v>
      </c>
      <c r="DA3534" s="122" t="s">
        <v>311</v>
      </c>
      <c r="DB3534" s="122" t="s">
        <v>7987</v>
      </c>
      <c r="DC3534" s="122" t="s">
        <v>3381</v>
      </c>
      <c r="DD3534" s="127">
        <v>2</v>
      </c>
      <c r="DE3534" s="127">
        <v>2</v>
      </c>
      <c r="DG3534" s="405" t="s">
        <v>311</v>
      </c>
      <c r="DH3534" s="406" t="s">
        <v>3381</v>
      </c>
      <c r="DI3534" s="406" t="str">
        <f t="shared" si="87"/>
        <v>PR, São Jerônimo da Serra</v>
      </c>
      <c r="DJ3534" s="406">
        <v>-23.728000000000002</v>
      </c>
      <c r="DK3534" s="80">
        <v>-50.741</v>
      </c>
      <c r="DL3534" s="80">
        <v>976</v>
      </c>
      <c r="DM3534" s="64">
        <v>2</v>
      </c>
      <c r="DN3534" s="406" t="s">
        <v>7806</v>
      </c>
      <c r="DO3534" s="406">
        <v>-23.43</v>
      </c>
      <c r="DP3534" s="80">
        <v>668</v>
      </c>
    </row>
    <row r="3535" spans="29:120" x14ac:dyDescent="0.25">
      <c r="AC3535" s="122" t="s">
        <v>376</v>
      </c>
      <c r="AD3535" s="122" t="s">
        <v>3837</v>
      </c>
      <c r="AE3535" s="127">
        <v>4</v>
      </c>
      <c r="DA3535" s="122" t="s">
        <v>311</v>
      </c>
      <c r="DB3535" s="122" t="s">
        <v>7626</v>
      </c>
      <c r="DC3535" s="122" t="s">
        <v>778</v>
      </c>
      <c r="DD3535" s="127">
        <v>2</v>
      </c>
      <c r="DE3535" s="127">
        <v>2</v>
      </c>
      <c r="DG3535" s="405" t="s">
        <v>311</v>
      </c>
      <c r="DH3535" s="406" t="s">
        <v>778</v>
      </c>
      <c r="DI3535" s="406" t="str">
        <f t="shared" si="87"/>
        <v>PR, São João</v>
      </c>
      <c r="DJ3535" s="406">
        <v>-25.827999999999999</v>
      </c>
      <c r="DK3535" s="80">
        <v>-52.725000000000001</v>
      </c>
      <c r="DL3535" s="80">
        <v>750</v>
      </c>
      <c r="DM3535" s="64">
        <v>2</v>
      </c>
      <c r="DN3535" s="406" t="s">
        <v>7838</v>
      </c>
      <c r="DO3535" s="406">
        <v>-25.69</v>
      </c>
      <c r="DP3535" s="80">
        <v>520</v>
      </c>
    </row>
    <row r="3536" spans="29:120" x14ac:dyDescent="0.25">
      <c r="AC3536" s="122" t="s">
        <v>376</v>
      </c>
      <c r="AD3536" s="122" t="s">
        <v>3838</v>
      </c>
      <c r="AE3536" s="127">
        <v>6</v>
      </c>
      <c r="DA3536" s="122" t="s">
        <v>311</v>
      </c>
      <c r="DB3536" s="122" t="s">
        <v>7988</v>
      </c>
      <c r="DC3536" s="122" t="s">
        <v>3265</v>
      </c>
      <c r="DD3536" s="127">
        <v>3</v>
      </c>
      <c r="DE3536" s="127">
        <v>3</v>
      </c>
      <c r="DG3536" s="405" t="s">
        <v>311</v>
      </c>
      <c r="DH3536" s="406" t="s">
        <v>3265</v>
      </c>
      <c r="DI3536" s="406" t="str">
        <f t="shared" si="87"/>
        <v>PR, São João do Caiuá</v>
      </c>
      <c r="DJ3536" s="406">
        <v>-22.852</v>
      </c>
      <c r="DK3536" s="80">
        <v>-52.337000000000003</v>
      </c>
      <c r="DL3536" s="80">
        <v>410</v>
      </c>
      <c r="DM3536" s="64">
        <v>3</v>
      </c>
      <c r="DN3536" s="406" t="s">
        <v>7264</v>
      </c>
      <c r="DO3536" s="406">
        <v>-22.49</v>
      </c>
      <c r="DP3536" s="80">
        <v>311</v>
      </c>
    </row>
    <row r="3537" spans="29:120" x14ac:dyDescent="0.25">
      <c r="AC3537" s="122" t="s">
        <v>376</v>
      </c>
      <c r="AD3537" s="122" t="s">
        <v>3839</v>
      </c>
      <c r="AE3537" s="127">
        <v>3</v>
      </c>
      <c r="DA3537" s="122" t="s">
        <v>311</v>
      </c>
      <c r="DB3537" s="122" t="s">
        <v>7989</v>
      </c>
      <c r="DC3537" s="122" t="s">
        <v>3143</v>
      </c>
      <c r="DD3537" s="127">
        <v>2</v>
      </c>
      <c r="DE3537" s="127">
        <v>2</v>
      </c>
      <c r="DG3537" s="405" t="s">
        <v>311</v>
      </c>
      <c r="DH3537" s="406" t="s">
        <v>3143</v>
      </c>
      <c r="DI3537" s="406" t="str">
        <f t="shared" si="87"/>
        <v>PR, São João do Ivaí</v>
      </c>
      <c r="DJ3537" s="406">
        <v>-23.98</v>
      </c>
      <c r="DK3537" s="80">
        <v>-51.817999999999998</v>
      </c>
      <c r="DL3537" s="80">
        <v>495</v>
      </c>
      <c r="DM3537" s="64">
        <v>2</v>
      </c>
      <c r="DN3537" s="406" t="s">
        <v>7813</v>
      </c>
      <c r="DO3537" s="406">
        <v>-24.44</v>
      </c>
      <c r="DP3537" s="80">
        <v>654</v>
      </c>
    </row>
    <row r="3538" spans="29:120" x14ac:dyDescent="0.25">
      <c r="AC3538" s="122" t="s">
        <v>376</v>
      </c>
      <c r="AD3538" s="122" t="s">
        <v>3840</v>
      </c>
      <c r="AE3538" s="127">
        <v>4</v>
      </c>
      <c r="DA3538" s="122" t="s">
        <v>311</v>
      </c>
      <c r="DB3538" s="122" t="s">
        <v>7990</v>
      </c>
      <c r="DC3538" s="122" t="s">
        <v>764</v>
      </c>
      <c r="DD3538" s="127">
        <v>2</v>
      </c>
      <c r="DE3538" s="127">
        <v>2</v>
      </c>
      <c r="DG3538" s="405" t="s">
        <v>311</v>
      </c>
      <c r="DH3538" s="406" t="s">
        <v>764</v>
      </c>
      <c r="DI3538" s="406" t="str">
        <f t="shared" si="87"/>
        <v>PR, São João do Triunfo</v>
      </c>
      <c r="DJ3538" s="406">
        <v>-25.683</v>
      </c>
      <c r="DK3538" s="80">
        <v>-50.296999999999997</v>
      </c>
      <c r="DL3538" s="80">
        <v>840</v>
      </c>
      <c r="DM3538" s="64">
        <v>2</v>
      </c>
      <c r="DN3538" s="406" t="s">
        <v>7895</v>
      </c>
      <c r="DO3538" s="406">
        <v>-25.57</v>
      </c>
      <c r="DP3538" s="80">
        <v>1260</v>
      </c>
    </row>
    <row r="3539" spans="29:120" x14ac:dyDescent="0.25">
      <c r="AC3539" s="122" t="s">
        <v>376</v>
      </c>
      <c r="AD3539" s="122" t="s">
        <v>3841</v>
      </c>
      <c r="AE3539" s="127">
        <v>3</v>
      </c>
      <c r="DA3539" s="122" t="s">
        <v>311</v>
      </c>
      <c r="DB3539" s="122" t="s">
        <v>7991</v>
      </c>
      <c r="DC3539" s="122" t="s">
        <v>3339</v>
      </c>
      <c r="DD3539" s="127">
        <v>4</v>
      </c>
      <c r="DE3539" s="127">
        <v>4</v>
      </c>
      <c r="DG3539" s="405" t="s">
        <v>311</v>
      </c>
      <c r="DH3539" s="406" t="s">
        <v>3339</v>
      </c>
      <c r="DI3539" s="406" t="str">
        <f t="shared" si="87"/>
        <v>PR, São Jorge do Ivaí</v>
      </c>
      <c r="DJ3539" s="406">
        <v>-23.433</v>
      </c>
      <c r="DK3539" s="80">
        <v>-52.292999999999999</v>
      </c>
      <c r="DL3539" s="80">
        <v>430</v>
      </c>
      <c r="DM3539" s="64">
        <v>4</v>
      </c>
      <c r="DN3539" s="406" t="s">
        <v>7816</v>
      </c>
      <c r="DO3539" s="406">
        <v>-23.42</v>
      </c>
      <c r="DP3539" s="80">
        <v>542</v>
      </c>
    </row>
    <row r="3540" spans="29:120" x14ac:dyDescent="0.25">
      <c r="AC3540" s="122" t="s">
        <v>376</v>
      </c>
      <c r="AD3540" s="122" t="s">
        <v>3842</v>
      </c>
      <c r="AE3540" s="127">
        <v>6</v>
      </c>
      <c r="DA3540" s="122" t="s">
        <v>311</v>
      </c>
      <c r="DB3540" s="122" t="s">
        <v>7992</v>
      </c>
      <c r="DC3540" s="122" t="s">
        <v>3587</v>
      </c>
      <c r="DD3540" s="127">
        <v>3</v>
      </c>
      <c r="DE3540" s="127">
        <v>3</v>
      </c>
      <c r="DG3540" s="405" t="s">
        <v>311</v>
      </c>
      <c r="DH3540" s="406" t="s">
        <v>3587</v>
      </c>
      <c r="DI3540" s="406" t="str">
        <f t="shared" si="87"/>
        <v>PR, São Jorge do Patrocínio</v>
      </c>
      <c r="DJ3540" s="406">
        <v>-23.741</v>
      </c>
      <c r="DK3540" s="80">
        <v>-53.927</v>
      </c>
      <c r="DL3540" s="80">
        <v>274</v>
      </c>
      <c r="DM3540" s="64">
        <v>3</v>
      </c>
      <c r="DN3540" s="406" t="s">
        <v>7281</v>
      </c>
      <c r="DO3540" s="406">
        <v>-23.4</v>
      </c>
      <c r="DP3540" s="80">
        <v>385</v>
      </c>
    </row>
    <row r="3541" spans="29:120" x14ac:dyDescent="0.25">
      <c r="AC3541" s="122" t="s">
        <v>376</v>
      </c>
      <c r="AD3541" s="122" t="s">
        <v>3843</v>
      </c>
      <c r="AE3541" s="127">
        <v>6</v>
      </c>
      <c r="DA3541" s="122" t="s">
        <v>311</v>
      </c>
      <c r="DB3541" s="122" t="s">
        <v>7993</v>
      </c>
      <c r="DC3541" s="122" t="s">
        <v>792</v>
      </c>
      <c r="DD3541" s="127">
        <v>2</v>
      </c>
      <c r="DE3541" s="127">
        <v>2</v>
      </c>
      <c r="DG3541" s="405" t="s">
        <v>311</v>
      </c>
      <c r="DH3541" s="406" t="s">
        <v>792</v>
      </c>
      <c r="DI3541" s="406" t="str">
        <f t="shared" si="87"/>
        <v>PR, São Jorge d'Oeste</v>
      </c>
      <c r="DJ3541" s="406">
        <v>-25.706</v>
      </c>
      <c r="DK3541" s="80">
        <v>-52.917999999999999</v>
      </c>
      <c r="DL3541" s="80">
        <v>541</v>
      </c>
      <c r="DM3541" s="64">
        <v>2</v>
      </c>
      <c r="DN3541" s="406" t="s">
        <v>7838</v>
      </c>
      <c r="DO3541" s="406">
        <v>-25.69</v>
      </c>
      <c r="DP3541" s="80">
        <v>520</v>
      </c>
    </row>
    <row r="3542" spans="29:120" x14ac:dyDescent="0.25">
      <c r="AC3542" s="122" t="s">
        <v>376</v>
      </c>
      <c r="AD3542" s="122" t="s">
        <v>3844</v>
      </c>
      <c r="AE3542" s="127">
        <v>5</v>
      </c>
      <c r="DA3542" s="122" t="s">
        <v>311</v>
      </c>
      <c r="DB3542" s="122" t="s">
        <v>7994</v>
      </c>
      <c r="DC3542" s="122" t="s">
        <v>908</v>
      </c>
      <c r="DD3542" s="127">
        <v>2</v>
      </c>
      <c r="DE3542" s="127">
        <v>2</v>
      </c>
      <c r="DG3542" s="405" t="s">
        <v>311</v>
      </c>
      <c r="DH3542" s="406" t="s">
        <v>908</v>
      </c>
      <c r="DI3542" s="406" t="str">
        <f t="shared" si="87"/>
        <v>PR, São José da Boa Vista</v>
      </c>
      <c r="DJ3542" s="406">
        <v>-23.916</v>
      </c>
      <c r="DK3542" s="80">
        <v>-49.652000000000001</v>
      </c>
      <c r="DL3542" s="80">
        <v>525</v>
      </c>
      <c r="DM3542" s="64">
        <v>2</v>
      </c>
      <c r="DN3542" s="406" t="s">
        <v>7859</v>
      </c>
      <c r="DO3542" s="406">
        <v>-23.5</v>
      </c>
      <c r="DP3542" s="80">
        <v>522</v>
      </c>
    </row>
    <row r="3543" spans="29:120" x14ac:dyDescent="0.25">
      <c r="AC3543" s="122" t="s">
        <v>376</v>
      </c>
      <c r="AD3543" s="122" t="s">
        <v>3845</v>
      </c>
      <c r="AE3543" s="127">
        <v>3</v>
      </c>
      <c r="DA3543" s="122" t="s">
        <v>311</v>
      </c>
      <c r="DB3543" s="122" t="s">
        <v>7995</v>
      </c>
      <c r="DC3543" s="122" t="s">
        <v>3198</v>
      </c>
      <c r="DD3543" s="127">
        <v>3</v>
      </c>
      <c r="DE3543" s="127">
        <v>3</v>
      </c>
      <c r="DG3543" s="405" t="s">
        <v>311</v>
      </c>
      <c r="DH3543" s="406" t="s">
        <v>3198</v>
      </c>
      <c r="DI3543" s="406" t="str">
        <f t="shared" si="87"/>
        <v>PR, São José das Palmeiras</v>
      </c>
      <c r="DJ3543" s="406">
        <v>-24.838000000000001</v>
      </c>
      <c r="DK3543" s="80">
        <v>-54.064</v>
      </c>
      <c r="DL3543" s="80">
        <v>530</v>
      </c>
      <c r="DM3543" s="64">
        <v>3</v>
      </c>
      <c r="DN3543" s="406" t="s">
        <v>7284</v>
      </c>
      <c r="DO3543" s="406">
        <v>-24.56</v>
      </c>
      <c r="DP3543" s="80">
        <v>392</v>
      </c>
    </row>
    <row r="3544" spans="29:120" x14ac:dyDescent="0.25">
      <c r="AC3544" s="122" t="s">
        <v>376</v>
      </c>
      <c r="AD3544" s="122" t="s">
        <v>3846</v>
      </c>
      <c r="AE3544" s="127">
        <v>3</v>
      </c>
      <c r="DA3544" s="122" t="s">
        <v>311</v>
      </c>
      <c r="DB3544" s="122" t="s">
        <v>7996</v>
      </c>
      <c r="DC3544" s="122" t="s">
        <v>502</v>
      </c>
      <c r="DD3544" s="127">
        <v>3</v>
      </c>
      <c r="DE3544" s="127">
        <v>3</v>
      </c>
      <c r="DG3544" s="405" t="s">
        <v>311</v>
      </c>
      <c r="DH3544" s="406" t="s">
        <v>502</v>
      </c>
      <c r="DI3544" s="406" t="str">
        <f t="shared" si="87"/>
        <v>PR, São José dos Pinhais</v>
      </c>
      <c r="DJ3544" s="406">
        <v>-25.535</v>
      </c>
      <c r="DK3544" s="80">
        <v>-49.206000000000003</v>
      </c>
      <c r="DL3544" s="80">
        <v>906</v>
      </c>
      <c r="DM3544" s="64">
        <v>3</v>
      </c>
      <c r="DN3544" s="406" t="s">
        <v>7811</v>
      </c>
      <c r="DO3544" s="406">
        <v>-25.43</v>
      </c>
      <c r="DP3544" s="80">
        <v>924</v>
      </c>
    </row>
    <row r="3545" spans="29:120" x14ac:dyDescent="0.25">
      <c r="AC3545" s="122" t="s">
        <v>376</v>
      </c>
      <c r="AD3545" s="122" t="s">
        <v>3847</v>
      </c>
      <c r="AE3545" s="127">
        <v>5</v>
      </c>
      <c r="DA3545" s="122" t="s">
        <v>311</v>
      </c>
      <c r="DB3545" s="122" t="s">
        <v>7997</v>
      </c>
      <c r="DC3545" s="122" t="s">
        <v>3607</v>
      </c>
      <c r="DD3545" s="127">
        <v>3</v>
      </c>
      <c r="DE3545" s="127">
        <v>3</v>
      </c>
      <c r="DG3545" s="405" t="s">
        <v>311</v>
      </c>
      <c r="DH3545" s="406" t="s">
        <v>3607</v>
      </c>
      <c r="DI3545" s="406" t="str">
        <f t="shared" si="87"/>
        <v>PR, São Manoel do Paraná</v>
      </c>
      <c r="DJ3545" s="406">
        <v>-23.402999999999999</v>
      </c>
      <c r="DK3545" s="80">
        <v>-52.643999999999998</v>
      </c>
      <c r="DL3545" s="80">
        <v>399</v>
      </c>
      <c r="DM3545" s="64">
        <v>3</v>
      </c>
      <c r="DN3545" s="406" t="s">
        <v>7820</v>
      </c>
      <c r="DO3545" s="406">
        <v>-23.36</v>
      </c>
      <c r="DP3545" s="80">
        <v>381</v>
      </c>
    </row>
    <row r="3546" spans="29:120" x14ac:dyDescent="0.25">
      <c r="AC3546" s="122" t="s">
        <v>376</v>
      </c>
      <c r="AD3546" s="122" t="s">
        <v>3848</v>
      </c>
      <c r="AE3546" s="127">
        <v>6</v>
      </c>
      <c r="DA3546" s="122" t="s">
        <v>311</v>
      </c>
      <c r="DB3546" s="122" t="s">
        <v>7998</v>
      </c>
      <c r="DC3546" s="122" t="s">
        <v>1573</v>
      </c>
      <c r="DD3546" s="127">
        <v>2</v>
      </c>
      <c r="DE3546" s="127">
        <v>2</v>
      </c>
      <c r="DG3546" s="405" t="s">
        <v>311</v>
      </c>
      <c r="DH3546" s="406" t="s">
        <v>1573</v>
      </c>
      <c r="DI3546" s="406" t="str">
        <f t="shared" si="87"/>
        <v>PR, São Mateus do Sul</v>
      </c>
      <c r="DJ3546" s="406">
        <v>-25.873999999999999</v>
      </c>
      <c r="DK3546" s="80">
        <v>-50.383000000000003</v>
      </c>
      <c r="DL3546" s="80">
        <v>835</v>
      </c>
      <c r="DM3546" s="64">
        <v>2</v>
      </c>
      <c r="DN3546" s="406" t="s">
        <v>7825</v>
      </c>
      <c r="DO3546" s="406">
        <v>-26.4</v>
      </c>
      <c r="DP3546" s="80">
        <v>808</v>
      </c>
    </row>
    <row r="3547" spans="29:120" x14ac:dyDescent="0.25">
      <c r="AC3547" s="122" t="s">
        <v>376</v>
      </c>
      <c r="AD3547" s="122" t="s">
        <v>3849</v>
      </c>
      <c r="AE3547" s="127">
        <v>6</v>
      </c>
      <c r="DA3547" s="122" t="s">
        <v>311</v>
      </c>
      <c r="DB3547" s="122" t="s">
        <v>7999</v>
      </c>
      <c r="DC3547" s="122" t="s">
        <v>3173</v>
      </c>
      <c r="DD3547" s="127">
        <v>3</v>
      </c>
      <c r="DE3547" s="127">
        <v>3</v>
      </c>
      <c r="DG3547" s="405" t="s">
        <v>311</v>
      </c>
      <c r="DH3547" s="406" t="s">
        <v>3173</v>
      </c>
      <c r="DI3547" s="406" t="str">
        <f t="shared" si="87"/>
        <v>PR, São Miguel do Iguaçu</v>
      </c>
      <c r="DJ3547" s="406">
        <v>-25.347999999999999</v>
      </c>
      <c r="DK3547" s="80">
        <v>-54.238</v>
      </c>
      <c r="DL3547" s="80">
        <v>312</v>
      </c>
      <c r="DM3547" s="64">
        <v>3</v>
      </c>
      <c r="DN3547" s="406" t="s">
        <v>7889</v>
      </c>
      <c r="DO3547" s="406">
        <v>-25.6</v>
      </c>
      <c r="DP3547" s="80">
        <v>231</v>
      </c>
    </row>
    <row r="3548" spans="29:120" x14ac:dyDescent="0.25">
      <c r="AC3548" s="122" t="s">
        <v>376</v>
      </c>
      <c r="AD3548" s="122" t="s">
        <v>2955</v>
      </c>
      <c r="AE3548" s="127">
        <v>4</v>
      </c>
      <c r="DA3548" s="122" t="s">
        <v>311</v>
      </c>
      <c r="DB3548" s="122" t="s">
        <v>8000</v>
      </c>
      <c r="DC3548" s="122" t="s">
        <v>795</v>
      </c>
      <c r="DD3548" s="127">
        <v>3</v>
      </c>
      <c r="DE3548" s="127">
        <v>3</v>
      </c>
      <c r="DG3548" s="405" t="s">
        <v>311</v>
      </c>
      <c r="DH3548" s="406" t="s">
        <v>795</v>
      </c>
      <c r="DI3548" s="406" t="str">
        <f t="shared" si="87"/>
        <v>PR, São Pedro do Iguaçu</v>
      </c>
      <c r="DJ3548" s="406">
        <v>-24.936</v>
      </c>
      <c r="DK3548" s="80">
        <v>-53.854999999999997</v>
      </c>
      <c r="DL3548" s="80">
        <v>555</v>
      </c>
      <c r="DM3548" s="64">
        <v>3</v>
      </c>
      <c r="DN3548" s="406" t="s">
        <v>7284</v>
      </c>
      <c r="DO3548" s="406">
        <v>-24.56</v>
      </c>
      <c r="DP3548" s="80">
        <v>392</v>
      </c>
    </row>
    <row r="3549" spans="29:120" x14ac:dyDescent="0.25">
      <c r="AC3549" s="122" t="s">
        <v>376</v>
      </c>
      <c r="AD3549" s="122" t="s">
        <v>3850</v>
      </c>
      <c r="AE3549" s="127">
        <v>3</v>
      </c>
      <c r="DA3549" s="122" t="s">
        <v>311</v>
      </c>
      <c r="DB3549" s="122" t="s">
        <v>8001</v>
      </c>
      <c r="DC3549" s="122" t="s">
        <v>3169</v>
      </c>
      <c r="DD3549" s="127">
        <v>2</v>
      </c>
      <c r="DE3549" s="127">
        <v>2</v>
      </c>
      <c r="DG3549" s="405" t="s">
        <v>311</v>
      </c>
      <c r="DH3549" s="406" t="s">
        <v>3169</v>
      </c>
      <c r="DI3549" s="406" t="str">
        <f t="shared" si="87"/>
        <v>PR, São Pedro do Ivaí</v>
      </c>
      <c r="DJ3549" s="406">
        <v>-23.864999999999998</v>
      </c>
      <c r="DK3549" s="80">
        <v>-51.856000000000002</v>
      </c>
      <c r="DL3549" s="80">
        <v>440</v>
      </c>
      <c r="DM3549" s="64">
        <v>2</v>
      </c>
      <c r="DN3549" s="406" t="s">
        <v>7816</v>
      </c>
      <c r="DO3549" s="406">
        <v>-23.42</v>
      </c>
      <c r="DP3549" s="80">
        <v>542</v>
      </c>
    </row>
    <row r="3550" spans="29:120" x14ac:dyDescent="0.25">
      <c r="AC3550" s="122" t="s">
        <v>376</v>
      </c>
      <c r="AD3550" s="122" t="s">
        <v>3851</v>
      </c>
      <c r="AE3550" s="127">
        <v>6</v>
      </c>
      <c r="DA3550" s="122" t="s">
        <v>311</v>
      </c>
      <c r="DB3550" s="122" t="s">
        <v>8002</v>
      </c>
      <c r="DC3550" s="122" t="s">
        <v>3276</v>
      </c>
      <c r="DD3550" s="127">
        <v>3</v>
      </c>
      <c r="DE3550" s="127">
        <v>3</v>
      </c>
      <c r="DG3550" s="405" t="s">
        <v>311</v>
      </c>
      <c r="DH3550" s="406" t="s">
        <v>3276</v>
      </c>
      <c r="DI3550" s="406" t="str">
        <f t="shared" si="87"/>
        <v>PR, São Pedro do Paraná</v>
      </c>
      <c r="DJ3550" s="406">
        <v>-22.824000000000002</v>
      </c>
      <c r="DK3550" s="80">
        <v>-53.22</v>
      </c>
      <c r="DL3550" s="80">
        <v>285</v>
      </c>
      <c r="DM3550" s="64">
        <v>3</v>
      </c>
      <c r="DN3550" s="406" t="s">
        <v>7257</v>
      </c>
      <c r="DO3550" s="406">
        <v>-22.64</v>
      </c>
      <c r="DP3550" s="80">
        <v>362</v>
      </c>
    </row>
    <row r="3551" spans="29:120" x14ac:dyDescent="0.25">
      <c r="AC3551" s="122" t="s">
        <v>333</v>
      </c>
      <c r="AD3551" s="122" t="s">
        <v>3852</v>
      </c>
      <c r="AE3551" s="127">
        <v>3</v>
      </c>
      <c r="DA3551" s="122" t="s">
        <v>311</v>
      </c>
      <c r="DB3551" s="122" t="s">
        <v>8003</v>
      </c>
      <c r="DC3551" s="122" t="s">
        <v>3413</v>
      </c>
      <c r="DD3551" s="127">
        <v>2</v>
      </c>
      <c r="DE3551" s="127">
        <v>2</v>
      </c>
      <c r="DG3551" s="405" t="s">
        <v>311</v>
      </c>
      <c r="DH3551" s="406" t="s">
        <v>3413</v>
      </c>
      <c r="DI3551" s="406" t="str">
        <f t="shared" si="87"/>
        <v>PR, São Sebastião da Amoreira</v>
      </c>
      <c r="DJ3551" s="406">
        <v>-23.465</v>
      </c>
      <c r="DK3551" s="80">
        <v>-50.761000000000003</v>
      </c>
      <c r="DL3551" s="80">
        <v>664</v>
      </c>
      <c r="DM3551" s="64">
        <v>2</v>
      </c>
      <c r="DN3551" s="406" t="s">
        <v>7806</v>
      </c>
      <c r="DO3551" s="406">
        <v>-23.43</v>
      </c>
      <c r="DP3551" s="80">
        <v>668</v>
      </c>
    </row>
    <row r="3552" spans="29:120" x14ac:dyDescent="0.25">
      <c r="AC3552" s="122" t="s">
        <v>376</v>
      </c>
      <c r="AD3552" s="122" t="s">
        <v>3853</v>
      </c>
      <c r="AE3552" s="127">
        <v>3</v>
      </c>
      <c r="DA3552" s="122" t="s">
        <v>311</v>
      </c>
      <c r="DB3552" s="122" t="s">
        <v>8004</v>
      </c>
      <c r="DC3552" s="122" t="s">
        <v>3609</v>
      </c>
      <c r="DD3552" s="127">
        <v>3</v>
      </c>
      <c r="DE3552" s="127">
        <v>3</v>
      </c>
      <c r="DG3552" s="405" t="s">
        <v>311</v>
      </c>
      <c r="DH3552" s="406" t="s">
        <v>3609</v>
      </c>
      <c r="DI3552" s="406" t="str">
        <f t="shared" si="87"/>
        <v>PR, São Tomé</v>
      </c>
      <c r="DJ3552" s="406">
        <v>-23.538</v>
      </c>
      <c r="DK3552" s="80">
        <v>-52.591000000000001</v>
      </c>
      <c r="DL3552" s="80">
        <v>465</v>
      </c>
      <c r="DM3552" s="64">
        <v>3</v>
      </c>
      <c r="DN3552" s="406" t="s">
        <v>7820</v>
      </c>
      <c r="DO3552" s="406">
        <v>-23.36</v>
      </c>
      <c r="DP3552" s="80">
        <v>381</v>
      </c>
    </row>
    <row r="3553" spans="29:120" x14ac:dyDescent="0.25">
      <c r="AC3553" s="122" t="s">
        <v>336</v>
      </c>
      <c r="AD3553" s="122" t="s">
        <v>3854</v>
      </c>
      <c r="AE3553" s="127">
        <v>3</v>
      </c>
      <c r="DA3553" s="122" t="s">
        <v>311</v>
      </c>
      <c r="DB3553" s="122" t="s">
        <v>555</v>
      </c>
      <c r="DC3553" s="122" t="s">
        <v>555</v>
      </c>
      <c r="DD3553" s="127">
        <v>2</v>
      </c>
      <c r="DE3553" s="127">
        <v>2</v>
      </c>
      <c r="DG3553" s="405" t="s">
        <v>311</v>
      </c>
      <c r="DH3553" s="406" t="s">
        <v>555</v>
      </c>
      <c r="DI3553" s="406" t="str">
        <f t="shared" si="87"/>
        <v>PR, Sapopema</v>
      </c>
      <c r="DJ3553" s="406">
        <v>-23.911000000000001</v>
      </c>
      <c r="DK3553" s="80">
        <v>-50.58</v>
      </c>
      <c r="DL3553" s="80">
        <v>759</v>
      </c>
      <c r="DM3553" s="64">
        <v>2</v>
      </c>
      <c r="DN3553" s="406" t="s">
        <v>7827</v>
      </c>
      <c r="DO3553" s="406">
        <v>-23.77</v>
      </c>
      <c r="DP3553" s="80">
        <v>930</v>
      </c>
    </row>
    <row r="3554" spans="29:120" x14ac:dyDescent="0.25">
      <c r="AC3554" s="122" t="s">
        <v>376</v>
      </c>
      <c r="AD3554" s="122" t="s">
        <v>3855</v>
      </c>
      <c r="AE3554" s="127">
        <v>3</v>
      </c>
      <c r="DA3554" s="122" t="s">
        <v>311</v>
      </c>
      <c r="DB3554" s="122" t="s">
        <v>1338</v>
      </c>
      <c r="DC3554" s="122" t="s">
        <v>1338</v>
      </c>
      <c r="DD3554" s="127">
        <v>3</v>
      </c>
      <c r="DE3554" s="127">
        <v>3</v>
      </c>
      <c r="DG3554" s="405" t="s">
        <v>311</v>
      </c>
      <c r="DH3554" s="406" t="s">
        <v>1338</v>
      </c>
      <c r="DI3554" s="406" t="str">
        <f t="shared" si="87"/>
        <v>PR, Sarandi</v>
      </c>
      <c r="DJ3554" s="406">
        <v>-23.443999999999999</v>
      </c>
      <c r="DK3554" s="80">
        <v>-51.874000000000002</v>
      </c>
      <c r="DL3554" s="80">
        <v>592</v>
      </c>
      <c r="DM3554" s="64">
        <v>3</v>
      </c>
      <c r="DN3554" s="406" t="s">
        <v>7816</v>
      </c>
      <c r="DO3554" s="406">
        <v>-23.42</v>
      </c>
      <c r="DP3554" s="80">
        <v>542</v>
      </c>
    </row>
    <row r="3555" spans="29:120" x14ac:dyDescent="0.25">
      <c r="AC3555" s="122" t="s">
        <v>311</v>
      </c>
      <c r="AD3555" s="122" t="s">
        <v>3856</v>
      </c>
      <c r="AE3555" s="127">
        <v>3</v>
      </c>
      <c r="DA3555" s="122" t="s">
        <v>311</v>
      </c>
      <c r="DB3555" s="122" t="s">
        <v>8005</v>
      </c>
      <c r="DC3555" s="122" t="s">
        <v>779</v>
      </c>
      <c r="DD3555" s="127">
        <v>2</v>
      </c>
      <c r="DE3555" s="127">
        <v>2</v>
      </c>
      <c r="DG3555" s="405" t="s">
        <v>311</v>
      </c>
      <c r="DH3555" s="406" t="s">
        <v>779</v>
      </c>
      <c r="DI3555" s="406" t="str">
        <f t="shared" si="87"/>
        <v>PR, Saudade do Iguaçu</v>
      </c>
      <c r="DJ3555" s="406">
        <v>-25.693999999999999</v>
      </c>
      <c r="DK3555" s="80">
        <v>-52.619</v>
      </c>
      <c r="DL3555" s="80">
        <v>650</v>
      </c>
      <c r="DM3555" s="64">
        <v>2</v>
      </c>
      <c r="DN3555" s="406" t="s">
        <v>7838</v>
      </c>
      <c r="DO3555" s="406">
        <v>-25.69</v>
      </c>
      <c r="DP3555" s="80">
        <v>520</v>
      </c>
    </row>
    <row r="3556" spans="29:120" x14ac:dyDescent="0.25">
      <c r="AC3556" s="122" t="s">
        <v>333</v>
      </c>
      <c r="AD3556" s="122" t="s">
        <v>3857</v>
      </c>
      <c r="AE3556" s="127">
        <v>3</v>
      </c>
      <c r="DA3556" s="122" t="s">
        <v>311</v>
      </c>
      <c r="DB3556" s="122" t="s">
        <v>865</v>
      </c>
      <c r="DC3556" s="122" t="s">
        <v>865</v>
      </c>
      <c r="DD3556" s="127">
        <v>2</v>
      </c>
      <c r="DE3556" s="127">
        <v>2</v>
      </c>
      <c r="DG3556" s="405" t="s">
        <v>311</v>
      </c>
      <c r="DH3556" s="406" t="s">
        <v>865</v>
      </c>
      <c r="DI3556" s="406" t="str">
        <f t="shared" si="87"/>
        <v>PR, Sengés</v>
      </c>
      <c r="DJ3556" s="406">
        <v>-24.113</v>
      </c>
      <c r="DK3556" s="80">
        <v>-49.463999999999999</v>
      </c>
      <c r="DL3556" s="80">
        <v>623</v>
      </c>
      <c r="DM3556" s="64">
        <v>2</v>
      </c>
      <c r="DN3556" s="406" t="s">
        <v>7807</v>
      </c>
      <c r="DO3556" s="406">
        <v>-23.98</v>
      </c>
      <c r="DP3556" s="80">
        <v>707</v>
      </c>
    </row>
    <row r="3557" spans="29:120" x14ac:dyDescent="0.25">
      <c r="AC3557" s="122" t="s">
        <v>376</v>
      </c>
      <c r="AD3557" s="122" t="s">
        <v>3858</v>
      </c>
      <c r="AE3557" s="127">
        <v>6</v>
      </c>
      <c r="DA3557" s="122" t="s">
        <v>311</v>
      </c>
      <c r="DB3557" s="122" t="s">
        <v>8006</v>
      </c>
      <c r="DC3557" s="122" t="s">
        <v>3178</v>
      </c>
      <c r="DD3557" s="127">
        <v>3</v>
      </c>
      <c r="DE3557" s="127">
        <v>3</v>
      </c>
      <c r="DG3557" s="405" t="s">
        <v>311</v>
      </c>
      <c r="DH3557" s="406" t="s">
        <v>3178</v>
      </c>
      <c r="DI3557" s="406" t="str">
        <f t="shared" si="87"/>
        <v>PR, Serranópolis do Iguaçu</v>
      </c>
      <c r="DJ3557" s="406">
        <v>-25.38</v>
      </c>
      <c r="DK3557" s="80">
        <v>-54.052</v>
      </c>
      <c r="DL3557" s="80">
        <v>320</v>
      </c>
      <c r="DM3557" s="64">
        <v>3</v>
      </c>
      <c r="DN3557" s="406" t="s">
        <v>7821</v>
      </c>
      <c r="DO3557" s="406">
        <v>-25.72</v>
      </c>
      <c r="DP3557" s="80">
        <v>346</v>
      </c>
    </row>
    <row r="3558" spans="29:120" x14ac:dyDescent="0.25">
      <c r="AC3558" s="122" t="s">
        <v>376</v>
      </c>
      <c r="AD3558" s="122" t="s">
        <v>3859</v>
      </c>
      <c r="AE3558" s="127">
        <v>4</v>
      </c>
      <c r="DA3558" s="122" t="s">
        <v>311</v>
      </c>
      <c r="DB3558" s="122" t="s">
        <v>3629</v>
      </c>
      <c r="DC3558" s="122" t="s">
        <v>3629</v>
      </c>
      <c r="DD3558" s="127">
        <v>3</v>
      </c>
      <c r="DE3558" s="127">
        <v>3</v>
      </c>
      <c r="DG3558" s="405" t="s">
        <v>311</v>
      </c>
      <c r="DH3558" s="406" t="s">
        <v>3629</v>
      </c>
      <c r="DI3558" s="406" t="str">
        <f t="shared" si="87"/>
        <v>PR, Sertaneja</v>
      </c>
      <c r="DJ3558" s="406">
        <v>-23.036999999999999</v>
      </c>
      <c r="DK3558" s="80">
        <v>-50.838000000000001</v>
      </c>
      <c r="DL3558" s="80">
        <v>401</v>
      </c>
      <c r="DM3558" s="64">
        <v>3</v>
      </c>
      <c r="DN3558" s="406" t="s">
        <v>7826</v>
      </c>
      <c r="DO3558" s="406">
        <v>-23.38</v>
      </c>
      <c r="DP3558" s="80">
        <v>566</v>
      </c>
    </row>
    <row r="3559" spans="29:120" x14ac:dyDescent="0.25">
      <c r="AC3559" s="122" t="s">
        <v>376</v>
      </c>
      <c r="AD3559" s="122" t="s">
        <v>3860</v>
      </c>
      <c r="AE3559" s="127">
        <v>6</v>
      </c>
      <c r="DA3559" s="122" t="s">
        <v>311</v>
      </c>
      <c r="DB3559" s="122" t="s">
        <v>3856</v>
      </c>
      <c r="DC3559" s="122" t="s">
        <v>3856</v>
      </c>
      <c r="DD3559" s="127">
        <v>3</v>
      </c>
      <c r="DE3559" s="127">
        <v>3</v>
      </c>
      <c r="DG3559" s="405" t="s">
        <v>311</v>
      </c>
      <c r="DH3559" s="406" t="s">
        <v>3856</v>
      </c>
      <c r="DI3559" s="406" t="str">
        <f t="shared" si="87"/>
        <v>PR, Sertanópolis</v>
      </c>
      <c r="DJ3559" s="406">
        <v>-23.059000000000001</v>
      </c>
      <c r="DK3559" s="80">
        <v>-51.036000000000001</v>
      </c>
      <c r="DL3559" s="80">
        <v>361</v>
      </c>
      <c r="DM3559" s="64">
        <v>3</v>
      </c>
      <c r="DN3559" s="406" t="s">
        <v>7826</v>
      </c>
      <c r="DO3559" s="406">
        <v>-23.38</v>
      </c>
      <c r="DP3559" s="80">
        <v>566</v>
      </c>
    </row>
    <row r="3560" spans="29:120" x14ac:dyDescent="0.25">
      <c r="AC3560" s="122" t="s">
        <v>333</v>
      </c>
      <c r="AD3560" s="122" t="s">
        <v>3861</v>
      </c>
      <c r="AE3560" s="127">
        <v>3</v>
      </c>
      <c r="DA3560" s="122" t="s">
        <v>311</v>
      </c>
      <c r="DB3560" s="122" t="s">
        <v>8007</v>
      </c>
      <c r="DC3560" s="122" t="s">
        <v>925</v>
      </c>
      <c r="DD3560" s="127">
        <v>3</v>
      </c>
      <c r="DE3560" s="127">
        <v>3</v>
      </c>
      <c r="DG3560" s="405" t="s">
        <v>311</v>
      </c>
      <c r="DH3560" s="406" t="s">
        <v>925</v>
      </c>
      <c r="DI3560" s="406" t="str">
        <f t="shared" si="87"/>
        <v>PR, Siqueira Campos</v>
      </c>
      <c r="DJ3560" s="406">
        <v>-23.689</v>
      </c>
      <c r="DK3560" s="80">
        <v>-49.834000000000003</v>
      </c>
      <c r="DL3560" s="80">
        <v>675</v>
      </c>
      <c r="DM3560" s="64">
        <v>3</v>
      </c>
      <c r="DN3560" s="406" t="s">
        <v>7859</v>
      </c>
      <c r="DO3560" s="406">
        <v>-23.5</v>
      </c>
      <c r="DP3560" s="80">
        <v>522</v>
      </c>
    </row>
    <row r="3561" spans="29:120" x14ac:dyDescent="0.25">
      <c r="AC3561" s="122" t="s">
        <v>333</v>
      </c>
      <c r="AD3561" s="122" t="s">
        <v>3862</v>
      </c>
      <c r="AE3561" s="127">
        <v>4</v>
      </c>
      <c r="DA3561" s="122" t="s">
        <v>311</v>
      </c>
      <c r="DB3561" s="122" t="s">
        <v>784</v>
      </c>
      <c r="DC3561" s="122" t="s">
        <v>784</v>
      </c>
      <c r="DD3561" s="127">
        <v>2</v>
      </c>
      <c r="DE3561" s="127">
        <v>2</v>
      </c>
      <c r="DG3561" s="405" t="s">
        <v>311</v>
      </c>
      <c r="DH3561" s="406" t="s">
        <v>784</v>
      </c>
      <c r="DI3561" s="406" t="str">
        <f t="shared" si="87"/>
        <v>PR, Sulina</v>
      </c>
      <c r="DJ3561" s="406">
        <v>-25.702000000000002</v>
      </c>
      <c r="DK3561" s="80">
        <v>-52.722000000000001</v>
      </c>
      <c r="DL3561" s="80">
        <v>470</v>
      </c>
      <c r="DM3561" s="64">
        <v>2</v>
      </c>
      <c r="DN3561" s="406" t="s">
        <v>7838</v>
      </c>
      <c r="DO3561" s="406">
        <v>-25.69</v>
      </c>
      <c r="DP3561" s="80">
        <v>520</v>
      </c>
    </row>
    <row r="3562" spans="29:120" x14ac:dyDescent="0.25">
      <c r="AC3562" s="122" t="s">
        <v>333</v>
      </c>
      <c r="AD3562" s="122" t="s">
        <v>3863</v>
      </c>
      <c r="AE3562" s="127">
        <v>2</v>
      </c>
      <c r="DA3562" s="122" t="s">
        <v>311</v>
      </c>
      <c r="DB3562" s="122" t="s">
        <v>3367</v>
      </c>
      <c r="DC3562" s="122" t="s">
        <v>3367</v>
      </c>
      <c r="DD3562" s="127">
        <v>3</v>
      </c>
      <c r="DE3562" s="127">
        <v>3</v>
      </c>
      <c r="DG3562" s="405" t="s">
        <v>311</v>
      </c>
      <c r="DH3562" s="406" t="s">
        <v>3367</v>
      </c>
      <c r="DI3562" s="406" t="str">
        <f t="shared" si="87"/>
        <v>PR, Tamarana</v>
      </c>
      <c r="DJ3562" s="406">
        <v>-23.722999999999999</v>
      </c>
      <c r="DK3562" s="80">
        <v>-51.097000000000001</v>
      </c>
      <c r="DL3562" s="80">
        <v>753</v>
      </c>
      <c r="DM3562" s="64">
        <v>3</v>
      </c>
      <c r="DN3562" s="406" t="s">
        <v>7826</v>
      </c>
      <c r="DO3562" s="406">
        <v>-23.38</v>
      </c>
      <c r="DP3562" s="80">
        <v>566</v>
      </c>
    </row>
    <row r="3563" spans="29:120" x14ac:dyDescent="0.25">
      <c r="AC3563" s="122" t="s">
        <v>376</v>
      </c>
      <c r="AD3563" s="122" t="s">
        <v>3864</v>
      </c>
      <c r="AE3563" s="127">
        <v>3</v>
      </c>
      <c r="DA3563" s="122" t="s">
        <v>311</v>
      </c>
      <c r="DB3563" s="122" t="s">
        <v>3200</v>
      </c>
      <c r="DC3563" s="122" t="s">
        <v>3200</v>
      </c>
      <c r="DD3563" s="127">
        <v>4</v>
      </c>
      <c r="DE3563" s="127">
        <v>4</v>
      </c>
      <c r="DG3563" s="405" t="s">
        <v>311</v>
      </c>
      <c r="DH3563" s="406" t="s">
        <v>3200</v>
      </c>
      <c r="DI3563" s="406" t="str">
        <f t="shared" si="87"/>
        <v>PR, Tamboara</v>
      </c>
      <c r="DJ3563" s="406">
        <v>-23.2</v>
      </c>
      <c r="DK3563" s="80">
        <v>-52.469000000000001</v>
      </c>
      <c r="DL3563" s="80">
        <v>340</v>
      </c>
      <c r="DM3563" s="64">
        <v>4</v>
      </c>
      <c r="DN3563" s="406" t="s">
        <v>7820</v>
      </c>
      <c r="DO3563" s="406">
        <v>-23.36</v>
      </c>
      <c r="DP3563" s="80">
        <v>381</v>
      </c>
    </row>
    <row r="3564" spans="29:120" x14ac:dyDescent="0.25">
      <c r="AC3564" s="122" t="s">
        <v>376</v>
      </c>
      <c r="AD3564" s="122" t="s">
        <v>3865</v>
      </c>
      <c r="AE3564" s="127">
        <v>3</v>
      </c>
      <c r="DA3564" s="122" t="s">
        <v>311</v>
      </c>
      <c r="DB3564" s="122" t="s">
        <v>1667</v>
      </c>
      <c r="DC3564" s="122" t="s">
        <v>1667</v>
      </c>
      <c r="DD3564" s="127">
        <v>3</v>
      </c>
      <c r="DE3564" s="127">
        <v>3</v>
      </c>
      <c r="DG3564" s="405" t="s">
        <v>311</v>
      </c>
      <c r="DH3564" s="406" t="s">
        <v>1667</v>
      </c>
      <c r="DI3564" s="406" t="str">
        <f t="shared" si="87"/>
        <v>PR, Tapejara</v>
      </c>
      <c r="DJ3564" s="406">
        <v>-23.733000000000001</v>
      </c>
      <c r="DK3564" s="80">
        <v>-52.872999999999998</v>
      </c>
      <c r="DL3564" s="80">
        <v>515</v>
      </c>
      <c r="DM3564" s="64">
        <v>3</v>
      </c>
      <c r="DN3564" s="406" t="s">
        <v>7820</v>
      </c>
      <c r="DO3564" s="406">
        <v>-23.36</v>
      </c>
      <c r="DP3564" s="80">
        <v>381</v>
      </c>
    </row>
    <row r="3565" spans="29:120" x14ac:dyDescent="0.25">
      <c r="AC3565" s="122" t="s">
        <v>376</v>
      </c>
      <c r="AD3565" s="122" t="s">
        <v>3866</v>
      </c>
      <c r="AE3565" s="127">
        <v>6</v>
      </c>
      <c r="DA3565" s="122" t="s">
        <v>311</v>
      </c>
      <c r="DB3565" s="122" t="s">
        <v>2331</v>
      </c>
      <c r="DC3565" s="122" t="s">
        <v>2331</v>
      </c>
      <c r="DD3565" s="127">
        <v>3</v>
      </c>
      <c r="DE3565" s="127">
        <v>3</v>
      </c>
      <c r="DG3565" s="405" t="s">
        <v>311</v>
      </c>
      <c r="DH3565" s="406" t="s">
        <v>2331</v>
      </c>
      <c r="DI3565" s="406" t="str">
        <f t="shared" si="87"/>
        <v>PR, Tapira</v>
      </c>
      <c r="DJ3565" s="406">
        <v>-23.323</v>
      </c>
      <c r="DK3565" s="80">
        <v>-53.067999999999998</v>
      </c>
      <c r="DL3565" s="80">
        <v>370</v>
      </c>
      <c r="DM3565" s="64">
        <v>3</v>
      </c>
      <c r="DN3565" s="406" t="s">
        <v>7820</v>
      </c>
      <c r="DO3565" s="406">
        <v>-23.36</v>
      </c>
      <c r="DP3565" s="80">
        <v>381</v>
      </c>
    </row>
    <row r="3566" spans="29:120" x14ac:dyDescent="0.25">
      <c r="AC3566" s="122" t="s">
        <v>376</v>
      </c>
      <c r="AD3566" s="122" t="s">
        <v>3867</v>
      </c>
      <c r="AE3566" s="127">
        <v>3</v>
      </c>
      <c r="DA3566" s="122" t="s">
        <v>311</v>
      </c>
      <c r="DB3566" s="122" t="s">
        <v>8008</v>
      </c>
      <c r="DC3566" s="122" t="s">
        <v>817</v>
      </c>
      <c r="DD3566" s="127">
        <v>2</v>
      </c>
      <c r="DE3566" s="127">
        <v>2</v>
      </c>
      <c r="DG3566" s="405" t="s">
        <v>311</v>
      </c>
      <c r="DH3566" s="406" t="s">
        <v>817</v>
      </c>
      <c r="DI3566" s="406" t="str">
        <f t="shared" si="87"/>
        <v>PR, Teixeira Soares</v>
      </c>
      <c r="DJ3566" s="406">
        <v>-25.367999999999999</v>
      </c>
      <c r="DK3566" s="80">
        <v>-50.460999999999999</v>
      </c>
      <c r="DL3566" s="80">
        <v>902</v>
      </c>
      <c r="DM3566" s="64">
        <v>2</v>
      </c>
      <c r="DN3566" s="406" t="s">
        <v>7885</v>
      </c>
      <c r="DO3566" s="406">
        <v>-25.01</v>
      </c>
      <c r="DP3566" s="80">
        <v>808</v>
      </c>
    </row>
    <row r="3567" spans="29:120" x14ac:dyDescent="0.25">
      <c r="AC3567" s="122" t="s">
        <v>376</v>
      </c>
      <c r="AD3567" s="122" t="s">
        <v>3868</v>
      </c>
      <c r="AE3567" s="127">
        <v>6</v>
      </c>
      <c r="DA3567" s="122" t="s">
        <v>311</v>
      </c>
      <c r="DB3567" s="122" t="s">
        <v>8009</v>
      </c>
      <c r="DC3567" s="122" t="s">
        <v>854</v>
      </c>
      <c r="DD3567" s="127">
        <v>2</v>
      </c>
      <c r="DE3567" s="127">
        <v>2</v>
      </c>
      <c r="DG3567" s="405" t="s">
        <v>311</v>
      </c>
      <c r="DH3567" s="406" t="s">
        <v>854</v>
      </c>
      <c r="DI3567" s="406" t="str">
        <f t="shared" si="87"/>
        <v>PR, Telêmaco Borba</v>
      </c>
      <c r="DJ3567" s="406">
        <v>-24.324000000000002</v>
      </c>
      <c r="DK3567" s="80">
        <v>-50.616</v>
      </c>
      <c r="DL3567" s="80">
        <v>700</v>
      </c>
      <c r="DM3567" s="64">
        <v>2</v>
      </c>
      <c r="DN3567" s="406" t="s">
        <v>7827</v>
      </c>
      <c r="DO3567" s="406">
        <v>-23.77</v>
      </c>
      <c r="DP3567" s="80">
        <v>930</v>
      </c>
    </row>
    <row r="3568" spans="29:120" x14ac:dyDescent="0.25">
      <c r="AC3568" s="122" t="s">
        <v>376</v>
      </c>
      <c r="AD3568" s="122" t="s">
        <v>3869</v>
      </c>
      <c r="AE3568" s="127">
        <v>6</v>
      </c>
      <c r="DA3568" s="122" t="s">
        <v>311</v>
      </c>
      <c r="DB3568" s="122" t="s">
        <v>8010</v>
      </c>
      <c r="DC3568" s="122" t="s">
        <v>3212</v>
      </c>
      <c r="DD3568" s="127">
        <v>3</v>
      </c>
      <c r="DE3568" s="127">
        <v>3</v>
      </c>
      <c r="DG3568" s="405" t="s">
        <v>311</v>
      </c>
      <c r="DH3568" s="406" t="s">
        <v>3212</v>
      </c>
      <c r="DI3568" s="406" t="str">
        <f t="shared" si="87"/>
        <v>PR, Terra Boa</v>
      </c>
      <c r="DJ3568" s="406">
        <v>-23.768000000000001</v>
      </c>
      <c r="DK3568" s="80">
        <v>-52.444000000000003</v>
      </c>
      <c r="DL3568" s="80">
        <v>575</v>
      </c>
      <c r="DM3568" s="64">
        <v>3</v>
      </c>
      <c r="DN3568" s="406" t="s">
        <v>7816</v>
      </c>
      <c r="DO3568" s="406">
        <v>-23.42</v>
      </c>
      <c r="DP3568" s="80">
        <v>542</v>
      </c>
    </row>
    <row r="3569" spans="29:120" x14ac:dyDescent="0.25">
      <c r="AC3569" s="122" t="s">
        <v>376</v>
      </c>
      <c r="AD3569" s="122" t="s">
        <v>3870</v>
      </c>
      <c r="AE3569" s="127">
        <v>5</v>
      </c>
      <c r="DA3569" s="122" t="s">
        <v>311</v>
      </c>
      <c r="DB3569" s="122" t="s">
        <v>8011</v>
      </c>
      <c r="DC3569" s="122" t="s">
        <v>3340</v>
      </c>
      <c r="DD3569" s="127">
        <v>3</v>
      </c>
      <c r="DE3569" s="127">
        <v>3</v>
      </c>
      <c r="DG3569" s="405" t="s">
        <v>311</v>
      </c>
      <c r="DH3569" s="406" t="s">
        <v>3340</v>
      </c>
      <c r="DI3569" s="406" t="str">
        <f t="shared" si="87"/>
        <v>PR, Terra Rica</v>
      </c>
      <c r="DJ3569" s="406">
        <v>-22.709</v>
      </c>
      <c r="DK3569" s="80">
        <v>-52.616999999999997</v>
      </c>
      <c r="DL3569" s="80">
        <v>442</v>
      </c>
      <c r="DM3569" s="64">
        <v>3</v>
      </c>
      <c r="DN3569" s="406" t="s">
        <v>7257</v>
      </c>
      <c r="DO3569" s="406">
        <v>-22.64</v>
      </c>
      <c r="DP3569" s="80">
        <v>362</v>
      </c>
    </row>
    <row r="3570" spans="29:120" x14ac:dyDescent="0.25">
      <c r="AC3570" s="122" t="s">
        <v>376</v>
      </c>
      <c r="AD3570" s="122" t="s">
        <v>3871</v>
      </c>
      <c r="AE3570" s="127">
        <v>3</v>
      </c>
      <c r="DA3570" s="122" t="s">
        <v>311</v>
      </c>
      <c r="DB3570" s="122" t="s">
        <v>8012</v>
      </c>
      <c r="DC3570" s="122" t="s">
        <v>3129</v>
      </c>
      <c r="DD3570" s="127">
        <v>3</v>
      </c>
      <c r="DE3570" s="127">
        <v>3</v>
      </c>
      <c r="DG3570" s="405" t="s">
        <v>311</v>
      </c>
      <c r="DH3570" s="406" t="s">
        <v>3129</v>
      </c>
      <c r="DI3570" s="406" t="str">
        <f t="shared" si="87"/>
        <v>PR, Terra Roxa</v>
      </c>
      <c r="DJ3570" s="406">
        <v>-24.157</v>
      </c>
      <c r="DK3570" s="80">
        <v>-54.097000000000001</v>
      </c>
      <c r="DL3570" s="80">
        <v>410</v>
      </c>
      <c r="DM3570" s="64">
        <v>3</v>
      </c>
      <c r="DN3570" s="406" t="s">
        <v>7284</v>
      </c>
      <c r="DO3570" s="406">
        <v>-24.56</v>
      </c>
      <c r="DP3570" s="80">
        <v>392</v>
      </c>
    </row>
    <row r="3571" spans="29:120" x14ac:dyDescent="0.25">
      <c r="AC3571" s="122" t="s">
        <v>376</v>
      </c>
      <c r="AD3571" s="122" t="s">
        <v>3872</v>
      </c>
      <c r="AE3571" s="127">
        <v>6</v>
      </c>
      <c r="DA3571" s="122" t="s">
        <v>311</v>
      </c>
      <c r="DB3571" s="122" t="s">
        <v>820</v>
      </c>
      <c r="DC3571" s="122" t="s">
        <v>820</v>
      </c>
      <c r="DD3571" s="127">
        <v>2</v>
      </c>
      <c r="DE3571" s="127">
        <v>2</v>
      </c>
      <c r="DG3571" s="405" t="s">
        <v>311</v>
      </c>
      <c r="DH3571" s="406" t="s">
        <v>820</v>
      </c>
      <c r="DI3571" s="406" t="str">
        <f t="shared" si="87"/>
        <v>PR, Tibagi</v>
      </c>
      <c r="DJ3571" s="406">
        <v>-24.509</v>
      </c>
      <c r="DK3571" s="80">
        <v>-50.414000000000001</v>
      </c>
      <c r="DL3571" s="80">
        <v>748</v>
      </c>
      <c r="DM3571" s="64">
        <v>2</v>
      </c>
      <c r="DN3571" s="406" t="s">
        <v>7858</v>
      </c>
      <c r="DO3571" s="406">
        <v>-24.79</v>
      </c>
      <c r="DP3571" s="80">
        <v>1008</v>
      </c>
    </row>
    <row r="3572" spans="29:120" x14ac:dyDescent="0.25">
      <c r="AC3572" s="122" t="s">
        <v>376</v>
      </c>
      <c r="AD3572" s="122" t="s">
        <v>3873</v>
      </c>
      <c r="AE3572" s="127">
        <v>6</v>
      </c>
      <c r="DA3572" s="122" t="s">
        <v>311</v>
      </c>
      <c r="DB3572" s="122" t="s">
        <v>8013</v>
      </c>
      <c r="DC3572" s="122" t="s">
        <v>512</v>
      </c>
      <c r="DD3572" s="127">
        <v>3</v>
      </c>
      <c r="DE3572" s="127">
        <v>3</v>
      </c>
      <c r="DG3572" s="405" t="s">
        <v>311</v>
      </c>
      <c r="DH3572" s="406" t="s">
        <v>512</v>
      </c>
      <c r="DI3572" s="406" t="str">
        <f t="shared" si="87"/>
        <v>PR, Tijucas do Sul</v>
      </c>
      <c r="DJ3572" s="406">
        <v>-25.928000000000001</v>
      </c>
      <c r="DK3572" s="80">
        <v>-49.198999999999998</v>
      </c>
      <c r="DL3572" s="80">
        <v>875</v>
      </c>
      <c r="DM3572" s="64">
        <v>3</v>
      </c>
      <c r="DN3572" s="406" t="s">
        <v>7809</v>
      </c>
      <c r="DO3572" s="406">
        <v>-26.25</v>
      </c>
      <c r="DP3572" s="80">
        <v>869</v>
      </c>
    </row>
    <row r="3573" spans="29:120" x14ac:dyDescent="0.25">
      <c r="AC3573" s="122" t="s">
        <v>376</v>
      </c>
      <c r="AD3573" s="122" t="s">
        <v>3874</v>
      </c>
      <c r="AE3573" s="127">
        <v>6</v>
      </c>
      <c r="DA3573" s="122" t="s">
        <v>311</v>
      </c>
      <c r="DB3573" s="122" t="s">
        <v>1018</v>
      </c>
      <c r="DC3573" s="122" t="s">
        <v>1018</v>
      </c>
      <c r="DD3573" s="127">
        <v>3</v>
      </c>
      <c r="DE3573" s="127">
        <v>3</v>
      </c>
      <c r="DG3573" s="405" t="s">
        <v>311</v>
      </c>
      <c r="DH3573" s="406" t="s">
        <v>1018</v>
      </c>
      <c r="DI3573" s="406" t="str">
        <f t="shared" si="87"/>
        <v>PR, Toledo</v>
      </c>
      <c r="DJ3573" s="406">
        <v>-24.713999999999999</v>
      </c>
      <c r="DK3573" s="80">
        <v>-53.743000000000002</v>
      </c>
      <c r="DL3573" s="80">
        <v>560</v>
      </c>
      <c r="DM3573" s="64">
        <v>3</v>
      </c>
      <c r="DN3573" s="406" t="s">
        <v>7284</v>
      </c>
      <c r="DO3573" s="406">
        <v>-24.56</v>
      </c>
      <c r="DP3573" s="80">
        <v>392</v>
      </c>
    </row>
    <row r="3574" spans="29:120" x14ac:dyDescent="0.25">
      <c r="AC3574" s="122" t="s">
        <v>376</v>
      </c>
      <c r="AD3574" s="122" t="s">
        <v>3875</v>
      </c>
      <c r="AE3574" s="127">
        <v>4</v>
      </c>
      <c r="DA3574" s="122" t="s">
        <v>311</v>
      </c>
      <c r="DB3574" s="122" t="s">
        <v>862</v>
      </c>
      <c r="DC3574" s="122" t="s">
        <v>862</v>
      </c>
      <c r="DD3574" s="127">
        <v>2</v>
      </c>
      <c r="DE3574" s="127">
        <v>2</v>
      </c>
      <c r="DG3574" s="405" t="s">
        <v>311</v>
      </c>
      <c r="DH3574" s="406" t="s">
        <v>862</v>
      </c>
      <c r="DI3574" s="406" t="str">
        <f t="shared" si="87"/>
        <v>PR, Tomazina</v>
      </c>
      <c r="DJ3574" s="406">
        <v>-23.777999999999999</v>
      </c>
      <c r="DK3574" s="80">
        <v>-49.95</v>
      </c>
      <c r="DL3574" s="80">
        <v>541</v>
      </c>
      <c r="DM3574" s="64">
        <v>2</v>
      </c>
      <c r="DN3574" s="406" t="s">
        <v>7827</v>
      </c>
      <c r="DO3574" s="406">
        <v>-23.77</v>
      </c>
      <c r="DP3574" s="80">
        <v>930</v>
      </c>
    </row>
    <row r="3575" spans="29:120" x14ac:dyDescent="0.25">
      <c r="AC3575" s="122" t="s">
        <v>311</v>
      </c>
      <c r="AD3575" s="122" t="s">
        <v>3876</v>
      </c>
      <c r="AE3575" s="127">
        <v>2</v>
      </c>
      <c r="DA3575" s="122" t="s">
        <v>311</v>
      </c>
      <c r="DB3575" s="122" t="s">
        <v>8014</v>
      </c>
      <c r="DC3575" s="122" t="s">
        <v>422</v>
      </c>
      <c r="DD3575" s="127">
        <v>2</v>
      </c>
      <c r="DE3575" s="127">
        <v>2</v>
      </c>
      <c r="DG3575" s="405" t="s">
        <v>311</v>
      </c>
      <c r="DH3575" s="406" t="s">
        <v>422</v>
      </c>
      <c r="DI3575" s="406" t="str">
        <f t="shared" si="87"/>
        <v>PR, Três Barras do Paraná</v>
      </c>
      <c r="DJ3575" s="406">
        <v>-25.419</v>
      </c>
      <c r="DK3575" s="80">
        <v>-53.180999999999997</v>
      </c>
      <c r="DL3575" s="80">
        <v>562</v>
      </c>
      <c r="DM3575" s="64">
        <v>2</v>
      </c>
      <c r="DN3575" s="406" t="s">
        <v>7838</v>
      </c>
      <c r="DO3575" s="406">
        <v>-25.69</v>
      </c>
      <c r="DP3575" s="80">
        <v>520</v>
      </c>
    </row>
    <row r="3576" spans="29:120" x14ac:dyDescent="0.25">
      <c r="AC3576" s="122" t="s">
        <v>376</v>
      </c>
      <c r="AD3576" s="122" t="s">
        <v>3877</v>
      </c>
      <c r="AE3576" s="127">
        <v>2</v>
      </c>
      <c r="DA3576" s="122" t="s">
        <v>311</v>
      </c>
      <c r="DB3576" s="122" t="s">
        <v>8015</v>
      </c>
      <c r="DC3576" s="122" t="s">
        <v>472</v>
      </c>
      <c r="DD3576" s="127">
        <v>2</v>
      </c>
      <c r="DE3576" s="127">
        <v>2</v>
      </c>
      <c r="DG3576" s="405" t="s">
        <v>311</v>
      </c>
      <c r="DH3576" s="406" t="s">
        <v>472</v>
      </c>
      <c r="DI3576" s="406" t="str">
        <f t="shared" si="87"/>
        <v>PR, Tunas do Paraná</v>
      </c>
      <c r="DJ3576" s="406">
        <v>-24.974</v>
      </c>
      <c r="DK3576" s="80">
        <v>-49.085999999999999</v>
      </c>
      <c r="DL3576" s="80">
        <v>906</v>
      </c>
      <c r="DM3576" s="64">
        <v>2</v>
      </c>
      <c r="DN3576" s="406" t="s">
        <v>7811</v>
      </c>
      <c r="DO3576" s="406">
        <v>-25.43</v>
      </c>
      <c r="DP3576" s="80">
        <v>924</v>
      </c>
    </row>
    <row r="3577" spans="29:120" x14ac:dyDescent="0.25">
      <c r="AC3577" s="122" t="s">
        <v>376</v>
      </c>
      <c r="AD3577" s="122" t="s">
        <v>3878</v>
      </c>
      <c r="AE3577" s="127">
        <v>6</v>
      </c>
      <c r="DA3577" s="122" t="s">
        <v>311</v>
      </c>
      <c r="DB3577" s="122" t="s">
        <v>8016</v>
      </c>
      <c r="DC3577" s="122" t="s">
        <v>3182</v>
      </c>
      <c r="DD3577" s="127">
        <v>3</v>
      </c>
      <c r="DE3577" s="127">
        <v>3</v>
      </c>
      <c r="DG3577" s="405" t="s">
        <v>311</v>
      </c>
      <c r="DH3577" s="406" t="s">
        <v>3182</v>
      </c>
      <c r="DI3577" s="406" t="str">
        <f t="shared" si="87"/>
        <v>PR, Tuneiras do Oeste</v>
      </c>
      <c r="DJ3577" s="406">
        <v>-23.870999999999999</v>
      </c>
      <c r="DK3577" s="80">
        <v>-52.875999999999998</v>
      </c>
      <c r="DL3577" s="80">
        <v>502</v>
      </c>
      <c r="DM3577" s="64">
        <v>3</v>
      </c>
      <c r="DN3577" s="406" t="s">
        <v>7820</v>
      </c>
      <c r="DO3577" s="406">
        <v>-23.36</v>
      </c>
      <c r="DP3577" s="80">
        <v>381</v>
      </c>
    </row>
    <row r="3578" spans="29:120" x14ac:dyDescent="0.25">
      <c r="AC3578" s="122" t="s">
        <v>333</v>
      </c>
      <c r="AD3578" s="122" t="s">
        <v>3879</v>
      </c>
      <c r="AE3578" s="127">
        <v>2</v>
      </c>
      <c r="DA3578" s="122" t="s">
        <v>311</v>
      </c>
      <c r="DB3578" s="122" t="s">
        <v>3149</v>
      </c>
      <c r="DC3578" s="122" t="s">
        <v>3149</v>
      </c>
      <c r="DD3578" s="127">
        <v>3</v>
      </c>
      <c r="DE3578" s="127">
        <v>3</v>
      </c>
      <c r="DG3578" s="405" t="s">
        <v>311</v>
      </c>
      <c r="DH3578" s="406" t="s">
        <v>3149</v>
      </c>
      <c r="DI3578" s="406" t="str">
        <f t="shared" si="87"/>
        <v>PR, Tupãssi</v>
      </c>
      <c r="DJ3578" s="406">
        <v>-24.588000000000001</v>
      </c>
      <c r="DK3578" s="80">
        <v>-53.512</v>
      </c>
      <c r="DL3578" s="80">
        <v>540</v>
      </c>
      <c r="DM3578" s="64">
        <v>3</v>
      </c>
      <c r="DN3578" s="406" t="s">
        <v>7284</v>
      </c>
      <c r="DO3578" s="406">
        <v>-24.56</v>
      </c>
      <c r="DP3578" s="80">
        <v>392</v>
      </c>
    </row>
    <row r="3579" spans="29:120" x14ac:dyDescent="0.25">
      <c r="AC3579" s="122" t="s">
        <v>376</v>
      </c>
      <c r="AD3579" s="122" t="s">
        <v>3643</v>
      </c>
      <c r="AE3579" s="127">
        <v>4</v>
      </c>
      <c r="DA3579" s="122" t="s">
        <v>311</v>
      </c>
      <c r="DB3579" s="122" t="s">
        <v>741</v>
      </c>
      <c r="DC3579" s="122" t="s">
        <v>741</v>
      </c>
      <c r="DD3579" s="127">
        <v>1</v>
      </c>
      <c r="DE3579" s="127">
        <v>1</v>
      </c>
      <c r="DG3579" s="405" t="s">
        <v>311</v>
      </c>
      <c r="DH3579" s="406" t="s">
        <v>741</v>
      </c>
      <c r="DI3579" s="406" t="str">
        <f t="shared" si="87"/>
        <v>PR, Turvo</v>
      </c>
      <c r="DJ3579" s="406">
        <v>-25.042999999999999</v>
      </c>
      <c r="DK3579" s="80">
        <v>-51.53</v>
      </c>
      <c r="DL3579" s="80">
        <v>1040</v>
      </c>
      <c r="DM3579" s="64">
        <v>1</v>
      </c>
      <c r="DN3579" s="406" t="s">
        <v>7885</v>
      </c>
      <c r="DO3579" s="406">
        <v>-25.01</v>
      </c>
      <c r="DP3579" s="80">
        <v>808</v>
      </c>
    </row>
    <row r="3580" spans="29:120" x14ac:dyDescent="0.25">
      <c r="AC3580" s="122" t="s">
        <v>376</v>
      </c>
      <c r="AD3580" s="122" t="s">
        <v>3880</v>
      </c>
      <c r="AE3580" s="127">
        <v>4</v>
      </c>
      <c r="DA3580" s="122" t="s">
        <v>311</v>
      </c>
      <c r="DB3580" s="122" t="s">
        <v>3135</v>
      </c>
      <c r="DC3580" s="122" t="s">
        <v>3135</v>
      </c>
      <c r="DD3580" s="127">
        <v>2</v>
      </c>
      <c r="DE3580" s="127">
        <v>2</v>
      </c>
      <c r="DG3580" s="405" t="s">
        <v>311</v>
      </c>
      <c r="DH3580" s="406" t="s">
        <v>3135</v>
      </c>
      <c r="DI3580" s="406" t="str">
        <f t="shared" si="87"/>
        <v>PR, Ubiratã</v>
      </c>
      <c r="DJ3580" s="406">
        <v>-24.545000000000002</v>
      </c>
      <c r="DK3580" s="80">
        <v>-52.988</v>
      </c>
      <c r="DL3580" s="80">
        <v>508</v>
      </c>
      <c r="DM3580" s="64">
        <v>2</v>
      </c>
      <c r="DN3580" s="406" t="s">
        <v>7813</v>
      </c>
      <c r="DO3580" s="406">
        <v>-24.44</v>
      </c>
      <c r="DP3580" s="80">
        <v>654</v>
      </c>
    </row>
    <row r="3581" spans="29:120" x14ac:dyDescent="0.25">
      <c r="AC3581" s="122" t="s">
        <v>376</v>
      </c>
      <c r="AD3581" s="122" t="s">
        <v>3881</v>
      </c>
      <c r="AE3581" s="127">
        <v>3</v>
      </c>
      <c r="DA3581" s="122" t="s">
        <v>311</v>
      </c>
      <c r="DB3581" s="122" t="s">
        <v>3255</v>
      </c>
      <c r="DC3581" s="122" t="s">
        <v>3255</v>
      </c>
      <c r="DD3581" s="127">
        <v>3</v>
      </c>
      <c r="DE3581" s="127">
        <v>3</v>
      </c>
      <c r="DG3581" s="405" t="s">
        <v>311</v>
      </c>
      <c r="DH3581" s="406" t="s">
        <v>3255</v>
      </c>
      <c r="DI3581" s="406" t="str">
        <f t="shared" si="87"/>
        <v>PR, Umuarama</v>
      </c>
      <c r="DJ3581" s="406">
        <v>-23.765999999999998</v>
      </c>
      <c r="DK3581" s="80">
        <v>-53.325000000000003</v>
      </c>
      <c r="DL3581" s="80">
        <v>442</v>
      </c>
      <c r="DM3581" s="64">
        <v>3</v>
      </c>
      <c r="DN3581" s="406" t="s">
        <v>7281</v>
      </c>
      <c r="DO3581" s="406">
        <v>-23.4</v>
      </c>
      <c r="DP3581" s="80">
        <v>385</v>
      </c>
    </row>
    <row r="3582" spans="29:120" x14ac:dyDescent="0.25">
      <c r="AC3582" s="122" t="s">
        <v>376</v>
      </c>
      <c r="AD3582" s="122" t="s">
        <v>3882</v>
      </c>
      <c r="AE3582" s="127">
        <v>3</v>
      </c>
      <c r="DA3582" s="122" t="s">
        <v>311</v>
      </c>
      <c r="DB3582" s="122" t="s">
        <v>8017</v>
      </c>
      <c r="DC3582" s="122" t="s">
        <v>824</v>
      </c>
      <c r="DD3582" s="127">
        <v>2</v>
      </c>
      <c r="DE3582" s="127">
        <v>2</v>
      </c>
      <c r="DG3582" s="405" t="s">
        <v>311</v>
      </c>
      <c r="DH3582" s="406" t="s">
        <v>824</v>
      </c>
      <c r="DI3582" s="406" t="str">
        <f t="shared" si="87"/>
        <v>PR, União da Vitória</v>
      </c>
      <c r="DJ3582" s="406">
        <v>-26.23</v>
      </c>
      <c r="DK3582" s="80">
        <v>-51.085999999999999</v>
      </c>
      <c r="DL3582" s="80">
        <v>830</v>
      </c>
      <c r="DM3582" s="64">
        <v>2</v>
      </c>
      <c r="DN3582" s="406" t="s">
        <v>7836</v>
      </c>
      <c r="DO3582" s="406">
        <v>-26.4</v>
      </c>
      <c r="DP3582" s="80">
        <v>1018</v>
      </c>
    </row>
    <row r="3583" spans="29:120" x14ac:dyDescent="0.25">
      <c r="AC3583" s="122" t="s">
        <v>376</v>
      </c>
      <c r="AD3583" s="122" t="s">
        <v>3883</v>
      </c>
      <c r="AE3583" s="127">
        <v>4</v>
      </c>
      <c r="DA3583" s="122" t="s">
        <v>311</v>
      </c>
      <c r="DB3583" s="122" t="s">
        <v>3249</v>
      </c>
      <c r="DC3583" s="122" t="s">
        <v>3249</v>
      </c>
      <c r="DD3583" s="127">
        <v>4</v>
      </c>
      <c r="DE3583" s="127">
        <v>4</v>
      </c>
      <c r="DG3583" s="405" t="s">
        <v>311</v>
      </c>
      <c r="DH3583" s="406" t="s">
        <v>3249</v>
      </c>
      <c r="DI3583" s="406" t="str">
        <f t="shared" si="87"/>
        <v>PR, Uniflor</v>
      </c>
      <c r="DJ3583" s="406">
        <v>-23.087</v>
      </c>
      <c r="DK3583" s="80">
        <v>-52.156999999999996</v>
      </c>
      <c r="DL3583" s="80">
        <v>540</v>
      </c>
      <c r="DM3583" s="64">
        <v>4</v>
      </c>
      <c r="DN3583" s="406" t="s">
        <v>7816</v>
      </c>
      <c r="DO3583" s="406">
        <v>-23.42</v>
      </c>
      <c r="DP3583" s="80">
        <v>542</v>
      </c>
    </row>
    <row r="3584" spans="29:120" x14ac:dyDescent="0.25">
      <c r="AC3584" s="122" t="s">
        <v>376</v>
      </c>
      <c r="AD3584" s="122" t="s">
        <v>3884</v>
      </c>
      <c r="AE3584" s="127">
        <v>6</v>
      </c>
      <c r="DA3584" s="122" t="s">
        <v>311</v>
      </c>
      <c r="DB3584" s="122" t="s">
        <v>3281</v>
      </c>
      <c r="DC3584" s="122" t="s">
        <v>3281</v>
      </c>
      <c r="DD3584" s="127">
        <v>3</v>
      </c>
      <c r="DE3584" s="127">
        <v>3</v>
      </c>
      <c r="DG3584" s="405" t="s">
        <v>311</v>
      </c>
      <c r="DH3584" s="406" t="s">
        <v>3281</v>
      </c>
      <c r="DI3584" s="406" t="str">
        <f t="shared" si="87"/>
        <v>PR, Uraí</v>
      </c>
      <c r="DJ3584" s="406">
        <v>-23.198</v>
      </c>
      <c r="DK3584" s="80">
        <v>-50.795999999999999</v>
      </c>
      <c r="DL3584" s="80">
        <v>435</v>
      </c>
      <c r="DM3584" s="64">
        <v>3</v>
      </c>
      <c r="DN3584" s="406" t="s">
        <v>7806</v>
      </c>
      <c r="DO3584" s="406">
        <v>-23.43</v>
      </c>
      <c r="DP3584" s="80">
        <v>668</v>
      </c>
    </row>
    <row r="3585" spans="29:120" x14ac:dyDescent="0.25">
      <c r="AC3585" s="122" t="s">
        <v>333</v>
      </c>
      <c r="AD3585" s="122" t="s">
        <v>3885</v>
      </c>
      <c r="AE3585" s="127">
        <v>3</v>
      </c>
      <c r="DA3585" s="122" t="s">
        <v>311</v>
      </c>
      <c r="DB3585" s="122" t="s">
        <v>814</v>
      </c>
      <c r="DC3585" s="122" t="s">
        <v>814</v>
      </c>
      <c r="DD3585" s="127">
        <v>2</v>
      </c>
      <c r="DE3585" s="127">
        <v>2</v>
      </c>
      <c r="DG3585" s="405" t="s">
        <v>311</v>
      </c>
      <c r="DH3585" s="406" t="s">
        <v>814</v>
      </c>
      <c r="DI3585" s="406" t="str">
        <f t="shared" si="87"/>
        <v>PR, Ventania</v>
      </c>
      <c r="DJ3585" s="406">
        <v>-24.245999999999999</v>
      </c>
      <c r="DK3585" s="80">
        <v>-50.243000000000002</v>
      </c>
      <c r="DL3585" s="80">
        <v>990</v>
      </c>
      <c r="DM3585" s="64">
        <v>2</v>
      </c>
      <c r="DN3585" s="406" t="s">
        <v>7827</v>
      </c>
      <c r="DO3585" s="406">
        <v>-23.77</v>
      </c>
      <c r="DP3585" s="80">
        <v>930</v>
      </c>
    </row>
    <row r="3586" spans="29:120" x14ac:dyDescent="0.25">
      <c r="AC3586" s="122" t="s">
        <v>376</v>
      </c>
      <c r="AD3586" s="122" t="s">
        <v>3886</v>
      </c>
      <c r="AE3586" s="127">
        <v>3</v>
      </c>
      <c r="DA3586" s="122" t="s">
        <v>311</v>
      </c>
      <c r="DB3586" s="122" t="s">
        <v>8018</v>
      </c>
      <c r="DC3586" s="122" t="s">
        <v>812</v>
      </c>
      <c r="DD3586" s="127">
        <v>3</v>
      </c>
      <c r="DE3586" s="127">
        <v>3</v>
      </c>
      <c r="DG3586" s="405" t="s">
        <v>311</v>
      </c>
      <c r="DH3586" s="406" t="s">
        <v>812</v>
      </c>
      <c r="DI3586" s="406" t="str">
        <f t="shared" si="87"/>
        <v>PR, Vera Cruz do Oeste</v>
      </c>
      <c r="DJ3586" s="406">
        <v>-25.058</v>
      </c>
      <c r="DK3586" s="80">
        <v>-53.877000000000002</v>
      </c>
      <c r="DL3586" s="80">
        <v>560</v>
      </c>
      <c r="DM3586" s="64">
        <v>3</v>
      </c>
      <c r="DN3586" s="406" t="s">
        <v>7284</v>
      </c>
      <c r="DO3586" s="406">
        <v>-24.56</v>
      </c>
      <c r="DP3586" s="80">
        <v>392</v>
      </c>
    </row>
    <row r="3587" spans="29:120" x14ac:dyDescent="0.25">
      <c r="AC3587" s="122" t="s">
        <v>376</v>
      </c>
      <c r="AD3587" s="122" t="s">
        <v>3887</v>
      </c>
      <c r="AE3587" s="127">
        <v>6</v>
      </c>
      <c r="DA3587" s="122" t="s">
        <v>311</v>
      </c>
      <c r="DB3587" s="122" t="s">
        <v>799</v>
      </c>
      <c r="DC3587" s="122" t="s">
        <v>799</v>
      </c>
      <c r="DD3587" s="127">
        <v>2</v>
      </c>
      <c r="DE3587" s="127">
        <v>2</v>
      </c>
      <c r="DG3587" s="405" t="s">
        <v>311</v>
      </c>
      <c r="DH3587" s="406" t="s">
        <v>799</v>
      </c>
      <c r="DI3587" s="406" t="str">
        <f t="shared" ref="DI3587:DI3650" si="88">CONCATENATE(DG3587,", ",DH3587)</f>
        <v>PR, Verê</v>
      </c>
      <c r="DJ3587" s="406">
        <v>-25.881</v>
      </c>
      <c r="DK3587" s="80">
        <v>-52.908000000000001</v>
      </c>
      <c r="DL3587" s="80">
        <v>505</v>
      </c>
      <c r="DM3587" s="64">
        <v>2</v>
      </c>
      <c r="DN3587" s="406" t="s">
        <v>7838</v>
      </c>
      <c r="DO3587" s="406">
        <v>-25.69</v>
      </c>
      <c r="DP3587" s="80">
        <v>520</v>
      </c>
    </row>
    <row r="3588" spans="29:120" x14ac:dyDescent="0.25">
      <c r="AC3588" s="122" t="s">
        <v>376</v>
      </c>
      <c r="AD3588" s="122" t="s">
        <v>3888</v>
      </c>
      <c r="AE3588" s="127">
        <v>3</v>
      </c>
      <c r="DA3588" s="122" t="s">
        <v>311</v>
      </c>
      <c r="DB3588" s="122" t="s">
        <v>788</v>
      </c>
      <c r="DC3588" s="122" t="s">
        <v>788</v>
      </c>
      <c r="DD3588" s="127">
        <v>2</v>
      </c>
      <c r="DE3588" s="127">
        <v>2</v>
      </c>
      <c r="DG3588" s="405" t="s">
        <v>311</v>
      </c>
      <c r="DH3588" s="406" t="s">
        <v>788</v>
      </c>
      <c r="DI3588" s="406" t="str">
        <f t="shared" si="88"/>
        <v>PR, Virmond</v>
      </c>
      <c r="DJ3588" s="406">
        <v>-25.381</v>
      </c>
      <c r="DK3588" s="80">
        <v>-52.198999999999998</v>
      </c>
      <c r="DL3588" s="80">
        <v>713</v>
      </c>
      <c r="DM3588" s="64">
        <v>2</v>
      </c>
      <c r="DN3588" s="406" t="s">
        <v>7838</v>
      </c>
      <c r="DO3588" s="406">
        <v>-25.69</v>
      </c>
      <c r="DP3588" s="80">
        <v>520</v>
      </c>
    </row>
    <row r="3589" spans="29:120" x14ac:dyDescent="0.25">
      <c r="AC3589" s="122" t="s">
        <v>376</v>
      </c>
      <c r="AD3589" s="122" t="s">
        <v>3889</v>
      </c>
      <c r="AE3589" s="127">
        <v>4</v>
      </c>
      <c r="DA3589" s="122" t="s">
        <v>311</v>
      </c>
      <c r="DB3589" s="122" t="s">
        <v>1605</v>
      </c>
      <c r="DC3589" s="122" t="s">
        <v>1605</v>
      </c>
      <c r="DD3589" s="127">
        <v>2</v>
      </c>
      <c r="DE3589" s="127">
        <v>2</v>
      </c>
      <c r="DG3589" s="405" t="s">
        <v>311</v>
      </c>
      <c r="DH3589" s="406" t="s">
        <v>1605</v>
      </c>
      <c r="DI3589" s="406" t="str">
        <f t="shared" si="88"/>
        <v>PR, Vitorino</v>
      </c>
      <c r="DJ3589" s="406">
        <v>-26.277000000000001</v>
      </c>
      <c r="DK3589" s="80">
        <v>-52.783999999999999</v>
      </c>
      <c r="DL3589" s="80">
        <v>720</v>
      </c>
      <c r="DM3589" s="64">
        <v>2</v>
      </c>
      <c r="DN3589" s="406" t="s">
        <v>7844</v>
      </c>
      <c r="DO3589" s="406">
        <v>-26.41</v>
      </c>
      <c r="DP3589" s="80">
        <v>960</v>
      </c>
    </row>
    <row r="3590" spans="29:120" x14ac:dyDescent="0.25">
      <c r="AC3590" s="122" t="s">
        <v>376</v>
      </c>
      <c r="AD3590" s="122" t="s">
        <v>3890</v>
      </c>
      <c r="AE3590" s="127">
        <v>5</v>
      </c>
      <c r="DA3590" s="122" t="s">
        <v>311</v>
      </c>
      <c r="DB3590" s="122" t="s">
        <v>7252</v>
      </c>
      <c r="DC3590" s="122" t="s">
        <v>874</v>
      </c>
      <c r="DD3590" s="127">
        <v>2</v>
      </c>
      <c r="DE3590" s="127">
        <v>2</v>
      </c>
      <c r="DG3590" s="405" t="s">
        <v>311</v>
      </c>
      <c r="DH3590" s="406" t="s">
        <v>874</v>
      </c>
      <c r="DI3590" s="406" t="str">
        <f t="shared" si="88"/>
        <v>PR, Wenceslau Braz</v>
      </c>
      <c r="DJ3590" s="406">
        <v>-23.873999999999999</v>
      </c>
      <c r="DK3590" s="80">
        <v>-49.802999999999997</v>
      </c>
      <c r="DL3590" s="80">
        <v>841</v>
      </c>
      <c r="DM3590" s="64">
        <v>2</v>
      </c>
      <c r="DN3590" s="406" t="s">
        <v>7827</v>
      </c>
      <c r="DO3590" s="406">
        <v>-23.77</v>
      </c>
      <c r="DP3590" s="80">
        <v>930</v>
      </c>
    </row>
    <row r="3591" spans="29:120" x14ac:dyDescent="0.25">
      <c r="AC3591" s="122" t="s">
        <v>376</v>
      </c>
      <c r="AD3591" s="122" t="s">
        <v>3891</v>
      </c>
      <c r="AE3591" s="127">
        <v>3</v>
      </c>
      <c r="DA3591" s="122" t="s">
        <v>311</v>
      </c>
      <c r="DB3591" s="122" t="s">
        <v>3596</v>
      </c>
      <c r="DC3591" s="122" t="s">
        <v>3596</v>
      </c>
      <c r="DD3591" s="127">
        <v>3</v>
      </c>
      <c r="DE3591" s="127">
        <v>3</v>
      </c>
      <c r="DG3591" s="405" t="s">
        <v>311</v>
      </c>
      <c r="DH3591" s="406" t="s">
        <v>3596</v>
      </c>
      <c r="DI3591" s="406" t="str">
        <f t="shared" si="88"/>
        <v>PR, Xambrê</v>
      </c>
      <c r="DJ3591" s="406">
        <v>-23.736000000000001</v>
      </c>
      <c r="DK3591" s="80">
        <v>-53.49</v>
      </c>
      <c r="DL3591" s="80">
        <v>418</v>
      </c>
      <c r="DM3591" s="64">
        <v>3</v>
      </c>
      <c r="DN3591" s="406" t="s">
        <v>7281</v>
      </c>
      <c r="DO3591" s="406">
        <v>-23.4</v>
      </c>
      <c r="DP3591" s="80">
        <v>385</v>
      </c>
    </row>
    <row r="3592" spans="29:120" x14ac:dyDescent="0.25">
      <c r="AC3592" s="122" t="s">
        <v>376</v>
      </c>
      <c r="AD3592" s="122" t="s">
        <v>3892</v>
      </c>
      <c r="AE3592" s="127">
        <v>4</v>
      </c>
      <c r="DA3592" s="122" t="s">
        <v>358</v>
      </c>
      <c r="DB3592" s="122" t="s">
        <v>8019</v>
      </c>
      <c r="DC3592" s="122" t="s">
        <v>3097</v>
      </c>
      <c r="DD3592" s="127">
        <v>8</v>
      </c>
      <c r="DE3592" s="127">
        <v>8</v>
      </c>
      <c r="DG3592" s="405" t="s">
        <v>358</v>
      </c>
      <c r="DH3592" s="406" t="s">
        <v>3097</v>
      </c>
      <c r="DI3592" s="406" t="str">
        <f t="shared" si="88"/>
        <v>RJ, Angra dos Reis</v>
      </c>
      <c r="DJ3592" s="406">
        <v>-23.007000000000001</v>
      </c>
      <c r="DK3592" s="80">
        <v>-44.317999999999998</v>
      </c>
      <c r="DL3592" s="80">
        <v>6</v>
      </c>
      <c r="DM3592" s="64">
        <v>8</v>
      </c>
      <c r="DN3592" s="406" t="s">
        <v>8020</v>
      </c>
      <c r="DO3592" s="406">
        <v>-23.22</v>
      </c>
      <c r="DP3592" s="80">
        <v>4</v>
      </c>
    </row>
    <row r="3593" spans="29:120" x14ac:dyDescent="0.25">
      <c r="AC3593" s="122" t="s">
        <v>376</v>
      </c>
      <c r="AD3593" s="122" t="s">
        <v>3893</v>
      </c>
      <c r="AE3593" s="127">
        <v>6</v>
      </c>
      <c r="DA3593" s="122" t="s">
        <v>358</v>
      </c>
      <c r="DB3593" s="122" t="s">
        <v>3283</v>
      </c>
      <c r="DC3593" s="122" t="s">
        <v>3283</v>
      </c>
      <c r="DD3593" s="127">
        <v>5</v>
      </c>
      <c r="DE3593" s="127">
        <v>5</v>
      </c>
      <c r="DG3593" s="405" t="s">
        <v>358</v>
      </c>
      <c r="DH3593" s="406" t="s">
        <v>3283</v>
      </c>
      <c r="DI3593" s="406" t="str">
        <f t="shared" si="88"/>
        <v>RJ, Aperibé</v>
      </c>
      <c r="DJ3593" s="406">
        <v>-21.620999999999999</v>
      </c>
      <c r="DK3593" s="80">
        <v>-42.103000000000002</v>
      </c>
      <c r="DL3593" s="80">
        <v>71</v>
      </c>
      <c r="DM3593" s="64">
        <v>5</v>
      </c>
      <c r="DN3593" s="406" t="s">
        <v>6969</v>
      </c>
      <c r="DO3593" s="406">
        <v>-21.58</v>
      </c>
      <c r="DP3593" s="80">
        <v>35</v>
      </c>
    </row>
    <row r="3594" spans="29:120" x14ac:dyDescent="0.25">
      <c r="AC3594" s="122" t="s">
        <v>333</v>
      </c>
      <c r="AD3594" s="122" t="s">
        <v>3894</v>
      </c>
      <c r="AE3594" s="127">
        <v>3</v>
      </c>
      <c r="DA3594" s="122" t="s">
        <v>358</v>
      </c>
      <c r="DB3594" s="122" t="s">
        <v>1826</v>
      </c>
      <c r="DC3594" s="122" t="s">
        <v>1826</v>
      </c>
      <c r="DD3594" s="127">
        <v>3</v>
      </c>
      <c r="DE3594" s="127">
        <v>3</v>
      </c>
      <c r="DG3594" s="405" t="s">
        <v>358</v>
      </c>
      <c r="DH3594" s="406" t="s">
        <v>1826</v>
      </c>
      <c r="DI3594" s="406" t="str">
        <f t="shared" si="88"/>
        <v>RJ, Araruama</v>
      </c>
      <c r="DJ3594" s="406">
        <v>-22.873000000000001</v>
      </c>
      <c r="DK3594" s="80">
        <v>-42.343000000000004</v>
      </c>
      <c r="DL3594" s="80">
        <v>15</v>
      </c>
      <c r="DM3594" s="64">
        <v>3</v>
      </c>
      <c r="DN3594" s="406" t="s">
        <v>8021</v>
      </c>
      <c r="DO3594" s="406">
        <v>-22.97</v>
      </c>
      <c r="DP3594" s="80">
        <v>4</v>
      </c>
    </row>
    <row r="3595" spans="29:120" x14ac:dyDescent="0.25">
      <c r="AC3595" s="122" t="s">
        <v>376</v>
      </c>
      <c r="AD3595" s="122" t="s">
        <v>3895</v>
      </c>
      <c r="AE3595" s="127">
        <v>5</v>
      </c>
      <c r="DA3595" s="122" t="s">
        <v>358</v>
      </c>
      <c r="DB3595" s="122" t="s">
        <v>716</v>
      </c>
      <c r="DC3595" s="122" t="s">
        <v>716</v>
      </c>
      <c r="DD3595" s="127">
        <v>2</v>
      </c>
      <c r="DE3595" s="127">
        <v>2</v>
      </c>
      <c r="DG3595" s="405" t="s">
        <v>358</v>
      </c>
      <c r="DH3595" s="406" t="s">
        <v>716</v>
      </c>
      <c r="DI3595" s="406" t="str">
        <f t="shared" si="88"/>
        <v>RJ, Areal</v>
      </c>
      <c r="DJ3595" s="406">
        <v>-22.231000000000002</v>
      </c>
      <c r="DK3595" s="80">
        <v>-43.106000000000002</v>
      </c>
      <c r="DL3595" s="80">
        <v>444</v>
      </c>
      <c r="DM3595" s="64">
        <v>2</v>
      </c>
      <c r="DN3595" s="406" t="s">
        <v>6810</v>
      </c>
      <c r="DO3595" s="406">
        <v>-22.41</v>
      </c>
      <c r="DP3595" s="80">
        <v>980</v>
      </c>
    </row>
    <row r="3596" spans="29:120" x14ac:dyDescent="0.25">
      <c r="AC3596" s="122" t="s">
        <v>376</v>
      </c>
      <c r="AD3596" s="122" t="s">
        <v>3896</v>
      </c>
      <c r="AE3596" s="127">
        <v>3</v>
      </c>
      <c r="DA3596" s="122" t="s">
        <v>358</v>
      </c>
      <c r="DB3596" s="122" t="s">
        <v>8022</v>
      </c>
      <c r="DC3596" s="122" t="s">
        <v>8023</v>
      </c>
      <c r="DD3596" s="127">
        <v>3</v>
      </c>
      <c r="DE3596" s="127">
        <v>3</v>
      </c>
      <c r="DG3596" s="405" t="s">
        <v>358</v>
      </c>
      <c r="DH3596" s="406" t="s">
        <v>5718</v>
      </c>
      <c r="DI3596" s="406" t="str">
        <f t="shared" si="88"/>
        <v>RJ, Armação dos Búzios</v>
      </c>
      <c r="DJ3596" s="406">
        <v>-22.747</v>
      </c>
      <c r="DK3596" s="80">
        <v>-41.881999999999998</v>
      </c>
      <c r="DL3596" s="80">
        <v>3</v>
      </c>
      <c r="DM3596" s="64">
        <v>3</v>
      </c>
      <c r="DN3596" s="406" t="s">
        <v>8021</v>
      </c>
      <c r="DO3596" s="406">
        <v>-22.97</v>
      </c>
      <c r="DP3596" s="80">
        <v>4</v>
      </c>
    </row>
    <row r="3597" spans="29:120" x14ac:dyDescent="0.25">
      <c r="AC3597" s="122" t="s">
        <v>376</v>
      </c>
      <c r="AD3597" s="122" t="s">
        <v>3897</v>
      </c>
      <c r="AE3597" s="127">
        <v>3</v>
      </c>
      <c r="DA3597" s="122" t="s">
        <v>358</v>
      </c>
      <c r="DB3597" s="122" t="s">
        <v>8024</v>
      </c>
      <c r="DC3597" s="122" t="s">
        <v>1799</v>
      </c>
      <c r="DD3597" s="127">
        <v>3</v>
      </c>
      <c r="DE3597" s="127">
        <v>3</v>
      </c>
      <c r="DG3597" s="405" t="s">
        <v>358</v>
      </c>
      <c r="DH3597" s="406" t="s">
        <v>1799</v>
      </c>
      <c r="DI3597" s="406" t="str">
        <f t="shared" si="88"/>
        <v>RJ, Arraial do Cabo</v>
      </c>
      <c r="DJ3597" s="406">
        <v>-22.966000000000001</v>
      </c>
      <c r="DK3597" s="80">
        <v>-42.027999999999999</v>
      </c>
      <c r="DL3597" s="80">
        <v>8</v>
      </c>
      <c r="DM3597" s="64">
        <v>3</v>
      </c>
      <c r="DN3597" s="406" t="s">
        <v>8021</v>
      </c>
      <c r="DO3597" s="406">
        <v>-22.97</v>
      </c>
      <c r="DP3597" s="80">
        <v>4</v>
      </c>
    </row>
    <row r="3598" spans="29:120" x14ac:dyDescent="0.25">
      <c r="AC3598" s="122" t="s">
        <v>376</v>
      </c>
      <c r="AD3598" s="122" t="s">
        <v>3898</v>
      </c>
      <c r="AE3598" s="127">
        <v>6</v>
      </c>
      <c r="DA3598" s="122" t="s">
        <v>358</v>
      </c>
      <c r="DB3598" s="122" t="s">
        <v>8025</v>
      </c>
      <c r="DC3598" s="122" t="s">
        <v>3386</v>
      </c>
      <c r="DD3598" s="127">
        <v>5</v>
      </c>
      <c r="DE3598" s="127">
        <v>5</v>
      </c>
      <c r="DG3598" s="405" t="s">
        <v>358</v>
      </c>
      <c r="DH3598" s="406" t="s">
        <v>3386</v>
      </c>
      <c r="DI3598" s="406" t="str">
        <f t="shared" si="88"/>
        <v>RJ, Barra do Piraí</v>
      </c>
      <c r="DJ3598" s="406">
        <v>-22.47</v>
      </c>
      <c r="DK3598" s="80">
        <v>-43.826000000000001</v>
      </c>
      <c r="DL3598" s="80">
        <v>363</v>
      </c>
      <c r="DM3598" s="64">
        <v>5</v>
      </c>
      <c r="DN3598" s="406" t="s">
        <v>6856</v>
      </c>
      <c r="DO3598" s="406">
        <v>-22.25</v>
      </c>
      <c r="DP3598" s="80">
        <v>367</v>
      </c>
    </row>
    <row r="3599" spans="29:120" x14ac:dyDescent="0.25">
      <c r="AC3599" s="122" t="s">
        <v>376</v>
      </c>
      <c r="AD3599" s="122" t="s">
        <v>3899</v>
      </c>
      <c r="AE3599" s="127">
        <v>6</v>
      </c>
      <c r="DA3599" s="122" t="s">
        <v>358</v>
      </c>
      <c r="DB3599" s="122" t="s">
        <v>8026</v>
      </c>
      <c r="DC3599" s="122" t="s">
        <v>3680</v>
      </c>
      <c r="DD3599" s="127">
        <v>3</v>
      </c>
      <c r="DE3599" s="127">
        <v>3</v>
      </c>
      <c r="DG3599" s="405" t="s">
        <v>358</v>
      </c>
      <c r="DH3599" s="406" t="s">
        <v>3680</v>
      </c>
      <c r="DI3599" s="406" t="str">
        <f t="shared" si="88"/>
        <v>RJ, Barra Mansa</v>
      </c>
      <c r="DJ3599" s="406">
        <v>-22.544</v>
      </c>
      <c r="DK3599" s="80">
        <v>-44.170999999999999</v>
      </c>
      <c r="DL3599" s="80">
        <v>381</v>
      </c>
      <c r="DM3599" s="64">
        <v>3</v>
      </c>
      <c r="DN3599" s="406" t="s">
        <v>6807</v>
      </c>
      <c r="DO3599" s="406">
        <v>-22.47</v>
      </c>
      <c r="DP3599" s="80">
        <v>440</v>
      </c>
    </row>
    <row r="3600" spans="29:120" x14ac:dyDescent="0.25">
      <c r="AC3600" s="122" t="s">
        <v>333</v>
      </c>
      <c r="AD3600" s="122" t="s">
        <v>3900</v>
      </c>
      <c r="AE3600" s="127">
        <v>3</v>
      </c>
      <c r="DA3600" s="122" t="s">
        <v>358</v>
      </c>
      <c r="DB3600" s="122" t="s">
        <v>8027</v>
      </c>
      <c r="DC3600" s="122" t="s">
        <v>3417</v>
      </c>
      <c r="DD3600" s="127">
        <v>5</v>
      </c>
      <c r="DE3600" s="127">
        <v>5</v>
      </c>
      <c r="DG3600" s="405" t="s">
        <v>358</v>
      </c>
      <c r="DH3600" s="406" t="s">
        <v>3417</v>
      </c>
      <c r="DI3600" s="406" t="str">
        <f t="shared" si="88"/>
        <v>RJ, Belford Roxo</v>
      </c>
      <c r="DJ3600" s="406">
        <v>-22.763999999999999</v>
      </c>
      <c r="DK3600" s="80">
        <v>-43.399000000000001</v>
      </c>
      <c r="DL3600" s="80">
        <v>18</v>
      </c>
      <c r="DM3600" s="64">
        <v>5</v>
      </c>
      <c r="DN3600" s="406" t="s">
        <v>8028</v>
      </c>
      <c r="DO3600" s="406">
        <v>-22.86</v>
      </c>
      <c r="DP3600" s="80">
        <v>45</v>
      </c>
    </row>
    <row r="3601" spans="29:120" x14ac:dyDescent="0.25">
      <c r="AC3601" s="122" t="s">
        <v>376</v>
      </c>
      <c r="AD3601" s="122" t="s">
        <v>3901</v>
      </c>
      <c r="AE3601" s="127">
        <v>3</v>
      </c>
      <c r="DA3601" s="122" t="s">
        <v>358</v>
      </c>
      <c r="DB3601" s="122" t="s">
        <v>6662</v>
      </c>
      <c r="DC3601" s="122" t="s">
        <v>530</v>
      </c>
      <c r="DD3601" s="127">
        <v>3</v>
      </c>
      <c r="DE3601" s="127">
        <v>3</v>
      </c>
      <c r="DG3601" s="405" t="s">
        <v>358</v>
      </c>
      <c r="DH3601" s="406" t="s">
        <v>530</v>
      </c>
      <c r="DI3601" s="406" t="str">
        <f t="shared" si="88"/>
        <v>RJ, Bom Jardim</v>
      </c>
      <c r="DJ3601" s="406">
        <v>-22.152000000000001</v>
      </c>
      <c r="DK3601" s="80">
        <v>-42.418999999999997</v>
      </c>
      <c r="DL3601" s="80">
        <v>560</v>
      </c>
      <c r="DM3601" s="64">
        <v>3</v>
      </c>
      <c r="DN3601" s="406" t="s">
        <v>6810</v>
      </c>
      <c r="DO3601" s="406">
        <v>-22.41</v>
      </c>
      <c r="DP3601" s="80">
        <v>980</v>
      </c>
    </row>
    <row r="3602" spans="29:120" x14ac:dyDescent="0.25">
      <c r="AC3602" s="122" t="s">
        <v>376</v>
      </c>
      <c r="AD3602" s="122" t="s">
        <v>3902</v>
      </c>
      <c r="AE3602" s="127">
        <v>6</v>
      </c>
      <c r="DA3602" s="122" t="s">
        <v>358</v>
      </c>
      <c r="DB3602" s="122" t="s">
        <v>8029</v>
      </c>
      <c r="DC3602" s="122" t="s">
        <v>3369</v>
      </c>
      <c r="DD3602" s="127">
        <v>5</v>
      </c>
      <c r="DE3602" s="127">
        <v>5</v>
      </c>
      <c r="DG3602" s="405" t="s">
        <v>358</v>
      </c>
      <c r="DH3602" s="406" t="s">
        <v>3369</v>
      </c>
      <c r="DI3602" s="406" t="str">
        <f t="shared" si="88"/>
        <v>RJ, Bom Jesus do Itabapoana</v>
      </c>
      <c r="DJ3602" s="406">
        <v>-21.134</v>
      </c>
      <c r="DK3602" s="80">
        <v>-41.68</v>
      </c>
      <c r="DL3602" s="80">
        <v>88</v>
      </c>
      <c r="DM3602" s="64">
        <v>5</v>
      </c>
      <c r="DN3602" s="406" t="s">
        <v>6458</v>
      </c>
      <c r="DO3602" s="406">
        <v>-20.76</v>
      </c>
      <c r="DP3602" s="80">
        <v>138</v>
      </c>
    </row>
    <row r="3603" spans="29:120" x14ac:dyDescent="0.25">
      <c r="AC3603" s="122" t="s">
        <v>376</v>
      </c>
      <c r="AD3603" s="122" t="s">
        <v>3903</v>
      </c>
      <c r="AE3603" s="127">
        <v>6</v>
      </c>
      <c r="DA3603" s="122" t="s">
        <v>358</v>
      </c>
      <c r="DB3603" s="122" t="s">
        <v>8030</v>
      </c>
      <c r="DC3603" s="122" t="s">
        <v>1798</v>
      </c>
      <c r="DD3603" s="127">
        <v>8</v>
      </c>
      <c r="DE3603" s="127">
        <v>8</v>
      </c>
      <c r="DG3603" s="405" t="s">
        <v>358</v>
      </c>
      <c r="DH3603" s="406" t="s">
        <v>1798</v>
      </c>
      <c r="DI3603" s="406" t="str">
        <f t="shared" si="88"/>
        <v>RJ, Cabo Frio</v>
      </c>
      <c r="DJ3603" s="406">
        <v>-22.879000000000001</v>
      </c>
      <c r="DK3603" s="80">
        <v>-42.018999999999998</v>
      </c>
      <c r="DL3603" s="80">
        <v>4</v>
      </c>
      <c r="DM3603" s="64">
        <v>8</v>
      </c>
      <c r="DN3603" s="406" t="s">
        <v>8021</v>
      </c>
      <c r="DO3603" s="406">
        <v>-22.97</v>
      </c>
      <c r="DP3603" s="80">
        <v>4</v>
      </c>
    </row>
    <row r="3604" spans="29:120" x14ac:dyDescent="0.25">
      <c r="AC3604" s="122" t="s">
        <v>376</v>
      </c>
      <c r="AD3604" s="122" t="s">
        <v>1353</v>
      </c>
      <c r="AE3604" s="127">
        <v>4</v>
      </c>
      <c r="DA3604" s="122" t="s">
        <v>358</v>
      </c>
      <c r="DB3604" s="122" t="s">
        <v>8031</v>
      </c>
      <c r="DC3604" s="122" t="s">
        <v>497</v>
      </c>
      <c r="DD3604" s="127">
        <v>3</v>
      </c>
      <c r="DE3604" s="127">
        <v>3</v>
      </c>
      <c r="DG3604" s="405" t="s">
        <v>358</v>
      </c>
      <c r="DH3604" s="406" t="s">
        <v>497</v>
      </c>
      <c r="DI3604" s="406" t="str">
        <f t="shared" si="88"/>
        <v>RJ, Cachoeiras de Macacu</v>
      </c>
      <c r="DJ3604" s="406">
        <v>-22.463000000000001</v>
      </c>
      <c r="DK3604" s="80">
        <v>-42.652999999999999</v>
      </c>
      <c r="DL3604" s="80">
        <v>57</v>
      </c>
      <c r="DM3604" s="64">
        <v>3</v>
      </c>
      <c r="DN3604" s="406" t="s">
        <v>6810</v>
      </c>
      <c r="DO3604" s="406">
        <v>-22.41</v>
      </c>
      <c r="DP3604" s="80">
        <v>980</v>
      </c>
    </row>
    <row r="3605" spans="29:120" x14ac:dyDescent="0.25">
      <c r="AC3605" s="122" t="s">
        <v>376</v>
      </c>
      <c r="AD3605" s="122" t="s">
        <v>3129</v>
      </c>
      <c r="AE3605" s="127">
        <v>4</v>
      </c>
      <c r="DA3605" s="122" t="s">
        <v>358</v>
      </c>
      <c r="DB3605" s="122" t="s">
        <v>3525</v>
      </c>
      <c r="DC3605" s="122" t="s">
        <v>3525</v>
      </c>
      <c r="DD3605" s="127">
        <v>5</v>
      </c>
      <c r="DE3605" s="127">
        <v>5</v>
      </c>
      <c r="DG3605" s="405" t="s">
        <v>358</v>
      </c>
      <c r="DH3605" s="406" t="s">
        <v>3525</v>
      </c>
      <c r="DI3605" s="406" t="str">
        <f t="shared" si="88"/>
        <v>RJ, Cambuci</v>
      </c>
      <c r="DJ3605" s="406">
        <v>-21.574999999999999</v>
      </c>
      <c r="DK3605" s="80">
        <v>-41.911000000000001</v>
      </c>
      <c r="DL3605" s="80">
        <v>35</v>
      </c>
      <c r="DM3605" s="64">
        <v>5</v>
      </c>
      <c r="DN3605" s="406" t="s">
        <v>6969</v>
      </c>
      <c r="DO3605" s="406">
        <v>-21.58</v>
      </c>
      <c r="DP3605" s="80">
        <v>35</v>
      </c>
    </row>
    <row r="3606" spans="29:120" x14ac:dyDescent="0.25">
      <c r="AC3606" s="122" t="s">
        <v>376</v>
      </c>
      <c r="AD3606" s="122" t="s">
        <v>3904</v>
      </c>
      <c r="AE3606" s="127">
        <v>3</v>
      </c>
      <c r="DA3606" s="122" t="s">
        <v>358</v>
      </c>
      <c r="DB3606" s="122" t="s">
        <v>8032</v>
      </c>
      <c r="DC3606" s="122" t="s">
        <v>3119</v>
      </c>
      <c r="DD3606" s="127">
        <v>5</v>
      </c>
      <c r="DE3606" s="127">
        <v>5</v>
      </c>
      <c r="DG3606" s="405" t="s">
        <v>358</v>
      </c>
      <c r="DH3606" s="406" t="s">
        <v>3119</v>
      </c>
      <c r="DI3606" s="406" t="str">
        <f t="shared" si="88"/>
        <v>RJ, Campos dos Goytacazes</v>
      </c>
      <c r="DJ3606" s="406">
        <v>-21.754000000000001</v>
      </c>
      <c r="DK3606" s="80">
        <v>-41.323999999999998</v>
      </c>
      <c r="DL3606" s="80">
        <v>13</v>
      </c>
      <c r="DM3606" s="64">
        <v>5</v>
      </c>
      <c r="DN3606" s="406" t="s">
        <v>8033</v>
      </c>
      <c r="DO3606" s="406">
        <v>-21.75</v>
      </c>
      <c r="DP3606" s="80">
        <v>25</v>
      </c>
    </row>
    <row r="3607" spans="29:120" x14ac:dyDescent="0.25">
      <c r="AC3607" s="122" t="s">
        <v>376</v>
      </c>
      <c r="AD3607" s="122" t="s">
        <v>3905</v>
      </c>
      <c r="AE3607" s="127">
        <v>5</v>
      </c>
      <c r="DA3607" s="122" t="s">
        <v>358</v>
      </c>
      <c r="DB3607" s="122" t="s">
        <v>797</v>
      </c>
      <c r="DC3607" s="122" t="s">
        <v>797</v>
      </c>
      <c r="DD3607" s="127">
        <v>3</v>
      </c>
      <c r="DE3607" s="127">
        <v>3</v>
      </c>
      <c r="DG3607" s="405" t="s">
        <v>358</v>
      </c>
      <c r="DH3607" s="406" t="s">
        <v>797</v>
      </c>
      <c r="DI3607" s="406" t="str">
        <f t="shared" si="88"/>
        <v>RJ, Cantagalo</v>
      </c>
      <c r="DJ3607" s="406">
        <v>-21.981000000000002</v>
      </c>
      <c r="DK3607" s="80">
        <v>-42.368000000000002</v>
      </c>
      <c r="DL3607" s="80">
        <v>391</v>
      </c>
      <c r="DM3607" s="64">
        <v>3</v>
      </c>
      <c r="DN3607" s="406" t="s">
        <v>6969</v>
      </c>
      <c r="DO3607" s="406">
        <v>-21.58</v>
      </c>
      <c r="DP3607" s="80">
        <v>35</v>
      </c>
    </row>
    <row r="3608" spans="29:120" x14ac:dyDescent="0.25">
      <c r="AC3608" s="122" t="s">
        <v>376</v>
      </c>
      <c r="AD3608" s="122" t="s">
        <v>3906</v>
      </c>
      <c r="AE3608" s="127">
        <v>6</v>
      </c>
      <c r="DA3608" s="122" t="s">
        <v>358</v>
      </c>
      <c r="DB3608" s="122" t="s">
        <v>3102</v>
      </c>
      <c r="DC3608" s="122" t="s">
        <v>3102</v>
      </c>
      <c r="DD3608" s="127">
        <v>5</v>
      </c>
      <c r="DE3608" s="127">
        <v>5</v>
      </c>
      <c r="DG3608" s="405" t="s">
        <v>358</v>
      </c>
      <c r="DH3608" s="406" t="s">
        <v>3102</v>
      </c>
      <c r="DI3608" s="406" t="str">
        <f t="shared" si="88"/>
        <v>RJ, Carapebus</v>
      </c>
      <c r="DJ3608" s="406">
        <v>-22.187000000000001</v>
      </c>
      <c r="DK3608" s="80">
        <v>-41.661000000000001</v>
      </c>
      <c r="DL3608" s="80">
        <v>15</v>
      </c>
      <c r="DM3608" s="64">
        <v>5</v>
      </c>
      <c r="DN3608" s="406" t="s">
        <v>8034</v>
      </c>
      <c r="DO3608" s="406">
        <v>-22.37</v>
      </c>
      <c r="DP3608" s="80">
        <v>32</v>
      </c>
    </row>
    <row r="3609" spans="29:120" x14ac:dyDescent="0.25">
      <c r="AC3609" s="122" t="s">
        <v>376</v>
      </c>
      <c r="AD3609" s="122" t="s">
        <v>3907</v>
      </c>
      <c r="AE3609" s="127">
        <v>4</v>
      </c>
      <c r="DA3609" s="122" t="s">
        <v>358</v>
      </c>
      <c r="DB3609" s="122" t="s">
        <v>8035</v>
      </c>
      <c r="DC3609" s="122" t="s">
        <v>3185</v>
      </c>
      <c r="DD3609" s="127">
        <v>5</v>
      </c>
      <c r="DE3609" s="127">
        <v>5</v>
      </c>
      <c r="DG3609" s="405" t="s">
        <v>358</v>
      </c>
      <c r="DH3609" s="406" t="s">
        <v>3185</v>
      </c>
      <c r="DI3609" s="406" t="str">
        <f t="shared" si="88"/>
        <v>RJ, Cardoso Moreira</v>
      </c>
      <c r="DJ3609" s="406">
        <v>-21.488</v>
      </c>
      <c r="DK3609" s="80">
        <v>-41.616</v>
      </c>
      <c r="DL3609" s="80">
        <v>22</v>
      </c>
      <c r="DM3609" s="64">
        <v>5</v>
      </c>
      <c r="DN3609" s="406" t="s">
        <v>6969</v>
      </c>
      <c r="DO3609" s="406">
        <v>-21.58</v>
      </c>
      <c r="DP3609" s="80">
        <v>35</v>
      </c>
    </row>
    <row r="3610" spans="29:120" x14ac:dyDescent="0.25">
      <c r="AC3610" s="122" t="s">
        <v>376</v>
      </c>
      <c r="AD3610" s="122" t="s">
        <v>3908</v>
      </c>
      <c r="AE3610" s="127">
        <v>6</v>
      </c>
      <c r="DA3610" s="122" t="s">
        <v>358</v>
      </c>
      <c r="DB3610" s="122" t="s">
        <v>3622</v>
      </c>
      <c r="DC3610" s="122" t="s">
        <v>3622</v>
      </c>
      <c r="DD3610" s="127">
        <v>3</v>
      </c>
      <c r="DE3610" s="127">
        <v>3</v>
      </c>
      <c r="DG3610" s="405" t="s">
        <v>358</v>
      </c>
      <c r="DH3610" s="406" t="s">
        <v>3622</v>
      </c>
      <c r="DI3610" s="406" t="str">
        <f t="shared" si="88"/>
        <v>RJ, Carmo</v>
      </c>
      <c r="DJ3610" s="406">
        <v>-21.934000000000001</v>
      </c>
      <c r="DK3610" s="80">
        <v>-42.609000000000002</v>
      </c>
      <c r="DL3610" s="80">
        <v>347</v>
      </c>
      <c r="DM3610" s="64">
        <v>3</v>
      </c>
      <c r="DN3610" s="406" t="s">
        <v>6810</v>
      </c>
      <c r="DO3610" s="406">
        <v>-22.41</v>
      </c>
      <c r="DP3610" s="80">
        <v>980</v>
      </c>
    </row>
    <row r="3611" spans="29:120" x14ac:dyDescent="0.25">
      <c r="AC3611" s="122" t="s">
        <v>376</v>
      </c>
      <c r="AD3611" s="122" t="s">
        <v>3909</v>
      </c>
      <c r="AE3611" s="127">
        <v>3</v>
      </c>
      <c r="DA3611" s="122" t="s">
        <v>358</v>
      </c>
      <c r="DB3611" s="122" t="s">
        <v>8036</v>
      </c>
      <c r="DC3611" s="122" t="s">
        <v>3116</v>
      </c>
      <c r="DD3611" s="127">
        <v>3</v>
      </c>
      <c r="DE3611" s="127">
        <v>3</v>
      </c>
      <c r="DG3611" s="405" t="s">
        <v>358</v>
      </c>
      <c r="DH3611" s="406" t="s">
        <v>3116</v>
      </c>
      <c r="DI3611" s="406" t="str">
        <f t="shared" si="88"/>
        <v>RJ, Casimiro de Abreu</v>
      </c>
      <c r="DJ3611" s="406">
        <v>-22.481000000000002</v>
      </c>
      <c r="DK3611" s="80">
        <v>-42.204000000000001</v>
      </c>
      <c r="DL3611" s="80">
        <v>17</v>
      </c>
      <c r="DM3611" s="64">
        <v>3</v>
      </c>
      <c r="DN3611" s="406" t="s">
        <v>8034</v>
      </c>
      <c r="DO3611" s="406">
        <v>-22.37</v>
      </c>
      <c r="DP3611" s="80">
        <v>32</v>
      </c>
    </row>
    <row r="3612" spans="29:120" x14ac:dyDescent="0.25">
      <c r="AC3612" s="122" t="s">
        <v>376</v>
      </c>
      <c r="AD3612" s="122" t="s">
        <v>3910</v>
      </c>
      <c r="AE3612" s="127">
        <v>6</v>
      </c>
      <c r="DA3612" s="122" t="s">
        <v>358</v>
      </c>
      <c r="DB3612" s="122" t="s">
        <v>8037</v>
      </c>
      <c r="DC3612" s="122" t="s">
        <v>717</v>
      </c>
      <c r="DD3612" s="127">
        <v>3</v>
      </c>
      <c r="DE3612" s="127">
        <v>3</v>
      </c>
      <c r="DG3612" s="405" t="s">
        <v>358</v>
      </c>
      <c r="DH3612" s="406" t="s">
        <v>717</v>
      </c>
      <c r="DI3612" s="406" t="str">
        <f t="shared" si="88"/>
        <v>RJ, Comendador Levy Gasparian</v>
      </c>
      <c r="DJ3612" s="406">
        <v>-22.029</v>
      </c>
      <c r="DK3612" s="80">
        <v>-43.204999999999998</v>
      </c>
      <c r="DL3612" s="80">
        <v>315</v>
      </c>
      <c r="DM3612" s="64">
        <v>3</v>
      </c>
      <c r="DN3612" s="406" t="s">
        <v>6829</v>
      </c>
      <c r="DO3612" s="406">
        <v>-21.76</v>
      </c>
      <c r="DP3612" s="80">
        <v>950</v>
      </c>
    </row>
    <row r="3613" spans="29:120" x14ac:dyDescent="0.25">
      <c r="AC3613" s="122" t="s">
        <v>376</v>
      </c>
      <c r="AD3613" s="122" t="s">
        <v>3911</v>
      </c>
      <c r="AE3613" s="127">
        <v>4</v>
      </c>
      <c r="DA3613" s="122" t="s">
        <v>358</v>
      </c>
      <c r="DB3613" s="122" t="s">
        <v>8038</v>
      </c>
      <c r="DC3613" s="122" t="s">
        <v>3078</v>
      </c>
      <c r="DD3613" s="127">
        <v>5</v>
      </c>
      <c r="DE3613" s="127">
        <v>5</v>
      </c>
      <c r="DG3613" s="405" t="s">
        <v>358</v>
      </c>
      <c r="DH3613" s="406" t="s">
        <v>3078</v>
      </c>
      <c r="DI3613" s="406" t="str">
        <f t="shared" si="88"/>
        <v>RJ, Conceição de Macabu</v>
      </c>
      <c r="DJ3613" s="406">
        <v>-22.085000000000001</v>
      </c>
      <c r="DK3613" s="80">
        <v>-41.868000000000002</v>
      </c>
      <c r="DL3613" s="80">
        <v>50</v>
      </c>
      <c r="DM3613" s="64">
        <v>5</v>
      </c>
      <c r="DN3613" s="406" t="s">
        <v>8034</v>
      </c>
      <c r="DO3613" s="406">
        <v>-22.37</v>
      </c>
      <c r="DP3613" s="80">
        <v>32</v>
      </c>
    </row>
    <row r="3614" spans="29:120" x14ac:dyDescent="0.25">
      <c r="AC3614" s="122" t="s">
        <v>376</v>
      </c>
      <c r="AD3614" s="122" t="s">
        <v>3912</v>
      </c>
      <c r="AE3614" s="127">
        <v>4</v>
      </c>
      <c r="DA3614" s="122" t="s">
        <v>358</v>
      </c>
      <c r="DB3614" s="122" t="s">
        <v>3233</v>
      </c>
      <c r="DC3614" s="122" t="s">
        <v>3233</v>
      </c>
      <c r="DD3614" s="127">
        <v>3</v>
      </c>
      <c r="DE3614" s="127">
        <v>3</v>
      </c>
      <c r="DG3614" s="405" t="s">
        <v>358</v>
      </c>
      <c r="DH3614" s="406" t="s">
        <v>3233</v>
      </c>
      <c r="DI3614" s="406" t="str">
        <f t="shared" si="88"/>
        <v>RJ, Cordeiro</v>
      </c>
      <c r="DJ3614" s="406">
        <v>-22.029</v>
      </c>
      <c r="DK3614" s="80">
        <v>-42.360999999999997</v>
      </c>
      <c r="DL3614" s="80">
        <v>485</v>
      </c>
      <c r="DM3614" s="64">
        <v>3</v>
      </c>
      <c r="DN3614" s="406" t="s">
        <v>6969</v>
      </c>
      <c r="DO3614" s="406">
        <v>-21.58</v>
      </c>
      <c r="DP3614" s="80">
        <v>35</v>
      </c>
    </row>
    <row r="3615" spans="29:120" x14ac:dyDescent="0.25">
      <c r="AC3615" s="122" t="s">
        <v>376</v>
      </c>
      <c r="AD3615" s="122" t="s">
        <v>3913</v>
      </c>
      <c r="AE3615" s="127">
        <v>4</v>
      </c>
      <c r="DA3615" s="122" t="s">
        <v>358</v>
      </c>
      <c r="DB3615" s="122" t="s">
        <v>8039</v>
      </c>
      <c r="DC3615" s="122" t="s">
        <v>3285</v>
      </c>
      <c r="DD3615" s="127">
        <v>3</v>
      </c>
      <c r="DE3615" s="127">
        <v>3</v>
      </c>
      <c r="DG3615" s="405" t="s">
        <v>358</v>
      </c>
      <c r="DH3615" s="406" t="s">
        <v>3285</v>
      </c>
      <c r="DI3615" s="406" t="str">
        <f t="shared" si="88"/>
        <v>RJ, Duas Barras</v>
      </c>
      <c r="DJ3615" s="406">
        <v>-22.050999999999998</v>
      </c>
      <c r="DK3615" s="80">
        <v>-42.521999999999998</v>
      </c>
      <c r="DL3615" s="80">
        <v>530</v>
      </c>
      <c r="DM3615" s="64">
        <v>3</v>
      </c>
      <c r="DN3615" s="406" t="s">
        <v>6810</v>
      </c>
      <c r="DO3615" s="406">
        <v>-22.41</v>
      </c>
      <c r="DP3615" s="80">
        <v>980</v>
      </c>
    </row>
    <row r="3616" spans="29:120" x14ac:dyDescent="0.25">
      <c r="AC3616" s="122" t="s">
        <v>376</v>
      </c>
      <c r="AD3616" s="122" t="s">
        <v>3914</v>
      </c>
      <c r="AE3616" s="127">
        <v>6</v>
      </c>
      <c r="DA3616" s="122" t="s">
        <v>358</v>
      </c>
      <c r="DB3616" s="122" t="s">
        <v>8040</v>
      </c>
      <c r="DC3616" s="122" t="s">
        <v>3301</v>
      </c>
      <c r="DD3616" s="127">
        <v>5</v>
      </c>
      <c r="DE3616" s="127">
        <v>5</v>
      </c>
      <c r="DG3616" s="405" t="s">
        <v>358</v>
      </c>
      <c r="DH3616" s="406" t="s">
        <v>3301</v>
      </c>
      <c r="DI3616" s="406" t="str">
        <f t="shared" si="88"/>
        <v>RJ, Duque de Caxias</v>
      </c>
      <c r="DJ3616" s="406">
        <v>-22.786000000000001</v>
      </c>
      <c r="DK3616" s="80">
        <v>-43.311999999999998</v>
      </c>
      <c r="DL3616" s="80">
        <v>19</v>
      </c>
      <c r="DM3616" s="64">
        <v>5</v>
      </c>
      <c r="DN3616" s="406" t="s">
        <v>8028</v>
      </c>
      <c r="DO3616" s="406">
        <v>-22.86</v>
      </c>
      <c r="DP3616" s="80">
        <v>45</v>
      </c>
    </row>
    <row r="3617" spans="29:120" x14ac:dyDescent="0.25">
      <c r="AC3617" s="122" t="s">
        <v>333</v>
      </c>
      <c r="AD3617" s="122" t="s">
        <v>3915</v>
      </c>
      <c r="AE3617" s="127">
        <v>3</v>
      </c>
      <c r="DA3617" s="122" t="s">
        <v>358</v>
      </c>
      <c r="DB3617" s="122" t="s">
        <v>8041</v>
      </c>
      <c r="DC3617" s="122" t="s">
        <v>3156</v>
      </c>
      <c r="DD3617" s="127">
        <v>5</v>
      </c>
      <c r="DE3617" s="127">
        <v>5</v>
      </c>
      <c r="DG3617" s="405" t="s">
        <v>358</v>
      </c>
      <c r="DH3617" s="406" t="s">
        <v>3156</v>
      </c>
      <c r="DI3617" s="406" t="str">
        <f t="shared" si="88"/>
        <v>RJ, Engenheiro Paulo de Frontin</v>
      </c>
      <c r="DJ3617" s="406">
        <v>-22.55</v>
      </c>
      <c r="DK3617" s="80">
        <v>-43.677999999999997</v>
      </c>
      <c r="DL3617" s="80">
        <v>395</v>
      </c>
      <c r="DM3617" s="64">
        <v>5</v>
      </c>
      <c r="DN3617" s="406" t="s">
        <v>6856</v>
      </c>
      <c r="DO3617" s="406">
        <v>-22.25</v>
      </c>
      <c r="DP3617" s="80">
        <v>367</v>
      </c>
    </row>
    <row r="3618" spans="29:120" x14ac:dyDescent="0.25">
      <c r="AC3618" s="122" t="s">
        <v>376</v>
      </c>
      <c r="AD3618" s="122" t="s">
        <v>1620</v>
      </c>
      <c r="AE3618" s="127">
        <v>6</v>
      </c>
      <c r="DA3618" s="122" t="s">
        <v>358</v>
      </c>
      <c r="DB3618" s="122" t="s">
        <v>516</v>
      </c>
      <c r="DC3618" s="122" t="s">
        <v>516</v>
      </c>
      <c r="DD3618" s="127">
        <v>3</v>
      </c>
      <c r="DE3618" s="127">
        <v>3</v>
      </c>
      <c r="DG3618" s="405" t="s">
        <v>358</v>
      </c>
      <c r="DH3618" s="406" t="s">
        <v>516</v>
      </c>
      <c r="DI3618" s="406" t="str">
        <f t="shared" si="88"/>
        <v>RJ, Guapimirim</v>
      </c>
      <c r="DJ3618" s="406">
        <v>-22.536999999999999</v>
      </c>
      <c r="DK3618" s="80">
        <v>-42.981999999999999</v>
      </c>
      <c r="DL3618" s="80">
        <v>48</v>
      </c>
      <c r="DM3618" s="64">
        <v>3</v>
      </c>
      <c r="DN3618" s="406" t="s">
        <v>6810</v>
      </c>
      <c r="DO3618" s="406">
        <v>-22.41</v>
      </c>
      <c r="DP3618" s="80">
        <v>980</v>
      </c>
    </row>
    <row r="3619" spans="29:120" x14ac:dyDescent="0.25">
      <c r="AC3619" s="122" t="s">
        <v>336</v>
      </c>
      <c r="AD3619" s="122" t="s">
        <v>3916</v>
      </c>
      <c r="AE3619" s="127">
        <v>6</v>
      </c>
      <c r="DA3619" s="122" t="s">
        <v>358</v>
      </c>
      <c r="DB3619" s="122" t="s">
        <v>8042</v>
      </c>
      <c r="DC3619" s="122" t="s">
        <v>1836</v>
      </c>
      <c r="DD3619" s="127">
        <v>3</v>
      </c>
      <c r="DE3619" s="127">
        <v>3</v>
      </c>
      <c r="DG3619" s="405" t="s">
        <v>358</v>
      </c>
      <c r="DH3619" s="406" t="s">
        <v>1836</v>
      </c>
      <c r="DI3619" s="406" t="str">
        <f t="shared" si="88"/>
        <v>RJ, Iguaba Grande</v>
      </c>
      <c r="DJ3619" s="406">
        <v>-22.838999999999999</v>
      </c>
      <c r="DK3619" s="80">
        <v>-42.228999999999999</v>
      </c>
      <c r="DL3619" s="80">
        <v>18</v>
      </c>
      <c r="DM3619" s="64">
        <v>3</v>
      </c>
      <c r="DN3619" s="406" t="s">
        <v>8021</v>
      </c>
      <c r="DO3619" s="406">
        <v>-22.97</v>
      </c>
      <c r="DP3619" s="80">
        <v>4</v>
      </c>
    </row>
    <row r="3620" spans="29:120" x14ac:dyDescent="0.25">
      <c r="AC3620" s="122" t="s">
        <v>376</v>
      </c>
      <c r="AD3620" s="122" t="s">
        <v>3917</v>
      </c>
      <c r="AE3620" s="127">
        <v>3</v>
      </c>
      <c r="DA3620" s="122" t="s">
        <v>358</v>
      </c>
      <c r="DB3620" s="122" t="s">
        <v>466</v>
      </c>
      <c r="DC3620" s="122" t="s">
        <v>466</v>
      </c>
      <c r="DD3620" s="127">
        <v>3</v>
      </c>
      <c r="DE3620" s="127">
        <v>3</v>
      </c>
      <c r="DG3620" s="405" t="s">
        <v>358</v>
      </c>
      <c r="DH3620" s="406" t="s">
        <v>466</v>
      </c>
      <c r="DI3620" s="406" t="str">
        <f t="shared" si="88"/>
        <v>RJ, Itaboraí</v>
      </c>
      <c r="DJ3620" s="406">
        <v>-22.744</v>
      </c>
      <c r="DK3620" s="80">
        <v>-42.859000000000002</v>
      </c>
      <c r="DL3620" s="80">
        <v>46</v>
      </c>
      <c r="DM3620" s="64">
        <v>3</v>
      </c>
      <c r="DN3620" s="406" t="s">
        <v>8043</v>
      </c>
      <c r="DO3620" s="406">
        <v>-22.91</v>
      </c>
      <c r="DP3620" s="80">
        <v>13</v>
      </c>
    </row>
    <row r="3621" spans="29:120" x14ac:dyDescent="0.25">
      <c r="AC3621" s="122" t="s">
        <v>376</v>
      </c>
      <c r="AD3621" s="122" t="s">
        <v>3918</v>
      </c>
      <c r="AE3621" s="127">
        <v>5</v>
      </c>
      <c r="DA3621" s="122" t="s">
        <v>358</v>
      </c>
      <c r="DB3621" s="122" t="s">
        <v>3091</v>
      </c>
      <c r="DC3621" s="122" t="s">
        <v>3091</v>
      </c>
      <c r="DD3621" s="127">
        <v>8</v>
      </c>
      <c r="DE3621" s="127">
        <v>8</v>
      </c>
      <c r="DG3621" s="405" t="s">
        <v>358</v>
      </c>
      <c r="DH3621" s="406" t="s">
        <v>3091</v>
      </c>
      <c r="DI3621" s="406" t="str">
        <f t="shared" si="88"/>
        <v>RJ, Itaguaí</v>
      </c>
      <c r="DJ3621" s="406">
        <v>-22.852</v>
      </c>
      <c r="DK3621" s="80">
        <v>-43.774999999999999</v>
      </c>
      <c r="DL3621" s="80">
        <v>13</v>
      </c>
      <c r="DM3621" s="64">
        <v>8</v>
      </c>
      <c r="DN3621" s="406" t="s">
        <v>8044</v>
      </c>
      <c r="DO3621" s="406">
        <v>-22.57</v>
      </c>
      <c r="DP3621" s="80">
        <v>0</v>
      </c>
    </row>
    <row r="3622" spans="29:120" x14ac:dyDescent="0.25">
      <c r="AC3622" s="122" t="s">
        <v>376</v>
      </c>
      <c r="AD3622" s="122" t="s">
        <v>1111</v>
      </c>
      <c r="AE3622" s="127">
        <v>3</v>
      </c>
      <c r="DA3622" s="122" t="s">
        <v>358</v>
      </c>
      <c r="DB3622" s="122" t="s">
        <v>3229</v>
      </c>
      <c r="DC3622" s="122" t="s">
        <v>3229</v>
      </c>
      <c r="DD3622" s="127">
        <v>5</v>
      </c>
      <c r="DE3622" s="127">
        <v>5</v>
      </c>
      <c r="DG3622" s="405" t="s">
        <v>358</v>
      </c>
      <c r="DH3622" s="406" t="s">
        <v>3229</v>
      </c>
      <c r="DI3622" s="406" t="str">
        <f t="shared" si="88"/>
        <v>RJ, Italva</v>
      </c>
      <c r="DJ3622" s="406">
        <v>-21.420999999999999</v>
      </c>
      <c r="DK3622" s="80">
        <v>-41.691000000000003</v>
      </c>
      <c r="DL3622" s="80">
        <v>36</v>
      </c>
      <c r="DM3622" s="64">
        <v>5</v>
      </c>
      <c r="DN3622" s="406" t="s">
        <v>6969</v>
      </c>
      <c r="DO3622" s="406">
        <v>-21.58</v>
      </c>
      <c r="DP3622" s="80">
        <v>35</v>
      </c>
    </row>
    <row r="3623" spans="29:120" x14ac:dyDescent="0.25">
      <c r="AC3623" s="122" t="s">
        <v>333</v>
      </c>
      <c r="AD3623" s="122" t="s">
        <v>3919</v>
      </c>
      <c r="AE3623" s="127">
        <v>3</v>
      </c>
      <c r="DA3623" s="122" t="s">
        <v>358</v>
      </c>
      <c r="DB3623" s="122" t="s">
        <v>3275</v>
      </c>
      <c r="DC3623" s="122" t="s">
        <v>3275</v>
      </c>
      <c r="DD3623" s="127">
        <v>5</v>
      </c>
      <c r="DE3623" s="127">
        <v>5</v>
      </c>
      <c r="DG3623" s="405" t="s">
        <v>358</v>
      </c>
      <c r="DH3623" s="406" t="s">
        <v>3275</v>
      </c>
      <c r="DI3623" s="406" t="str">
        <f t="shared" si="88"/>
        <v>RJ, Itaocara</v>
      </c>
      <c r="DJ3623" s="406">
        <v>-21.678999999999998</v>
      </c>
      <c r="DK3623" s="80">
        <v>-42.082000000000001</v>
      </c>
      <c r="DL3623" s="80">
        <v>60</v>
      </c>
      <c r="DM3623" s="64">
        <v>5</v>
      </c>
      <c r="DN3623" s="406" t="s">
        <v>6969</v>
      </c>
      <c r="DO3623" s="406">
        <v>-21.58</v>
      </c>
      <c r="DP3623" s="80">
        <v>35</v>
      </c>
    </row>
    <row r="3624" spans="29:120" x14ac:dyDescent="0.25">
      <c r="AC3624" s="122" t="s">
        <v>376</v>
      </c>
      <c r="AD3624" s="122" t="s">
        <v>3920</v>
      </c>
      <c r="AE3624" s="127">
        <v>4</v>
      </c>
      <c r="DA3624" s="122" t="s">
        <v>358</v>
      </c>
      <c r="DB3624" s="122" t="s">
        <v>3318</v>
      </c>
      <c r="DC3624" s="122" t="s">
        <v>3318</v>
      </c>
      <c r="DD3624" s="127">
        <v>5</v>
      </c>
      <c r="DE3624" s="127">
        <v>5</v>
      </c>
      <c r="DG3624" s="405" t="s">
        <v>358</v>
      </c>
      <c r="DH3624" s="406" t="s">
        <v>3318</v>
      </c>
      <c r="DI3624" s="406" t="str">
        <f t="shared" si="88"/>
        <v>RJ, Itaperuna</v>
      </c>
      <c r="DJ3624" s="406">
        <v>-21.204999999999998</v>
      </c>
      <c r="DK3624" s="80">
        <v>-41.887999999999998</v>
      </c>
      <c r="DL3624" s="80">
        <v>108</v>
      </c>
      <c r="DM3624" s="64">
        <v>5</v>
      </c>
      <c r="DN3624" s="406" t="s">
        <v>6969</v>
      </c>
      <c r="DO3624" s="406">
        <v>-21.58</v>
      </c>
      <c r="DP3624" s="80">
        <v>35</v>
      </c>
    </row>
    <row r="3625" spans="29:120" x14ac:dyDescent="0.25">
      <c r="AC3625" s="122" t="s">
        <v>333</v>
      </c>
      <c r="AD3625" s="122" t="s">
        <v>3921</v>
      </c>
      <c r="AE3625" s="127">
        <v>3</v>
      </c>
      <c r="DA3625" s="122" t="s">
        <v>358</v>
      </c>
      <c r="DB3625" s="122" t="s">
        <v>826</v>
      </c>
      <c r="DC3625" s="122" t="s">
        <v>826</v>
      </c>
      <c r="DD3625" s="127">
        <v>3</v>
      </c>
      <c r="DE3625" s="127">
        <v>3</v>
      </c>
      <c r="DG3625" s="405" t="s">
        <v>358</v>
      </c>
      <c r="DH3625" s="406" t="s">
        <v>826</v>
      </c>
      <c r="DI3625" s="406" t="str">
        <f t="shared" si="88"/>
        <v>RJ, Itatiaia</v>
      </c>
      <c r="DJ3625" s="406">
        <v>-22.495999999999999</v>
      </c>
      <c r="DK3625" s="80">
        <v>-44.563000000000002</v>
      </c>
      <c r="DL3625" s="80">
        <v>390</v>
      </c>
      <c r="DM3625" s="64">
        <v>3</v>
      </c>
      <c r="DN3625" s="406" t="s">
        <v>6807</v>
      </c>
      <c r="DO3625" s="406">
        <v>-22.47</v>
      </c>
      <c r="DP3625" s="80">
        <v>440</v>
      </c>
    </row>
    <row r="3626" spans="29:120" x14ac:dyDescent="0.25">
      <c r="AC3626" s="122" t="s">
        <v>376</v>
      </c>
      <c r="AD3626" s="122" t="s">
        <v>3922</v>
      </c>
      <c r="AE3626" s="127">
        <v>4</v>
      </c>
      <c r="DA3626" s="122" t="s">
        <v>358</v>
      </c>
      <c r="DB3626" s="122" t="s">
        <v>3154</v>
      </c>
      <c r="DC3626" s="122" t="s">
        <v>3154</v>
      </c>
      <c r="DD3626" s="127">
        <v>5</v>
      </c>
      <c r="DE3626" s="127">
        <v>5</v>
      </c>
      <c r="DG3626" s="405" t="s">
        <v>358</v>
      </c>
      <c r="DH3626" s="406" t="s">
        <v>3154</v>
      </c>
      <c r="DI3626" s="406" t="str">
        <f t="shared" si="88"/>
        <v>RJ, Japeri</v>
      </c>
      <c r="DJ3626" s="406">
        <v>-22.643000000000001</v>
      </c>
      <c r="DK3626" s="80">
        <v>-43.652999999999999</v>
      </c>
      <c r="DL3626" s="80">
        <v>30</v>
      </c>
      <c r="DM3626" s="64">
        <v>5</v>
      </c>
      <c r="DN3626" s="406" t="s">
        <v>8044</v>
      </c>
      <c r="DO3626" s="406">
        <v>-22.57</v>
      </c>
      <c r="DP3626" s="80">
        <v>0</v>
      </c>
    </row>
    <row r="3627" spans="29:120" x14ac:dyDescent="0.25">
      <c r="AC3627" s="122" t="s">
        <v>376</v>
      </c>
      <c r="AD3627" s="122" t="s">
        <v>3923</v>
      </c>
      <c r="AE3627" s="127">
        <v>6</v>
      </c>
      <c r="DA3627" s="122" t="s">
        <v>358</v>
      </c>
      <c r="DB3627" s="122" t="s">
        <v>8045</v>
      </c>
      <c r="DC3627" s="122" t="s">
        <v>3277</v>
      </c>
      <c r="DD3627" s="127">
        <v>5</v>
      </c>
      <c r="DE3627" s="127">
        <v>5</v>
      </c>
      <c r="DG3627" s="405" t="s">
        <v>358</v>
      </c>
      <c r="DH3627" s="406" t="s">
        <v>3277</v>
      </c>
      <c r="DI3627" s="406" t="str">
        <f t="shared" si="88"/>
        <v>RJ, Laje do Muriaé</v>
      </c>
      <c r="DJ3627" s="406">
        <v>-21.206</v>
      </c>
      <c r="DK3627" s="80">
        <v>-42.122999999999998</v>
      </c>
      <c r="DL3627" s="80">
        <v>172</v>
      </c>
      <c r="DM3627" s="64">
        <v>5</v>
      </c>
      <c r="DN3627" s="406" t="s">
        <v>6827</v>
      </c>
      <c r="DO3627" s="406">
        <v>-21.13</v>
      </c>
      <c r="DP3627" s="80">
        <v>297</v>
      </c>
    </row>
    <row r="3628" spans="29:120" x14ac:dyDescent="0.25">
      <c r="AC3628" s="122" t="s">
        <v>376</v>
      </c>
      <c r="AD3628" s="122" t="s">
        <v>3924</v>
      </c>
      <c r="AE3628" s="127">
        <v>4</v>
      </c>
      <c r="DA3628" s="122" t="s">
        <v>358</v>
      </c>
      <c r="DB3628" s="122" t="s">
        <v>3202</v>
      </c>
      <c r="DC3628" s="122" t="s">
        <v>3202</v>
      </c>
      <c r="DD3628" s="127">
        <v>5</v>
      </c>
      <c r="DE3628" s="127">
        <v>5</v>
      </c>
      <c r="DG3628" s="405" t="s">
        <v>358</v>
      </c>
      <c r="DH3628" s="406" t="s">
        <v>3202</v>
      </c>
      <c r="DI3628" s="406" t="str">
        <f t="shared" si="88"/>
        <v>RJ, Macaé</v>
      </c>
      <c r="DJ3628" s="406">
        <v>-22.370999999999999</v>
      </c>
      <c r="DK3628" s="80">
        <v>-41.786999999999999</v>
      </c>
      <c r="DL3628" s="80">
        <v>2</v>
      </c>
      <c r="DM3628" s="64">
        <v>5</v>
      </c>
      <c r="DN3628" s="406" t="s">
        <v>8034</v>
      </c>
      <c r="DO3628" s="406">
        <v>-22.37</v>
      </c>
      <c r="DP3628" s="80">
        <v>32</v>
      </c>
    </row>
    <row r="3629" spans="29:120" x14ac:dyDescent="0.25">
      <c r="AC3629" s="122" t="s">
        <v>376</v>
      </c>
      <c r="AD3629" s="122" t="s">
        <v>3925</v>
      </c>
      <c r="AE3629" s="127">
        <v>6</v>
      </c>
      <c r="DA3629" s="122" t="s">
        <v>358</v>
      </c>
      <c r="DB3629" s="122" t="s">
        <v>3191</v>
      </c>
      <c r="DC3629" s="122" t="s">
        <v>3191</v>
      </c>
      <c r="DD3629" s="127">
        <v>3</v>
      </c>
      <c r="DE3629" s="127">
        <v>3</v>
      </c>
      <c r="DG3629" s="405" t="s">
        <v>358</v>
      </c>
      <c r="DH3629" s="406" t="s">
        <v>3191</v>
      </c>
      <c r="DI3629" s="406" t="str">
        <f t="shared" si="88"/>
        <v>RJ, Macuco</v>
      </c>
      <c r="DJ3629" s="406">
        <v>-21.984000000000002</v>
      </c>
      <c r="DK3629" s="80">
        <v>-42.253</v>
      </c>
      <c r="DL3629" s="80">
        <v>266</v>
      </c>
      <c r="DM3629" s="64">
        <v>3</v>
      </c>
      <c r="DN3629" s="406" t="s">
        <v>6969</v>
      </c>
      <c r="DO3629" s="406">
        <v>-21.58</v>
      </c>
      <c r="DP3629" s="80">
        <v>35</v>
      </c>
    </row>
    <row r="3630" spans="29:120" x14ac:dyDescent="0.25">
      <c r="AC3630" s="122" t="s">
        <v>376</v>
      </c>
      <c r="AD3630" s="122" t="s">
        <v>3926</v>
      </c>
      <c r="AE3630" s="127">
        <v>4</v>
      </c>
      <c r="DA3630" s="122" t="s">
        <v>358</v>
      </c>
      <c r="DB3630" s="122" t="s">
        <v>543</v>
      </c>
      <c r="DC3630" s="122" t="s">
        <v>543</v>
      </c>
      <c r="DD3630" s="127">
        <v>3</v>
      </c>
      <c r="DE3630" s="127">
        <v>3</v>
      </c>
      <c r="DG3630" s="405" t="s">
        <v>358</v>
      </c>
      <c r="DH3630" s="406" t="s">
        <v>543</v>
      </c>
      <c r="DI3630" s="406" t="str">
        <f t="shared" si="88"/>
        <v>RJ, Magé</v>
      </c>
      <c r="DJ3630" s="406">
        <v>-22.652999999999999</v>
      </c>
      <c r="DK3630" s="80">
        <v>-43.040999999999997</v>
      </c>
      <c r="DL3630" s="80">
        <v>5</v>
      </c>
      <c r="DM3630" s="64">
        <v>3</v>
      </c>
      <c r="DN3630" s="406" t="s">
        <v>8046</v>
      </c>
      <c r="DO3630" s="406">
        <v>-22.46</v>
      </c>
      <c r="DP3630" s="80">
        <v>1777</v>
      </c>
    </row>
    <row r="3631" spans="29:120" x14ac:dyDescent="0.25">
      <c r="AC3631" s="122" t="s">
        <v>376</v>
      </c>
      <c r="AD3631" s="122" t="s">
        <v>3927</v>
      </c>
      <c r="AE3631" s="127">
        <v>3</v>
      </c>
      <c r="DA3631" s="122" t="s">
        <v>358</v>
      </c>
      <c r="DB3631" s="122" t="s">
        <v>1962</v>
      </c>
      <c r="DC3631" s="122" t="s">
        <v>1962</v>
      </c>
      <c r="DD3631" s="127">
        <v>8</v>
      </c>
      <c r="DE3631" s="127">
        <v>8</v>
      </c>
      <c r="DG3631" s="405" t="s">
        <v>358</v>
      </c>
      <c r="DH3631" s="406" t="s">
        <v>1962</v>
      </c>
      <c r="DI3631" s="406" t="str">
        <f t="shared" si="88"/>
        <v>RJ, Mangaratiba</v>
      </c>
      <c r="DJ3631" s="406">
        <v>-22.96</v>
      </c>
      <c r="DK3631" s="80">
        <v>-44.040999999999997</v>
      </c>
      <c r="DL3631" s="80">
        <v>18</v>
      </c>
      <c r="DM3631" s="64">
        <v>8</v>
      </c>
      <c r="DN3631" s="406" t="s">
        <v>6807</v>
      </c>
      <c r="DO3631" s="406">
        <v>-22.47</v>
      </c>
      <c r="DP3631" s="80">
        <v>440</v>
      </c>
    </row>
    <row r="3632" spans="29:120" x14ac:dyDescent="0.25">
      <c r="AC3632" s="122" t="s">
        <v>376</v>
      </c>
      <c r="AD3632" s="122" t="s">
        <v>3928</v>
      </c>
      <c r="AE3632" s="127">
        <v>3</v>
      </c>
      <c r="DA3632" s="122" t="s">
        <v>358</v>
      </c>
      <c r="DB3632" s="122" t="s">
        <v>1850</v>
      </c>
      <c r="DC3632" s="122" t="s">
        <v>1850</v>
      </c>
      <c r="DD3632" s="127">
        <v>3</v>
      </c>
      <c r="DE3632" s="127">
        <v>3</v>
      </c>
      <c r="DG3632" s="405" t="s">
        <v>358</v>
      </c>
      <c r="DH3632" s="406" t="s">
        <v>1850</v>
      </c>
      <c r="DI3632" s="406" t="str">
        <f t="shared" si="88"/>
        <v>RJ, Maricá</v>
      </c>
      <c r="DJ3632" s="406">
        <v>-22.919</v>
      </c>
      <c r="DK3632" s="80">
        <v>-42.819000000000003</v>
      </c>
      <c r="DL3632" s="80">
        <v>5</v>
      </c>
      <c r="DM3632" s="64">
        <v>3</v>
      </c>
      <c r="DN3632" s="406" t="s">
        <v>8043</v>
      </c>
      <c r="DO3632" s="406">
        <v>-22.91</v>
      </c>
      <c r="DP3632" s="80">
        <v>13</v>
      </c>
    </row>
    <row r="3633" spans="29:120" x14ac:dyDescent="0.25">
      <c r="AC3633" s="122" t="s">
        <v>376</v>
      </c>
      <c r="AD3633" s="122" t="s">
        <v>3929</v>
      </c>
      <c r="AE3633" s="127">
        <v>3</v>
      </c>
      <c r="DA3633" s="122" t="s">
        <v>358</v>
      </c>
      <c r="DB3633" s="122" t="s">
        <v>3234</v>
      </c>
      <c r="DC3633" s="122" t="s">
        <v>3234</v>
      </c>
      <c r="DD3633" s="127">
        <v>5</v>
      </c>
      <c r="DE3633" s="127">
        <v>5</v>
      </c>
      <c r="DG3633" s="405" t="s">
        <v>358</v>
      </c>
      <c r="DH3633" s="406" t="s">
        <v>3234</v>
      </c>
      <c r="DI3633" s="406" t="str">
        <f t="shared" si="88"/>
        <v>RJ, Mendes</v>
      </c>
      <c r="DJ3633" s="406">
        <v>-22.527000000000001</v>
      </c>
      <c r="DK3633" s="80">
        <v>-43.732999999999997</v>
      </c>
      <c r="DL3633" s="80">
        <v>410</v>
      </c>
      <c r="DM3633" s="64">
        <v>5</v>
      </c>
      <c r="DN3633" s="406" t="s">
        <v>6856</v>
      </c>
      <c r="DO3633" s="406">
        <v>-22.25</v>
      </c>
      <c r="DP3633" s="80">
        <v>367</v>
      </c>
    </row>
    <row r="3634" spans="29:120" x14ac:dyDescent="0.25">
      <c r="AC3634" s="122" t="s">
        <v>376</v>
      </c>
      <c r="AD3634" s="122" t="s">
        <v>3930</v>
      </c>
      <c r="AE3634" s="127">
        <v>4</v>
      </c>
      <c r="DA3634" s="122" t="s">
        <v>358</v>
      </c>
      <c r="DB3634" s="122" t="s">
        <v>2537</v>
      </c>
      <c r="DC3634" s="122" t="s">
        <v>2537</v>
      </c>
      <c r="DD3634" s="127">
        <v>5</v>
      </c>
      <c r="DE3634" s="127">
        <v>5</v>
      </c>
      <c r="DG3634" s="405" t="s">
        <v>358</v>
      </c>
      <c r="DH3634" s="406" t="s">
        <v>2537</v>
      </c>
      <c r="DI3634" s="406" t="str">
        <f t="shared" si="88"/>
        <v>RJ, Mesquita</v>
      </c>
      <c r="DJ3634" s="406">
        <v>-22.782</v>
      </c>
      <c r="DK3634" s="80">
        <v>-43.429000000000002</v>
      </c>
      <c r="DL3634" s="80">
        <v>183</v>
      </c>
      <c r="DM3634" s="64">
        <v>5</v>
      </c>
      <c r="DN3634" s="406" t="s">
        <v>8028</v>
      </c>
      <c r="DO3634" s="406">
        <v>-22.86</v>
      </c>
      <c r="DP3634" s="80">
        <v>45</v>
      </c>
    </row>
    <row r="3635" spans="29:120" x14ac:dyDescent="0.25">
      <c r="AC3635" s="122" t="s">
        <v>376</v>
      </c>
      <c r="AD3635" s="122" t="s">
        <v>3931</v>
      </c>
      <c r="AE3635" s="127">
        <v>4</v>
      </c>
      <c r="DA3635" s="122" t="s">
        <v>358</v>
      </c>
      <c r="DB3635" s="122" t="s">
        <v>8047</v>
      </c>
      <c r="DC3635" s="122" t="s">
        <v>3108</v>
      </c>
      <c r="DD3635" s="127">
        <v>3</v>
      </c>
      <c r="DE3635" s="127">
        <v>3</v>
      </c>
      <c r="DG3635" s="405" t="s">
        <v>358</v>
      </c>
      <c r="DH3635" s="406" t="s">
        <v>3108</v>
      </c>
      <c r="DI3635" s="406" t="str">
        <f t="shared" si="88"/>
        <v>RJ, Miguel Pereira</v>
      </c>
      <c r="DJ3635" s="406">
        <v>-22.454000000000001</v>
      </c>
      <c r="DK3635" s="80">
        <v>-43.469000000000001</v>
      </c>
      <c r="DL3635" s="80">
        <v>618</v>
      </c>
      <c r="DM3635" s="64">
        <v>3</v>
      </c>
      <c r="DN3635" s="406" t="s">
        <v>8044</v>
      </c>
      <c r="DO3635" s="406">
        <v>-22.57</v>
      </c>
      <c r="DP3635" s="80">
        <v>0</v>
      </c>
    </row>
    <row r="3636" spans="29:120" x14ac:dyDescent="0.25">
      <c r="AC3636" s="122" t="s">
        <v>376</v>
      </c>
      <c r="AD3636" s="122" t="s">
        <v>3932</v>
      </c>
      <c r="AE3636" s="127">
        <v>3</v>
      </c>
      <c r="DA3636" s="122" t="s">
        <v>358</v>
      </c>
      <c r="DB3636" s="122" t="s">
        <v>3242</v>
      </c>
      <c r="DC3636" s="122" t="s">
        <v>3242</v>
      </c>
      <c r="DD3636" s="127">
        <v>5</v>
      </c>
      <c r="DE3636" s="127">
        <v>5</v>
      </c>
      <c r="DG3636" s="405" t="s">
        <v>358</v>
      </c>
      <c r="DH3636" s="406" t="s">
        <v>3242</v>
      </c>
      <c r="DI3636" s="406" t="str">
        <f t="shared" si="88"/>
        <v>RJ, Miracema</v>
      </c>
      <c r="DJ3636" s="406">
        <v>-21.411999999999999</v>
      </c>
      <c r="DK3636" s="80">
        <v>-42.197000000000003</v>
      </c>
      <c r="DL3636" s="80">
        <v>137</v>
      </c>
      <c r="DM3636" s="64">
        <v>5</v>
      </c>
      <c r="DN3636" s="406" t="s">
        <v>6969</v>
      </c>
      <c r="DO3636" s="406">
        <v>-21.58</v>
      </c>
      <c r="DP3636" s="80">
        <v>35</v>
      </c>
    </row>
    <row r="3637" spans="29:120" x14ac:dyDescent="0.25">
      <c r="AC3637" s="122" t="s">
        <v>376</v>
      </c>
      <c r="AD3637" s="122" t="s">
        <v>3933</v>
      </c>
      <c r="AE3637" s="127">
        <v>6</v>
      </c>
      <c r="DA3637" s="122" t="s">
        <v>358</v>
      </c>
      <c r="DB3637" s="122" t="s">
        <v>3632</v>
      </c>
      <c r="DC3637" s="122" t="s">
        <v>3632</v>
      </c>
      <c r="DD3637" s="127">
        <v>3</v>
      </c>
      <c r="DE3637" s="127">
        <v>3</v>
      </c>
      <c r="DG3637" s="405" t="s">
        <v>358</v>
      </c>
      <c r="DH3637" s="406" t="s">
        <v>3632</v>
      </c>
      <c r="DI3637" s="406" t="str">
        <f t="shared" si="88"/>
        <v>RJ, Natividade</v>
      </c>
      <c r="DJ3637" s="406">
        <v>-21.042000000000002</v>
      </c>
      <c r="DK3637" s="80">
        <v>-41.972999999999999</v>
      </c>
      <c r="DL3637" s="80">
        <v>182</v>
      </c>
      <c r="DM3637" s="64">
        <v>3</v>
      </c>
      <c r="DN3637" s="406" t="s">
        <v>6478</v>
      </c>
      <c r="DO3637" s="406">
        <v>-20.73</v>
      </c>
      <c r="DP3637" s="80">
        <v>399</v>
      </c>
    </row>
    <row r="3638" spans="29:120" x14ac:dyDescent="0.25">
      <c r="AC3638" s="122" t="s">
        <v>376</v>
      </c>
      <c r="AD3638" s="122" t="s">
        <v>3934</v>
      </c>
      <c r="AE3638" s="127">
        <v>6</v>
      </c>
      <c r="DA3638" s="122" t="s">
        <v>358</v>
      </c>
      <c r="DB3638" s="122" t="s">
        <v>3530</v>
      </c>
      <c r="DC3638" s="122" t="s">
        <v>3530</v>
      </c>
      <c r="DD3638" s="127">
        <v>8</v>
      </c>
      <c r="DE3638" s="127">
        <v>8</v>
      </c>
      <c r="DG3638" s="405" t="s">
        <v>358</v>
      </c>
      <c r="DH3638" s="406" t="s">
        <v>3530</v>
      </c>
      <c r="DI3638" s="406" t="str">
        <f t="shared" si="88"/>
        <v>RJ, Nilópolis</v>
      </c>
      <c r="DJ3638" s="406">
        <v>-22.808</v>
      </c>
      <c r="DK3638" s="80">
        <v>-43.414000000000001</v>
      </c>
      <c r="DL3638" s="80">
        <v>16</v>
      </c>
      <c r="DM3638" s="64">
        <v>8</v>
      </c>
      <c r="DN3638" s="406" t="s">
        <v>8028</v>
      </c>
      <c r="DO3638" s="406">
        <v>-22.86</v>
      </c>
      <c r="DP3638" s="80">
        <v>45</v>
      </c>
    </row>
    <row r="3639" spans="29:120" x14ac:dyDescent="0.25">
      <c r="AC3639" s="122" t="s">
        <v>336</v>
      </c>
      <c r="AD3639" s="122" t="s">
        <v>3935</v>
      </c>
      <c r="AE3639" s="127">
        <v>6</v>
      </c>
      <c r="DA3639" s="122" t="s">
        <v>358</v>
      </c>
      <c r="DB3639" s="122" t="s">
        <v>2010</v>
      </c>
      <c r="DC3639" s="122" t="s">
        <v>2010</v>
      </c>
      <c r="DD3639" s="127">
        <v>5</v>
      </c>
      <c r="DE3639" s="127">
        <v>5</v>
      </c>
      <c r="DG3639" s="405" t="s">
        <v>358</v>
      </c>
      <c r="DH3639" s="406" t="s">
        <v>2010</v>
      </c>
      <c r="DI3639" s="406" t="str">
        <f t="shared" si="88"/>
        <v>RJ, Niterói</v>
      </c>
      <c r="DJ3639" s="406">
        <v>-22.882999999999999</v>
      </c>
      <c r="DK3639" s="80">
        <v>-43.103999999999999</v>
      </c>
      <c r="DL3639" s="80">
        <v>5</v>
      </c>
      <c r="DM3639" s="64">
        <v>5</v>
      </c>
      <c r="DN3639" s="406" t="s">
        <v>8043</v>
      </c>
      <c r="DO3639" s="406">
        <v>-22.91</v>
      </c>
      <c r="DP3639" s="80">
        <v>13</v>
      </c>
    </row>
    <row r="3640" spans="29:120" x14ac:dyDescent="0.25">
      <c r="AC3640" s="122" t="s">
        <v>376</v>
      </c>
      <c r="AD3640" s="122" t="s">
        <v>3936</v>
      </c>
      <c r="AE3640" s="127">
        <v>3</v>
      </c>
      <c r="DA3640" s="122" t="s">
        <v>358</v>
      </c>
      <c r="DB3640" s="122" t="s">
        <v>8048</v>
      </c>
      <c r="DC3640" s="122" t="s">
        <v>536</v>
      </c>
      <c r="DD3640" s="127">
        <v>2</v>
      </c>
      <c r="DE3640" s="127">
        <v>2</v>
      </c>
      <c r="DG3640" s="405" t="s">
        <v>358</v>
      </c>
      <c r="DH3640" s="406" t="s">
        <v>536</v>
      </c>
      <c r="DI3640" s="406" t="str">
        <f t="shared" si="88"/>
        <v>RJ, Nova Friburgo</v>
      </c>
      <c r="DJ3640" s="406">
        <v>-22.282</v>
      </c>
      <c r="DK3640" s="80">
        <v>-42.530999999999999</v>
      </c>
      <c r="DL3640" s="80">
        <v>846</v>
      </c>
      <c r="DM3640" s="64">
        <v>2</v>
      </c>
      <c r="DN3640" s="406" t="s">
        <v>6810</v>
      </c>
      <c r="DO3640" s="406">
        <v>-22.41</v>
      </c>
      <c r="DP3640" s="80">
        <v>980</v>
      </c>
    </row>
    <row r="3641" spans="29:120" x14ac:dyDescent="0.25">
      <c r="AC3641" s="122" t="s">
        <v>376</v>
      </c>
      <c r="AD3641" s="122" t="s">
        <v>3937</v>
      </c>
      <c r="AE3641" s="127">
        <v>6</v>
      </c>
      <c r="DA3641" s="122" t="s">
        <v>358</v>
      </c>
      <c r="DB3641" s="122" t="s">
        <v>8049</v>
      </c>
      <c r="DC3641" s="122" t="s">
        <v>3312</v>
      </c>
      <c r="DD3641" s="127">
        <v>5</v>
      </c>
      <c r="DE3641" s="127">
        <v>5</v>
      </c>
      <c r="DG3641" s="405" t="s">
        <v>358</v>
      </c>
      <c r="DH3641" s="406" t="s">
        <v>3312</v>
      </c>
      <c r="DI3641" s="406" t="str">
        <f t="shared" si="88"/>
        <v>RJ, Nova Iguaçu</v>
      </c>
      <c r="DJ3641" s="406">
        <v>-22.759</v>
      </c>
      <c r="DK3641" s="80">
        <v>-43.451000000000001</v>
      </c>
      <c r="DL3641" s="80">
        <v>25</v>
      </c>
      <c r="DM3641" s="64">
        <v>5</v>
      </c>
      <c r="DN3641" s="406" t="s">
        <v>8044</v>
      </c>
      <c r="DO3641" s="406">
        <v>-22.57</v>
      </c>
      <c r="DP3641" s="80">
        <v>0</v>
      </c>
    </row>
    <row r="3642" spans="29:120" x14ac:dyDescent="0.25">
      <c r="AC3642" s="122" t="s">
        <v>376</v>
      </c>
      <c r="AD3642" s="122" t="s">
        <v>3938</v>
      </c>
      <c r="AE3642" s="127">
        <v>4</v>
      </c>
      <c r="DA3642" s="122" t="s">
        <v>358</v>
      </c>
      <c r="DB3642" s="122" t="s">
        <v>3195</v>
      </c>
      <c r="DC3642" s="122" t="s">
        <v>3195</v>
      </c>
      <c r="DD3642" s="127">
        <v>5</v>
      </c>
      <c r="DE3642" s="127">
        <v>5</v>
      </c>
      <c r="DG3642" s="405" t="s">
        <v>358</v>
      </c>
      <c r="DH3642" s="406" t="s">
        <v>3195</v>
      </c>
      <c r="DI3642" s="406" t="str">
        <f t="shared" si="88"/>
        <v>RJ, Paracambi</v>
      </c>
      <c r="DJ3642" s="406">
        <v>-22.611000000000001</v>
      </c>
      <c r="DK3642" s="80">
        <v>-43.709000000000003</v>
      </c>
      <c r="DL3642" s="80">
        <v>50</v>
      </c>
      <c r="DM3642" s="64">
        <v>5</v>
      </c>
      <c r="DN3642" s="406" t="s">
        <v>6856</v>
      </c>
      <c r="DO3642" s="406">
        <v>-22.25</v>
      </c>
      <c r="DP3642" s="80">
        <v>367</v>
      </c>
    </row>
    <row r="3643" spans="29:120" x14ac:dyDescent="0.25">
      <c r="AC3643" s="122" t="s">
        <v>376</v>
      </c>
      <c r="AD3643" s="122" t="s">
        <v>3939</v>
      </c>
      <c r="AE3643" s="127">
        <v>3</v>
      </c>
      <c r="DA3643" s="122" t="s">
        <v>358</v>
      </c>
      <c r="DB3643" s="122" t="s">
        <v>8050</v>
      </c>
      <c r="DC3643" s="122" t="s">
        <v>718</v>
      </c>
      <c r="DD3643" s="127">
        <v>3</v>
      </c>
      <c r="DE3643" s="127">
        <v>3</v>
      </c>
      <c r="DG3643" s="405" t="s">
        <v>358</v>
      </c>
      <c r="DH3643" s="406" t="s">
        <v>718</v>
      </c>
      <c r="DI3643" s="406" t="str">
        <f t="shared" si="88"/>
        <v>RJ, Paraíba do Sul</v>
      </c>
      <c r="DJ3643" s="406">
        <v>-22.161999999999999</v>
      </c>
      <c r="DK3643" s="80">
        <v>-43.292999999999999</v>
      </c>
      <c r="DL3643" s="80">
        <v>275</v>
      </c>
      <c r="DM3643" s="64">
        <v>3</v>
      </c>
      <c r="DN3643" s="406" t="s">
        <v>8046</v>
      </c>
      <c r="DO3643" s="406">
        <v>-22.46</v>
      </c>
      <c r="DP3643" s="80">
        <v>1777</v>
      </c>
    </row>
    <row r="3644" spans="29:120" x14ac:dyDescent="0.25">
      <c r="AC3644" s="122" t="s">
        <v>376</v>
      </c>
      <c r="AD3644" s="122" t="s">
        <v>3940</v>
      </c>
      <c r="AE3644" s="127">
        <v>4</v>
      </c>
      <c r="DA3644" s="122" t="s">
        <v>358</v>
      </c>
      <c r="DB3644" s="122" t="s">
        <v>3511</v>
      </c>
      <c r="DC3644" s="122" t="s">
        <v>3511</v>
      </c>
      <c r="DD3644" s="127">
        <v>3</v>
      </c>
      <c r="DE3644" s="127">
        <v>3</v>
      </c>
      <c r="DG3644" s="405" t="s">
        <v>358</v>
      </c>
      <c r="DH3644" s="406" t="s">
        <v>8051</v>
      </c>
      <c r="DI3644" s="406" t="str">
        <f t="shared" si="88"/>
        <v>RJ, Paraty</v>
      </c>
      <c r="DJ3644" s="406">
        <v>-23.218</v>
      </c>
      <c r="DK3644" s="80">
        <v>-44.713000000000001</v>
      </c>
      <c r="DL3644" s="80">
        <v>5</v>
      </c>
      <c r="DM3644" s="64">
        <v>3</v>
      </c>
      <c r="DN3644" s="406" t="s">
        <v>8020</v>
      </c>
      <c r="DO3644" s="406">
        <v>-23.22</v>
      </c>
      <c r="DP3644" s="80">
        <v>4</v>
      </c>
    </row>
    <row r="3645" spans="29:120" x14ac:dyDescent="0.25">
      <c r="AC3645" s="122" t="s">
        <v>376</v>
      </c>
      <c r="AD3645" s="122" t="s">
        <v>3941</v>
      </c>
      <c r="AE3645" s="127">
        <v>6</v>
      </c>
      <c r="DA3645" s="122" t="s">
        <v>358</v>
      </c>
      <c r="DB3645" s="122" t="s">
        <v>8052</v>
      </c>
      <c r="DC3645" s="122" t="s">
        <v>3109</v>
      </c>
      <c r="DD3645" s="127">
        <v>3</v>
      </c>
      <c r="DE3645" s="127">
        <v>3</v>
      </c>
      <c r="DG3645" s="405" t="s">
        <v>358</v>
      </c>
      <c r="DH3645" s="406" t="s">
        <v>3109</v>
      </c>
      <c r="DI3645" s="406" t="str">
        <f t="shared" si="88"/>
        <v>RJ, Paty do Alferes</v>
      </c>
      <c r="DJ3645" s="406">
        <v>-22.428999999999998</v>
      </c>
      <c r="DK3645" s="80">
        <v>-43.418999999999997</v>
      </c>
      <c r="DL3645" s="80">
        <v>610</v>
      </c>
      <c r="DM3645" s="64">
        <v>3</v>
      </c>
      <c r="DN3645" s="406" t="s">
        <v>8044</v>
      </c>
      <c r="DO3645" s="406">
        <v>-22.57</v>
      </c>
      <c r="DP3645" s="80">
        <v>0</v>
      </c>
    </row>
    <row r="3646" spans="29:120" x14ac:dyDescent="0.25">
      <c r="AC3646" s="122" t="s">
        <v>376</v>
      </c>
      <c r="AD3646" s="122" t="s">
        <v>3942</v>
      </c>
      <c r="AE3646" s="127">
        <v>3</v>
      </c>
      <c r="DA3646" s="122" t="s">
        <v>358</v>
      </c>
      <c r="DB3646" s="122" t="s">
        <v>843</v>
      </c>
      <c r="DC3646" s="122" t="s">
        <v>843</v>
      </c>
      <c r="DD3646" s="127">
        <v>3</v>
      </c>
      <c r="DE3646" s="127">
        <v>3</v>
      </c>
      <c r="DG3646" s="405" t="s">
        <v>358</v>
      </c>
      <c r="DH3646" s="406" t="s">
        <v>843</v>
      </c>
      <c r="DI3646" s="406" t="str">
        <f t="shared" si="88"/>
        <v>RJ, Petrópolis</v>
      </c>
      <c r="DJ3646" s="406">
        <v>-22.504999999999999</v>
      </c>
      <c r="DK3646" s="80">
        <v>-43.179000000000002</v>
      </c>
      <c r="DL3646" s="80">
        <v>809</v>
      </c>
      <c r="DM3646" s="64">
        <v>3</v>
      </c>
      <c r="DN3646" s="406" t="s">
        <v>8046</v>
      </c>
      <c r="DO3646" s="406">
        <v>-22.46</v>
      </c>
      <c r="DP3646" s="80">
        <v>1777</v>
      </c>
    </row>
    <row r="3647" spans="29:120" x14ac:dyDescent="0.25">
      <c r="AC3647" s="122" t="s">
        <v>376</v>
      </c>
      <c r="AD3647" s="122" t="s">
        <v>3943</v>
      </c>
      <c r="AE3647" s="127">
        <v>3</v>
      </c>
      <c r="DA3647" s="122" t="s">
        <v>358</v>
      </c>
      <c r="DB3647" s="122" t="s">
        <v>3679</v>
      </c>
      <c r="DC3647" s="122" t="s">
        <v>3679</v>
      </c>
      <c r="DD3647" s="127">
        <v>3</v>
      </c>
      <c r="DE3647" s="127">
        <v>3</v>
      </c>
      <c r="DG3647" s="405" t="s">
        <v>358</v>
      </c>
      <c r="DH3647" s="406" t="s">
        <v>3679</v>
      </c>
      <c r="DI3647" s="406" t="str">
        <f t="shared" si="88"/>
        <v>RJ, Pinheiral</v>
      </c>
      <c r="DJ3647" s="406">
        <v>-22.513000000000002</v>
      </c>
      <c r="DK3647" s="80">
        <v>-44.000999999999998</v>
      </c>
      <c r="DL3647" s="80">
        <v>345</v>
      </c>
      <c r="DM3647" s="64">
        <v>3</v>
      </c>
      <c r="DN3647" s="406" t="s">
        <v>6856</v>
      </c>
      <c r="DO3647" s="406">
        <v>-22.25</v>
      </c>
      <c r="DP3647" s="80">
        <v>367</v>
      </c>
    </row>
    <row r="3648" spans="29:120" x14ac:dyDescent="0.25">
      <c r="AC3648" s="122" t="s">
        <v>376</v>
      </c>
      <c r="AD3648" s="122" t="s">
        <v>3944</v>
      </c>
      <c r="AE3648" s="127">
        <v>3</v>
      </c>
      <c r="DA3648" s="122" t="s">
        <v>358</v>
      </c>
      <c r="DB3648" s="122" t="s">
        <v>3388</v>
      </c>
      <c r="DC3648" s="122" t="s">
        <v>3388</v>
      </c>
      <c r="DD3648" s="127">
        <v>3</v>
      </c>
      <c r="DE3648" s="127">
        <v>3</v>
      </c>
      <c r="DG3648" s="405" t="s">
        <v>358</v>
      </c>
      <c r="DH3648" s="406" t="s">
        <v>3388</v>
      </c>
      <c r="DI3648" s="406" t="str">
        <f t="shared" si="88"/>
        <v>RJ, Piraí</v>
      </c>
      <c r="DJ3648" s="406">
        <v>-22.629000000000001</v>
      </c>
      <c r="DK3648" s="80">
        <v>-43.898000000000003</v>
      </c>
      <c r="DL3648" s="80">
        <v>387</v>
      </c>
      <c r="DM3648" s="64">
        <v>3</v>
      </c>
      <c r="DN3648" s="406" t="s">
        <v>6856</v>
      </c>
      <c r="DO3648" s="406">
        <v>-22.25</v>
      </c>
      <c r="DP3648" s="80">
        <v>367</v>
      </c>
    </row>
    <row r="3649" spans="29:120" x14ac:dyDescent="0.25">
      <c r="AC3649" s="122" t="s">
        <v>376</v>
      </c>
      <c r="AD3649" s="122" t="s">
        <v>3945</v>
      </c>
      <c r="AE3649" s="127">
        <v>5</v>
      </c>
      <c r="DA3649" s="122" t="s">
        <v>358</v>
      </c>
      <c r="DB3649" s="122" t="s">
        <v>3349</v>
      </c>
      <c r="DC3649" s="122" t="s">
        <v>3349</v>
      </c>
      <c r="DD3649" s="127">
        <v>3</v>
      </c>
      <c r="DE3649" s="127">
        <v>3</v>
      </c>
      <c r="DG3649" s="405" t="s">
        <v>358</v>
      </c>
      <c r="DH3649" s="406" t="s">
        <v>3349</v>
      </c>
      <c r="DI3649" s="406" t="str">
        <f t="shared" si="88"/>
        <v>RJ, Porciúncula</v>
      </c>
      <c r="DJ3649" s="406">
        <v>-20.963000000000001</v>
      </c>
      <c r="DK3649" s="80">
        <v>-42.040999999999997</v>
      </c>
      <c r="DL3649" s="80">
        <v>190</v>
      </c>
      <c r="DM3649" s="64">
        <v>3</v>
      </c>
      <c r="DN3649" s="406" t="s">
        <v>6478</v>
      </c>
      <c r="DO3649" s="406">
        <v>-20.73</v>
      </c>
      <c r="DP3649" s="80">
        <v>399</v>
      </c>
    </row>
    <row r="3650" spans="29:120" x14ac:dyDescent="0.25">
      <c r="AC3650" s="122" t="s">
        <v>376</v>
      </c>
      <c r="AD3650" s="122" t="s">
        <v>3946</v>
      </c>
      <c r="AE3650" s="127">
        <v>6</v>
      </c>
      <c r="DA3650" s="122" t="s">
        <v>358</v>
      </c>
      <c r="DB3650" s="122" t="s">
        <v>8053</v>
      </c>
      <c r="DC3650" s="122" t="s">
        <v>3481</v>
      </c>
      <c r="DD3650" s="127">
        <v>3</v>
      </c>
      <c r="DE3650" s="127">
        <v>3</v>
      </c>
      <c r="DG3650" s="405" t="s">
        <v>358</v>
      </c>
      <c r="DH3650" s="406" t="s">
        <v>3481</v>
      </c>
      <c r="DI3650" s="406" t="str">
        <f t="shared" si="88"/>
        <v>RJ, Porto Real</v>
      </c>
      <c r="DJ3650" s="406">
        <v>-22.42</v>
      </c>
      <c r="DK3650" s="80">
        <v>-44.29</v>
      </c>
      <c r="DL3650" s="80">
        <v>385</v>
      </c>
      <c r="DM3650" s="64">
        <v>3</v>
      </c>
      <c r="DN3650" s="406" t="s">
        <v>6807</v>
      </c>
      <c r="DO3650" s="406">
        <v>-22.47</v>
      </c>
      <c r="DP3650" s="80">
        <v>440</v>
      </c>
    </row>
    <row r="3651" spans="29:120" x14ac:dyDescent="0.25">
      <c r="AC3651" s="122" t="s">
        <v>376</v>
      </c>
      <c r="AD3651" s="122" t="s">
        <v>3947</v>
      </c>
      <c r="AE3651" s="127">
        <v>6</v>
      </c>
      <c r="DA3651" s="122" t="s">
        <v>358</v>
      </c>
      <c r="DB3651" s="122" t="s">
        <v>3465</v>
      </c>
      <c r="DC3651" s="122" t="s">
        <v>3465</v>
      </c>
      <c r="DD3651" s="127">
        <v>3</v>
      </c>
      <c r="DE3651" s="127">
        <v>3</v>
      </c>
      <c r="DG3651" s="405" t="s">
        <v>358</v>
      </c>
      <c r="DH3651" s="406" t="s">
        <v>3465</v>
      </c>
      <c r="DI3651" s="406" t="str">
        <f t="shared" ref="DI3651:DI3714" si="89">CONCATENATE(DG3651,", ",DH3651)</f>
        <v>RJ, Quatis</v>
      </c>
      <c r="DJ3651" s="406">
        <v>-22.407</v>
      </c>
      <c r="DK3651" s="80">
        <v>-44.258000000000003</v>
      </c>
      <c r="DL3651" s="80">
        <v>415</v>
      </c>
      <c r="DM3651" s="64">
        <v>3</v>
      </c>
      <c r="DN3651" s="406" t="s">
        <v>6807</v>
      </c>
      <c r="DO3651" s="406">
        <v>-22.47</v>
      </c>
      <c r="DP3651" s="80">
        <v>440</v>
      </c>
    </row>
    <row r="3652" spans="29:120" x14ac:dyDescent="0.25">
      <c r="AC3652" s="122" t="s">
        <v>376</v>
      </c>
      <c r="AD3652" s="122" t="s">
        <v>3948</v>
      </c>
      <c r="AE3652" s="127">
        <v>6</v>
      </c>
      <c r="DA3652" s="122" t="s">
        <v>358</v>
      </c>
      <c r="DB3652" s="122" t="s">
        <v>3133</v>
      </c>
      <c r="DC3652" s="122" t="s">
        <v>3133</v>
      </c>
      <c r="DD3652" s="127">
        <v>5</v>
      </c>
      <c r="DE3652" s="127">
        <v>5</v>
      </c>
      <c r="DG3652" s="405" t="s">
        <v>358</v>
      </c>
      <c r="DH3652" s="406" t="s">
        <v>3133</v>
      </c>
      <c r="DI3652" s="406" t="str">
        <f t="shared" si="89"/>
        <v>RJ, Queimados</v>
      </c>
      <c r="DJ3652" s="406">
        <v>-22.716000000000001</v>
      </c>
      <c r="DK3652" s="80">
        <v>-43.555</v>
      </c>
      <c r="DL3652" s="80">
        <v>30</v>
      </c>
      <c r="DM3652" s="64">
        <v>5</v>
      </c>
      <c r="DN3652" s="406" t="s">
        <v>8044</v>
      </c>
      <c r="DO3652" s="406">
        <v>-22.57</v>
      </c>
      <c r="DP3652" s="80">
        <v>0</v>
      </c>
    </row>
    <row r="3653" spans="29:120" x14ac:dyDescent="0.25">
      <c r="AC3653" s="122" t="s">
        <v>376</v>
      </c>
      <c r="AD3653" s="122" t="s">
        <v>3949</v>
      </c>
      <c r="AE3653" s="127">
        <v>6</v>
      </c>
      <c r="DA3653" s="122" t="s">
        <v>358</v>
      </c>
      <c r="DB3653" s="122" t="s">
        <v>1832</v>
      </c>
      <c r="DC3653" s="122" t="s">
        <v>1832</v>
      </c>
      <c r="DD3653" s="127">
        <v>5</v>
      </c>
      <c r="DE3653" s="127">
        <v>5</v>
      </c>
      <c r="DG3653" s="405" t="s">
        <v>358</v>
      </c>
      <c r="DH3653" s="406" t="s">
        <v>1832</v>
      </c>
      <c r="DI3653" s="406" t="str">
        <f t="shared" si="89"/>
        <v>RJ, Quissamã</v>
      </c>
      <c r="DJ3653" s="406">
        <v>-22.106999999999999</v>
      </c>
      <c r="DK3653" s="80">
        <v>-41.472000000000001</v>
      </c>
      <c r="DL3653" s="80">
        <v>19</v>
      </c>
      <c r="DM3653" s="64">
        <v>5</v>
      </c>
      <c r="DN3653" s="406" t="s">
        <v>8054</v>
      </c>
      <c r="DO3653" s="406">
        <v>-22.04</v>
      </c>
      <c r="DP3653" s="80">
        <v>4</v>
      </c>
    </row>
    <row r="3654" spans="29:120" x14ac:dyDescent="0.25">
      <c r="AC3654" s="122" t="s">
        <v>376</v>
      </c>
      <c r="AD3654" s="122" t="s">
        <v>3950</v>
      </c>
      <c r="AE3654" s="127">
        <v>6</v>
      </c>
      <c r="DA3654" s="122" t="s">
        <v>358</v>
      </c>
      <c r="DB3654" s="122" t="s">
        <v>2342</v>
      </c>
      <c r="DC3654" s="122" t="s">
        <v>2342</v>
      </c>
      <c r="DD3654" s="127">
        <v>3</v>
      </c>
      <c r="DE3654" s="127">
        <v>3</v>
      </c>
      <c r="DG3654" s="405" t="s">
        <v>358</v>
      </c>
      <c r="DH3654" s="406" t="s">
        <v>2342</v>
      </c>
      <c r="DI3654" s="406" t="str">
        <f t="shared" si="89"/>
        <v>RJ, Resende</v>
      </c>
      <c r="DJ3654" s="406">
        <v>-22.469000000000001</v>
      </c>
      <c r="DK3654" s="80">
        <v>-44.447000000000003</v>
      </c>
      <c r="DL3654" s="80">
        <v>407</v>
      </c>
      <c r="DM3654" s="64">
        <v>3</v>
      </c>
      <c r="DN3654" s="406" t="s">
        <v>6807</v>
      </c>
      <c r="DO3654" s="406">
        <v>-22.47</v>
      </c>
      <c r="DP3654" s="80">
        <v>440</v>
      </c>
    </row>
    <row r="3655" spans="29:120" x14ac:dyDescent="0.25">
      <c r="AC3655" s="122" t="s">
        <v>376</v>
      </c>
      <c r="AD3655" s="122" t="s">
        <v>3951</v>
      </c>
      <c r="AE3655" s="127">
        <v>6</v>
      </c>
      <c r="DA3655" s="122" t="s">
        <v>358</v>
      </c>
      <c r="DB3655" s="122" t="s">
        <v>8055</v>
      </c>
      <c r="DC3655" s="122" t="s">
        <v>1883</v>
      </c>
      <c r="DD3655" s="127">
        <v>3</v>
      </c>
      <c r="DE3655" s="127">
        <v>3</v>
      </c>
      <c r="DG3655" s="405" t="s">
        <v>358</v>
      </c>
      <c r="DH3655" s="406" t="s">
        <v>1883</v>
      </c>
      <c r="DI3655" s="406" t="str">
        <f t="shared" si="89"/>
        <v>RJ, Rio Bonito</v>
      </c>
      <c r="DJ3655" s="406">
        <v>-22.707999999999998</v>
      </c>
      <c r="DK3655" s="80">
        <v>-42.625999999999998</v>
      </c>
      <c r="DL3655" s="80">
        <v>40</v>
      </c>
      <c r="DM3655" s="64">
        <v>3</v>
      </c>
      <c r="DN3655" s="406" t="s">
        <v>6810</v>
      </c>
      <c r="DO3655" s="406">
        <v>-22.41</v>
      </c>
      <c r="DP3655" s="80">
        <v>980</v>
      </c>
    </row>
    <row r="3656" spans="29:120" x14ac:dyDescent="0.25">
      <c r="AC3656" s="122" t="s">
        <v>376</v>
      </c>
      <c r="AD3656" s="122" t="s">
        <v>3952</v>
      </c>
      <c r="AE3656" s="127">
        <v>6</v>
      </c>
      <c r="DA3656" s="122" t="s">
        <v>358</v>
      </c>
      <c r="DB3656" s="122" t="s">
        <v>8056</v>
      </c>
      <c r="DC3656" s="122" t="s">
        <v>3648</v>
      </c>
      <c r="DD3656" s="127">
        <v>3</v>
      </c>
      <c r="DE3656" s="127">
        <v>3</v>
      </c>
      <c r="DG3656" s="405" t="s">
        <v>358</v>
      </c>
      <c r="DH3656" s="406" t="s">
        <v>3648</v>
      </c>
      <c r="DI3656" s="406" t="str">
        <f t="shared" si="89"/>
        <v>RJ, Rio Claro</v>
      </c>
      <c r="DJ3656" s="406">
        <v>-22.722999999999999</v>
      </c>
      <c r="DK3656" s="80">
        <v>-44.136000000000003</v>
      </c>
      <c r="DL3656" s="80">
        <v>446</v>
      </c>
      <c r="DM3656" s="64">
        <v>3</v>
      </c>
      <c r="DN3656" s="406" t="s">
        <v>6807</v>
      </c>
      <c r="DO3656" s="406">
        <v>-22.47</v>
      </c>
      <c r="DP3656" s="80">
        <v>440</v>
      </c>
    </row>
    <row r="3657" spans="29:120" x14ac:dyDescent="0.25">
      <c r="AC3657" s="122" t="s">
        <v>376</v>
      </c>
      <c r="AD3657" s="122" t="s">
        <v>3953</v>
      </c>
      <c r="AE3657" s="127">
        <v>6</v>
      </c>
      <c r="DA3657" s="122" t="s">
        <v>358</v>
      </c>
      <c r="DB3657" s="122" t="s">
        <v>8057</v>
      </c>
      <c r="DC3657" s="122" t="s">
        <v>3490</v>
      </c>
      <c r="DD3657" s="127">
        <v>3</v>
      </c>
      <c r="DE3657" s="127">
        <v>3</v>
      </c>
      <c r="DG3657" s="405" t="s">
        <v>358</v>
      </c>
      <c r="DH3657" s="406" t="s">
        <v>3490</v>
      </c>
      <c r="DI3657" s="406" t="str">
        <f t="shared" si="89"/>
        <v>RJ, Rio das Flores</v>
      </c>
      <c r="DJ3657" s="406">
        <v>-22.167999999999999</v>
      </c>
      <c r="DK3657" s="80">
        <v>-43.585999999999999</v>
      </c>
      <c r="DL3657" s="80">
        <v>525</v>
      </c>
      <c r="DM3657" s="64">
        <v>3</v>
      </c>
      <c r="DN3657" s="406" t="s">
        <v>6856</v>
      </c>
      <c r="DO3657" s="406">
        <v>-22.25</v>
      </c>
      <c r="DP3657" s="80">
        <v>367</v>
      </c>
    </row>
    <row r="3658" spans="29:120" x14ac:dyDescent="0.25">
      <c r="AC3658" s="122" t="s">
        <v>376</v>
      </c>
      <c r="AD3658" s="122" t="s">
        <v>3954</v>
      </c>
      <c r="AE3658" s="127">
        <v>4</v>
      </c>
      <c r="DA3658" s="122" t="s">
        <v>358</v>
      </c>
      <c r="DB3658" s="122" t="s">
        <v>8058</v>
      </c>
      <c r="DC3658" s="122" t="s">
        <v>3082</v>
      </c>
      <c r="DD3658" s="127">
        <v>5</v>
      </c>
      <c r="DE3658" s="127">
        <v>5</v>
      </c>
      <c r="DG3658" s="405" t="s">
        <v>358</v>
      </c>
      <c r="DH3658" s="406" t="s">
        <v>3082</v>
      </c>
      <c r="DI3658" s="406" t="str">
        <f t="shared" si="89"/>
        <v>RJ, Rio das Ostras</v>
      </c>
      <c r="DJ3658" s="406">
        <v>-22.527000000000001</v>
      </c>
      <c r="DK3658" s="80">
        <v>-41.945</v>
      </c>
      <c r="DL3658" s="80">
        <v>4</v>
      </c>
      <c r="DM3658" s="64">
        <v>5</v>
      </c>
      <c r="DN3658" s="406" t="s">
        <v>8034</v>
      </c>
      <c r="DO3658" s="406">
        <v>-22.37</v>
      </c>
      <c r="DP3658" s="80">
        <v>32</v>
      </c>
    </row>
    <row r="3659" spans="29:120" x14ac:dyDescent="0.25">
      <c r="AC3659" s="122" t="s">
        <v>376</v>
      </c>
      <c r="AD3659" s="122" t="s">
        <v>3955</v>
      </c>
      <c r="AE3659" s="127">
        <v>6</v>
      </c>
      <c r="DA3659" s="122" t="s">
        <v>358</v>
      </c>
      <c r="DB3659" s="122" t="s">
        <v>8059</v>
      </c>
      <c r="DC3659" s="122" t="s">
        <v>3068</v>
      </c>
      <c r="DD3659" s="127">
        <v>8</v>
      </c>
      <c r="DE3659" s="127">
        <v>8</v>
      </c>
      <c r="DG3659" s="405" t="s">
        <v>358</v>
      </c>
      <c r="DH3659" s="406" t="s">
        <v>3068</v>
      </c>
      <c r="DI3659" s="406" t="str">
        <f t="shared" si="89"/>
        <v>RJ, Rio de Janeiro</v>
      </c>
      <c r="DJ3659" s="406">
        <v>-22.902999999999999</v>
      </c>
      <c r="DK3659" s="80">
        <v>-43.207999999999998</v>
      </c>
      <c r="DL3659" s="80">
        <v>2</v>
      </c>
      <c r="DM3659" s="64">
        <v>8</v>
      </c>
      <c r="DN3659" s="406" t="s">
        <v>8028</v>
      </c>
      <c r="DO3659" s="406">
        <v>-22.86</v>
      </c>
      <c r="DP3659" s="80">
        <v>45</v>
      </c>
    </row>
    <row r="3660" spans="29:120" x14ac:dyDescent="0.25">
      <c r="AC3660" s="122" t="s">
        <v>376</v>
      </c>
      <c r="AD3660" s="122" t="s">
        <v>3956</v>
      </c>
      <c r="AE3660" s="127">
        <v>6</v>
      </c>
      <c r="DA3660" s="122" t="s">
        <v>358</v>
      </c>
      <c r="DB3660" s="122" t="s">
        <v>8060</v>
      </c>
      <c r="DC3660" s="122" t="s">
        <v>380</v>
      </c>
      <c r="DD3660" s="127">
        <v>3</v>
      </c>
      <c r="DE3660" s="127">
        <v>3</v>
      </c>
      <c r="DG3660" s="405" t="s">
        <v>358</v>
      </c>
      <c r="DH3660" s="406" t="s">
        <v>380</v>
      </c>
      <c r="DI3660" s="406" t="str">
        <f t="shared" si="89"/>
        <v>RJ, Santa Maria Madalena</v>
      </c>
      <c r="DJ3660" s="406">
        <v>-21.954999999999998</v>
      </c>
      <c r="DK3660" s="80">
        <v>-42.008000000000003</v>
      </c>
      <c r="DL3660" s="80">
        <v>615</v>
      </c>
      <c r="DM3660" s="64">
        <v>3</v>
      </c>
      <c r="DN3660" s="406" t="s">
        <v>6969</v>
      </c>
      <c r="DO3660" s="406">
        <v>-21.58</v>
      </c>
      <c r="DP3660" s="80">
        <v>35</v>
      </c>
    </row>
    <row r="3661" spans="29:120" x14ac:dyDescent="0.25">
      <c r="AC3661" s="122" t="s">
        <v>376</v>
      </c>
      <c r="AD3661" s="122" t="s">
        <v>3957</v>
      </c>
      <c r="AE3661" s="127">
        <v>3</v>
      </c>
      <c r="DA3661" s="122" t="s">
        <v>358</v>
      </c>
      <c r="DB3661" s="122" t="s">
        <v>8061</v>
      </c>
      <c r="DC3661" s="122" t="s">
        <v>3270</v>
      </c>
      <c r="DD3661" s="127">
        <v>5</v>
      </c>
      <c r="DE3661" s="127">
        <v>5</v>
      </c>
      <c r="DG3661" s="405" t="s">
        <v>358</v>
      </c>
      <c r="DH3661" s="406" t="s">
        <v>3270</v>
      </c>
      <c r="DI3661" s="406" t="str">
        <f t="shared" si="89"/>
        <v>RJ, Santo Antônio de Pádua</v>
      </c>
      <c r="DJ3661" s="406">
        <v>-21.539000000000001</v>
      </c>
      <c r="DK3661" s="80">
        <v>-42.18</v>
      </c>
      <c r="DL3661" s="80">
        <v>86</v>
      </c>
      <c r="DM3661" s="64">
        <v>5</v>
      </c>
      <c r="DN3661" s="406" t="s">
        <v>6969</v>
      </c>
      <c r="DO3661" s="406">
        <v>-21.58</v>
      </c>
      <c r="DP3661" s="80">
        <v>35</v>
      </c>
    </row>
    <row r="3662" spans="29:120" x14ac:dyDescent="0.25">
      <c r="AC3662" s="122" t="s">
        <v>376</v>
      </c>
      <c r="AD3662" s="122" t="s">
        <v>3958</v>
      </c>
      <c r="AE3662" s="127">
        <v>6</v>
      </c>
      <c r="DA3662" s="122" t="s">
        <v>358</v>
      </c>
      <c r="DB3662" s="122" t="s">
        <v>8062</v>
      </c>
      <c r="DC3662" s="122" t="s">
        <v>3153</v>
      </c>
      <c r="DD3662" s="127">
        <v>5</v>
      </c>
      <c r="DE3662" s="127">
        <v>5</v>
      </c>
      <c r="DG3662" s="405" t="s">
        <v>358</v>
      </c>
      <c r="DH3662" s="406" t="s">
        <v>3153</v>
      </c>
      <c r="DI3662" s="406" t="str">
        <f t="shared" si="89"/>
        <v>RJ, São Fidélis</v>
      </c>
      <c r="DJ3662" s="406">
        <v>-21.646000000000001</v>
      </c>
      <c r="DK3662" s="80">
        <v>-41.747</v>
      </c>
      <c r="DL3662" s="80">
        <v>15</v>
      </c>
      <c r="DM3662" s="64">
        <v>5</v>
      </c>
      <c r="DN3662" s="406" t="s">
        <v>6969</v>
      </c>
      <c r="DO3662" s="406">
        <v>-21.58</v>
      </c>
      <c r="DP3662" s="80">
        <v>35</v>
      </c>
    </row>
    <row r="3663" spans="29:120" x14ac:dyDescent="0.25">
      <c r="AC3663" s="122" t="s">
        <v>376</v>
      </c>
      <c r="AD3663" s="122" t="s">
        <v>3959</v>
      </c>
      <c r="AE3663" s="127">
        <v>6</v>
      </c>
      <c r="DA3663" s="122" t="s">
        <v>358</v>
      </c>
      <c r="DB3663" s="122" t="s">
        <v>8063</v>
      </c>
      <c r="DC3663" s="122" t="s">
        <v>2070</v>
      </c>
      <c r="DD3663" s="127">
        <v>5</v>
      </c>
      <c r="DE3663" s="127">
        <v>5</v>
      </c>
      <c r="DG3663" s="405" t="s">
        <v>358</v>
      </c>
      <c r="DH3663" s="406" t="s">
        <v>2070</v>
      </c>
      <c r="DI3663" s="406" t="str">
        <f t="shared" si="89"/>
        <v>RJ, São Francisco de Itabapoana</v>
      </c>
      <c r="DJ3663" s="406">
        <v>-21.47</v>
      </c>
      <c r="DK3663" s="80">
        <v>-41.119</v>
      </c>
      <c r="DL3663" s="80">
        <v>8</v>
      </c>
      <c r="DM3663" s="64">
        <v>5</v>
      </c>
      <c r="DN3663" s="406" t="s">
        <v>8033</v>
      </c>
      <c r="DO3663" s="406">
        <v>-21.75</v>
      </c>
      <c r="DP3663" s="80">
        <v>25</v>
      </c>
    </row>
    <row r="3664" spans="29:120" x14ac:dyDescent="0.25">
      <c r="AC3664" s="122" t="s">
        <v>376</v>
      </c>
      <c r="AD3664" s="122" t="s">
        <v>3960</v>
      </c>
      <c r="AE3664" s="127">
        <v>3</v>
      </c>
      <c r="DA3664" s="122" t="s">
        <v>358</v>
      </c>
      <c r="DB3664" s="122" t="s">
        <v>8064</v>
      </c>
      <c r="DC3664" s="122" t="s">
        <v>1983</v>
      </c>
      <c r="DD3664" s="127">
        <v>5</v>
      </c>
      <c r="DE3664" s="127">
        <v>5</v>
      </c>
      <c r="DG3664" s="405" t="s">
        <v>358</v>
      </c>
      <c r="DH3664" s="406" t="s">
        <v>1983</v>
      </c>
      <c r="DI3664" s="406" t="str">
        <f t="shared" si="89"/>
        <v>RJ, São Gonçalo</v>
      </c>
      <c r="DJ3664" s="406">
        <v>-22.827000000000002</v>
      </c>
      <c r="DK3664" s="80">
        <v>-43.054000000000002</v>
      </c>
      <c r="DL3664" s="80">
        <v>19</v>
      </c>
      <c r="DM3664" s="64">
        <v>5</v>
      </c>
      <c r="DN3664" s="406" t="s">
        <v>8043</v>
      </c>
      <c r="DO3664" s="406">
        <v>-22.91</v>
      </c>
      <c r="DP3664" s="80">
        <v>13</v>
      </c>
    </row>
    <row r="3665" spans="29:120" x14ac:dyDescent="0.25">
      <c r="AC3665" s="122" t="s">
        <v>376</v>
      </c>
      <c r="AD3665" s="122" t="s">
        <v>3961</v>
      </c>
      <c r="AE3665" s="127">
        <v>3</v>
      </c>
      <c r="DA3665" s="122" t="s">
        <v>358</v>
      </c>
      <c r="DB3665" s="122" t="s">
        <v>8065</v>
      </c>
      <c r="DC3665" s="122" t="s">
        <v>1942</v>
      </c>
      <c r="DD3665" s="127">
        <v>5</v>
      </c>
      <c r="DE3665" s="127">
        <v>5</v>
      </c>
      <c r="DG3665" s="405" t="s">
        <v>358</v>
      </c>
      <c r="DH3665" s="406" t="s">
        <v>1942</v>
      </c>
      <c r="DI3665" s="406" t="str">
        <f t="shared" si="89"/>
        <v>RJ, São João da Barra</v>
      </c>
      <c r="DJ3665" s="406">
        <v>-21.64</v>
      </c>
      <c r="DK3665" s="80">
        <v>-41.051000000000002</v>
      </c>
      <c r="DL3665" s="80">
        <v>5</v>
      </c>
      <c r="DM3665" s="64">
        <v>5</v>
      </c>
      <c r="DN3665" s="406" t="s">
        <v>8033</v>
      </c>
      <c r="DO3665" s="406">
        <v>-21.75</v>
      </c>
      <c r="DP3665" s="80">
        <v>25</v>
      </c>
    </row>
    <row r="3666" spans="29:120" x14ac:dyDescent="0.25">
      <c r="AC3666" s="122" t="s">
        <v>376</v>
      </c>
      <c r="AD3666" s="122" t="s">
        <v>3962</v>
      </c>
      <c r="AE3666" s="127">
        <v>6</v>
      </c>
      <c r="DA3666" s="122" t="s">
        <v>358</v>
      </c>
      <c r="DB3666" s="122" t="s">
        <v>8066</v>
      </c>
      <c r="DC3666" s="122" t="s">
        <v>3418</v>
      </c>
      <c r="DD3666" s="127">
        <v>8</v>
      </c>
      <c r="DE3666" s="127">
        <v>8</v>
      </c>
      <c r="DG3666" s="405" t="s">
        <v>358</v>
      </c>
      <c r="DH3666" s="406" t="s">
        <v>3418</v>
      </c>
      <c r="DI3666" s="406" t="str">
        <f t="shared" si="89"/>
        <v>RJ, São João de Meriti</v>
      </c>
      <c r="DJ3666" s="406">
        <v>-22.803999999999998</v>
      </c>
      <c r="DK3666" s="80">
        <v>-43.372</v>
      </c>
      <c r="DL3666" s="80">
        <v>19</v>
      </c>
      <c r="DM3666" s="64">
        <v>8</v>
      </c>
      <c r="DN3666" s="406" t="s">
        <v>8028</v>
      </c>
      <c r="DO3666" s="406">
        <v>-22.86</v>
      </c>
      <c r="DP3666" s="80">
        <v>45</v>
      </c>
    </row>
    <row r="3667" spans="29:120" x14ac:dyDescent="0.25">
      <c r="AC3667" s="122" t="s">
        <v>376</v>
      </c>
      <c r="AD3667" s="122" t="s">
        <v>3963</v>
      </c>
      <c r="AE3667" s="127">
        <v>6</v>
      </c>
      <c r="DA3667" s="122" t="s">
        <v>358</v>
      </c>
      <c r="DB3667" s="122" t="s">
        <v>8067</v>
      </c>
      <c r="DC3667" s="122" t="s">
        <v>3355</v>
      </c>
      <c r="DD3667" s="127">
        <v>5</v>
      </c>
      <c r="DE3667" s="127">
        <v>5</v>
      </c>
      <c r="DG3667" s="405" t="s">
        <v>358</v>
      </c>
      <c r="DH3667" s="406" t="s">
        <v>3355</v>
      </c>
      <c r="DI3667" s="406" t="str">
        <f t="shared" si="89"/>
        <v>RJ, São José de Ubá</v>
      </c>
      <c r="DJ3667" s="406">
        <v>-21.358000000000001</v>
      </c>
      <c r="DK3667" s="80">
        <v>-41.942999999999998</v>
      </c>
      <c r="DL3667" s="80">
        <v>95</v>
      </c>
      <c r="DM3667" s="64">
        <v>5</v>
      </c>
      <c r="DN3667" s="406" t="s">
        <v>6969</v>
      </c>
      <c r="DO3667" s="406">
        <v>-21.58</v>
      </c>
      <c r="DP3667" s="80">
        <v>35</v>
      </c>
    </row>
    <row r="3668" spans="29:120" x14ac:dyDescent="0.25">
      <c r="AC3668" s="122" t="s">
        <v>376</v>
      </c>
      <c r="AD3668" s="122" t="s">
        <v>3964</v>
      </c>
      <c r="AE3668" s="127">
        <v>4</v>
      </c>
      <c r="DA3668" s="122" t="s">
        <v>358</v>
      </c>
      <c r="DB3668" s="122" t="s">
        <v>8068</v>
      </c>
      <c r="DC3668" s="122" t="s">
        <v>719</v>
      </c>
      <c r="DD3668" s="127">
        <v>2</v>
      </c>
      <c r="DE3668" s="127">
        <v>2</v>
      </c>
      <c r="DG3668" s="405" t="s">
        <v>358</v>
      </c>
      <c r="DH3668" s="406" t="s">
        <v>719</v>
      </c>
      <c r="DI3668" s="406" t="str">
        <f t="shared" si="89"/>
        <v>RJ, São José do Vale do Rio Preto</v>
      </c>
      <c r="DJ3668" s="406">
        <v>-22.151</v>
      </c>
      <c r="DK3668" s="80">
        <v>-42.923999999999999</v>
      </c>
      <c r="DL3668" s="80">
        <v>615</v>
      </c>
      <c r="DM3668" s="64">
        <v>2</v>
      </c>
      <c r="DN3668" s="406" t="s">
        <v>6810</v>
      </c>
      <c r="DO3668" s="406">
        <v>-22.41</v>
      </c>
      <c r="DP3668" s="80">
        <v>980</v>
      </c>
    </row>
    <row r="3669" spans="29:120" x14ac:dyDescent="0.25">
      <c r="AC3669" s="122" t="s">
        <v>376</v>
      </c>
      <c r="AD3669" s="122" t="s">
        <v>3965</v>
      </c>
      <c r="AE3669" s="127">
        <v>3</v>
      </c>
      <c r="DA3669" s="122" t="s">
        <v>358</v>
      </c>
      <c r="DB3669" s="122" t="s">
        <v>8069</v>
      </c>
      <c r="DC3669" s="122" t="s">
        <v>3086</v>
      </c>
      <c r="DD3669" s="127">
        <v>3</v>
      </c>
      <c r="DE3669" s="127">
        <v>3</v>
      </c>
      <c r="DG3669" s="405" t="s">
        <v>358</v>
      </c>
      <c r="DH3669" s="406" t="s">
        <v>3086</v>
      </c>
      <c r="DI3669" s="406" t="str">
        <f t="shared" si="89"/>
        <v>RJ, São Pedro da Aldeia</v>
      </c>
      <c r="DJ3669" s="406">
        <v>-22.838999999999999</v>
      </c>
      <c r="DK3669" s="80">
        <v>-42.103000000000002</v>
      </c>
      <c r="DL3669" s="80">
        <v>5</v>
      </c>
      <c r="DM3669" s="64">
        <v>3</v>
      </c>
      <c r="DN3669" s="406" t="s">
        <v>8021</v>
      </c>
      <c r="DO3669" s="406">
        <v>-22.97</v>
      </c>
      <c r="DP3669" s="80">
        <v>4</v>
      </c>
    </row>
    <row r="3670" spans="29:120" x14ac:dyDescent="0.25">
      <c r="AC3670" s="122" t="s">
        <v>376</v>
      </c>
      <c r="AD3670" s="122" t="s">
        <v>3966</v>
      </c>
      <c r="AE3670" s="127">
        <v>6</v>
      </c>
      <c r="DA3670" s="122" t="s">
        <v>358</v>
      </c>
      <c r="DB3670" s="122" t="s">
        <v>8070</v>
      </c>
      <c r="DC3670" s="122" t="s">
        <v>416</v>
      </c>
      <c r="DD3670" s="127">
        <v>3</v>
      </c>
      <c r="DE3670" s="127">
        <v>3</v>
      </c>
      <c r="DG3670" s="405" t="s">
        <v>358</v>
      </c>
      <c r="DH3670" s="406" t="s">
        <v>416</v>
      </c>
      <c r="DI3670" s="406" t="str">
        <f t="shared" si="89"/>
        <v>RJ, São Sebastião do Alto</v>
      </c>
      <c r="DJ3670" s="406">
        <v>-21.957000000000001</v>
      </c>
      <c r="DK3670" s="80">
        <v>-42.134999999999998</v>
      </c>
      <c r="DL3670" s="80">
        <v>575</v>
      </c>
      <c r="DM3670" s="64">
        <v>3</v>
      </c>
      <c r="DN3670" s="406" t="s">
        <v>6969</v>
      </c>
      <c r="DO3670" s="406">
        <v>-21.58</v>
      </c>
      <c r="DP3670" s="80">
        <v>35</v>
      </c>
    </row>
    <row r="3671" spans="29:120" x14ac:dyDescent="0.25">
      <c r="AC3671" s="122" t="s">
        <v>376</v>
      </c>
      <c r="AD3671" s="122" t="s">
        <v>3967</v>
      </c>
      <c r="AE3671" s="127">
        <v>4</v>
      </c>
      <c r="DA3671" s="122" t="s">
        <v>358</v>
      </c>
      <c r="DB3671" s="122" t="s">
        <v>720</v>
      </c>
      <c r="DC3671" s="122" t="s">
        <v>720</v>
      </c>
      <c r="DD3671" s="127">
        <v>3</v>
      </c>
      <c r="DE3671" s="127">
        <v>3</v>
      </c>
      <c r="DG3671" s="405" t="s">
        <v>358</v>
      </c>
      <c r="DH3671" s="406" t="s">
        <v>720</v>
      </c>
      <c r="DI3671" s="406" t="str">
        <f t="shared" si="89"/>
        <v>RJ, Sapucaia</v>
      </c>
      <c r="DJ3671" s="406">
        <v>-21.995000000000001</v>
      </c>
      <c r="DK3671" s="80">
        <v>-42.914000000000001</v>
      </c>
      <c r="DL3671" s="80">
        <v>221</v>
      </c>
      <c r="DM3671" s="64">
        <v>3</v>
      </c>
      <c r="DN3671" s="406" t="s">
        <v>6810</v>
      </c>
      <c r="DO3671" s="406">
        <v>-22.41</v>
      </c>
      <c r="DP3671" s="80">
        <v>980</v>
      </c>
    </row>
    <row r="3672" spans="29:120" x14ac:dyDescent="0.25">
      <c r="AC3672" s="122" t="s">
        <v>376</v>
      </c>
      <c r="AD3672" s="122" t="s">
        <v>1557</v>
      </c>
      <c r="AE3672" s="127">
        <v>3</v>
      </c>
      <c r="DA3672" s="122" t="s">
        <v>358</v>
      </c>
      <c r="DB3672" s="122" t="s">
        <v>1835</v>
      </c>
      <c r="DC3672" s="122" t="s">
        <v>1835</v>
      </c>
      <c r="DD3672" s="127">
        <v>3</v>
      </c>
      <c r="DE3672" s="127">
        <v>3</v>
      </c>
      <c r="DG3672" s="405" t="s">
        <v>358</v>
      </c>
      <c r="DH3672" s="406" t="s">
        <v>1835</v>
      </c>
      <c r="DI3672" s="406" t="str">
        <f t="shared" si="89"/>
        <v>RJ, Saquarema</v>
      </c>
      <c r="DJ3672" s="406">
        <v>-22.92</v>
      </c>
      <c r="DK3672" s="80">
        <v>-42.51</v>
      </c>
      <c r="DL3672" s="80">
        <v>10</v>
      </c>
      <c r="DM3672" s="64">
        <v>3</v>
      </c>
      <c r="DN3672" s="406" t="s">
        <v>8021</v>
      </c>
      <c r="DO3672" s="406">
        <v>-22.97</v>
      </c>
      <c r="DP3672" s="80">
        <v>4</v>
      </c>
    </row>
    <row r="3673" spans="29:120" x14ac:dyDescent="0.25">
      <c r="AC3673" s="122" t="s">
        <v>376</v>
      </c>
      <c r="AD3673" s="122" t="s">
        <v>3968</v>
      </c>
      <c r="AE3673" s="127">
        <v>6</v>
      </c>
      <c r="DA3673" s="122" t="s">
        <v>358</v>
      </c>
      <c r="DB3673" s="122" t="s">
        <v>3141</v>
      </c>
      <c r="DC3673" s="122" t="s">
        <v>3141</v>
      </c>
      <c r="DD3673" s="127">
        <v>5</v>
      </c>
      <c r="DE3673" s="127">
        <v>5</v>
      </c>
      <c r="DG3673" s="405" t="s">
        <v>358</v>
      </c>
      <c r="DH3673" s="406" t="s">
        <v>3141</v>
      </c>
      <c r="DI3673" s="406" t="str">
        <f t="shared" si="89"/>
        <v>RJ, Seropédica</v>
      </c>
      <c r="DJ3673" s="406">
        <v>-22.744</v>
      </c>
      <c r="DK3673" s="80">
        <v>-43.707999999999998</v>
      </c>
      <c r="DL3673" s="80">
        <v>26</v>
      </c>
      <c r="DM3673" s="64">
        <v>5</v>
      </c>
      <c r="DN3673" s="406" t="s">
        <v>8044</v>
      </c>
      <c r="DO3673" s="406">
        <v>-22.57</v>
      </c>
      <c r="DP3673" s="80">
        <v>0</v>
      </c>
    </row>
    <row r="3674" spans="29:120" x14ac:dyDescent="0.25">
      <c r="AC3674" s="122" t="s">
        <v>376</v>
      </c>
      <c r="AD3674" s="122" t="s">
        <v>3969</v>
      </c>
      <c r="AE3674" s="127">
        <v>3</v>
      </c>
      <c r="DA3674" s="122" t="s">
        <v>358</v>
      </c>
      <c r="DB3674" s="122" t="s">
        <v>8071</v>
      </c>
      <c r="DC3674" s="122" t="s">
        <v>3104</v>
      </c>
      <c r="DD3674" s="127">
        <v>3</v>
      </c>
      <c r="DE3674" s="127">
        <v>3</v>
      </c>
      <c r="DG3674" s="405" t="s">
        <v>358</v>
      </c>
      <c r="DH3674" s="406" t="s">
        <v>3104</v>
      </c>
      <c r="DI3674" s="406" t="str">
        <f t="shared" si="89"/>
        <v>RJ, Silva Jardim</v>
      </c>
      <c r="DJ3674" s="406">
        <v>-22.651</v>
      </c>
      <c r="DK3674" s="80">
        <v>-42.392000000000003</v>
      </c>
      <c r="DL3674" s="80">
        <v>35</v>
      </c>
      <c r="DM3674" s="64">
        <v>3</v>
      </c>
      <c r="DN3674" s="406" t="s">
        <v>8021</v>
      </c>
      <c r="DO3674" s="406">
        <v>-22.97</v>
      </c>
      <c r="DP3674" s="80">
        <v>4</v>
      </c>
    </row>
    <row r="3675" spans="29:120" x14ac:dyDescent="0.25">
      <c r="AC3675" s="122" t="s">
        <v>376</v>
      </c>
      <c r="AD3675" s="122" t="s">
        <v>3970</v>
      </c>
      <c r="AE3675" s="127">
        <v>6</v>
      </c>
      <c r="DA3675" s="122" t="s">
        <v>358</v>
      </c>
      <c r="DB3675" s="122" t="s">
        <v>3328</v>
      </c>
      <c r="DC3675" s="122" t="s">
        <v>3328</v>
      </c>
      <c r="DD3675" s="127">
        <v>3</v>
      </c>
      <c r="DE3675" s="127">
        <v>3</v>
      </c>
      <c r="DG3675" s="405" t="s">
        <v>358</v>
      </c>
      <c r="DH3675" s="406" t="s">
        <v>3328</v>
      </c>
      <c r="DI3675" s="406" t="str">
        <f t="shared" si="89"/>
        <v>RJ, Sumidouro</v>
      </c>
      <c r="DJ3675" s="406">
        <v>-22.05</v>
      </c>
      <c r="DK3675" s="80">
        <v>-42.674999999999997</v>
      </c>
      <c r="DL3675" s="80">
        <v>355</v>
      </c>
      <c r="DM3675" s="64">
        <v>3</v>
      </c>
      <c r="DN3675" s="406" t="s">
        <v>6810</v>
      </c>
      <c r="DO3675" s="406">
        <v>-22.41</v>
      </c>
      <c r="DP3675" s="80">
        <v>980</v>
      </c>
    </row>
    <row r="3676" spans="29:120" x14ac:dyDescent="0.25">
      <c r="AC3676" s="122" t="s">
        <v>376</v>
      </c>
      <c r="AD3676" s="122" t="s">
        <v>3971</v>
      </c>
      <c r="AE3676" s="127">
        <v>6</v>
      </c>
      <c r="DA3676" s="122" t="s">
        <v>358</v>
      </c>
      <c r="DB3676" s="122" t="s">
        <v>441</v>
      </c>
      <c r="DC3676" s="122" t="s">
        <v>441</v>
      </c>
      <c r="DD3676" s="127">
        <v>3</v>
      </c>
      <c r="DE3676" s="127">
        <v>3</v>
      </c>
      <c r="DG3676" s="405" t="s">
        <v>358</v>
      </c>
      <c r="DH3676" s="406" t="s">
        <v>441</v>
      </c>
      <c r="DI3676" s="406" t="str">
        <f t="shared" si="89"/>
        <v>RJ, Tanguá</v>
      </c>
      <c r="DJ3676" s="406">
        <v>-22.73</v>
      </c>
      <c r="DK3676" s="80">
        <v>-42.713999999999999</v>
      </c>
      <c r="DL3676" s="80">
        <v>20</v>
      </c>
      <c r="DM3676" s="64">
        <v>3</v>
      </c>
      <c r="DN3676" s="406" t="s">
        <v>6810</v>
      </c>
      <c r="DO3676" s="406">
        <v>-22.41</v>
      </c>
      <c r="DP3676" s="80">
        <v>980</v>
      </c>
    </row>
    <row r="3677" spans="29:120" x14ac:dyDescent="0.25">
      <c r="AC3677" s="122" t="s">
        <v>376</v>
      </c>
      <c r="AD3677" s="122" t="s">
        <v>3972</v>
      </c>
      <c r="AE3677" s="127">
        <v>6</v>
      </c>
      <c r="DA3677" s="122" t="s">
        <v>358</v>
      </c>
      <c r="DB3677" s="122" t="s">
        <v>721</v>
      </c>
      <c r="DC3677" s="122" t="s">
        <v>721</v>
      </c>
      <c r="DD3677" s="127">
        <v>2</v>
      </c>
      <c r="DE3677" s="127">
        <v>2</v>
      </c>
      <c r="DG3677" s="405" t="s">
        <v>358</v>
      </c>
      <c r="DH3677" s="406" t="s">
        <v>721</v>
      </c>
      <c r="DI3677" s="406" t="str">
        <f t="shared" si="89"/>
        <v>RJ, Teresópolis</v>
      </c>
      <c r="DJ3677" s="406">
        <v>-22.411999999999999</v>
      </c>
      <c r="DK3677" s="80">
        <v>-42.966000000000001</v>
      </c>
      <c r="DL3677" s="80">
        <v>871</v>
      </c>
      <c r="DM3677" s="64">
        <v>2</v>
      </c>
      <c r="DN3677" s="406" t="s">
        <v>6810</v>
      </c>
      <c r="DO3677" s="406">
        <v>-22.41</v>
      </c>
      <c r="DP3677" s="80">
        <v>980</v>
      </c>
    </row>
    <row r="3678" spans="29:120" x14ac:dyDescent="0.25">
      <c r="AC3678" s="122" t="s">
        <v>376</v>
      </c>
      <c r="AD3678" s="122" t="s">
        <v>3973</v>
      </c>
      <c r="AE3678" s="127">
        <v>6</v>
      </c>
      <c r="DA3678" s="122" t="s">
        <v>358</v>
      </c>
      <c r="DB3678" s="122" t="s">
        <v>8072</v>
      </c>
      <c r="DC3678" s="122" t="s">
        <v>359</v>
      </c>
      <c r="DD3678" s="127">
        <v>3</v>
      </c>
      <c r="DE3678" s="127">
        <v>3</v>
      </c>
      <c r="DG3678" s="405" t="s">
        <v>358</v>
      </c>
      <c r="DH3678" s="406" t="s">
        <v>359</v>
      </c>
      <c r="DI3678" s="406" t="str">
        <f t="shared" si="89"/>
        <v>RJ, Trajano de Morais</v>
      </c>
      <c r="DJ3678" s="406">
        <v>-22.062999999999999</v>
      </c>
      <c r="DK3678" s="80">
        <v>-42.066000000000003</v>
      </c>
      <c r="DL3678" s="80">
        <v>655</v>
      </c>
      <c r="DM3678" s="64">
        <v>3</v>
      </c>
      <c r="DN3678" s="406" t="s">
        <v>8034</v>
      </c>
      <c r="DO3678" s="406">
        <v>-22.37</v>
      </c>
      <c r="DP3678" s="80">
        <v>32</v>
      </c>
    </row>
    <row r="3679" spans="29:120" x14ac:dyDescent="0.25">
      <c r="AC3679" s="122" t="s">
        <v>376</v>
      </c>
      <c r="AD3679" s="122" t="s">
        <v>3974</v>
      </c>
      <c r="AE3679" s="127">
        <v>6</v>
      </c>
      <c r="DA3679" s="122" t="s">
        <v>358</v>
      </c>
      <c r="DB3679" s="122" t="s">
        <v>8073</v>
      </c>
      <c r="DC3679" s="122" t="s">
        <v>722</v>
      </c>
      <c r="DD3679" s="127">
        <v>3</v>
      </c>
      <c r="DE3679" s="127">
        <v>3</v>
      </c>
      <c r="DG3679" s="405" t="s">
        <v>358</v>
      </c>
      <c r="DH3679" s="406" t="s">
        <v>722</v>
      </c>
      <c r="DI3679" s="406" t="str">
        <f t="shared" si="89"/>
        <v>RJ, Três Rios</v>
      </c>
      <c r="DJ3679" s="406">
        <v>-22.117000000000001</v>
      </c>
      <c r="DK3679" s="80">
        <v>-43.209000000000003</v>
      </c>
      <c r="DL3679" s="80">
        <v>269</v>
      </c>
      <c r="DM3679" s="64">
        <v>3</v>
      </c>
      <c r="DN3679" s="406" t="s">
        <v>8046</v>
      </c>
      <c r="DO3679" s="406">
        <v>-22.46</v>
      </c>
      <c r="DP3679" s="80">
        <v>1777</v>
      </c>
    </row>
    <row r="3680" spans="29:120" x14ac:dyDescent="0.25">
      <c r="AC3680" s="122" t="s">
        <v>376</v>
      </c>
      <c r="AD3680" s="122" t="s">
        <v>3975</v>
      </c>
      <c r="AE3680" s="127">
        <v>6</v>
      </c>
      <c r="DA3680" s="122" t="s">
        <v>358</v>
      </c>
      <c r="DB3680" s="122" t="s">
        <v>2282</v>
      </c>
      <c r="DC3680" s="122" t="s">
        <v>2282</v>
      </c>
      <c r="DD3680" s="127">
        <v>3</v>
      </c>
      <c r="DE3680" s="127">
        <v>3</v>
      </c>
      <c r="DG3680" s="405" t="s">
        <v>358</v>
      </c>
      <c r="DH3680" s="406" t="s">
        <v>2282</v>
      </c>
      <c r="DI3680" s="406" t="str">
        <f t="shared" si="89"/>
        <v>RJ, Valença</v>
      </c>
      <c r="DJ3680" s="406">
        <v>-22.245999999999999</v>
      </c>
      <c r="DK3680" s="80">
        <v>-43.7</v>
      </c>
      <c r="DL3680" s="80">
        <v>560</v>
      </c>
      <c r="DM3680" s="64">
        <v>3</v>
      </c>
      <c r="DN3680" s="406" t="s">
        <v>6856</v>
      </c>
      <c r="DO3680" s="406">
        <v>-22.25</v>
      </c>
      <c r="DP3680" s="80">
        <v>367</v>
      </c>
    </row>
    <row r="3681" spans="29:120" x14ac:dyDescent="0.25">
      <c r="AC3681" s="122" t="s">
        <v>376</v>
      </c>
      <c r="AD3681" s="122" t="s">
        <v>3976</v>
      </c>
      <c r="AE3681" s="127">
        <v>6</v>
      </c>
      <c r="DA3681" s="122" t="s">
        <v>358</v>
      </c>
      <c r="DB3681" s="122" t="s">
        <v>3405</v>
      </c>
      <c r="DC3681" s="122" t="s">
        <v>3405</v>
      </c>
      <c r="DD3681" s="127">
        <v>3</v>
      </c>
      <c r="DE3681" s="127">
        <v>3</v>
      </c>
      <c r="DG3681" s="405" t="s">
        <v>358</v>
      </c>
      <c r="DH3681" s="406" t="s">
        <v>3405</v>
      </c>
      <c r="DI3681" s="406" t="str">
        <f t="shared" si="89"/>
        <v>RJ, Varre-Sai</v>
      </c>
      <c r="DJ3681" s="406">
        <v>-20.931000000000001</v>
      </c>
      <c r="DK3681" s="80">
        <v>-41.869</v>
      </c>
      <c r="DL3681" s="80">
        <v>680</v>
      </c>
      <c r="DM3681" s="64">
        <v>3</v>
      </c>
      <c r="DN3681" s="406" t="s">
        <v>6478</v>
      </c>
      <c r="DO3681" s="406">
        <v>-20.73</v>
      </c>
      <c r="DP3681" s="80">
        <v>399</v>
      </c>
    </row>
    <row r="3682" spans="29:120" x14ac:dyDescent="0.25">
      <c r="AC3682" s="122" t="s">
        <v>376</v>
      </c>
      <c r="AD3682" s="122" t="s">
        <v>3977</v>
      </c>
      <c r="AE3682" s="127">
        <v>6</v>
      </c>
      <c r="DA3682" s="122" t="s">
        <v>358</v>
      </c>
      <c r="DB3682" s="122" t="s">
        <v>3237</v>
      </c>
      <c r="DC3682" s="122" t="s">
        <v>3237</v>
      </c>
      <c r="DD3682" s="127">
        <v>3</v>
      </c>
      <c r="DE3682" s="127">
        <v>3</v>
      </c>
      <c r="DG3682" s="405" t="s">
        <v>358</v>
      </c>
      <c r="DH3682" s="406" t="s">
        <v>3237</v>
      </c>
      <c r="DI3682" s="406" t="str">
        <f t="shared" si="89"/>
        <v>RJ, Vassouras</v>
      </c>
      <c r="DJ3682" s="406">
        <v>-22.404</v>
      </c>
      <c r="DK3682" s="80">
        <v>-43.662999999999997</v>
      </c>
      <c r="DL3682" s="80">
        <v>434</v>
      </c>
      <c r="DM3682" s="64">
        <v>3</v>
      </c>
      <c r="DN3682" s="406" t="s">
        <v>6856</v>
      </c>
      <c r="DO3682" s="406">
        <v>-22.25</v>
      </c>
      <c r="DP3682" s="80">
        <v>367</v>
      </c>
    </row>
    <row r="3683" spans="29:120" x14ac:dyDescent="0.25">
      <c r="AC3683" s="122" t="s">
        <v>376</v>
      </c>
      <c r="AD3683" s="122" t="s">
        <v>3978</v>
      </c>
      <c r="AE3683" s="127">
        <v>6</v>
      </c>
      <c r="DA3683" s="122" t="s">
        <v>358</v>
      </c>
      <c r="DB3683" s="122" t="s">
        <v>8074</v>
      </c>
      <c r="DC3683" s="122" t="s">
        <v>3497</v>
      </c>
      <c r="DD3683" s="127">
        <v>3</v>
      </c>
      <c r="DE3683" s="127">
        <v>3</v>
      </c>
      <c r="DG3683" s="405" t="s">
        <v>358</v>
      </c>
      <c r="DH3683" s="406" t="s">
        <v>3497</v>
      </c>
      <c r="DI3683" s="406" t="str">
        <f t="shared" si="89"/>
        <v>RJ, Volta Redonda</v>
      </c>
      <c r="DJ3683" s="406">
        <v>-22.523</v>
      </c>
      <c r="DK3683" s="80">
        <v>-44.103999999999999</v>
      </c>
      <c r="DL3683" s="80">
        <v>390</v>
      </c>
      <c r="DM3683" s="64">
        <v>3</v>
      </c>
      <c r="DN3683" s="406" t="s">
        <v>6807</v>
      </c>
      <c r="DO3683" s="406">
        <v>-22.47</v>
      </c>
      <c r="DP3683" s="80">
        <v>440</v>
      </c>
    </row>
    <row r="3684" spans="29:120" x14ac:dyDescent="0.25">
      <c r="AC3684" s="122" t="s">
        <v>376</v>
      </c>
      <c r="AD3684" s="122" t="s">
        <v>3979</v>
      </c>
      <c r="AE3684" s="127">
        <v>6</v>
      </c>
      <c r="DA3684" s="122" t="s">
        <v>369</v>
      </c>
      <c r="DB3684" s="122" t="s">
        <v>4370</v>
      </c>
      <c r="DC3684" s="122" t="s">
        <v>4370</v>
      </c>
      <c r="DD3684" s="127">
        <v>7</v>
      </c>
      <c r="DE3684" s="127">
        <v>7</v>
      </c>
      <c r="DG3684" s="405" t="s">
        <v>369</v>
      </c>
      <c r="DH3684" s="406" t="s">
        <v>4370</v>
      </c>
      <c r="DI3684" s="406" t="str">
        <f t="shared" si="89"/>
        <v>RN, Acari</v>
      </c>
      <c r="DJ3684" s="406">
        <v>-6.4359999999999999</v>
      </c>
      <c r="DK3684" s="80">
        <v>-36.639000000000003</v>
      </c>
      <c r="DL3684" s="80">
        <v>270</v>
      </c>
      <c r="DM3684" s="64">
        <v>7</v>
      </c>
      <c r="DN3684" s="406" t="s">
        <v>7506</v>
      </c>
      <c r="DO3684" s="406">
        <v>-6.46</v>
      </c>
      <c r="DP3684" s="80">
        <v>170</v>
      </c>
    </row>
    <row r="3685" spans="29:120" x14ac:dyDescent="0.25">
      <c r="AC3685" s="122" t="s">
        <v>376</v>
      </c>
      <c r="AD3685" s="122" t="s">
        <v>3980</v>
      </c>
      <c r="AE3685" s="127">
        <v>6</v>
      </c>
      <c r="DA3685" s="122" t="s">
        <v>369</v>
      </c>
      <c r="DB3685" s="122" t="s">
        <v>4376</v>
      </c>
      <c r="DC3685" s="122" t="s">
        <v>4376</v>
      </c>
      <c r="DD3685" s="127">
        <v>7</v>
      </c>
      <c r="DE3685" s="127">
        <v>7</v>
      </c>
      <c r="DG3685" s="405" t="s">
        <v>369</v>
      </c>
      <c r="DH3685" s="406" t="s">
        <v>4376</v>
      </c>
      <c r="DI3685" s="406" t="str">
        <f t="shared" si="89"/>
        <v>RN, Açu</v>
      </c>
      <c r="DJ3685" s="406">
        <v>-5.577</v>
      </c>
      <c r="DK3685" s="80">
        <v>-36.908999999999999</v>
      </c>
      <c r="DL3685" s="80">
        <v>27</v>
      </c>
      <c r="DM3685" s="64">
        <v>7</v>
      </c>
      <c r="DN3685" s="406" t="s">
        <v>8075</v>
      </c>
      <c r="DO3685" s="406">
        <v>-5.1100000000000003</v>
      </c>
      <c r="DP3685" s="80">
        <v>3</v>
      </c>
    </row>
    <row r="3686" spans="29:120" x14ac:dyDescent="0.25">
      <c r="AC3686" s="122" t="s">
        <v>376</v>
      </c>
      <c r="AD3686" s="122" t="s">
        <v>3981</v>
      </c>
      <c r="AE3686" s="127">
        <v>6</v>
      </c>
      <c r="DA3686" s="122" t="s">
        <v>369</v>
      </c>
      <c r="DB3686" s="122" t="s">
        <v>8076</v>
      </c>
      <c r="DC3686" s="122" t="s">
        <v>4166</v>
      </c>
      <c r="DD3686" s="127">
        <v>8</v>
      </c>
      <c r="DE3686" s="127">
        <v>8</v>
      </c>
      <c r="DG3686" s="405" t="s">
        <v>369</v>
      </c>
      <c r="DH3686" s="406" t="s">
        <v>4166</v>
      </c>
      <c r="DI3686" s="406" t="str">
        <f t="shared" si="89"/>
        <v>RN, Afonso Bezerra</v>
      </c>
      <c r="DJ3686" s="406">
        <v>-5.4980000000000002</v>
      </c>
      <c r="DK3686" s="80">
        <v>-36.506</v>
      </c>
      <c r="DL3686" s="80">
        <v>62</v>
      </c>
      <c r="DM3686" s="64">
        <v>8</v>
      </c>
      <c r="DN3686" s="406" t="s">
        <v>8075</v>
      </c>
      <c r="DO3686" s="406">
        <v>-5.1100000000000003</v>
      </c>
      <c r="DP3686" s="80">
        <v>3</v>
      </c>
    </row>
    <row r="3687" spans="29:120" x14ac:dyDescent="0.25">
      <c r="AC3687" s="122" t="s">
        <v>376</v>
      </c>
      <c r="AD3687" s="122" t="s">
        <v>3982</v>
      </c>
      <c r="AE3687" s="127">
        <v>4</v>
      </c>
      <c r="DA3687" s="122" t="s">
        <v>369</v>
      </c>
      <c r="DB3687" s="122" t="s">
        <v>8077</v>
      </c>
      <c r="DC3687" s="122" t="s">
        <v>4562</v>
      </c>
      <c r="DD3687" s="127">
        <v>7</v>
      </c>
      <c r="DE3687" s="127">
        <v>7</v>
      </c>
      <c r="DG3687" s="405" t="s">
        <v>369</v>
      </c>
      <c r="DH3687" s="406" t="s">
        <v>4562</v>
      </c>
      <c r="DI3687" s="406" t="str">
        <f t="shared" si="89"/>
        <v>RN, Água Nova</v>
      </c>
      <c r="DJ3687" s="406">
        <v>-6.2089999999999996</v>
      </c>
      <c r="DK3687" s="80">
        <v>-38.296999999999997</v>
      </c>
      <c r="DL3687" s="80">
        <v>270</v>
      </c>
      <c r="DM3687" s="64">
        <v>7</v>
      </c>
      <c r="DN3687" s="406" t="s">
        <v>6423</v>
      </c>
      <c r="DO3687" s="406">
        <v>-5.91</v>
      </c>
      <c r="DP3687" s="80">
        <v>184</v>
      </c>
    </row>
    <row r="3688" spans="29:120" x14ac:dyDescent="0.25">
      <c r="AC3688" s="122" t="s">
        <v>376</v>
      </c>
      <c r="AD3688" s="122" t="s">
        <v>3983</v>
      </c>
      <c r="AE3688" s="127">
        <v>4</v>
      </c>
      <c r="DA3688" s="122" t="s">
        <v>369</v>
      </c>
      <c r="DB3688" s="122" t="s">
        <v>4542</v>
      </c>
      <c r="DC3688" s="122" t="s">
        <v>4542</v>
      </c>
      <c r="DD3688" s="127">
        <v>7</v>
      </c>
      <c r="DE3688" s="127">
        <v>7</v>
      </c>
      <c r="DG3688" s="405" t="s">
        <v>369</v>
      </c>
      <c r="DH3688" s="406" t="s">
        <v>4542</v>
      </c>
      <c r="DI3688" s="406" t="str">
        <f t="shared" si="89"/>
        <v>RN, Alexandria</v>
      </c>
      <c r="DJ3688" s="406">
        <v>-6.4130000000000003</v>
      </c>
      <c r="DK3688" s="80">
        <v>-38.015999999999998</v>
      </c>
      <c r="DL3688" s="80">
        <v>319</v>
      </c>
      <c r="DM3688" s="64">
        <v>7</v>
      </c>
      <c r="DN3688" s="406" t="s">
        <v>6414</v>
      </c>
      <c r="DO3688" s="406">
        <v>-6.84</v>
      </c>
      <c r="DP3688" s="80">
        <v>234</v>
      </c>
    </row>
    <row r="3689" spans="29:120" x14ac:dyDescent="0.25">
      <c r="AC3689" s="122" t="s">
        <v>376</v>
      </c>
      <c r="AD3689" s="122" t="s">
        <v>3984</v>
      </c>
      <c r="AE3689" s="127">
        <v>6</v>
      </c>
      <c r="DA3689" s="122" t="s">
        <v>369</v>
      </c>
      <c r="DB3689" s="122" t="s">
        <v>8078</v>
      </c>
      <c r="DC3689" s="122" t="s">
        <v>4525</v>
      </c>
      <c r="DD3689" s="127">
        <v>7</v>
      </c>
      <c r="DE3689" s="127">
        <v>7</v>
      </c>
      <c r="DG3689" s="405" t="s">
        <v>369</v>
      </c>
      <c r="DH3689" s="406" t="s">
        <v>4525</v>
      </c>
      <c r="DI3689" s="406" t="str">
        <f t="shared" si="89"/>
        <v>RN, Almino Afonso</v>
      </c>
      <c r="DJ3689" s="406">
        <v>-6.1520000000000001</v>
      </c>
      <c r="DK3689" s="80">
        <v>-37.765999999999998</v>
      </c>
      <c r="DL3689" s="80">
        <v>236</v>
      </c>
      <c r="DM3689" s="64">
        <v>7</v>
      </c>
      <c r="DN3689" s="406" t="s">
        <v>8079</v>
      </c>
      <c r="DO3689" s="406">
        <v>-5.63</v>
      </c>
      <c r="DP3689" s="80">
        <v>150</v>
      </c>
    </row>
    <row r="3690" spans="29:120" x14ac:dyDescent="0.25">
      <c r="AC3690" s="122" t="s">
        <v>376</v>
      </c>
      <c r="AD3690" s="122" t="s">
        <v>3985</v>
      </c>
      <c r="AE3690" s="127">
        <v>3</v>
      </c>
      <c r="DA3690" s="122" t="s">
        <v>369</v>
      </c>
      <c r="DB3690" s="122" t="s">
        <v>8080</v>
      </c>
      <c r="DC3690" s="122" t="s">
        <v>4168</v>
      </c>
      <c r="DD3690" s="127">
        <v>8</v>
      </c>
      <c r="DE3690" s="127">
        <v>8</v>
      </c>
      <c r="DG3690" s="405" t="s">
        <v>369</v>
      </c>
      <c r="DH3690" s="406" t="s">
        <v>4168</v>
      </c>
      <c r="DI3690" s="406" t="str">
        <f t="shared" si="89"/>
        <v>RN, Alto do Rodrigues</v>
      </c>
      <c r="DJ3690" s="406">
        <v>-5.2880000000000003</v>
      </c>
      <c r="DK3690" s="80">
        <v>-36.762</v>
      </c>
      <c r="DL3690" s="80">
        <v>13</v>
      </c>
      <c r="DM3690" s="64">
        <v>8</v>
      </c>
      <c r="DN3690" s="406" t="s">
        <v>8075</v>
      </c>
      <c r="DO3690" s="406">
        <v>-5.1100000000000003</v>
      </c>
      <c r="DP3690" s="80">
        <v>3</v>
      </c>
    </row>
    <row r="3691" spans="29:120" x14ac:dyDescent="0.25">
      <c r="AC3691" s="122" t="s">
        <v>376</v>
      </c>
      <c r="AD3691" s="122" t="s">
        <v>3986</v>
      </c>
      <c r="AE3691" s="127">
        <v>6</v>
      </c>
      <c r="DA3691" s="122" t="s">
        <v>369</v>
      </c>
      <c r="DB3691" s="122" t="s">
        <v>4220</v>
      </c>
      <c r="DC3691" s="122" t="s">
        <v>4220</v>
      </c>
      <c r="DD3691" s="127">
        <v>7</v>
      </c>
      <c r="DE3691" s="127">
        <v>7</v>
      </c>
      <c r="DG3691" s="405" t="s">
        <v>369</v>
      </c>
      <c r="DH3691" s="406" t="s">
        <v>4220</v>
      </c>
      <c r="DI3691" s="406" t="str">
        <f t="shared" si="89"/>
        <v>RN, Angicos</v>
      </c>
      <c r="DJ3691" s="406">
        <v>-5.6660000000000004</v>
      </c>
      <c r="DK3691" s="80">
        <v>-36.600999999999999</v>
      </c>
      <c r="DL3691" s="80">
        <v>110</v>
      </c>
      <c r="DM3691" s="64">
        <v>7</v>
      </c>
      <c r="DN3691" s="406" t="s">
        <v>8075</v>
      </c>
      <c r="DO3691" s="406">
        <v>-5.1100000000000003</v>
      </c>
      <c r="DP3691" s="80">
        <v>3</v>
      </c>
    </row>
    <row r="3692" spans="29:120" x14ac:dyDescent="0.25">
      <c r="AC3692" s="122" t="s">
        <v>376</v>
      </c>
      <c r="AD3692" s="122" t="s">
        <v>3987</v>
      </c>
      <c r="AE3692" s="127">
        <v>6</v>
      </c>
      <c r="DA3692" s="122" t="s">
        <v>369</v>
      </c>
      <c r="DB3692" s="122" t="s">
        <v>8081</v>
      </c>
      <c r="DC3692" s="122" t="s">
        <v>4538</v>
      </c>
      <c r="DD3692" s="127">
        <v>7</v>
      </c>
      <c r="DE3692" s="127">
        <v>7</v>
      </c>
      <c r="DG3692" s="405" t="s">
        <v>369</v>
      </c>
      <c r="DH3692" s="406" t="s">
        <v>4538</v>
      </c>
      <c r="DI3692" s="406" t="str">
        <f t="shared" si="89"/>
        <v>RN, Antônio Martins</v>
      </c>
      <c r="DJ3692" s="406">
        <v>-6.2130000000000001</v>
      </c>
      <c r="DK3692" s="80">
        <v>-37.905999999999999</v>
      </c>
      <c r="DL3692" s="80">
        <v>312</v>
      </c>
      <c r="DM3692" s="64">
        <v>7</v>
      </c>
      <c r="DN3692" s="406" t="s">
        <v>8079</v>
      </c>
      <c r="DO3692" s="406">
        <v>-5.63</v>
      </c>
      <c r="DP3692" s="80">
        <v>150</v>
      </c>
    </row>
    <row r="3693" spans="29:120" x14ac:dyDescent="0.25">
      <c r="AC3693" s="122" t="s">
        <v>376</v>
      </c>
      <c r="AD3693" s="122" t="s">
        <v>3988</v>
      </c>
      <c r="AE3693" s="127">
        <v>6</v>
      </c>
      <c r="DA3693" s="122" t="s">
        <v>369</v>
      </c>
      <c r="DB3693" s="122" t="s">
        <v>5316</v>
      </c>
      <c r="DC3693" s="122" t="s">
        <v>5316</v>
      </c>
      <c r="DD3693" s="127">
        <v>8</v>
      </c>
      <c r="DE3693" s="127">
        <v>8</v>
      </c>
      <c r="DG3693" s="405" t="s">
        <v>369</v>
      </c>
      <c r="DH3693" s="406" t="s">
        <v>5316</v>
      </c>
      <c r="DI3693" s="406" t="str">
        <f t="shared" si="89"/>
        <v>RN, Apodi</v>
      </c>
      <c r="DJ3693" s="406">
        <v>-5.6639999999999997</v>
      </c>
      <c r="DK3693" s="80">
        <v>-37.798999999999999</v>
      </c>
      <c r="DL3693" s="80">
        <v>67</v>
      </c>
      <c r="DM3693" s="64">
        <v>8</v>
      </c>
      <c r="DN3693" s="406" t="s">
        <v>8079</v>
      </c>
      <c r="DO3693" s="406">
        <v>-5.63</v>
      </c>
      <c r="DP3693" s="80">
        <v>150</v>
      </c>
    </row>
    <row r="3694" spans="29:120" x14ac:dyDescent="0.25">
      <c r="AC3694" s="122" t="s">
        <v>376</v>
      </c>
      <c r="AD3694" s="122" t="s">
        <v>3989</v>
      </c>
      <c r="AE3694" s="127">
        <v>6</v>
      </c>
      <c r="DA3694" s="122" t="s">
        <v>369</v>
      </c>
      <c r="DB3694" s="122" t="s">
        <v>8082</v>
      </c>
      <c r="DC3694" s="122" t="s">
        <v>4259</v>
      </c>
      <c r="DD3694" s="127">
        <v>8</v>
      </c>
      <c r="DE3694" s="127">
        <v>8</v>
      </c>
      <c r="DG3694" s="405" t="s">
        <v>369</v>
      </c>
      <c r="DH3694" s="406" t="s">
        <v>4259</v>
      </c>
      <c r="DI3694" s="406" t="str">
        <f t="shared" si="89"/>
        <v>RN, Areia Branca</v>
      </c>
      <c r="DJ3694" s="406">
        <v>-4.9560000000000004</v>
      </c>
      <c r="DK3694" s="80">
        <v>-37.137</v>
      </c>
      <c r="DL3694" s="80">
        <v>3</v>
      </c>
      <c r="DM3694" s="64">
        <v>8</v>
      </c>
      <c r="DN3694" s="406" t="s">
        <v>8083</v>
      </c>
      <c r="DO3694" s="406">
        <v>-5.19</v>
      </c>
      <c r="DP3694" s="80">
        <v>36</v>
      </c>
    </row>
    <row r="3695" spans="29:120" x14ac:dyDescent="0.25">
      <c r="AC3695" s="122" t="s">
        <v>333</v>
      </c>
      <c r="AD3695" s="122" t="s">
        <v>3990</v>
      </c>
      <c r="AE3695" s="127">
        <v>2</v>
      </c>
      <c r="DA3695" s="122" t="s">
        <v>369</v>
      </c>
      <c r="DB3695" s="122" t="s">
        <v>4095</v>
      </c>
      <c r="DC3695" s="122" t="s">
        <v>4095</v>
      </c>
      <c r="DD3695" s="127">
        <v>8</v>
      </c>
      <c r="DE3695" s="127">
        <v>8</v>
      </c>
      <c r="DG3695" s="405" t="s">
        <v>369</v>
      </c>
      <c r="DH3695" s="406" t="s">
        <v>4095</v>
      </c>
      <c r="DI3695" s="406" t="str">
        <f t="shared" si="89"/>
        <v>RN, Arês</v>
      </c>
      <c r="DJ3695" s="406">
        <v>-6.194</v>
      </c>
      <c r="DK3695" s="80">
        <v>-35.159999999999997</v>
      </c>
      <c r="DL3695" s="80">
        <v>52</v>
      </c>
      <c r="DM3695" s="64">
        <v>8</v>
      </c>
      <c r="DN3695" s="406" t="s">
        <v>8084</v>
      </c>
      <c r="DO3695" s="406">
        <v>-5.8</v>
      </c>
      <c r="DP3695" s="80">
        <v>49</v>
      </c>
    </row>
    <row r="3696" spans="29:120" x14ac:dyDescent="0.25">
      <c r="AC3696" s="122" t="s">
        <v>376</v>
      </c>
      <c r="AD3696" s="122" t="s">
        <v>3991</v>
      </c>
      <c r="AE3696" s="127">
        <v>6</v>
      </c>
      <c r="DA3696" s="122" t="s">
        <v>369</v>
      </c>
      <c r="DB3696" s="122" t="s">
        <v>8085</v>
      </c>
      <c r="DC3696" s="122" t="s">
        <v>4496</v>
      </c>
      <c r="DD3696" s="127">
        <v>7</v>
      </c>
      <c r="DE3696" s="127">
        <v>7</v>
      </c>
      <c r="DG3696" s="405" t="s">
        <v>369</v>
      </c>
      <c r="DH3696" s="406" t="s">
        <v>4496</v>
      </c>
      <c r="DI3696" s="406" t="str">
        <f t="shared" si="89"/>
        <v>RN, Augusto Severo</v>
      </c>
      <c r="DJ3696" s="406">
        <v>-5.8639999999999999</v>
      </c>
      <c r="DK3696" s="80">
        <v>-37.31</v>
      </c>
      <c r="DL3696" s="80">
        <v>96</v>
      </c>
      <c r="DM3696" s="64">
        <v>7</v>
      </c>
      <c r="DN3696" s="406" t="s">
        <v>8079</v>
      </c>
      <c r="DO3696" s="406">
        <v>-5.63</v>
      </c>
      <c r="DP3696" s="80">
        <v>150</v>
      </c>
    </row>
    <row r="3697" spans="29:120" x14ac:dyDescent="0.25">
      <c r="AC3697" s="122" t="s">
        <v>376</v>
      </c>
      <c r="AD3697" s="122" t="s">
        <v>3992</v>
      </c>
      <c r="AE3697" s="127">
        <v>6</v>
      </c>
      <c r="DA3697" s="122" t="s">
        <v>369</v>
      </c>
      <c r="DB3697" s="122" t="s">
        <v>8086</v>
      </c>
      <c r="DC3697" s="122" t="s">
        <v>4093</v>
      </c>
      <c r="DD3697" s="127">
        <v>8</v>
      </c>
      <c r="DE3697" s="127">
        <v>8</v>
      </c>
      <c r="DG3697" s="405" t="s">
        <v>369</v>
      </c>
      <c r="DH3697" s="406" t="s">
        <v>4093</v>
      </c>
      <c r="DI3697" s="406" t="str">
        <f t="shared" si="89"/>
        <v>RN, Baía Formosa</v>
      </c>
      <c r="DJ3697" s="406">
        <v>-6.3689999999999998</v>
      </c>
      <c r="DK3697" s="80">
        <v>-35.008000000000003</v>
      </c>
      <c r="DL3697" s="80">
        <v>4</v>
      </c>
      <c r="DM3697" s="64">
        <v>8</v>
      </c>
      <c r="DN3697" s="406" t="s">
        <v>7501</v>
      </c>
      <c r="DO3697" s="406">
        <v>-6.61</v>
      </c>
      <c r="DP3697" s="80">
        <v>136</v>
      </c>
    </row>
    <row r="3698" spans="29:120" x14ac:dyDescent="0.25">
      <c r="AC3698" s="122" t="s">
        <v>376</v>
      </c>
      <c r="AD3698" s="122" t="s">
        <v>3993</v>
      </c>
      <c r="AE3698" s="127">
        <v>3</v>
      </c>
      <c r="DA3698" s="122" t="s">
        <v>369</v>
      </c>
      <c r="DB3698" s="122" t="s">
        <v>2291</v>
      </c>
      <c r="DC3698" s="122" t="s">
        <v>2291</v>
      </c>
      <c r="DD3698" s="127">
        <v>8</v>
      </c>
      <c r="DE3698" s="127">
        <v>8</v>
      </c>
      <c r="DG3698" s="405" t="s">
        <v>369</v>
      </c>
      <c r="DH3698" s="406" t="s">
        <v>2291</v>
      </c>
      <c r="DI3698" s="406" t="str">
        <f t="shared" si="89"/>
        <v>RN, Baraúna</v>
      </c>
      <c r="DJ3698" s="406">
        <v>-5.08</v>
      </c>
      <c r="DK3698" s="80">
        <v>-37.616999999999997</v>
      </c>
      <c r="DL3698" s="80">
        <v>94</v>
      </c>
      <c r="DM3698" s="64">
        <v>8</v>
      </c>
      <c r="DN3698" s="406" t="s">
        <v>8083</v>
      </c>
      <c r="DO3698" s="406">
        <v>-5.19</v>
      </c>
      <c r="DP3698" s="80">
        <v>36</v>
      </c>
    </row>
    <row r="3699" spans="29:120" x14ac:dyDescent="0.25">
      <c r="AC3699" s="122" t="s">
        <v>376</v>
      </c>
      <c r="AD3699" s="122" t="s">
        <v>3994</v>
      </c>
      <c r="AE3699" s="127">
        <v>4</v>
      </c>
      <c r="DA3699" s="122" t="s">
        <v>369</v>
      </c>
      <c r="DB3699" s="122" t="s">
        <v>5106</v>
      </c>
      <c r="DC3699" s="122" t="s">
        <v>5106</v>
      </c>
      <c r="DD3699" s="127">
        <v>8</v>
      </c>
      <c r="DE3699" s="127">
        <v>8</v>
      </c>
      <c r="DG3699" s="405" t="s">
        <v>369</v>
      </c>
      <c r="DH3699" s="406" t="s">
        <v>5106</v>
      </c>
      <c r="DI3699" s="406" t="str">
        <f t="shared" si="89"/>
        <v>RN, Barcelona</v>
      </c>
      <c r="DJ3699" s="406">
        <v>-5.9509999999999996</v>
      </c>
      <c r="DK3699" s="80">
        <v>-35.926000000000002</v>
      </c>
      <c r="DL3699" s="80">
        <v>124</v>
      </c>
      <c r="DM3699" s="64">
        <v>8</v>
      </c>
      <c r="DN3699" s="406" t="s">
        <v>8084</v>
      </c>
      <c r="DO3699" s="406">
        <v>-5.8</v>
      </c>
      <c r="DP3699" s="80">
        <v>49</v>
      </c>
    </row>
    <row r="3700" spans="29:120" x14ac:dyDescent="0.25">
      <c r="AC3700" s="122" t="s">
        <v>376</v>
      </c>
      <c r="AD3700" s="122" t="s">
        <v>3995</v>
      </c>
      <c r="AE3700" s="127">
        <v>6</v>
      </c>
      <c r="DA3700" s="122" t="s">
        <v>369</v>
      </c>
      <c r="DB3700" s="122" t="s">
        <v>8087</v>
      </c>
      <c r="DC3700" s="122" t="s">
        <v>4133</v>
      </c>
      <c r="DD3700" s="127">
        <v>8</v>
      </c>
      <c r="DE3700" s="127">
        <v>8</v>
      </c>
      <c r="DG3700" s="405" t="s">
        <v>369</v>
      </c>
      <c r="DH3700" s="406" t="s">
        <v>4133</v>
      </c>
      <c r="DI3700" s="406" t="str">
        <f t="shared" si="89"/>
        <v>RN, Bento Fernandes</v>
      </c>
      <c r="DJ3700" s="406">
        <v>-5.694</v>
      </c>
      <c r="DK3700" s="80">
        <v>-35.82</v>
      </c>
      <c r="DL3700" s="80">
        <v>111</v>
      </c>
      <c r="DM3700" s="64">
        <v>8</v>
      </c>
      <c r="DN3700" s="406" t="s">
        <v>8084</v>
      </c>
      <c r="DO3700" s="406">
        <v>-5.8</v>
      </c>
      <c r="DP3700" s="80">
        <v>49</v>
      </c>
    </row>
    <row r="3701" spans="29:120" x14ac:dyDescent="0.25">
      <c r="AC3701" s="122" t="s">
        <v>376</v>
      </c>
      <c r="AD3701" s="122" t="s">
        <v>3996</v>
      </c>
      <c r="AE3701" s="127">
        <v>6</v>
      </c>
      <c r="DA3701" s="122" t="s">
        <v>369</v>
      </c>
      <c r="DB3701" s="122" t="s">
        <v>4309</v>
      </c>
      <c r="DC3701" s="122" t="s">
        <v>4309</v>
      </c>
      <c r="DD3701" s="127">
        <v>7</v>
      </c>
      <c r="DE3701" s="127">
        <v>7</v>
      </c>
      <c r="DG3701" s="405" t="s">
        <v>369</v>
      </c>
      <c r="DH3701" s="406" t="s">
        <v>4309</v>
      </c>
      <c r="DI3701" s="406" t="str">
        <f t="shared" si="89"/>
        <v>RN, Bodó</v>
      </c>
      <c r="DJ3701" s="406">
        <v>-5.9880000000000004</v>
      </c>
      <c r="DK3701" s="80">
        <v>-36.412999999999997</v>
      </c>
      <c r="DL3701" s="80">
        <v>560</v>
      </c>
      <c r="DM3701" s="64">
        <v>7</v>
      </c>
      <c r="DN3701" s="406" t="s">
        <v>7506</v>
      </c>
      <c r="DO3701" s="406">
        <v>-6.46</v>
      </c>
      <c r="DP3701" s="80">
        <v>170</v>
      </c>
    </row>
    <row r="3702" spans="29:120" x14ac:dyDescent="0.25">
      <c r="AC3702" s="122" t="s">
        <v>376</v>
      </c>
      <c r="AD3702" s="122" t="s">
        <v>3103</v>
      </c>
      <c r="AE3702" s="127">
        <v>4</v>
      </c>
      <c r="DA3702" s="122" t="s">
        <v>369</v>
      </c>
      <c r="DB3702" s="122" t="s">
        <v>7511</v>
      </c>
      <c r="DC3702" s="122" t="s">
        <v>1517</v>
      </c>
      <c r="DD3702" s="127">
        <v>8</v>
      </c>
      <c r="DE3702" s="127">
        <v>8</v>
      </c>
      <c r="DG3702" s="405" t="s">
        <v>369</v>
      </c>
      <c r="DH3702" s="406" t="s">
        <v>1517</v>
      </c>
      <c r="DI3702" s="406" t="str">
        <f t="shared" si="89"/>
        <v>RN, Bom Jesus</v>
      </c>
      <c r="DJ3702" s="406">
        <v>-5.984</v>
      </c>
      <c r="DK3702" s="80">
        <v>-35.581000000000003</v>
      </c>
      <c r="DL3702" s="80">
        <v>98</v>
      </c>
      <c r="DM3702" s="64">
        <v>8</v>
      </c>
      <c r="DN3702" s="406" t="s">
        <v>8084</v>
      </c>
      <c r="DO3702" s="406">
        <v>-5.8</v>
      </c>
      <c r="DP3702" s="80">
        <v>49</v>
      </c>
    </row>
    <row r="3703" spans="29:120" x14ac:dyDescent="0.25">
      <c r="AC3703" s="122" t="s">
        <v>333</v>
      </c>
      <c r="AD3703" s="122" t="s">
        <v>3997</v>
      </c>
      <c r="AE3703" s="127">
        <v>6</v>
      </c>
      <c r="DA3703" s="122" t="s">
        <v>369</v>
      </c>
      <c r="DB3703" s="122" t="s">
        <v>2827</v>
      </c>
      <c r="DC3703" s="122" t="s">
        <v>2827</v>
      </c>
      <c r="DD3703" s="127">
        <v>8</v>
      </c>
      <c r="DE3703" s="127">
        <v>8</v>
      </c>
      <c r="DG3703" s="405" t="s">
        <v>369</v>
      </c>
      <c r="DH3703" s="406" t="s">
        <v>2827</v>
      </c>
      <c r="DI3703" s="406" t="str">
        <f t="shared" si="89"/>
        <v>RN, Brejinho</v>
      </c>
      <c r="DJ3703" s="406">
        <v>-6.1909999999999998</v>
      </c>
      <c r="DK3703" s="80">
        <v>-35.356999999999999</v>
      </c>
      <c r="DL3703" s="80">
        <v>144</v>
      </c>
      <c r="DM3703" s="64">
        <v>8</v>
      </c>
      <c r="DN3703" s="406" t="s">
        <v>8084</v>
      </c>
      <c r="DO3703" s="406">
        <v>-5.8</v>
      </c>
      <c r="DP3703" s="80">
        <v>49</v>
      </c>
    </row>
    <row r="3704" spans="29:120" x14ac:dyDescent="0.25">
      <c r="AC3704" s="122" t="s">
        <v>376</v>
      </c>
      <c r="AD3704" s="122" t="s">
        <v>1374</v>
      </c>
      <c r="AE3704" s="127">
        <v>6</v>
      </c>
      <c r="DA3704" s="122" t="s">
        <v>369</v>
      </c>
      <c r="DB3704" s="122" t="s">
        <v>8088</v>
      </c>
      <c r="DC3704" s="122" t="s">
        <v>4102</v>
      </c>
      <c r="DD3704" s="127">
        <v>8</v>
      </c>
      <c r="DE3704" s="127">
        <v>8</v>
      </c>
      <c r="DG3704" s="405" t="s">
        <v>369</v>
      </c>
      <c r="DH3704" s="406" t="s">
        <v>4102</v>
      </c>
      <c r="DI3704" s="406" t="str">
        <f t="shared" si="89"/>
        <v>RN, Caiçara do Norte</v>
      </c>
      <c r="DJ3704" s="406">
        <v>-5.0780000000000003</v>
      </c>
      <c r="DK3704" s="80">
        <v>-36.067999999999998</v>
      </c>
      <c r="DL3704" s="80">
        <v>1</v>
      </c>
      <c r="DM3704" s="64">
        <v>8</v>
      </c>
      <c r="DN3704" s="406" t="s">
        <v>8075</v>
      </c>
      <c r="DO3704" s="406">
        <v>-5.1100000000000003</v>
      </c>
      <c r="DP3704" s="80">
        <v>3</v>
      </c>
    </row>
    <row r="3705" spans="29:120" x14ac:dyDescent="0.25">
      <c r="AC3705" s="122" t="s">
        <v>376</v>
      </c>
      <c r="AD3705" s="122" t="s">
        <v>2777</v>
      </c>
      <c r="AE3705" s="127">
        <v>3</v>
      </c>
      <c r="DA3705" s="122" t="s">
        <v>369</v>
      </c>
      <c r="DB3705" s="122" t="s">
        <v>8089</v>
      </c>
      <c r="DC3705" s="122" t="s">
        <v>4184</v>
      </c>
      <c r="DD3705" s="127">
        <v>8</v>
      </c>
      <c r="DE3705" s="127">
        <v>8</v>
      </c>
      <c r="DG3705" s="405" t="s">
        <v>369</v>
      </c>
      <c r="DH3705" s="406" t="s">
        <v>4184</v>
      </c>
      <c r="DI3705" s="406" t="str">
        <f t="shared" si="89"/>
        <v>RN, Caiçara do Rio do Vento</v>
      </c>
      <c r="DJ3705" s="406">
        <v>-5.76</v>
      </c>
      <c r="DK3705" s="80">
        <v>-35.997999999999998</v>
      </c>
      <c r="DL3705" s="80">
        <v>167</v>
      </c>
      <c r="DM3705" s="64">
        <v>8</v>
      </c>
      <c r="DN3705" s="406" t="s">
        <v>8084</v>
      </c>
      <c r="DO3705" s="406">
        <v>-5.8</v>
      </c>
      <c r="DP3705" s="80">
        <v>49</v>
      </c>
    </row>
    <row r="3706" spans="29:120" x14ac:dyDescent="0.25">
      <c r="AC3706" s="122" t="s">
        <v>376</v>
      </c>
      <c r="AD3706" s="122" t="s">
        <v>3998</v>
      </c>
      <c r="AE3706" s="127">
        <v>6</v>
      </c>
      <c r="DA3706" s="122" t="s">
        <v>369</v>
      </c>
      <c r="DB3706" s="122" t="s">
        <v>5535</v>
      </c>
      <c r="DC3706" s="122" t="s">
        <v>5535</v>
      </c>
      <c r="DD3706" s="127">
        <v>7</v>
      </c>
      <c r="DE3706" s="127">
        <v>7</v>
      </c>
      <c r="DG3706" s="405" t="s">
        <v>369</v>
      </c>
      <c r="DH3706" s="406" t="s">
        <v>5535</v>
      </c>
      <c r="DI3706" s="406" t="str">
        <f t="shared" si="89"/>
        <v>RN, Caicó</v>
      </c>
      <c r="DJ3706" s="406">
        <v>-6.4580000000000002</v>
      </c>
      <c r="DK3706" s="80">
        <v>-37.097999999999999</v>
      </c>
      <c r="DL3706" s="80">
        <v>151</v>
      </c>
      <c r="DM3706" s="64">
        <v>7</v>
      </c>
      <c r="DN3706" s="406" t="s">
        <v>7506</v>
      </c>
      <c r="DO3706" s="406">
        <v>-6.46</v>
      </c>
      <c r="DP3706" s="80">
        <v>170</v>
      </c>
    </row>
    <row r="3707" spans="29:120" x14ac:dyDescent="0.25">
      <c r="AC3707" s="122" t="s">
        <v>376</v>
      </c>
      <c r="AD3707" s="122" t="s">
        <v>3999</v>
      </c>
      <c r="AE3707" s="127">
        <v>6</v>
      </c>
      <c r="DA3707" s="122" t="s">
        <v>369</v>
      </c>
      <c r="DB3707" s="122" t="s">
        <v>8090</v>
      </c>
      <c r="DC3707" s="122" t="s">
        <v>5169</v>
      </c>
      <c r="DD3707" s="127">
        <v>8</v>
      </c>
      <c r="DE3707" s="127">
        <v>8</v>
      </c>
      <c r="DG3707" s="405" t="s">
        <v>369</v>
      </c>
      <c r="DH3707" s="406" t="s">
        <v>5169</v>
      </c>
      <c r="DI3707" s="406" t="str">
        <f t="shared" si="89"/>
        <v>RN, Campo Redondo</v>
      </c>
      <c r="DJ3707" s="406">
        <v>-6.2430000000000003</v>
      </c>
      <c r="DK3707" s="80">
        <v>-36.183</v>
      </c>
      <c r="DL3707" s="80">
        <v>471</v>
      </c>
      <c r="DM3707" s="64">
        <v>8</v>
      </c>
      <c r="DN3707" s="406" t="s">
        <v>7492</v>
      </c>
      <c r="DO3707" s="406">
        <v>-6.96</v>
      </c>
      <c r="DP3707" s="80">
        <v>575</v>
      </c>
    </row>
    <row r="3708" spans="29:120" x14ac:dyDescent="0.25">
      <c r="AC3708" s="122" t="s">
        <v>376</v>
      </c>
      <c r="AD3708" s="122" t="s">
        <v>4000</v>
      </c>
      <c r="AE3708" s="127">
        <v>6</v>
      </c>
      <c r="DA3708" s="122" t="s">
        <v>369</v>
      </c>
      <c r="DB3708" s="122" t="s">
        <v>4120</v>
      </c>
      <c r="DC3708" s="122" t="s">
        <v>4120</v>
      </c>
      <c r="DD3708" s="127">
        <v>8</v>
      </c>
      <c r="DE3708" s="127">
        <v>8</v>
      </c>
      <c r="DG3708" s="405" t="s">
        <v>369</v>
      </c>
      <c r="DH3708" s="406" t="s">
        <v>4120</v>
      </c>
      <c r="DI3708" s="406" t="str">
        <f t="shared" si="89"/>
        <v>RN, Canguaretama</v>
      </c>
      <c r="DJ3708" s="406">
        <v>-6.38</v>
      </c>
      <c r="DK3708" s="80">
        <v>-35.128999999999998</v>
      </c>
      <c r="DL3708" s="80">
        <v>5</v>
      </c>
      <c r="DM3708" s="64">
        <v>8</v>
      </c>
      <c r="DN3708" s="406" t="s">
        <v>7501</v>
      </c>
      <c r="DO3708" s="406">
        <v>-6.61</v>
      </c>
      <c r="DP3708" s="80">
        <v>136</v>
      </c>
    </row>
    <row r="3709" spans="29:120" x14ac:dyDescent="0.25">
      <c r="AC3709" s="122" t="s">
        <v>376</v>
      </c>
      <c r="AD3709" s="122" t="s">
        <v>4001</v>
      </c>
      <c r="AE3709" s="127">
        <v>3</v>
      </c>
      <c r="DA3709" s="122" t="s">
        <v>369</v>
      </c>
      <c r="DB3709" s="122" t="s">
        <v>2185</v>
      </c>
      <c r="DC3709" s="122" t="s">
        <v>2185</v>
      </c>
      <c r="DD3709" s="127">
        <v>8</v>
      </c>
      <c r="DE3709" s="127">
        <v>8</v>
      </c>
      <c r="DG3709" s="405" t="s">
        <v>369</v>
      </c>
      <c r="DH3709" s="406" t="s">
        <v>2185</v>
      </c>
      <c r="DI3709" s="406" t="str">
        <f t="shared" si="89"/>
        <v>RN, Caraúbas</v>
      </c>
      <c r="DJ3709" s="406">
        <v>-5.7930000000000001</v>
      </c>
      <c r="DK3709" s="80">
        <v>-37.557000000000002</v>
      </c>
      <c r="DL3709" s="80">
        <v>144</v>
      </c>
      <c r="DM3709" s="64">
        <v>8</v>
      </c>
      <c r="DN3709" s="406" t="s">
        <v>8079</v>
      </c>
      <c r="DO3709" s="406">
        <v>-5.63</v>
      </c>
      <c r="DP3709" s="80">
        <v>150</v>
      </c>
    </row>
    <row r="3710" spans="29:120" x14ac:dyDescent="0.25">
      <c r="AC3710" s="122" t="s">
        <v>376</v>
      </c>
      <c r="AD3710" s="122" t="s">
        <v>4002</v>
      </c>
      <c r="AE3710" s="127">
        <v>3</v>
      </c>
      <c r="DA3710" s="122" t="s">
        <v>369</v>
      </c>
      <c r="DB3710" s="122" t="s">
        <v>8091</v>
      </c>
      <c r="DC3710" s="122" t="s">
        <v>4533</v>
      </c>
      <c r="DD3710" s="127">
        <v>7</v>
      </c>
      <c r="DE3710" s="127">
        <v>7</v>
      </c>
      <c r="DG3710" s="405" t="s">
        <v>369</v>
      </c>
      <c r="DH3710" s="406" t="s">
        <v>4533</v>
      </c>
      <c r="DI3710" s="406" t="str">
        <f t="shared" si="89"/>
        <v>RN, Carnaúba dos Dantas</v>
      </c>
      <c r="DJ3710" s="406">
        <v>-6.556</v>
      </c>
      <c r="DK3710" s="80">
        <v>-36.594999999999999</v>
      </c>
      <c r="DL3710" s="80">
        <v>306</v>
      </c>
      <c r="DM3710" s="64">
        <v>7</v>
      </c>
      <c r="DN3710" s="406" t="s">
        <v>7506</v>
      </c>
      <c r="DO3710" s="406">
        <v>-6.46</v>
      </c>
      <c r="DP3710" s="80">
        <v>170</v>
      </c>
    </row>
    <row r="3711" spans="29:120" x14ac:dyDescent="0.25">
      <c r="AC3711" s="122" t="s">
        <v>376</v>
      </c>
      <c r="AD3711" s="122" t="s">
        <v>4003</v>
      </c>
      <c r="AE3711" s="127">
        <v>3</v>
      </c>
      <c r="DA3711" s="122" t="s">
        <v>369</v>
      </c>
      <c r="DB3711" s="122" t="s">
        <v>4203</v>
      </c>
      <c r="DC3711" s="122" t="s">
        <v>4203</v>
      </c>
      <c r="DD3711" s="127">
        <v>8</v>
      </c>
      <c r="DE3711" s="127">
        <v>8</v>
      </c>
      <c r="DG3711" s="405" t="s">
        <v>369</v>
      </c>
      <c r="DH3711" s="406" t="s">
        <v>4203</v>
      </c>
      <c r="DI3711" s="406" t="str">
        <f t="shared" si="89"/>
        <v>RN, Carnaubais</v>
      </c>
      <c r="DJ3711" s="406">
        <v>-5.3410000000000002</v>
      </c>
      <c r="DK3711" s="80">
        <v>-36.832999999999998</v>
      </c>
      <c r="DL3711" s="80">
        <v>30</v>
      </c>
      <c r="DM3711" s="64">
        <v>8</v>
      </c>
      <c r="DN3711" s="406" t="s">
        <v>8075</v>
      </c>
      <c r="DO3711" s="406">
        <v>-5.1100000000000003</v>
      </c>
      <c r="DP3711" s="80">
        <v>3</v>
      </c>
    </row>
    <row r="3712" spans="29:120" x14ac:dyDescent="0.25">
      <c r="AC3712" s="122" t="s">
        <v>376</v>
      </c>
      <c r="AD3712" s="122" t="s">
        <v>4004</v>
      </c>
      <c r="AE3712" s="127">
        <v>6</v>
      </c>
      <c r="DA3712" s="122" t="s">
        <v>369</v>
      </c>
      <c r="DB3712" s="122" t="s">
        <v>4108</v>
      </c>
      <c r="DC3712" s="122" t="s">
        <v>4108</v>
      </c>
      <c r="DD3712" s="127">
        <v>8</v>
      </c>
      <c r="DE3712" s="127">
        <v>8</v>
      </c>
      <c r="DG3712" s="405" t="s">
        <v>369</v>
      </c>
      <c r="DH3712" s="406" t="s">
        <v>4108</v>
      </c>
      <c r="DI3712" s="406" t="str">
        <f t="shared" si="89"/>
        <v>RN, Ceará-Mirim</v>
      </c>
      <c r="DJ3712" s="406">
        <v>-5.6340000000000003</v>
      </c>
      <c r="DK3712" s="80">
        <v>-35.426000000000002</v>
      </c>
      <c r="DL3712" s="80">
        <v>33</v>
      </c>
      <c r="DM3712" s="64">
        <v>8</v>
      </c>
      <c r="DN3712" s="406" t="s">
        <v>8084</v>
      </c>
      <c r="DO3712" s="406">
        <v>-5.8</v>
      </c>
      <c r="DP3712" s="80">
        <v>49</v>
      </c>
    </row>
    <row r="3713" spans="29:120" x14ac:dyDescent="0.25">
      <c r="AC3713" s="122" t="s">
        <v>376</v>
      </c>
      <c r="AD3713" s="122" t="s">
        <v>4005</v>
      </c>
      <c r="AE3713" s="127">
        <v>6</v>
      </c>
      <c r="DA3713" s="122" t="s">
        <v>369</v>
      </c>
      <c r="DB3713" s="122" t="s">
        <v>8092</v>
      </c>
      <c r="DC3713" s="122" t="s">
        <v>4322</v>
      </c>
      <c r="DD3713" s="127">
        <v>7</v>
      </c>
      <c r="DE3713" s="127">
        <v>7</v>
      </c>
      <c r="DG3713" s="405" t="s">
        <v>369</v>
      </c>
      <c r="DH3713" s="406" t="s">
        <v>4322</v>
      </c>
      <c r="DI3713" s="406" t="str">
        <f t="shared" si="89"/>
        <v>RN, Cerro Corá</v>
      </c>
      <c r="DJ3713" s="406">
        <v>-6.0460000000000003</v>
      </c>
      <c r="DK3713" s="80">
        <v>-36.345999999999997</v>
      </c>
      <c r="DL3713" s="80">
        <v>575</v>
      </c>
      <c r="DM3713" s="64">
        <v>7</v>
      </c>
      <c r="DN3713" s="406" t="s">
        <v>7506</v>
      </c>
      <c r="DO3713" s="406">
        <v>-6.46</v>
      </c>
      <c r="DP3713" s="80">
        <v>170</v>
      </c>
    </row>
    <row r="3714" spans="29:120" x14ac:dyDescent="0.25">
      <c r="AC3714" s="122" t="s">
        <v>376</v>
      </c>
      <c r="AD3714" s="122" t="s">
        <v>4006</v>
      </c>
      <c r="AE3714" s="127">
        <v>6</v>
      </c>
      <c r="DA3714" s="122" t="s">
        <v>369</v>
      </c>
      <c r="DB3714" s="122" t="s">
        <v>8093</v>
      </c>
      <c r="DC3714" s="122" t="s">
        <v>2228</v>
      </c>
      <c r="DD3714" s="127">
        <v>7</v>
      </c>
      <c r="DE3714" s="127">
        <v>7</v>
      </c>
      <c r="DG3714" s="405" t="s">
        <v>369</v>
      </c>
      <c r="DH3714" s="406" t="s">
        <v>2228</v>
      </c>
      <c r="DI3714" s="406" t="str">
        <f t="shared" si="89"/>
        <v>RN, Coronel Ezequiel</v>
      </c>
      <c r="DJ3714" s="406">
        <v>-6.383</v>
      </c>
      <c r="DK3714" s="80">
        <v>-36.215000000000003</v>
      </c>
      <c r="DL3714" s="80">
        <v>584</v>
      </c>
      <c r="DM3714" s="64">
        <v>7</v>
      </c>
      <c r="DN3714" s="406" t="s">
        <v>7492</v>
      </c>
      <c r="DO3714" s="406">
        <v>-6.96</v>
      </c>
      <c r="DP3714" s="80">
        <v>575</v>
      </c>
    </row>
    <row r="3715" spans="29:120" x14ac:dyDescent="0.25">
      <c r="AC3715" s="122" t="s">
        <v>376</v>
      </c>
      <c r="AD3715" s="122" t="s">
        <v>4007</v>
      </c>
      <c r="AE3715" s="127">
        <v>6</v>
      </c>
      <c r="DA3715" s="122" t="s">
        <v>369</v>
      </c>
      <c r="DB3715" s="122" t="s">
        <v>8094</v>
      </c>
      <c r="DC3715" s="122" t="s">
        <v>4559</v>
      </c>
      <c r="DD3715" s="127">
        <v>7</v>
      </c>
      <c r="DE3715" s="127">
        <v>7</v>
      </c>
      <c r="DG3715" s="405" t="s">
        <v>369</v>
      </c>
      <c r="DH3715" s="406" t="s">
        <v>4559</v>
      </c>
      <c r="DI3715" s="406" t="str">
        <f t="shared" ref="DI3715:DI3778" si="90">CONCATENATE(DG3715,", ",DH3715)</f>
        <v>RN, Coronel João Pessoa</v>
      </c>
      <c r="DJ3715" s="406">
        <v>-6.26</v>
      </c>
      <c r="DK3715" s="80">
        <v>-38.444000000000003</v>
      </c>
      <c r="DL3715" s="80">
        <v>401</v>
      </c>
      <c r="DM3715" s="64">
        <v>7</v>
      </c>
      <c r="DN3715" s="406" t="s">
        <v>6423</v>
      </c>
      <c r="DO3715" s="406">
        <v>-5.91</v>
      </c>
      <c r="DP3715" s="80">
        <v>184</v>
      </c>
    </row>
    <row r="3716" spans="29:120" x14ac:dyDescent="0.25">
      <c r="AC3716" s="122" t="s">
        <v>376</v>
      </c>
      <c r="AD3716" s="122" t="s">
        <v>4008</v>
      </c>
      <c r="AE3716" s="127">
        <v>6</v>
      </c>
      <c r="DA3716" s="122" t="s">
        <v>369</v>
      </c>
      <c r="DB3716" s="122" t="s">
        <v>4546</v>
      </c>
      <c r="DC3716" s="122" t="s">
        <v>4546</v>
      </c>
      <c r="DD3716" s="127">
        <v>7</v>
      </c>
      <c r="DE3716" s="127">
        <v>7</v>
      </c>
      <c r="DG3716" s="405" t="s">
        <v>369</v>
      </c>
      <c r="DH3716" s="406" t="s">
        <v>4546</v>
      </c>
      <c r="DI3716" s="406" t="str">
        <f t="shared" si="90"/>
        <v>RN, Cruzeta</v>
      </c>
      <c r="DJ3716" s="406">
        <v>-6.4119999999999999</v>
      </c>
      <c r="DK3716" s="80">
        <v>-36.79</v>
      </c>
      <c r="DL3716" s="80">
        <v>231</v>
      </c>
      <c r="DM3716" s="64">
        <v>7</v>
      </c>
      <c r="DN3716" s="406" t="s">
        <v>7506</v>
      </c>
      <c r="DO3716" s="406">
        <v>-6.46</v>
      </c>
      <c r="DP3716" s="80">
        <v>170</v>
      </c>
    </row>
    <row r="3717" spans="29:120" x14ac:dyDescent="0.25">
      <c r="AC3717" s="122" t="s">
        <v>376</v>
      </c>
      <c r="AD3717" s="122" t="s">
        <v>4009</v>
      </c>
      <c r="AE3717" s="127">
        <v>6</v>
      </c>
      <c r="DA3717" s="122" t="s">
        <v>369</v>
      </c>
      <c r="DB3717" s="122" t="s">
        <v>8095</v>
      </c>
      <c r="DC3717" s="122" t="s">
        <v>4569</v>
      </c>
      <c r="DD3717" s="127">
        <v>7</v>
      </c>
      <c r="DE3717" s="127">
        <v>7</v>
      </c>
      <c r="DG3717" s="405" t="s">
        <v>369</v>
      </c>
      <c r="DH3717" s="406" t="s">
        <v>4569</v>
      </c>
      <c r="DI3717" s="406" t="str">
        <f t="shared" si="90"/>
        <v>RN, Currais Novos</v>
      </c>
      <c r="DJ3717" s="406">
        <v>-6.2610000000000001</v>
      </c>
      <c r="DK3717" s="80">
        <v>-36.515000000000001</v>
      </c>
      <c r="DL3717" s="80">
        <v>341</v>
      </c>
      <c r="DM3717" s="64">
        <v>7</v>
      </c>
      <c r="DN3717" s="406" t="s">
        <v>7506</v>
      </c>
      <c r="DO3717" s="406">
        <v>-6.46</v>
      </c>
      <c r="DP3717" s="80">
        <v>170</v>
      </c>
    </row>
    <row r="3718" spans="29:120" x14ac:dyDescent="0.25">
      <c r="AC3718" s="122" t="s">
        <v>376</v>
      </c>
      <c r="AD3718" s="122" t="s">
        <v>1536</v>
      </c>
      <c r="AE3718" s="127">
        <v>6</v>
      </c>
      <c r="DA3718" s="122" t="s">
        <v>369</v>
      </c>
      <c r="DB3718" s="122" t="s">
        <v>8096</v>
      </c>
      <c r="DC3718" s="122" t="s">
        <v>4599</v>
      </c>
      <c r="DD3718" s="127">
        <v>7</v>
      </c>
      <c r="DE3718" s="127">
        <v>7</v>
      </c>
      <c r="DG3718" s="405" t="s">
        <v>369</v>
      </c>
      <c r="DH3718" s="406" t="s">
        <v>4599</v>
      </c>
      <c r="DI3718" s="406" t="str">
        <f t="shared" si="90"/>
        <v>RN, Doutor Severiano</v>
      </c>
      <c r="DJ3718" s="406">
        <v>-6.0940000000000003</v>
      </c>
      <c r="DK3718" s="80">
        <v>-38.375</v>
      </c>
      <c r="DL3718" s="80">
        <v>370</v>
      </c>
      <c r="DM3718" s="64">
        <v>7</v>
      </c>
      <c r="DN3718" s="406" t="s">
        <v>6423</v>
      </c>
      <c r="DO3718" s="406">
        <v>-5.91</v>
      </c>
      <c r="DP3718" s="80">
        <v>184</v>
      </c>
    </row>
    <row r="3719" spans="29:120" x14ac:dyDescent="0.25">
      <c r="AC3719" s="122" t="s">
        <v>376</v>
      </c>
      <c r="AD3719" s="122" t="s">
        <v>4010</v>
      </c>
      <c r="AE3719" s="127">
        <v>6</v>
      </c>
      <c r="DA3719" s="122" t="s">
        <v>369</v>
      </c>
      <c r="DB3719" s="122" t="s">
        <v>4590</v>
      </c>
      <c r="DC3719" s="122" t="s">
        <v>4590</v>
      </c>
      <c r="DD3719" s="127">
        <v>7</v>
      </c>
      <c r="DE3719" s="127">
        <v>7</v>
      </c>
      <c r="DG3719" s="405" t="s">
        <v>369</v>
      </c>
      <c r="DH3719" s="406" t="s">
        <v>4590</v>
      </c>
      <c r="DI3719" s="406" t="str">
        <f t="shared" si="90"/>
        <v>RN, Encanto</v>
      </c>
      <c r="DJ3719" s="406">
        <v>-6.1109999999999998</v>
      </c>
      <c r="DK3719" s="80">
        <v>-38.305999999999997</v>
      </c>
      <c r="DL3719" s="80">
        <v>212</v>
      </c>
      <c r="DM3719" s="64">
        <v>7</v>
      </c>
      <c r="DN3719" s="406" t="s">
        <v>6423</v>
      </c>
      <c r="DO3719" s="406">
        <v>-5.91</v>
      </c>
      <c r="DP3719" s="80">
        <v>184</v>
      </c>
    </row>
    <row r="3720" spans="29:120" x14ac:dyDescent="0.25">
      <c r="AC3720" s="122" t="s">
        <v>376</v>
      </c>
      <c r="AD3720" s="122" t="s">
        <v>4011</v>
      </c>
      <c r="AE3720" s="127">
        <v>6</v>
      </c>
      <c r="DA3720" s="122" t="s">
        <v>369</v>
      </c>
      <c r="DB3720" s="122" t="s">
        <v>2166</v>
      </c>
      <c r="DC3720" s="122" t="s">
        <v>2166</v>
      </c>
      <c r="DD3720" s="127">
        <v>8</v>
      </c>
      <c r="DE3720" s="127">
        <v>8</v>
      </c>
      <c r="DG3720" s="405" t="s">
        <v>369</v>
      </c>
      <c r="DH3720" s="406" t="s">
        <v>2166</v>
      </c>
      <c r="DI3720" s="406" t="str">
        <f t="shared" si="90"/>
        <v>RN, Equador</v>
      </c>
      <c r="DJ3720" s="406">
        <v>-6.9450000000000003</v>
      </c>
      <c r="DK3720" s="80">
        <v>-36.718000000000004</v>
      </c>
      <c r="DL3720" s="80">
        <v>572</v>
      </c>
      <c r="DM3720" s="64">
        <v>8</v>
      </c>
      <c r="DN3720" s="406" t="s">
        <v>7490</v>
      </c>
      <c r="DO3720" s="406">
        <v>-7.02</v>
      </c>
      <c r="DP3720" s="80">
        <v>249</v>
      </c>
    </row>
    <row r="3721" spans="29:120" x14ac:dyDescent="0.25">
      <c r="AC3721" s="122" t="s">
        <v>376</v>
      </c>
      <c r="AD3721" s="122" t="s">
        <v>4012</v>
      </c>
      <c r="AE3721" s="127">
        <v>4</v>
      </c>
      <c r="DA3721" s="122" t="s">
        <v>369</v>
      </c>
      <c r="DB3721" s="122" t="s">
        <v>8097</v>
      </c>
      <c r="DC3721" s="122" t="s">
        <v>5097</v>
      </c>
      <c r="DD3721" s="127">
        <v>8</v>
      </c>
      <c r="DE3721" s="127">
        <v>8</v>
      </c>
      <c r="DG3721" s="405" t="s">
        <v>369</v>
      </c>
      <c r="DH3721" s="406" t="s">
        <v>5097</v>
      </c>
      <c r="DI3721" s="406" t="str">
        <f t="shared" si="90"/>
        <v>RN, Espírito Santo</v>
      </c>
      <c r="DJ3721" s="406">
        <v>-6.3319999999999999</v>
      </c>
      <c r="DK3721" s="80">
        <v>-35.308999999999997</v>
      </c>
      <c r="DL3721" s="80">
        <v>44</v>
      </c>
      <c r="DM3721" s="64">
        <v>8</v>
      </c>
      <c r="DN3721" s="406" t="s">
        <v>7501</v>
      </c>
      <c r="DO3721" s="406">
        <v>-6.61</v>
      </c>
      <c r="DP3721" s="80">
        <v>136</v>
      </c>
    </row>
    <row r="3722" spans="29:120" x14ac:dyDescent="0.25">
      <c r="AC3722" s="122" t="s">
        <v>376</v>
      </c>
      <c r="AD3722" s="122" t="s">
        <v>4013</v>
      </c>
      <c r="AE3722" s="127">
        <v>3</v>
      </c>
      <c r="DA3722" s="122" t="s">
        <v>369</v>
      </c>
      <c r="DB3722" s="122" t="s">
        <v>4197</v>
      </c>
      <c r="DC3722" s="122" t="s">
        <v>4197</v>
      </c>
      <c r="DD3722" s="127">
        <v>8</v>
      </c>
      <c r="DE3722" s="127">
        <v>8</v>
      </c>
      <c r="DG3722" s="405" t="s">
        <v>369</v>
      </c>
      <c r="DH3722" s="406" t="s">
        <v>4197</v>
      </c>
      <c r="DI3722" s="406" t="str">
        <f t="shared" si="90"/>
        <v>RN, Extremoz</v>
      </c>
      <c r="DJ3722" s="406">
        <v>-5.7060000000000004</v>
      </c>
      <c r="DK3722" s="80">
        <v>-35.307000000000002</v>
      </c>
      <c r="DL3722" s="80">
        <v>41</v>
      </c>
      <c r="DM3722" s="64">
        <v>8</v>
      </c>
      <c r="DN3722" s="406" t="s">
        <v>8084</v>
      </c>
      <c r="DO3722" s="406">
        <v>-5.8</v>
      </c>
      <c r="DP3722" s="80">
        <v>49</v>
      </c>
    </row>
    <row r="3723" spans="29:120" x14ac:dyDescent="0.25">
      <c r="AC3723" s="122" t="s">
        <v>376</v>
      </c>
      <c r="AD3723" s="122" t="s">
        <v>4014</v>
      </c>
      <c r="AE3723" s="127">
        <v>6</v>
      </c>
      <c r="DA3723" s="122" t="s">
        <v>369</v>
      </c>
      <c r="DB3723" s="122" t="s">
        <v>8098</v>
      </c>
      <c r="DC3723" s="122" t="s">
        <v>5307</v>
      </c>
      <c r="DD3723" s="127">
        <v>8</v>
      </c>
      <c r="DE3723" s="127">
        <v>8</v>
      </c>
      <c r="DG3723" s="405" t="s">
        <v>369</v>
      </c>
      <c r="DH3723" s="406" t="s">
        <v>5307</v>
      </c>
      <c r="DI3723" s="406" t="str">
        <f t="shared" si="90"/>
        <v>RN, Felipe Guerra</v>
      </c>
      <c r="DJ3723" s="406">
        <v>-5.6029999999999998</v>
      </c>
      <c r="DK3723" s="80">
        <v>-37.689</v>
      </c>
      <c r="DL3723" s="80">
        <v>40</v>
      </c>
      <c r="DM3723" s="64">
        <v>8</v>
      </c>
      <c r="DN3723" s="406" t="s">
        <v>8079</v>
      </c>
      <c r="DO3723" s="406">
        <v>-5.63</v>
      </c>
      <c r="DP3723" s="80">
        <v>150</v>
      </c>
    </row>
    <row r="3724" spans="29:120" x14ac:dyDescent="0.25">
      <c r="AC3724" s="122" t="s">
        <v>376</v>
      </c>
      <c r="AD3724" s="122" t="s">
        <v>4015</v>
      </c>
      <c r="AE3724" s="127">
        <v>6</v>
      </c>
      <c r="DA3724" s="122" t="s">
        <v>369</v>
      </c>
      <c r="DB3724" s="122" t="s">
        <v>8099</v>
      </c>
      <c r="DC3724" s="122" t="s">
        <v>4232</v>
      </c>
      <c r="DD3724" s="127">
        <v>8</v>
      </c>
      <c r="DE3724" s="127">
        <v>8</v>
      </c>
      <c r="DG3724" s="405" t="s">
        <v>369</v>
      </c>
      <c r="DH3724" s="406" t="s">
        <v>4232</v>
      </c>
      <c r="DI3724" s="406" t="str">
        <f t="shared" si="90"/>
        <v>RN, Fernando Pedroza</v>
      </c>
      <c r="DJ3724" s="406">
        <v>-5.6970000000000001</v>
      </c>
      <c r="DK3724" s="80">
        <v>-36.530999999999999</v>
      </c>
      <c r="DL3724" s="80">
        <v>133</v>
      </c>
      <c r="DM3724" s="64">
        <v>8</v>
      </c>
      <c r="DN3724" s="406" t="s">
        <v>8075</v>
      </c>
      <c r="DO3724" s="406">
        <v>-5.1100000000000003</v>
      </c>
      <c r="DP3724" s="80">
        <v>3</v>
      </c>
    </row>
    <row r="3725" spans="29:120" x14ac:dyDescent="0.25">
      <c r="AC3725" s="122" t="s">
        <v>376</v>
      </c>
      <c r="AD3725" s="122" t="s">
        <v>4016</v>
      </c>
      <c r="AE3725" s="127">
        <v>6</v>
      </c>
      <c r="DA3725" s="122" t="s">
        <v>369</v>
      </c>
      <c r="DB3725" s="122" t="s">
        <v>4548</v>
      </c>
      <c r="DC3725" s="122" t="s">
        <v>4548</v>
      </c>
      <c r="DD3725" s="127">
        <v>7</v>
      </c>
      <c r="DE3725" s="127">
        <v>7</v>
      </c>
      <c r="DG3725" s="405" t="s">
        <v>369</v>
      </c>
      <c r="DH3725" s="406" t="s">
        <v>4548</v>
      </c>
      <c r="DI3725" s="406" t="str">
        <f t="shared" si="90"/>
        <v>RN, Florânia</v>
      </c>
      <c r="DJ3725" s="406">
        <v>-6.1269999999999998</v>
      </c>
      <c r="DK3725" s="80">
        <v>-36.817999999999998</v>
      </c>
      <c r="DL3725" s="80">
        <v>315</v>
      </c>
      <c r="DM3725" s="64">
        <v>7</v>
      </c>
      <c r="DN3725" s="406" t="s">
        <v>7506</v>
      </c>
      <c r="DO3725" s="406">
        <v>-6.46</v>
      </c>
      <c r="DP3725" s="80">
        <v>170</v>
      </c>
    </row>
    <row r="3726" spans="29:120" x14ac:dyDescent="0.25">
      <c r="AC3726" s="122" t="s">
        <v>376</v>
      </c>
      <c r="AD3726" s="122" t="s">
        <v>4017</v>
      </c>
      <c r="AE3726" s="127">
        <v>6</v>
      </c>
      <c r="DA3726" s="122" t="s">
        <v>369</v>
      </c>
      <c r="DB3726" s="122" t="s">
        <v>8100</v>
      </c>
      <c r="DC3726" s="122" t="s">
        <v>4564</v>
      </c>
      <c r="DD3726" s="127">
        <v>7</v>
      </c>
      <c r="DE3726" s="127">
        <v>7</v>
      </c>
      <c r="DG3726" s="405" t="s">
        <v>369</v>
      </c>
      <c r="DH3726" s="406" t="s">
        <v>4564</v>
      </c>
      <c r="DI3726" s="406" t="str">
        <f t="shared" si="90"/>
        <v>RN, Francisco Dantas</v>
      </c>
      <c r="DJ3726" s="406">
        <v>-6.0780000000000003</v>
      </c>
      <c r="DK3726" s="80">
        <v>-38.119</v>
      </c>
      <c r="DL3726" s="80">
        <v>224</v>
      </c>
      <c r="DM3726" s="64">
        <v>7</v>
      </c>
      <c r="DN3726" s="406" t="s">
        <v>6423</v>
      </c>
      <c r="DO3726" s="406">
        <v>-5.91</v>
      </c>
      <c r="DP3726" s="80">
        <v>184</v>
      </c>
    </row>
    <row r="3727" spans="29:120" x14ac:dyDescent="0.25">
      <c r="AC3727" s="122" t="s">
        <v>376</v>
      </c>
      <c r="AD3727" s="122" t="s">
        <v>4018</v>
      </c>
      <c r="AE3727" s="127">
        <v>6</v>
      </c>
      <c r="DA3727" s="122" t="s">
        <v>369</v>
      </c>
      <c r="DB3727" s="122" t="s">
        <v>8101</v>
      </c>
      <c r="DC3727" s="122" t="s">
        <v>4531</v>
      </c>
      <c r="DD3727" s="127">
        <v>7</v>
      </c>
      <c r="DE3727" s="127">
        <v>7</v>
      </c>
      <c r="DG3727" s="405" t="s">
        <v>369</v>
      </c>
      <c r="DH3727" s="406" t="s">
        <v>4531</v>
      </c>
      <c r="DI3727" s="406" t="str">
        <f t="shared" si="90"/>
        <v>RN, Frutuoso Gomes</v>
      </c>
      <c r="DJ3727" s="406">
        <v>-6.1580000000000004</v>
      </c>
      <c r="DK3727" s="80">
        <v>-37.840000000000003</v>
      </c>
      <c r="DL3727" s="80">
        <v>231</v>
      </c>
      <c r="DM3727" s="64">
        <v>7</v>
      </c>
      <c r="DN3727" s="406" t="s">
        <v>8079</v>
      </c>
      <c r="DO3727" s="406">
        <v>-5.63</v>
      </c>
      <c r="DP3727" s="80">
        <v>150</v>
      </c>
    </row>
    <row r="3728" spans="29:120" x14ac:dyDescent="0.25">
      <c r="AC3728" s="122" t="s">
        <v>376</v>
      </c>
      <c r="AD3728" s="122" t="s">
        <v>4019</v>
      </c>
      <c r="AE3728" s="127">
        <v>6</v>
      </c>
      <c r="DA3728" s="122" t="s">
        <v>369</v>
      </c>
      <c r="DB3728" s="122" t="s">
        <v>4156</v>
      </c>
      <c r="DC3728" s="122" t="s">
        <v>4156</v>
      </c>
      <c r="DD3728" s="127">
        <v>8</v>
      </c>
      <c r="DE3728" s="127">
        <v>8</v>
      </c>
      <c r="DG3728" s="405" t="s">
        <v>369</v>
      </c>
      <c r="DH3728" s="406" t="s">
        <v>4156</v>
      </c>
      <c r="DI3728" s="406" t="str">
        <f t="shared" si="90"/>
        <v>RN, Galinhos</v>
      </c>
      <c r="DJ3728" s="406">
        <v>-5.0910000000000002</v>
      </c>
      <c r="DK3728" s="80">
        <v>-36.274999999999999</v>
      </c>
      <c r="DL3728" s="80">
        <v>2</v>
      </c>
      <c r="DM3728" s="64">
        <v>8</v>
      </c>
      <c r="DN3728" s="406" t="s">
        <v>8075</v>
      </c>
      <c r="DO3728" s="406">
        <v>-5.1100000000000003</v>
      </c>
      <c r="DP3728" s="80">
        <v>3</v>
      </c>
    </row>
    <row r="3729" spans="29:120" x14ac:dyDescent="0.25">
      <c r="AC3729" s="122" t="s">
        <v>376</v>
      </c>
      <c r="AD3729" s="122" t="s">
        <v>4020</v>
      </c>
      <c r="AE3729" s="127">
        <v>6</v>
      </c>
      <c r="DA3729" s="122" t="s">
        <v>369</v>
      </c>
      <c r="DB3729" s="122" t="s">
        <v>4140</v>
      </c>
      <c r="DC3729" s="122" t="s">
        <v>4140</v>
      </c>
      <c r="DD3729" s="127">
        <v>8</v>
      </c>
      <c r="DE3729" s="127">
        <v>8</v>
      </c>
      <c r="DG3729" s="405" t="s">
        <v>369</v>
      </c>
      <c r="DH3729" s="406" t="s">
        <v>4140</v>
      </c>
      <c r="DI3729" s="406" t="str">
        <f t="shared" si="90"/>
        <v>RN, Goianinha</v>
      </c>
      <c r="DJ3729" s="406">
        <v>-6.2670000000000003</v>
      </c>
      <c r="DK3729" s="80">
        <v>-35.21</v>
      </c>
      <c r="DL3729" s="80">
        <v>19</v>
      </c>
      <c r="DM3729" s="64">
        <v>8</v>
      </c>
      <c r="DN3729" s="406" t="s">
        <v>7501</v>
      </c>
      <c r="DO3729" s="406">
        <v>-6.61</v>
      </c>
      <c r="DP3729" s="80">
        <v>136</v>
      </c>
    </row>
    <row r="3730" spans="29:120" x14ac:dyDescent="0.25">
      <c r="AC3730" s="122" t="s">
        <v>376</v>
      </c>
      <c r="AD3730" s="122" t="s">
        <v>4021</v>
      </c>
      <c r="AE3730" s="127">
        <v>6</v>
      </c>
      <c r="DA3730" s="122" t="s">
        <v>369</v>
      </c>
      <c r="DB3730" s="122" t="s">
        <v>8102</v>
      </c>
      <c r="DC3730" s="122" t="s">
        <v>4645</v>
      </c>
      <c r="DD3730" s="127">
        <v>7</v>
      </c>
      <c r="DE3730" s="127">
        <v>7</v>
      </c>
      <c r="DG3730" s="405" t="s">
        <v>369</v>
      </c>
      <c r="DH3730" s="406" t="s">
        <v>4645</v>
      </c>
      <c r="DI3730" s="406" t="str">
        <f t="shared" si="90"/>
        <v>RN, Governador Dix-Sept Rosado</v>
      </c>
      <c r="DJ3730" s="406">
        <v>-5.4589999999999996</v>
      </c>
      <c r="DK3730" s="80">
        <v>-37.521000000000001</v>
      </c>
      <c r="DL3730" s="80">
        <v>26</v>
      </c>
      <c r="DM3730" s="64">
        <v>7</v>
      </c>
      <c r="DN3730" s="406" t="s">
        <v>8083</v>
      </c>
      <c r="DO3730" s="406">
        <v>-5.19</v>
      </c>
      <c r="DP3730" s="80">
        <v>36</v>
      </c>
    </row>
    <row r="3731" spans="29:120" x14ac:dyDescent="0.25">
      <c r="AC3731" s="122" t="s">
        <v>376</v>
      </c>
      <c r="AD3731" s="122" t="s">
        <v>4022</v>
      </c>
      <c r="AE3731" s="127">
        <v>6</v>
      </c>
      <c r="DA3731" s="122" t="s">
        <v>369</v>
      </c>
      <c r="DB3731" s="122" t="s">
        <v>4276</v>
      </c>
      <c r="DC3731" s="122" t="s">
        <v>4276</v>
      </c>
      <c r="DD3731" s="127">
        <v>8</v>
      </c>
      <c r="DE3731" s="127">
        <v>8</v>
      </c>
      <c r="DG3731" s="405" t="s">
        <v>369</v>
      </c>
      <c r="DH3731" s="406" t="s">
        <v>4276</v>
      </c>
      <c r="DI3731" s="406" t="str">
        <f t="shared" si="90"/>
        <v>RN, Grossos</v>
      </c>
      <c r="DJ3731" s="406">
        <v>-4.9800000000000004</v>
      </c>
      <c r="DK3731" s="80">
        <v>-37.155000000000001</v>
      </c>
      <c r="DL3731" s="80">
        <v>5</v>
      </c>
      <c r="DM3731" s="64">
        <v>8</v>
      </c>
      <c r="DN3731" s="406" t="s">
        <v>8083</v>
      </c>
      <c r="DO3731" s="406">
        <v>-5.19</v>
      </c>
      <c r="DP3731" s="80">
        <v>36</v>
      </c>
    </row>
    <row r="3732" spans="29:120" x14ac:dyDescent="0.25">
      <c r="AC3732" s="122" t="s">
        <v>376</v>
      </c>
      <c r="AD3732" s="122" t="s">
        <v>4023</v>
      </c>
      <c r="AE3732" s="127">
        <v>3</v>
      </c>
      <c r="DA3732" s="122" t="s">
        <v>369</v>
      </c>
      <c r="DB3732" s="122" t="s">
        <v>4174</v>
      </c>
      <c r="DC3732" s="122" t="s">
        <v>4174</v>
      </c>
      <c r="DD3732" s="127">
        <v>8</v>
      </c>
      <c r="DE3732" s="127">
        <v>8</v>
      </c>
      <c r="DG3732" s="405" t="s">
        <v>369</v>
      </c>
      <c r="DH3732" s="406" t="s">
        <v>4174</v>
      </c>
      <c r="DI3732" s="406" t="str">
        <f t="shared" si="90"/>
        <v>RN, Guamaré</v>
      </c>
      <c r="DJ3732" s="406">
        <v>-5.1079999999999997</v>
      </c>
      <c r="DK3732" s="80">
        <v>-36.32</v>
      </c>
      <c r="DL3732" s="80">
        <v>3</v>
      </c>
      <c r="DM3732" s="64">
        <v>8</v>
      </c>
      <c r="DN3732" s="406" t="s">
        <v>8075</v>
      </c>
      <c r="DO3732" s="406">
        <v>-5.1100000000000003</v>
      </c>
      <c r="DP3732" s="80">
        <v>3</v>
      </c>
    </row>
    <row r="3733" spans="29:120" x14ac:dyDescent="0.25">
      <c r="AC3733" s="122" t="s">
        <v>376</v>
      </c>
      <c r="AD3733" s="122" t="s">
        <v>4024</v>
      </c>
      <c r="AE3733" s="127">
        <v>3</v>
      </c>
      <c r="DA3733" s="122" t="s">
        <v>369</v>
      </c>
      <c r="DB3733" s="122" t="s">
        <v>8103</v>
      </c>
      <c r="DC3733" s="122" t="s">
        <v>5042</v>
      </c>
      <c r="DD3733" s="127">
        <v>8</v>
      </c>
      <c r="DE3733" s="127">
        <v>8</v>
      </c>
      <c r="DG3733" s="405" t="s">
        <v>369</v>
      </c>
      <c r="DH3733" s="406" t="s">
        <v>5042</v>
      </c>
      <c r="DI3733" s="406" t="str">
        <f t="shared" si="90"/>
        <v>RN, Ielmo Marinho</v>
      </c>
      <c r="DJ3733" s="406">
        <v>-5.8239999999999998</v>
      </c>
      <c r="DK3733" s="80">
        <v>-35.552999999999997</v>
      </c>
      <c r="DL3733" s="80">
        <v>65</v>
      </c>
      <c r="DM3733" s="64">
        <v>8</v>
      </c>
      <c r="DN3733" s="406" t="s">
        <v>8084</v>
      </c>
      <c r="DO3733" s="406">
        <v>-5.8</v>
      </c>
      <c r="DP3733" s="80">
        <v>49</v>
      </c>
    </row>
    <row r="3734" spans="29:120" x14ac:dyDescent="0.25">
      <c r="AC3734" s="122" t="s">
        <v>376</v>
      </c>
      <c r="AD3734" s="122" t="s">
        <v>4025</v>
      </c>
      <c r="AE3734" s="127">
        <v>6</v>
      </c>
      <c r="DA3734" s="122" t="s">
        <v>369</v>
      </c>
      <c r="DB3734" s="122" t="s">
        <v>4319</v>
      </c>
      <c r="DC3734" s="122" t="s">
        <v>4319</v>
      </c>
      <c r="DD3734" s="127">
        <v>7</v>
      </c>
      <c r="DE3734" s="127">
        <v>7</v>
      </c>
      <c r="DG3734" s="405" t="s">
        <v>369</v>
      </c>
      <c r="DH3734" s="406" t="s">
        <v>4319</v>
      </c>
      <c r="DI3734" s="406" t="str">
        <f t="shared" si="90"/>
        <v>RN, Ipanguaçu</v>
      </c>
      <c r="DJ3734" s="406">
        <v>-5.4980000000000002</v>
      </c>
      <c r="DK3734" s="80">
        <v>-36.854999999999997</v>
      </c>
      <c r="DL3734" s="80">
        <v>16</v>
      </c>
      <c r="DM3734" s="64">
        <v>7</v>
      </c>
      <c r="DN3734" s="406" t="s">
        <v>8075</v>
      </c>
      <c r="DO3734" s="406">
        <v>-5.1100000000000003</v>
      </c>
      <c r="DP3734" s="80">
        <v>3</v>
      </c>
    </row>
    <row r="3735" spans="29:120" x14ac:dyDescent="0.25">
      <c r="AC3735" s="122" t="s">
        <v>311</v>
      </c>
      <c r="AD3735" s="122" t="s">
        <v>4026</v>
      </c>
      <c r="AE3735" s="127">
        <v>3</v>
      </c>
      <c r="DA3735" s="122" t="s">
        <v>369</v>
      </c>
      <c r="DB3735" s="122" t="s">
        <v>5478</v>
      </c>
      <c r="DC3735" s="122" t="s">
        <v>5478</v>
      </c>
      <c r="DD3735" s="127">
        <v>7</v>
      </c>
      <c r="DE3735" s="127">
        <v>7</v>
      </c>
      <c r="DG3735" s="405" t="s">
        <v>369</v>
      </c>
      <c r="DH3735" s="406" t="s">
        <v>5478</v>
      </c>
      <c r="DI3735" s="406" t="str">
        <f t="shared" si="90"/>
        <v>RN, Ipueira</v>
      </c>
      <c r="DJ3735" s="406">
        <v>-6.8140000000000001</v>
      </c>
      <c r="DK3735" s="80">
        <v>-37.198999999999998</v>
      </c>
      <c r="DL3735" s="80">
        <v>217</v>
      </c>
      <c r="DM3735" s="64">
        <v>7</v>
      </c>
      <c r="DN3735" s="406" t="s">
        <v>7490</v>
      </c>
      <c r="DO3735" s="406">
        <v>-7.02</v>
      </c>
      <c r="DP3735" s="80">
        <v>249</v>
      </c>
    </row>
    <row r="3736" spans="29:120" x14ac:dyDescent="0.25">
      <c r="AC3736" s="122" t="s">
        <v>376</v>
      </c>
      <c r="AD3736" s="122" t="s">
        <v>4027</v>
      </c>
      <c r="AE3736" s="127">
        <v>6</v>
      </c>
      <c r="DA3736" s="122" t="s">
        <v>369</v>
      </c>
      <c r="DB3736" s="122" t="s">
        <v>3025</v>
      </c>
      <c r="DC3736" s="122" t="s">
        <v>3025</v>
      </c>
      <c r="DD3736" s="127">
        <v>7</v>
      </c>
      <c r="DE3736" s="127">
        <v>7</v>
      </c>
      <c r="DG3736" s="405" t="s">
        <v>369</v>
      </c>
      <c r="DH3736" s="406" t="s">
        <v>3025</v>
      </c>
      <c r="DI3736" s="406" t="str">
        <f t="shared" si="90"/>
        <v>RN, Itajá</v>
      </c>
      <c r="DJ3736" s="406">
        <v>-5.6440000000000001</v>
      </c>
      <c r="DK3736" s="80">
        <v>-36.871000000000002</v>
      </c>
      <c r="DL3736" s="80">
        <v>55</v>
      </c>
      <c r="DM3736" s="64">
        <v>7</v>
      </c>
      <c r="DN3736" s="406" t="s">
        <v>8075</v>
      </c>
      <c r="DO3736" s="406">
        <v>-5.1100000000000003</v>
      </c>
      <c r="DP3736" s="80">
        <v>3</v>
      </c>
    </row>
    <row r="3737" spans="29:120" x14ac:dyDescent="0.25">
      <c r="AC3737" s="122" t="s">
        <v>376</v>
      </c>
      <c r="AD3737" s="122" t="s">
        <v>4028</v>
      </c>
      <c r="AE3737" s="127">
        <v>6</v>
      </c>
      <c r="DA3737" s="122" t="s">
        <v>369</v>
      </c>
      <c r="DB3737" s="122" t="s">
        <v>4529</v>
      </c>
      <c r="DC3737" s="122" t="s">
        <v>4529</v>
      </c>
      <c r="DD3737" s="127">
        <v>7</v>
      </c>
      <c r="DE3737" s="127">
        <v>7</v>
      </c>
      <c r="DG3737" s="405" t="s">
        <v>369</v>
      </c>
      <c r="DH3737" s="406" t="s">
        <v>4529</v>
      </c>
      <c r="DI3737" s="406" t="str">
        <f t="shared" si="90"/>
        <v>RN, Itaú</v>
      </c>
      <c r="DJ3737" s="406">
        <v>-5.84</v>
      </c>
      <c r="DK3737" s="80">
        <v>-37.993000000000002</v>
      </c>
      <c r="DL3737" s="80">
        <v>143</v>
      </c>
      <c r="DM3737" s="64">
        <v>7</v>
      </c>
      <c r="DN3737" s="406" t="s">
        <v>8079</v>
      </c>
      <c r="DO3737" s="406">
        <v>-5.63</v>
      </c>
      <c r="DP3737" s="80">
        <v>150</v>
      </c>
    </row>
    <row r="3738" spans="29:120" x14ac:dyDescent="0.25">
      <c r="AC3738" s="122" t="s">
        <v>376</v>
      </c>
      <c r="AD3738" s="122" t="s">
        <v>4029</v>
      </c>
      <c r="AE3738" s="127">
        <v>6</v>
      </c>
      <c r="DA3738" s="122" t="s">
        <v>369</v>
      </c>
      <c r="DB3738" s="122" t="s">
        <v>2218</v>
      </c>
      <c r="DC3738" s="122" t="s">
        <v>2218</v>
      </c>
      <c r="DD3738" s="127">
        <v>8</v>
      </c>
      <c r="DE3738" s="127">
        <v>8</v>
      </c>
      <c r="DG3738" s="405" t="s">
        <v>369</v>
      </c>
      <c r="DH3738" s="406" t="s">
        <v>2218</v>
      </c>
      <c r="DI3738" s="406" t="str">
        <f t="shared" si="90"/>
        <v>RN, Jaçanã</v>
      </c>
      <c r="DJ3738" s="406">
        <v>-6.4260000000000002</v>
      </c>
      <c r="DK3738" s="80">
        <v>-36.204999999999998</v>
      </c>
      <c r="DL3738" s="80">
        <v>664</v>
      </c>
      <c r="DM3738" s="64">
        <v>8</v>
      </c>
      <c r="DN3738" s="406" t="s">
        <v>7492</v>
      </c>
      <c r="DO3738" s="406">
        <v>-6.96</v>
      </c>
      <c r="DP3738" s="80">
        <v>575</v>
      </c>
    </row>
    <row r="3739" spans="29:120" x14ac:dyDescent="0.25">
      <c r="AC3739" s="122" t="s">
        <v>376</v>
      </c>
      <c r="AD3739" s="122" t="s">
        <v>4030</v>
      </c>
      <c r="AE3739" s="127">
        <v>6</v>
      </c>
      <c r="DA3739" s="122" t="s">
        <v>369</v>
      </c>
      <c r="DB3739" s="122" t="s">
        <v>1825</v>
      </c>
      <c r="DC3739" s="122" t="s">
        <v>1825</v>
      </c>
      <c r="DD3739" s="127">
        <v>8</v>
      </c>
      <c r="DE3739" s="127">
        <v>8</v>
      </c>
      <c r="DG3739" s="405" t="s">
        <v>369</v>
      </c>
      <c r="DH3739" s="406" t="s">
        <v>1825</v>
      </c>
      <c r="DI3739" s="406" t="str">
        <f t="shared" si="90"/>
        <v>RN, Jandaíra</v>
      </c>
      <c r="DJ3739" s="406">
        <v>-5.3559999999999999</v>
      </c>
      <c r="DK3739" s="80">
        <v>-36.128</v>
      </c>
      <c r="DL3739" s="80">
        <v>110</v>
      </c>
      <c r="DM3739" s="64">
        <v>8</v>
      </c>
      <c r="DN3739" s="406" t="s">
        <v>8075</v>
      </c>
      <c r="DO3739" s="406">
        <v>-5.1100000000000003</v>
      </c>
      <c r="DP3739" s="80">
        <v>3</v>
      </c>
    </row>
    <row r="3740" spans="29:120" x14ac:dyDescent="0.25">
      <c r="AC3740" s="122" t="s">
        <v>376</v>
      </c>
      <c r="AD3740" s="122" t="s">
        <v>4031</v>
      </c>
      <c r="AE3740" s="127">
        <v>3</v>
      </c>
      <c r="DA3740" s="122" t="s">
        <v>369</v>
      </c>
      <c r="DB3740" s="122" t="s">
        <v>4509</v>
      </c>
      <c r="DC3740" s="122" t="s">
        <v>4509</v>
      </c>
      <c r="DD3740" s="127">
        <v>7</v>
      </c>
      <c r="DE3740" s="127">
        <v>7</v>
      </c>
      <c r="DG3740" s="405" t="s">
        <v>369</v>
      </c>
      <c r="DH3740" s="406" t="s">
        <v>4509</v>
      </c>
      <c r="DI3740" s="406" t="str">
        <f t="shared" si="90"/>
        <v>RN, Janduís</v>
      </c>
      <c r="DJ3740" s="406">
        <v>-6.016</v>
      </c>
      <c r="DK3740" s="80">
        <v>-37.408999999999999</v>
      </c>
      <c r="DL3740" s="80">
        <v>141</v>
      </c>
      <c r="DM3740" s="64">
        <v>7</v>
      </c>
      <c r="DN3740" s="406" t="s">
        <v>7506</v>
      </c>
      <c r="DO3740" s="406">
        <v>-6.46</v>
      </c>
      <c r="DP3740" s="80">
        <v>170</v>
      </c>
    </row>
    <row r="3741" spans="29:120" x14ac:dyDescent="0.25">
      <c r="AC3741" s="122" t="s">
        <v>376</v>
      </c>
      <c r="AD3741" s="122" t="s">
        <v>4032</v>
      </c>
      <c r="AE3741" s="127">
        <v>6</v>
      </c>
      <c r="DA3741" s="122" t="s">
        <v>369</v>
      </c>
      <c r="DB3741" s="122" t="s">
        <v>8104</v>
      </c>
      <c r="DC3741" s="122" t="s">
        <v>5048</v>
      </c>
      <c r="DD3741" s="127">
        <v>8</v>
      </c>
      <c r="DE3741" s="127">
        <v>8</v>
      </c>
      <c r="DG3741" s="405" t="s">
        <v>369</v>
      </c>
      <c r="DH3741" s="406" t="s">
        <v>5048</v>
      </c>
      <c r="DI3741" s="406" t="str">
        <f t="shared" si="90"/>
        <v>RN, Januário Cicco</v>
      </c>
      <c r="DJ3741" s="406">
        <v>-6.1580000000000004</v>
      </c>
      <c r="DK3741" s="80">
        <v>-35.600999999999999</v>
      </c>
      <c r="DL3741" s="80">
        <v>104</v>
      </c>
      <c r="DM3741" s="64">
        <v>8</v>
      </c>
      <c r="DN3741" s="406" t="s">
        <v>8084</v>
      </c>
      <c r="DO3741" s="406">
        <v>-5.8</v>
      </c>
      <c r="DP3741" s="80">
        <v>49</v>
      </c>
    </row>
    <row r="3742" spans="29:120" x14ac:dyDescent="0.25">
      <c r="AC3742" s="122" t="s">
        <v>376</v>
      </c>
      <c r="AD3742" s="122" t="s">
        <v>4033</v>
      </c>
      <c r="AE3742" s="127">
        <v>6</v>
      </c>
      <c r="DA3742" s="122" t="s">
        <v>369</v>
      </c>
      <c r="DB3742" s="122" t="s">
        <v>2087</v>
      </c>
      <c r="DC3742" s="122" t="s">
        <v>2087</v>
      </c>
      <c r="DD3742" s="127">
        <v>8</v>
      </c>
      <c r="DE3742" s="127">
        <v>8</v>
      </c>
      <c r="DG3742" s="405" t="s">
        <v>369</v>
      </c>
      <c r="DH3742" s="406" t="s">
        <v>2087</v>
      </c>
      <c r="DI3742" s="406" t="str">
        <f t="shared" si="90"/>
        <v>RN, Japi</v>
      </c>
      <c r="DJ3742" s="406">
        <v>-6.4649999999999999</v>
      </c>
      <c r="DK3742" s="80">
        <v>-35.947000000000003</v>
      </c>
      <c r="DL3742" s="80">
        <v>284</v>
      </c>
      <c r="DM3742" s="64">
        <v>8</v>
      </c>
      <c r="DN3742" s="406" t="s">
        <v>7492</v>
      </c>
      <c r="DO3742" s="406">
        <v>-6.96</v>
      </c>
      <c r="DP3742" s="80">
        <v>575</v>
      </c>
    </row>
    <row r="3743" spans="29:120" x14ac:dyDescent="0.25">
      <c r="AC3743" s="122" t="s">
        <v>376</v>
      </c>
      <c r="AD3743" s="122" t="s">
        <v>4034</v>
      </c>
      <c r="AE3743" s="127">
        <v>4</v>
      </c>
      <c r="DA3743" s="122" t="s">
        <v>369</v>
      </c>
      <c r="DB3743" s="122" t="s">
        <v>8105</v>
      </c>
      <c r="DC3743" s="122" t="s">
        <v>4148</v>
      </c>
      <c r="DD3743" s="127">
        <v>8</v>
      </c>
      <c r="DE3743" s="127">
        <v>8</v>
      </c>
      <c r="DG3743" s="405" t="s">
        <v>369</v>
      </c>
      <c r="DH3743" s="406" t="s">
        <v>4148</v>
      </c>
      <c r="DI3743" s="406" t="str">
        <f t="shared" si="90"/>
        <v>RN, Jardim de Angicos</v>
      </c>
      <c r="DJ3743" s="406">
        <v>-5.6539999999999999</v>
      </c>
      <c r="DK3743" s="80">
        <v>-35.969000000000001</v>
      </c>
      <c r="DL3743" s="80">
        <v>132</v>
      </c>
      <c r="DM3743" s="64">
        <v>8</v>
      </c>
      <c r="DN3743" s="406" t="s">
        <v>8106</v>
      </c>
      <c r="DO3743" s="406">
        <v>-5.16</v>
      </c>
      <c r="DP3743" s="80">
        <v>17</v>
      </c>
    </row>
    <row r="3744" spans="29:120" x14ac:dyDescent="0.25">
      <c r="AC3744" s="122" t="s">
        <v>376</v>
      </c>
      <c r="AD3744" s="122" t="s">
        <v>4035</v>
      </c>
      <c r="AE3744" s="127">
        <v>4</v>
      </c>
      <c r="DA3744" s="122" t="s">
        <v>369</v>
      </c>
      <c r="DB3744" s="122" t="s">
        <v>8107</v>
      </c>
      <c r="DC3744" s="122" t="s">
        <v>5160</v>
      </c>
      <c r="DD3744" s="127">
        <v>7</v>
      </c>
      <c r="DE3744" s="127">
        <v>7</v>
      </c>
      <c r="DG3744" s="405" t="s">
        <v>369</v>
      </c>
      <c r="DH3744" s="406" t="s">
        <v>5160</v>
      </c>
      <c r="DI3744" s="406" t="str">
        <f t="shared" si="90"/>
        <v>RN, Jardim de Piranhas</v>
      </c>
      <c r="DJ3744" s="406">
        <v>-6.3789999999999996</v>
      </c>
      <c r="DK3744" s="80">
        <v>-37.351999999999997</v>
      </c>
      <c r="DL3744" s="80">
        <v>134</v>
      </c>
      <c r="DM3744" s="64">
        <v>7</v>
      </c>
      <c r="DN3744" s="406" t="s">
        <v>7506</v>
      </c>
      <c r="DO3744" s="406">
        <v>-6.46</v>
      </c>
      <c r="DP3744" s="80">
        <v>170</v>
      </c>
    </row>
    <row r="3745" spans="29:120" x14ac:dyDescent="0.25">
      <c r="AC3745" s="122" t="s">
        <v>376</v>
      </c>
      <c r="AD3745" s="122" t="s">
        <v>4036</v>
      </c>
      <c r="AE3745" s="127">
        <v>3</v>
      </c>
      <c r="DA3745" s="122" t="s">
        <v>369</v>
      </c>
      <c r="DB3745" s="122" t="s">
        <v>8108</v>
      </c>
      <c r="DC3745" s="122" t="s">
        <v>4585</v>
      </c>
      <c r="DD3745" s="127">
        <v>7</v>
      </c>
      <c r="DE3745" s="127">
        <v>7</v>
      </c>
      <c r="DG3745" s="405" t="s">
        <v>369</v>
      </c>
      <c r="DH3745" s="406" t="s">
        <v>4585</v>
      </c>
      <c r="DI3745" s="406" t="str">
        <f t="shared" si="90"/>
        <v>RN, Jardim do Seridó</v>
      </c>
      <c r="DJ3745" s="406">
        <v>-6.5839999999999996</v>
      </c>
      <c r="DK3745" s="80">
        <v>-36.774000000000001</v>
      </c>
      <c r="DL3745" s="80">
        <v>236</v>
      </c>
      <c r="DM3745" s="64">
        <v>7</v>
      </c>
      <c r="DN3745" s="406" t="s">
        <v>7506</v>
      </c>
      <c r="DO3745" s="406">
        <v>-6.46</v>
      </c>
      <c r="DP3745" s="80">
        <v>170</v>
      </c>
    </row>
    <row r="3746" spans="29:120" x14ac:dyDescent="0.25">
      <c r="AC3746" s="122" t="s">
        <v>376</v>
      </c>
      <c r="AD3746" s="122" t="s">
        <v>4037</v>
      </c>
      <c r="AE3746" s="127">
        <v>6</v>
      </c>
      <c r="DA3746" s="122" t="s">
        <v>369</v>
      </c>
      <c r="DB3746" s="122" t="s">
        <v>8109</v>
      </c>
      <c r="DC3746" s="122" t="s">
        <v>4092</v>
      </c>
      <c r="DD3746" s="127">
        <v>8</v>
      </c>
      <c r="DE3746" s="127">
        <v>8</v>
      </c>
      <c r="DG3746" s="405" t="s">
        <v>369</v>
      </c>
      <c r="DH3746" s="406" t="s">
        <v>4092</v>
      </c>
      <c r="DI3746" s="406" t="str">
        <f t="shared" si="90"/>
        <v>RN, João Câmara</v>
      </c>
      <c r="DJ3746" s="406">
        <v>-5.5380000000000003</v>
      </c>
      <c r="DK3746" s="80">
        <v>-35.82</v>
      </c>
      <c r="DL3746" s="80">
        <v>160</v>
      </c>
      <c r="DM3746" s="64">
        <v>8</v>
      </c>
      <c r="DN3746" s="406" t="s">
        <v>8106</v>
      </c>
      <c r="DO3746" s="406">
        <v>-5.16</v>
      </c>
      <c r="DP3746" s="80">
        <v>17</v>
      </c>
    </row>
    <row r="3747" spans="29:120" x14ac:dyDescent="0.25">
      <c r="AC3747" s="122" t="s">
        <v>376</v>
      </c>
      <c r="AD3747" s="122" t="s">
        <v>4038</v>
      </c>
      <c r="AE3747" s="127">
        <v>6</v>
      </c>
      <c r="DA3747" s="122" t="s">
        <v>369</v>
      </c>
      <c r="DB3747" s="122" t="s">
        <v>8110</v>
      </c>
      <c r="DC3747" s="122" t="s">
        <v>4520</v>
      </c>
      <c r="DD3747" s="127">
        <v>7</v>
      </c>
      <c r="DE3747" s="127">
        <v>7</v>
      </c>
      <c r="DG3747" s="405" t="s">
        <v>369</v>
      </c>
      <c r="DH3747" s="406" t="s">
        <v>4520</v>
      </c>
      <c r="DI3747" s="406" t="str">
        <f t="shared" si="90"/>
        <v>RN, João Dias</v>
      </c>
      <c r="DJ3747" s="406">
        <v>-6.274</v>
      </c>
      <c r="DK3747" s="80">
        <v>-37.795999999999999</v>
      </c>
      <c r="DL3747" s="80">
        <v>436</v>
      </c>
      <c r="DM3747" s="64">
        <v>7</v>
      </c>
      <c r="DN3747" s="406" t="s">
        <v>8079</v>
      </c>
      <c r="DO3747" s="406">
        <v>-5.63</v>
      </c>
      <c r="DP3747" s="80">
        <v>150</v>
      </c>
    </row>
    <row r="3748" spans="29:120" x14ac:dyDescent="0.25">
      <c r="AC3748" s="122" t="s">
        <v>376</v>
      </c>
      <c r="AD3748" s="122" t="s">
        <v>4039</v>
      </c>
      <c r="AE3748" s="127">
        <v>6</v>
      </c>
      <c r="DA3748" s="122" t="s">
        <v>369</v>
      </c>
      <c r="DB3748" s="122" t="s">
        <v>8111</v>
      </c>
      <c r="DC3748" s="122" t="s">
        <v>4555</v>
      </c>
      <c r="DD3748" s="127">
        <v>7</v>
      </c>
      <c r="DE3748" s="127">
        <v>7</v>
      </c>
      <c r="DG3748" s="405" t="s">
        <v>369</v>
      </c>
      <c r="DH3748" s="406" t="s">
        <v>4555</v>
      </c>
      <c r="DI3748" s="406" t="str">
        <f t="shared" si="90"/>
        <v>RN, José da Penha</v>
      </c>
      <c r="DJ3748" s="406">
        <v>-6.3170000000000002</v>
      </c>
      <c r="DK3748" s="80">
        <v>-38.280999999999999</v>
      </c>
      <c r="DL3748" s="80">
        <v>264</v>
      </c>
      <c r="DM3748" s="64">
        <v>7</v>
      </c>
      <c r="DN3748" s="406" t="s">
        <v>6414</v>
      </c>
      <c r="DO3748" s="406">
        <v>-6.84</v>
      </c>
      <c r="DP3748" s="80">
        <v>234</v>
      </c>
    </row>
    <row r="3749" spans="29:120" x14ac:dyDescent="0.25">
      <c r="AC3749" s="122" t="s">
        <v>376</v>
      </c>
      <c r="AD3749" s="122" t="s">
        <v>2276</v>
      </c>
      <c r="AE3749" s="127">
        <v>3</v>
      </c>
      <c r="DA3749" s="122" t="s">
        <v>369</v>
      </c>
      <c r="DB3749" s="122" t="s">
        <v>4497</v>
      </c>
      <c r="DC3749" s="122" t="s">
        <v>4497</v>
      </c>
      <c r="DD3749" s="127">
        <v>7</v>
      </c>
      <c r="DE3749" s="127">
        <v>7</v>
      </c>
      <c r="DG3749" s="405" t="s">
        <v>369</v>
      </c>
      <c r="DH3749" s="406" t="s">
        <v>4497</v>
      </c>
      <c r="DI3749" s="406" t="str">
        <f t="shared" si="90"/>
        <v>RN, Jucurutu</v>
      </c>
      <c r="DJ3749" s="406">
        <v>-6.0339999999999998</v>
      </c>
      <c r="DK3749" s="80">
        <v>-37.020000000000003</v>
      </c>
      <c r="DL3749" s="80">
        <v>63</v>
      </c>
      <c r="DM3749" s="64">
        <v>7</v>
      </c>
      <c r="DN3749" s="406" t="s">
        <v>7506</v>
      </c>
      <c r="DO3749" s="406">
        <v>-6.46</v>
      </c>
      <c r="DP3749" s="80">
        <v>170</v>
      </c>
    </row>
    <row r="3750" spans="29:120" x14ac:dyDescent="0.25">
      <c r="AC3750" s="122" t="s">
        <v>376</v>
      </c>
      <c r="AD3750" s="122" t="s">
        <v>4040</v>
      </c>
      <c r="AE3750" s="127">
        <v>3</v>
      </c>
      <c r="DA3750" s="122" t="s">
        <v>369</v>
      </c>
      <c r="DB3750" s="122" t="s">
        <v>5079</v>
      </c>
      <c r="DC3750" s="122" t="s">
        <v>5079</v>
      </c>
      <c r="DD3750" s="127">
        <v>8</v>
      </c>
      <c r="DE3750" s="127">
        <v>8</v>
      </c>
      <c r="DG3750" s="405" t="s">
        <v>369</v>
      </c>
      <c r="DH3750" s="406" t="s">
        <v>5079</v>
      </c>
      <c r="DI3750" s="406" t="str">
        <f t="shared" si="90"/>
        <v>RN, Jundiá</v>
      </c>
      <c r="DJ3750" s="406">
        <v>-6.2709999999999999</v>
      </c>
      <c r="DK3750" s="80">
        <v>-35.344999999999999</v>
      </c>
      <c r="DL3750" s="80">
        <v>71</v>
      </c>
      <c r="DM3750" s="64">
        <v>8</v>
      </c>
      <c r="DN3750" s="406" t="s">
        <v>7501</v>
      </c>
      <c r="DO3750" s="406">
        <v>-6.61</v>
      </c>
      <c r="DP3750" s="80">
        <v>136</v>
      </c>
    </row>
    <row r="3751" spans="29:120" x14ac:dyDescent="0.25">
      <c r="AC3751" s="122" t="s">
        <v>376</v>
      </c>
      <c r="AD3751" s="122" t="s">
        <v>4041</v>
      </c>
      <c r="AE3751" s="127">
        <v>6</v>
      </c>
      <c r="DA3751" s="122" t="s">
        <v>369</v>
      </c>
      <c r="DB3751" s="122" t="s">
        <v>8112</v>
      </c>
      <c r="DC3751" s="122" t="s">
        <v>1918</v>
      </c>
      <c r="DD3751" s="127">
        <v>8</v>
      </c>
      <c r="DE3751" s="127">
        <v>8</v>
      </c>
      <c r="DG3751" s="405" t="s">
        <v>369</v>
      </c>
      <c r="DH3751" s="406" t="s">
        <v>1918</v>
      </c>
      <c r="DI3751" s="406" t="str">
        <f t="shared" si="90"/>
        <v>RN, Lagoa d'Anta</v>
      </c>
      <c r="DJ3751" s="406">
        <v>-6.391</v>
      </c>
      <c r="DK3751" s="80">
        <v>-35.597999999999999</v>
      </c>
      <c r="DL3751" s="80">
        <v>154</v>
      </c>
      <c r="DM3751" s="64">
        <v>8</v>
      </c>
      <c r="DN3751" s="406" t="s">
        <v>7492</v>
      </c>
      <c r="DO3751" s="406">
        <v>-6.96</v>
      </c>
      <c r="DP3751" s="80">
        <v>575</v>
      </c>
    </row>
    <row r="3752" spans="29:120" x14ac:dyDescent="0.25">
      <c r="AC3752" s="122" t="s">
        <v>376</v>
      </c>
      <c r="AD3752" s="122" t="s">
        <v>4042</v>
      </c>
      <c r="AE3752" s="127">
        <v>6</v>
      </c>
      <c r="DA3752" s="122" t="s">
        <v>369</v>
      </c>
      <c r="DB3752" s="122" t="s">
        <v>8113</v>
      </c>
      <c r="DC3752" s="122" t="s">
        <v>5045</v>
      </c>
      <c r="DD3752" s="127">
        <v>8</v>
      </c>
      <c r="DE3752" s="127">
        <v>8</v>
      </c>
      <c r="DG3752" s="405" t="s">
        <v>369</v>
      </c>
      <c r="DH3752" s="406" t="s">
        <v>5045</v>
      </c>
      <c r="DI3752" s="406" t="str">
        <f t="shared" si="90"/>
        <v>RN, Lagoa de Pedras</v>
      </c>
      <c r="DJ3752" s="406">
        <v>-6.149</v>
      </c>
      <c r="DK3752" s="80">
        <v>-35.438000000000002</v>
      </c>
      <c r="DL3752" s="80">
        <v>91</v>
      </c>
      <c r="DM3752" s="64">
        <v>8</v>
      </c>
      <c r="DN3752" s="406" t="s">
        <v>8084</v>
      </c>
      <c r="DO3752" s="406">
        <v>-5.8</v>
      </c>
      <c r="DP3752" s="80">
        <v>49</v>
      </c>
    </row>
    <row r="3753" spans="29:120" x14ac:dyDescent="0.25">
      <c r="AC3753" s="122" t="s">
        <v>376</v>
      </c>
      <c r="AD3753" s="122" t="s">
        <v>4043</v>
      </c>
      <c r="AE3753" s="127">
        <v>5</v>
      </c>
      <c r="DA3753" s="122" t="s">
        <v>369</v>
      </c>
      <c r="DB3753" s="122" t="s">
        <v>8114</v>
      </c>
      <c r="DC3753" s="122" t="s">
        <v>5105</v>
      </c>
      <c r="DD3753" s="127">
        <v>8</v>
      </c>
      <c r="DE3753" s="127">
        <v>8</v>
      </c>
      <c r="DG3753" s="405" t="s">
        <v>369</v>
      </c>
      <c r="DH3753" s="406" t="s">
        <v>5105</v>
      </c>
      <c r="DI3753" s="406" t="str">
        <f t="shared" si="90"/>
        <v>RN, Lagoa de Velhos</v>
      </c>
      <c r="DJ3753" s="406">
        <v>-6.0039999999999996</v>
      </c>
      <c r="DK3753" s="80">
        <v>-35.872</v>
      </c>
      <c r="DL3753" s="80">
        <v>154</v>
      </c>
      <c r="DM3753" s="64">
        <v>8</v>
      </c>
      <c r="DN3753" s="406" t="s">
        <v>8084</v>
      </c>
      <c r="DO3753" s="406">
        <v>-5.8</v>
      </c>
      <c r="DP3753" s="80">
        <v>49</v>
      </c>
    </row>
    <row r="3754" spans="29:120" x14ac:dyDescent="0.25">
      <c r="AC3754" s="122" t="s">
        <v>376</v>
      </c>
      <c r="AD3754" s="122" t="s">
        <v>4044</v>
      </c>
      <c r="AE3754" s="127">
        <v>3</v>
      </c>
      <c r="DA3754" s="122" t="s">
        <v>369</v>
      </c>
      <c r="DB3754" s="122" t="s">
        <v>8115</v>
      </c>
      <c r="DC3754" s="122" t="s">
        <v>4349</v>
      </c>
      <c r="DD3754" s="127">
        <v>8</v>
      </c>
      <c r="DE3754" s="127">
        <v>8</v>
      </c>
      <c r="DG3754" s="405" t="s">
        <v>369</v>
      </c>
      <c r="DH3754" s="406" t="s">
        <v>4349</v>
      </c>
      <c r="DI3754" s="406" t="str">
        <f t="shared" si="90"/>
        <v>RN, Lagoa Nova</v>
      </c>
      <c r="DJ3754" s="406">
        <v>-6.0960000000000001</v>
      </c>
      <c r="DK3754" s="80">
        <v>-36.469000000000001</v>
      </c>
      <c r="DL3754" s="80">
        <v>686</v>
      </c>
      <c r="DM3754" s="64">
        <v>8</v>
      </c>
      <c r="DN3754" s="406" t="s">
        <v>7506</v>
      </c>
      <c r="DO3754" s="406">
        <v>-6.46</v>
      </c>
      <c r="DP3754" s="80">
        <v>170</v>
      </c>
    </row>
    <row r="3755" spans="29:120" x14ac:dyDescent="0.25">
      <c r="AC3755" s="122" t="s">
        <v>376</v>
      </c>
      <c r="AD3755" s="122" t="s">
        <v>4045</v>
      </c>
      <c r="AE3755" s="127">
        <v>6</v>
      </c>
      <c r="DA3755" s="122" t="s">
        <v>369</v>
      </c>
      <c r="DB3755" s="122" t="s">
        <v>8116</v>
      </c>
      <c r="DC3755" s="122" t="s">
        <v>5036</v>
      </c>
      <c r="DD3755" s="127">
        <v>8</v>
      </c>
      <c r="DE3755" s="127">
        <v>8</v>
      </c>
      <c r="DG3755" s="405" t="s">
        <v>369</v>
      </c>
      <c r="DH3755" s="406" t="s">
        <v>5036</v>
      </c>
      <c r="DI3755" s="406" t="str">
        <f t="shared" si="90"/>
        <v>RN, Lagoa Salgada</v>
      </c>
      <c r="DJ3755" s="406">
        <v>-6.1340000000000003</v>
      </c>
      <c r="DK3755" s="80">
        <v>-35.494</v>
      </c>
      <c r="DL3755" s="80">
        <v>99</v>
      </c>
      <c r="DM3755" s="64">
        <v>8</v>
      </c>
      <c r="DN3755" s="406" t="s">
        <v>8084</v>
      </c>
      <c r="DO3755" s="406">
        <v>-5.8</v>
      </c>
      <c r="DP3755" s="80">
        <v>49</v>
      </c>
    </row>
    <row r="3756" spans="29:120" x14ac:dyDescent="0.25">
      <c r="AC3756" s="122" t="s">
        <v>376</v>
      </c>
      <c r="AD3756" s="122" t="s">
        <v>4046</v>
      </c>
      <c r="AE3756" s="127">
        <v>3</v>
      </c>
      <c r="DA3756" s="122" t="s">
        <v>369</v>
      </c>
      <c r="DB3756" s="122" t="s">
        <v>4196</v>
      </c>
      <c r="DC3756" s="122" t="s">
        <v>4196</v>
      </c>
      <c r="DD3756" s="127">
        <v>8</v>
      </c>
      <c r="DE3756" s="127">
        <v>8</v>
      </c>
      <c r="DG3756" s="405" t="s">
        <v>369</v>
      </c>
      <c r="DH3756" s="406" t="s">
        <v>4196</v>
      </c>
      <c r="DI3756" s="406" t="str">
        <f t="shared" si="90"/>
        <v>RN, Lajes</v>
      </c>
      <c r="DJ3756" s="406">
        <v>-5.7</v>
      </c>
      <c r="DK3756" s="80">
        <v>-36.244999999999997</v>
      </c>
      <c r="DL3756" s="80">
        <v>199</v>
      </c>
      <c r="DM3756" s="64">
        <v>8</v>
      </c>
      <c r="DN3756" s="406" t="s">
        <v>8075</v>
      </c>
      <c r="DO3756" s="406">
        <v>-5.1100000000000003</v>
      </c>
      <c r="DP3756" s="80">
        <v>3</v>
      </c>
    </row>
    <row r="3757" spans="29:120" x14ac:dyDescent="0.25">
      <c r="AC3757" s="122" t="s">
        <v>376</v>
      </c>
      <c r="AD3757" s="122" t="s">
        <v>513</v>
      </c>
      <c r="AE3757" s="127">
        <v>3</v>
      </c>
      <c r="DA3757" s="122" t="s">
        <v>369</v>
      </c>
      <c r="DB3757" s="122" t="s">
        <v>8117</v>
      </c>
      <c r="DC3757" s="122" t="s">
        <v>5172</v>
      </c>
      <c r="DD3757" s="127">
        <v>8</v>
      </c>
      <c r="DE3757" s="127">
        <v>8</v>
      </c>
      <c r="DG3757" s="405" t="s">
        <v>369</v>
      </c>
      <c r="DH3757" s="406" t="s">
        <v>5172</v>
      </c>
      <c r="DI3757" s="406" t="str">
        <f t="shared" si="90"/>
        <v>RN, Lajes Pintadas</v>
      </c>
      <c r="DJ3757" s="406">
        <v>-6.15</v>
      </c>
      <c r="DK3757" s="80">
        <v>-36.116999999999997</v>
      </c>
      <c r="DL3757" s="80">
        <v>315</v>
      </c>
      <c r="DM3757" s="64">
        <v>8</v>
      </c>
      <c r="DN3757" s="406" t="s">
        <v>7492</v>
      </c>
      <c r="DO3757" s="406">
        <v>-6.96</v>
      </c>
      <c r="DP3757" s="80">
        <v>575</v>
      </c>
    </row>
    <row r="3758" spans="29:120" x14ac:dyDescent="0.25">
      <c r="AC3758" s="122" t="s">
        <v>376</v>
      </c>
      <c r="AD3758" s="122" t="s">
        <v>4047</v>
      </c>
      <c r="AE3758" s="127">
        <v>6</v>
      </c>
      <c r="DA3758" s="122" t="s">
        <v>369</v>
      </c>
      <c r="DB3758" s="122" t="s">
        <v>4541</v>
      </c>
      <c r="DC3758" s="122" t="s">
        <v>4541</v>
      </c>
      <c r="DD3758" s="127">
        <v>7</v>
      </c>
      <c r="DE3758" s="127">
        <v>7</v>
      </c>
      <c r="DG3758" s="405" t="s">
        <v>369</v>
      </c>
      <c r="DH3758" s="406" t="s">
        <v>4541</v>
      </c>
      <c r="DI3758" s="406" t="str">
        <f t="shared" si="90"/>
        <v>RN, Lucrécia</v>
      </c>
      <c r="DJ3758" s="406">
        <v>-6.12</v>
      </c>
      <c r="DK3758" s="80">
        <v>-37.816000000000003</v>
      </c>
      <c r="DL3758" s="80">
        <v>216</v>
      </c>
      <c r="DM3758" s="64">
        <v>7</v>
      </c>
      <c r="DN3758" s="406" t="s">
        <v>8079</v>
      </c>
      <c r="DO3758" s="406">
        <v>-5.63</v>
      </c>
      <c r="DP3758" s="80">
        <v>150</v>
      </c>
    </row>
    <row r="3759" spans="29:120" x14ac:dyDescent="0.25">
      <c r="AC3759" s="122" t="s">
        <v>376</v>
      </c>
      <c r="AD3759" s="122" t="s">
        <v>4048</v>
      </c>
      <c r="AE3759" s="127">
        <v>3</v>
      </c>
      <c r="DA3759" s="122" t="s">
        <v>369</v>
      </c>
      <c r="DB3759" s="122" t="s">
        <v>8118</v>
      </c>
      <c r="DC3759" s="122" t="s">
        <v>4543</v>
      </c>
      <c r="DD3759" s="127">
        <v>7</v>
      </c>
      <c r="DE3759" s="127">
        <v>7</v>
      </c>
      <c r="DG3759" s="405" t="s">
        <v>369</v>
      </c>
      <c r="DH3759" s="406" t="s">
        <v>4543</v>
      </c>
      <c r="DI3759" s="406" t="str">
        <f t="shared" si="90"/>
        <v>RN, Luís Gomes</v>
      </c>
      <c r="DJ3759" s="406">
        <v>-6.4139999999999997</v>
      </c>
      <c r="DK3759" s="80">
        <v>-38.389000000000003</v>
      </c>
      <c r="DL3759" s="80">
        <v>636</v>
      </c>
      <c r="DM3759" s="64">
        <v>7</v>
      </c>
      <c r="DN3759" s="406" t="s">
        <v>6414</v>
      </c>
      <c r="DO3759" s="406">
        <v>-6.84</v>
      </c>
      <c r="DP3759" s="80">
        <v>234</v>
      </c>
    </row>
    <row r="3760" spans="29:120" x14ac:dyDescent="0.25">
      <c r="AC3760" s="122" t="s">
        <v>376</v>
      </c>
      <c r="AD3760" s="122" t="s">
        <v>4049</v>
      </c>
      <c r="AE3760" s="127">
        <v>3</v>
      </c>
      <c r="DA3760" s="122" t="s">
        <v>369</v>
      </c>
      <c r="DB3760" s="122" t="s">
        <v>4549</v>
      </c>
      <c r="DC3760" s="122" t="s">
        <v>4549</v>
      </c>
      <c r="DD3760" s="127">
        <v>8</v>
      </c>
      <c r="DE3760" s="127">
        <v>8</v>
      </c>
      <c r="DG3760" s="405" t="s">
        <v>369</v>
      </c>
      <c r="DH3760" s="406" t="s">
        <v>4549</v>
      </c>
      <c r="DI3760" s="406" t="str">
        <f t="shared" si="90"/>
        <v>RN, Macaíba</v>
      </c>
      <c r="DJ3760" s="406">
        <v>-5.8579999999999997</v>
      </c>
      <c r="DK3760" s="80">
        <v>-35.353999999999999</v>
      </c>
      <c r="DL3760" s="80">
        <v>11</v>
      </c>
      <c r="DM3760" s="64">
        <v>8</v>
      </c>
      <c r="DN3760" s="406" t="s">
        <v>8084</v>
      </c>
      <c r="DO3760" s="406">
        <v>-5.8</v>
      </c>
      <c r="DP3760" s="80">
        <v>49</v>
      </c>
    </row>
    <row r="3761" spans="29:120" x14ac:dyDescent="0.25">
      <c r="AC3761" s="122" t="s">
        <v>344</v>
      </c>
      <c r="AD3761" s="122" t="s">
        <v>4050</v>
      </c>
      <c r="AE3761" s="127">
        <v>8</v>
      </c>
      <c r="DA3761" s="122" t="s">
        <v>369</v>
      </c>
      <c r="DB3761" s="122" t="s">
        <v>4326</v>
      </c>
      <c r="DC3761" s="122" t="s">
        <v>4326</v>
      </c>
      <c r="DD3761" s="127">
        <v>8</v>
      </c>
      <c r="DE3761" s="127">
        <v>8</v>
      </c>
      <c r="DG3761" s="405" t="s">
        <v>369</v>
      </c>
      <c r="DH3761" s="406" t="s">
        <v>4326</v>
      </c>
      <c r="DI3761" s="406" t="str">
        <f t="shared" si="90"/>
        <v>RN, Macau</v>
      </c>
      <c r="DJ3761" s="406">
        <v>-5.1150000000000002</v>
      </c>
      <c r="DK3761" s="80">
        <v>-36.634</v>
      </c>
      <c r="DL3761" s="80">
        <v>4</v>
      </c>
      <c r="DM3761" s="64">
        <v>8</v>
      </c>
      <c r="DN3761" s="406" t="s">
        <v>8075</v>
      </c>
      <c r="DO3761" s="406">
        <v>-5.1100000000000003</v>
      </c>
      <c r="DP3761" s="80">
        <v>3</v>
      </c>
    </row>
    <row r="3762" spans="29:120" x14ac:dyDescent="0.25">
      <c r="AC3762" s="122" t="s">
        <v>344</v>
      </c>
      <c r="AD3762" s="122" t="s">
        <v>4051</v>
      </c>
      <c r="AE3762" s="127">
        <v>8</v>
      </c>
      <c r="DA3762" s="122" t="s">
        <v>369</v>
      </c>
      <c r="DB3762" s="122" t="s">
        <v>8119</v>
      </c>
      <c r="DC3762" s="122" t="s">
        <v>4537</v>
      </c>
      <c r="DD3762" s="127">
        <v>7</v>
      </c>
      <c r="DE3762" s="127">
        <v>7</v>
      </c>
      <c r="DG3762" s="405" t="s">
        <v>369</v>
      </c>
      <c r="DH3762" s="406" t="s">
        <v>4537</v>
      </c>
      <c r="DI3762" s="406" t="str">
        <f t="shared" si="90"/>
        <v>RN, Major Sales</v>
      </c>
      <c r="DJ3762" s="406">
        <v>-6.4059999999999997</v>
      </c>
      <c r="DK3762" s="80">
        <v>-38.323999999999998</v>
      </c>
      <c r="DL3762" s="80">
        <v>306</v>
      </c>
      <c r="DM3762" s="64">
        <v>7</v>
      </c>
      <c r="DN3762" s="406" t="s">
        <v>6414</v>
      </c>
      <c r="DO3762" s="406">
        <v>-6.84</v>
      </c>
      <c r="DP3762" s="80">
        <v>234</v>
      </c>
    </row>
    <row r="3763" spans="29:120" x14ac:dyDescent="0.25">
      <c r="AC3763" s="122" t="s">
        <v>369</v>
      </c>
      <c r="AD3763" s="122" t="s">
        <v>4052</v>
      </c>
      <c r="AE3763" s="127">
        <v>8</v>
      </c>
      <c r="DA3763" s="122" t="s">
        <v>369</v>
      </c>
      <c r="DB3763" s="122" t="s">
        <v>8120</v>
      </c>
      <c r="DC3763" s="122" t="s">
        <v>4554</v>
      </c>
      <c r="DD3763" s="127">
        <v>7</v>
      </c>
      <c r="DE3763" s="127">
        <v>7</v>
      </c>
      <c r="DG3763" s="405" t="s">
        <v>369</v>
      </c>
      <c r="DH3763" s="406" t="s">
        <v>4554</v>
      </c>
      <c r="DI3763" s="406" t="str">
        <f t="shared" si="90"/>
        <v>RN, Marcelino Vieira</v>
      </c>
      <c r="DJ3763" s="406">
        <v>-6.2939999999999996</v>
      </c>
      <c r="DK3763" s="80">
        <v>-38.167000000000002</v>
      </c>
      <c r="DL3763" s="80">
        <v>230</v>
      </c>
      <c r="DM3763" s="64">
        <v>7</v>
      </c>
      <c r="DN3763" s="406" t="s">
        <v>6414</v>
      </c>
      <c r="DO3763" s="406">
        <v>-6.84</v>
      </c>
      <c r="DP3763" s="80">
        <v>234</v>
      </c>
    </row>
    <row r="3764" spans="29:120" x14ac:dyDescent="0.25">
      <c r="AC3764" s="122" t="s">
        <v>323</v>
      </c>
      <c r="AD3764" s="122" t="s">
        <v>4053</v>
      </c>
      <c r="AE3764" s="127">
        <v>8</v>
      </c>
      <c r="DA3764" s="122" t="s">
        <v>369</v>
      </c>
      <c r="DB3764" s="122" t="s">
        <v>4553</v>
      </c>
      <c r="DC3764" s="122" t="s">
        <v>4553</v>
      </c>
      <c r="DD3764" s="127">
        <v>7</v>
      </c>
      <c r="DE3764" s="127">
        <v>7</v>
      </c>
      <c r="DG3764" s="405" t="s">
        <v>369</v>
      </c>
      <c r="DH3764" s="406" t="s">
        <v>4553</v>
      </c>
      <c r="DI3764" s="406" t="str">
        <f t="shared" si="90"/>
        <v>RN, Martins</v>
      </c>
      <c r="DJ3764" s="406">
        <v>-6.0880000000000001</v>
      </c>
      <c r="DK3764" s="80">
        <v>-37.911000000000001</v>
      </c>
      <c r="DL3764" s="80">
        <v>703</v>
      </c>
      <c r="DM3764" s="64">
        <v>7</v>
      </c>
      <c r="DN3764" s="406" t="s">
        <v>8079</v>
      </c>
      <c r="DO3764" s="406">
        <v>-5.63</v>
      </c>
      <c r="DP3764" s="80">
        <v>150</v>
      </c>
    </row>
    <row r="3765" spans="29:120" x14ac:dyDescent="0.25">
      <c r="AC3765" s="122" t="s">
        <v>357</v>
      </c>
      <c r="AD3765" s="122" t="s">
        <v>4054</v>
      </c>
      <c r="AE3765" s="127">
        <v>6</v>
      </c>
      <c r="DA3765" s="122" t="s">
        <v>369</v>
      </c>
      <c r="DB3765" s="122" t="s">
        <v>4135</v>
      </c>
      <c r="DC3765" s="122" t="s">
        <v>4135</v>
      </c>
      <c r="DD3765" s="127">
        <v>8</v>
      </c>
      <c r="DE3765" s="127">
        <v>8</v>
      </c>
      <c r="DG3765" s="405" t="s">
        <v>369</v>
      </c>
      <c r="DH3765" s="406" t="s">
        <v>4135</v>
      </c>
      <c r="DI3765" s="406" t="str">
        <f t="shared" si="90"/>
        <v>RN, Maxaranguape</v>
      </c>
      <c r="DJ3765" s="406">
        <v>-5.516</v>
      </c>
      <c r="DK3765" s="80">
        <v>-35.262</v>
      </c>
      <c r="DL3765" s="80">
        <v>7</v>
      </c>
      <c r="DM3765" s="64">
        <v>8</v>
      </c>
      <c r="DN3765" s="406" t="s">
        <v>8084</v>
      </c>
      <c r="DO3765" s="406">
        <v>-5.8</v>
      </c>
      <c r="DP3765" s="80">
        <v>49</v>
      </c>
    </row>
    <row r="3766" spans="29:120" x14ac:dyDescent="0.25">
      <c r="AC3766" s="122" t="s">
        <v>328</v>
      </c>
      <c r="AD3766" s="122" t="s">
        <v>4055</v>
      </c>
      <c r="AE3766" s="127">
        <v>8</v>
      </c>
      <c r="DA3766" s="122" t="s">
        <v>369</v>
      </c>
      <c r="DB3766" s="122" t="s">
        <v>8121</v>
      </c>
      <c r="DC3766" s="122" t="s">
        <v>4508</v>
      </c>
      <c r="DD3766" s="127">
        <v>7</v>
      </c>
      <c r="DE3766" s="127">
        <v>7</v>
      </c>
      <c r="DG3766" s="405" t="s">
        <v>369</v>
      </c>
      <c r="DH3766" s="406" t="s">
        <v>4508</v>
      </c>
      <c r="DI3766" s="406" t="str">
        <f t="shared" si="90"/>
        <v>RN, Messias Targino</v>
      </c>
      <c r="DJ3766" s="406">
        <v>-6.0789999999999997</v>
      </c>
      <c r="DK3766" s="80">
        <v>-37.514000000000003</v>
      </c>
      <c r="DL3766" s="80">
        <v>181</v>
      </c>
      <c r="DM3766" s="64">
        <v>7</v>
      </c>
      <c r="DN3766" s="406" t="s">
        <v>8079</v>
      </c>
      <c r="DO3766" s="406">
        <v>-5.63</v>
      </c>
      <c r="DP3766" s="80">
        <v>150</v>
      </c>
    </row>
    <row r="3767" spans="29:120" x14ac:dyDescent="0.25">
      <c r="AC3767" s="122" t="s">
        <v>344</v>
      </c>
      <c r="AD3767" s="122" t="s">
        <v>4056</v>
      </c>
      <c r="AE3767" s="127">
        <v>8</v>
      </c>
      <c r="DA3767" s="122" t="s">
        <v>369</v>
      </c>
      <c r="DB3767" s="122" t="s">
        <v>5107</v>
      </c>
      <c r="DC3767" s="122" t="s">
        <v>5107</v>
      </c>
      <c r="DD3767" s="127">
        <v>8</v>
      </c>
      <c r="DE3767" s="127">
        <v>8</v>
      </c>
      <c r="DG3767" s="405" t="s">
        <v>369</v>
      </c>
      <c r="DH3767" s="406" t="s">
        <v>5107</v>
      </c>
      <c r="DI3767" s="406" t="str">
        <f t="shared" si="90"/>
        <v>RN, Montanhas</v>
      </c>
      <c r="DJ3767" s="406">
        <v>-6.4859999999999998</v>
      </c>
      <c r="DK3767" s="80">
        <v>-35.287999999999997</v>
      </c>
      <c r="DL3767" s="80">
        <v>87</v>
      </c>
      <c r="DM3767" s="64">
        <v>8</v>
      </c>
      <c r="DN3767" s="406" t="s">
        <v>7501</v>
      </c>
      <c r="DO3767" s="406">
        <v>-6.61</v>
      </c>
      <c r="DP3767" s="80">
        <v>136</v>
      </c>
    </row>
    <row r="3768" spans="29:120" x14ac:dyDescent="0.25">
      <c r="AC3768" s="122" t="s">
        <v>369</v>
      </c>
      <c r="AD3768" s="122" t="s">
        <v>4057</v>
      </c>
      <c r="AE3768" s="127">
        <v>8</v>
      </c>
      <c r="DA3768" s="122" t="s">
        <v>369</v>
      </c>
      <c r="DB3768" s="122" t="s">
        <v>7452</v>
      </c>
      <c r="DC3768" s="122" t="s">
        <v>4193</v>
      </c>
      <c r="DD3768" s="127">
        <v>8</v>
      </c>
      <c r="DE3768" s="127">
        <v>8</v>
      </c>
      <c r="DG3768" s="405" t="s">
        <v>369</v>
      </c>
      <c r="DH3768" s="406" t="s">
        <v>4193</v>
      </c>
      <c r="DI3768" s="406" t="str">
        <f t="shared" si="90"/>
        <v>RN, Monte Alegre</v>
      </c>
      <c r="DJ3768" s="406">
        <v>-6.0679999999999996</v>
      </c>
      <c r="DK3768" s="80">
        <v>-35.332000000000001</v>
      </c>
      <c r="DL3768" s="80">
        <v>52</v>
      </c>
      <c r="DM3768" s="64">
        <v>8</v>
      </c>
      <c r="DN3768" s="406" t="s">
        <v>8084</v>
      </c>
      <c r="DO3768" s="406">
        <v>-5.8</v>
      </c>
      <c r="DP3768" s="80">
        <v>49</v>
      </c>
    </row>
    <row r="3769" spans="29:120" x14ac:dyDescent="0.25">
      <c r="AC3769" s="122" t="s">
        <v>323</v>
      </c>
      <c r="AD3769" s="122" t="s">
        <v>4058</v>
      </c>
      <c r="AE3769" s="127">
        <v>8</v>
      </c>
      <c r="DA3769" s="122" t="s">
        <v>369</v>
      </c>
      <c r="DB3769" s="122" t="s">
        <v>8122</v>
      </c>
      <c r="DC3769" s="122" t="s">
        <v>1892</v>
      </c>
      <c r="DD3769" s="127">
        <v>8</v>
      </c>
      <c r="DE3769" s="127">
        <v>8</v>
      </c>
      <c r="DG3769" s="405" t="s">
        <v>369</v>
      </c>
      <c r="DH3769" s="406" t="s">
        <v>1892</v>
      </c>
      <c r="DI3769" s="406" t="str">
        <f t="shared" si="90"/>
        <v>RN, Monte das Gameleiras</v>
      </c>
      <c r="DJ3769" s="406">
        <v>-6.4409999999999998</v>
      </c>
      <c r="DK3769" s="80">
        <v>-35.783000000000001</v>
      </c>
      <c r="DL3769" s="80">
        <v>501</v>
      </c>
      <c r="DM3769" s="64">
        <v>8</v>
      </c>
      <c r="DN3769" s="406" t="s">
        <v>7492</v>
      </c>
      <c r="DO3769" s="406">
        <v>-6.96</v>
      </c>
      <c r="DP3769" s="80">
        <v>575</v>
      </c>
    </row>
    <row r="3770" spans="29:120" x14ac:dyDescent="0.25">
      <c r="AC3770" s="122" t="s">
        <v>323</v>
      </c>
      <c r="AD3770" s="122" t="s">
        <v>4059</v>
      </c>
      <c r="AE3770" s="127">
        <v>8</v>
      </c>
      <c r="DA3770" s="122" t="s">
        <v>369</v>
      </c>
      <c r="DB3770" s="122" t="s">
        <v>5173</v>
      </c>
      <c r="DC3770" s="122" t="s">
        <v>5173</v>
      </c>
      <c r="DD3770" s="127">
        <v>7</v>
      </c>
      <c r="DE3770" s="127">
        <v>7</v>
      </c>
      <c r="DG3770" s="405" t="s">
        <v>369</v>
      </c>
      <c r="DH3770" s="406" t="s">
        <v>5173</v>
      </c>
      <c r="DI3770" s="406" t="str">
        <f t="shared" si="90"/>
        <v>RN, Mossoró</v>
      </c>
      <c r="DJ3770" s="406">
        <v>-5.1879999999999997</v>
      </c>
      <c r="DK3770" s="80">
        <v>-37.344000000000001</v>
      </c>
      <c r="DL3770" s="80">
        <v>16</v>
      </c>
      <c r="DM3770" s="64">
        <v>7</v>
      </c>
      <c r="DN3770" s="406" t="s">
        <v>8083</v>
      </c>
      <c r="DO3770" s="406">
        <v>-5.19</v>
      </c>
      <c r="DP3770" s="80">
        <v>36</v>
      </c>
    </row>
    <row r="3771" spans="29:120" x14ac:dyDescent="0.25">
      <c r="AC3771" s="122" t="s">
        <v>344</v>
      </c>
      <c r="AD3771" s="122" t="s">
        <v>4060</v>
      </c>
      <c r="AE3771" s="127">
        <v>8</v>
      </c>
      <c r="DA3771" s="122" t="s">
        <v>369</v>
      </c>
      <c r="DB3771" s="122" t="s">
        <v>4327</v>
      </c>
      <c r="DC3771" s="122" t="s">
        <v>4327</v>
      </c>
      <c r="DD3771" s="127">
        <v>8</v>
      </c>
      <c r="DE3771" s="127">
        <v>8</v>
      </c>
      <c r="DG3771" s="405" t="s">
        <v>369</v>
      </c>
      <c r="DH3771" s="406" t="s">
        <v>4327</v>
      </c>
      <c r="DI3771" s="406" t="str">
        <f t="shared" si="90"/>
        <v>RN, Natal</v>
      </c>
      <c r="DJ3771" s="406">
        <v>-5.7949999999999999</v>
      </c>
      <c r="DK3771" s="80">
        <v>-35.209000000000003</v>
      </c>
      <c r="DL3771" s="80">
        <v>30</v>
      </c>
      <c r="DM3771" s="64">
        <v>8</v>
      </c>
      <c r="DN3771" s="406" t="s">
        <v>8084</v>
      </c>
      <c r="DO3771" s="406">
        <v>-5.8</v>
      </c>
      <c r="DP3771" s="80">
        <v>49</v>
      </c>
    </row>
    <row r="3772" spans="29:120" x14ac:dyDescent="0.25">
      <c r="AC3772" s="122" t="s">
        <v>323</v>
      </c>
      <c r="AD3772" s="122" t="s">
        <v>4061</v>
      </c>
      <c r="AE3772" s="127">
        <v>8</v>
      </c>
      <c r="DA3772" s="122" t="s">
        <v>369</v>
      </c>
      <c r="DB3772" s="122" t="s">
        <v>8123</v>
      </c>
      <c r="DC3772" s="122" t="s">
        <v>4085</v>
      </c>
      <c r="DD3772" s="127">
        <v>8</v>
      </c>
      <c r="DE3772" s="127">
        <v>8</v>
      </c>
      <c r="DG3772" s="405" t="s">
        <v>369</v>
      </c>
      <c r="DH3772" s="406" t="s">
        <v>4085</v>
      </c>
      <c r="DI3772" s="406" t="str">
        <f t="shared" si="90"/>
        <v>RN, Nísia Floresta</v>
      </c>
      <c r="DJ3772" s="406">
        <v>-6.0910000000000002</v>
      </c>
      <c r="DK3772" s="80">
        <v>-35.209000000000003</v>
      </c>
      <c r="DL3772" s="80">
        <v>20</v>
      </c>
      <c r="DM3772" s="64">
        <v>8</v>
      </c>
      <c r="DN3772" s="406" t="s">
        <v>8084</v>
      </c>
      <c r="DO3772" s="406">
        <v>-5.8</v>
      </c>
      <c r="DP3772" s="80">
        <v>49</v>
      </c>
    </row>
    <row r="3773" spans="29:120" x14ac:dyDescent="0.25">
      <c r="AC3773" s="122" t="s">
        <v>328</v>
      </c>
      <c r="AD3773" s="122" t="s">
        <v>4062</v>
      </c>
      <c r="AE3773" s="127">
        <v>8</v>
      </c>
      <c r="DA3773" s="122" t="s">
        <v>369</v>
      </c>
      <c r="DB3773" s="122" t="s">
        <v>8124</v>
      </c>
      <c r="DC3773" s="122" t="s">
        <v>5510</v>
      </c>
      <c r="DD3773" s="127">
        <v>8</v>
      </c>
      <c r="DE3773" s="127">
        <v>8</v>
      </c>
      <c r="DG3773" s="405" t="s">
        <v>369</v>
      </c>
      <c r="DH3773" s="406" t="s">
        <v>5510</v>
      </c>
      <c r="DI3773" s="406" t="str">
        <f t="shared" si="90"/>
        <v>RN, Nova Cruz</v>
      </c>
      <c r="DJ3773" s="406">
        <v>-6.4779999999999998</v>
      </c>
      <c r="DK3773" s="80">
        <v>-35.433999999999997</v>
      </c>
      <c r="DL3773" s="80">
        <v>73</v>
      </c>
      <c r="DM3773" s="64">
        <v>8</v>
      </c>
      <c r="DN3773" s="406" t="s">
        <v>7501</v>
      </c>
      <c r="DO3773" s="406">
        <v>-6.61</v>
      </c>
      <c r="DP3773" s="80">
        <v>136</v>
      </c>
    </row>
    <row r="3774" spans="29:120" x14ac:dyDescent="0.25">
      <c r="AC3774" s="122" t="s">
        <v>344</v>
      </c>
      <c r="AD3774" s="122" t="s">
        <v>4063</v>
      </c>
      <c r="AE3774" s="127">
        <v>8</v>
      </c>
      <c r="DA3774" s="122" t="s">
        <v>369</v>
      </c>
      <c r="DB3774" s="122" t="s">
        <v>8125</v>
      </c>
      <c r="DC3774" s="122" t="s">
        <v>4581</v>
      </c>
      <c r="DD3774" s="127">
        <v>7</v>
      </c>
      <c r="DE3774" s="127">
        <v>7</v>
      </c>
      <c r="DG3774" s="405" t="s">
        <v>369</v>
      </c>
      <c r="DH3774" s="406" t="s">
        <v>4581</v>
      </c>
      <c r="DI3774" s="406" t="str">
        <f t="shared" si="90"/>
        <v>RN, Olho-d'Água do Borges</v>
      </c>
      <c r="DJ3774" s="406">
        <v>-5.9560000000000004</v>
      </c>
      <c r="DK3774" s="80">
        <v>-37.706000000000003</v>
      </c>
      <c r="DL3774" s="80">
        <v>164</v>
      </c>
      <c r="DM3774" s="64">
        <v>7</v>
      </c>
      <c r="DN3774" s="406" t="s">
        <v>8079</v>
      </c>
      <c r="DO3774" s="406">
        <v>-5.63</v>
      </c>
      <c r="DP3774" s="80">
        <v>150</v>
      </c>
    </row>
    <row r="3775" spans="29:120" x14ac:dyDescent="0.25">
      <c r="AC3775" s="122" t="s">
        <v>328</v>
      </c>
      <c r="AD3775" s="122" t="s">
        <v>4064</v>
      </c>
      <c r="AE3775" s="127">
        <v>8</v>
      </c>
      <c r="DA3775" s="122" t="s">
        <v>369</v>
      </c>
      <c r="DB3775" s="122" t="s">
        <v>6128</v>
      </c>
      <c r="DC3775" s="122" t="s">
        <v>542</v>
      </c>
      <c r="DD3775" s="127">
        <v>7</v>
      </c>
      <c r="DE3775" s="127">
        <v>7</v>
      </c>
      <c r="DG3775" s="405" t="s">
        <v>369</v>
      </c>
      <c r="DH3775" s="406" t="s">
        <v>542</v>
      </c>
      <c r="DI3775" s="406" t="str">
        <f t="shared" si="90"/>
        <v>RN, Ouro Branco</v>
      </c>
      <c r="DJ3775" s="406">
        <v>-6.7009999999999996</v>
      </c>
      <c r="DK3775" s="80">
        <v>-36.945999999999998</v>
      </c>
      <c r="DL3775" s="80">
        <v>223</v>
      </c>
      <c r="DM3775" s="64">
        <v>7</v>
      </c>
      <c r="DN3775" s="406" t="s">
        <v>7506</v>
      </c>
      <c r="DO3775" s="406">
        <v>-6.46</v>
      </c>
      <c r="DP3775" s="80">
        <v>170</v>
      </c>
    </row>
    <row r="3776" spans="29:120" x14ac:dyDescent="0.25">
      <c r="AC3776" s="122" t="s">
        <v>348</v>
      </c>
      <c r="AD3776" s="122" t="s">
        <v>4065</v>
      </c>
      <c r="AE3776" s="127">
        <v>8</v>
      </c>
      <c r="DA3776" s="122" t="s">
        <v>369</v>
      </c>
      <c r="DB3776" s="122" t="s">
        <v>4535</v>
      </c>
      <c r="DC3776" s="122" t="s">
        <v>4535</v>
      </c>
      <c r="DD3776" s="127">
        <v>7</v>
      </c>
      <c r="DE3776" s="127">
        <v>7</v>
      </c>
      <c r="DG3776" s="405" t="s">
        <v>369</v>
      </c>
      <c r="DH3776" s="406" t="s">
        <v>4535</v>
      </c>
      <c r="DI3776" s="406" t="str">
        <f t="shared" si="90"/>
        <v>RN, Paraná</v>
      </c>
      <c r="DJ3776" s="406">
        <v>-6.4859999999999998</v>
      </c>
      <c r="DK3776" s="80">
        <v>-38.313000000000002</v>
      </c>
      <c r="DL3776" s="80">
        <v>373</v>
      </c>
      <c r="DM3776" s="64">
        <v>7</v>
      </c>
      <c r="DN3776" s="406" t="s">
        <v>6414</v>
      </c>
      <c r="DO3776" s="406">
        <v>-6.84</v>
      </c>
      <c r="DP3776" s="80">
        <v>234</v>
      </c>
    </row>
    <row r="3777" spans="29:120" x14ac:dyDescent="0.25">
      <c r="AC3777" s="122" t="s">
        <v>344</v>
      </c>
      <c r="AD3777" s="122" t="s">
        <v>4066</v>
      </c>
      <c r="AE3777" s="127">
        <v>8</v>
      </c>
      <c r="DA3777" s="122" t="s">
        <v>369</v>
      </c>
      <c r="DB3777" s="122" t="s">
        <v>4481</v>
      </c>
      <c r="DC3777" s="122" t="s">
        <v>4481</v>
      </c>
      <c r="DD3777" s="127">
        <v>7</v>
      </c>
      <c r="DE3777" s="127">
        <v>7</v>
      </c>
      <c r="DG3777" s="405" t="s">
        <v>369</v>
      </c>
      <c r="DH3777" s="406" t="s">
        <v>4481</v>
      </c>
      <c r="DI3777" s="406" t="str">
        <f t="shared" si="90"/>
        <v>RN, Paraú</v>
      </c>
      <c r="DJ3777" s="406">
        <v>-5.774</v>
      </c>
      <c r="DK3777" s="80">
        <v>-37.100999999999999</v>
      </c>
      <c r="DL3777" s="80">
        <v>75</v>
      </c>
      <c r="DM3777" s="64">
        <v>7</v>
      </c>
      <c r="DN3777" s="406" t="s">
        <v>8083</v>
      </c>
      <c r="DO3777" s="406">
        <v>-5.19</v>
      </c>
      <c r="DP3777" s="80">
        <v>36</v>
      </c>
    </row>
    <row r="3778" spans="29:120" x14ac:dyDescent="0.25">
      <c r="AC3778" s="122" t="s">
        <v>344</v>
      </c>
      <c r="AD3778" s="122" t="s">
        <v>4067</v>
      </c>
      <c r="AE3778" s="127">
        <v>8</v>
      </c>
      <c r="DA3778" s="122" t="s">
        <v>369</v>
      </c>
      <c r="DB3778" s="122" t="s">
        <v>4057</v>
      </c>
      <c r="DC3778" s="122" t="s">
        <v>4057</v>
      </c>
      <c r="DD3778" s="127">
        <v>8</v>
      </c>
      <c r="DE3778" s="127">
        <v>8</v>
      </c>
      <c r="DG3778" s="405" t="s">
        <v>369</v>
      </c>
      <c r="DH3778" s="406" t="s">
        <v>4057</v>
      </c>
      <c r="DI3778" s="406" t="str">
        <f t="shared" si="90"/>
        <v>RN, Parazinho</v>
      </c>
      <c r="DJ3778" s="406">
        <v>-5.2229999999999999</v>
      </c>
      <c r="DK3778" s="80">
        <v>-35.838000000000001</v>
      </c>
      <c r="DL3778" s="80">
        <v>71</v>
      </c>
      <c r="DM3778" s="64">
        <v>8</v>
      </c>
      <c r="DN3778" s="406" t="s">
        <v>8106</v>
      </c>
      <c r="DO3778" s="406">
        <v>-5.16</v>
      </c>
      <c r="DP3778" s="80">
        <v>17</v>
      </c>
    </row>
    <row r="3779" spans="29:120" x14ac:dyDescent="0.25">
      <c r="AC3779" s="122" t="s">
        <v>369</v>
      </c>
      <c r="AD3779" s="122" t="s">
        <v>4068</v>
      </c>
      <c r="AE3779" s="127">
        <v>8</v>
      </c>
      <c r="DA3779" s="122" t="s">
        <v>369</v>
      </c>
      <c r="DB3779" s="122" t="s">
        <v>4571</v>
      </c>
      <c r="DC3779" s="122" t="s">
        <v>4571</v>
      </c>
      <c r="DD3779" s="127">
        <v>7</v>
      </c>
      <c r="DE3779" s="127">
        <v>7</v>
      </c>
      <c r="DG3779" s="405" t="s">
        <v>369</v>
      </c>
      <c r="DH3779" s="406" t="s">
        <v>4571</v>
      </c>
      <c r="DI3779" s="406" t="str">
        <f t="shared" ref="DI3779:DI3842" si="91">CONCATENATE(DG3779,", ",DH3779)</f>
        <v>RN, Parelhas</v>
      </c>
      <c r="DJ3779" s="406">
        <v>-6.6879999999999997</v>
      </c>
      <c r="DK3779" s="80">
        <v>-36.658000000000001</v>
      </c>
      <c r="DL3779" s="80">
        <v>266</v>
      </c>
      <c r="DM3779" s="64">
        <v>7</v>
      </c>
      <c r="DN3779" s="406" t="s">
        <v>7506</v>
      </c>
      <c r="DO3779" s="406">
        <v>-6.46</v>
      </c>
      <c r="DP3779" s="80">
        <v>170</v>
      </c>
    </row>
    <row r="3780" spans="29:120" x14ac:dyDescent="0.25">
      <c r="AC3780" s="122" t="s">
        <v>348</v>
      </c>
      <c r="AD3780" s="122" t="s">
        <v>4069</v>
      </c>
      <c r="AE3780" s="127">
        <v>8</v>
      </c>
      <c r="DA3780" s="122" t="s">
        <v>369</v>
      </c>
      <c r="DB3780" s="122" t="s">
        <v>2500</v>
      </c>
      <c r="DC3780" s="122" t="s">
        <v>2500</v>
      </c>
      <c r="DD3780" s="127">
        <v>8</v>
      </c>
      <c r="DE3780" s="127">
        <v>8</v>
      </c>
      <c r="DG3780" s="405" t="s">
        <v>369</v>
      </c>
      <c r="DH3780" s="406" t="s">
        <v>2500</v>
      </c>
      <c r="DI3780" s="406" t="str">
        <f t="shared" si="91"/>
        <v>RN, Parnamirim</v>
      </c>
      <c r="DJ3780" s="406">
        <v>-5.9160000000000004</v>
      </c>
      <c r="DK3780" s="80">
        <v>-35.262999999999998</v>
      </c>
      <c r="DL3780" s="80">
        <v>53</v>
      </c>
      <c r="DM3780" s="64">
        <v>8</v>
      </c>
      <c r="DN3780" s="406" t="s">
        <v>8084</v>
      </c>
      <c r="DO3780" s="406">
        <v>-5.8</v>
      </c>
      <c r="DP3780" s="80">
        <v>49</v>
      </c>
    </row>
    <row r="3781" spans="29:120" x14ac:dyDescent="0.25">
      <c r="AC3781" s="122" t="s">
        <v>344</v>
      </c>
      <c r="AD3781" s="122" t="s">
        <v>4070</v>
      </c>
      <c r="AE3781" s="127">
        <v>8</v>
      </c>
      <c r="DA3781" s="122" t="s">
        <v>369</v>
      </c>
      <c r="DB3781" s="122" t="s">
        <v>8126</v>
      </c>
      <c r="DC3781" s="122" t="s">
        <v>1853</v>
      </c>
      <c r="DD3781" s="127">
        <v>8</v>
      </c>
      <c r="DE3781" s="127">
        <v>8</v>
      </c>
      <c r="DG3781" s="405" t="s">
        <v>369</v>
      </c>
      <c r="DH3781" s="406" t="s">
        <v>1853</v>
      </c>
      <c r="DI3781" s="406" t="str">
        <f t="shared" si="91"/>
        <v>RN, Passa e Fica</v>
      </c>
      <c r="DJ3781" s="406">
        <v>-6.4359999999999999</v>
      </c>
      <c r="DK3781" s="80">
        <v>-35.643000000000001</v>
      </c>
      <c r="DL3781" s="80">
        <v>189</v>
      </c>
      <c r="DM3781" s="64">
        <v>8</v>
      </c>
      <c r="DN3781" s="406" t="s">
        <v>7492</v>
      </c>
      <c r="DO3781" s="406">
        <v>-6.96</v>
      </c>
      <c r="DP3781" s="80">
        <v>575</v>
      </c>
    </row>
    <row r="3782" spans="29:120" x14ac:dyDescent="0.25">
      <c r="AC3782" s="122" t="s">
        <v>344</v>
      </c>
      <c r="AD3782" s="122" t="s">
        <v>4071</v>
      </c>
      <c r="AE3782" s="127">
        <v>8</v>
      </c>
      <c r="DA3782" s="122" t="s">
        <v>369</v>
      </c>
      <c r="DB3782" s="122" t="s">
        <v>4498</v>
      </c>
      <c r="DC3782" s="122" t="s">
        <v>4498</v>
      </c>
      <c r="DD3782" s="127">
        <v>8</v>
      </c>
      <c r="DE3782" s="127">
        <v>8</v>
      </c>
      <c r="DG3782" s="405" t="s">
        <v>369</v>
      </c>
      <c r="DH3782" s="406" t="s">
        <v>4498</v>
      </c>
      <c r="DI3782" s="406" t="str">
        <f t="shared" si="91"/>
        <v>RN, Passagem</v>
      </c>
      <c r="DJ3782" s="406">
        <v>-6.2789999999999999</v>
      </c>
      <c r="DK3782" s="80">
        <v>-35.378</v>
      </c>
      <c r="DL3782" s="80">
        <v>65</v>
      </c>
      <c r="DM3782" s="64">
        <v>8</v>
      </c>
      <c r="DN3782" s="406" t="s">
        <v>7501</v>
      </c>
      <c r="DO3782" s="406">
        <v>-6.61</v>
      </c>
      <c r="DP3782" s="80">
        <v>136</v>
      </c>
    </row>
    <row r="3783" spans="29:120" x14ac:dyDescent="0.25">
      <c r="AC3783" s="122" t="s">
        <v>344</v>
      </c>
      <c r="AD3783" s="122" t="s">
        <v>4072</v>
      </c>
      <c r="AE3783" s="127">
        <v>8</v>
      </c>
      <c r="DA3783" s="122" t="s">
        <v>369</v>
      </c>
      <c r="DB3783" s="122" t="s">
        <v>4513</v>
      </c>
      <c r="DC3783" s="122" t="s">
        <v>4513</v>
      </c>
      <c r="DD3783" s="127">
        <v>7</v>
      </c>
      <c r="DE3783" s="127">
        <v>7</v>
      </c>
      <c r="DG3783" s="405" t="s">
        <v>369</v>
      </c>
      <c r="DH3783" s="406" t="s">
        <v>4513</v>
      </c>
      <c r="DI3783" s="406" t="str">
        <f t="shared" si="91"/>
        <v>RN, Patu</v>
      </c>
      <c r="DJ3783" s="406">
        <v>-6.11</v>
      </c>
      <c r="DK3783" s="80">
        <v>-37.637</v>
      </c>
      <c r="DL3783" s="80">
        <v>248</v>
      </c>
      <c r="DM3783" s="64">
        <v>7</v>
      </c>
      <c r="DN3783" s="406" t="s">
        <v>8079</v>
      </c>
      <c r="DO3783" s="406">
        <v>-5.63</v>
      </c>
      <c r="DP3783" s="80">
        <v>150</v>
      </c>
    </row>
    <row r="3784" spans="29:120" x14ac:dyDescent="0.25">
      <c r="AC3784" s="122" t="s">
        <v>328</v>
      </c>
      <c r="AD3784" s="122" t="s">
        <v>4073</v>
      </c>
      <c r="AE3784" s="127">
        <v>8</v>
      </c>
      <c r="DA3784" s="122" t="s">
        <v>369</v>
      </c>
      <c r="DB3784" s="122" t="s">
        <v>8127</v>
      </c>
      <c r="DC3784" s="122" t="s">
        <v>4567</v>
      </c>
      <c r="DD3784" s="127">
        <v>7</v>
      </c>
      <c r="DE3784" s="127">
        <v>7</v>
      </c>
      <c r="DG3784" s="405" t="s">
        <v>369</v>
      </c>
      <c r="DH3784" s="406" t="s">
        <v>4567</v>
      </c>
      <c r="DI3784" s="406" t="str">
        <f t="shared" si="91"/>
        <v>RN, Pau dos Ferros</v>
      </c>
      <c r="DJ3784" s="406">
        <v>-6.1109999999999998</v>
      </c>
      <c r="DK3784" s="80">
        <v>-38.209000000000003</v>
      </c>
      <c r="DL3784" s="80">
        <v>193</v>
      </c>
      <c r="DM3784" s="64">
        <v>7</v>
      </c>
      <c r="DN3784" s="406" t="s">
        <v>6423</v>
      </c>
      <c r="DO3784" s="406">
        <v>-5.91</v>
      </c>
      <c r="DP3784" s="80">
        <v>184</v>
      </c>
    </row>
    <row r="3785" spans="29:120" x14ac:dyDescent="0.25">
      <c r="AC3785" s="122" t="s">
        <v>328</v>
      </c>
      <c r="AD3785" s="122" t="s">
        <v>4074</v>
      </c>
      <c r="AE3785" s="127">
        <v>8</v>
      </c>
      <c r="DA3785" s="122" t="s">
        <v>369</v>
      </c>
      <c r="DB3785" s="122" t="s">
        <v>8128</v>
      </c>
      <c r="DC3785" s="122" t="s">
        <v>4068</v>
      </c>
      <c r="DD3785" s="127">
        <v>8</v>
      </c>
      <c r="DE3785" s="127">
        <v>8</v>
      </c>
      <c r="DG3785" s="405" t="s">
        <v>369</v>
      </c>
      <c r="DH3785" s="406" t="s">
        <v>4068</v>
      </c>
      <c r="DI3785" s="406" t="str">
        <f t="shared" si="91"/>
        <v>RN, Pedra Grande</v>
      </c>
      <c r="DJ3785" s="406">
        <v>-5.15</v>
      </c>
      <c r="DK3785" s="80">
        <v>-35.878999999999998</v>
      </c>
      <c r="DL3785" s="80">
        <v>25</v>
      </c>
      <c r="DM3785" s="64">
        <v>8</v>
      </c>
      <c r="DN3785" s="406" t="s">
        <v>8106</v>
      </c>
      <c r="DO3785" s="406">
        <v>-5.16</v>
      </c>
      <c r="DP3785" s="80">
        <v>17</v>
      </c>
    </row>
    <row r="3786" spans="29:120" x14ac:dyDescent="0.25">
      <c r="AC3786" s="122" t="s">
        <v>344</v>
      </c>
      <c r="AD3786" s="122" t="s">
        <v>4075</v>
      </c>
      <c r="AE3786" s="127">
        <v>8</v>
      </c>
      <c r="DA3786" s="122" t="s">
        <v>369</v>
      </c>
      <c r="DB3786" s="122" t="s">
        <v>7373</v>
      </c>
      <c r="DC3786" s="122" t="s">
        <v>4129</v>
      </c>
      <c r="DD3786" s="127">
        <v>8</v>
      </c>
      <c r="DE3786" s="127">
        <v>8</v>
      </c>
      <c r="DG3786" s="405" t="s">
        <v>369</v>
      </c>
      <c r="DH3786" s="406" t="s">
        <v>4129</v>
      </c>
      <c r="DI3786" s="406" t="str">
        <f t="shared" si="91"/>
        <v>RN, Pedra Preta</v>
      </c>
      <c r="DJ3786" s="406">
        <v>-5.5830000000000002</v>
      </c>
      <c r="DK3786" s="80">
        <v>-36.104999999999997</v>
      </c>
      <c r="DL3786" s="80">
        <v>168</v>
      </c>
      <c r="DM3786" s="64">
        <v>8</v>
      </c>
      <c r="DN3786" s="406" t="s">
        <v>8075</v>
      </c>
      <c r="DO3786" s="406">
        <v>-5.1100000000000003</v>
      </c>
      <c r="DP3786" s="80">
        <v>3</v>
      </c>
    </row>
    <row r="3787" spans="29:120" x14ac:dyDescent="0.25">
      <c r="AC3787" s="122" t="s">
        <v>289</v>
      </c>
      <c r="AD3787" s="122" t="s">
        <v>4076</v>
      </c>
      <c r="AE3787" s="127">
        <v>8</v>
      </c>
      <c r="DA3787" s="122" t="s">
        <v>369</v>
      </c>
      <c r="DB3787" s="122" t="s">
        <v>8129</v>
      </c>
      <c r="DC3787" s="122" t="s">
        <v>4158</v>
      </c>
      <c r="DD3787" s="127">
        <v>8</v>
      </c>
      <c r="DE3787" s="127">
        <v>8</v>
      </c>
      <c r="DG3787" s="405" t="s">
        <v>369</v>
      </c>
      <c r="DH3787" s="406" t="s">
        <v>4158</v>
      </c>
      <c r="DI3787" s="406" t="str">
        <f t="shared" si="91"/>
        <v>RN, Pedro Avelino</v>
      </c>
      <c r="DJ3787" s="406">
        <v>-5.5220000000000002</v>
      </c>
      <c r="DK3787" s="80">
        <v>-36.387999999999998</v>
      </c>
      <c r="DL3787" s="80">
        <v>95</v>
      </c>
      <c r="DM3787" s="64">
        <v>8</v>
      </c>
      <c r="DN3787" s="406" t="s">
        <v>8075</v>
      </c>
      <c r="DO3787" s="406">
        <v>-5.1100000000000003</v>
      </c>
      <c r="DP3787" s="80">
        <v>3</v>
      </c>
    </row>
    <row r="3788" spans="29:120" x14ac:dyDescent="0.25">
      <c r="AC3788" s="122" t="s">
        <v>328</v>
      </c>
      <c r="AD3788" s="122" t="s">
        <v>4077</v>
      </c>
      <c r="AE3788" s="127">
        <v>8</v>
      </c>
      <c r="DA3788" s="122" t="s">
        <v>369</v>
      </c>
      <c r="DB3788" s="122" t="s">
        <v>8130</v>
      </c>
      <c r="DC3788" s="122" t="s">
        <v>5086</v>
      </c>
      <c r="DD3788" s="127">
        <v>8</v>
      </c>
      <c r="DE3788" s="127">
        <v>8</v>
      </c>
      <c r="DG3788" s="405" t="s">
        <v>369</v>
      </c>
      <c r="DH3788" s="406" t="s">
        <v>5086</v>
      </c>
      <c r="DI3788" s="406" t="str">
        <f t="shared" si="91"/>
        <v>RN, Pedro Velho</v>
      </c>
      <c r="DJ3788" s="406">
        <v>-6.4390000000000001</v>
      </c>
      <c r="DK3788" s="80">
        <v>-35.220999999999997</v>
      </c>
      <c r="DL3788" s="80">
        <v>22</v>
      </c>
      <c r="DM3788" s="64">
        <v>8</v>
      </c>
      <c r="DN3788" s="406" t="s">
        <v>7501</v>
      </c>
      <c r="DO3788" s="406">
        <v>-6.61</v>
      </c>
      <c r="DP3788" s="80">
        <v>136</v>
      </c>
    </row>
    <row r="3789" spans="29:120" x14ac:dyDescent="0.25">
      <c r="AC3789" s="122" t="s">
        <v>344</v>
      </c>
      <c r="AD3789" s="122" t="s">
        <v>4078</v>
      </c>
      <c r="AE3789" s="127">
        <v>8</v>
      </c>
      <c r="DA3789" s="122" t="s">
        <v>369</v>
      </c>
      <c r="DB3789" s="122" t="s">
        <v>4143</v>
      </c>
      <c r="DC3789" s="122" t="s">
        <v>4143</v>
      </c>
      <c r="DD3789" s="127">
        <v>8</v>
      </c>
      <c r="DE3789" s="127">
        <v>8</v>
      </c>
      <c r="DG3789" s="405" t="s">
        <v>369</v>
      </c>
      <c r="DH3789" s="406" t="s">
        <v>4143</v>
      </c>
      <c r="DI3789" s="406" t="str">
        <f t="shared" si="91"/>
        <v>RN, Pendências</v>
      </c>
      <c r="DJ3789" s="406">
        <v>-5.26</v>
      </c>
      <c r="DK3789" s="80">
        <v>-36.722000000000001</v>
      </c>
      <c r="DL3789" s="80">
        <v>16</v>
      </c>
      <c r="DM3789" s="64">
        <v>8</v>
      </c>
      <c r="DN3789" s="406" t="s">
        <v>8075</v>
      </c>
      <c r="DO3789" s="406">
        <v>-5.1100000000000003</v>
      </c>
      <c r="DP3789" s="80">
        <v>3</v>
      </c>
    </row>
    <row r="3790" spans="29:120" x14ac:dyDescent="0.25">
      <c r="AC3790" s="122" t="s">
        <v>328</v>
      </c>
      <c r="AD3790" s="122" t="s">
        <v>4079</v>
      </c>
      <c r="AE3790" s="127">
        <v>8</v>
      </c>
      <c r="DA3790" s="122" t="s">
        <v>369</v>
      </c>
      <c r="DB3790" s="122" t="s">
        <v>2281</v>
      </c>
      <c r="DC3790" s="122" t="s">
        <v>2281</v>
      </c>
      <c r="DD3790" s="127">
        <v>7</v>
      </c>
      <c r="DE3790" s="127">
        <v>7</v>
      </c>
      <c r="DG3790" s="405" t="s">
        <v>369</v>
      </c>
      <c r="DH3790" s="406" t="s">
        <v>2281</v>
      </c>
      <c r="DI3790" s="406" t="str">
        <f t="shared" si="91"/>
        <v>RN, Pilões</v>
      </c>
      <c r="DJ3790" s="406">
        <v>-6.2690000000000001</v>
      </c>
      <c r="DK3790" s="80">
        <v>-38.042999999999999</v>
      </c>
      <c r="DL3790" s="80">
        <v>265</v>
      </c>
      <c r="DM3790" s="64">
        <v>7</v>
      </c>
      <c r="DN3790" s="406" t="s">
        <v>6414</v>
      </c>
      <c r="DO3790" s="406">
        <v>-6.84</v>
      </c>
      <c r="DP3790" s="80">
        <v>234</v>
      </c>
    </row>
    <row r="3791" spans="29:120" x14ac:dyDescent="0.25">
      <c r="AC3791" s="122" t="s">
        <v>323</v>
      </c>
      <c r="AD3791" s="122" t="s">
        <v>4080</v>
      </c>
      <c r="AE3791" s="127">
        <v>8</v>
      </c>
      <c r="DA3791" s="122" t="s">
        <v>369</v>
      </c>
      <c r="DB3791" s="122" t="s">
        <v>8131</v>
      </c>
      <c r="DC3791" s="122" t="s">
        <v>4106</v>
      </c>
      <c r="DD3791" s="127">
        <v>8</v>
      </c>
      <c r="DE3791" s="127">
        <v>8</v>
      </c>
      <c r="DG3791" s="405" t="s">
        <v>369</v>
      </c>
      <c r="DH3791" s="406" t="s">
        <v>4106</v>
      </c>
      <c r="DI3791" s="406" t="str">
        <f t="shared" si="91"/>
        <v>RN, Poço Branco</v>
      </c>
      <c r="DJ3791" s="406">
        <v>-5.6230000000000002</v>
      </c>
      <c r="DK3791" s="80">
        <v>-35.662999999999997</v>
      </c>
      <c r="DL3791" s="80">
        <v>82</v>
      </c>
      <c r="DM3791" s="64">
        <v>8</v>
      </c>
      <c r="DN3791" s="406" t="s">
        <v>8084</v>
      </c>
      <c r="DO3791" s="406">
        <v>-5.8</v>
      </c>
      <c r="DP3791" s="80">
        <v>49</v>
      </c>
    </row>
    <row r="3792" spans="29:120" x14ac:dyDescent="0.25">
      <c r="AC3792" s="122" t="s">
        <v>348</v>
      </c>
      <c r="AD3792" s="122" t="s">
        <v>4081</v>
      </c>
      <c r="AE3792" s="127">
        <v>8</v>
      </c>
      <c r="DA3792" s="122" t="s">
        <v>369</v>
      </c>
      <c r="DB3792" s="122" t="s">
        <v>4570</v>
      </c>
      <c r="DC3792" s="122" t="s">
        <v>4570</v>
      </c>
      <c r="DD3792" s="127">
        <v>7</v>
      </c>
      <c r="DE3792" s="127">
        <v>7</v>
      </c>
      <c r="DG3792" s="405" t="s">
        <v>369</v>
      </c>
      <c r="DH3792" s="406" t="s">
        <v>4570</v>
      </c>
      <c r="DI3792" s="406" t="str">
        <f t="shared" si="91"/>
        <v>RN, Portalegre</v>
      </c>
      <c r="DJ3792" s="406">
        <v>-6.024</v>
      </c>
      <c r="DK3792" s="80">
        <v>-37.988</v>
      </c>
      <c r="DL3792" s="80">
        <v>642</v>
      </c>
      <c r="DM3792" s="64">
        <v>7</v>
      </c>
      <c r="DN3792" s="406" t="s">
        <v>8079</v>
      </c>
      <c r="DO3792" s="406">
        <v>-5.63</v>
      </c>
      <c r="DP3792" s="80">
        <v>150</v>
      </c>
    </row>
    <row r="3793" spans="29:120" x14ac:dyDescent="0.25">
      <c r="AC3793" s="122" t="s">
        <v>323</v>
      </c>
      <c r="AD3793" s="122" t="s">
        <v>4082</v>
      </c>
      <c r="AE3793" s="127">
        <v>8</v>
      </c>
      <c r="DA3793" s="122" t="s">
        <v>369</v>
      </c>
      <c r="DB3793" s="122" t="s">
        <v>8132</v>
      </c>
      <c r="DC3793" s="122" t="s">
        <v>4187</v>
      </c>
      <c r="DD3793" s="127">
        <v>8</v>
      </c>
      <c r="DE3793" s="127">
        <v>8</v>
      </c>
      <c r="DG3793" s="405" t="s">
        <v>369</v>
      </c>
      <c r="DH3793" s="406" t="s">
        <v>4187</v>
      </c>
      <c r="DI3793" s="406" t="str">
        <f t="shared" si="91"/>
        <v>RN, Porto do Mangue</v>
      </c>
      <c r="DJ3793" s="406">
        <v>-5.0679999999999996</v>
      </c>
      <c r="DK3793" s="80">
        <v>-36.781999999999996</v>
      </c>
      <c r="DL3793" s="80">
        <v>5</v>
      </c>
      <c r="DM3793" s="64">
        <v>8</v>
      </c>
      <c r="DN3793" s="406" t="s">
        <v>8075</v>
      </c>
      <c r="DO3793" s="406">
        <v>-5.1100000000000003</v>
      </c>
      <c r="DP3793" s="80">
        <v>3</v>
      </c>
    </row>
    <row r="3794" spans="29:120" x14ac:dyDescent="0.25">
      <c r="AC3794" s="122" t="s">
        <v>369</v>
      </c>
      <c r="AD3794" s="122" t="s">
        <v>4083</v>
      </c>
      <c r="AE3794" s="127">
        <v>8</v>
      </c>
      <c r="DA3794" s="122" t="s">
        <v>369</v>
      </c>
      <c r="DB3794" s="122" t="s">
        <v>6741</v>
      </c>
      <c r="DC3794" s="122" t="s">
        <v>2701</v>
      </c>
      <c r="DD3794" s="127">
        <v>8</v>
      </c>
      <c r="DE3794" s="127">
        <v>8</v>
      </c>
      <c r="DG3794" s="405" t="s">
        <v>369</v>
      </c>
      <c r="DH3794" s="406" t="s">
        <v>2701</v>
      </c>
      <c r="DI3794" s="406" t="str">
        <f t="shared" si="91"/>
        <v>RN, Presidente Juscelino</v>
      </c>
      <c r="DJ3794" s="406">
        <v>-6.1059999999999999</v>
      </c>
      <c r="DK3794" s="80">
        <v>-35.713000000000001</v>
      </c>
      <c r="DL3794" s="80">
        <v>129</v>
      </c>
      <c r="DM3794" s="64">
        <v>8</v>
      </c>
      <c r="DN3794" s="406" t="s">
        <v>8084</v>
      </c>
      <c r="DO3794" s="406">
        <v>-5.8</v>
      </c>
      <c r="DP3794" s="80">
        <v>49</v>
      </c>
    </row>
    <row r="3795" spans="29:120" x14ac:dyDescent="0.25">
      <c r="AC3795" s="122" t="s">
        <v>328</v>
      </c>
      <c r="AD3795" s="122" t="s">
        <v>4084</v>
      </c>
      <c r="AE3795" s="127">
        <v>8</v>
      </c>
      <c r="DA3795" s="122" t="s">
        <v>369</v>
      </c>
      <c r="DB3795" s="122" t="s">
        <v>4052</v>
      </c>
      <c r="DC3795" s="122" t="s">
        <v>4052</v>
      </c>
      <c r="DD3795" s="127">
        <v>8</v>
      </c>
      <c r="DE3795" s="127">
        <v>8</v>
      </c>
      <c r="DG3795" s="405" t="s">
        <v>369</v>
      </c>
      <c r="DH3795" s="406" t="s">
        <v>4052</v>
      </c>
      <c r="DI3795" s="406" t="str">
        <f t="shared" si="91"/>
        <v>RN, Pureza</v>
      </c>
      <c r="DJ3795" s="406">
        <v>-5.4669999999999996</v>
      </c>
      <c r="DK3795" s="80">
        <v>-35.555999999999997</v>
      </c>
      <c r="DL3795" s="80">
        <v>40</v>
      </c>
      <c r="DM3795" s="64">
        <v>8</v>
      </c>
      <c r="DN3795" s="406" t="s">
        <v>8106</v>
      </c>
      <c r="DO3795" s="406">
        <v>-5.16</v>
      </c>
      <c r="DP3795" s="80">
        <v>17</v>
      </c>
    </row>
    <row r="3796" spans="29:120" x14ac:dyDescent="0.25">
      <c r="AC3796" s="122" t="s">
        <v>369</v>
      </c>
      <c r="AD3796" s="122" t="s">
        <v>4085</v>
      </c>
      <c r="AE3796" s="127">
        <v>8</v>
      </c>
      <c r="DA3796" s="122" t="s">
        <v>369</v>
      </c>
      <c r="DB3796" s="122" t="s">
        <v>8133</v>
      </c>
      <c r="DC3796" s="122" t="s">
        <v>4552</v>
      </c>
      <c r="DD3796" s="127">
        <v>7</v>
      </c>
      <c r="DE3796" s="127">
        <v>7</v>
      </c>
      <c r="DG3796" s="405" t="s">
        <v>369</v>
      </c>
      <c r="DH3796" s="406" t="s">
        <v>4552</v>
      </c>
      <c r="DI3796" s="406" t="str">
        <f t="shared" si="91"/>
        <v>RN, Rafael Fernandes</v>
      </c>
      <c r="DJ3796" s="406">
        <v>-6.1950000000000003</v>
      </c>
      <c r="DK3796" s="80">
        <v>-38.225999999999999</v>
      </c>
      <c r="DL3796" s="80">
        <v>227</v>
      </c>
      <c r="DM3796" s="64">
        <v>7</v>
      </c>
      <c r="DN3796" s="406" t="s">
        <v>6423</v>
      </c>
      <c r="DO3796" s="406">
        <v>-5.91</v>
      </c>
      <c r="DP3796" s="80">
        <v>184</v>
      </c>
    </row>
    <row r="3797" spans="29:120" x14ac:dyDescent="0.25">
      <c r="AC3797" s="122" t="s">
        <v>369</v>
      </c>
      <c r="AD3797" s="122" t="s">
        <v>4086</v>
      </c>
      <c r="AE3797" s="127">
        <v>8</v>
      </c>
      <c r="DA3797" s="122" t="s">
        <v>369</v>
      </c>
      <c r="DB3797" s="122" t="s">
        <v>8134</v>
      </c>
      <c r="DC3797" s="122" t="s">
        <v>4532</v>
      </c>
      <c r="DD3797" s="127">
        <v>7</v>
      </c>
      <c r="DE3797" s="127">
        <v>7</v>
      </c>
      <c r="DG3797" s="405" t="s">
        <v>369</v>
      </c>
      <c r="DH3797" s="406" t="s">
        <v>4532</v>
      </c>
      <c r="DI3797" s="406" t="str">
        <f t="shared" si="91"/>
        <v>RN, Rafael Godeiro</v>
      </c>
      <c r="DJ3797" s="406">
        <v>-6.0759999999999996</v>
      </c>
      <c r="DK3797" s="80">
        <v>-37.716999999999999</v>
      </c>
      <c r="DL3797" s="80">
        <v>193</v>
      </c>
      <c r="DM3797" s="64">
        <v>7</v>
      </c>
      <c r="DN3797" s="406" t="s">
        <v>8079</v>
      </c>
      <c r="DO3797" s="406">
        <v>-5.63</v>
      </c>
      <c r="DP3797" s="80">
        <v>150</v>
      </c>
    </row>
    <row r="3798" spans="29:120" x14ac:dyDescent="0.25">
      <c r="AC3798" s="122" t="s">
        <v>369</v>
      </c>
      <c r="AD3798" s="122" t="s">
        <v>4087</v>
      </c>
      <c r="AE3798" s="127">
        <v>8</v>
      </c>
      <c r="DA3798" s="122" t="s">
        <v>369</v>
      </c>
      <c r="DB3798" s="122" t="s">
        <v>8135</v>
      </c>
      <c r="DC3798" s="122" t="s">
        <v>4556</v>
      </c>
      <c r="DD3798" s="127">
        <v>7</v>
      </c>
      <c r="DE3798" s="127">
        <v>7</v>
      </c>
      <c r="DG3798" s="405" t="s">
        <v>369</v>
      </c>
      <c r="DH3798" s="406" t="s">
        <v>4556</v>
      </c>
      <c r="DI3798" s="406" t="str">
        <f t="shared" si="91"/>
        <v>RN, Riacho da Cruz</v>
      </c>
      <c r="DJ3798" s="406">
        <v>-5.9359999999999999</v>
      </c>
      <c r="DK3798" s="80">
        <v>-37.945999999999998</v>
      </c>
      <c r="DL3798" s="80">
        <v>163</v>
      </c>
      <c r="DM3798" s="64">
        <v>7</v>
      </c>
      <c r="DN3798" s="406" t="s">
        <v>8079</v>
      </c>
      <c r="DO3798" s="406">
        <v>-5.63</v>
      </c>
      <c r="DP3798" s="80">
        <v>150</v>
      </c>
    </row>
    <row r="3799" spans="29:120" x14ac:dyDescent="0.25">
      <c r="AC3799" s="122" t="s">
        <v>344</v>
      </c>
      <c r="AD3799" s="122" t="s">
        <v>4088</v>
      </c>
      <c r="AE3799" s="127">
        <v>8</v>
      </c>
      <c r="DA3799" s="122" t="s">
        <v>369</v>
      </c>
      <c r="DB3799" s="122" t="s">
        <v>6344</v>
      </c>
      <c r="DC3799" s="122" t="s">
        <v>4545</v>
      </c>
      <c r="DD3799" s="127">
        <v>7</v>
      </c>
      <c r="DE3799" s="127">
        <v>7</v>
      </c>
      <c r="DG3799" s="405" t="s">
        <v>369</v>
      </c>
      <c r="DH3799" s="406" t="s">
        <v>4545</v>
      </c>
      <c r="DI3799" s="406" t="str">
        <f t="shared" si="91"/>
        <v>RN, Riacho de Santana</v>
      </c>
      <c r="DJ3799" s="406">
        <v>-6.2629999999999999</v>
      </c>
      <c r="DK3799" s="80">
        <v>-38.316000000000003</v>
      </c>
      <c r="DL3799" s="80">
        <v>273</v>
      </c>
      <c r="DM3799" s="64">
        <v>7</v>
      </c>
      <c r="DN3799" s="406" t="s">
        <v>6423</v>
      </c>
      <c r="DO3799" s="406">
        <v>-5.91</v>
      </c>
      <c r="DP3799" s="80">
        <v>184</v>
      </c>
    </row>
    <row r="3800" spans="29:120" x14ac:dyDescent="0.25">
      <c r="AC3800" s="122" t="s">
        <v>328</v>
      </c>
      <c r="AD3800" s="122" t="s">
        <v>4089</v>
      </c>
      <c r="AE3800" s="127">
        <v>8</v>
      </c>
      <c r="DA3800" s="122" t="s">
        <v>369</v>
      </c>
      <c r="DB3800" s="122" t="s">
        <v>4159</v>
      </c>
      <c r="DC3800" s="122" t="s">
        <v>4159</v>
      </c>
      <c r="DD3800" s="127">
        <v>8</v>
      </c>
      <c r="DE3800" s="127">
        <v>8</v>
      </c>
      <c r="DG3800" s="405" t="s">
        <v>369</v>
      </c>
      <c r="DH3800" s="406" t="s">
        <v>4159</v>
      </c>
      <c r="DI3800" s="406" t="str">
        <f t="shared" si="91"/>
        <v>RN, Riachuelo</v>
      </c>
      <c r="DJ3800" s="406">
        <v>-5.8150000000000004</v>
      </c>
      <c r="DK3800" s="80">
        <v>-35.825000000000003</v>
      </c>
      <c r="DL3800" s="80">
        <v>118</v>
      </c>
      <c r="DM3800" s="64">
        <v>8</v>
      </c>
      <c r="DN3800" s="406" t="s">
        <v>8084</v>
      </c>
      <c r="DO3800" s="406">
        <v>-5.8</v>
      </c>
      <c r="DP3800" s="80">
        <v>49</v>
      </c>
    </row>
    <row r="3801" spans="29:120" x14ac:dyDescent="0.25">
      <c r="AC3801" s="122" t="s">
        <v>300</v>
      </c>
      <c r="AD3801" s="122" t="s">
        <v>435</v>
      </c>
      <c r="AE3801" s="127">
        <v>8</v>
      </c>
      <c r="DA3801" s="122" t="s">
        <v>369</v>
      </c>
      <c r="DB3801" s="122" t="s">
        <v>8136</v>
      </c>
      <c r="DC3801" s="122" t="s">
        <v>4112</v>
      </c>
      <c r="DD3801" s="127">
        <v>8</v>
      </c>
      <c r="DE3801" s="127">
        <v>8</v>
      </c>
      <c r="DG3801" s="405" t="s">
        <v>369</v>
      </c>
      <c r="DH3801" s="406" t="s">
        <v>4112</v>
      </c>
      <c r="DI3801" s="406" t="str">
        <f t="shared" si="91"/>
        <v>RN, Rio do Fogo</v>
      </c>
      <c r="DJ3801" s="406">
        <v>-5.2729999999999997</v>
      </c>
      <c r="DK3801" s="80">
        <v>-35.383000000000003</v>
      </c>
      <c r="DL3801" s="80">
        <v>30</v>
      </c>
      <c r="DM3801" s="64">
        <v>8</v>
      </c>
      <c r="DN3801" s="406" t="s">
        <v>8106</v>
      </c>
      <c r="DO3801" s="406">
        <v>-5.16</v>
      </c>
      <c r="DP3801" s="80">
        <v>17</v>
      </c>
    </row>
    <row r="3802" spans="29:120" x14ac:dyDescent="0.25">
      <c r="AC3802" s="122" t="s">
        <v>328</v>
      </c>
      <c r="AD3802" s="122" t="s">
        <v>4090</v>
      </c>
      <c r="AE3802" s="127">
        <v>8</v>
      </c>
      <c r="DA3802" s="122" t="s">
        <v>369</v>
      </c>
      <c r="DB3802" s="122" t="s">
        <v>8137</v>
      </c>
      <c r="DC3802" s="122" t="s">
        <v>4611</v>
      </c>
      <c r="DD3802" s="127">
        <v>7</v>
      </c>
      <c r="DE3802" s="127">
        <v>7</v>
      </c>
      <c r="DG3802" s="405" t="s">
        <v>369</v>
      </c>
      <c r="DH3802" s="406" t="s">
        <v>4611</v>
      </c>
      <c r="DI3802" s="406" t="str">
        <f t="shared" si="91"/>
        <v>RN, Rodolfo Fernandes</v>
      </c>
      <c r="DJ3802" s="406">
        <v>-5.7880000000000003</v>
      </c>
      <c r="DK3802" s="80">
        <v>-38.06</v>
      </c>
      <c r="DL3802" s="80">
        <v>188</v>
      </c>
      <c r="DM3802" s="64">
        <v>7</v>
      </c>
      <c r="DN3802" s="406" t="s">
        <v>8079</v>
      </c>
      <c r="DO3802" s="406">
        <v>-5.63</v>
      </c>
      <c r="DP3802" s="80">
        <v>150</v>
      </c>
    </row>
    <row r="3803" spans="29:120" x14ac:dyDescent="0.25">
      <c r="AC3803" s="122" t="s">
        <v>328</v>
      </c>
      <c r="AD3803" s="122" t="s">
        <v>3762</v>
      </c>
      <c r="AE3803" s="127">
        <v>8</v>
      </c>
      <c r="DA3803" s="122" t="s">
        <v>369</v>
      </c>
      <c r="DB3803" s="122" t="s">
        <v>6353</v>
      </c>
      <c r="DC3803" s="122" t="s">
        <v>2250</v>
      </c>
      <c r="DD3803" s="127">
        <v>8</v>
      </c>
      <c r="DE3803" s="127">
        <v>8</v>
      </c>
      <c r="DG3803" s="405" t="s">
        <v>369</v>
      </c>
      <c r="DH3803" s="406" t="s">
        <v>2250</v>
      </c>
      <c r="DI3803" s="406" t="str">
        <f t="shared" si="91"/>
        <v>RN, Ruy Barbosa</v>
      </c>
      <c r="DJ3803" s="406">
        <v>-5.8810000000000002</v>
      </c>
      <c r="DK3803" s="80">
        <v>-35.935000000000002</v>
      </c>
      <c r="DL3803" s="80">
        <v>168</v>
      </c>
      <c r="DM3803" s="64">
        <v>8</v>
      </c>
      <c r="DN3803" s="406" t="s">
        <v>8084</v>
      </c>
      <c r="DO3803" s="406">
        <v>-5.8</v>
      </c>
      <c r="DP3803" s="80">
        <v>49</v>
      </c>
    </row>
    <row r="3804" spans="29:120" x14ac:dyDescent="0.25">
      <c r="AC3804" s="122" t="s">
        <v>300</v>
      </c>
      <c r="AD3804" s="122" t="s">
        <v>4091</v>
      </c>
      <c r="AE3804" s="127">
        <v>8</v>
      </c>
      <c r="DA3804" s="122" t="s">
        <v>369</v>
      </c>
      <c r="DB3804" s="122" t="s">
        <v>7555</v>
      </c>
      <c r="DC3804" s="122" t="s">
        <v>2492</v>
      </c>
      <c r="DD3804" s="127">
        <v>8</v>
      </c>
      <c r="DE3804" s="127">
        <v>8</v>
      </c>
      <c r="DG3804" s="405" t="s">
        <v>369</v>
      </c>
      <c r="DH3804" s="406" t="s">
        <v>2492</v>
      </c>
      <c r="DI3804" s="406" t="str">
        <f t="shared" si="91"/>
        <v>RN, Santa Cruz</v>
      </c>
      <c r="DJ3804" s="406">
        <v>-6.2290000000000001</v>
      </c>
      <c r="DK3804" s="80">
        <v>-36.023000000000003</v>
      </c>
      <c r="DL3804" s="80">
        <v>236</v>
      </c>
      <c r="DM3804" s="64">
        <v>8</v>
      </c>
      <c r="DN3804" s="406" t="s">
        <v>7492</v>
      </c>
      <c r="DO3804" s="406">
        <v>-6.96</v>
      </c>
      <c r="DP3804" s="80">
        <v>575</v>
      </c>
    </row>
    <row r="3805" spans="29:120" x14ac:dyDescent="0.25">
      <c r="AC3805" s="122" t="s">
        <v>369</v>
      </c>
      <c r="AD3805" s="122" t="s">
        <v>4092</v>
      </c>
      <c r="AE3805" s="127">
        <v>8</v>
      </c>
      <c r="DA3805" s="122" t="s">
        <v>369</v>
      </c>
      <c r="DB3805" s="122" t="s">
        <v>8138</v>
      </c>
      <c r="DC3805" s="122" t="s">
        <v>1750</v>
      </c>
      <c r="DD3805" s="127">
        <v>8</v>
      </c>
      <c r="DE3805" s="127">
        <v>8</v>
      </c>
      <c r="DG3805" s="405" t="s">
        <v>369</v>
      </c>
      <c r="DH3805" s="406" t="s">
        <v>1750</v>
      </c>
      <c r="DI3805" s="406" t="str">
        <f t="shared" si="91"/>
        <v>RN, Santa Maria</v>
      </c>
      <c r="DJ3805" s="406">
        <v>-5.84</v>
      </c>
      <c r="DK3805" s="80">
        <v>-35.695</v>
      </c>
      <c r="DL3805" s="80">
        <v>115</v>
      </c>
      <c r="DM3805" s="64">
        <v>8</v>
      </c>
      <c r="DN3805" s="406" t="s">
        <v>8084</v>
      </c>
      <c r="DO3805" s="406">
        <v>-5.8</v>
      </c>
      <c r="DP3805" s="80">
        <v>49</v>
      </c>
    </row>
    <row r="3806" spans="29:120" x14ac:dyDescent="0.25">
      <c r="AC3806" s="122" t="s">
        <v>369</v>
      </c>
      <c r="AD3806" s="122" t="s">
        <v>4093</v>
      </c>
      <c r="AE3806" s="127">
        <v>8</v>
      </c>
      <c r="DA3806" s="122" t="s">
        <v>369</v>
      </c>
      <c r="DB3806" s="122" t="s">
        <v>8139</v>
      </c>
      <c r="DC3806" s="122" t="s">
        <v>4485</v>
      </c>
      <c r="DD3806" s="127">
        <v>7</v>
      </c>
      <c r="DE3806" s="127">
        <v>7</v>
      </c>
      <c r="DG3806" s="405" t="s">
        <v>369</v>
      </c>
      <c r="DH3806" s="406" t="s">
        <v>4485</v>
      </c>
      <c r="DI3806" s="406" t="str">
        <f t="shared" si="91"/>
        <v>RN, Santana do Matos</v>
      </c>
      <c r="DJ3806" s="406">
        <v>-5.9580000000000002</v>
      </c>
      <c r="DK3806" s="80">
        <v>-36.655999999999999</v>
      </c>
      <c r="DL3806" s="80">
        <v>141</v>
      </c>
      <c r="DM3806" s="64">
        <v>7</v>
      </c>
      <c r="DN3806" s="406" t="s">
        <v>7506</v>
      </c>
      <c r="DO3806" s="406">
        <v>-6.46</v>
      </c>
      <c r="DP3806" s="80">
        <v>170</v>
      </c>
    </row>
    <row r="3807" spans="29:120" x14ac:dyDescent="0.25">
      <c r="AC3807" s="122" t="s">
        <v>369</v>
      </c>
      <c r="AD3807" s="122" t="s">
        <v>1825</v>
      </c>
      <c r="AE3807" s="127">
        <v>8</v>
      </c>
      <c r="DA3807" s="122" t="s">
        <v>369</v>
      </c>
      <c r="DB3807" s="122" t="s">
        <v>8140</v>
      </c>
      <c r="DC3807" s="122" t="s">
        <v>4544</v>
      </c>
      <c r="DD3807" s="127">
        <v>7</v>
      </c>
      <c r="DE3807" s="127">
        <v>7</v>
      </c>
      <c r="DG3807" s="405" t="s">
        <v>369</v>
      </c>
      <c r="DH3807" s="406" t="s">
        <v>4544</v>
      </c>
      <c r="DI3807" s="406" t="str">
        <f t="shared" si="91"/>
        <v>RN, Santana do Seridó</v>
      </c>
      <c r="DJ3807" s="406">
        <v>-6.7709999999999999</v>
      </c>
      <c r="DK3807" s="80">
        <v>-36.732999999999997</v>
      </c>
      <c r="DL3807" s="80">
        <v>336</v>
      </c>
      <c r="DM3807" s="64">
        <v>7</v>
      </c>
      <c r="DN3807" s="406" t="s">
        <v>7506</v>
      </c>
      <c r="DO3807" s="406">
        <v>-6.46</v>
      </c>
      <c r="DP3807" s="80">
        <v>170</v>
      </c>
    </row>
    <row r="3808" spans="29:120" x14ac:dyDescent="0.25">
      <c r="AC3808" s="122" t="s">
        <v>328</v>
      </c>
      <c r="AD3808" s="122" t="s">
        <v>4094</v>
      </c>
      <c r="AE3808" s="127">
        <v>8</v>
      </c>
      <c r="DA3808" s="122" t="s">
        <v>369</v>
      </c>
      <c r="DB3808" s="122" t="s">
        <v>8141</v>
      </c>
      <c r="DC3808" s="122" t="s">
        <v>5100</v>
      </c>
      <c r="DD3808" s="127">
        <v>8</v>
      </c>
      <c r="DE3808" s="127">
        <v>8</v>
      </c>
      <c r="DG3808" s="405" t="s">
        <v>369</v>
      </c>
      <c r="DH3808" s="406" t="s">
        <v>5100</v>
      </c>
      <c r="DI3808" s="406" t="str">
        <f t="shared" si="91"/>
        <v>RN, Santo Antônio</v>
      </c>
      <c r="DJ3808" s="406">
        <v>-6.3109999999999999</v>
      </c>
      <c r="DK3808" s="80">
        <v>-35.478999999999999</v>
      </c>
      <c r="DL3808" s="80">
        <v>92</v>
      </c>
      <c r="DM3808" s="64">
        <v>8</v>
      </c>
      <c r="DN3808" s="406" t="s">
        <v>7501</v>
      </c>
      <c r="DO3808" s="406">
        <v>-6.61</v>
      </c>
      <c r="DP3808" s="80">
        <v>136</v>
      </c>
    </row>
    <row r="3809" spans="29:120" x14ac:dyDescent="0.25">
      <c r="AC3809" s="122" t="s">
        <v>369</v>
      </c>
      <c r="AD3809" s="122" t="s">
        <v>4095</v>
      </c>
      <c r="AE3809" s="127">
        <v>8</v>
      </c>
      <c r="DA3809" s="122" t="s">
        <v>369</v>
      </c>
      <c r="DB3809" s="122" t="s">
        <v>8142</v>
      </c>
      <c r="DC3809" s="122" t="s">
        <v>4083</v>
      </c>
      <c r="DD3809" s="127">
        <v>8</v>
      </c>
      <c r="DE3809" s="127">
        <v>8</v>
      </c>
      <c r="DG3809" s="405" t="s">
        <v>369</v>
      </c>
      <c r="DH3809" s="406" t="s">
        <v>4083</v>
      </c>
      <c r="DI3809" s="406" t="str">
        <f t="shared" si="91"/>
        <v>RN, São Bento do Norte</v>
      </c>
      <c r="DJ3809" s="406">
        <v>-5.093</v>
      </c>
      <c r="DK3809" s="80">
        <v>-35.959000000000003</v>
      </c>
      <c r="DL3809" s="80">
        <v>11</v>
      </c>
      <c r="DM3809" s="64">
        <v>8</v>
      </c>
      <c r="DN3809" s="406" t="s">
        <v>8106</v>
      </c>
      <c r="DO3809" s="406">
        <v>-5.16</v>
      </c>
      <c r="DP3809" s="80">
        <v>17</v>
      </c>
    </row>
    <row r="3810" spans="29:120" x14ac:dyDescent="0.25">
      <c r="AC3810" s="122" t="s">
        <v>344</v>
      </c>
      <c r="AD3810" s="122" t="s">
        <v>4096</v>
      </c>
      <c r="AE3810" s="127">
        <v>8</v>
      </c>
      <c r="DA3810" s="122" t="s">
        <v>369</v>
      </c>
      <c r="DB3810" s="122" t="s">
        <v>8143</v>
      </c>
      <c r="DC3810" s="122" t="s">
        <v>2219</v>
      </c>
      <c r="DD3810" s="127">
        <v>8</v>
      </c>
      <c r="DE3810" s="127">
        <v>8</v>
      </c>
      <c r="DG3810" s="405" t="s">
        <v>369</v>
      </c>
      <c r="DH3810" s="406" t="s">
        <v>2219</v>
      </c>
      <c r="DI3810" s="406" t="str">
        <f t="shared" si="91"/>
        <v>RN, São Bento do Trairí</v>
      </c>
      <c r="DJ3810" s="406">
        <v>-6.3419999999999996</v>
      </c>
      <c r="DK3810" s="80">
        <v>-36.087000000000003</v>
      </c>
      <c r="DL3810" s="80">
        <v>279</v>
      </c>
      <c r="DM3810" s="64">
        <v>8</v>
      </c>
      <c r="DN3810" s="406" t="s">
        <v>7492</v>
      </c>
      <c r="DO3810" s="406">
        <v>-6.96</v>
      </c>
      <c r="DP3810" s="80">
        <v>575</v>
      </c>
    </row>
    <row r="3811" spans="29:120" x14ac:dyDescent="0.25">
      <c r="AC3811" s="122" t="s">
        <v>369</v>
      </c>
      <c r="AD3811" s="122" t="s">
        <v>4097</v>
      </c>
      <c r="AE3811" s="127">
        <v>8</v>
      </c>
      <c r="DA3811" s="122" t="s">
        <v>369</v>
      </c>
      <c r="DB3811" s="122" t="s">
        <v>8144</v>
      </c>
      <c r="DC3811" s="122" t="s">
        <v>5509</v>
      </c>
      <c r="DD3811" s="127">
        <v>7</v>
      </c>
      <c r="DE3811" s="127">
        <v>7</v>
      </c>
      <c r="DG3811" s="405" t="s">
        <v>369</v>
      </c>
      <c r="DH3811" s="406" t="s">
        <v>5509</v>
      </c>
      <c r="DI3811" s="406" t="str">
        <f t="shared" si="91"/>
        <v>RN, São Fernando</v>
      </c>
      <c r="DJ3811" s="406">
        <v>-6.3760000000000003</v>
      </c>
      <c r="DK3811" s="80">
        <v>-37.183999999999997</v>
      </c>
      <c r="DL3811" s="80">
        <v>139</v>
      </c>
      <c r="DM3811" s="64">
        <v>7</v>
      </c>
      <c r="DN3811" s="406" t="s">
        <v>7506</v>
      </c>
      <c r="DO3811" s="406">
        <v>-6.46</v>
      </c>
      <c r="DP3811" s="80">
        <v>170</v>
      </c>
    </row>
    <row r="3812" spans="29:120" x14ac:dyDescent="0.25">
      <c r="AC3812" s="122" t="s">
        <v>369</v>
      </c>
      <c r="AD3812" s="122" t="s">
        <v>4098</v>
      </c>
      <c r="AE3812" s="127">
        <v>8</v>
      </c>
      <c r="DA3812" s="122" t="s">
        <v>369</v>
      </c>
      <c r="DB3812" s="122" t="s">
        <v>8145</v>
      </c>
      <c r="DC3812" s="122" t="s">
        <v>4574</v>
      </c>
      <c r="DD3812" s="127">
        <v>7</v>
      </c>
      <c r="DE3812" s="127">
        <v>7</v>
      </c>
      <c r="DG3812" s="405" t="s">
        <v>369</v>
      </c>
      <c r="DH3812" s="406" t="s">
        <v>4574</v>
      </c>
      <c r="DI3812" s="406" t="str">
        <f t="shared" si="91"/>
        <v>RN, São Francisco do Oeste</v>
      </c>
      <c r="DJ3812" s="406">
        <v>-5.9749999999999996</v>
      </c>
      <c r="DK3812" s="80">
        <v>-38.152000000000001</v>
      </c>
      <c r="DL3812" s="80">
        <v>181</v>
      </c>
      <c r="DM3812" s="64">
        <v>7</v>
      </c>
      <c r="DN3812" s="406" t="s">
        <v>6423</v>
      </c>
      <c r="DO3812" s="406">
        <v>-5.91</v>
      </c>
      <c r="DP3812" s="80">
        <v>184</v>
      </c>
    </row>
    <row r="3813" spans="29:120" x14ac:dyDescent="0.25">
      <c r="AC3813" s="122" t="s">
        <v>348</v>
      </c>
      <c r="AD3813" s="122" t="s">
        <v>4099</v>
      </c>
      <c r="AE3813" s="127">
        <v>8</v>
      </c>
      <c r="DA3813" s="122" t="s">
        <v>369</v>
      </c>
      <c r="DB3813" s="122" t="s">
        <v>6444</v>
      </c>
      <c r="DC3813" s="122" t="s">
        <v>4224</v>
      </c>
      <c r="DD3813" s="127">
        <v>8</v>
      </c>
      <c r="DE3813" s="127">
        <v>8</v>
      </c>
      <c r="DG3813" s="405" t="s">
        <v>369</v>
      </c>
      <c r="DH3813" s="406" t="s">
        <v>4224</v>
      </c>
      <c r="DI3813" s="406" t="str">
        <f t="shared" si="91"/>
        <v>RN, São Gonçalo do Amarante</v>
      </c>
      <c r="DJ3813" s="406">
        <v>-5.7930000000000001</v>
      </c>
      <c r="DK3813" s="80">
        <v>-35.329000000000001</v>
      </c>
      <c r="DL3813" s="80">
        <v>15</v>
      </c>
      <c r="DM3813" s="64">
        <v>8</v>
      </c>
      <c r="DN3813" s="406" t="s">
        <v>8084</v>
      </c>
      <c r="DO3813" s="406">
        <v>-5.8</v>
      </c>
      <c r="DP3813" s="80">
        <v>49</v>
      </c>
    </row>
    <row r="3814" spans="29:120" x14ac:dyDescent="0.25">
      <c r="AC3814" s="122" t="s">
        <v>344</v>
      </c>
      <c r="AD3814" s="122" t="s">
        <v>4100</v>
      </c>
      <c r="AE3814" s="127">
        <v>8</v>
      </c>
      <c r="DA3814" s="122" t="s">
        <v>369</v>
      </c>
      <c r="DB3814" s="122" t="s">
        <v>8146</v>
      </c>
      <c r="DC3814" s="122" t="s">
        <v>5159</v>
      </c>
      <c r="DD3814" s="127">
        <v>7</v>
      </c>
      <c r="DE3814" s="127">
        <v>7</v>
      </c>
      <c r="DG3814" s="405" t="s">
        <v>369</v>
      </c>
      <c r="DH3814" s="406" t="s">
        <v>5159</v>
      </c>
      <c r="DI3814" s="406" t="str">
        <f t="shared" si="91"/>
        <v>RN, São João do Sabugi</v>
      </c>
      <c r="DJ3814" s="406">
        <v>-6.718</v>
      </c>
      <c r="DK3814" s="80">
        <v>-37.201000000000001</v>
      </c>
      <c r="DL3814" s="80">
        <v>187</v>
      </c>
      <c r="DM3814" s="64">
        <v>7</v>
      </c>
      <c r="DN3814" s="406" t="s">
        <v>7506</v>
      </c>
      <c r="DO3814" s="406">
        <v>-6.46</v>
      </c>
      <c r="DP3814" s="80">
        <v>170</v>
      </c>
    </row>
    <row r="3815" spans="29:120" x14ac:dyDescent="0.25">
      <c r="AC3815" s="122" t="s">
        <v>344</v>
      </c>
      <c r="AD3815" s="122" t="s">
        <v>4101</v>
      </c>
      <c r="AE3815" s="127">
        <v>8</v>
      </c>
      <c r="DA3815" s="122" t="s">
        <v>369</v>
      </c>
      <c r="DB3815" s="122" t="s">
        <v>8147</v>
      </c>
      <c r="DC3815" s="122" t="s">
        <v>4097</v>
      </c>
      <c r="DD3815" s="127">
        <v>8</v>
      </c>
      <c r="DE3815" s="127">
        <v>8</v>
      </c>
      <c r="DG3815" s="405" t="s">
        <v>369</v>
      </c>
      <c r="DH3815" s="406" t="s">
        <v>4097</v>
      </c>
      <c r="DI3815" s="406" t="str">
        <f t="shared" si="91"/>
        <v>RN, São José de Mipibu</v>
      </c>
      <c r="DJ3815" s="406">
        <v>-6.0750000000000002</v>
      </c>
      <c r="DK3815" s="80">
        <v>-35.238</v>
      </c>
      <c r="DL3815" s="80">
        <v>58</v>
      </c>
      <c r="DM3815" s="64">
        <v>8</v>
      </c>
      <c r="DN3815" s="406" t="s">
        <v>8084</v>
      </c>
      <c r="DO3815" s="406">
        <v>-5.8</v>
      </c>
      <c r="DP3815" s="80">
        <v>49</v>
      </c>
    </row>
    <row r="3816" spans="29:120" x14ac:dyDescent="0.25">
      <c r="AC3816" s="122" t="s">
        <v>369</v>
      </c>
      <c r="AD3816" s="122" t="s">
        <v>4102</v>
      </c>
      <c r="AE3816" s="127">
        <v>8</v>
      </c>
      <c r="DA3816" s="122" t="s">
        <v>369</v>
      </c>
      <c r="DB3816" s="122" t="s">
        <v>8148</v>
      </c>
      <c r="DC3816" s="122" t="s">
        <v>1895</v>
      </c>
      <c r="DD3816" s="127">
        <v>8</v>
      </c>
      <c r="DE3816" s="127">
        <v>8</v>
      </c>
      <c r="DG3816" s="405" t="s">
        <v>369</v>
      </c>
      <c r="DH3816" s="406" t="s">
        <v>1895</v>
      </c>
      <c r="DI3816" s="406" t="str">
        <f t="shared" si="91"/>
        <v>RN, São José do Campestre</v>
      </c>
      <c r="DJ3816" s="406">
        <v>-6.3159999999999998</v>
      </c>
      <c r="DK3816" s="80">
        <v>-35.713999999999999</v>
      </c>
      <c r="DL3816" s="80">
        <v>149</v>
      </c>
      <c r="DM3816" s="64">
        <v>8</v>
      </c>
      <c r="DN3816" s="406" t="s">
        <v>7492</v>
      </c>
      <c r="DO3816" s="406">
        <v>-6.96</v>
      </c>
      <c r="DP3816" s="80">
        <v>575</v>
      </c>
    </row>
    <row r="3817" spans="29:120" x14ac:dyDescent="0.25">
      <c r="AC3817" s="122" t="s">
        <v>300</v>
      </c>
      <c r="AD3817" s="122" t="s">
        <v>4103</v>
      </c>
      <c r="AE3817" s="127">
        <v>8</v>
      </c>
      <c r="DA3817" s="122" t="s">
        <v>369</v>
      </c>
      <c r="DB3817" s="122" t="s">
        <v>8149</v>
      </c>
      <c r="DC3817" s="122" t="s">
        <v>4518</v>
      </c>
      <c r="DD3817" s="127">
        <v>7</v>
      </c>
      <c r="DE3817" s="127">
        <v>7</v>
      </c>
      <c r="DG3817" s="405" t="s">
        <v>369</v>
      </c>
      <c r="DH3817" s="406" t="s">
        <v>4518</v>
      </c>
      <c r="DI3817" s="406" t="str">
        <f t="shared" si="91"/>
        <v>RN, São José do Seridó</v>
      </c>
      <c r="DJ3817" s="406">
        <v>-6.4489999999999998</v>
      </c>
      <c r="DK3817" s="80">
        <v>-36.878</v>
      </c>
      <c r="DL3817" s="80">
        <v>207</v>
      </c>
      <c r="DM3817" s="64">
        <v>7</v>
      </c>
      <c r="DN3817" s="406" t="s">
        <v>7506</v>
      </c>
      <c r="DO3817" s="406">
        <v>-6.46</v>
      </c>
      <c r="DP3817" s="80">
        <v>170</v>
      </c>
    </row>
    <row r="3818" spans="29:120" x14ac:dyDescent="0.25">
      <c r="AC3818" s="122" t="s">
        <v>328</v>
      </c>
      <c r="AD3818" s="122" t="s">
        <v>4104</v>
      </c>
      <c r="AE3818" s="127">
        <v>8</v>
      </c>
      <c r="DA3818" s="122" t="s">
        <v>369</v>
      </c>
      <c r="DB3818" s="122" t="s">
        <v>8150</v>
      </c>
      <c r="DC3818" s="122" t="s">
        <v>4582</v>
      </c>
      <c r="DD3818" s="127">
        <v>7</v>
      </c>
      <c r="DE3818" s="127">
        <v>7</v>
      </c>
      <c r="DG3818" s="405" t="s">
        <v>369</v>
      </c>
      <c r="DH3818" s="406" t="s">
        <v>4582</v>
      </c>
      <c r="DI3818" s="406" t="str">
        <f t="shared" si="91"/>
        <v>RN, São Miguel</v>
      </c>
      <c r="DJ3818" s="406">
        <v>-6.2119999999999997</v>
      </c>
      <c r="DK3818" s="80">
        <v>-38.497</v>
      </c>
      <c r="DL3818" s="80">
        <v>679</v>
      </c>
      <c r="DM3818" s="64">
        <v>7</v>
      </c>
      <c r="DN3818" s="406" t="s">
        <v>6423</v>
      </c>
      <c r="DO3818" s="406">
        <v>-5.91</v>
      </c>
      <c r="DP3818" s="80">
        <v>184</v>
      </c>
    </row>
    <row r="3819" spans="29:120" x14ac:dyDescent="0.25">
      <c r="AC3819" s="122" t="s">
        <v>369</v>
      </c>
      <c r="AD3819" s="122" t="s">
        <v>4105</v>
      </c>
      <c r="AE3819" s="127">
        <v>8</v>
      </c>
      <c r="DA3819" s="122" t="s">
        <v>369</v>
      </c>
      <c r="DB3819" s="122" t="s">
        <v>8151</v>
      </c>
      <c r="DC3819" s="122" t="s">
        <v>4119</v>
      </c>
      <c r="DD3819" s="127">
        <v>8</v>
      </c>
      <c r="DE3819" s="127">
        <v>8</v>
      </c>
      <c r="DG3819" s="405" t="s">
        <v>369</v>
      </c>
      <c r="DH3819" s="406" t="s">
        <v>4119</v>
      </c>
      <c r="DI3819" s="406" t="str">
        <f t="shared" si="91"/>
        <v>RN, São Miguel do Gostoso</v>
      </c>
      <c r="DJ3819" s="406">
        <v>-5.125</v>
      </c>
      <c r="DK3819" s="80">
        <v>-35.639000000000003</v>
      </c>
      <c r="DL3819" s="80">
        <v>18</v>
      </c>
      <c r="DM3819" s="64">
        <v>8</v>
      </c>
      <c r="DN3819" s="406" t="s">
        <v>8106</v>
      </c>
      <c r="DO3819" s="406">
        <v>-5.16</v>
      </c>
      <c r="DP3819" s="80">
        <v>17</v>
      </c>
    </row>
    <row r="3820" spans="29:120" x14ac:dyDescent="0.25">
      <c r="AC3820" s="122" t="s">
        <v>369</v>
      </c>
      <c r="AD3820" s="122" t="s">
        <v>4106</v>
      </c>
      <c r="AE3820" s="127">
        <v>8</v>
      </c>
      <c r="DA3820" s="122" t="s">
        <v>369</v>
      </c>
      <c r="DB3820" s="122" t="s">
        <v>8152</v>
      </c>
      <c r="DC3820" s="122" t="s">
        <v>5066</v>
      </c>
      <c r="DD3820" s="127">
        <v>8</v>
      </c>
      <c r="DE3820" s="127">
        <v>8</v>
      </c>
      <c r="DG3820" s="405" t="s">
        <v>369</v>
      </c>
      <c r="DH3820" s="406" t="s">
        <v>5066</v>
      </c>
      <c r="DI3820" s="406" t="str">
        <f t="shared" si="91"/>
        <v>RN, São Paulo do Potengi</v>
      </c>
      <c r="DJ3820" s="406">
        <v>-5.8949999999999996</v>
      </c>
      <c r="DK3820" s="80">
        <v>-35.762999999999998</v>
      </c>
      <c r="DL3820" s="80">
        <v>91</v>
      </c>
      <c r="DM3820" s="64">
        <v>8</v>
      </c>
      <c r="DN3820" s="406" t="s">
        <v>8084</v>
      </c>
      <c r="DO3820" s="406">
        <v>-5.8</v>
      </c>
      <c r="DP3820" s="80">
        <v>49</v>
      </c>
    </row>
    <row r="3821" spans="29:120" x14ac:dyDescent="0.25">
      <c r="AC3821" s="122" t="s">
        <v>289</v>
      </c>
      <c r="AD3821" s="122" t="s">
        <v>4107</v>
      </c>
      <c r="AE3821" s="127">
        <v>8</v>
      </c>
      <c r="DA3821" s="122" t="s">
        <v>369</v>
      </c>
      <c r="DB3821" s="122" t="s">
        <v>8153</v>
      </c>
      <c r="DC3821" s="122" t="s">
        <v>1086</v>
      </c>
      <c r="DD3821" s="127">
        <v>8</v>
      </c>
      <c r="DE3821" s="127">
        <v>8</v>
      </c>
      <c r="DG3821" s="405" t="s">
        <v>369</v>
      </c>
      <c r="DH3821" s="406" t="s">
        <v>1086</v>
      </c>
      <c r="DI3821" s="406" t="str">
        <f t="shared" si="91"/>
        <v>RN, São Pedro</v>
      </c>
      <c r="DJ3821" s="406">
        <v>-5.8979999999999997</v>
      </c>
      <c r="DK3821" s="80">
        <v>-35.634</v>
      </c>
      <c r="DL3821" s="80">
        <v>61</v>
      </c>
      <c r="DM3821" s="64">
        <v>8</v>
      </c>
      <c r="DN3821" s="406" t="s">
        <v>8084</v>
      </c>
      <c r="DO3821" s="406">
        <v>-5.8</v>
      </c>
      <c r="DP3821" s="80">
        <v>49</v>
      </c>
    </row>
    <row r="3822" spans="29:120" x14ac:dyDescent="0.25">
      <c r="AC3822" s="122" t="s">
        <v>369</v>
      </c>
      <c r="AD3822" s="122" t="s">
        <v>4108</v>
      </c>
      <c r="AE3822" s="127">
        <v>8</v>
      </c>
      <c r="DA3822" s="122" t="s">
        <v>369</v>
      </c>
      <c r="DB3822" s="122" t="s">
        <v>8154</v>
      </c>
      <c r="DC3822" s="122" t="s">
        <v>4167</v>
      </c>
      <c r="DD3822" s="127">
        <v>7</v>
      </c>
      <c r="DE3822" s="127">
        <v>7</v>
      </c>
      <c r="DG3822" s="405" t="s">
        <v>369</v>
      </c>
      <c r="DH3822" s="406" t="s">
        <v>4167</v>
      </c>
      <c r="DI3822" s="406" t="str">
        <f t="shared" si="91"/>
        <v>RN, São Rafael</v>
      </c>
      <c r="DJ3822" s="406">
        <v>-5.7990000000000004</v>
      </c>
      <c r="DK3822" s="80">
        <v>-36.920999999999999</v>
      </c>
      <c r="DL3822" s="80">
        <v>69</v>
      </c>
      <c r="DM3822" s="64">
        <v>7</v>
      </c>
      <c r="DN3822" s="406" t="s">
        <v>7506</v>
      </c>
      <c r="DO3822" s="406">
        <v>-6.46</v>
      </c>
      <c r="DP3822" s="80">
        <v>170</v>
      </c>
    </row>
    <row r="3823" spans="29:120" x14ac:dyDescent="0.25">
      <c r="AC3823" s="122" t="s">
        <v>300</v>
      </c>
      <c r="AD3823" s="122" t="s">
        <v>4109</v>
      </c>
      <c r="AE3823" s="127">
        <v>8</v>
      </c>
      <c r="DA3823" s="122" t="s">
        <v>369</v>
      </c>
      <c r="DB3823" s="122" t="s">
        <v>8004</v>
      </c>
      <c r="DC3823" s="122" t="s">
        <v>3609</v>
      </c>
      <c r="DD3823" s="127">
        <v>8</v>
      </c>
      <c r="DE3823" s="127">
        <v>8</v>
      </c>
      <c r="DG3823" s="405" t="s">
        <v>369</v>
      </c>
      <c r="DH3823" s="406" t="s">
        <v>3609</v>
      </c>
      <c r="DI3823" s="406" t="str">
        <f t="shared" si="91"/>
        <v>RN, São Tomé</v>
      </c>
      <c r="DJ3823" s="406">
        <v>-5.9729999999999999</v>
      </c>
      <c r="DK3823" s="80">
        <v>-36.075000000000003</v>
      </c>
      <c r="DL3823" s="80">
        <v>159</v>
      </c>
      <c r="DM3823" s="64">
        <v>8</v>
      </c>
      <c r="DN3823" s="406" t="s">
        <v>8084</v>
      </c>
      <c r="DO3823" s="406">
        <v>-5.8</v>
      </c>
      <c r="DP3823" s="80">
        <v>49</v>
      </c>
    </row>
    <row r="3824" spans="29:120" x14ac:dyDescent="0.25">
      <c r="AC3824" s="122" t="s">
        <v>323</v>
      </c>
      <c r="AD3824" s="122" t="s">
        <v>4110</v>
      </c>
      <c r="AE3824" s="127">
        <v>8</v>
      </c>
      <c r="DA3824" s="122" t="s">
        <v>369</v>
      </c>
      <c r="DB3824" s="122" t="s">
        <v>8155</v>
      </c>
      <c r="DC3824" s="122" t="s">
        <v>3094</v>
      </c>
      <c r="DD3824" s="127">
        <v>7</v>
      </c>
      <c r="DE3824" s="127">
        <v>7</v>
      </c>
      <c r="DG3824" s="405" t="s">
        <v>369</v>
      </c>
      <c r="DH3824" s="406" t="s">
        <v>3094</v>
      </c>
      <c r="DI3824" s="406" t="str">
        <f t="shared" si="91"/>
        <v>RN, São Vicente</v>
      </c>
      <c r="DJ3824" s="406">
        <v>-6.2160000000000002</v>
      </c>
      <c r="DK3824" s="80">
        <v>-36.683999999999997</v>
      </c>
      <c r="DL3824" s="80">
        <v>323</v>
      </c>
      <c r="DM3824" s="64">
        <v>7</v>
      </c>
      <c r="DN3824" s="406" t="s">
        <v>7506</v>
      </c>
      <c r="DO3824" s="406">
        <v>-6.46</v>
      </c>
      <c r="DP3824" s="80">
        <v>170</v>
      </c>
    </row>
    <row r="3825" spans="29:120" x14ac:dyDescent="0.25">
      <c r="AC3825" s="122" t="s">
        <v>344</v>
      </c>
      <c r="AD3825" s="122" t="s">
        <v>4111</v>
      </c>
      <c r="AE3825" s="127">
        <v>8</v>
      </c>
      <c r="DA3825" s="122" t="s">
        <v>369</v>
      </c>
      <c r="DB3825" s="122" t="s">
        <v>8156</v>
      </c>
      <c r="DC3825" s="122" t="s">
        <v>5033</v>
      </c>
      <c r="DD3825" s="127">
        <v>8</v>
      </c>
      <c r="DE3825" s="127">
        <v>8</v>
      </c>
      <c r="DG3825" s="405" t="s">
        <v>369</v>
      </c>
      <c r="DH3825" s="406" t="s">
        <v>5033</v>
      </c>
      <c r="DI3825" s="406" t="str">
        <f t="shared" si="91"/>
        <v>RN, Senador Elói de Souza</v>
      </c>
      <c r="DJ3825" s="406">
        <v>-6.0359999999999996</v>
      </c>
      <c r="DK3825" s="80">
        <v>-35.692999999999998</v>
      </c>
      <c r="DL3825" s="80">
        <v>113</v>
      </c>
      <c r="DM3825" s="64">
        <v>8</v>
      </c>
      <c r="DN3825" s="406" t="s">
        <v>8084</v>
      </c>
      <c r="DO3825" s="406">
        <v>-5.8</v>
      </c>
      <c r="DP3825" s="80">
        <v>49</v>
      </c>
    </row>
    <row r="3826" spans="29:120" x14ac:dyDescent="0.25">
      <c r="AC3826" s="122" t="s">
        <v>369</v>
      </c>
      <c r="AD3826" s="122" t="s">
        <v>4112</v>
      </c>
      <c r="AE3826" s="127">
        <v>8</v>
      </c>
      <c r="DA3826" s="122" t="s">
        <v>369</v>
      </c>
      <c r="DB3826" s="122" t="s">
        <v>8157</v>
      </c>
      <c r="DC3826" s="122" t="s">
        <v>4086</v>
      </c>
      <c r="DD3826" s="127">
        <v>8</v>
      </c>
      <c r="DE3826" s="127">
        <v>8</v>
      </c>
      <c r="DG3826" s="405" t="s">
        <v>369</v>
      </c>
      <c r="DH3826" s="406" t="s">
        <v>4086</v>
      </c>
      <c r="DI3826" s="406" t="str">
        <f t="shared" si="91"/>
        <v>RN, Senador Georgino Avelino</v>
      </c>
      <c r="DJ3826" s="406">
        <v>-6.1630000000000003</v>
      </c>
      <c r="DK3826" s="80">
        <v>-35.122999999999998</v>
      </c>
      <c r="DL3826" s="80">
        <v>4</v>
      </c>
      <c r="DM3826" s="64">
        <v>8</v>
      </c>
      <c r="DN3826" s="406" t="s">
        <v>8084</v>
      </c>
      <c r="DO3826" s="406">
        <v>-5.8</v>
      </c>
      <c r="DP3826" s="80">
        <v>49</v>
      </c>
    </row>
    <row r="3827" spans="29:120" x14ac:dyDescent="0.25">
      <c r="AC3827" s="122" t="s">
        <v>344</v>
      </c>
      <c r="AD3827" s="122" t="s">
        <v>2167</v>
      </c>
      <c r="AE3827" s="127">
        <v>8</v>
      </c>
      <c r="DA3827" s="122" t="s">
        <v>369</v>
      </c>
      <c r="DB3827" s="122" t="s">
        <v>8158</v>
      </c>
      <c r="DC3827" s="122" t="s">
        <v>1843</v>
      </c>
      <c r="DD3827" s="127">
        <v>8</v>
      </c>
      <c r="DE3827" s="127">
        <v>8</v>
      </c>
      <c r="DG3827" s="405" t="s">
        <v>369</v>
      </c>
      <c r="DH3827" s="406" t="s">
        <v>1843</v>
      </c>
      <c r="DI3827" s="406" t="str">
        <f t="shared" si="91"/>
        <v>RN, Serra de São Bento</v>
      </c>
      <c r="DJ3827" s="406">
        <v>-6.4169999999999998</v>
      </c>
      <c r="DK3827" s="80">
        <v>-35.704000000000001</v>
      </c>
      <c r="DL3827" s="80">
        <v>401</v>
      </c>
      <c r="DM3827" s="64">
        <v>8</v>
      </c>
      <c r="DN3827" s="406" t="s">
        <v>7492</v>
      </c>
      <c r="DO3827" s="406">
        <v>-6.96</v>
      </c>
      <c r="DP3827" s="80">
        <v>575</v>
      </c>
    </row>
    <row r="3828" spans="29:120" x14ac:dyDescent="0.25">
      <c r="AC3828" s="122" t="s">
        <v>300</v>
      </c>
      <c r="AD3828" s="122" t="s">
        <v>4113</v>
      </c>
      <c r="AE3828" s="127">
        <v>8</v>
      </c>
      <c r="DA3828" s="122" t="s">
        <v>369</v>
      </c>
      <c r="DB3828" s="122" t="s">
        <v>8159</v>
      </c>
      <c r="DC3828" s="122" t="s">
        <v>4210</v>
      </c>
      <c r="DD3828" s="127">
        <v>8</v>
      </c>
      <c r="DE3828" s="127">
        <v>8</v>
      </c>
      <c r="DG3828" s="405" t="s">
        <v>369</v>
      </c>
      <c r="DH3828" s="406" t="s">
        <v>4210</v>
      </c>
      <c r="DI3828" s="406" t="str">
        <f t="shared" si="91"/>
        <v>RN, Serra do Mel</v>
      </c>
      <c r="DJ3828" s="406">
        <v>-5.17</v>
      </c>
      <c r="DK3828" s="80">
        <v>-37.029000000000003</v>
      </c>
      <c r="DL3828" s="80">
        <v>215</v>
      </c>
      <c r="DM3828" s="64">
        <v>8</v>
      </c>
      <c r="DN3828" s="406" t="s">
        <v>8083</v>
      </c>
      <c r="DO3828" s="406">
        <v>-5.19</v>
      </c>
      <c r="DP3828" s="80">
        <v>36</v>
      </c>
    </row>
    <row r="3829" spans="29:120" x14ac:dyDescent="0.25">
      <c r="AC3829" s="122" t="s">
        <v>344</v>
      </c>
      <c r="AD3829" s="122" t="s">
        <v>4114</v>
      </c>
      <c r="AE3829" s="127">
        <v>8</v>
      </c>
      <c r="DA3829" s="122" t="s">
        <v>369</v>
      </c>
      <c r="DB3829" s="122" t="s">
        <v>8160</v>
      </c>
      <c r="DC3829" s="122" t="s">
        <v>4572</v>
      </c>
      <c r="DD3829" s="127">
        <v>7</v>
      </c>
      <c r="DE3829" s="127">
        <v>7</v>
      </c>
      <c r="DG3829" s="405" t="s">
        <v>369</v>
      </c>
      <c r="DH3829" s="406" t="s">
        <v>4572</v>
      </c>
      <c r="DI3829" s="406" t="str">
        <f t="shared" si="91"/>
        <v>RN, Serra Negra do Norte</v>
      </c>
      <c r="DJ3829" s="406">
        <v>-6.6660000000000004</v>
      </c>
      <c r="DK3829" s="80">
        <v>-37.396999999999998</v>
      </c>
      <c r="DL3829" s="80">
        <v>167</v>
      </c>
      <c r="DM3829" s="64">
        <v>7</v>
      </c>
      <c r="DN3829" s="406" t="s">
        <v>7506</v>
      </c>
      <c r="DO3829" s="406">
        <v>-6.46</v>
      </c>
      <c r="DP3829" s="80">
        <v>170</v>
      </c>
    </row>
    <row r="3830" spans="29:120" x14ac:dyDescent="0.25">
      <c r="AC3830" s="122" t="s">
        <v>328</v>
      </c>
      <c r="AD3830" s="122" t="s">
        <v>4115</v>
      </c>
      <c r="AE3830" s="127">
        <v>8</v>
      </c>
      <c r="DA3830" s="122" t="s">
        <v>369</v>
      </c>
      <c r="DB3830" s="122" t="s">
        <v>3504</v>
      </c>
      <c r="DC3830" s="122" t="s">
        <v>3504</v>
      </c>
      <c r="DD3830" s="127">
        <v>8</v>
      </c>
      <c r="DE3830" s="127">
        <v>8</v>
      </c>
      <c r="DG3830" s="405" t="s">
        <v>369</v>
      </c>
      <c r="DH3830" s="406" t="s">
        <v>3504</v>
      </c>
      <c r="DI3830" s="406" t="str">
        <f t="shared" si="91"/>
        <v>RN, Serrinha</v>
      </c>
      <c r="DJ3830" s="406">
        <v>-6.2759999999999998</v>
      </c>
      <c r="DK3830" s="80">
        <v>-35.499000000000002</v>
      </c>
      <c r="DL3830" s="80">
        <v>90</v>
      </c>
      <c r="DM3830" s="64">
        <v>8</v>
      </c>
      <c r="DN3830" s="406" t="s">
        <v>7501</v>
      </c>
      <c r="DO3830" s="406">
        <v>-6.61</v>
      </c>
      <c r="DP3830" s="80">
        <v>136</v>
      </c>
    </row>
    <row r="3831" spans="29:120" x14ac:dyDescent="0.25">
      <c r="AC3831" s="122" t="s">
        <v>328</v>
      </c>
      <c r="AD3831" s="122" t="s">
        <v>4116</v>
      </c>
      <c r="AE3831" s="127">
        <v>8</v>
      </c>
      <c r="DA3831" s="122" t="s">
        <v>369</v>
      </c>
      <c r="DB3831" s="122" t="s">
        <v>8161</v>
      </c>
      <c r="DC3831" s="122" t="s">
        <v>4557</v>
      </c>
      <c r="DD3831" s="127">
        <v>7</v>
      </c>
      <c r="DE3831" s="127">
        <v>7</v>
      </c>
      <c r="DG3831" s="405" t="s">
        <v>369</v>
      </c>
      <c r="DH3831" s="406" t="s">
        <v>4557</v>
      </c>
      <c r="DI3831" s="406" t="str">
        <f t="shared" si="91"/>
        <v>RN, Serrinha dos Pintos</v>
      </c>
      <c r="DJ3831" s="406">
        <v>-6.11</v>
      </c>
      <c r="DK3831" s="80">
        <v>-37.956000000000003</v>
      </c>
      <c r="DL3831" s="80">
        <v>615</v>
      </c>
      <c r="DM3831" s="64">
        <v>7</v>
      </c>
      <c r="DN3831" s="406" t="s">
        <v>8079</v>
      </c>
      <c r="DO3831" s="406">
        <v>-5.63</v>
      </c>
      <c r="DP3831" s="80">
        <v>150</v>
      </c>
    </row>
    <row r="3832" spans="29:120" x14ac:dyDescent="0.25">
      <c r="AC3832" s="122" t="s">
        <v>344</v>
      </c>
      <c r="AD3832" s="122" t="s">
        <v>4117</v>
      </c>
      <c r="AE3832" s="127">
        <v>8</v>
      </c>
      <c r="DA3832" s="122" t="s">
        <v>369</v>
      </c>
      <c r="DB3832" s="122" t="s">
        <v>8162</v>
      </c>
      <c r="DC3832" s="122" t="s">
        <v>4638</v>
      </c>
      <c r="DD3832" s="127">
        <v>7</v>
      </c>
      <c r="DE3832" s="127">
        <v>7</v>
      </c>
      <c r="DG3832" s="405" t="s">
        <v>369</v>
      </c>
      <c r="DH3832" s="406" t="s">
        <v>4638</v>
      </c>
      <c r="DI3832" s="406" t="str">
        <f t="shared" si="91"/>
        <v>RN, Severiano Melo</v>
      </c>
      <c r="DJ3832" s="406">
        <v>-5.7770000000000001</v>
      </c>
      <c r="DK3832" s="80">
        <v>-37.957999999999998</v>
      </c>
      <c r="DL3832" s="80">
        <v>147</v>
      </c>
      <c r="DM3832" s="64">
        <v>7</v>
      </c>
      <c r="DN3832" s="406" t="s">
        <v>8079</v>
      </c>
      <c r="DO3832" s="406">
        <v>-5.63</v>
      </c>
      <c r="DP3832" s="80">
        <v>150</v>
      </c>
    </row>
    <row r="3833" spans="29:120" x14ac:dyDescent="0.25">
      <c r="AC3833" s="122" t="s">
        <v>348</v>
      </c>
      <c r="AD3833" s="122" t="s">
        <v>4118</v>
      </c>
      <c r="AE3833" s="127">
        <v>8</v>
      </c>
      <c r="DA3833" s="122" t="s">
        <v>369</v>
      </c>
      <c r="DB3833" s="122" t="s">
        <v>6782</v>
      </c>
      <c r="DC3833" s="122" t="s">
        <v>4870</v>
      </c>
      <c r="DD3833" s="127">
        <v>8</v>
      </c>
      <c r="DE3833" s="127">
        <v>8</v>
      </c>
      <c r="DG3833" s="405" t="s">
        <v>369</v>
      </c>
      <c r="DH3833" s="406" t="s">
        <v>4870</v>
      </c>
      <c r="DI3833" s="406" t="str">
        <f t="shared" si="91"/>
        <v>RN, Sítio Novo</v>
      </c>
      <c r="DJ3833" s="406">
        <v>-6.1040000000000001</v>
      </c>
      <c r="DK3833" s="80">
        <v>-35.911000000000001</v>
      </c>
      <c r="DL3833" s="80">
        <v>175</v>
      </c>
      <c r="DM3833" s="64">
        <v>8</v>
      </c>
      <c r="DN3833" s="406" t="s">
        <v>8084</v>
      </c>
      <c r="DO3833" s="406">
        <v>-5.8</v>
      </c>
      <c r="DP3833" s="80">
        <v>49</v>
      </c>
    </row>
    <row r="3834" spans="29:120" x14ac:dyDescent="0.25">
      <c r="AC3834" s="122" t="s">
        <v>369</v>
      </c>
      <c r="AD3834" s="122" t="s">
        <v>4119</v>
      </c>
      <c r="AE3834" s="127">
        <v>8</v>
      </c>
      <c r="DA3834" s="122" t="s">
        <v>369</v>
      </c>
      <c r="DB3834" s="122" t="s">
        <v>8163</v>
      </c>
      <c r="DC3834" s="122" t="s">
        <v>4566</v>
      </c>
      <c r="DD3834" s="127">
        <v>7</v>
      </c>
      <c r="DE3834" s="127">
        <v>7</v>
      </c>
      <c r="DG3834" s="405" t="s">
        <v>369</v>
      </c>
      <c r="DH3834" s="406" t="s">
        <v>4566</v>
      </c>
      <c r="DI3834" s="406" t="str">
        <f t="shared" si="91"/>
        <v>RN, Taboleiro Grande</v>
      </c>
      <c r="DJ3834" s="406">
        <v>-5.93</v>
      </c>
      <c r="DK3834" s="80">
        <v>-38.045000000000002</v>
      </c>
      <c r="DL3834" s="80">
        <v>139</v>
      </c>
      <c r="DM3834" s="64">
        <v>7</v>
      </c>
      <c r="DN3834" s="406" t="s">
        <v>8079</v>
      </c>
      <c r="DO3834" s="406">
        <v>-5.63</v>
      </c>
      <c r="DP3834" s="80">
        <v>150</v>
      </c>
    </row>
    <row r="3835" spans="29:120" x14ac:dyDescent="0.25">
      <c r="AC3835" s="122" t="s">
        <v>369</v>
      </c>
      <c r="AD3835" s="122" t="s">
        <v>4120</v>
      </c>
      <c r="AE3835" s="127">
        <v>8</v>
      </c>
      <c r="DA3835" s="122" t="s">
        <v>369</v>
      </c>
      <c r="DB3835" s="122" t="s">
        <v>4105</v>
      </c>
      <c r="DC3835" s="122" t="s">
        <v>4105</v>
      </c>
      <c r="DD3835" s="127">
        <v>8</v>
      </c>
      <c r="DE3835" s="127">
        <v>8</v>
      </c>
      <c r="DG3835" s="405" t="s">
        <v>369</v>
      </c>
      <c r="DH3835" s="406" t="s">
        <v>4105</v>
      </c>
      <c r="DI3835" s="406" t="str">
        <f t="shared" si="91"/>
        <v>RN, Taipu</v>
      </c>
      <c r="DJ3835" s="406">
        <v>-5.6219999999999999</v>
      </c>
      <c r="DK3835" s="80">
        <v>-35.597000000000001</v>
      </c>
      <c r="DL3835" s="80">
        <v>41</v>
      </c>
      <c r="DM3835" s="64">
        <v>8</v>
      </c>
      <c r="DN3835" s="406" t="s">
        <v>8084</v>
      </c>
      <c r="DO3835" s="406">
        <v>-5.8</v>
      </c>
      <c r="DP3835" s="80">
        <v>49</v>
      </c>
    </row>
    <row r="3836" spans="29:120" x14ac:dyDescent="0.25">
      <c r="AC3836" s="122" t="s">
        <v>344</v>
      </c>
      <c r="AD3836" s="122" t="s">
        <v>4121</v>
      </c>
      <c r="AE3836" s="127">
        <v>8</v>
      </c>
      <c r="DA3836" s="122" t="s">
        <v>369</v>
      </c>
      <c r="DB3836" s="122" t="s">
        <v>1460</v>
      </c>
      <c r="DC3836" s="122" t="s">
        <v>1460</v>
      </c>
      <c r="DD3836" s="127">
        <v>8</v>
      </c>
      <c r="DE3836" s="127">
        <v>8</v>
      </c>
      <c r="DG3836" s="405" t="s">
        <v>369</v>
      </c>
      <c r="DH3836" s="406" t="s">
        <v>1460</v>
      </c>
      <c r="DI3836" s="406" t="str">
        <f t="shared" si="91"/>
        <v>RN, Tangará</v>
      </c>
      <c r="DJ3836" s="406">
        <v>-6.1989999999999998</v>
      </c>
      <c r="DK3836" s="80">
        <v>-35.802</v>
      </c>
      <c r="DL3836" s="80">
        <v>186</v>
      </c>
      <c r="DM3836" s="64">
        <v>8</v>
      </c>
      <c r="DN3836" s="406" t="s">
        <v>8084</v>
      </c>
      <c r="DO3836" s="406">
        <v>-5.8</v>
      </c>
      <c r="DP3836" s="80">
        <v>49</v>
      </c>
    </row>
    <row r="3837" spans="29:120" x14ac:dyDescent="0.25">
      <c r="AC3837" s="122" t="s">
        <v>344</v>
      </c>
      <c r="AD3837" s="122" t="s">
        <v>4122</v>
      </c>
      <c r="AE3837" s="127">
        <v>8</v>
      </c>
      <c r="DA3837" s="122" t="s">
        <v>369</v>
      </c>
      <c r="DB3837" s="122" t="s">
        <v>8164</v>
      </c>
      <c r="DC3837" s="122" t="s">
        <v>4558</v>
      </c>
      <c r="DD3837" s="127">
        <v>7</v>
      </c>
      <c r="DE3837" s="127">
        <v>7</v>
      </c>
      <c r="DG3837" s="405" t="s">
        <v>369</v>
      </c>
      <c r="DH3837" s="406" t="s">
        <v>4558</v>
      </c>
      <c r="DI3837" s="406" t="str">
        <f t="shared" si="91"/>
        <v>RN, Tenente Ananias</v>
      </c>
      <c r="DJ3837" s="406">
        <v>-6.4649999999999999</v>
      </c>
      <c r="DK3837" s="80">
        <v>-38.18</v>
      </c>
      <c r="DL3837" s="80">
        <v>340</v>
      </c>
      <c r="DM3837" s="64">
        <v>7</v>
      </c>
      <c r="DN3837" s="406" t="s">
        <v>6414</v>
      </c>
      <c r="DO3837" s="406">
        <v>-6.84</v>
      </c>
      <c r="DP3837" s="80">
        <v>234</v>
      </c>
    </row>
    <row r="3838" spans="29:120" x14ac:dyDescent="0.25">
      <c r="AC3838" s="122" t="s">
        <v>344</v>
      </c>
      <c r="AD3838" s="122" t="s">
        <v>4123</v>
      </c>
      <c r="AE3838" s="127">
        <v>8</v>
      </c>
      <c r="DA3838" s="122" t="s">
        <v>369</v>
      </c>
      <c r="DB3838" s="122" t="s">
        <v>8165</v>
      </c>
      <c r="DC3838" s="122" t="s">
        <v>4536</v>
      </c>
      <c r="DD3838" s="127">
        <v>7</v>
      </c>
      <c r="DE3838" s="127">
        <v>7</v>
      </c>
      <c r="DG3838" s="405" t="s">
        <v>369</v>
      </c>
      <c r="DH3838" s="406" t="s">
        <v>4536</v>
      </c>
      <c r="DI3838" s="406" t="str">
        <f t="shared" si="91"/>
        <v>RN, Tenente Laurentino Cruz</v>
      </c>
      <c r="DJ3838" s="406">
        <v>-6.1479999999999997</v>
      </c>
      <c r="DK3838" s="80">
        <v>-36.719000000000001</v>
      </c>
      <c r="DL3838" s="80">
        <v>730</v>
      </c>
      <c r="DM3838" s="64">
        <v>7</v>
      </c>
      <c r="DN3838" s="406" t="s">
        <v>7506</v>
      </c>
      <c r="DO3838" s="406">
        <v>-6.46</v>
      </c>
      <c r="DP3838" s="80">
        <v>170</v>
      </c>
    </row>
    <row r="3839" spans="29:120" x14ac:dyDescent="0.25">
      <c r="AC3839" s="122" t="s">
        <v>344</v>
      </c>
      <c r="AD3839" s="122" t="s">
        <v>4124</v>
      </c>
      <c r="AE3839" s="127">
        <v>8</v>
      </c>
      <c r="DA3839" s="122" t="s">
        <v>369</v>
      </c>
      <c r="DB3839" s="122" t="s">
        <v>4317</v>
      </c>
      <c r="DC3839" s="122" t="s">
        <v>4317</v>
      </c>
      <c r="DD3839" s="127">
        <v>8</v>
      </c>
      <c r="DE3839" s="127">
        <v>8</v>
      </c>
      <c r="DG3839" s="405" t="s">
        <v>369</v>
      </c>
      <c r="DH3839" s="406" t="s">
        <v>4317</v>
      </c>
      <c r="DI3839" s="406" t="str">
        <f t="shared" si="91"/>
        <v>RN, Tibau</v>
      </c>
      <c r="DJ3839" s="406">
        <v>-4.8369999999999997</v>
      </c>
      <c r="DK3839" s="80">
        <v>-37.253</v>
      </c>
      <c r="DL3839" s="80">
        <v>5</v>
      </c>
      <c r="DM3839" s="64">
        <v>8</v>
      </c>
      <c r="DN3839" s="406" t="s">
        <v>8083</v>
      </c>
      <c r="DO3839" s="406">
        <v>-5.19</v>
      </c>
      <c r="DP3839" s="80">
        <v>36</v>
      </c>
    </row>
    <row r="3840" spans="29:120" x14ac:dyDescent="0.25">
      <c r="AC3840" s="122" t="s">
        <v>344</v>
      </c>
      <c r="AD3840" s="122" t="s">
        <v>4125</v>
      </c>
      <c r="AE3840" s="127">
        <v>8</v>
      </c>
      <c r="DA3840" s="122" t="s">
        <v>369</v>
      </c>
      <c r="DB3840" s="122" t="s">
        <v>8166</v>
      </c>
      <c r="DC3840" s="122" t="s">
        <v>4087</v>
      </c>
      <c r="DD3840" s="127">
        <v>8</v>
      </c>
      <c r="DE3840" s="127">
        <v>8</v>
      </c>
      <c r="DG3840" s="405" t="s">
        <v>369</v>
      </c>
      <c r="DH3840" s="406" t="s">
        <v>4087</v>
      </c>
      <c r="DI3840" s="406" t="str">
        <f t="shared" si="91"/>
        <v>RN, Tibau do Sul</v>
      </c>
      <c r="DJ3840" s="406">
        <v>-6.1870000000000003</v>
      </c>
      <c r="DK3840" s="80">
        <v>-35.091999999999999</v>
      </c>
      <c r="DL3840" s="80">
        <v>38</v>
      </c>
      <c r="DM3840" s="64">
        <v>8</v>
      </c>
      <c r="DN3840" s="406" t="s">
        <v>8084</v>
      </c>
      <c r="DO3840" s="406">
        <v>-5.8</v>
      </c>
      <c r="DP3840" s="80">
        <v>49</v>
      </c>
    </row>
    <row r="3841" spans="29:120" x14ac:dyDescent="0.25">
      <c r="AC3841" s="122" t="s">
        <v>300</v>
      </c>
      <c r="AD3841" s="122" t="s">
        <v>4126</v>
      </c>
      <c r="AE3841" s="127">
        <v>8</v>
      </c>
      <c r="DA3841" s="122" t="s">
        <v>369</v>
      </c>
      <c r="DB3841" s="122" t="s">
        <v>8167</v>
      </c>
      <c r="DC3841" s="122" t="s">
        <v>5185</v>
      </c>
      <c r="DD3841" s="127">
        <v>7</v>
      </c>
      <c r="DE3841" s="127">
        <v>7</v>
      </c>
      <c r="DG3841" s="405" t="s">
        <v>369</v>
      </c>
      <c r="DH3841" s="406" t="s">
        <v>5185</v>
      </c>
      <c r="DI3841" s="406" t="str">
        <f t="shared" si="91"/>
        <v>RN, Timbaúba dos Batistas</v>
      </c>
      <c r="DJ3841" s="406">
        <v>-6.4649999999999999</v>
      </c>
      <c r="DK3841" s="80">
        <v>-37.274000000000001</v>
      </c>
      <c r="DL3841" s="80">
        <v>161</v>
      </c>
      <c r="DM3841" s="64">
        <v>7</v>
      </c>
      <c r="DN3841" s="406" t="s">
        <v>7506</v>
      </c>
      <c r="DO3841" s="406">
        <v>-6.46</v>
      </c>
      <c r="DP3841" s="80">
        <v>170</v>
      </c>
    </row>
    <row r="3842" spans="29:120" x14ac:dyDescent="0.25">
      <c r="AC3842" s="122" t="s">
        <v>300</v>
      </c>
      <c r="AD3842" s="122" t="s">
        <v>4127</v>
      </c>
      <c r="AE3842" s="127">
        <v>8</v>
      </c>
      <c r="DA3842" s="122" t="s">
        <v>369</v>
      </c>
      <c r="DB3842" s="122" t="s">
        <v>4149</v>
      </c>
      <c r="DC3842" s="122" t="s">
        <v>4149</v>
      </c>
      <c r="DD3842" s="127">
        <v>8</v>
      </c>
      <c r="DE3842" s="127">
        <v>8</v>
      </c>
      <c r="DG3842" s="405" t="s">
        <v>369</v>
      </c>
      <c r="DH3842" s="406" t="s">
        <v>4149</v>
      </c>
      <c r="DI3842" s="406" t="str">
        <f t="shared" si="91"/>
        <v>RN, Touros</v>
      </c>
      <c r="DJ3842" s="406">
        <v>-5.1989999999999998</v>
      </c>
      <c r="DK3842" s="80">
        <v>-35.460999999999999</v>
      </c>
      <c r="DL3842" s="80">
        <v>2</v>
      </c>
      <c r="DM3842" s="64">
        <v>8</v>
      </c>
      <c r="DN3842" s="406" t="s">
        <v>8106</v>
      </c>
      <c r="DO3842" s="406">
        <v>-5.16</v>
      </c>
      <c r="DP3842" s="80">
        <v>17</v>
      </c>
    </row>
    <row r="3843" spans="29:120" x14ac:dyDescent="0.25">
      <c r="AC3843" s="122" t="s">
        <v>344</v>
      </c>
      <c r="AD3843" s="122" t="s">
        <v>4128</v>
      </c>
      <c r="AE3843" s="127">
        <v>8</v>
      </c>
      <c r="DA3843" s="122" t="s">
        <v>369</v>
      </c>
      <c r="DB3843" s="122" t="s">
        <v>8168</v>
      </c>
      <c r="DC3843" s="122" t="s">
        <v>4482</v>
      </c>
      <c r="DD3843" s="127">
        <v>7</v>
      </c>
      <c r="DE3843" s="127">
        <v>7</v>
      </c>
      <c r="DG3843" s="405" t="s">
        <v>369</v>
      </c>
      <c r="DH3843" s="406" t="s">
        <v>4482</v>
      </c>
      <c r="DI3843" s="406" t="str">
        <f t="shared" ref="DI3843:DI3906" si="92">CONCATENATE(DG3843,", ",DH3843)</f>
        <v>RN, Triunfo Potiguar</v>
      </c>
      <c r="DJ3843" s="406">
        <v>-5.867</v>
      </c>
      <c r="DK3843" s="80">
        <v>-37.189</v>
      </c>
      <c r="DL3843" s="80">
        <v>100</v>
      </c>
      <c r="DM3843" s="64">
        <v>7</v>
      </c>
      <c r="DN3843" s="406" t="s">
        <v>7506</v>
      </c>
      <c r="DO3843" s="406">
        <v>-6.46</v>
      </c>
      <c r="DP3843" s="80">
        <v>170</v>
      </c>
    </row>
    <row r="3844" spans="29:120" x14ac:dyDescent="0.25">
      <c r="AC3844" s="122" t="s">
        <v>369</v>
      </c>
      <c r="AD3844" s="122" t="s">
        <v>4129</v>
      </c>
      <c r="AE3844" s="127">
        <v>8</v>
      </c>
      <c r="DA3844" s="122" t="s">
        <v>369</v>
      </c>
      <c r="DB3844" s="122" t="s">
        <v>4568</v>
      </c>
      <c r="DC3844" s="122" t="s">
        <v>4568</v>
      </c>
      <c r="DD3844" s="127">
        <v>7</v>
      </c>
      <c r="DE3844" s="127">
        <v>7</v>
      </c>
      <c r="DG3844" s="405" t="s">
        <v>369</v>
      </c>
      <c r="DH3844" s="406" t="s">
        <v>4568</v>
      </c>
      <c r="DI3844" s="406" t="str">
        <f t="shared" si="92"/>
        <v>RN, Umarizal</v>
      </c>
      <c r="DJ3844" s="406">
        <v>-5.9909999999999997</v>
      </c>
      <c r="DK3844" s="80">
        <v>-37.814</v>
      </c>
      <c r="DL3844" s="80">
        <v>166</v>
      </c>
      <c r="DM3844" s="64">
        <v>7</v>
      </c>
      <c r="DN3844" s="406" t="s">
        <v>8079</v>
      </c>
      <c r="DO3844" s="406">
        <v>-5.63</v>
      </c>
      <c r="DP3844" s="80">
        <v>150</v>
      </c>
    </row>
    <row r="3845" spans="29:120" x14ac:dyDescent="0.25">
      <c r="AC3845" s="122" t="s">
        <v>323</v>
      </c>
      <c r="AD3845" s="122" t="s">
        <v>4130</v>
      </c>
      <c r="AE3845" s="127">
        <v>8</v>
      </c>
      <c r="DA3845" s="122" t="s">
        <v>369</v>
      </c>
      <c r="DB3845" s="122" t="s">
        <v>4514</v>
      </c>
      <c r="DC3845" s="122" t="s">
        <v>4514</v>
      </c>
      <c r="DD3845" s="127">
        <v>7</v>
      </c>
      <c r="DE3845" s="127">
        <v>7</v>
      </c>
      <c r="DG3845" s="405" t="s">
        <v>369</v>
      </c>
      <c r="DH3845" s="406" t="s">
        <v>4514</v>
      </c>
      <c r="DI3845" s="406" t="str">
        <f t="shared" si="92"/>
        <v>RN, Upanema</v>
      </c>
      <c r="DJ3845" s="406">
        <v>-5.6420000000000003</v>
      </c>
      <c r="DK3845" s="80">
        <v>-37.258000000000003</v>
      </c>
      <c r="DL3845" s="80">
        <v>47</v>
      </c>
      <c r="DM3845" s="64">
        <v>7</v>
      </c>
      <c r="DN3845" s="406" t="s">
        <v>8083</v>
      </c>
      <c r="DO3845" s="406">
        <v>-5.19</v>
      </c>
      <c r="DP3845" s="80">
        <v>36</v>
      </c>
    </row>
    <row r="3846" spans="29:120" x14ac:dyDescent="0.25">
      <c r="AC3846" s="122" t="s">
        <v>300</v>
      </c>
      <c r="AD3846" s="122" t="s">
        <v>4131</v>
      </c>
      <c r="AE3846" s="127">
        <v>8</v>
      </c>
      <c r="DA3846" s="122" t="s">
        <v>369</v>
      </c>
      <c r="DB3846" s="122" t="s">
        <v>4534</v>
      </c>
      <c r="DC3846" s="122" t="s">
        <v>4534</v>
      </c>
      <c r="DD3846" s="127">
        <v>8</v>
      </c>
      <c r="DE3846" s="127">
        <v>8</v>
      </c>
      <c r="DG3846" s="405" t="s">
        <v>369</v>
      </c>
      <c r="DH3846" s="406" t="s">
        <v>4534</v>
      </c>
      <c r="DI3846" s="406" t="str">
        <f t="shared" si="92"/>
        <v>RN, Várzea</v>
      </c>
      <c r="DJ3846" s="406">
        <v>-6.3479999999999999</v>
      </c>
      <c r="DK3846" s="80">
        <v>-35.375999999999998</v>
      </c>
      <c r="DL3846" s="80">
        <v>59</v>
      </c>
      <c r="DM3846" s="64">
        <v>8</v>
      </c>
      <c r="DN3846" s="406" t="s">
        <v>7501</v>
      </c>
      <c r="DO3846" s="406">
        <v>-6.61</v>
      </c>
      <c r="DP3846" s="80">
        <v>136</v>
      </c>
    </row>
    <row r="3847" spans="29:120" x14ac:dyDescent="0.25">
      <c r="AC3847" s="122" t="s">
        <v>328</v>
      </c>
      <c r="AD3847" s="122" t="s">
        <v>4132</v>
      </c>
      <c r="AE3847" s="127">
        <v>8</v>
      </c>
      <c r="DA3847" s="122" t="s">
        <v>369</v>
      </c>
      <c r="DB3847" s="122" t="s">
        <v>4540</v>
      </c>
      <c r="DC3847" s="122" t="s">
        <v>4540</v>
      </c>
      <c r="DD3847" s="127">
        <v>7</v>
      </c>
      <c r="DE3847" s="127">
        <v>7</v>
      </c>
      <c r="DG3847" s="405" t="s">
        <v>369</v>
      </c>
      <c r="DH3847" s="406" t="s">
        <v>4540</v>
      </c>
      <c r="DI3847" s="406" t="str">
        <f t="shared" si="92"/>
        <v>RN, Venha-Ver</v>
      </c>
      <c r="DJ3847" s="406">
        <v>-6.3259999999999996</v>
      </c>
      <c r="DK3847" s="80">
        <v>-38.484000000000002</v>
      </c>
      <c r="DL3847" s="80">
        <v>650</v>
      </c>
      <c r="DM3847" s="64">
        <v>7</v>
      </c>
      <c r="DN3847" s="406" t="s">
        <v>6423</v>
      </c>
      <c r="DO3847" s="406">
        <v>-5.91</v>
      </c>
      <c r="DP3847" s="80">
        <v>184</v>
      </c>
    </row>
    <row r="3848" spans="29:120" x14ac:dyDescent="0.25">
      <c r="AC3848" s="122" t="s">
        <v>369</v>
      </c>
      <c r="AD3848" s="122" t="s">
        <v>4133</v>
      </c>
      <c r="AE3848" s="127">
        <v>8</v>
      </c>
      <c r="DA3848" s="122" t="s">
        <v>369</v>
      </c>
      <c r="DB3848" s="122" t="s">
        <v>6398</v>
      </c>
      <c r="DC3848" s="122" t="s">
        <v>1612</v>
      </c>
      <c r="DD3848" s="127">
        <v>8</v>
      </c>
      <c r="DE3848" s="127">
        <v>8</v>
      </c>
      <c r="DG3848" s="405" t="s">
        <v>369</v>
      </c>
      <c r="DH3848" s="406" t="s">
        <v>1612</v>
      </c>
      <c r="DI3848" s="406" t="str">
        <f t="shared" si="92"/>
        <v>RN, Vera Cruz</v>
      </c>
      <c r="DJ3848" s="406">
        <v>-6.0439999999999996</v>
      </c>
      <c r="DK3848" s="80">
        <v>-35.427999999999997</v>
      </c>
      <c r="DL3848" s="80">
        <v>94</v>
      </c>
      <c r="DM3848" s="64">
        <v>8</v>
      </c>
      <c r="DN3848" s="406" t="s">
        <v>8084</v>
      </c>
      <c r="DO3848" s="406">
        <v>-5.8</v>
      </c>
      <c r="DP3848" s="80">
        <v>49</v>
      </c>
    </row>
    <row r="3849" spans="29:120" x14ac:dyDescent="0.25">
      <c r="AC3849" s="122" t="s">
        <v>268</v>
      </c>
      <c r="AD3849" s="122" t="s">
        <v>4134</v>
      </c>
      <c r="AE3849" s="127">
        <v>8</v>
      </c>
      <c r="DA3849" s="122" t="s">
        <v>369</v>
      </c>
      <c r="DB3849" s="122" t="s">
        <v>709</v>
      </c>
      <c r="DC3849" s="122" t="s">
        <v>709</v>
      </c>
      <c r="DD3849" s="127">
        <v>7</v>
      </c>
      <c r="DE3849" s="127">
        <v>7</v>
      </c>
      <c r="DG3849" s="405" t="s">
        <v>369</v>
      </c>
      <c r="DH3849" s="406" t="s">
        <v>709</v>
      </c>
      <c r="DI3849" s="406" t="str">
        <f t="shared" si="92"/>
        <v>RN, Viçosa</v>
      </c>
      <c r="DJ3849" s="406">
        <v>-5.9939999999999998</v>
      </c>
      <c r="DK3849" s="80">
        <v>-37.944000000000003</v>
      </c>
      <c r="DL3849" s="80">
        <v>200</v>
      </c>
      <c r="DM3849" s="64">
        <v>7</v>
      </c>
      <c r="DN3849" s="406" t="s">
        <v>8079</v>
      </c>
      <c r="DO3849" s="406">
        <v>-5.63</v>
      </c>
      <c r="DP3849" s="80">
        <v>150</v>
      </c>
    </row>
    <row r="3850" spans="29:120" x14ac:dyDescent="0.25">
      <c r="AC3850" s="122" t="s">
        <v>369</v>
      </c>
      <c r="AD3850" s="122" t="s">
        <v>4135</v>
      </c>
      <c r="AE3850" s="127">
        <v>8</v>
      </c>
      <c r="DA3850" s="122" t="s">
        <v>369</v>
      </c>
      <c r="DB3850" s="122" t="s">
        <v>8169</v>
      </c>
      <c r="DC3850" s="122" t="s">
        <v>4098</v>
      </c>
      <c r="DD3850" s="127">
        <v>8</v>
      </c>
      <c r="DE3850" s="127">
        <v>8</v>
      </c>
      <c r="DG3850" s="405" t="s">
        <v>369</v>
      </c>
      <c r="DH3850" s="406" t="s">
        <v>4098</v>
      </c>
      <c r="DI3850" s="406" t="str">
        <f t="shared" si="92"/>
        <v>RN, Vila Flor</v>
      </c>
      <c r="DJ3850" s="406">
        <v>-6.3140000000000001</v>
      </c>
      <c r="DK3850" s="80">
        <v>-35.076999999999998</v>
      </c>
      <c r="DL3850" s="80">
        <v>40</v>
      </c>
      <c r="DM3850" s="64">
        <v>8</v>
      </c>
      <c r="DN3850" s="406" t="s">
        <v>7501</v>
      </c>
      <c r="DO3850" s="406">
        <v>-6.61</v>
      </c>
      <c r="DP3850" s="80">
        <v>136</v>
      </c>
    </row>
    <row r="3851" spans="29:120" x14ac:dyDescent="0.25">
      <c r="AC3851" s="122" t="s">
        <v>393</v>
      </c>
      <c r="AD3851" s="122" t="s">
        <v>4136</v>
      </c>
      <c r="AE3851" s="127">
        <v>7</v>
      </c>
      <c r="DA3851" s="122" t="s">
        <v>372</v>
      </c>
      <c r="DB3851" s="122" t="s">
        <v>8170</v>
      </c>
      <c r="DC3851" s="122" t="s">
        <v>4720</v>
      </c>
      <c r="DD3851" s="127">
        <v>8</v>
      </c>
      <c r="DE3851" s="127">
        <v>8</v>
      </c>
      <c r="DG3851" s="405" t="s">
        <v>372</v>
      </c>
      <c r="DH3851" s="406" t="s">
        <v>4720</v>
      </c>
      <c r="DI3851" s="406" t="str">
        <f t="shared" si="92"/>
        <v>RO, Alta Floresta d'Oeste</v>
      </c>
      <c r="DJ3851" s="406">
        <v>-11.929</v>
      </c>
      <c r="DK3851" s="80">
        <v>-61.996000000000002</v>
      </c>
      <c r="DL3851" s="80">
        <v>350</v>
      </c>
      <c r="DM3851" s="64">
        <v>8</v>
      </c>
      <c r="DN3851" s="406" t="s">
        <v>7386</v>
      </c>
      <c r="DO3851" s="406">
        <v>-11.45</v>
      </c>
      <c r="DP3851" s="80">
        <v>210</v>
      </c>
    </row>
    <row r="3852" spans="29:120" x14ac:dyDescent="0.25">
      <c r="AC3852" s="122" t="s">
        <v>344</v>
      </c>
      <c r="AD3852" s="122" t="s">
        <v>4137</v>
      </c>
      <c r="AE3852" s="127">
        <v>8</v>
      </c>
      <c r="DA3852" s="122" t="s">
        <v>372</v>
      </c>
      <c r="DB3852" s="122" t="s">
        <v>8171</v>
      </c>
      <c r="DC3852" s="122" t="s">
        <v>5472</v>
      </c>
      <c r="DD3852" s="127">
        <v>8</v>
      </c>
      <c r="DE3852" s="127">
        <v>8</v>
      </c>
      <c r="DG3852" s="405" t="s">
        <v>372</v>
      </c>
      <c r="DH3852" s="406" t="s">
        <v>5472</v>
      </c>
      <c r="DI3852" s="406" t="str">
        <f t="shared" si="92"/>
        <v>RO, Alto Alegre dos Parecis</v>
      </c>
      <c r="DJ3852" s="406">
        <v>-12.128</v>
      </c>
      <c r="DK3852" s="80">
        <v>-61.850999999999999</v>
      </c>
      <c r="DL3852" s="80">
        <v>405</v>
      </c>
      <c r="DM3852" s="64">
        <v>8</v>
      </c>
      <c r="DN3852" s="406" t="s">
        <v>7386</v>
      </c>
      <c r="DO3852" s="406">
        <v>-11.45</v>
      </c>
      <c r="DP3852" s="80">
        <v>210</v>
      </c>
    </row>
    <row r="3853" spans="29:120" x14ac:dyDescent="0.25">
      <c r="AC3853" s="122" t="s">
        <v>328</v>
      </c>
      <c r="AD3853" s="122" t="s">
        <v>4138</v>
      </c>
      <c r="AE3853" s="127">
        <v>8</v>
      </c>
      <c r="DA3853" s="122" t="s">
        <v>372</v>
      </c>
      <c r="DB3853" s="122" t="s">
        <v>7814</v>
      </c>
      <c r="DC3853" s="122" t="s">
        <v>3190</v>
      </c>
      <c r="DD3853" s="127">
        <v>8</v>
      </c>
      <c r="DE3853" s="127">
        <v>8</v>
      </c>
      <c r="DG3853" s="405" t="s">
        <v>372</v>
      </c>
      <c r="DH3853" s="406" t="s">
        <v>3190</v>
      </c>
      <c r="DI3853" s="406" t="str">
        <f t="shared" si="92"/>
        <v>RO, Alto Paraíso</v>
      </c>
      <c r="DJ3853" s="406">
        <v>-9.7129999999999992</v>
      </c>
      <c r="DK3853" s="80">
        <v>-63.320999999999998</v>
      </c>
      <c r="DL3853" s="80">
        <v>125</v>
      </c>
      <c r="DM3853" s="64">
        <v>8</v>
      </c>
      <c r="DN3853" s="406" t="s">
        <v>8172</v>
      </c>
      <c r="DO3853" s="406">
        <v>-9.9499999999999993</v>
      </c>
      <c r="DP3853" s="80">
        <v>140</v>
      </c>
    </row>
    <row r="3854" spans="29:120" x14ac:dyDescent="0.25">
      <c r="AC3854" s="122" t="s">
        <v>348</v>
      </c>
      <c r="AD3854" s="122" t="s">
        <v>4139</v>
      </c>
      <c r="AE3854" s="127">
        <v>8</v>
      </c>
      <c r="DA3854" s="122" t="s">
        <v>372</v>
      </c>
      <c r="DB3854" s="122" t="s">
        <v>8173</v>
      </c>
      <c r="DC3854" s="122" t="s">
        <v>5483</v>
      </c>
      <c r="DD3854" s="127">
        <v>8</v>
      </c>
      <c r="DE3854" s="127">
        <v>8</v>
      </c>
      <c r="DG3854" s="405" t="s">
        <v>372</v>
      </c>
      <c r="DH3854" s="406" t="s">
        <v>5483</v>
      </c>
      <c r="DI3854" s="406" t="str">
        <f t="shared" si="92"/>
        <v>RO, Alvorada d'Oeste</v>
      </c>
      <c r="DJ3854" s="406">
        <v>-11.407999999999999</v>
      </c>
      <c r="DK3854" s="80">
        <v>-62.389000000000003</v>
      </c>
      <c r="DL3854" s="80">
        <v>224</v>
      </c>
      <c r="DM3854" s="64">
        <v>8</v>
      </c>
      <c r="DN3854" s="406" t="s">
        <v>7386</v>
      </c>
      <c r="DO3854" s="406">
        <v>-11.45</v>
      </c>
      <c r="DP3854" s="80">
        <v>210</v>
      </c>
    </row>
    <row r="3855" spans="29:120" x14ac:dyDescent="0.25">
      <c r="AC3855" s="122" t="s">
        <v>369</v>
      </c>
      <c r="AD3855" s="122" t="s">
        <v>4140</v>
      </c>
      <c r="AE3855" s="127">
        <v>8</v>
      </c>
      <c r="DA3855" s="122" t="s">
        <v>372</v>
      </c>
      <c r="DB3855" s="122" t="s">
        <v>4963</v>
      </c>
      <c r="DC3855" s="122" t="s">
        <v>4963</v>
      </c>
      <c r="DD3855" s="127">
        <v>8</v>
      </c>
      <c r="DE3855" s="127">
        <v>8</v>
      </c>
      <c r="DG3855" s="405" t="s">
        <v>372</v>
      </c>
      <c r="DH3855" s="406" t="s">
        <v>4963</v>
      </c>
      <c r="DI3855" s="406" t="str">
        <f t="shared" si="92"/>
        <v>RO, Ariquemes</v>
      </c>
      <c r="DJ3855" s="406">
        <v>-9.9130000000000003</v>
      </c>
      <c r="DK3855" s="80">
        <v>-63.040999999999997</v>
      </c>
      <c r="DL3855" s="80">
        <v>142</v>
      </c>
      <c r="DM3855" s="64">
        <v>8</v>
      </c>
      <c r="DN3855" s="406" t="s">
        <v>8172</v>
      </c>
      <c r="DO3855" s="406">
        <v>-9.9499999999999993</v>
      </c>
      <c r="DP3855" s="80">
        <v>140</v>
      </c>
    </row>
    <row r="3856" spans="29:120" x14ac:dyDescent="0.25">
      <c r="AC3856" s="122" t="s">
        <v>328</v>
      </c>
      <c r="AD3856" s="122" t="s">
        <v>4141</v>
      </c>
      <c r="AE3856" s="127">
        <v>8</v>
      </c>
      <c r="DA3856" s="122" t="s">
        <v>372</v>
      </c>
      <c r="DB3856" s="122" t="s">
        <v>2243</v>
      </c>
      <c r="DC3856" s="122" t="s">
        <v>2243</v>
      </c>
      <c r="DD3856" s="127">
        <v>8</v>
      </c>
      <c r="DE3856" s="127">
        <v>8</v>
      </c>
      <c r="DG3856" s="405" t="s">
        <v>372</v>
      </c>
      <c r="DH3856" s="406" t="s">
        <v>2243</v>
      </c>
      <c r="DI3856" s="406" t="str">
        <f t="shared" si="92"/>
        <v>RO, Buritis</v>
      </c>
      <c r="DJ3856" s="406">
        <v>-10.212</v>
      </c>
      <c r="DK3856" s="80">
        <v>-63.829000000000001</v>
      </c>
      <c r="DL3856" s="80">
        <v>200</v>
      </c>
      <c r="DM3856" s="64">
        <v>8</v>
      </c>
      <c r="DN3856" s="406" t="s">
        <v>8172</v>
      </c>
      <c r="DO3856" s="406">
        <v>-9.9499999999999993</v>
      </c>
      <c r="DP3856" s="80">
        <v>140</v>
      </c>
    </row>
    <row r="3857" spans="29:120" x14ac:dyDescent="0.25">
      <c r="AC3857" s="122" t="s">
        <v>344</v>
      </c>
      <c r="AD3857" s="122" t="s">
        <v>4142</v>
      </c>
      <c r="AE3857" s="127">
        <v>8</v>
      </c>
      <c r="DA3857" s="122" t="s">
        <v>372</v>
      </c>
      <c r="DB3857" s="122" t="s">
        <v>2401</v>
      </c>
      <c r="DC3857" s="122" t="s">
        <v>2401</v>
      </c>
      <c r="DD3857" s="127">
        <v>8</v>
      </c>
      <c r="DE3857" s="127">
        <v>8</v>
      </c>
      <c r="DG3857" s="405" t="s">
        <v>372</v>
      </c>
      <c r="DH3857" s="406" t="s">
        <v>2401</v>
      </c>
      <c r="DI3857" s="406" t="str">
        <f t="shared" si="92"/>
        <v>RO, Cabixi</v>
      </c>
      <c r="DJ3857" s="406">
        <v>-13.492000000000001</v>
      </c>
      <c r="DK3857" s="80">
        <v>-60.545000000000002</v>
      </c>
      <c r="DL3857" s="80">
        <v>230</v>
      </c>
      <c r="DM3857" s="64">
        <v>8</v>
      </c>
      <c r="DN3857" s="406" t="s">
        <v>7325</v>
      </c>
      <c r="DO3857" s="406">
        <v>-13.66</v>
      </c>
      <c r="DP3857" s="80">
        <v>591</v>
      </c>
    </row>
    <row r="3858" spans="29:120" x14ac:dyDescent="0.25">
      <c r="AC3858" s="122" t="s">
        <v>369</v>
      </c>
      <c r="AD3858" s="122" t="s">
        <v>4143</v>
      </c>
      <c r="AE3858" s="127">
        <v>8</v>
      </c>
      <c r="DA3858" s="122" t="s">
        <v>372</v>
      </c>
      <c r="DB3858" s="122" t="s">
        <v>4873</v>
      </c>
      <c r="DC3858" s="122" t="s">
        <v>4873</v>
      </c>
      <c r="DD3858" s="127">
        <v>8</v>
      </c>
      <c r="DE3858" s="127">
        <v>8</v>
      </c>
      <c r="DG3858" s="405" t="s">
        <v>372</v>
      </c>
      <c r="DH3858" s="406" t="s">
        <v>4873</v>
      </c>
      <c r="DI3858" s="406" t="str">
        <f t="shared" si="92"/>
        <v>RO, Cacaulândia</v>
      </c>
      <c r="DJ3858" s="406">
        <v>-10.34</v>
      </c>
      <c r="DK3858" s="80">
        <v>-62.896000000000001</v>
      </c>
      <c r="DL3858" s="80">
        <v>205</v>
      </c>
      <c r="DM3858" s="64">
        <v>8</v>
      </c>
      <c r="DN3858" s="406" t="s">
        <v>8172</v>
      </c>
      <c r="DO3858" s="406">
        <v>-9.9499999999999993</v>
      </c>
      <c r="DP3858" s="80">
        <v>140</v>
      </c>
    </row>
    <row r="3859" spans="29:120" x14ac:dyDescent="0.25">
      <c r="AC3859" s="122" t="s">
        <v>289</v>
      </c>
      <c r="AD3859" s="122" t="s">
        <v>4144</v>
      </c>
      <c r="AE3859" s="127">
        <v>8</v>
      </c>
      <c r="DA3859" s="122" t="s">
        <v>372</v>
      </c>
      <c r="DB3859" s="122" t="s">
        <v>4985</v>
      </c>
      <c r="DC3859" s="122" t="s">
        <v>4985</v>
      </c>
      <c r="DD3859" s="127">
        <v>8</v>
      </c>
      <c r="DE3859" s="127">
        <v>8</v>
      </c>
      <c r="DG3859" s="405" t="s">
        <v>372</v>
      </c>
      <c r="DH3859" s="406" t="s">
        <v>4985</v>
      </c>
      <c r="DI3859" s="406" t="str">
        <f t="shared" si="92"/>
        <v>RO, Cacoal</v>
      </c>
      <c r="DJ3859" s="406">
        <v>-11.438000000000001</v>
      </c>
      <c r="DK3859" s="80">
        <v>-61.448</v>
      </c>
      <c r="DL3859" s="80">
        <v>200</v>
      </c>
      <c r="DM3859" s="64">
        <v>8</v>
      </c>
      <c r="DN3859" s="406" t="s">
        <v>7386</v>
      </c>
      <c r="DO3859" s="406">
        <v>-11.45</v>
      </c>
      <c r="DP3859" s="80">
        <v>210</v>
      </c>
    </row>
    <row r="3860" spans="29:120" x14ac:dyDescent="0.25">
      <c r="AC3860" s="122" t="s">
        <v>268</v>
      </c>
      <c r="AD3860" s="122" t="s">
        <v>4145</v>
      </c>
      <c r="AE3860" s="127">
        <v>8</v>
      </c>
      <c r="DA3860" s="122" t="s">
        <v>372</v>
      </c>
      <c r="DB3860" s="122" t="s">
        <v>8174</v>
      </c>
      <c r="DC3860" s="122" t="s">
        <v>5507</v>
      </c>
      <c r="DD3860" s="127">
        <v>8</v>
      </c>
      <c r="DE3860" s="127">
        <v>8</v>
      </c>
      <c r="DG3860" s="405" t="s">
        <v>372</v>
      </c>
      <c r="DH3860" s="406" t="s">
        <v>5507</v>
      </c>
      <c r="DI3860" s="406" t="str">
        <f t="shared" si="92"/>
        <v>RO, Campo Novo de Rondônia</v>
      </c>
      <c r="DJ3860" s="406">
        <v>-10.571</v>
      </c>
      <c r="DK3860" s="80">
        <v>-63.627000000000002</v>
      </c>
      <c r="DL3860" s="80">
        <v>223</v>
      </c>
      <c r="DM3860" s="64">
        <v>8</v>
      </c>
      <c r="DN3860" s="406" t="s">
        <v>8172</v>
      </c>
      <c r="DO3860" s="406">
        <v>-9.9499999999999993</v>
      </c>
      <c r="DP3860" s="80">
        <v>140</v>
      </c>
    </row>
    <row r="3861" spans="29:120" x14ac:dyDescent="0.25">
      <c r="AC3861" s="122" t="s">
        <v>328</v>
      </c>
      <c r="AD3861" s="122" t="s">
        <v>4146</v>
      </c>
      <c r="AE3861" s="127">
        <v>8</v>
      </c>
      <c r="DA3861" s="122" t="s">
        <v>372</v>
      </c>
      <c r="DB3861" s="122" t="s">
        <v>8175</v>
      </c>
      <c r="DC3861" s="122" t="s">
        <v>4450</v>
      </c>
      <c r="DD3861" s="127">
        <v>8</v>
      </c>
      <c r="DE3861" s="127">
        <v>8</v>
      </c>
      <c r="DG3861" s="405" t="s">
        <v>372</v>
      </c>
      <c r="DH3861" s="406" t="s">
        <v>4450</v>
      </c>
      <c r="DI3861" s="406" t="str">
        <f t="shared" si="92"/>
        <v>RO, Candeias do Jamari</v>
      </c>
      <c r="DJ3861" s="406">
        <v>-8.7910000000000004</v>
      </c>
      <c r="DK3861" s="80">
        <v>-63.701000000000001</v>
      </c>
      <c r="DL3861" s="80">
        <v>87</v>
      </c>
      <c r="DM3861" s="64">
        <v>8</v>
      </c>
      <c r="DN3861" s="406" t="s">
        <v>6171</v>
      </c>
      <c r="DO3861" s="406">
        <v>-8.76</v>
      </c>
      <c r="DP3861" s="80">
        <v>95</v>
      </c>
    </row>
    <row r="3862" spans="29:120" x14ac:dyDescent="0.25">
      <c r="AC3862" s="122" t="s">
        <v>300</v>
      </c>
      <c r="AD3862" s="122" t="s">
        <v>4147</v>
      </c>
      <c r="AE3862" s="127">
        <v>8</v>
      </c>
      <c r="DA3862" s="122" t="s">
        <v>372</v>
      </c>
      <c r="DB3862" s="122" t="s">
        <v>4738</v>
      </c>
      <c r="DC3862" s="122" t="s">
        <v>4738</v>
      </c>
      <c r="DD3862" s="127">
        <v>8</v>
      </c>
      <c r="DE3862" s="127">
        <v>8</v>
      </c>
      <c r="DG3862" s="405" t="s">
        <v>372</v>
      </c>
      <c r="DH3862" s="406" t="s">
        <v>4738</v>
      </c>
      <c r="DI3862" s="406" t="str">
        <f t="shared" si="92"/>
        <v>RO, Castanheiras</v>
      </c>
      <c r="DJ3862" s="406">
        <v>-11.427</v>
      </c>
      <c r="DK3862" s="80">
        <v>-61.95</v>
      </c>
      <c r="DL3862" s="80">
        <v>190</v>
      </c>
      <c r="DM3862" s="64">
        <v>8</v>
      </c>
      <c r="DN3862" s="406" t="s">
        <v>7386</v>
      </c>
      <c r="DO3862" s="406">
        <v>-11.45</v>
      </c>
      <c r="DP3862" s="80">
        <v>210</v>
      </c>
    </row>
    <row r="3863" spans="29:120" x14ac:dyDescent="0.25">
      <c r="AC3863" s="122" t="s">
        <v>369</v>
      </c>
      <c r="AD3863" s="122" t="s">
        <v>4148</v>
      </c>
      <c r="AE3863" s="127">
        <v>8</v>
      </c>
      <c r="DA3863" s="122" t="s">
        <v>372</v>
      </c>
      <c r="DB3863" s="122" t="s">
        <v>4452</v>
      </c>
      <c r="DC3863" s="122" t="s">
        <v>4452</v>
      </c>
      <c r="DD3863" s="127">
        <v>8</v>
      </c>
      <c r="DE3863" s="127">
        <v>8</v>
      </c>
      <c r="DG3863" s="405" t="s">
        <v>372</v>
      </c>
      <c r="DH3863" s="406" t="s">
        <v>4452</v>
      </c>
      <c r="DI3863" s="406" t="str">
        <f t="shared" si="92"/>
        <v>RO, Cerejeiras</v>
      </c>
      <c r="DJ3863" s="406">
        <v>-13.189</v>
      </c>
      <c r="DK3863" s="80">
        <v>-60.811999999999998</v>
      </c>
      <c r="DL3863" s="80">
        <v>277</v>
      </c>
      <c r="DM3863" s="64">
        <v>8</v>
      </c>
      <c r="DN3863" s="406" t="s">
        <v>8176</v>
      </c>
      <c r="DO3863" s="406">
        <v>-12.73</v>
      </c>
      <c r="DP3863" s="80">
        <v>590</v>
      </c>
    </row>
    <row r="3864" spans="29:120" x14ac:dyDescent="0.25">
      <c r="AC3864" s="122" t="s">
        <v>369</v>
      </c>
      <c r="AD3864" s="122" t="s">
        <v>4149</v>
      </c>
      <c r="AE3864" s="127">
        <v>8</v>
      </c>
      <c r="DA3864" s="122" t="s">
        <v>372</v>
      </c>
      <c r="DB3864" s="122" t="s">
        <v>4444</v>
      </c>
      <c r="DC3864" s="122" t="s">
        <v>4444</v>
      </c>
      <c r="DD3864" s="127">
        <v>8</v>
      </c>
      <c r="DE3864" s="127">
        <v>8</v>
      </c>
      <c r="DG3864" s="405" t="s">
        <v>372</v>
      </c>
      <c r="DH3864" s="406" t="s">
        <v>4444</v>
      </c>
      <c r="DI3864" s="406" t="str">
        <f t="shared" si="92"/>
        <v>RO, Chupinguaia</v>
      </c>
      <c r="DJ3864" s="406">
        <v>-12.552</v>
      </c>
      <c r="DK3864" s="80">
        <v>-60.9</v>
      </c>
      <c r="DL3864" s="80">
        <v>360</v>
      </c>
      <c r="DM3864" s="64">
        <v>8</v>
      </c>
      <c r="DN3864" s="406" t="s">
        <v>8176</v>
      </c>
      <c r="DO3864" s="406">
        <v>-12.73</v>
      </c>
      <c r="DP3864" s="80">
        <v>590</v>
      </c>
    </row>
    <row r="3865" spans="29:120" x14ac:dyDescent="0.25">
      <c r="AC3865" s="122" t="s">
        <v>300</v>
      </c>
      <c r="AD3865" s="122" t="s">
        <v>4150</v>
      </c>
      <c r="AE3865" s="127">
        <v>8</v>
      </c>
      <c r="DA3865" s="122" t="s">
        <v>372</v>
      </c>
      <c r="DB3865" s="122" t="s">
        <v>8177</v>
      </c>
      <c r="DC3865" s="122" t="s">
        <v>2396</v>
      </c>
      <c r="DD3865" s="127">
        <v>8</v>
      </c>
      <c r="DE3865" s="127">
        <v>8</v>
      </c>
      <c r="DG3865" s="405" t="s">
        <v>372</v>
      </c>
      <c r="DH3865" s="406" t="s">
        <v>2396</v>
      </c>
      <c r="DI3865" s="406" t="str">
        <f t="shared" si="92"/>
        <v>RO, Colorado do Oeste</v>
      </c>
      <c r="DJ3865" s="406">
        <v>-13.117000000000001</v>
      </c>
      <c r="DK3865" s="80">
        <v>-60.542000000000002</v>
      </c>
      <c r="DL3865" s="80">
        <v>460</v>
      </c>
      <c r="DM3865" s="64">
        <v>8</v>
      </c>
      <c r="DN3865" s="406" t="s">
        <v>8176</v>
      </c>
      <c r="DO3865" s="406">
        <v>-12.73</v>
      </c>
      <c r="DP3865" s="80">
        <v>590</v>
      </c>
    </row>
    <row r="3866" spans="29:120" x14ac:dyDescent="0.25">
      <c r="AC3866" s="122" t="s">
        <v>300</v>
      </c>
      <c r="AD3866" s="122" t="s">
        <v>4151</v>
      </c>
      <c r="AE3866" s="127">
        <v>8</v>
      </c>
      <c r="DA3866" s="122" t="s">
        <v>372</v>
      </c>
      <c r="DB3866" s="122" t="s">
        <v>4449</v>
      </c>
      <c r="DC3866" s="122" t="s">
        <v>4449</v>
      </c>
      <c r="DD3866" s="127">
        <v>8</v>
      </c>
      <c r="DE3866" s="127">
        <v>8</v>
      </c>
      <c r="DG3866" s="405" t="s">
        <v>372</v>
      </c>
      <c r="DH3866" s="406" t="s">
        <v>4449</v>
      </c>
      <c r="DI3866" s="406" t="str">
        <f t="shared" si="92"/>
        <v>RO, Corumbiara</v>
      </c>
      <c r="DJ3866" s="406">
        <v>-12.962</v>
      </c>
      <c r="DK3866" s="80">
        <v>-60.887</v>
      </c>
      <c r="DL3866" s="80">
        <v>340</v>
      </c>
      <c r="DM3866" s="64">
        <v>8</v>
      </c>
      <c r="DN3866" s="406" t="s">
        <v>8176</v>
      </c>
      <c r="DO3866" s="406">
        <v>-12.73</v>
      </c>
      <c r="DP3866" s="80">
        <v>590</v>
      </c>
    </row>
    <row r="3867" spans="29:120" x14ac:dyDescent="0.25">
      <c r="AC3867" s="122" t="s">
        <v>268</v>
      </c>
      <c r="AD3867" s="122" t="s">
        <v>4152</v>
      </c>
      <c r="AE3867" s="127">
        <v>8</v>
      </c>
      <c r="DA3867" s="122" t="s">
        <v>372</v>
      </c>
      <c r="DB3867" s="122" t="s">
        <v>8178</v>
      </c>
      <c r="DC3867" s="122" t="s">
        <v>5669</v>
      </c>
      <c r="DD3867" s="127">
        <v>8</v>
      </c>
      <c r="DE3867" s="127">
        <v>8</v>
      </c>
      <c r="DG3867" s="405" t="s">
        <v>372</v>
      </c>
      <c r="DH3867" s="406" t="s">
        <v>5669</v>
      </c>
      <c r="DI3867" s="406" t="str">
        <f t="shared" si="92"/>
        <v>RO, Costa Marques</v>
      </c>
      <c r="DJ3867" s="406">
        <v>-12.445</v>
      </c>
      <c r="DK3867" s="80">
        <v>-64.227000000000004</v>
      </c>
      <c r="DL3867" s="80">
        <v>140</v>
      </c>
      <c r="DM3867" s="64">
        <v>8</v>
      </c>
      <c r="DN3867" s="406" t="s">
        <v>8172</v>
      </c>
      <c r="DO3867" s="406">
        <v>-9.9499999999999993</v>
      </c>
      <c r="DP3867" s="80">
        <v>140</v>
      </c>
    </row>
    <row r="3868" spans="29:120" x14ac:dyDescent="0.25">
      <c r="AC3868" s="122" t="s">
        <v>300</v>
      </c>
      <c r="AD3868" s="122" t="s">
        <v>4153</v>
      </c>
      <c r="AE3868" s="127">
        <v>8</v>
      </c>
      <c r="DA3868" s="122" t="s">
        <v>372</v>
      </c>
      <c r="DB3868" s="122" t="s">
        <v>4766</v>
      </c>
      <c r="DC3868" s="122" t="s">
        <v>4766</v>
      </c>
      <c r="DD3868" s="127">
        <v>8</v>
      </c>
      <c r="DE3868" s="127">
        <v>8</v>
      </c>
      <c r="DG3868" s="405" t="s">
        <v>372</v>
      </c>
      <c r="DH3868" s="406" t="s">
        <v>4766</v>
      </c>
      <c r="DI3868" s="406" t="str">
        <f t="shared" si="92"/>
        <v>RO, Cujubim</v>
      </c>
      <c r="DJ3868" s="406">
        <v>-9.3629999999999995</v>
      </c>
      <c r="DK3868" s="80">
        <v>-62.585000000000001</v>
      </c>
      <c r="DL3868" s="80">
        <v>95</v>
      </c>
      <c r="DM3868" s="64">
        <v>8</v>
      </c>
      <c r="DN3868" s="406" t="s">
        <v>8172</v>
      </c>
      <c r="DO3868" s="406">
        <v>-9.9499999999999993</v>
      </c>
      <c r="DP3868" s="80">
        <v>140</v>
      </c>
    </row>
    <row r="3869" spans="29:120" x14ac:dyDescent="0.25">
      <c r="AC3869" s="122" t="s">
        <v>348</v>
      </c>
      <c r="AD3869" s="122" t="s">
        <v>4154</v>
      </c>
      <c r="AE3869" s="127">
        <v>8</v>
      </c>
      <c r="DA3869" s="122" t="s">
        <v>372</v>
      </c>
      <c r="DB3869" s="122" t="s">
        <v>8179</v>
      </c>
      <c r="DC3869" s="122" t="s">
        <v>4465</v>
      </c>
      <c r="DD3869" s="127">
        <v>8</v>
      </c>
      <c r="DE3869" s="127">
        <v>8</v>
      </c>
      <c r="DG3869" s="405" t="s">
        <v>372</v>
      </c>
      <c r="DH3869" s="406" t="s">
        <v>4465</v>
      </c>
      <c r="DI3869" s="406" t="str">
        <f t="shared" si="92"/>
        <v>RO, Espigão d'Oeste</v>
      </c>
      <c r="DJ3869" s="406">
        <v>-11.525</v>
      </c>
      <c r="DK3869" s="80">
        <v>-61.012999999999998</v>
      </c>
      <c r="DL3869" s="80">
        <v>270</v>
      </c>
      <c r="DM3869" s="64">
        <v>8</v>
      </c>
      <c r="DN3869" s="406" t="s">
        <v>7386</v>
      </c>
      <c r="DO3869" s="406">
        <v>-11.45</v>
      </c>
      <c r="DP3869" s="80">
        <v>210</v>
      </c>
    </row>
    <row r="3870" spans="29:120" x14ac:dyDescent="0.25">
      <c r="AC3870" s="122" t="s">
        <v>348</v>
      </c>
      <c r="AD3870" s="122" t="s">
        <v>4155</v>
      </c>
      <c r="AE3870" s="127">
        <v>8</v>
      </c>
      <c r="DA3870" s="122" t="s">
        <v>372</v>
      </c>
      <c r="DB3870" s="122" t="s">
        <v>8180</v>
      </c>
      <c r="DC3870" s="122" t="s">
        <v>4743</v>
      </c>
      <c r="DD3870" s="127">
        <v>8</v>
      </c>
      <c r="DE3870" s="127">
        <v>8</v>
      </c>
      <c r="DG3870" s="405" t="s">
        <v>372</v>
      </c>
      <c r="DH3870" s="406" t="s">
        <v>4743</v>
      </c>
      <c r="DI3870" s="406" t="str">
        <f t="shared" si="92"/>
        <v>RO, Governador Jorge Teixeira</v>
      </c>
      <c r="DJ3870" s="406">
        <v>-10.61</v>
      </c>
      <c r="DK3870" s="80">
        <v>-62.737000000000002</v>
      </c>
      <c r="DL3870" s="80">
        <v>190</v>
      </c>
      <c r="DM3870" s="64">
        <v>8</v>
      </c>
      <c r="DN3870" s="406" t="s">
        <v>8172</v>
      </c>
      <c r="DO3870" s="406">
        <v>-9.9499999999999993</v>
      </c>
      <c r="DP3870" s="80">
        <v>140</v>
      </c>
    </row>
    <row r="3871" spans="29:120" x14ac:dyDescent="0.25">
      <c r="AC3871" s="122" t="s">
        <v>369</v>
      </c>
      <c r="AD3871" s="122" t="s">
        <v>4156</v>
      </c>
      <c r="AE3871" s="127">
        <v>8</v>
      </c>
      <c r="DA3871" s="122" t="s">
        <v>372</v>
      </c>
      <c r="DB3871" s="122" t="s">
        <v>2702</v>
      </c>
      <c r="DC3871" s="122" t="s">
        <v>2702</v>
      </c>
      <c r="DD3871" s="127">
        <v>8</v>
      </c>
      <c r="DE3871" s="127">
        <v>8</v>
      </c>
      <c r="DG3871" s="405" t="s">
        <v>372</v>
      </c>
      <c r="DH3871" s="406" t="s">
        <v>2702</v>
      </c>
      <c r="DI3871" s="406" t="str">
        <f t="shared" si="92"/>
        <v>RO, Guajará-Mirim</v>
      </c>
      <c r="DJ3871" s="406">
        <v>-10.782999999999999</v>
      </c>
      <c r="DK3871" s="80">
        <v>-65.338999999999999</v>
      </c>
      <c r="DL3871" s="80">
        <v>128</v>
      </c>
      <c r="DM3871" s="64">
        <v>8</v>
      </c>
      <c r="DN3871" s="406" t="s">
        <v>8172</v>
      </c>
      <c r="DO3871" s="406">
        <v>-9.9499999999999993</v>
      </c>
      <c r="DP3871" s="80">
        <v>140</v>
      </c>
    </row>
    <row r="3872" spans="29:120" x14ac:dyDescent="0.25">
      <c r="AC3872" s="122" t="s">
        <v>300</v>
      </c>
      <c r="AD3872" s="122" t="s">
        <v>4157</v>
      </c>
      <c r="AE3872" s="127">
        <v>8</v>
      </c>
      <c r="DA3872" s="122" t="s">
        <v>372</v>
      </c>
      <c r="DB3872" s="122" t="s">
        <v>8181</v>
      </c>
      <c r="DC3872" s="122" t="s">
        <v>4451</v>
      </c>
      <c r="DD3872" s="127">
        <v>8</v>
      </c>
      <c r="DE3872" s="127">
        <v>8</v>
      </c>
      <c r="DG3872" s="405" t="s">
        <v>372</v>
      </c>
      <c r="DH3872" s="406" t="s">
        <v>4451</v>
      </c>
      <c r="DI3872" s="406" t="str">
        <f t="shared" si="92"/>
        <v>RO, Itapuã do Oeste</v>
      </c>
      <c r="DJ3872" s="406">
        <v>-9.2050000000000001</v>
      </c>
      <c r="DK3872" s="80">
        <v>-63.18</v>
      </c>
      <c r="DL3872" s="80">
        <v>98</v>
      </c>
      <c r="DM3872" s="64">
        <v>8</v>
      </c>
      <c r="DN3872" s="406" t="s">
        <v>8172</v>
      </c>
      <c r="DO3872" s="406">
        <v>-9.9499999999999993</v>
      </c>
      <c r="DP3872" s="80">
        <v>140</v>
      </c>
    </row>
    <row r="3873" spans="29:120" x14ac:dyDescent="0.25">
      <c r="AC3873" s="122" t="s">
        <v>369</v>
      </c>
      <c r="AD3873" s="122" t="s">
        <v>4158</v>
      </c>
      <c r="AE3873" s="127">
        <v>8</v>
      </c>
      <c r="DA3873" s="122" t="s">
        <v>372</v>
      </c>
      <c r="DB3873" s="122" t="s">
        <v>5280</v>
      </c>
      <c r="DC3873" s="122" t="s">
        <v>5280</v>
      </c>
      <c r="DD3873" s="127">
        <v>8</v>
      </c>
      <c r="DE3873" s="127">
        <v>8</v>
      </c>
      <c r="DG3873" s="405" t="s">
        <v>372</v>
      </c>
      <c r="DH3873" s="406" t="s">
        <v>5280</v>
      </c>
      <c r="DI3873" s="406" t="str">
        <f t="shared" si="92"/>
        <v>RO, Jaru</v>
      </c>
      <c r="DJ3873" s="406">
        <v>-10.439</v>
      </c>
      <c r="DK3873" s="80">
        <v>-62.466000000000001</v>
      </c>
      <c r="DL3873" s="80">
        <v>124</v>
      </c>
      <c r="DM3873" s="64">
        <v>8</v>
      </c>
      <c r="DN3873" s="406" t="s">
        <v>8172</v>
      </c>
      <c r="DO3873" s="406">
        <v>-9.9499999999999993</v>
      </c>
      <c r="DP3873" s="80">
        <v>140</v>
      </c>
    </row>
    <row r="3874" spans="29:120" x14ac:dyDescent="0.25">
      <c r="AC3874" s="122" t="s">
        <v>369</v>
      </c>
      <c r="AD3874" s="122" t="s">
        <v>4159</v>
      </c>
      <c r="AE3874" s="127">
        <v>8</v>
      </c>
      <c r="DA3874" s="122" t="s">
        <v>372</v>
      </c>
      <c r="DB3874" s="122" t="s">
        <v>2638</v>
      </c>
      <c r="DC3874" s="122" t="s">
        <v>2638</v>
      </c>
      <c r="DD3874" s="127">
        <v>8</v>
      </c>
      <c r="DE3874" s="127">
        <v>8</v>
      </c>
      <c r="DG3874" s="405" t="s">
        <v>372</v>
      </c>
      <c r="DH3874" s="406" t="s">
        <v>2638</v>
      </c>
      <c r="DI3874" s="406" t="str">
        <f t="shared" si="92"/>
        <v>RO, Ji-Paraná</v>
      </c>
      <c r="DJ3874" s="406">
        <v>-10.882</v>
      </c>
      <c r="DK3874" s="80">
        <v>-61.944000000000003</v>
      </c>
      <c r="DL3874" s="80">
        <v>170</v>
      </c>
      <c r="DM3874" s="64">
        <v>8</v>
      </c>
      <c r="DN3874" s="406" t="s">
        <v>7386</v>
      </c>
      <c r="DO3874" s="406">
        <v>-11.45</v>
      </c>
      <c r="DP3874" s="80">
        <v>210</v>
      </c>
    </row>
    <row r="3875" spans="29:120" x14ac:dyDescent="0.25">
      <c r="AC3875" s="122" t="s">
        <v>328</v>
      </c>
      <c r="AD3875" s="122" t="s">
        <v>4160</v>
      </c>
      <c r="AE3875" s="127">
        <v>8</v>
      </c>
      <c r="DA3875" s="122" t="s">
        <v>372</v>
      </c>
      <c r="DB3875" s="122" t="s">
        <v>8182</v>
      </c>
      <c r="DC3875" s="122" t="s">
        <v>5499</v>
      </c>
      <c r="DD3875" s="127">
        <v>8</v>
      </c>
      <c r="DE3875" s="127">
        <v>8</v>
      </c>
      <c r="DG3875" s="405" t="s">
        <v>372</v>
      </c>
      <c r="DH3875" s="406" t="s">
        <v>5499</v>
      </c>
      <c r="DI3875" s="406" t="str">
        <f t="shared" si="92"/>
        <v>RO, Machadinho d'Oeste</v>
      </c>
      <c r="DJ3875" s="406">
        <v>-9.4440000000000008</v>
      </c>
      <c r="DK3875" s="80">
        <v>-61.981000000000002</v>
      </c>
      <c r="DL3875" s="80">
        <v>102</v>
      </c>
      <c r="DM3875" s="64">
        <v>8</v>
      </c>
      <c r="DN3875" s="406" t="s">
        <v>8172</v>
      </c>
      <c r="DO3875" s="406">
        <v>-9.9499999999999993</v>
      </c>
      <c r="DP3875" s="80">
        <v>140</v>
      </c>
    </row>
    <row r="3876" spans="29:120" x14ac:dyDescent="0.25">
      <c r="AC3876" s="122" t="s">
        <v>268</v>
      </c>
      <c r="AD3876" s="122" t="s">
        <v>4161</v>
      </c>
      <c r="AE3876" s="127">
        <v>8</v>
      </c>
      <c r="DA3876" s="122" t="s">
        <v>372</v>
      </c>
      <c r="DB3876" s="122" t="s">
        <v>8183</v>
      </c>
      <c r="DC3876" s="122" t="s">
        <v>4917</v>
      </c>
      <c r="DD3876" s="127">
        <v>8</v>
      </c>
      <c r="DE3876" s="127">
        <v>8</v>
      </c>
      <c r="DG3876" s="405" t="s">
        <v>372</v>
      </c>
      <c r="DH3876" s="406" t="s">
        <v>4917</v>
      </c>
      <c r="DI3876" s="406" t="str">
        <f t="shared" si="92"/>
        <v>RO, Ministro Andreazza</v>
      </c>
      <c r="DJ3876" s="406">
        <v>-11.196</v>
      </c>
      <c r="DK3876" s="80">
        <v>-61.517000000000003</v>
      </c>
      <c r="DL3876" s="80">
        <v>400</v>
      </c>
      <c r="DM3876" s="64">
        <v>8</v>
      </c>
      <c r="DN3876" s="406" t="s">
        <v>7386</v>
      </c>
      <c r="DO3876" s="406">
        <v>-11.45</v>
      </c>
      <c r="DP3876" s="80">
        <v>210</v>
      </c>
    </row>
    <row r="3877" spans="29:120" x14ac:dyDescent="0.25">
      <c r="AC3877" s="122" t="s">
        <v>375</v>
      </c>
      <c r="AD3877" s="122" t="s">
        <v>4162</v>
      </c>
      <c r="AE3877" s="127">
        <v>8</v>
      </c>
      <c r="DA3877" s="122" t="s">
        <v>372</v>
      </c>
      <c r="DB3877" s="122" t="s">
        <v>8184</v>
      </c>
      <c r="DC3877" s="122" t="s">
        <v>4633</v>
      </c>
      <c r="DD3877" s="127">
        <v>8</v>
      </c>
      <c r="DE3877" s="127">
        <v>8</v>
      </c>
      <c r="DG3877" s="405" t="s">
        <v>372</v>
      </c>
      <c r="DH3877" s="406" t="s">
        <v>4633</v>
      </c>
      <c r="DI3877" s="406" t="str">
        <f t="shared" si="92"/>
        <v>RO, Mirante da Serra</v>
      </c>
      <c r="DJ3877" s="406">
        <v>-11.03</v>
      </c>
      <c r="DK3877" s="80">
        <v>-62.674999999999997</v>
      </c>
      <c r="DL3877" s="80">
        <v>230</v>
      </c>
      <c r="DM3877" s="64">
        <v>8</v>
      </c>
      <c r="DN3877" s="406" t="s">
        <v>8172</v>
      </c>
      <c r="DO3877" s="406">
        <v>-9.9499999999999993</v>
      </c>
      <c r="DP3877" s="80">
        <v>140</v>
      </c>
    </row>
    <row r="3878" spans="29:120" x14ac:dyDescent="0.25">
      <c r="AC3878" s="122" t="s">
        <v>348</v>
      </c>
      <c r="AD3878" s="122" t="s">
        <v>4163</v>
      </c>
      <c r="AE3878" s="127">
        <v>8</v>
      </c>
      <c r="DA3878" s="122" t="s">
        <v>372</v>
      </c>
      <c r="DB3878" s="122" t="s">
        <v>8185</v>
      </c>
      <c r="DC3878" s="122" t="s">
        <v>4861</v>
      </c>
      <c r="DD3878" s="127">
        <v>8</v>
      </c>
      <c r="DE3878" s="127">
        <v>8</v>
      </c>
      <c r="DG3878" s="405" t="s">
        <v>372</v>
      </c>
      <c r="DH3878" s="406" t="s">
        <v>4861</v>
      </c>
      <c r="DI3878" s="406" t="str">
        <f t="shared" si="92"/>
        <v>RO, Monte Negro</v>
      </c>
      <c r="DJ3878" s="406">
        <v>-10.246</v>
      </c>
      <c r="DK3878" s="80">
        <v>-63.29</v>
      </c>
      <c r="DL3878" s="80">
        <v>197</v>
      </c>
      <c r="DM3878" s="64">
        <v>8</v>
      </c>
      <c r="DN3878" s="406" t="s">
        <v>8172</v>
      </c>
      <c r="DO3878" s="406">
        <v>-9.9499999999999993</v>
      </c>
      <c r="DP3878" s="80">
        <v>140</v>
      </c>
    </row>
    <row r="3879" spans="29:120" x14ac:dyDescent="0.25">
      <c r="AC3879" s="122" t="s">
        <v>300</v>
      </c>
      <c r="AD3879" s="122" t="s">
        <v>4164</v>
      </c>
      <c r="AE3879" s="127">
        <v>8</v>
      </c>
      <c r="DA3879" s="122" t="s">
        <v>372</v>
      </c>
      <c r="DB3879" s="122" t="s">
        <v>8186</v>
      </c>
      <c r="DC3879" s="122" t="s">
        <v>5496</v>
      </c>
      <c r="DD3879" s="127">
        <v>8</v>
      </c>
      <c r="DE3879" s="127">
        <v>8</v>
      </c>
      <c r="DG3879" s="405" t="s">
        <v>372</v>
      </c>
      <c r="DH3879" s="406" t="s">
        <v>5496</v>
      </c>
      <c r="DI3879" s="406" t="str">
        <f t="shared" si="92"/>
        <v>RO, Nova Brasilândia d'Oeste</v>
      </c>
      <c r="DJ3879" s="406">
        <v>-11.725</v>
      </c>
      <c r="DK3879" s="80">
        <v>-62.331000000000003</v>
      </c>
      <c r="DL3879" s="80">
        <v>320</v>
      </c>
      <c r="DM3879" s="64">
        <v>8</v>
      </c>
      <c r="DN3879" s="406" t="s">
        <v>7386</v>
      </c>
      <c r="DO3879" s="406">
        <v>-11.45</v>
      </c>
      <c r="DP3879" s="80">
        <v>210</v>
      </c>
    </row>
    <row r="3880" spans="29:120" x14ac:dyDescent="0.25">
      <c r="AC3880" s="122" t="s">
        <v>322</v>
      </c>
      <c r="AD3880" s="122" t="s">
        <v>2183</v>
      </c>
      <c r="AE3880" s="127">
        <v>7</v>
      </c>
      <c r="DA3880" s="122" t="s">
        <v>372</v>
      </c>
      <c r="DB3880" s="122" t="s">
        <v>8187</v>
      </c>
      <c r="DC3880" s="122" t="s">
        <v>4628</v>
      </c>
      <c r="DD3880" s="127">
        <v>8</v>
      </c>
      <c r="DE3880" s="127">
        <v>8</v>
      </c>
      <c r="DG3880" s="405" t="s">
        <v>372</v>
      </c>
      <c r="DH3880" s="406" t="s">
        <v>4628</v>
      </c>
      <c r="DI3880" s="406" t="str">
        <f t="shared" si="92"/>
        <v>RO, Nova Mamoré</v>
      </c>
      <c r="DJ3880" s="406">
        <v>-10.411</v>
      </c>
      <c r="DK3880" s="80">
        <v>-65.331000000000003</v>
      </c>
      <c r="DL3880" s="80">
        <v>134</v>
      </c>
      <c r="DM3880" s="64">
        <v>8</v>
      </c>
      <c r="DN3880" s="406" t="s">
        <v>6171</v>
      </c>
      <c r="DO3880" s="406">
        <v>-8.76</v>
      </c>
      <c r="DP3880" s="80">
        <v>95</v>
      </c>
    </row>
    <row r="3881" spans="29:120" x14ac:dyDescent="0.25">
      <c r="AC3881" s="122" t="s">
        <v>328</v>
      </c>
      <c r="AD3881" s="122" t="s">
        <v>4165</v>
      </c>
      <c r="AE3881" s="127">
        <v>8</v>
      </c>
      <c r="DA3881" s="122" t="s">
        <v>372</v>
      </c>
      <c r="DB3881" s="122" t="s">
        <v>7051</v>
      </c>
      <c r="DC3881" s="122" t="s">
        <v>2700</v>
      </c>
      <c r="DD3881" s="127">
        <v>8</v>
      </c>
      <c r="DE3881" s="127">
        <v>8</v>
      </c>
      <c r="DG3881" s="405" t="s">
        <v>372</v>
      </c>
      <c r="DH3881" s="406" t="s">
        <v>2700</v>
      </c>
      <c r="DI3881" s="406" t="str">
        <f t="shared" si="92"/>
        <v>RO, Nova União</v>
      </c>
      <c r="DJ3881" s="406">
        <v>-10.904</v>
      </c>
      <c r="DK3881" s="80">
        <v>-62.561</v>
      </c>
      <c r="DL3881" s="80">
        <v>250</v>
      </c>
      <c r="DM3881" s="64">
        <v>8</v>
      </c>
      <c r="DN3881" s="406" t="s">
        <v>8172</v>
      </c>
      <c r="DO3881" s="406">
        <v>-9.9499999999999993</v>
      </c>
      <c r="DP3881" s="80">
        <v>140</v>
      </c>
    </row>
    <row r="3882" spans="29:120" x14ac:dyDescent="0.25">
      <c r="AC3882" s="122" t="s">
        <v>369</v>
      </c>
      <c r="AD3882" s="122" t="s">
        <v>4166</v>
      </c>
      <c r="AE3882" s="127">
        <v>8</v>
      </c>
      <c r="DA3882" s="122" t="s">
        <v>372</v>
      </c>
      <c r="DB3882" s="122" t="s">
        <v>8188</v>
      </c>
      <c r="DC3882" s="122" t="s">
        <v>4722</v>
      </c>
      <c r="DD3882" s="127">
        <v>8</v>
      </c>
      <c r="DE3882" s="127">
        <v>8</v>
      </c>
      <c r="DG3882" s="405" t="s">
        <v>372</v>
      </c>
      <c r="DH3882" s="406" t="s">
        <v>4722</v>
      </c>
      <c r="DI3882" s="406" t="str">
        <f t="shared" si="92"/>
        <v>RO, Novo Horizonte do Oeste</v>
      </c>
      <c r="DJ3882" s="406">
        <v>-11.71</v>
      </c>
      <c r="DK3882" s="80">
        <v>-62</v>
      </c>
      <c r="DL3882" s="80">
        <v>243</v>
      </c>
      <c r="DM3882" s="64">
        <v>8</v>
      </c>
      <c r="DN3882" s="406" t="s">
        <v>7386</v>
      </c>
      <c r="DO3882" s="406">
        <v>-11.45</v>
      </c>
      <c r="DP3882" s="80">
        <v>210</v>
      </c>
    </row>
    <row r="3883" spans="29:120" x14ac:dyDescent="0.25">
      <c r="AC3883" s="122" t="s">
        <v>369</v>
      </c>
      <c r="AD3883" s="122" t="s">
        <v>4167</v>
      </c>
      <c r="AE3883" s="127">
        <v>7</v>
      </c>
      <c r="DA3883" s="122" t="s">
        <v>372</v>
      </c>
      <c r="DB3883" s="122" t="s">
        <v>8189</v>
      </c>
      <c r="DC3883" s="122" t="s">
        <v>5490</v>
      </c>
      <c r="DD3883" s="127">
        <v>8</v>
      </c>
      <c r="DE3883" s="127">
        <v>8</v>
      </c>
      <c r="DG3883" s="405" t="s">
        <v>372</v>
      </c>
      <c r="DH3883" s="406" t="s">
        <v>5490</v>
      </c>
      <c r="DI3883" s="406" t="str">
        <f t="shared" si="92"/>
        <v>RO, Ouro Preto do Oeste</v>
      </c>
      <c r="DJ3883" s="406">
        <v>-10.715999999999999</v>
      </c>
      <c r="DK3883" s="80">
        <v>-62.247999999999998</v>
      </c>
      <c r="DL3883" s="80">
        <v>280</v>
      </c>
      <c r="DM3883" s="64">
        <v>8</v>
      </c>
      <c r="DN3883" s="406" t="s">
        <v>7386</v>
      </c>
      <c r="DO3883" s="406">
        <v>-11.45</v>
      </c>
      <c r="DP3883" s="80">
        <v>210</v>
      </c>
    </row>
    <row r="3884" spans="29:120" x14ac:dyDescent="0.25">
      <c r="AC3884" s="122" t="s">
        <v>369</v>
      </c>
      <c r="AD3884" s="122" t="s">
        <v>4168</v>
      </c>
      <c r="AE3884" s="127">
        <v>8</v>
      </c>
      <c r="DA3884" s="122" t="s">
        <v>372</v>
      </c>
      <c r="DB3884" s="122" t="s">
        <v>5246</v>
      </c>
      <c r="DC3884" s="122" t="s">
        <v>5246</v>
      </c>
      <c r="DD3884" s="127">
        <v>8</v>
      </c>
      <c r="DE3884" s="127">
        <v>8</v>
      </c>
      <c r="DG3884" s="405" t="s">
        <v>372</v>
      </c>
      <c r="DH3884" s="406" t="s">
        <v>5246</v>
      </c>
      <c r="DI3884" s="406" t="str">
        <f t="shared" si="92"/>
        <v>RO, Parecis</v>
      </c>
      <c r="DJ3884" s="406">
        <v>-12.175000000000001</v>
      </c>
      <c r="DK3884" s="80">
        <v>-61.603000000000002</v>
      </c>
      <c r="DL3884" s="80">
        <v>355</v>
      </c>
      <c r="DM3884" s="64">
        <v>8</v>
      </c>
      <c r="DN3884" s="406" t="s">
        <v>7386</v>
      </c>
      <c r="DO3884" s="406">
        <v>-11.45</v>
      </c>
      <c r="DP3884" s="80">
        <v>210</v>
      </c>
    </row>
    <row r="3885" spans="29:120" x14ac:dyDescent="0.25">
      <c r="AC3885" s="122" t="s">
        <v>300</v>
      </c>
      <c r="AD3885" s="122" t="s">
        <v>4169</v>
      </c>
      <c r="AE3885" s="127">
        <v>8</v>
      </c>
      <c r="DA3885" s="122" t="s">
        <v>372</v>
      </c>
      <c r="DB3885" s="122" t="s">
        <v>8190</v>
      </c>
      <c r="DC3885" s="122" t="s">
        <v>4936</v>
      </c>
      <c r="DD3885" s="127">
        <v>8</v>
      </c>
      <c r="DE3885" s="127">
        <v>8</v>
      </c>
      <c r="DG3885" s="405" t="s">
        <v>372</v>
      </c>
      <c r="DH3885" s="406" t="s">
        <v>4936</v>
      </c>
      <c r="DI3885" s="406" t="str">
        <f t="shared" si="92"/>
        <v>RO, Pimenta Bueno</v>
      </c>
      <c r="DJ3885" s="406">
        <v>-11.673</v>
      </c>
      <c r="DK3885" s="80">
        <v>-61.192999999999998</v>
      </c>
      <c r="DL3885" s="80">
        <v>195</v>
      </c>
      <c r="DM3885" s="64">
        <v>8</v>
      </c>
      <c r="DN3885" s="406" t="s">
        <v>7386</v>
      </c>
      <c r="DO3885" s="406">
        <v>-11.45</v>
      </c>
      <c r="DP3885" s="80">
        <v>210</v>
      </c>
    </row>
    <row r="3886" spans="29:120" x14ac:dyDescent="0.25">
      <c r="AC3886" s="122" t="s">
        <v>344</v>
      </c>
      <c r="AD3886" s="122" t="s">
        <v>4170</v>
      </c>
      <c r="AE3886" s="127">
        <v>8</v>
      </c>
      <c r="DA3886" s="122" t="s">
        <v>372</v>
      </c>
      <c r="DB3886" s="122" t="s">
        <v>8191</v>
      </c>
      <c r="DC3886" s="122" t="s">
        <v>5286</v>
      </c>
      <c r="DD3886" s="127">
        <v>8</v>
      </c>
      <c r="DE3886" s="127">
        <v>8</v>
      </c>
      <c r="DG3886" s="405" t="s">
        <v>372</v>
      </c>
      <c r="DH3886" s="406" t="s">
        <v>5286</v>
      </c>
      <c r="DI3886" s="406" t="str">
        <f t="shared" si="92"/>
        <v>RO, Pimenteiras do Oeste</v>
      </c>
      <c r="DJ3886" s="406">
        <v>-13.483000000000001</v>
      </c>
      <c r="DK3886" s="80">
        <v>-61.046999999999997</v>
      </c>
      <c r="DL3886" s="80">
        <v>185</v>
      </c>
      <c r="DM3886" s="64">
        <v>8</v>
      </c>
      <c r="DN3886" s="406" t="s">
        <v>8176</v>
      </c>
      <c r="DO3886" s="406">
        <v>-12.73</v>
      </c>
      <c r="DP3886" s="80">
        <v>590</v>
      </c>
    </row>
    <row r="3887" spans="29:120" x14ac:dyDescent="0.25">
      <c r="AC3887" s="122" t="s">
        <v>268</v>
      </c>
      <c r="AD3887" s="122" t="s">
        <v>4171</v>
      </c>
      <c r="AE3887" s="127">
        <v>8</v>
      </c>
      <c r="DA3887" s="122" t="s">
        <v>372</v>
      </c>
      <c r="DB3887" s="122" t="s">
        <v>8192</v>
      </c>
      <c r="DC3887" s="122" t="s">
        <v>4454</v>
      </c>
      <c r="DD3887" s="127">
        <v>8</v>
      </c>
      <c r="DE3887" s="127">
        <v>8</v>
      </c>
      <c r="DG3887" s="405" t="s">
        <v>372</v>
      </c>
      <c r="DH3887" s="406" t="s">
        <v>4454</v>
      </c>
      <c r="DI3887" s="406" t="str">
        <f t="shared" si="92"/>
        <v>RO, Porto Velho</v>
      </c>
      <c r="DJ3887" s="406">
        <v>-8.7620000000000005</v>
      </c>
      <c r="DK3887" s="80">
        <v>-63.904000000000003</v>
      </c>
      <c r="DL3887" s="80">
        <v>85</v>
      </c>
      <c r="DM3887" s="64">
        <v>8</v>
      </c>
      <c r="DN3887" s="406" t="s">
        <v>6171</v>
      </c>
      <c r="DO3887" s="406">
        <v>-8.76</v>
      </c>
      <c r="DP3887" s="80">
        <v>95</v>
      </c>
    </row>
    <row r="3888" spans="29:120" x14ac:dyDescent="0.25">
      <c r="AC3888" s="122" t="s">
        <v>328</v>
      </c>
      <c r="AD3888" s="122" t="s">
        <v>4172</v>
      </c>
      <c r="AE3888" s="127">
        <v>8</v>
      </c>
      <c r="DA3888" s="122" t="s">
        <v>372</v>
      </c>
      <c r="DB3888" s="122" t="s">
        <v>6742</v>
      </c>
      <c r="DC3888" s="122" t="s">
        <v>4329</v>
      </c>
      <c r="DD3888" s="127">
        <v>8</v>
      </c>
      <c r="DE3888" s="127">
        <v>8</v>
      </c>
      <c r="DG3888" s="405" t="s">
        <v>372</v>
      </c>
      <c r="DH3888" s="406" t="s">
        <v>4329</v>
      </c>
      <c r="DI3888" s="406" t="str">
        <f t="shared" si="92"/>
        <v>RO, Presidente Médici</v>
      </c>
      <c r="DJ3888" s="406">
        <v>-11.176</v>
      </c>
      <c r="DK3888" s="80">
        <v>-61.901000000000003</v>
      </c>
      <c r="DL3888" s="80">
        <v>185</v>
      </c>
      <c r="DM3888" s="64">
        <v>8</v>
      </c>
      <c r="DN3888" s="406" t="s">
        <v>7386</v>
      </c>
      <c r="DO3888" s="406">
        <v>-11.45</v>
      </c>
      <c r="DP3888" s="80">
        <v>210</v>
      </c>
    </row>
    <row r="3889" spans="29:120" x14ac:dyDescent="0.25">
      <c r="AC3889" s="122" t="s">
        <v>375</v>
      </c>
      <c r="AD3889" s="122" t="s">
        <v>4173</v>
      </c>
      <c r="AE3889" s="127">
        <v>8</v>
      </c>
      <c r="DA3889" s="122" t="s">
        <v>372</v>
      </c>
      <c r="DB3889" s="122" t="s">
        <v>8193</v>
      </c>
      <c r="DC3889" s="122" t="s">
        <v>4887</v>
      </c>
      <c r="DD3889" s="127">
        <v>8</v>
      </c>
      <c r="DE3889" s="127">
        <v>8</v>
      </c>
      <c r="DG3889" s="405" t="s">
        <v>372</v>
      </c>
      <c r="DH3889" s="406" t="s">
        <v>4887</v>
      </c>
      <c r="DI3889" s="406" t="str">
        <f t="shared" si="92"/>
        <v>RO, Primavera de Rondônia</v>
      </c>
      <c r="DJ3889" s="406">
        <v>-11.827999999999999</v>
      </c>
      <c r="DK3889" s="80">
        <v>-61.320999999999998</v>
      </c>
      <c r="DL3889" s="80">
        <v>210</v>
      </c>
      <c r="DM3889" s="64">
        <v>8</v>
      </c>
      <c r="DN3889" s="406" t="s">
        <v>7386</v>
      </c>
      <c r="DO3889" s="406">
        <v>-11.45</v>
      </c>
      <c r="DP3889" s="80">
        <v>210</v>
      </c>
    </row>
    <row r="3890" spans="29:120" x14ac:dyDescent="0.25">
      <c r="AC3890" s="122" t="s">
        <v>369</v>
      </c>
      <c r="AD3890" s="122" t="s">
        <v>4174</v>
      </c>
      <c r="AE3890" s="127">
        <v>8</v>
      </c>
      <c r="DA3890" s="122" t="s">
        <v>372</v>
      </c>
      <c r="DB3890" s="122" t="s">
        <v>8194</v>
      </c>
      <c r="DC3890" s="122" t="s">
        <v>4941</v>
      </c>
      <c r="DD3890" s="127">
        <v>8</v>
      </c>
      <c r="DE3890" s="127">
        <v>8</v>
      </c>
      <c r="DG3890" s="405" t="s">
        <v>372</v>
      </c>
      <c r="DH3890" s="406" t="s">
        <v>4941</v>
      </c>
      <c r="DI3890" s="406" t="str">
        <f t="shared" si="92"/>
        <v>RO, Rio Crespo</v>
      </c>
      <c r="DJ3890" s="406">
        <v>-9.7050000000000001</v>
      </c>
      <c r="DK3890" s="80">
        <v>-62.9</v>
      </c>
      <c r="DL3890" s="80">
        <v>129</v>
      </c>
      <c r="DM3890" s="64">
        <v>8</v>
      </c>
      <c r="DN3890" s="406" t="s">
        <v>8172</v>
      </c>
      <c r="DO3890" s="406">
        <v>-9.9499999999999993</v>
      </c>
      <c r="DP3890" s="80">
        <v>140</v>
      </c>
    </row>
    <row r="3891" spans="29:120" x14ac:dyDescent="0.25">
      <c r="AC3891" s="122" t="s">
        <v>328</v>
      </c>
      <c r="AD3891" s="122" t="s">
        <v>4175</v>
      </c>
      <c r="AE3891" s="127">
        <v>8</v>
      </c>
      <c r="DA3891" s="122" t="s">
        <v>372</v>
      </c>
      <c r="DB3891" s="122" t="s">
        <v>8195</v>
      </c>
      <c r="DC3891" s="122" t="s">
        <v>4823</v>
      </c>
      <c r="DD3891" s="127">
        <v>8</v>
      </c>
      <c r="DE3891" s="127">
        <v>8</v>
      </c>
      <c r="DG3891" s="405" t="s">
        <v>372</v>
      </c>
      <c r="DH3891" s="406" t="s">
        <v>4823</v>
      </c>
      <c r="DI3891" s="406" t="str">
        <f t="shared" si="92"/>
        <v>RO, Rolim de Moura</v>
      </c>
      <c r="DJ3891" s="406">
        <v>-11.733000000000001</v>
      </c>
      <c r="DK3891" s="80">
        <v>-61.777999999999999</v>
      </c>
      <c r="DL3891" s="80">
        <v>290</v>
      </c>
      <c r="DM3891" s="64">
        <v>8</v>
      </c>
      <c r="DN3891" s="406" t="s">
        <v>7386</v>
      </c>
      <c r="DO3891" s="406">
        <v>-11.45</v>
      </c>
      <c r="DP3891" s="80">
        <v>210</v>
      </c>
    </row>
    <row r="3892" spans="29:120" x14ac:dyDescent="0.25">
      <c r="AC3892" s="122" t="s">
        <v>328</v>
      </c>
      <c r="AD3892" s="122" t="s">
        <v>2701</v>
      </c>
      <c r="AE3892" s="127">
        <v>8</v>
      </c>
      <c r="DA3892" s="122" t="s">
        <v>372</v>
      </c>
      <c r="DB3892" s="122" t="s">
        <v>8196</v>
      </c>
      <c r="DC3892" s="122" t="s">
        <v>4724</v>
      </c>
      <c r="DD3892" s="127">
        <v>8</v>
      </c>
      <c r="DE3892" s="127">
        <v>8</v>
      </c>
      <c r="DG3892" s="405" t="s">
        <v>372</v>
      </c>
      <c r="DH3892" s="406" t="s">
        <v>4724</v>
      </c>
      <c r="DI3892" s="406" t="str">
        <f t="shared" si="92"/>
        <v>RO, Santa Luzia d'Oeste</v>
      </c>
      <c r="DJ3892" s="406">
        <v>-11.901999999999999</v>
      </c>
      <c r="DK3892" s="80">
        <v>-61.779000000000003</v>
      </c>
      <c r="DL3892" s="80">
        <v>260</v>
      </c>
      <c r="DM3892" s="64">
        <v>8</v>
      </c>
      <c r="DN3892" s="406" t="s">
        <v>7386</v>
      </c>
      <c r="DO3892" s="406">
        <v>-11.45</v>
      </c>
      <c r="DP3892" s="80">
        <v>210</v>
      </c>
    </row>
    <row r="3893" spans="29:120" x14ac:dyDescent="0.25">
      <c r="AC3893" s="122" t="s">
        <v>300</v>
      </c>
      <c r="AD3893" s="122" t="s">
        <v>4176</v>
      </c>
      <c r="AE3893" s="127">
        <v>8</v>
      </c>
      <c r="DA3893" s="122" t="s">
        <v>372</v>
      </c>
      <c r="DB3893" s="122" t="s">
        <v>8197</v>
      </c>
      <c r="DC3893" s="122" t="s">
        <v>4837</v>
      </c>
      <c r="DD3893" s="127">
        <v>8</v>
      </c>
      <c r="DE3893" s="127">
        <v>8</v>
      </c>
      <c r="DG3893" s="405" t="s">
        <v>372</v>
      </c>
      <c r="DH3893" s="406" t="s">
        <v>4837</v>
      </c>
      <c r="DI3893" s="406" t="str">
        <f t="shared" si="92"/>
        <v>RO, São Felipe d'Oeste</v>
      </c>
      <c r="DJ3893" s="406">
        <v>-11.903</v>
      </c>
      <c r="DK3893" s="80">
        <v>-61.502000000000002</v>
      </c>
      <c r="DL3893" s="80">
        <v>290</v>
      </c>
      <c r="DM3893" s="64">
        <v>8</v>
      </c>
      <c r="DN3893" s="406" t="s">
        <v>7386</v>
      </c>
      <c r="DO3893" s="406">
        <v>-11.45</v>
      </c>
      <c r="DP3893" s="80">
        <v>210</v>
      </c>
    </row>
    <row r="3894" spans="29:120" x14ac:dyDescent="0.25">
      <c r="AC3894" s="122" t="s">
        <v>328</v>
      </c>
      <c r="AD3894" s="122" t="s">
        <v>4177</v>
      </c>
      <c r="AE3894" s="127">
        <v>8</v>
      </c>
      <c r="DA3894" s="122" t="s">
        <v>372</v>
      </c>
      <c r="DB3894" s="122" t="s">
        <v>8198</v>
      </c>
      <c r="DC3894" s="122" t="s">
        <v>5294</v>
      </c>
      <c r="DD3894" s="127">
        <v>8</v>
      </c>
      <c r="DE3894" s="127">
        <v>8</v>
      </c>
      <c r="DG3894" s="405" t="s">
        <v>372</v>
      </c>
      <c r="DH3894" s="406" t="s">
        <v>5294</v>
      </c>
      <c r="DI3894" s="406" t="str">
        <f t="shared" si="92"/>
        <v>RO, São Francisco do Guaporé</v>
      </c>
      <c r="DJ3894" s="406">
        <v>-12.061999999999999</v>
      </c>
      <c r="DK3894" s="80">
        <v>-63.569000000000003</v>
      </c>
      <c r="DL3894" s="80">
        <v>185</v>
      </c>
      <c r="DM3894" s="64">
        <v>8</v>
      </c>
      <c r="DN3894" s="406" t="s">
        <v>7386</v>
      </c>
      <c r="DO3894" s="406">
        <v>-11.45</v>
      </c>
      <c r="DP3894" s="80">
        <v>210</v>
      </c>
    </row>
    <row r="3895" spans="29:120" x14ac:dyDescent="0.25">
      <c r="AC3895" s="122" t="s">
        <v>300</v>
      </c>
      <c r="AD3895" s="122" t="s">
        <v>4178</v>
      </c>
      <c r="AE3895" s="127">
        <v>8</v>
      </c>
      <c r="DA3895" s="122" t="s">
        <v>372</v>
      </c>
      <c r="DB3895" s="122" t="s">
        <v>8199</v>
      </c>
      <c r="DC3895" s="122" t="s">
        <v>5417</v>
      </c>
      <c r="DD3895" s="127">
        <v>8</v>
      </c>
      <c r="DE3895" s="127">
        <v>8</v>
      </c>
      <c r="DG3895" s="405" t="s">
        <v>372</v>
      </c>
      <c r="DH3895" s="406" t="s">
        <v>5417</v>
      </c>
      <c r="DI3895" s="406" t="str">
        <f t="shared" si="92"/>
        <v>RO, São Miguel do Guaporé</v>
      </c>
      <c r="DJ3895" s="406">
        <v>-11.680999999999999</v>
      </c>
      <c r="DK3895" s="80">
        <v>-62.683999999999997</v>
      </c>
      <c r="DL3895" s="80">
        <v>205</v>
      </c>
      <c r="DM3895" s="64">
        <v>8</v>
      </c>
      <c r="DN3895" s="406" t="s">
        <v>7386</v>
      </c>
      <c r="DO3895" s="406">
        <v>-11.45</v>
      </c>
      <c r="DP3895" s="80">
        <v>210</v>
      </c>
    </row>
    <row r="3896" spans="29:120" x14ac:dyDescent="0.25">
      <c r="AC3896" s="122" t="s">
        <v>344</v>
      </c>
      <c r="AD3896" s="122" t="s">
        <v>4179</v>
      </c>
      <c r="AE3896" s="127">
        <v>8</v>
      </c>
      <c r="DA3896" s="122" t="s">
        <v>372</v>
      </c>
      <c r="DB3896" s="122" t="s">
        <v>5190</v>
      </c>
      <c r="DC3896" s="122" t="s">
        <v>5190</v>
      </c>
      <c r="DD3896" s="127">
        <v>8</v>
      </c>
      <c r="DE3896" s="127">
        <v>8</v>
      </c>
      <c r="DG3896" s="405" t="s">
        <v>372</v>
      </c>
      <c r="DH3896" s="406" t="s">
        <v>5190</v>
      </c>
      <c r="DI3896" s="406" t="str">
        <f t="shared" si="92"/>
        <v>RO, Seringueiras</v>
      </c>
      <c r="DJ3896" s="406">
        <v>-11.798</v>
      </c>
      <c r="DK3896" s="80">
        <v>-63.030999999999999</v>
      </c>
      <c r="DL3896" s="80">
        <v>203</v>
      </c>
      <c r="DM3896" s="64">
        <v>8</v>
      </c>
      <c r="DN3896" s="406" t="s">
        <v>7386</v>
      </c>
      <c r="DO3896" s="406">
        <v>-11.45</v>
      </c>
      <c r="DP3896" s="80">
        <v>210</v>
      </c>
    </row>
    <row r="3897" spans="29:120" x14ac:dyDescent="0.25">
      <c r="AC3897" s="122" t="s">
        <v>344</v>
      </c>
      <c r="AD3897" s="122" t="s">
        <v>4180</v>
      </c>
      <c r="AE3897" s="127">
        <v>8</v>
      </c>
      <c r="DA3897" s="122" t="s">
        <v>372</v>
      </c>
      <c r="DB3897" s="122" t="s">
        <v>5476</v>
      </c>
      <c r="DC3897" s="122" t="s">
        <v>5476</v>
      </c>
      <c r="DD3897" s="127">
        <v>8</v>
      </c>
      <c r="DE3897" s="127">
        <v>8</v>
      </c>
      <c r="DG3897" s="405" t="s">
        <v>372</v>
      </c>
      <c r="DH3897" s="406" t="s">
        <v>5476</v>
      </c>
      <c r="DI3897" s="406" t="str">
        <f t="shared" si="92"/>
        <v>RO, Teixeirópolis</v>
      </c>
      <c r="DJ3897" s="406">
        <v>-10.917999999999999</v>
      </c>
      <c r="DK3897" s="80">
        <v>-62.249000000000002</v>
      </c>
      <c r="DL3897" s="80">
        <v>260</v>
      </c>
      <c r="DM3897" s="64">
        <v>8</v>
      </c>
      <c r="DN3897" s="406" t="s">
        <v>7386</v>
      </c>
      <c r="DO3897" s="406">
        <v>-11.45</v>
      </c>
      <c r="DP3897" s="80">
        <v>210</v>
      </c>
    </row>
    <row r="3898" spans="29:120" x14ac:dyDescent="0.25">
      <c r="AC3898" s="122" t="s">
        <v>328</v>
      </c>
      <c r="AD3898" s="122" t="s">
        <v>4181</v>
      </c>
      <c r="AE3898" s="127">
        <v>8</v>
      </c>
      <c r="DA3898" s="122" t="s">
        <v>372</v>
      </c>
      <c r="DB3898" s="122" t="s">
        <v>5544</v>
      </c>
      <c r="DC3898" s="122" t="s">
        <v>5544</v>
      </c>
      <c r="DD3898" s="127">
        <v>8</v>
      </c>
      <c r="DE3898" s="127">
        <v>8</v>
      </c>
      <c r="DG3898" s="405" t="s">
        <v>372</v>
      </c>
      <c r="DH3898" s="406" t="s">
        <v>5544</v>
      </c>
      <c r="DI3898" s="406" t="str">
        <f t="shared" si="92"/>
        <v>RO, Theobroma</v>
      </c>
      <c r="DJ3898" s="406">
        <v>-10.244</v>
      </c>
      <c r="DK3898" s="80">
        <v>-62.354999999999997</v>
      </c>
      <c r="DL3898" s="80">
        <v>205</v>
      </c>
      <c r="DM3898" s="64">
        <v>8</v>
      </c>
      <c r="DN3898" s="406" t="s">
        <v>8172</v>
      </c>
      <c r="DO3898" s="406">
        <v>-9.9499999999999993</v>
      </c>
      <c r="DP3898" s="80">
        <v>140</v>
      </c>
    </row>
    <row r="3899" spans="29:120" x14ac:dyDescent="0.25">
      <c r="AC3899" s="122" t="s">
        <v>348</v>
      </c>
      <c r="AD3899" s="122" t="s">
        <v>4182</v>
      </c>
      <c r="AE3899" s="127">
        <v>8</v>
      </c>
      <c r="DA3899" s="122" t="s">
        <v>372</v>
      </c>
      <c r="DB3899" s="122" t="s">
        <v>5184</v>
      </c>
      <c r="DC3899" s="122" t="s">
        <v>5184</v>
      </c>
      <c r="DD3899" s="127">
        <v>8</v>
      </c>
      <c r="DE3899" s="127">
        <v>8</v>
      </c>
      <c r="DG3899" s="405" t="s">
        <v>372</v>
      </c>
      <c r="DH3899" s="406" t="s">
        <v>5184</v>
      </c>
      <c r="DI3899" s="406" t="str">
        <f t="shared" si="92"/>
        <v>RO, Urupá</v>
      </c>
      <c r="DJ3899" s="406">
        <v>-11.125</v>
      </c>
      <c r="DK3899" s="80">
        <v>-62.375999999999998</v>
      </c>
      <c r="DL3899" s="80">
        <v>200</v>
      </c>
      <c r="DM3899" s="64">
        <v>8</v>
      </c>
      <c r="DN3899" s="406" t="s">
        <v>7386</v>
      </c>
      <c r="DO3899" s="406">
        <v>-11.45</v>
      </c>
      <c r="DP3899" s="80">
        <v>210</v>
      </c>
    </row>
    <row r="3900" spans="29:120" x14ac:dyDescent="0.25">
      <c r="AC3900" s="122" t="s">
        <v>344</v>
      </c>
      <c r="AD3900" s="122" t="s">
        <v>4183</v>
      </c>
      <c r="AE3900" s="127">
        <v>8</v>
      </c>
      <c r="DA3900" s="122" t="s">
        <v>372</v>
      </c>
      <c r="DB3900" s="122" t="s">
        <v>8200</v>
      </c>
      <c r="DC3900" s="122" t="s">
        <v>5534</v>
      </c>
      <c r="DD3900" s="127">
        <v>8</v>
      </c>
      <c r="DE3900" s="127">
        <v>8</v>
      </c>
      <c r="DG3900" s="405" t="s">
        <v>372</v>
      </c>
      <c r="DH3900" s="406" t="s">
        <v>5534</v>
      </c>
      <c r="DI3900" s="406" t="str">
        <f t="shared" si="92"/>
        <v>RO, Vale do Anari</v>
      </c>
      <c r="DJ3900" s="406">
        <v>-9.8629999999999995</v>
      </c>
      <c r="DK3900" s="80">
        <v>-62.186</v>
      </c>
      <c r="DL3900" s="80">
        <v>140</v>
      </c>
      <c r="DM3900" s="64">
        <v>8</v>
      </c>
      <c r="DN3900" s="406" t="s">
        <v>8172</v>
      </c>
      <c r="DO3900" s="406">
        <v>-9.9499999999999993</v>
      </c>
      <c r="DP3900" s="80">
        <v>140</v>
      </c>
    </row>
    <row r="3901" spans="29:120" x14ac:dyDescent="0.25">
      <c r="AC3901" s="122" t="s">
        <v>369</v>
      </c>
      <c r="AD3901" s="122" t="s">
        <v>4184</v>
      </c>
      <c r="AE3901" s="127">
        <v>8</v>
      </c>
      <c r="DA3901" s="122" t="s">
        <v>372</v>
      </c>
      <c r="DB3901" s="122" t="s">
        <v>8201</v>
      </c>
      <c r="DC3901" s="122" t="s">
        <v>5508</v>
      </c>
      <c r="DD3901" s="127">
        <v>8</v>
      </c>
      <c r="DE3901" s="127">
        <v>8</v>
      </c>
      <c r="DG3901" s="405" t="s">
        <v>372</v>
      </c>
      <c r="DH3901" s="406" t="s">
        <v>5508</v>
      </c>
      <c r="DI3901" s="406" t="str">
        <f t="shared" si="92"/>
        <v>RO, Vale do Paraíso</v>
      </c>
      <c r="DJ3901" s="406">
        <v>-10.449</v>
      </c>
      <c r="DK3901" s="80">
        <v>-62.134</v>
      </c>
      <c r="DL3901" s="80">
        <v>204</v>
      </c>
      <c r="DM3901" s="64">
        <v>8</v>
      </c>
      <c r="DN3901" s="406" t="s">
        <v>8172</v>
      </c>
      <c r="DO3901" s="406">
        <v>-9.9499999999999993</v>
      </c>
      <c r="DP3901" s="80">
        <v>140</v>
      </c>
    </row>
    <row r="3902" spans="29:120" x14ac:dyDescent="0.25">
      <c r="AC3902" s="122" t="s">
        <v>344</v>
      </c>
      <c r="AD3902" s="122" t="s">
        <v>4185</v>
      </c>
      <c r="AE3902" s="127">
        <v>8</v>
      </c>
      <c r="DA3902" s="122" t="s">
        <v>372</v>
      </c>
      <c r="DB3902" s="122" t="s">
        <v>2374</v>
      </c>
      <c r="DC3902" s="122" t="s">
        <v>2374</v>
      </c>
      <c r="DD3902" s="127">
        <v>8</v>
      </c>
      <c r="DE3902" s="127">
        <v>8</v>
      </c>
      <c r="DG3902" s="405" t="s">
        <v>372</v>
      </c>
      <c r="DH3902" s="406" t="s">
        <v>2374</v>
      </c>
      <c r="DI3902" s="406" t="str">
        <f t="shared" si="92"/>
        <v>RO, Vilhena</v>
      </c>
      <c r="DJ3902" s="406">
        <v>-12.741</v>
      </c>
      <c r="DK3902" s="80">
        <v>-60.146000000000001</v>
      </c>
      <c r="DL3902" s="80">
        <v>600</v>
      </c>
      <c r="DM3902" s="64">
        <v>8</v>
      </c>
      <c r="DN3902" s="406" t="s">
        <v>8176</v>
      </c>
      <c r="DO3902" s="406">
        <v>-12.73</v>
      </c>
      <c r="DP3902" s="80">
        <v>590</v>
      </c>
    </row>
    <row r="3903" spans="29:120" x14ac:dyDescent="0.25">
      <c r="AC3903" s="122" t="s">
        <v>279</v>
      </c>
      <c r="AD3903" s="122" t="s">
        <v>4186</v>
      </c>
      <c r="AE3903" s="127">
        <v>8</v>
      </c>
      <c r="DA3903" s="122" t="s">
        <v>375</v>
      </c>
      <c r="DB3903" s="122" t="s">
        <v>8202</v>
      </c>
      <c r="DC3903" s="122" t="s">
        <v>1557</v>
      </c>
      <c r="DD3903" s="127">
        <v>8</v>
      </c>
      <c r="DE3903" s="127">
        <v>8</v>
      </c>
      <c r="DG3903" s="405" t="s">
        <v>375</v>
      </c>
      <c r="DH3903" s="406" t="s">
        <v>1557</v>
      </c>
      <c r="DI3903" s="406" t="str">
        <f t="shared" si="92"/>
        <v>RR, Alto Alegre</v>
      </c>
      <c r="DJ3903" s="406">
        <v>2.98</v>
      </c>
      <c r="DK3903" s="80">
        <v>-61.292000000000002</v>
      </c>
      <c r="DL3903" s="80">
        <v>72</v>
      </c>
      <c r="DM3903" s="64">
        <v>8</v>
      </c>
      <c r="DN3903" s="406" t="s">
        <v>8203</v>
      </c>
      <c r="DO3903" s="406">
        <v>2.8</v>
      </c>
      <c r="DP3903" s="80">
        <v>90</v>
      </c>
    </row>
    <row r="3904" spans="29:120" x14ac:dyDescent="0.25">
      <c r="AC3904" s="122" t="s">
        <v>369</v>
      </c>
      <c r="AD3904" s="122" t="s">
        <v>4187</v>
      </c>
      <c r="AE3904" s="127">
        <v>8</v>
      </c>
      <c r="DA3904" s="122" t="s">
        <v>375</v>
      </c>
      <c r="DB3904" s="122" t="s">
        <v>1898</v>
      </c>
      <c r="DC3904" s="122" t="s">
        <v>1898</v>
      </c>
      <c r="DD3904" s="127">
        <v>8</v>
      </c>
      <c r="DE3904" s="127">
        <v>8</v>
      </c>
      <c r="DG3904" s="405" t="s">
        <v>375</v>
      </c>
      <c r="DH3904" s="406" t="s">
        <v>1898</v>
      </c>
      <c r="DI3904" s="406" t="str">
        <f t="shared" si="92"/>
        <v>RR, Amajari</v>
      </c>
      <c r="DJ3904" s="406">
        <v>3.6520000000000001</v>
      </c>
      <c r="DK3904" s="80">
        <v>-61.371000000000002</v>
      </c>
      <c r="DL3904" s="80">
        <v>100</v>
      </c>
      <c r="DM3904" s="64">
        <v>8</v>
      </c>
      <c r="DN3904" s="406" t="s">
        <v>8203</v>
      </c>
      <c r="DO3904" s="406">
        <v>2.8</v>
      </c>
      <c r="DP3904" s="80">
        <v>90</v>
      </c>
    </row>
    <row r="3905" spans="29:120" x14ac:dyDescent="0.25">
      <c r="AC3905" s="122" t="s">
        <v>328</v>
      </c>
      <c r="AD3905" s="122" t="s">
        <v>4188</v>
      </c>
      <c r="AE3905" s="127">
        <v>8</v>
      </c>
      <c r="DA3905" s="122" t="s">
        <v>375</v>
      </c>
      <c r="DB3905" s="122" t="s">
        <v>7510</v>
      </c>
      <c r="DC3905" s="122" t="s">
        <v>2233</v>
      </c>
      <c r="DD3905" s="127">
        <v>8</v>
      </c>
      <c r="DE3905" s="127">
        <v>8</v>
      </c>
      <c r="DG3905" s="405" t="s">
        <v>375</v>
      </c>
      <c r="DH3905" s="406" t="s">
        <v>2233</v>
      </c>
      <c r="DI3905" s="406" t="str">
        <f t="shared" si="92"/>
        <v>RR, Boa Vista</v>
      </c>
      <c r="DJ3905" s="406">
        <v>2.82</v>
      </c>
      <c r="DK3905" s="80">
        <v>-60.673000000000002</v>
      </c>
      <c r="DL3905" s="80">
        <v>85</v>
      </c>
      <c r="DM3905" s="64">
        <v>8</v>
      </c>
      <c r="DN3905" s="406" t="s">
        <v>8203</v>
      </c>
      <c r="DO3905" s="406">
        <v>2.8</v>
      </c>
      <c r="DP3905" s="80">
        <v>90</v>
      </c>
    </row>
    <row r="3906" spans="29:120" x14ac:dyDescent="0.25">
      <c r="AC3906" s="122" t="s">
        <v>268</v>
      </c>
      <c r="AD3906" s="122" t="s">
        <v>3833</v>
      </c>
      <c r="AE3906" s="127">
        <v>8</v>
      </c>
      <c r="DA3906" s="122" t="s">
        <v>375</v>
      </c>
      <c r="DB3906" s="122" t="s">
        <v>560</v>
      </c>
      <c r="DC3906" s="122" t="s">
        <v>560</v>
      </c>
      <c r="DD3906" s="127">
        <v>8</v>
      </c>
      <c r="DE3906" s="127">
        <v>8</v>
      </c>
      <c r="DG3906" s="405" t="s">
        <v>375</v>
      </c>
      <c r="DH3906" s="406" t="s">
        <v>560</v>
      </c>
      <c r="DI3906" s="406" t="str">
        <f t="shared" si="92"/>
        <v>RR, Bonfim</v>
      </c>
      <c r="DJ3906" s="406">
        <v>3.36</v>
      </c>
      <c r="DK3906" s="80">
        <v>-59.832999999999998</v>
      </c>
      <c r="DL3906" s="80">
        <v>92</v>
      </c>
      <c r="DM3906" s="64">
        <v>8</v>
      </c>
      <c r="DN3906" s="406" t="s">
        <v>8203</v>
      </c>
      <c r="DO3906" s="406">
        <v>2.8</v>
      </c>
      <c r="DP3906" s="80">
        <v>90</v>
      </c>
    </row>
    <row r="3907" spans="29:120" x14ac:dyDescent="0.25">
      <c r="AC3907" s="122" t="s">
        <v>344</v>
      </c>
      <c r="AD3907" s="122" t="s">
        <v>4189</v>
      </c>
      <c r="AE3907" s="127">
        <v>8</v>
      </c>
      <c r="DA3907" s="122" t="s">
        <v>375</v>
      </c>
      <c r="DB3907" s="122" t="s">
        <v>4211</v>
      </c>
      <c r="DC3907" s="122" t="s">
        <v>4211</v>
      </c>
      <c r="DD3907" s="127">
        <v>8</v>
      </c>
      <c r="DE3907" s="127">
        <v>8</v>
      </c>
      <c r="DG3907" s="405" t="s">
        <v>375</v>
      </c>
      <c r="DH3907" s="406" t="s">
        <v>4211</v>
      </c>
      <c r="DI3907" s="406" t="str">
        <f t="shared" ref="DI3907:DI3970" si="93">CONCATENATE(DG3907,", ",DH3907)</f>
        <v>RR, Cantá</v>
      </c>
      <c r="DJ3907" s="406">
        <v>2.61</v>
      </c>
      <c r="DK3907" s="80">
        <v>-60.597000000000001</v>
      </c>
      <c r="DL3907" s="80">
        <v>100</v>
      </c>
      <c r="DM3907" s="64">
        <v>8</v>
      </c>
      <c r="DN3907" s="406" t="s">
        <v>8203</v>
      </c>
      <c r="DO3907" s="406">
        <v>2.8</v>
      </c>
      <c r="DP3907" s="80">
        <v>90</v>
      </c>
    </row>
    <row r="3908" spans="29:120" x14ac:dyDescent="0.25">
      <c r="AC3908" s="122" t="s">
        <v>375</v>
      </c>
      <c r="AD3908" s="122" t="s">
        <v>1557</v>
      </c>
      <c r="AE3908" s="127">
        <v>8</v>
      </c>
      <c r="DA3908" s="122" t="s">
        <v>375</v>
      </c>
      <c r="DB3908" s="122" t="s">
        <v>4483</v>
      </c>
      <c r="DC3908" s="122" t="s">
        <v>4483</v>
      </c>
      <c r="DD3908" s="127">
        <v>8</v>
      </c>
      <c r="DE3908" s="127">
        <v>8</v>
      </c>
      <c r="DG3908" s="405" t="s">
        <v>375</v>
      </c>
      <c r="DH3908" s="406" t="s">
        <v>4483</v>
      </c>
      <c r="DI3908" s="406" t="str">
        <f t="shared" si="93"/>
        <v>RR, Caracaraí</v>
      </c>
      <c r="DJ3908" s="406">
        <v>1.8160000000000001</v>
      </c>
      <c r="DK3908" s="80">
        <v>-61.128</v>
      </c>
      <c r="DL3908" s="80">
        <v>52</v>
      </c>
      <c r="DM3908" s="64">
        <v>8</v>
      </c>
      <c r="DN3908" s="406" t="s">
        <v>8203</v>
      </c>
      <c r="DO3908" s="406">
        <v>2.8</v>
      </c>
      <c r="DP3908" s="80">
        <v>90</v>
      </c>
    </row>
    <row r="3909" spans="29:120" x14ac:dyDescent="0.25">
      <c r="AC3909" s="122" t="s">
        <v>393</v>
      </c>
      <c r="AD3909" s="122" t="s">
        <v>4190</v>
      </c>
      <c r="AE3909" s="127">
        <v>7</v>
      </c>
      <c r="DA3909" s="122" t="s">
        <v>375</v>
      </c>
      <c r="DB3909" s="122" t="s">
        <v>4208</v>
      </c>
      <c r="DC3909" s="122" t="s">
        <v>4208</v>
      </c>
      <c r="DD3909" s="127">
        <v>8</v>
      </c>
      <c r="DE3909" s="127">
        <v>8</v>
      </c>
      <c r="DG3909" s="405" t="s">
        <v>375</v>
      </c>
      <c r="DH3909" s="406" t="s">
        <v>4208</v>
      </c>
      <c r="DI3909" s="406" t="str">
        <f t="shared" si="93"/>
        <v>RR, Caroebe</v>
      </c>
      <c r="DJ3909" s="406">
        <v>0.88400000000000001</v>
      </c>
      <c r="DK3909" s="80">
        <v>-59.695999999999998</v>
      </c>
      <c r="DL3909" s="80">
        <v>135</v>
      </c>
      <c r="DM3909" s="64">
        <v>8</v>
      </c>
      <c r="DN3909" s="406" t="s">
        <v>8203</v>
      </c>
      <c r="DO3909" s="406">
        <v>2.8</v>
      </c>
      <c r="DP3909" s="80">
        <v>90</v>
      </c>
    </row>
    <row r="3910" spans="29:120" x14ac:dyDescent="0.25">
      <c r="AC3910" s="122" t="s">
        <v>279</v>
      </c>
      <c r="AD3910" s="122" t="s">
        <v>4191</v>
      </c>
      <c r="AE3910" s="127">
        <v>8</v>
      </c>
      <c r="DA3910" s="122" t="s">
        <v>375</v>
      </c>
      <c r="DB3910" s="122" t="s">
        <v>4207</v>
      </c>
      <c r="DC3910" s="122" t="s">
        <v>4207</v>
      </c>
      <c r="DD3910" s="127">
        <v>8</v>
      </c>
      <c r="DE3910" s="127">
        <v>8</v>
      </c>
      <c r="DG3910" s="405" t="s">
        <v>375</v>
      </c>
      <c r="DH3910" s="406" t="s">
        <v>4207</v>
      </c>
      <c r="DI3910" s="406" t="str">
        <f t="shared" si="93"/>
        <v>RR, Iracema</v>
      </c>
      <c r="DJ3910" s="406">
        <v>2.1819999999999999</v>
      </c>
      <c r="DK3910" s="80">
        <v>-61.040999999999997</v>
      </c>
      <c r="DL3910" s="80">
        <v>80</v>
      </c>
      <c r="DM3910" s="64">
        <v>8</v>
      </c>
      <c r="DN3910" s="406" t="s">
        <v>8203</v>
      </c>
      <c r="DO3910" s="406">
        <v>2.8</v>
      </c>
      <c r="DP3910" s="80">
        <v>90</v>
      </c>
    </row>
    <row r="3911" spans="29:120" x14ac:dyDescent="0.25">
      <c r="AC3911" s="122" t="s">
        <v>344</v>
      </c>
      <c r="AD3911" s="122" t="s">
        <v>4192</v>
      </c>
      <c r="AE3911" s="127">
        <v>8</v>
      </c>
      <c r="DA3911" s="122" t="s">
        <v>375</v>
      </c>
      <c r="DB3911" s="122" t="s">
        <v>4201</v>
      </c>
      <c r="DC3911" s="122" t="s">
        <v>4201</v>
      </c>
      <c r="DD3911" s="127">
        <v>8</v>
      </c>
      <c r="DE3911" s="127">
        <v>8</v>
      </c>
      <c r="DG3911" s="405" t="s">
        <v>375</v>
      </c>
      <c r="DH3911" s="406" t="s">
        <v>4201</v>
      </c>
      <c r="DI3911" s="406" t="str">
        <f t="shared" si="93"/>
        <v>RR, Mucajaí</v>
      </c>
      <c r="DJ3911" s="406">
        <v>2.4300000000000002</v>
      </c>
      <c r="DK3911" s="80">
        <v>-60.9</v>
      </c>
      <c r="DL3911" s="80">
        <v>70</v>
      </c>
      <c r="DM3911" s="64">
        <v>8</v>
      </c>
      <c r="DN3911" s="406" t="s">
        <v>8203</v>
      </c>
      <c r="DO3911" s="406">
        <v>2.8</v>
      </c>
      <c r="DP3911" s="80">
        <v>90</v>
      </c>
    </row>
    <row r="3912" spans="29:120" x14ac:dyDescent="0.25">
      <c r="AC3912" s="122" t="s">
        <v>344</v>
      </c>
      <c r="AD3912" s="122" t="s">
        <v>4193</v>
      </c>
      <c r="AE3912" s="127">
        <v>8</v>
      </c>
      <c r="DA3912" s="122" t="s">
        <v>375</v>
      </c>
      <c r="DB3912" s="122" t="s">
        <v>1869</v>
      </c>
      <c r="DC3912" s="122" t="s">
        <v>1869</v>
      </c>
      <c r="DD3912" s="127">
        <v>8</v>
      </c>
      <c r="DE3912" s="127">
        <v>8</v>
      </c>
      <c r="DG3912" s="405" t="s">
        <v>375</v>
      </c>
      <c r="DH3912" s="406" t="s">
        <v>1869</v>
      </c>
      <c r="DI3912" s="406" t="str">
        <f t="shared" si="93"/>
        <v>RR, Normandia</v>
      </c>
      <c r="DJ3912" s="406">
        <v>3.8809999999999998</v>
      </c>
      <c r="DK3912" s="80">
        <v>-59.622999999999998</v>
      </c>
      <c r="DL3912" s="80">
        <v>100</v>
      </c>
      <c r="DM3912" s="64">
        <v>8</v>
      </c>
      <c r="DN3912" s="406" t="s">
        <v>8203</v>
      </c>
      <c r="DO3912" s="406">
        <v>2.8</v>
      </c>
      <c r="DP3912" s="80">
        <v>90</v>
      </c>
    </row>
    <row r="3913" spans="29:120" x14ac:dyDescent="0.25">
      <c r="AC3913" s="122" t="s">
        <v>344</v>
      </c>
      <c r="AD3913" s="122" t="s">
        <v>4194</v>
      </c>
      <c r="AE3913" s="127">
        <v>8</v>
      </c>
      <c r="DA3913" s="122" t="s">
        <v>375</v>
      </c>
      <c r="DB3913" s="122" t="s">
        <v>1980</v>
      </c>
      <c r="DC3913" s="122" t="s">
        <v>1980</v>
      </c>
      <c r="DD3913" s="127">
        <v>8</v>
      </c>
      <c r="DE3913" s="127">
        <v>8</v>
      </c>
      <c r="DG3913" s="405" t="s">
        <v>375</v>
      </c>
      <c r="DH3913" s="406" t="s">
        <v>1980</v>
      </c>
      <c r="DI3913" s="406" t="str">
        <f t="shared" si="93"/>
        <v>RR, Pacaraima</v>
      </c>
      <c r="DJ3913" s="406">
        <v>4.431</v>
      </c>
      <c r="DK3913" s="80">
        <v>-61.146000000000001</v>
      </c>
      <c r="DL3913" s="80">
        <v>920</v>
      </c>
      <c r="DM3913" s="64">
        <v>8</v>
      </c>
      <c r="DN3913" s="406" t="s">
        <v>8203</v>
      </c>
      <c r="DO3913" s="406">
        <v>2.8</v>
      </c>
      <c r="DP3913" s="80">
        <v>90</v>
      </c>
    </row>
    <row r="3914" spans="29:120" x14ac:dyDescent="0.25">
      <c r="AC3914" s="122" t="s">
        <v>375</v>
      </c>
      <c r="AD3914" s="122" t="s">
        <v>4195</v>
      </c>
      <c r="AE3914" s="127">
        <v>8</v>
      </c>
      <c r="DA3914" s="122" t="s">
        <v>375</v>
      </c>
      <c r="DB3914" s="122" t="s">
        <v>4162</v>
      </c>
      <c r="DC3914" s="122" t="s">
        <v>4162</v>
      </c>
      <c r="DD3914" s="127">
        <v>8</v>
      </c>
      <c r="DE3914" s="127">
        <v>8</v>
      </c>
      <c r="DG3914" s="405" t="s">
        <v>375</v>
      </c>
      <c r="DH3914" s="406" t="s">
        <v>4162</v>
      </c>
      <c r="DI3914" s="406" t="str">
        <f t="shared" si="93"/>
        <v>RR, Rorainópolis</v>
      </c>
      <c r="DJ3914" s="406">
        <v>0.94599999999999995</v>
      </c>
      <c r="DK3914" s="80">
        <v>-60.417999999999999</v>
      </c>
      <c r="DL3914" s="80">
        <v>98</v>
      </c>
      <c r="DM3914" s="64">
        <v>8</v>
      </c>
      <c r="DN3914" s="406" t="s">
        <v>8203</v>
      </c>
      <c r="DO3914" s="406">
        <v>2.8</v>
      </c>
      <c r="DP3914" s="80">
        <v>90</v>
      </c>
    </row>
    <row r="3915" spans="29:120" x14ac:dyDescent="0.25">
      <c r="AC3915" s="122" t="s">
        <v>369</v>
      </c>
      <c r="AD3915" s="122" t="s">
        <v>4196</v>
      </c>
      <c r="AE3915" s="127">
        <v>8</v>
      </c>
      <c r="DA3915" s="122" t="s">
        <v>375</v>
      </c>
      <c r="DB3915" s="122" t="s">
        <v>8204</v>
      </c>
      <c r="DC3915" s="122" t="s">
        <v>4195</v>
      </c>
      <c r="DD3915" s="127">
        <v>8</v>
      </c>
      <c r="DE3915" s="127">
        <v>8</v>
      </c>
      <c r="DG3915" s="405" t="s">
        <v>375</v>
      </c>
      <c r="DH3915" s="406" t="s">
        <v>4195</v>
      </c>
      <c r="DI3915" s="406" t="str">
        <f t="shared" si="93"/>
        <v>RR, São João da Baliza</v>
      </c>
      <c r="DJ3915" s="406">
        <v>0.95099999999999996</v>
      </c>
      <c r="DK3915" s="80">
        <v>-59.911000000000001</v>
      </c>
      <c r="DL3915" s="80">
        <v>255</v>
      </c>
      <c r="DM3915" s="64">
        <v>8</v>
      </c>
      <c r="DN3915" s="406" t="s">
        <v>8203</v>
      </c>
      <c r="DO3915" s="406">
        <v>2.8</v>
      </c>
      <c r="DP3915" s="80">
        <v>90</v>
      </c>
    </row>
    <row r="3916" spans="29:120" x14ac:dyDescent="0.25">
      <c r="AC3916" s="122" t="s">
        <v>369</v>
      </c>
      <c r="AD3916" s="122" t="s">
        <v>4197</v>
      </c>
      <c r="AE3916" s="127">
        <v>8</v>
      </c>
      <c r="DA3916" s="122" t="s">
        <v>375</v>
      </c>
      <c r="DB3916" s="122" t="s">
        <v>8205</v>
      </c>
      <c r="DC3916" s="122" t="s">
        <v>4173</v>
      </c>
      <c r="DD3916" s="127">
        <v>8</v>
      </c>
      <c r="DE3916" s="127">
        <v>8</v>
      </c>
      <c r="DG3916" s="405" t="s">
        <v>375</v>
      </c>
      <c r="DH3916" s="406" t="s">
        <v>4173</v>
      </c>
      <c r="DI3916" s="406" t="str">
        <f t="shared" si="93"/>
        <v>RR, São Luiz</v>
      </c>
      <c r="DJ3916" s="406">
        <v>1.0049999999999999</v>
      </c>
      <c r="DK3916" s="80">
        <v>-60.158999999999999</v>
      </c>
      <c r="DL3916" s="80">
        <v>52</v>
      </c>
      <c r="DM3916" s="64">
        <v>8</v>
      </c>
      <c r="DN3916" s="406" t="s">
        <v>8203</v>
      </c>
      <c r="DO3916" s="406">
        <v>2.8</v>
      </c>
      <c r="DP3916" s="80">
        <v>90</v>
      </c>
    </row>
    <row r="3917" spans="29:120" x14ac:dyDescent="0.25">
      <c r="AC3917" s="122" t="s">
        <v>234</v>
      </c>
      <c r="AD3917" s="122" t="s">
        <v>4198</v>
      </c>
      <c r="AE3917" s="127">
        <v>8</v>
      </c>
      <c r="DA3917" s="122" t="s">
        <v>375</v>
      </c>
      <c r="DB3917" s="122" t="s">
        <v>1886</v>
      </c>
      <c r="DC3917" s="122" t="s">
        <v>1886</v>
      </c>
      <c r="DD3917" s="127">
        <v>8</v>
      </c>
      <c r="DE3917" s="127">
        <v>8</v>
      </c>
      <c r="DG3917" s="405" t="s">
        <v>375</v>
      </c>
      <c r="DH3917" s="406" t="s">
        <v>1886</v>
      </c>
      <c r="DI3917" s="406" t="str">
        <f t="shared" si="93"/>
        <v>RR, Uiramutã</v>
      </c>
      <c r="DJ3917" s="406">
        <v>4.5960000000000001</v>
      </c>
      <c r="DK3917" s="80">
        <v>-60.167999999999999</v>
      </c>
      <c r="DL3917" s="80">
        <v>580</v>
      </c>
      <c r="DM3917" s="64">
        <v>8</v>
      </c>
      <c r="DN3917" s="406" t="s">
        <v>8203</v>
      </c>
      <c r="DO3917" s="406">
        <v>2.8</v>
      </c>
      <c r="DP3917" s="80">
        <v>90</v>
      </c>
    </row>
    <row r="3918" spans="29:120" x14ac:dyDescent="0.25">
      <c r="AC3918" s="122" t="s">
        <v>289</v>
      </c>
      <c r="AD3918" s="122" t="s">
        <v>4199</v>
      </c>
      <c r="AE3918" s="127">
        <v>7</v>
      </c>
      <c r="DA3918" s="122" t="s">
        <v>236</v>
      </c>
      <c r="DB3918" s="122" t="s">
        <v>1749</v>
      </c>
      <c r="DC3918" s="122" t="s">
        <v>1749</v>
      </c>
      <c r="DD3918" s="127">
        <v>2</v>
      </c>
      <c r="DE3918" s="127">
        <v>2</v>
      </c>
      <c r="DG3918" s="405" t="s">
        <v>236</v>
      </c>
      <c r="DH3918" s="406" t="s">
        <v>1749</v>
      </c>
      <c r="DI3918" s="406" t="str">
        <f t="shared" si="93"/>
        <v>RS, Aceguá</v>
      </c>
      <c r="DJ3918" s="406">
        <v>-31.867999999999999</v>
      </c>
      <c r="DK3918" s="80">
        <v>-54.161999999999999</v>
      </c>
      <c r="DL3918" s="80">
        <v>226</v>
      </c>
      <c r="DM3918" s="64">
        <v>2</v>
      </c>
      <c r="DN3918" s="406" t="s">
        <v>8206</v>
      </c>
      <c r="DO3918" s="406">
        <v>-31.33</v>
      </c>
      <c r="DP3918" s="80">
        <v>230</v>
      </c>
    </row>
    <row r="3919" spans="29:120" x14ac:dyDescent="0.25">
      <c r="AC3919" s="122" t="s">
        <v>328</v>
      </c>
      <c r="AD3919" s="122" t="s">
        <v>4200</v>
      </c>
      <c r="AE3919" s="127">
        <v>8</v>
      </c>
      <c r="DA3919" s="122" t="s">
        <v>236</v>
      </c>
      <c r="DB3919" s="122" t="s">
        <v>8207</v>
      </c>
      <c r="DC3919" s="122" t="s">
        <v>1310</v>
      </c>
      <c r="DD3919" s="127">
        <v>2</v>
      </c>
      <c r="DE3919" s="127">
        <v>2</v>
      </c>
      <c r="DG3919" s="405" t="s">
        <v>236</v>
      </c>
      <c r="DH3919" s="406" t="s">
        <v>1310</v>
      </c>
      <c r="DI3919" s="406" t="str">
        <f t="shared" si="93"/>
        <v>RS, Água Santa</v>
      </c>
      <c r="DJ3919" s="406">
        <v>-28.177</v>
      </c>
      <c r="DK3919" s="80">
        <v>-52.033999999999999</v>
      </c>
      <c r="DL3919" s="80">
        <v>650</v>
      </c>
      <c r="DM3919" s="64">
        <v>2</v>
      </c>
      <c r="DN3919" s="406" t="s">
        <v>8208</v>
      </c>
      <c r="DO3919" s="406">
        <v>-28.26</v>
      </c>
      <c r="DP3919" s="80">
        <v>684</v>
      </c>
    </row>
    <row r="3920" spans="29:120" x14ac:dyDescent="0.25">
      <c r="AC3920" s="122" t="s">
        <v>375</v>
      </c>
      <c r="AD3920" s="122" t="s">
        <v>4201</v>
      </c>
      <c r="AE3920" s="127">
        <v>8</v>
      </c>
      <c r="DA3920" s="122" t="s">
        <v>236</v>
      </c>
      <c r="DB3920" s="122" t="s">
        <v>1673</v>
      </c>
      <c r="DC3920" s="122" t="s">
        <v>1673</v>
      </c>
      <c r="DD3920" s="127">
        <v>2</v>
      </c>
      <c r="DE3920" s="127">
        <v>2</v>
      </c>
      <c r="DG3920" s="405" t="s">
        <v>236</v>
      </c>
      <c r="DH3920" s="406" t="s">
        <v>1673</v>
      </c>
      <c r="DI3920" s="406" t="str">
        <f t="shared" si="93"/>
        <v>RS, Agudo</v>
      </c>
      <c r="DJ3920" s="406">
        <v>-29.645</v>
      </c>
      <c r="DK3920" s="80">
        <v>-53.24</v>
      </c>
      <c r="DL3920" s="80">
        <v>83</v>
      </c>
      <c r="DM3920" s="64">
        <v>2</v>
      </c>
      <c r="DN3920" s="406" t="s">
        <v>8209</v>
      </c>
      <c r="DO3920" s="406">
        <v>-29.68</v>
      </c>
      <c r="DP3920" s="80">
        <v>95</v>
      </c>
    </row>
    <row r="3921" spans="29:120" x14ac:dyDescent="0.25">
      <c r="AC3921" s="122" t="s">
        <v>268</v>
      </c>
      <c r="AD3921" s="122" t="s">
        <v>4202</v>
      </c>
      <c r="AE3921" s="127">
        <v>8</v>
      </c>
      <c r="DA3921" s="122" t="s">
        <v>236</v>
      </c>
      <c r="DB3921" s="122" t="s">
        <v>462</v>
      </c>
      <c r="DC3921" s="122" t="s">
        <v>462</v>
      </c>
      <c r="DD3921" s="127">
        <v>2</v>
      </c>
      <c r="DE3921" s="127">
        <v>2</v>
      </c>
      <c r="DG3921" s="405" t="s">
        <v>236</v>
      </c>
      <c r="DH3921" s="406" t="s">
        <v>462</v>
      </c>
      <c r="DI3921" s="406" t="str">
        <f t="shared" si="93"/>
        <v>RS, Ajuricaba</v>
      </c>
      <c r="DJ3921" s="406">
        <v>-28.239000000000001</v>
      </c>
      <c r="DK3921" s="80">
        <v>-53.771000000000001</v>
      </c>
      <c r="DL3921" s="80">
        <v>336</v>
      </c>
      <c r="DM3921" s="64">
        <v>2</v>
      </c>
      <c r="DN3921" s="406" t="s">
        <v>8210</v>
      </c>
      <c r="DO3921" s="406">
        <v>-27.85</v>
      </c>
      <c r="DP3921" s="80">
        <v>550</v>
      </c>
    </row>
    <row r="3922" spans="29:120" x14ac:dyDescent="0.25">
      <c r="AC3922" s="122" t="s">
        <v>369</v>
      </c>
      <c r="AD3922" s="122" t="s">
        <v>4203</v>
      </c>
      <c r="AE3922" s="127">
        <v>8</v>
      </c>
      <c r="DA3922" s="122" t="s">
        <v>236</v>
      </c>
      <c r="DB3922" s="122" t="s">
        <v>3099</v>
      </c>
      <c r="DC3922" s="122" t="s">
        <v>3099</v>
      </c>
      <c r="DD3922" s="127">
        <v>2</v>
      </c>
      <c r="DE3922" s="127">
        <v>2</v>
      </c>
      <c r="DG3922" s="405" t="s">
        <v>236</v>
      </c>
      <c r="DH3922" s="406" t="s">
        <v>3099</v>
      </c>
      <c r="DI3922" s="406" t="str">
        <f t="shared" si="93"/>
        <v>RS, Alecrim</v>
      </c>
      <c r="DJ3922" s="406">
        <v>-27.655000000000001</v>
      </c>
      <c r="DK3922" s="80">
        <v>-54.764000000000003</v>
      </c>
      <c r="DL3922" s="80">
        <v>311</v>
      </c>
      <c r="DM3922" s="64">
        <v>2</v>
      </c>
      <c r="DN3922" s="406" t="s">
        <v>8211</v>
      </c>
      <c r="DO3922" s="406">
        <v>-28.41</v>
      </c>
      <c r="DP3922" s="80">
        <v>245</v>
      </c>
    </row>
    <row r="3923" spans="29:120" x14ac:dyDescent="0.25">
      <c r="AC3923" s="122" t="s">
        <v>344</v>
      </c>
      <c r="AD3923" s="122" t="s">
        <v>4204</v>
      </c>
      <c r="AE3923" s="127">
        <v>8</v>
      </c>
      <c r="DA3923" s="122" t="s">
        <v>236</v>
      </c>
      <c r="DB3923" s="122" t="s">
        <v>1752</v>
      </c>
      <c r="DC3923" s="122" t="s">
        <v>1752</v>
      </c>
      <c r="DD3923" s="127">
        <v>2</v>
      </c>
      <c r="DE3923" s="127">
        <v>2</v>
      </c>
      <c r="DG3923" s="405" t="s">
        <v>236</v>
      </c>
      <c r="DH3923" s="406" t="s">
        <v>1752</v>
      </c>
      <c r="DI3923" s="406" t="str">
        <f t="shared" si="93"/>
        <v>RS, Alegrete</v>
      </c>
      <c r="DJ3923" s="406">
        <v>-29.783000000000001</v>
      </c>
      <c r="DK3923" s="80">
        <v>-55.792000000000002</v>
      </c>
      <c r="DL3923" s="80">
        <v>102</v>
      </c>
      <c r="DM3923" s="64">
        <v>2</v>
      </c>
      <c r="DN3923" s="406" t="s">
        <v>8212</v>
      </c>
      <c r="DO3923" s="406">
        <v>-29.78</v>
      </c>
      <c r="DP3923" s="80">
        <v>121</v>
      </c>
    </row>
    <row r="3924" spans="29:120" x14ac:dyDescent="0.25">
      <c r="AC3924" s="122" t="s">
        <v>344</v>
      </c>
      <c r="AD3924" s="122" t="s">
        <v>4205</v>
      </c>
      <c r="AE3924" s="127">
        <v>8</v>
      </c>
      <c r="DA3924" s="122" t="s">
        <v>236</v>
      </c>
      <c r="DB3924" s="122" t="s">
        <v>1642</v>
      </c>
      <c r="DC3924" s="122" t="s">
        <v>1642</v>
      </c>
      <c r="DD3924" s="127">
        <v>2</v>
      </c>
      <c r="DE3924" s="127">
        <v>2</v>
      </c>
      <c r="DG3924" s="405" t="s">
        <v>236</v>
      </c>
      <c r="DH3924" s="406" t="s">
        <v>1642</v>
      </c>
      <c r="DI3924" s="406" t="str">
        <f t="shared" si="93"/>
        <v>RS, Alegria</v>
      </c>
      <c r="DJ3924" s="406">
        <v>-27.827000000000002</v>
      </c>
      <c r="DK3924" s="80">
        <v>-54.057000000000002</v>
      </c>
      <c r="DL3924" s="80">
        <v>383</v>
      </c>
      <c r="DM3924" s="64">
        <v>2</v>
      </c>
      <c r="DN3924" s="406" t="s">
        <v>8210</v>
      </c>
      <c r="DO3924" s="406">
        <v>-27.85</v>
      </c>
      <c r="DP3924" s="80">
        <v>550</v>
      </c>
    </row>
    <row r="3925" spans="29:120" x14ac:dyDescent="0.25">
      <c r="AC3925" s="122" t="s">
        <v>300</v>
      </c>
      <c r="AD3925" s="122" t="s">
        <v>4206</v>
      </c>
      <c r="AE3925" s="127">
        <v>8</v>
      </c>
      <c r="DA3925" s="122" t="s">
        <v>236</v>
      </c>
      <c r="DB3925" s="122" t="s">
        <v>8213</v>
      </c>
      <c r="DC3925" s="122" t="s">
        <v>1318</v>
      </c>
      <c r="DD3925" s="127">
        <v>1</v>
      </c>
      <c r="DE3925" s="127">
        <v>1</v>
      </c>
      <c r="DG3925" s="405" t="s">
        <v>236</v>
      </c>
      <c r="DH3925" s="406" t="s">
        <v>1318</v>
      </c>
      <c r="DI3925" s="406" t="str">
        <f t="shared" si="93"/>
        <v>RS, Almirante Tamandaré do Sul</v>
      </c>
      <c r="DJ3925" s="406">
        <v>-28.113</v>
      </c>
      <c r="DK3925" s="80">
        <v>-52.908999999999999</v>
      </c>
      <c r="DL3925" s="80">
        <v>602</v>
      </c>
      <c r="DM3925" s="64">
        <v>1</v>
      </c>
      <c r="DN3925" s="406" t="s">
        <v>8214</v>
      </c>
      <c r="DO3925" s="406">
        <v>-27.92</v>
      </c>
      <c r="DP3925" s="80">
        <v>642</v>
      </c>
    </row>
    <row r="3926" spans="29:120" x14ac:dyDescent="0.25">
      <c r="AC3926" s="122" t="s">
        <v>375</v>
      </c>
      <c r="AD3926" s="122" t="s">
        <v>4207</v>
      </c>
      <c r="AE3926" s="127">
        <v>8</v>
      </c>
      <c r="DA3926" s="122" t="s">
        <v>236</v>
      </c>
      <c r="DB3926" s="122" t="s">
        <v>1584</v>
      </c>
      <c r="DC3926" s="122" t="s">
        <v>1584</v>
      </c>
      <c r="DD3926" s="127">
        <v>2</v>
      </c>
      <c r="DE3926" s="127">
        <v>2</v>
      </c>
      <c r="DG3926" s="405" t="s">
        <v>236</v>
      </c>
      <c r="DH3926" s="406" t="s">
        <v>1584</v>
      </c>
      <c r="DI3926" s="406" t="str">
        <f t="shared" si="93"/>
        <v>RS, Alpestre</v>
      </c>
      <c r="DJ3926" s="406">
        <v>-27.248999999999999</v>
      </c>
      <c r="DK3926" s="80">
        <v>-53.034999999999997</v>
      </c>
      <c r="DL3926" s="80">
        <v>467</v>
      </c>
      <c r="DM3926" s="64">
        <v>2</v>
      </c>
      <c r="DN3926" s="406" t="s">
        <v>8215</v>
      </c>
      <c r="DO3926" s="406">
        <v>-27.4</v>
      </c>
      <c r="DP3926" s="80">
        <v>490</v>
      </c>
    </row>
    <row r="3927" spans="29:120" x14ac:dyDescent="0.25">
      <c r="AC3927" s="122" t="s">
        <v>375</v>
      </c>
      <c r="AD3927" s="122" t="s">
        <v>4208</v>
      </c>
      <c r="AE3927" s="127">
        <v>8</v>
      </c>
      <c r="DA3927" s="122" t="s">
        <v>236</v>
      </c>
      <c r="DB3927" s="122" t="s">
        <v>8202</v>
      </c>
      <c r="DC3927" s="122" t="s">
        <v>1557</v>
      </c>
      <c r="DD3927" s="127">
        <v>2</v>
      </c>
      <c r="DE3927" s="127">
        <v>2</v>
      </c>
      <c r="DG3927" s="405" t="s">
        <v>236</v>
      </c>
      <c r="DH3927" s="406" t="s">
        <v>1557</v>
      </c>
      <c r="DI3927" s="406" t="str">
        <f t="shared" si="93"/>
        <v>RS, Alto Alegre</v>
      </c>
      <c r="DJ3927" s="406">
        <v>-28.773</v>
      </c>
      <c r="DK3927" s="80">
        <v>-52.99</v>
      </c>
      <c r="DL3927" s="80">
        <v>370</v>
      </c>
      <c r="DM3927" s="64">
        <v>2</v>
      </c>
      <c r="DN3927" s="406" t="s">
        <v>8216</v>
      </c>
      <c r="DO3927" s="406">
        <v>-28.85</v>
      </c>
      <c r="DP3927" s="80">
        <v>667</v>
      </c>
    </row>
    <row r="3928" spans="29:120" x14ac:dyDescent="0.25">
      <c r="AC3928" s="122" t="s">
        <v>348</v>
      </c>
      <c r="AD3928" s="122" t="s">
        <v>4209</v>
      </c>
      <c r="AE3928" s="127">
        <v>8</v>
      </c>
      <c r="DA3928" s="122" t="s">
        <v>236</v>
      </c>
      <c r="DB3928" s="122" t="s">
        <v>8217</v>
      </c>
      <c r="DC3928" s="122" t="s">
        <v>1227</v>
      </c>
      <c r="DD3928" s="127">
        <v>1</v>
      </c>
      <c r="DE3928" s="127">
        <v>1</v>
      </c>
      <c r="DG3928" s="405" t="s">
        <v>236</v>
      </c>
      <c r="DH3928" s="406" t="s">
        <v>1227</v>
      </c>
      <c r="DI3928" s="406" t="str">
        <f t="shared" si="93"/>
        <v>RS, Alto Feliz</v>
      </c>
      <c r="DJ3928" s="406">
        <v>-29.391999999999999</v>
      </c>
      <c r="DK3928" s="80">
        <v>-51.311999999999998</v>
      </c>
      <c r="DL3928" s="80">
        <v>285</v>
      </c>
      <c r="DM3928" s="64">
        <v>1</v>
      </c>
      <c r="DN3928" s="406" t="s">
        <v>8218</v>
      </c>
      <c r="DO3928" s="406">
        <v>-29.17</v>
      </c>
      <c r="DP3928" s="80">
        <v>640</v>
      </c>
    </row>
    <row r="3929" spans="29:120" x14ac:dyDescent="0.25">
      <c r="AC3929" s="122" t="s">
        <v>369</v>
      </c>
      <c r="AD3929" s="122" t="s">
        <v>4210</v>
      </c>
      <c r="AE3929" s="127">
        <v>8</v>
      </c>
      <c r="DA3929" s="122" t="s">
        <v>236</v>
      </c>
      <c r="DB3929" s="122" t="s">
        <v>1206</v>
      </c>
      <c r="DC3929" s="122" t="s">
        <v>1206</v>
      </c>
      <c r="DD3929" s="127">
        <v>2</v>
      </c>
      <c r="DE3929" s="127">
        <v>2</v>
      </c>
      <c r="DG3929" s="405" t="s">
        <v>236</v>
      </c>
      <c r="DH3929" s="406" t="s">
        <v>1206</v>
      </c>
      <c r="DI3929" s="406" t="str">
        <f t="shared" si="93"/>
        <v>RS, Alvorada</v>
      </c>
      <c r="DJ3929" s="406">
        <v>-29.99</v>
      </c>
      <c r="DK3929" s="80">
        <v>-51.084000000000003</v>
      </c>
      <c r="DL3929" s="80">
        <v>17</v>
      </c>
      <c r="DM3929" s="64">
        <v>2</v>
      </c>
      <c r="DN3929" s="406" t="s">
        <v>8219</v>
      </c>
      <c r="DO3929" s="406">
        <v>-30.03</v>
      </c>
      <c r="DP3929" s="80">
        <v>47</v>
      </c>
    </row>
    <row r="3930" spans="29:120" x14ac:dyDescent="0.25">
      <c r="AC3930" s="122" t="s">
        <v>369</v>
      </c>
      <c r="AD3930" s="122" t="s">
        <v>2500</v>
      </c>
      <c r="AE3930" s="127">
        <v>8</v>
      </c>
      <c r="DA3930" s="122" t="s">
        <v>236</v>
      </c>
      <c r="DB3930" s="122" t="s">
        <v>8220</v>
      </c>
      <c r="DC3930" s="122" t="s">
        <v>1307</v>
      </c>
      <c r="DD3930" s="127">
        <v>2</v>
      </c>
      <c r="DE3930" s="127">
        <v>2</v>
      </c>
      <c r="DG3930" s="405" t="s">
        <v>236</v>
      </c>
      <c r="DH3930" s="406" t="s">
        <v>1307</v>
      </c>
      <c r="DI3930" s="406" t="str">
        <f t="shared" si="93"/>
        <v>RS, Amaral Ferrador</v>
      </c>
      <c r="DJ3930" s="406">
        <v>-30.875</v>
      </c>
      <c r="DK3930" s="80">
        <v>-52.253</v>
      </c>
      <c r="DL3930" s="80">
        <v>140</v>
      </c>
      <c r="DM3930" s="64">
        <v>2</v>
      </c>
      <c r="DN3930" s="406" t="s">
        <v>8221</v>
      </c>
      <c r="DO3930" s="406">
        <v>-30.81</v>
      </c>
      <c r="DP3930" s="80">
        <v>108</v>
      </c>
    </row>
    <row r="3931" spans="29:120" x14ac:dyDescent="0.25">
      <c r="AC3931" s="122" t="s">
        <v>375</v>
      </c>
      <c r="AD3931" s="122" t="s">
        <v>4211</v>
      </c>
      <c r="AE3931" s="127">
        <v>8</v>
      </c>
      <c r="DA3931" s="122" t="s">
        <v>236</v>
      </c>
      <c r="DB3931" s="122" t="s">
        <v>8222</v>
      </c>
      <c r="DC3931" s="122" t="s">
        <v>1601</v>
      </c>
      <c r="DD3931" s="127">
        <v>2</v>
      </c>
      <c r="DE3931" s="127">
        <v>2</v>
      </c>
      <c r="DG3931" s="405" t="s">
        <v>236</v>
      </c>
      <c r="DH3931" s="406" t="s">
        <v>1601</v>
      </c>
      <c r="DI3931" s="406" t="str">
        <f t="shared" si="93"/>
        <v>RS, Ametista do Sul</v>
      </c>
      <c r="DJ3931" s="406">
        <v>-27.361000000000001</v>
      </c>
      <c r="DK3931" s="80">
        <v>-53.182000000000002</v>
      </c>
      <c r="DL3931" s="80">
        <v>505</v>
      </c>
      <c r="DM3931" s="64">
        <v>2</v>
      </c>
      <c r="DN3931" s="406" t="s">
        <v>8215</v>
      </c>
      <c r="DO3931" s="406">
        <v>-27.4</v>
      </c>
      <c r="DP3931" s="80">
        <v>490</v>
      </c>
    </row>
    <row r="3932" spans="29:120" x14ac:dyDescent="0.25">
      <c r="AC3932" s="122" t="s">
        <v>344</v>
      </c>
      <c r="AD3932" s="122" t="s">
        <v>4212</v>
      </c>
      <c r="AE3932" s="127">
        <v>8</v>
      </c>
      <c r="DA3932" s="122" t="s">
        <v>236</v>
      </c>
      <c r="DB3932" s="122" t="s">
        <v>8223</v>
      </c>
      <c r="DC3932" s="122" t="s">
        <v>1180</v>
      </c>
      <c r="DD3932" s="127">
        <v>2</v>
      </c>
      <c r="DE3932" s="127">
        <v>2</v>
      </c>
      <c r="DG3932" s="405" t="s">
        <v>236</v>
      </c>
      <c r="DH3932" s="406" t="s">
        <v>1180</v>
      </c>
      <c r="DI3932" s="406" t="str">
        <f t="shared" si="93"/>
        <v>RS, André da Rocha</v>
      </c>
      <c r="DJ3932" s="406">
        <v>-28.631</v>
      </c>
      <c r="DK3932" s="80">
        <v>-51.570999999999998</v>
      </c>
      <c r="DL3932" s="80">
        <v>700</v>
      </c>
      <c r="DM3932" s="64">
        <v>2</v>
      </c>
      <c r="DN3932" s="406" t="s">
        <v>8224</v>
      </c>
      <c r="DO3932" s="406">
        <v>-28.22</v>
      </c>
      <c r="DP3932" s="80">
        <v>842</v>
      </c>
    </row>
    <row r="3933" spans="29:120" x14ac:dyDescent="0.25">
      <c r="AC3933" s="122" t="s">
        <v>344</v>
      </c>
      <c r="AD3933" s="122" t="s">
        <v>4213</v>
      </c>
      <c r="AE3933" s="127">
        <v>8</v>
      </c>
      <c r="DA3933" s="122" t="s">
        <v>236</v>
      </c>
      <c r="DB3933" s="122" t="s">
        <v>8225</v>
      </c>
      <c r="DC3933" s="122" t="s">
        <v>1449</v>
      </c>
      <c r="DD3933" s="127">
        <v>2</v>
      </c>
      <c r="DE3933" s="127">
        <v>2</v>
      </c>
      <c r="DG3933" s="405" t="s">
        <v>236</v>
      </c>
      <c r="DH3933" s="406" t="s">
        <v>1449</v>
      </c>
      <c r="DI3933" s="406" t="str">
        <f t="shared" si="93"/>
        <v>RS, Anta Gorda</v>
      </c>
      <c r="DJ3933" s="406">
        <v>-28.97</v>
      </c>
      <c r="DK3933" s="80">
        <v>-52.005000000000003</v>
      </c>
      <c r="DL3933" s="80">
        <v>411</v>
      </c>
      <c r="DM3933" s="64">
        <v>2</v>
      </c>
      <c r="DN3933" s="406" t="s">
        <v>8216</v>
      </c>
      <c r="DO3933" s="406">
        <v>-28.85</v>
      </c>
      <c r="DP3933" s="80">
        <v>667</v>
      </c>
    </row>
    <row r="3934" spans="29:120" x14ac:dyDescent="0.25">
      <c r="AC3934" s="122" t="s">
        <v>344</v>
      </c>
      <c r="AD3934" s="122" t="s">
        <v>4214</v>
      </c>
      <c r="AE3934" s="127">
        <v>8</v>
      </c>
      <c r="DA3934" s="122" t="s">
        <v>236</v>
      </c>
      <c r="DB3934" s="122" t="s">
        <v>8226</v>
      </c>
      <c r="DC3934" s="122" t="s">
        <v>1174</v>
      </c>
      <c r="DD3934" s="127">
        <v>1</v>
      </c>
      <c r="DE3934" s="127">
        <v>1</v>
      </c>
      <c r="DG3934" s="405" t="s">
        <v>236</v>
      </c>
      <c r="DH3934" s="406" t="s">
        <v>1174</v>
      </c>
      <c r="DI3934" s="406" t="str">
        <f t="shared" si="93"/>
        <v>RS, Antônio Prado</v>
      </c>
      <c r="DJ3934" s="406">
        <v>-28.858000000000001</v>
      </c>
      <c r="DK3934" s="80">
        <v>-51.283000000000001</v>
      </c>
      <c r="DL3934" s="80">
        <v>658</v>
      </c>
      <c r="DM3934" s="64">
        <v>1</v>
      </c>
      <c r="DN3934" s="406" t="s">
        <v>8218</v>
      </c>
      <c r="DO3934" s="406">
        <v>-29.17</v>
      </c>
      <c r="DP3934" s="80">
        <v>640</v>
      </c>
    </row>
    <row r="3935" spans="29:120" x14ac:dyDescent="0.25">
      <c r="AC3935" s="122" t="s">
        <v>322</v>
      </c>
      <c r="AD3935" s="122" t="s">
        <v>1486</v>
      </c>
      <c r="AE3935" s="127">
        <v>7</v>
      </c>
      <c r="DA3935" s="122" t="s">
        <v>236</v>
      </c>
      <c r="DB3935" s="122" t="s">
        <v>1181</v>
      </c>
      <c r="DC3935" s="122" t="s">
        <v>1181</v>
      </c>
      <c r="DD3935" s="127">
        <v>2</v>
      </c>
      <c r="DE3935" s="127">
        <v>2</v>
      </c>
      <c r="DG3935" s="405" t="s">
        <v>236</v>
      </c>
      <c r="DH3935" s="406" t="s">
        <v>1181</v>
      </c>
      <c r="DI3935" s="406" t="str">
        <f t="shared" si="93"/>
        <v>RS, Arambaré</v>
      </c>
      <c r="DJ3935" s="406">
        <v>-30.914999999999999</v>
      </c>
      <c r="DK3935" s="80">
        <v>-51.497999999999998</v>
      </c>
      <c r="DL3935" s="80">
        <v>5</v>
      </c>
      <c r="DM3935" s="64">
        <v>2</v>
      </c>
      <c r="DN3935" s="406" t="s">
        <v>8221</v>
      </c>
      <c r="DO3935" s="406">
        <v>-30.81</v>
      </c>
      <c r="DP3935" s="80">
        <v>108</v>
      </c>
    </row>
    <row r="3936" spans="29:120" x14ac:dyDescent="0.25">
      <c r="AC3936" s="122" t="s">
        <v>344</v>
      </c>
      <c r="AD3936" s="122" t="s">
        <v>4215</v>
      </c>
      <c r="AE3936" s="127">
        <v>8</v>
      </c>
      <c r="DA3936" s="122" t="s">
        <v>236</v>
      </c>
      <c r="DB3936" s="122" t="s">
        <v>1205</v>
      </c>
      <c r="DC3936" s="122" t="s">
        <v>1205</v>
      </c>
      <c r="DD3936" s="127">
        <v>2</v>
      </c>
      <c r="DE3936" s="127">
        <v>2</v>
      </c>
      <c r="DG3936" s="405" t="s">
        <v>236</v>
      </c>
      <c r="DH3936" s="406" t="s">
        <v>1205</v>
      </c>
      <c r="DI3936" s="406" t="str">
        <f t="shared" si="93"/>
        <v>RS, Araricá</v>
      </c>
      <c r="DJ3936" s="406">
        <v>-29.614000000000001</v>
      </c>
      <c r="DK3936" s="80">
        <v>-50.924999999999997</v>
      </c>
      <c r="DL3936" s="80">
        <v>53</v>
      </c>
      <c r="DM3936" s="64">
        <v>2</v>
      </c>
      <c r="DN3936" s="406" t="s">
        <v>8227</v>
      </c>
      <c r="DO3936" s="406">
        <v>-29.37</v>
      </c>
      <c r="DP3936" s="80">
        <v>830</v>
      </c>
    </row>
    <row r="3937" spans="29:120" x14ac:dyDescent="0.25">
      <c r="AC3937" s="122" t="s">
        <v>344</v>
      </c>
      <c r="AD3937" s="122" t="s">
        <v>4216</v>
      </c>
      <c r="AE3937" s="127">
        <v>8</v>
      </c>
      <c r="DA3937" s="122" t="s">
        <v>236</v>
      </c>
      <c r="DB3937" s="122" t="s">
        <v>742</v>
      </c>
      <c r="DC3937" s="122" t="s">
        <v>742</v>
      </c>
      <c r="DD3937" s="127">
        <v>2</v>
      </c>
      <c r="DE3937" s="127">
        <v>2</v>
      </c>
      <c r="DG3937" s="405" t="s">
        <v>236</v>
      </c>
      <c r="DH3937" s="406" t="s">
        <v>742</v>
      </c>
      <c r="DI3937" s="406" t="str">
        <f t="shared" si="93"/>
        <v>RS, Aratiba</v>
      </c>
      <c r="DJ3937" s="406">
        <v>-27.393999999999998</v>
      </c>
      <c r="DK3937" s="80">
        <v>-52.3</v>
      </c>
      <c r="DL3937" s="80">
        <v>420</v>
      </c>
      <c r="DM3937" s="64">
        <v>2</v>
      </c>
      <c r="DN3937" s="406" t="s">
        <v>8228</v>
      </c>
      <c r="DO3937" s="406">
        <v>-27.63</v>
      </c>
      <c r="DP3937" s="80">
        <v>765</v>
      </c>
    </row>
    <row r="3938" spans="29:120" x14ac:dyDescent="0.25">
      <c r="AC3938" s="122" t="s">
        <v>344</v>
      </c>
      <c r="AD3938" s="122" t="s">
        <v>4217</v>
      </c>
      <c r="AE3938" s="127">
        <v>8</v>
      </c>
      <c r="DA3938" s="122" t="s">
        <v>236</v>
      </c>
      <c r="DB3938" s="122" t="s">
        <v>8229</v>
      </c>
      <c r="DC3938" s="122" t="s">
        <v>1431</v>
      </c>
      <c r="DD3938" s="127">
        <v>2</v>
      </c>
      <c r="DE3938" s="127">
        <v>2</v>
      </c>
      <c r="DG3938" s="405" t="s">
        <v>236</v>
      </c>
      <c r="DH3938" s="406" t="s">
        <v>1431</v>
      </c>
      <c r="DI3938" s="406" t="str">
        <f t="shared" si="93"/>
        <v>RS, Arroio do Meio</v>
      </c>
      <c r="DJ3938" s="406">
        <v>-29.401</v>
      </c>
      <c r="DK3938" s="80">
        <v>-51.945</v>
      </c>
      <c r="DL3938" s="80">
        <v>54</v>
      </c>
      <c r="DM3938" s="64">
        <v>2</v>
      </c>
      <c r="DN3938" s="406" t="s">
        <v>8218</v>
      </c>
      <c r="DO3938" s="406">
        <v>-29.17</v>
      </c>
      <c r="DP3938" s="80">
        <v>640</v>
      </c>
    </row>
    <row r="3939" spans="29:120" x14ac:dyDescent="0.25">
      <c r="AC3939" s="122" t="s">
        <v>344</v>
      </c>
      <c r="AD3939" s="122" t="s">
        <v>4218</v>
      </c>
      <c r="AE3939" s="127">
        <v>8</v>
      </c>
      <c r="DA3939" s="122" t="s">
        <v>236</v>
      </c>
      <c r="DB3939" s="122" t="s">
        <v>8230</v>
      </c>
      <c r="DC3939" s="122" t="s">
        <v>1184</v>
      </c>
      <c r="DD3939" s="127">
        <v>2</v>
      </c>
      <c r="DE3939" s="127">
        <v>2</v>
      </c>
      <c r="DG3939" s="405" t="s">
        <v>236</v>
      </c>
      <c r="DH3939" s="406" t="s">
        <v>1184</v>
      </c>
      <c r="DI3939" s="406" t="str">
        <f t="shared" si="93"/>
        <v>RS, Arroio do Padre</v>
      </c>
      <c r="DJ3939" s="406">
        <v>-31.442</v>
      </c>
      <c r="DK3939" s="80">
        <v>-52.421999999999997</v>
      </c>
      <c r="DL3939" s="80">
        <v>236</v>
      </c>
      <c r="DM3939" s="64">
        <v>2</v>
      </c>
      <c r="DN3939" s="406" t="s">
        <v>8231</v>
      </c>
      <c r="DO3939" s="406">
        <v>-31.41</v>
      </c>
      <c r="DP3939" s="80">
        <v>464</v>
      </c>
    </row>
    <row r="3940" spans="29:120" x14ac:dyDescent="0.25">
      <c r="AC3940" s="122" t="s">
        <v>344</v>
      </c>
      <c r="AD3940" s="122" t="s">
        <v>4219</v>
      </c>
      <c r="AE3940" s="127">
        <v>8</v>
      </c>
      <c r="DA3940" s="122" t="s">
        <v>236</v>
      </c>
      <c r="DB3940" s="122" t="s">
        <v>8232</v>
      </c>
      <c r="DC3940" s="122" t="s">
        <v>1292</v>
      </c>
      <c r="DD3940" s="127">
        <v>1</v>
      </c>
      <c r="DE3940" s="127">
        <v>1</v>
      </c>
      <c r="DG3940" s="405" t="s">
        <v>236</v>
      </c>
      <c r="DH3940" s="406" t="s">
        <v>1292</v>
      </c>
      <c r="DI3940" s="406" t="str">
        <f t="shared" si="93"/>
        <v>RS, Arroio do Sal</v>
      </c>
      <c r="DJ3940" s="406">
        <v>-29.550999999999998</v>
      </c>
      <c r="DK3940" s="80">
        <v>-49.889000000000003</v>
      </c>
      <c r="DL3940" s="80">
        <v>6</v>
      </c>
      <c r="DM3940" s="64">
        <v>1</v>
      </c>
      <c r="DN3940" s="406" t="s">
        <v>8233</v>
      </c>
      <c r="DO3940" s="406">
        <v>-29.33</v>
      </c>
      <c r="DP3940" s="80">
        <v>5</v>
      </c>
    </row>
    <row r="3941" spans="29:120" x14ac:dyDescent="0.25">
      <c r="AC3941" s="122" t="s">
        <v>369</v>
      </c>
      <c r="AD3941" s="122" t="s">
        <v>4220</v>
      </c>
      <c r="AE3941" s="127">
        <v>7</v>
      </c>
      <c r="DA3941" s="122" t="s">
        <v>236</v>
      </c>
      <c r="DB3941" s="122" t="s">
        <v>8234</v>
      </c>
      <c r="DC3941" s="122" t="s">
        <v>1598</v>
      </c>
      <c r="DD3941" s="127">
        <v>2</v>
      </c>
      <c r="DE3941" s="127">
        <v>2</v>
      </c>
      <c r="DG3941" s="405" t="s">
        <v>236</v>
      </c>
      <c r="DH3941" s="406" t="s">
        <v>1598</v>
      </c>
      <c r="DI3941" s="406" t="str">
        <f t="shared" si="93"/>
        <v>RS, Arroio do Tigre</v>
      </c>
      <c r="DJ3941" s="406">
        <v>-29.332999999999998</v>
      </c>
      <c r="DK3941" s="80">
        <v>-53.093000000000004</v>
      </c>
      <c r="DL3941" s="80">
        <v>409</v>
      </c>
      <c r="DM3941" s="64">
        <v>2</v>
      </c>
      <c r="DN3941" s="406" t="s">
        <v>8216</v>
      </c>
      <c r="DO3941" s="406">
        <v>-28.85</v>
      </c>
      <c r="DP3941" s="80">
        <v>667</v>
      </c>
    </row>
    <row r="3942" spans="29:120" x14ac:dyDescent="0.25">
      <c r="AC3942" s="122" t="s">
        <v>344</v>
      </c>
      <c r="AD3942" s="122" t="s">
        <v>4221</v>
      </c>
      <c r="AE3942" s="127">
        <v>8</v>
      </c>
      <c r="DA3942" s="122" t="s">
        <v>236</v>
      </c>
      <c r="DB3942" s="122" t="s">
        <v>8235</v>
      </c>
      <c r="DC3942" s="122" t="s">
        <v>1110</v>
      </c>
      <c r="DD3942" s="127">
        <v>3</v>
      </c>
      <c r="DE3942" s="127">
        <v>3</v>
      </c>
      <c r="DG3942" s="405" t="s">
        <v>236</v>
      </c>
      <c r="DH3942" s="406" t="s">
        <v>1110</v>
      </c>
      <c r="DI3942" s="406" t="str">
        <f t="shared" si="93"/>
        <v>RS, Arroio dos Ratos</v>
      </c>
      <c r="DJ3942" s="406">
        <v>-30.077000000000002</v>
      </c>
      <c r="DK3942" s="80">
        <v>-51.728999999999999</v>
      </c>
      <c r="DL3942" s="80">
        <v>69</v>
      </c>
      <c r="DM3942" s="64">
        <v>3</v>
      </c>
      <c r="DN3942" s="406" t="s">
        <v>8219</v>
      </c>
      <c r="DO3942" s="406">
        <v>-30.03</v>
      </c>
      <c r="DP3942" s="80">
        <v>47</v>
      </c>
    </row>
    <row r="3943" spans="29:120" x14ac:dyDescent="0.25">
      <c r="AC3943" s="122" t="s">
        <v>328</v>
      </c>
      <c r="AD3943" s="122" t="s">
        <v>4222</v>
      </c>
      <c r="AE3943" s="127">
        <v>8</v>
      </c>
      <c r="DA3943" s="122" t="s">
        <v>236</v>
      </c>
      <c r="DB3943" s="122" t="s">
        <v>8236</v>
      </c>
      <c r="DC3943" s="122" t="s">
        <v>1383</v>
      </c>
      <c r="DD3943" s="127">
        <v>2</v>
      </c>
      <c r="DE3943" s="127">
        <v>2</v>
      </c>
      <c r="DG3943" s="405" t="s">
        <v>236</v>
      </c>
      <c r="DH3943" s="406" t="s">
        <v>1383</v>
      </c>
      <c r="DI3943" s="406" t="str">
        <f t="shared" si="93"/>
        <v>RS, Arroio Grande</v>
      </c>
      <c r="DJ3943" s="406">
        <v>-32.238</v>
      </c>
      <c r="DK3943" s="80">
        <v>-53.087000000000003</v>
      </c>
      <c r="DL3943" s="80">
        <v>22</v>
      </c>
      <c r="DM3943" s="64">
        <v>2</v>
      </c>
      <c r="DN3943" s="406" t="s">
        <v>8237</v>
      </c>
      <c r="DO3943" s="406">
        <v>-32.57</v>
      </c>
      <c r="DP3943" s="80">
        <v>47</v>
      </c>
    </row>
    <row r="3944" spans="29:120" x14ac:dyDescent="0.25">
      <c r="AC3944" s="122" t="s">
        <v>328</v>
      </c>
      <c r="AD3944" s="122" t="s">
        <v>4223</v>
      </c>
      <c r="AE3944" s="127">
        <v>8</v>
      </c>
      <c r="DA3944" s="122" t="s">
        <v>236</v>
      </c>
      <c r="DB3944" s="122" t="s">
        <v>1475</v>
      </c>
      <c r="DC3944" s="122" t="s">
        <v>1475</v>
      </c>
      <c r="DD3944" s="127">
        <v>2</v>
      </c>
      <c r="DE3944" s="127">
        <v>2</v>
      </c>
      <c r="DG3944" s="405" t="s">
        <v>236</v>
      </c>
      <c r="DH3944" s="406" t="s">
        <v>1475</v>
      </c>
      <c r="DI3944" s="406" t="str">
        <f t="shared" si="93"/>
        <v>RS, Arvorezinha</v>
      </c>
      <c r="DJ3944" s="406">
        <v>-28.872</v>
      </c>
      <c r="DK3944" s="80">
        <v>-52.174999999999997</v>
      </c>
      <c r="DL3944" s="80">
        <v>750</v>
      </c>
      <c r="DM3944" s="64">
        <v>2</v>
      </c>
      <c r="DN3944" s="406" t="s">
        <v>8216</v>
      </c>
      <c r="DO3944" s="406">
        <v>-28.85</v>
      </c>
      <c r="DP3944" s="80">
        <v>667</v>
      </c>
    </row>
    <row r="3945" spans="29:120" x14ac:dyDescent="0.25">
      <c r="AC3945" s="122" t="s">
        <v>300</v>
      </c>
      <c r="AD3945" s="122" t="s">
        <v>4224</v>
      </c>
      <c r="AE3945" s="127">
        <v>8</v>
      </c>
      <c r="DA3945" s="122" t="s">
        <v>236</v>
      </c>
      <c r="DB3945" s="122" t="s">
        <v>8238</v>
      </c>
      <c r="DC3945" s="122" t="s">
        <v>3070</v>
      </c>
      <c r="DD3945" s="127">
        <v>2</v>
      </c>
      <c r="DE3945" s="127">
        <v>2</v>
      </c>
      <c r="DG3945" s="405" t="s">
        <v>236</v>
      </c>
      <c r="DH3945" s="406" t="s">
        <v>3070</v>
      </c>
      <c r="DI3945" s="406" t="str">
        <f t="shared" si="93"/>
        <v>RS, Augusto Pestana</v>
      </c>
      <c r="DJ3945" s="406">
        <v>-28.516999999999999</v>
      </c>
      <c r="DK3945" s="80">
        <v>-53.991999999999997</v>
      </c>
      <c r="DL3945" s="80">
        <v>385</v>
      </c>
      <c r="DM3945" s="64">
        <v>2</v>
      </c>
      <c r="DN3945" s="406" t="s">
        <v>8239</v>
      </c>
      <c r="DO3945" s="406">
        <v>-28.6</v>
      </c>
      <c r="DP3945" s="80">
        <v>432</v>
      </c>
    </row>
    <row r="3946" spans="29:120" x14ac:dyDescent="0.25">
      <c r="AC3946" s="122" t="s">
        <v>344</v>
      </c>
      <c r="AD3946" s="122" t="s">
        <v>4225</v>
      </c>
      <c r="AE3946" s="127">
        <v>8</v>
      </c>
      <c r="DA3946" s="122" t="s">
        <v>236</v>
      </c>
      <c r="DB3946" s="122" t="s">
        <v>1662</v>
      </c>
      <c r="DC3946" s="122" t="s">
        <v>1662</v>
      </c>
      <c r="DD3946" s="127">
        <v>2</v>
      </c>
      <c r="DE3946" s="127">
        <v>2</v>
      </c>
      <c r="DG3946" s="405" t="s">
        <v>236</v>
      </c>
      <c r="DH3946" s="406" t="s">
        <v>1662</v>
      </c>
      <c r="DI3946" s="406" t="str">
        <f t="shared" si="93"/>
        <v>RS, Áurea</v>
      </c>
      <c r="DJ3946" s="406">
        <v>-27.698</v>
      </c>
      <c r="DK3946" s="80">
        <v>-52.048999999999999</v>
      </c>
      <c r="DL3946" s="80">
        <v>600</v>
      </c>
      <c r="DM3946" s="64">
        <v>2</v>
      </c>
      <c r="DN3946" s="406" t="s">
        <v>8228</v>
      </c>
      <c r="DO3946" s="406">
        <v>-27.63</v>
      </c>
      <c r="DP3946" s="80">
        <v>765</v>
      </c>
    </row>
    <row r="3947" spans="29:120" x14ac:dyDescent="0.25">
      <c r="AC3947" s="122" t="s">
        <v>268</v>
      </c>
      <c r="AD3947" s="122" t="s">
        <v>4226</v>
      </c>
      <c r="AE3947" s="127">
        <v>8</v>
      </c>
      <c r="DA3947" s="122" t="s">
        <v>236</v>
      </c>
      <c r="DB3947" s="122" t="s">
        <v>1757</v>
      </c>
      <c r="DC3947" s="122" t="s">
        <v>1757</v>
      </c>
      <c r="DD3947" s="127">
        <v>2</v>
      </c>
      <c r="DE3947" s="127">
        <v>2</v>
      </c>
      <c r="DG3947" s="405" t="s">
        <v>236</v>
      </c>
      <c r="DH3947" s="406" t="s">
        <v>1757</v>
      </c>
      <c r="DI3947" s="406" t="str">
        <f t="shared" si="93"/>
        <v>RS, Bagé</v>
      </c>
      <c r="DJ3947" s="406">
        <v>-31.331</v>
      </c>
      <c r="DK3947" s="80">
        <v>-54.106999999999999</v>
      </c>
      <c r="DL3947" s="80">
        <v>212</v>
      </c>
      <c r="DM3947" s="64">
        <v>2</v>
      </c>
      <c r="DN3947" s="406" t="s">
        <v>8206</v>
      </c>
      <c r="DO3947" s="406">
        <v>-31.33</v>
      </c>
      <c r="DP3947" s="80">
        <v>230</v>
      </c>
    </row>
    <row r="3948" spans="29:120" x14ac:dyDescent="0.25">
      <c r="AC3948" s="122" t="s">
        <v>328</v>
      </c>
      <c r="AD3948" s="122" t="s">
        <v>4227</v>
      </c>
      <c r="AE3948" s="127">
        <v>8</v>
      </c>
      <c r="DA3948" s="122" t="s">
        <v>236</v>
      </c>
      <c r="DB3948" s="122" t="s">
        <v>8240</v>
      </c>
      <c r="DC3948" s="122" t="s">
        <v>1258</v>
      </c>
      <c r="DD3948" s="127">
        <v>2</v>
      </c>
      <c r="DE3948" s="127">
        <v>2</v>
      </c>
      <c r="DG3948" s="405" t="s">
        <v>236</v>
      </c>
      <c r="DH3948" s="406" t="s">
        <v>1258</v>
      </c>
      <c r="DI3948" s="406" t="str">
        <f t="shared" si="93"/>
        <v>RS, Balneário Pinhal</v>
      </c>
      <c r="DJ3948" s="406">
        <v>-30.247</v>
      </c>
      <c r="DK3948" s="80">
        <v>-50.232999999999997</v>
      </c>
      <c r="DL3948" s="80">
        <v>100</v>
      </c>
      <c r="DM3948" s="64">
        <v>2</v>
      </c>
      <c r="DN3948" s="406" t="s">
        <v>8241</v>
      </c>
      <c r="DO3948" s="406">
        <v>-30.01</v>
      </c>
      <c r="DP3948" s="80">
        <v>1</v>
      </c>
    </row>
    <row r="3949" spans="29:120" x14ac:dyDescent="0.25">
      <c r="AC3949" s="122" t="s">
        <v>344</v>
      </c>
      <c r="AD3949" s="122" t="s">
        <v>4228</v>
      </c>
      <c r="AE3949" s="127">
        <v>8</v>
      </c>
      <c r="DA3949" s="122" t="s">
        <v>236</v>
      </c>
      <c r="DB3949" s="122" t="s">
        <v>1502</v>
      </c>
      <c r="DC3949" s="122" t="s">
        <v>1502</v>
      </c>
      <c r="DD3949" s="127">
        <v>1</v>
      </c>
      <c r="DE3949" s="127">
        <v>1</v>
      </c>
      <c r="DG3949" s="405" t="s">
        <v>236</v>
      </c>
      <c r="DH3949" s="406" t="s">
        <v>1502</v>
      </c>
      <c r="DI3949" s="406" t="str">
        <f t="shared" si="93"/>
        <v>RS, Barão</v>
      </c>
      <c r="DJ3949" s="406">
        <v>-29.376999999999999</v>
      </c>
      <c r="DK3949" s="80">
        <v>-51.496000000000002</v>
      </c>
      <c r="DL3949" s="80">
        <v>642</v>
      </c>
      <c r="DM3949" s="64">
        <v>1</v>
      </c>
      <c r="DN3949" s="406" t="s">
        <v>8218</v>
      </c>
      <c r="DO3949" s="406">
        <v>-29.17</v>
      </c>
      <c r="DP3949" s="80">
        <v>640</v>
      </c>
    </row>
    <row r="3950" spans="29:120" x14ac:dyDescent="0.25">
      <c r="AC3950" s="122" t="s">
        <v>375</v>
      </c>
      <c r="AD3950" s="122" t="s">
        <v>2233</v>
      </c>
      <c r="AE3950" s="127">
        <v>8</v>
      </c>
      <c r="DA3950" s="122" t="s">
        <v>236</v>
      </c>
      <c r="DB3950" s="122" t="s">
        <v>8242</v>
      </c>
      <c r="DC3950" s="122" t="s">
        <v>1719</v>
      </c>
      <c r="DD3950" s="127">
        <v>2</v>
      </c>
      <c r="DE3950" s="127">
        <v>2</v>
      </c>
      <c r="DG3950" s="405" t="s">
        <v>236</v>
      </c>
      <c r="DH3950" s="406" t="s">
        <v>1719</v>
      </c>
      <c r="DI3950" s="406" t="str">
        <f t="shared" si="93"/>
        <v>RS, Barão de Cotegipe</v>
      </c>
      <c r="DJ3950" s="406">
        <v>-27.620999999999999</v>
      </c>
      <c r="DK3950" s="80">
        <v>-52.38</v>
      </c>
      <c r="DL3950" s="80">
        <v>687</v>
      </c>
      <c r="DM3950" s="64">
        <v>2</v>
      </c>
      <c r="DN3950" s="406" t="s">
        <v>8228</v>
      </c>
      <c r="DO3950" s="406">
        <v>-27.63</v>
      </c>
      <c r="DP3950" s="80">
        <v>765</v>
      </c>
    </row>
    <row r="3951" spans="29:120" x14ac:dyDescent="0.25">
      <c r="AC3951" s="122" t="s">
        <v>344</v>
      </c>
      <c r="AD3951" s="122" t="s">
        <v>4229</v>
      </c>
      <c r="AE3951" s="127">
        <v>8</v>
      </c>
      <c r="DA3951" s="122" t="s">
        <v>236</v>
      </c>
      <c r="DB3951" s="122" t="s">
        <v>8243</v>
      </c>
      <c r="DC3951" s="122" t="s">
        <v>1136</v>
      </c>
      <c r="DD3951" s="127">
        <v>2</v>
      </c>
      <c r="DE3951" s="127">
        <v>2</v>
      </c>
      <c r="DG3951" s="405" t="s">
        <v>236</v>
      </c>
      <c r="DH3951" s="406" t="s">
        <v>1136</v>
      </c>
      <c r="DI3951" s="406" t="str">
        <f t="shared" si="93"/>
        <v>RS, Barão do Triunfo</v>
      </c>
      <c r="DJ3951" s="406">
        <v>-30.388000000000002</v>
      </c>
      <c r="DK3951" s="80">
        <v>-51.734000000000002</v>
      </c>
      <c r="DL3951" s="80">
        <v>258</v>
      </c>
      <c r="DM3951" s="64">
        <v>2</v>
      </c>
      <c r="DN3951" s="406" t="s">
        <v>8221</v>
      </c>
      <c r="DO3951" s="406">
        <v>-30.81</v>
      </c>
      <c r="DP3951" s="80">
        <v>108</v>
      </c>
    </row>
    <row r="3952" spans="29:120" x14ac:dyDescent="0.25">
      <c r="AC3952" s="122" t="s">
        <v>268</v>
      </c>
      <c r="AD3952" s="122" t="s">
        <v>4230</v>
      </c>
      <c r="AE3952" s="127">
        <v>8</v>
      </c>
      <c r="DA3952" s="122" t="s">
        <v>236</v>
      </c>
      <c r="DB3952" s="122" t="s">
        <v>8244</v>
      </c>
      <c r="DC3952" s="122" t="s">
        <v>3601</v>
      </c>
      <c r="DD3952" s="127">
        <v>2</v>
      </c>
      <c r="DE3952" s="127">
        <v>2</v>
      </c>
      <c r="DG3952" s="405" t="s">
        <v>236</v>
      </c>
      <c r="DH3952" s="406" t="s">
        <v>3601</v>
      </c>
      <c r="DI3952" s="406" t="str">
        <f t="shared" si="93"/>
        <v>RS, Barra do Guarita</v>
      </c>
      <c r="DJ3952" s="406">
        <v>-27.192</v>
      </c>
      <c r="DK3952" s="80">
        <v>-53.71</v>
      </c>
      <c r="DL3952" s="80">
        <v>194</v>
      </c>
      <c r="DM3952" s="64">
        <v>2</v>
      </c>
      <c r="DN3952" s="406" t="s">
        <v>8215</v>
      </c>
      <c r="DO3952" s="406">
        <v>-27.4</v>
      </c>
      <c r="DP3952" s="80">
        <v>490</v>
      </c>
    </row>
    <row r="3953" spans="29:120" x14ac:dyDescent="0.25">
      <c r="AC3953" s="122" t="s">
        <v>344</v>
      </c>
      <c r="AD3953" s="122" t="s">
        <v>4231</v>
      </c>
      <c r="AE3953" s="127">
        <v>8</v>
      </c>
      <c r="DA3953" s="122" t="s">
        <v>236</v>
      </c>
      <c r="DB3953" s="122" t="s">
        <v>8245</v>
      </c>
      <c r="DC3953" s="122" t="s">
        <v>1746</v>
      </c>
      <c r="DD3953" s="127">
        <v>2</v>
      </c>
      <c r="DE3953" s="127">
        <v>2</v>
      </c>
      <c r="DG3953" s="405" t="s">
        <v>236</v>
      </c>
      <c r="DH3953" s="406" t="s">
        <v>1746</v>
      </c>
      <c r="DI3953" s="406" t="str">
        <f t="shared" si="93"/>
        <v>RS, Barra do Quaraí</v>
      </c>
      <c r="DJ3953" s="406">
        <v>-30.207000000000001</v>
      </c>
      <c r="DK3953" s="80">
        <v>-57.555</v>
      </c>
      <c r="DL3953" s="80">
        <v>35</v>
      </c>
      <c r="DM3953" s="64">
        <v>2</v>
      </c>
      <c r="DN3953" s="406" t="s">
        <v>8246</v>
      </c>
      <c r="DO3953" s="406">
        <v>-29.75</v>
      </c>
      <c r="DP3953" s="80">
        <v>62</v>
      </c>
    </row>
    <row r="3954" spans="29:120" x14ac:dyDescent="0.25">
      <c r="AC3954" s="122" t="s">
        <v>369</v>
      </c>
      <c r="AD3954" s="122" t="s">
        <v>4232</v>
      </c>
      <c r="AE3954" s="127">
        <v>8</v>
      </c>
      <c r="DA3954" s="122" t="s">
        <v>236</v>
      </c>
      <c r="DB3954" s="122" t="s">
        <v>8247</v>
      </c>
      <c r="DC3954" s="122" t="s">
        <v>1166</v>
      </c>
      <c r="DD3954" s="127">
        <v>3</v>
      </c>
      <c r="DE3954" s="127">
        <v>3</v>
      </c>
      <c r="DG3954" s="405" t="s">
        <v>236</v>
      </c>
      <c r="DH3954" s="406" t="s">
        <v>1166</v>
      </c>
      <c r="DI3954" s="406" t="str">
        <f t="shared" si="93"/>
        <v>RS, Barra do Ribeiro</v>
      </c>
      <c r="DJ3954" s="406">
        <v>-30.291</v>
      </c>
      <c r="DK3954" s="80">
        <v>-51.301000000000002</v>
      </c>
      <c r="DL3954" s="80">
        <v>5</v>
      </c>
      <c r="DM3954" s="64">
        <v>3</v>
      </c>
      <c r="DN3954" s="406" t="s">
        <v>8219</v>
      </c>
      <c r="DO3954" s="406">
        <v>-30.03</v>
      </c>
      <c r="DP3954" s="80">
        <v>47</v>
      </c>
    </row>
    <row r="3955" spans="29:120" x14ac:dyDescent="0.25">
      <c r="AC3955" s="122" t="s">
        <v>322</v>
      </c>
      <c r="AD3955" s="122" t="s">
        <v>4233</v>
      </c>
      <c r="AE3955" s="127">
        <v>7</v>
      </c>
      <c r="DA3955" s="122" t="s">
        <v>236</v>
      </c>
      <c r="DB3955" s="122" t="s">
        <v>8248</v>
      </c>
      <c r="DC3955" s="122" t="s">
        <v>437</v>
      </c>
      <c r="DD3955" s="127">
        <v>2</v>
      </c>
      <c r="DE3955" s="127">
        <v>2</v>
      </c>
      <c r="DG3955" s="405" t="s">
        <v>236</v>
      </c>
      <c r="DH3955" s="406" t="s">
        <v>437</v>
      </c>
      <c r="DI3955" s="406" t="str">
        <f t="shared" si="93"/>
        <v>RS, Barra do Rio Azul</v>
      </c>
      <c r="DJ3955" s="406">
        <v>-27.408999999999999</v>
      </c>
      <c r="DK3955" s="80">
        <v>-52.41</v>
      </c>
      <c r="DL3955" s="80">
        <v>438</v>
      </c>
      <c r="DM3955" s="64">
        <v>2</v>
      </c>
      <c r="DN3955" s="406" t="s">
        <v>8228</v>
      </c>
      <c r="DO3955" s="406">
        <v>-27.63</v>
      </c>
      <c r="DP3955" s="80">
        <v>765</v>
      </c>
    </row>
    <row r="3956" spans="29:120" x14ac:dyDescent="0.25">
      <c r="AC3956" s="122" t="s">
        <v>348</v>
      </c>
      <c r="AD3956" s="122" t="s">
        <v>4234</v>
      </c>
      <c r="AE3956" s="127">
        <v>8</v>
      </c>
      <c r="DA3956" s="122" t="s">
        <v>236</v>
      </c>
      <c r="DB3956" s="122" t="s">
        <v>8249</v>
      </c>
      <c r="DC3956" s="122" t="s">
        <v>1346</v>
      </c>
      <c r="DD3956" s="127">
        <v>2</v>
      </c>
      <c r="DE3956" s="127">
        <v>2</v>
      </c>
      <c r="DG3956" s="405" t="s">
        <v>236</v>
      </c>
      <c r="DH3956" s="406" t="s">
        <v>1346</v>
      </c>
      <c r="DI3956" s="406" t="str">
        <f t="shared" si="93"/>
        <v>RS, Barra Funda</v>
      </c>
      <c r="DJ3956" s="406">
        <v>-27.922999999999998</v>
      </c>
      <c r="DK3956" s="80">
        <v>-53.039000000000001</v>
      </c>
      <c r="DL3956" s="80">
        <v>385</v>
      </c>
      <c r="DM3956" s="64">
        <v>2</v>
      </c>
      <c r="DN3956" s="406" t="s">
        <v>8214</v>
      </c>
      <c r="DO3956" s="406">
        <v>-27.92</v>
      </c>
      <c r="DP3956" s="80">
        <v>642</v>
      </c>
    </row>
    <row r="3957" spans="29:120" x14ac:dyDescent="0.25">
      <c r="AC3957" s="122" t="s">
        <v>369</v>
      </c>
      <c r="AD3957" s="122" t="s">
        <v>4224</v>
      </c>
      <c r="AE3957" s="127">
        <v>8</v>
      </c>
      <c r="DA3957" s="122" t="s">
        <v>236</v>
      </c>
      <c r="DB3957" s="122" t="s">
        <v>1367</v>
      </c>
      <c r="DC3957" s="122" t="s">
        <v>1367</v>
      </c>
      <c r="DD3957" s="127">
        <v>2</v>
      </c>
      <c r="DE3957" s="127">
        <v>2</v>
      </c>
      <c r="DG3957" s="405" t="s">
        <v>236</v>
      </c>
      <c r="DH3957" s="406" t="s">
        <v>1367</v>
      </c>
      <c r="DI3957" s="406" t="str">
        <f t="shared" si="93"/>
        <v>RS, Barracão</v>
      </c>
      <c r="DJ3957" s="406">
        <v>-27.672000000000001</v>
      </c>
      <c r="DK3957" s="80">
        <v>-51.460999999999999</v>
      </c>
      <c r="DL3957" s="80">
        <v>764</v>
      </c>
      <c r="DM3957" s="64">
        <v>2</v>
      </c>
      <c r="DN3957" s="406" t="s">
        <v>8250</v>
      </c>
      <c r="DO3957" s="406">
        <v>-27.17</v>
      </c>
      <c r="DP3957" s="80">
        <v>776</v>
      </c>
    </row>
    <row r="3958" spans="29:120" x14ac:dyDescent="0.25">
      <c r="AC3958" s="122" t="s">
        <v>279</v>
      </c>
      <c r="AD3958" s="122" t="s">
        <v>4235</v>
      </c>
      <c r="AE3958" s="127">
        <v>8</v>
      </c>
      <c r="DA3958" s="122" t="s">
        <v>236</v>
      </c>
      <c r="DB3958" s="122" t="s">
        <v>8251</v>
      </c>
      <c r="DC3958" s="122" t="s">
        <v>1576</v>
      </c>
      <c r="DD3958" s="127">
        <v>2</v>
      </c>
      <c r="DE3958" s="127">
        <v>2</v>
      </c>
      <c r="DG3958" s="405" t="s">
        <v>236</v>
      </c>
      <c r="DH3958" s="406" t="s">
        <v>1576</v>
      </c>
      <c r="DI3958" s="406" t="str">
        <f t="shared" si="93"/>
        <v>RS, Barros Cassal</v>
      </c>
      <c r="DJ3958" s="406">
        <v>-29.093</v>
      </c>
      <c r="DK3958" s="80">
        <v>-52.582999999999998</v>
      </c>
      <c r="DL3958" s="80">
        <v>627</v>
      </c>
      <c r="DM3958" s="64">
        <v>2</v>
      </c>
      <c r="DN3958" s="406" t="s">
        <v>8216</v>
      </c>
      <c r="DO3958" s="406">
        <v>-28.85</v>
      </c>
      <c r="DP3958" s="80">
        <v>667</v>
      </c>
    </row>
    <row r="3959" spans="29:120" x14ac:dyDescent="0.25">
      <c r="AC3959" s="122" t="s">
        <v>323</v>
      </c>
      <c r="AD3959" s="122" t="s">
        <v>4236</v>
      </c>
      <c r="AE3959" s="127">
        <v>8</v>
      </c>
      <c r="DA3959" s="122" t="s">
        <v>236</v>
      </c>
      <c r="DB3959" s="122" t="s">
        <v>8252</v>
      </c>
      <c r="DC3959" s="122" t="s">
        <v>1649</v>
      </c>
      <c r="DD3959" s="127">
        <v>2</v>
      </c>
      <c r="DE3959" s="127">
        <v>2</v>
      </c>
      <c r="DG3959" s="405" t="s">
        <v>236</v>
      </c>
      <c r="DH3959" s="406" t="s">
        <v>1649</v>
      </c>
      <c r="DI3959" s="406" t="str">
        <f t="shared" si="93"/>
        <v>RS, Benjamin Constant do Sul</v>
      </c>
      <c r="DJ3959" s="406">
        <v>-27.51</v>
      </c>
      <c r="DK3959" s="80">
        <v>-52.597999999999999</v>
      </c>
      <c r="DL3959" s="80">
        <v>675</v>
      </c>
      <c r="DM3959" s="64">
        <v>2</v>
      </c>
      <c r="DN3959" s="406" t="s">
        <v>8228</v>
      </c>
      <c r="DO3959" s="406">
        <v>-27.63</v>
      </c>
      <c r="DP3959" s="80">
        <v>765</v>
      </c>
    </row>
    <row r="3960" spans="29:120" x14ac:dyDescent="0.25">
      <c r="AC3960" s="122" t="s">
        <v>300</v>
      </c>
      <c r="AD3960" s="122" t="s">
        <v>4237</v>
      </c>
      <c r="AE3960" s="127">
        <v>8</v>
      </c>
      <c r="DA3960" s="122" t="s">
        <v>236</v>
      </c>
      <c r="DB3960" s="122" t="s">
        <v>8253</v>
      </c>
      <c r="DC3960" s="122" t="s">
        <v>1319</v>
      </c>
      <c r="DD3960" s="127">
        <v>1</v>
      </c>
      <c r="DE3960" s="127">
        <v>1</v>
      </c>
      <c r="DG3960" s="405" t="s">
        <v>236</v>
      </c>
      <c r="DH3960" s="406" t="s">
        <v>1319</v>
      </c>
      <c r="DI3960" s="406" t="str">
        <f t="shared" si="93"/>
        <v>RS, Bento Gonçalves</v>
      </c>
      <c r="DJ3960" s="406">
        <v>-29.170999999999999</v>
      </c>
      <c r="DK3960" s="80">
        <v>-51.518999999999998</v>
      </c>
      <c r="DL3960" s="80">
        <v>691</v>
      </c>
      <c r="DM3960" s="64">
        <v>1</v>
      </c>
      <c r="DN3960" s="406" t="s">
        <v>8218</v>
      </c>
      <c r="DO3960" s="406">
        <v>-29.17</v>
      </c>
      <c r="DP3960" s="80">
        <v>640</v>
      </c>
    </row>
    <row r="3961" spans="29:120" x14ac:dyDescent="0.25">
      <c r="AC3961" s="122" t="s">
        <v>348</v>
      </c>
      <c r="AD3961" s="122" t="s">
        <v>4238</v>
      </c>
      <c r="AE3961" s="127">
        <v>8</v>
      </c>
      <c r="DA3961" s="122" t="s">
        <v>236</v>
      </c>
      <c r="DB3961" s="122" t="s">
        <v>8254</v>
      </c>
      <c r="DC3961" s="122" t="s">
        <v>1347</v>
      </c>
      <c r="DD3961" s="127">
        <v>2</v>
      </c>
      <c r="DE3961" s="127">
        <v>2</v>
      </c>
      <c r="DG3961" s="405" t="s">
        <v>236</v>
      </c>
      <c r="DH3961" s="406" t="s">
        <v>1347</v>
      </c>
      <c r="DI3961" s="406" t="str">
        <f t="shared" si="93"/>
        <v>RS, Boa Vista das Missões</v>
      </c>
      <c r="DJ3961" s="406">
        <v>-27.663</v>
      </c>
      <c r="DK3961" s="80">
        <v>-53.314</v>
      </c>
      <c r="DL3961" s="80">
        <v>596</v>
      </c>
      <c r="DM3961" s="64">
        <v>2</v>
      </c>
      <c r="DN3961" s="406" t="s">
        <v>8214</v>
      </c>
      <c r="DO3961" s="406">
        <v>-27.92</v>
      </c>
      <c r="DP3961" s="80">
        <v>642</v>
      </c>
    </row>
    <row r="3962" spans="29:120" x14ac:dyDescent="0.25">
      <c r="AC3962" s="122" t="s">
        <v>348</v>
      </c>
      <c r="AD3962" s="122" t="s">
        <v>4239</v>
      </c>
      <c r="AE3962" s="127">
        <v>8</v>
      </c>
      <c r="DA3962" s="122" t="s">
        <v>236</v>
      </c>
      <c r="DB3962" s="122" t="s">
        <v>8255</v>
      </c>
      <c r="DC3962" s="122" t="s">
        <v>3142</v>
      </c>
      <c r="DD3962" s="127">
        <v>2</v>
      </c>
      <c r="DE3962" s="127">
        <v>2</v>
      </c>
      <c r="DG3962" s="405" t="s">
        <v>236</v>
      </c>
      <c r="DH3962" s="406" t="s">
        <v>3142</v>
      </c>
      <c r="DI3962" s="406" t="str">
        <f t="shared" si="93"/>
        <v>RS, Boa Vista do Buricá</v>
      </c>
      <c r="DJ3962" s="406">
        <v>-27.669</v>
      </c>
      <c r="DK3962" s="80">
        <v>-54.11</v>
      </c>
      <c r="DL3962" s="80">
        <v>291</v>
      </c>
      <c r="DM3962" s="64">
        <v>2</v>
      </c>
      <c r="DN3962" s="406" t="s">
        <v>8210</v>
      </c>
      <c r="DO3962" s="406">
        <v>-27.85</v>
      </c>
      <c r="DP3962" s="80">
        <v>550</v>
      </c>
    </row>
    <row r="3963" spans="29:120" x14ac:dyDescent="0.25">
      <c r="AC3963" s="122" t="s">
        <v>348</v>
      </c>
      <c r="AD3963" s="122" t="s">
        <v>4240</v>
      </c>
      <c r="AE3963" s="127">
        <v>8</v>
      </c>
      <c r="DA3963" s="122" t="s">
        <v>236</v>
      </c>
      <c r="DB3963" s="122" t="s">
        <v>8256</v>
      </c>
      <c r="DC3963" s="122" t="s">
        <v>1633</v>
      </c>
      <c r="DD3963" s="127">
        <v>2</v>
      </c>
      <c r="DE3963" s="127">
        <v>2</v>
      </c>
      <c r="DG3963" s="405" t="s">
        <v>236</v>
      </c>
      <c r="DH3963" s="406" t="s">
        <v>1633</v>
      </c>
      <c r="DI3963" s="406" t="str">
        <f t="shared" si="93"/>
        <v>RS, Boa Vista do Cadeado</v>
      </c>
      <c r="DJ3963" s="406">
        <v>-28.606999999999999</v>
      </c>
      <c r="DK3963" s="80">
        <v>-53.814999999999998</v>
      </c>
      <c r="DL3963" s="80">
        <v>360</v>
      </c>
      <c r="DM3963" s="64">
        <v>2</v>
      </c>
      <c r="DN3963" s="406" t="s">
        <v>8239</v>
      </c>
      <c r="DO3963" s="406">
        <v>-28.6</v>
      </c>
      <c r="DP3963" s="80">
        <v>432</v>
      </c>
    </row>
    <row r="3964" spans="29:120" x14ac:dyDescent="0.25">
      <c r="AC3964" s="122" t="s">
        <v>344</v>
      </c>
      <c r="AD3964" s="122" t="s">
        <v>4241</v>
      </c>
      <c r="AE3964" s="127">
        <v>8</v>
      </c>
      <c r="DA3964" s="122" t="s">
        <v>236</v>
      </c>
      <c r="DB3964" s="122" t="s">
        <v>8257</v>
      </c>
      <c r="DC3964" s="122" t="s">
        <v>1636</v>
      </c>
      <c r="DD3964" s="127">
        <v>2</v>
      </c>
      <c r="DE3964" s="127">
        <v>2</v>
      </c>
      <c r="DG3964" s="405" t="s">
        <v>236</v>
      </c>
      <c r="DH3964" s="406" t="s">
        <v>1636</v>
      </c>
      <c r="DI3964" s="406" t="str">
        <f t="shared" si="93"/>
        <v>RS, Boa Vista do Incra</v>
      </c>
      <c r="DJ3964" s="406">
        <v>-28.818999999999999</v>
      </c>
      <c r="DK3964" s="80">
        <v>-53.387</v>
      </c>
      <c r="DL3964" s="80">
        <v>392</v>
      </c>
      <c r="DM3964" s="64">
        <v>2</v>
      </c>
      <c r="DN3964" s="406" t="s">
        <v>8239</v>
      </c>
      <c r="DO3964" s="406">
        <v>-28.6</v>
      </c>
      <c r="DP3964" s="80">
        <v>432</v>
      </c>
    </row>
    <row r="3965" spans="29:120" x14ac:dyDescent="0.25">
      <c r="AC3965" s="122" t="s">
        <v>300</v>
      </c>
      <c r="AD3965" s="122" t="s">
        <v>4242</v>
      </c>
      <c r="AE3965" s="127">
        <v>8</v>
      </c>
      <c r="DA3965" s="122" t="s">
        <v>236</v>
      </c>
      <c r="DB3965" s="122" t="s">
        <v>8258</v>
      </c>
      <c r="DC3965" s="122" t="s">
        <v>1487</v>
      </c>
      <c r="DD3965" s="127">
        <v>2</v>
      </c>
      <c r="DE3965" s="127">
        <v>2</v>
      </c>
      <c r="DG3965" s="405" t="s">
        <v>236</v>
      </c>
      <c r="DH3965" s="406" t="s">
        <v>1487</v>
      </c>
      <c r="DI3965" s="406" t="str">
        <f t="shared" si="93"/>
        <v>RS, Boa Vista do Sul</v>
      </c>
      <c r="DJ3965" s="406">
        <v>-29.350999999999999</v>
      </c>
      <c r="DK3965" s="80">
        <v>-51.676000000000002</v>
      </c>
      <c r="DL3965" s="80">
        <v>460</v>
      </c>
      <c r="DM3965" s="64">
        <v>2</v>
      </c>
      <c r="DN3965" s="406" t="s">
        <v>8218</v>
      </c>
      <c r="DO3965" s="406">
        <v>-29.17</v>
      </c>
      <c r="DP3965" s="80">
        <v>640</v>
      </c>
    </row>
    <row r="3966" spans="29:120" x14ac:dyDescent="0.25">
      <c r="AC3966" s="122" t="s">
        <v>344</v>
      </c>
      <c r="AD3966" s="122" t="s">
        <v>4243</v>
      </c>
      <c r="AE3966" s="127">
        <v>8</v>
      </c>
      <c r="DA3966" s="122" t="s">
        <v>236</v>
      </c>
      <c r="DB3966" s="122" t="s">
        <v>7511</v>
      </c>
      <c r="DC3966" s="122" t="s">
        <v>1517</v>
      </c>
      <c r="DD3966" s="127">
        <v>1</v>
      </c>
      <c r="DE3966" s="127">
        <v>1</v>
      </c>
      <c r="DG3966" s="405" t="s">
        <v>236</v>
      </c>
      <c r="DH3966" s="406" t="s">
        <v>1517</v>
      </c>
      <c r="DI3966" s="406" t="str">
        <f t="shared" si="93"/>
        <v>RS, Bom Jesus</v>
      </c>
      <c r="DJ3966" s="406">
        <v>-28.667999999999999</v>
      </c>
      <c r="DK3966" s="80">
        <v>-50.417000000000002</v>
      </c>
      <c r="DL3966" s="80">
        <v>1046</v>
      </c>
      <c r="DM3966" s="64">
        <v>1</v>
      </c>
      <c r="DN3966" s="406" t="s">
        <v>8259</v>
      </c>
      <c r="DO3966" s="406">
        <v>-28.75</v>
      </c>
      <c r="DP3966" s="80">
        <v>1244</v>
      </c>
    </row>
    <row r="3967" spans="29:120" x14ac:dyDescent="0.25">
      <c r="AC3967" s="122" t="s">
        <v>300</v>
      </c>
      <c r="AD3967" s="122" t="s">
        <v>4244</v>
      </c>
      <c r="AE3967" s="127">
        <v>8</v>
      </c>
      <c r="DA3967" s="122" t="s">
        <v>236</v>
      </c>
      <c r="DB3967" s="122" t="s">
        <v>8260</v>
      </c>
      <c r="DC3967" s="122" t="s">
        <v>1172</v>
      </c>
      <c r="DD3967" s="127">
        <v>1</v>
      </c>
      <c r="DE3967" s="127">
        <v>1</v>
      </c>
      <c r="DG3967" s="405" t="s">
        <v>236</v>
      </c>
      <c r="DH3967" s="406" t="s">
        <v>1172</v>
      </c>
      <c r="DI3967" s="406" t="str">
        <f t="shared" si="93"/>
        <v>RS, Bom Princípio</v>
      </c>
      <c r="DJ3967" s="406">
        <v>-29.489000000000001</v>
      </c>
      <c r="DK3967" s="80">
        <v>-51.353000000000002</v>
      </c>
      <c r="DL3967" s="80">
        <v>37</v>
      </c>
      <c r="DM3967" s="64">
        <v>1</v>
      </c>
      <c r="DN3967" s="406" t="s">
        <v>8218</v>
      </c>
      <c r="DO3967" s="406">
        <v>-29.17</v>
      </c>
      <c r="DP3967" s="80">
        <v>640</v>
      </c>
    </row>
    <row r="3968" spans="29:120" x14ac:dyDescent="0.25">
      <c r="AC3968" s="122" t="s">
        <v>344</v>
      </c>
      <c r="AD3968" s="122" t="s">
        <v>4245</v>
      </c>
      <c r="AE3968" s="127">
        <v>8</v>
      </c>
      <c r="DA3968" s="122" t="s">
        <v>236</v>
      </c>
      <c r="DB3968" s="122" t="s">
        <v>8261</v>
      </c>
      <c r="DC3968" s="122" t="s">
        <v>1668</v>
      </c>
      <c r="DD3968" s="127">
        <v>2</v>
      </c>
      <c r="DE3968" s="127">
        <v>2</v>
      </c>
      <c r="DG3968" s="405" t="s">
        <v>236</v>
      </c>
      <c r="DH3968" s="406" t="s">
        <v>1668</v>
      </c>
      <c r="DI3968" s="406" t="str">
        <f t="shared" si="93"/>
        <v>RS, Bom Progresso</v>
      </c>
      <c r="DJ3968" s="406">
        <v>-27.544</v>
      </c>
      <c r="DK3968" s="80">
        <v>-53.866</v>
      </c>
      <c r="DL3968" s="80">
        <v>480</v>
      </c>
      <c r="DM3968" s="64">
        <v>2</v>
      </c>
      <c r="DN3968" s="406" t="s">
        <v>8210</v>
      </c>
      <c r="DO3968" s="406">
        <v>-27.85</v>
      </c>
      <c r="DP3968" s="80">
        <v>550</v>
      </c>
    </row>
    <row r="3969" spans="29:120" x14ac:dyDescent="0.25">
      <c r="AC3969" s="122" t="s">
        <v>357</v>
      </c>
      <c r="AD3969" s="122" t="s">
        <v>4246</v>
      </c>
      <c r="AE3969" s="127">
        <v>7</v>
      </c>
      <c r="DA3969" s="122" t="s">
        <v>236</v>
      </c>
      <c r="DB3969" s="122" t="s">
        <v>8262</v>
      </c>
      <c r="DC3969" s="122" t="s">
        <v>739</v>
      </c>
      <c r="DD3969" s="127">
        <v>2</v>
      </c>
      <c r="DE3969" s="127">
        <v>2</v>
      </c>
      <c r="DG3969" s="405" t="s">
        <v>236</v>
      </c>
      <c r="DH3969" s="406" t="s">
        <v>739</v>
      </c>
      <c r="DI3969" s="406" t="str">
        <f t="shared" si="93"/>
        <v>RS, Bom Retiro do Sul</v>
      </c>
      <c r="DJ3969" s="406">
        <v>-29.609000000000002</v>
      </c>
      <c r="DK3969" s="80">
        <v>-51.942999999999998</v>
      </c>
      <c r="DL3969" s="80">
        <v>35</v>
      </c>
      <c r="DM3969" s="64">
        <v>2</v>
      </c>
      <c r="DN3969" s="406" t="s">
        <v>8263</v>
      </c>
      <c r="DO3969" s="406">
        <v>-29.87</v>
      </c>
      <c r="DP3969" s="80">
        <v>111</v>
      </c>
    </row>
    <row r="3970" spans="29:120" x14ac:dyDescent="0.25">
      <c r="AC3970" s="122" t="s">
        <v>344</v>
      </c>
      <c r="AD3970" s="122" t="s">
        <v>4247</v>
      </c>
      <c r="AE3970" s="127">
        <v>8</v>
      </c>
      <c r="DA3970" s="122" t="s">
        <v>236</v>
      </c>
      <c r="DB3970" s="122" t="s">
        <v>8264</v>
      </c>
      <c r="DC3970" s="122" t="s">
        <v>1498</v>
      </c>
      <c r="DD3970" s="127">
        <v>2</v>
      </c>
      <c r="DE3970" s="127">
        <v>2</v>
      </c>
      <c r="DG3970" s="405" t="s">
        <v>236</v>
      </c>
      <c r="DH3970" s="406" t="s">
        <v>1498</v>
      </c>
      <c r="DI3970" s="406" t="str">
        <f t="shared" si="93"/>
        <v>RS, Boqueirão do Leão</v>
      </c>
      <c r="DJ3970" s="406">
        <v>-29.303999999999998</v>
      </c>
      <c r="DK3970" s="80">
        <v>-52.429000000000002</v>
      </c>
      <c r="DL3970" s="80">
        <v>518</v>
      </c>
      <c r="DM3970" s="64">
        <v>2</v>
      </c>
      <c r="DN3970" s="406" t="s">
        <v>8216</v>
      </c>
      <c r="DO3970" s="406">
        <v>-28.85</v>
      </c>
      <c r="DP3970" s="80">
        <v>667</v>
      </c>
    </row>
    <row r="3971" spans="29:120" x14ac:dyDescent="0.25">
      <c r="AC3971" s="122" t="s">
        <v>268</v>
      </c>
      <c r="AD3971" s="122" t="s">
        <v>4248</v>
      </c>
      <c r="AE3971" s="127">
        <v>8</v>
      </c>
      <c r="DA3971" s="122" t="s">
        <v>236</v>
      </c>
      <c r="DB3971" s="122" t="s">
        <v>1674</v>
      </c>
      <c r="DC3971" s="122" t="s">
        <v>1674</v>
      </c>
      <c r="DD3971" s="127">
        <v>2</v>
      </c>
      <c r="DE3971" s="127">
        <v>2</v>
      </c>
      <c r="DG3971" s="405" t="s">
        <v>236</v>
      </c>
      <c r="DH3971" s="406" t="s">
        <v>1674</v>
      </c>
      <c r="DI3971" s="406" t="str">
        <f t="shared" ref="DI3971:DI4034" si="94">CONCATENATE(DG3971,", ",DH3971)</f>
        <v>RS, Bossoroca</v>
      </c>
      <c r="DJ3971" s="406">
        <v>-28.73</v>
      </c>
      <c r="DK3971" s="80">
        <v>-54.9</v>
      </c>
      <c r="DL3971" s="80">
        <v>228</v>
      </c>
      <c r="DM3971" s="64">
        <v>2</v>
      </c>
      <c r="DN3971" s="406" t="s">
        <v>8211</v>
      </c>
      <c r="DO3971" s="406">
        <v>-28.41</v>
      </c>
      <c r="DP3971" s="80">
        <v>245</v>
      </c>
    </row>
    <row r="3972" spans="29:120" x14ac:dyDescent="0.25">
      <c r="AC3972" s="122" t="s">
        <v>328</v>
      </c>
      <c r="AD3972" s="122" t="s">
        <v>4249</v>
      </c>
      <c r="AE3972" s="127">
        <v>8</v>
      </c>
      <c r="DA3972" s="122" t="s">
        <v>236</v>
      </c>
      <c r="DB3972" s="122" t="s">
        <v>3114</v>
      </c>
      <c r="DC3972" s="122" t="s">
        <v>3114</v>
      </c>
      <c r="DD3972" s="127">
        <v>2</v>
      </c>
      <c r="DE3972" s="127">
        <v>2</v>
      </c>
      <c r="DG3972" s="405" t="s">
        <v>236</v>
      </c>
      <c r="DH3972" s="406" t="s">
        <v>3114</v>
      </c>
      <c r="DI3972" s="406" t="str">
        <f t="shared" si="94"/>
        <v>RS, Bozano</v>
      </c>
      <c r="DJ3972" s="406">
        <v>-28.367999999999999</v>
      </c>
      <c r="DK3972" s="80">
        <v>-53.771000000000001</v>
      </c>
      <c r="DL3972" s="80">
        <v>383</v>
      </c>
      <c r="DM3972" s="64">
        <v>2</v>
      </c>
      <c r="DN3972" s="406" t="s">
        <v>8239</v>
      </c>
      <c r="DO3972" s="406">
        <v>-28.6</v>
      </c>
      <c r="DP3972" s="80">
        <v>432</v>
      </c>
    </row>
    <row r="3973" spans="29:120" x14ac:dyDescent="0.25">
      <c r="AC3973" s="122" t="s">
        <v>268</v>
      </c>
      <c r="AD3973" s="122" t="s">
        <v>4250</v>
      </c>
      <c r="AE3973" s="127">
        <v>8</v>
      </c>
      <c r="DA3973" s="122" t="s">
        <v>236</v>
      </c>
      <c r="DB3973" s="122" t="s">
        <v>1714</v>
      </c>
      <c r="DC3973" s="122" t="s">
        <v>1714</v>
      </c>
      <c r="DD3973" s="127">
        <v>2</v>
      </c>
      <c r="DE3973" s="127">
        <v>2</v>
      </c>
      <c r="DG3973" s="405" t="s">
        <v>236</v>
      </c>
      <c r="DH3973" s="406" t="s">
        <v>1714</v>
      </c>
      <c r="DI3973" s="406" t="str">
        <f t="shared" si="94"/>
        <v>RS, Braga</v>
      </c>
      <c r="DJ3973" s="406">
        <v>-27.614000000000001</v>
      </c>
      <c r="DK3973" s="80">
        <v>-53.738999999999997</v>
      </c>
      <c r="DL3973" s="80">
        <v>430</v>
      </c>
      <c r="DM3973" s="64">
        <v>2</v>
      </c>
      <c r="DN3973" s="406" t="s">
        <v>8210</v>
      </c>
      <c r="DO3973" s="406">
        <v>-27.85</v>
      </c>
      <c r="DP3973" s="80">
        <v>550</v>
      </c>
    </row>
    <row r="3974" spans="29:120" x14ac:dyDescent="0.25">
      <c r="AC3974" s="122" t="s">
        <v>300</v>
      </c>
      <c r="AD3974" s="122" t="s">
        <v>4251</v>
      </c>
      <c r="AE3974" s="127">
        <v>8</v>
      </c>
      <c r="DA3974" s="122" t="s">
        <v>236</v>
      </c>
      <c r="DB3974" s="122" t="s">
        <v>1456</v>
      </c>
      <c r="DC3974" s="122" t="s">
        <v>1456</v>
      </c>
      <c r="DD3974" s="127">
        <v>2</v>
      </c>
      <c r="DE3974" s="127">
        <v>2</v>
      </c>
      <c r="DG3974" s="405" t="s">
        <v>236</v>
      </c>
      <c r="DH3974" s="406" t="s">
        <v>1456</v>
      </c>
      <c r="DI3974" s="406" t="str">
        <f t="shared" si="94"/>
        <v>RS, Brochier</v>
      </c>
      <c r="DJ3974" s="406">
        <v>-29.550999999999998</v>
      </c>
      <c r="DK3974" s="80">
        <v>-51.593000000000004</v>
      </c>
      <c r="DL3974" s="80">
        <v>90</v>
      </c>
      <c r="DM3974" s="64">
        <v>2</v>
      </c>
      <c r="DN3974" s="406" t="s">
        <v>8218</v>
      </c>
      <c r="DO3974" s="406">
        <v>-29.17</v>
      </c>
      <c r="DP3974" s="80">
        <v>640</v>
      </c>
    </row>
    <row r="3975" spans="29:120" x14ac:dyDescent="0.25">
      <c r="AC3975" s="122" t="s">
        <v>268</v>
      </c>
      <c r="AD3975" s="122" t="s">
        <v>4252</v>
      </c>
      <c r="AE3975" s="127">
        <v>8</v>
      </c>
      <c r="DA3975" s="122" t="s">
        <v>236</v>
      </c>
      <c r="DB3975" s="122" t="s">
        <v>1137</v>
      </c>
      <c r="DC3975" s="122" t="s">
        <v>1137</v>
      </c>
      <c r="DD3975" s="127">
        <v>2</v>
      </c>
      <c r="DE3975" s="127">
        <v>2</v>
      </c>
      <c r="DG3975" s="405" t="s">
        <v>236</v>
      </c>
      <c r="DH3975" s="406" t="s">
        <v>1137</v>
      </c>
      <c r="DI3975" s="406" t="str">
        <f t="shared" si="94"/>
        <v>RS, Butiá</v>
      </c>
      <c r="DJ3975" s="406">
        <v>-30.12</v>
      </c>
      <c r="DK3975" s="80">
        <v>-51.962000000000003</v>
      </c>
      <c r="DL3975" s="80">
        <v>71</v>
      </c>
      <c r="DM3975" s="64">
        <v>2</v>
      </c>
      <c r="DN3975" s="406" t="s">
        <v>8263</v>
      </c>
      <c r="DO3975" s="406">
        <v>-29.87</v>
      </c>
      <c r="DP3975" s="80">
        <v>111</v>
      </c>
    </row>
    <row r="3976" spans="29:120" x14ac:dyDescent="0.25">
      <c r="AC3976" s="122" t="s">
        <v>369</v>
      </c>
      <c r="AD3976" s="122" t="s">
        <v>3025</v>
      </c>
      <c r="AE3976" s="127">
        <v>7</v>
      </c>
      <c r="DA3976" s="122" t="s">
        <v>236</v>
      </c>
      <c r="DB3976" s="122" t="s">
        <v>8265</v>
      </c>
      <c r="DC3976" s="122" t="s">
        <v>1416</v>
      </c>
      <c r="DD3976" s="127">
        <v>2</v>
      </c>
      <c r="DE3976" s="127">
        <v>2</v>
      </c>
      <c r="DG3976" s="405" t="s">
        <v>236</v>
      </c>
      <c r="DH3976" s="406" t="s">
        <v>1416</v>
      </c>
      <c r="DI3976" s="406" t="str">
        <f t="shared" si="94"/>
        <v>RS, Caçapava do Sul</v>
      </c>
      <c r="DJ3976" s="406">
        <v>-30.512</v>
      </c>
      <c r="DK3976" s="80">
        <v>-53.491</v>
      </c>
      <c r="DL3976" s="80">
        <v>444</v>
      </c>
      <c r="DM3976" s="64">
        <v>2</v>
      </c>
      <c r="DN3976" s="406" t="s">
        <v>8266</v>
      </c>
      <c r="DO3976" s="406">
        <v>-30.51</v>
      </c>
      <c r="DP3976" s="80">
        <v>420</v>
      </c>
    </row>
    <row r="3977" spans="29:120" x14ac:dyDescent="0.25">
      <c r="AC3977" s="122" t="s">
        <v>268</v>
      </c>
      <c r="AD3977" s="122" t="s">
        <v>4253</v>
      </c>
      <c r="AE3977" s="127">
        <v>8</v>
      </c>
      <c r="DA3977" s="122" t="s">
        <v>236</v>
      </c>
      <c r="DB3977" s="122" t="s">
        <v>1726</v>
      </c>
      <c r="DC3977" s="122" t="s">
        <v>1726</v>
      </c>
      <c r="DD3977" s="127">
        <v>2</v>
      </c>
      <c r="DE3977" s="127">
        <v>2</v>
      </c>
      <c r="DG3977" s="405" t="s">
        <v>236</v>
      </c>
      <c r="DH3977" s="406" t="s">
        <v>1726</v>
      </c>
      <c r="DI3977" s="406" t="str">
        <f t="shared" si="94"/>
        <v>RS, Cacequi</v>
      </c>
      <c r="DJ3977" s="406">
        <v>-29.884</v>
      </c>
      <c r="DK3977" s="80">
        <v>-54.825000000000003</v>
      </c>
      <c r="DL3977" s="80">
        <v>103</v>
      </c>
      <c r="DM3977" s="64">
        <v>2</v>
      </c>
      <c r="DN3977" s="406" t="s">
        <v>8267</v>
      </c>
      <c r="DO3977" s="406">
        <v>-30.34</v>
      </c>
      <c r="DP3977" s="80">
        <v>126</v>
      </c>
    </row>
    <row r="3978" spans="29:120" x14ac:dyDescent="0.25">
      <c r="AC3978" s="122" t="s">
        <v>268</v>
      </c>
      <c r="AD3978" s="122" t="s">
        <v>4254</v>
      </c>
      <c r="AE3978" s="127">
        <v>8</v>
      </c>
      <c r="DA3978" s="122" t="s">
        <v>236</v>
      </c>
      <c r="DB3978" s="122" t="s">
        <v>8268</v>
      </c>
      <c r="DC3978" s="122" t="s">
        <v>1732</v>
      </c>
      <c r="DD3978" s="127">
        <v>2</v>
      </c>
      <c r="DE3978" s="127">
        <v>2</v>
      </c>
      <c r="DG3978" s="405" t="s">
        <v>236</v>
      </c>
      <c r="DH3978" s="406" t="s">
        <v>1732</v>
      </c>
      <c r="DI3978" s="406" t="str">
        <f t="shared" si="94"/>
        <v>RS, Cachoeira do Sul</v>
      </c>
      <c r="DJ3978" s="406">
        <v>-30.039000000000001</v>
      </c>
      <c r="DK3978" s="80">
        <v>-52.893999999999998</v>
      </c>
      <c r="DL3978" s="80">
        <v>68</v>
      </c>
      <c r="DM3978" s="64">
        <v>2</v>
      </c>
      <c r="DN3978" s="406" t="s">
        <v>8263</v>
      </c>
      <c r="DO3978" s="406">
        <v>-29.87</v>
      </c>
      <c r="DP3978" s="80">
        <v>111</v>
      </c>
    </row>
    <row r="3979" spans="29:120" x14ac:dyDescent="0.25">
      <c r="AC3979" s="122" t="s">
        <v>344</v>
      </c>
      <c r="AD3979" s="122" t="s">
        <v>4255</v>
      </c>
      <c r="AE3979" s="127">
        <v>8</v>
      </c>
      <c r="DA3979" s="122" t="s">
        <v>236</v>
      </c>
      <c r="DB3979" s="122" t="s">
        <v>1264</v>
      </c>
      <c r="DC3979" s="122" t="s">
        <v>1264</v>
      </c>
      <c r="DD3979" s="127">
        <v>2</v>
      </c>
      <c r="DE3979" s="127">
        <v>2</v>
      </c>
      <c r="DG3979" s="405" t="s">
        <v>236</v>
      </c>
      <c r="DH3979" s="406" t="s">
        <v>1264</v>
      </c>
      <c r="DI3979" s="406" t="str">
        <f t="shared" si="94"/>
        <v>RS, Cachoeirinha</v>
      </c>
      <c r="DJ3979" s="406">
        <v>-29.951000000000001</v>
      </c>
      <c r="DK3979" s="80">
        <v>-51.094000000000001</v>
      </c>
      <c r="DL3979" s="80">
        <v>23</v>
      </c>
      <c r="DM3979" s="64">
        <v>2</v>
      </c>
      <c r="DN3979" s="406" t="s">
        <v>8219</v>
      </c>
      <c r="DO3979" s="406">
        <v>-30.03</v>
      </c>
      <c r="DP3979" s="80">
        <v>47</v>
      </c>
    </row>
    <row r="3980" spans="29:120" x14ac:dyDescent="0.25">
      <c r="AC3980" s="122" t="s">
        <v>344</v>
      </c>
      <c r="AD3980" s="122" t="s">
        <v>4256</v>
      </c>
      <c r="AE3980" s="127">
        <v>8</v>
      </c>
      <c r="DA3980" s="122" t="s">
        <v>236</v>
      </c>
      <c r="DB3980" s="122" t="s">
        <v>8269</v>
      </c>
      <c r="DC3980" s="122" t="s">
        <v>1622</v>
      </c>
      <c r="DD3980" s="127">
        <v>2</v>
      </c>
      <c r="DE3980" s="127">
        <v>2</v>
      </c>
      <c r="DG3980" s="405" t="s">
        <v>236</v>
      </c>
      <c r="DH3980" s="406" t="s">
        <v>1622</v>
      </c>
      <c r="DI3980" s="406" t="str">
        <f t="shared" si="94"/>
        <v>RS, Cacique Doble</v>
      </c>
      <c r="DJ3980" s="406">
        <v>-27.77</v>
      </c>
      <c r="DK3980" s="80">
        <v>-51.66</v>
      </c>
      <c r="DL3980" s="80">
        <v>623</v>
      </c>
      <c r="DM3980" s="64">
        <v>2</v>
      </c>
      <c r="DN3980" s="406" t="s">
        <v>8224</v>
      </c>
      <c r="DO3980" s="406">
        <v>-28.22</v>
      </c>
      <c r="DP3980" s="80">
        <v>842</v>
      </c>
    </row>
    <row r="3981" spans="29:120" x14ac:dyDescent="0.25">
      <c r="AC3981" s="122" t="s">
        <v>268</v>
      </c>
      <c r="AD3981" s="122" t="s">
        <v>4257</v>
      </c>
      <c r="AE3981" s="127">
        <v>8</v>
      </c>
      <c r="DA3981" s="122" t="s">
        <v>236</v>
      </c>
      <c r="DB3981" s="122" t="s">
        <v>3117</v>
      </c>
      <c r="DC3981" s="122" t="s">
        <v>3117</v>
      </c>
      <c r="DD3981" s="127">
        <v>2</v>
      </c>
      <c r="DE3981" s="127">
        <v>2</v>
      </c>
      <c r="DG3981" s="405" t="s">
        <v>236</v>
      </c>
      <c r="DH3981" s="406" t="s">
        <v>3117</v>
      </c>
      <c r="DI3981" s="406" t="str">
        <f t="shared" si="94"/>
        <v>RS, Caibaté</v>
      </c>
      <c r="DJ3981" s="406">
        <v>-28.288</v>
      </c>
      <c r="DK3981" s="80">
        <v>-54.637999999999998</v>
      </c>
      <c r="DL3981" s="80">
        <v>286</v>
      </c>
      <c r="DM3981" s="64">
        <v>2</v>
      </c>
      <c r="DN3981" s="406" t="s">
        <v>8211</v>
      </c>
      <c r="DO3981" s="406">
        <v>-28.41</v>
      </c>
      <c r="DP3981" s="80">
        <v>245</v>
      </c>
    </row>
    <row r="3982" spans="29:120" x14ac:dyDescent="0.25">
      <c r="AC3982" s="122" t="s">
        <v>300</v>
      </c>
      <c r="AD3982" s="122" t="s">
        <v>4258</v>
      </c>
      <c r="AE3982" s="127">
        <v>8</v>
      </c>
      <c r="DA3982" s="122" t="s">
        <v>236</v>
      </c>
      <c r="DB3982" s="122" t="s">
        <v>1675</v>
      </c>
      <c r="DC3982" s="122" t="s">
        <v>1675</v>
      </c>
      <c r="DD3982" s="127">
        <v>3</v>
      </c>
      <c r="DE3982" s="127">
        <v>3</v>
      </c>
      <c r="DG3982" s="405" t="s">
        <v>236</v>
      </c>
      <c r="DH3982" s="406" t="s">
        <v>1675</v>
      </c>
      <c r="DI3982" s="406" t="str">
        <f t="shared" si="94"/>
        <v>RS, Caiçara</v>
      </c>
      <c r="DJ3982" s="406">
        <v>-27.274000000000001</v>
      </c>
      <c r="DK3982" s="80">
        <v>-53.432000000000002</v>
      </c>
      <c r="DL3982" s="80">
        <v>583</v>
      </c>
      <c r="DM3982" s="64">
        <v>3</v>
      </c>
      <c r="DN3982" s="406" t="s">
        <v>8215</v>
      </c>
      <c r="DO3982" s="406">
        <v>-27.4</v>
      </c>
      <c r="DP3982" s="80">
        <v>490</v>
      </c>
    </row>
    <row r="3983" spans="29:120" x14ac:dyDescent="0.25">
      <c r="AC3983" s="122" t="s">
        <v>369</v>
      </c>
      <c r="AD3983" s="122" t="s">
        <v>4259</v>
      </c>
      <c r="AE3983" s="127">
        <v>8</v>
      </c>
      <c r="DA3983" s="122" t="s">
        <v>236</v>
      </c>
      <c r="DB3983" s="122" t="s">
        <v>1379</v>
      </c>
      <c r="DC3983" s="122" t="s">
        <v>1379</v>
      </c>
      <c r="DD3983" s="127">
        <v>2</v>
      </c>
      <c r="DE3983" s="127">
        <v>2</v>
      </c>
      <c r="DG3983" s="405" t="s">
        <v>236</v>
      </c>
      <c r="DH3983" s="406" t="s">
        <v>1379</v>
      </c>
      <c r="DI3983" s="406" t="str">
        <f t="shared" si="94"/>
        <v>RS, Camaquã</v>
      </c>
      <c r="DJ3983" s="406">
        <v>-30.850999999999999</v>
      </c>
      <c r="DK3983" s="80">
        <v>-51.811999999999998</v>
      </c>
      <c r="DL3983" s="80">
        <v>39</v>
      </c>
      <c r="DM3983" s="64">
        <v>2</v>
      </c>
      <c r="DN3983" s="406" t="s">
        <v>8221</v>
      </c>
      <c r="DO3983" s="406">
        <v>-30.81</v>
      </c>
      <c r="DP3983" s="80">
        <v>108</v>
      </c>
    </row>
    <row r="3984" spans="29:120" x14ac:dyDescent="0.25">
      <c r="AC3984" s="122" t="s">
        <v>268</v>
      </c>
      <c r="AD3984" s="122" t="s">
        <v>4260</v>
      </c>
      <c r="AE3984" s="127">
        <v>8</v>
      </c>
      <c r="DA3984" s="122" t="s">
        <v>236</v>
      </c>
      <c r="DB3984" s="122" t="s">
        <v>1529</v>
      </c>
      <c r="DC3984" s="122" t="s">
        <v>1529</v>
      </c>
      <c r="DD3984" s="127">
        <v>2</v>
      </c>
      <c r="DE3984" s="127">
        <v>2</v>
      </c>
      <c r="DG3984" s="405" t="s">
        <v>236</v>
      </c>
      <c r="DH3984" s="406" t="s">
        <v>1529</v>
      </c>
      <c r="DI3984" s="406" t="str">
        <f t="shared" si="94"/>
        <v>RS, Camargo</v>
      </c>
      <c r="DJ3984" s="406">
        <v>-28.587</v>
      </c>
      <c r="DK3984" s="80">
        <v>-52.201999999999998</v>
      </c>
      <c r="DL3984" s="80">
        <v>432</v>
      </c>
      <c r="DM3984" s="64">
        <v>2</v>
      </c>
      <c r="DN3984" s="406" t="s">
        <v>8208</v>
      </c>
      <c r="DO3984" s="406">
        <v>-28.26</v>
      </c>
      <c r="DP3984" s="80">
        <v>684</v>
      </c>
    </row>
    <row r="3985" spans="29:120" x14ac:dyDescent="0.25">
      <c r="AC3985" s="122" t="s">
        <v>344</v>
      </c>
      <c r="AD3985" s="122" t="s">
        <v>4261</v>
      </c>
      <c r="AE3985" s="127">
        <v>8</v>
      </c>
      <c r="DA3985" s="122" t="s">
        <v>236</v>
      </c>
      <c r="DB3985" s="122" t="s">
        <v>8270</v>
      </c>
      <c r="DC3985" s="122" t="s">
        <v>1203</v>
      </c>
      <c r="DD3985" s="127">
        <v>2</v>
      </c>
      <c r="DE3985" s="127">
        <v>2</v>
      </c>
      <c r="DG3985" s="405" t="s">
        <v>236</v>
      </c>
      <c r="DH3985" s="406" t="s">
        <v>1203</v>
      </c>
      <c r="DI3985" s="406" t="str">
        <f t="shared" si="94"/>
        <v>RS, Cambará do Sul</v>
      </c>
      <c r="DJ3985" s="406">
        <v>-29.047999999999998</v>
      </c>
      <c r="DK3985" s="80">
        <v>-50.145000000000003</v>
      </c>
      <c r="DL3985" s="80">
        <v>1031</v>
      </c>
      <c r="DM3985" s="64">
        <v>2</v>
      </c>
      <c r="DN3985" s="406" t="s">
        <v>8259</v>
      </c>
      <c r="DO3985" s="406">
        <v>-28.75</v>
      </c>
      <c r="DP3985" s="80">
        <v>1244</v>
      </c>
    </row>
    <row r="3986" spans="29:120" x14ac:dyDescent="0.25">
      <c r="AC3986" s="122" t="s">
        <v>328</v>
      </c>
      <c r="AD3986" s="122" t="s">
        <v>4262</v>
      </c>
      <c r="AE3986" s="127">
        <v>8</v>
      </c>
      <c r="DA3986" s="122" t="s">
        <v>236</v>
      </c>
      <c r="DB3986" s="122" t="s">
        <v>8271</v>
      </c>
      <c r="DC3986" s="122" t="s">
        <v>1161</v>
      </c>
      <c r="DD3986" s="127">
        <v>1</v>
      </c>
      <c r="DE3986" s="127">
        <v>1</v>
      </c>
      <c r="DG3986" s="405" t="s">
        <v>236</v>
      </c>
      <c r="DH3986" s="406" t="s">
        <v>1161</v>
      </c>
      <c r="DI3986" s="406" t="str">
        <f t="shared" si="94"/>
        <v>RS, Campestre da Serra</v>
      </c>
      <c r="DJ3986" s="406">
        <v>-28.795000000000002</v>
      </c>
      <c r="DK3986" s="80">
        <v>-51.093000000000004</v>
      </c>
      <c r="DL3986" s="80">
        <v>770</v>
      </c>
      <c r="DM3986" s="64">
        <v>1</v>
      </c>
      <c r="DN3986" s="406" t="s">
        <v>8272</v>
      </c>
      <c r="DO3986" s="406">
        <v>-28.51</v>
      </c>
      <c r="DP3986" s="80">
        <v>986</v>
      </c>
    </row>
    <row r="3987" spans="29:120" x14ac:dyDescent="0.25">
      <c r="AC3987" s="122" t="s">
        <v>344</v>
      </c>
      <c r="AD3987" s="122" t="s">
        <v>4263</v>
      </c>
      <c r="AE3987" s="127">
        <v>8</v>
      </c>
      <c r="DA3987" s="122" t="s">
        <v>236</v>
      </c>
      <c r="DB3987" s="122" t="s">
        <v>8273</v>
      </c>
      <c r="DC3987" s="122" t="s">
        <v>3131</v>
      </c>
      <c r="DD3987" s="127">
        <v>2</v>
      </c>
      <c r="DE3987" s="127">
        <v>2</v>
      </c>
      <c r="DG3987" s="405" t="s">
        <v>236</v>
      </c>
      <c r="DH3987" s="406" t="s">
        <v>3131</v>
      </c>
      <c r="DI3987" s="406" t="str">
        <f t="shared" si="94"/>
        <v>RS, Campina das Missões</v>
      </c>
      <c r="DJ3987" s="406">
        <v>-27.989000000000001</v>
      </c>
      <c r="DK3987" s="80">
        <v>-54.838999999999999</v>
      </c>
      <c r="DL3987" s="80">
        <v>163</v>
      </c>
      <c r="DM3987" s="64">
        <v>2</v>
      </c>
      <c r="DN3987" s="406" t="s">
        <v>8211</v>
      </c>
      <c r="DO3987" s="406">
        <v>-28.41</v>
      </c>
      <c r="DP3987" s="80">
        <v>245</v>
      </c>
    </row>
    <row r="3988" spans="29:120" x14ac:dyDescent="0.25">
      <c r="AC3988" s="122" t="s">
        <v>268</v>
      </c>
      <c r="AD3988" s="122" t="s">
        <v>4264</v>
      </c>
      <c r="AE3988" s="127">
        <v>8</v>
      </c>
      <c r="DA3988" s="122" t="s">
        <v>236</v>
      </c>
      <c r="DB3988" s="122" t="s">
        <v>8274</v>
      </c>
      <c r="DC3988" s="122" t="s">
        <v>1707</v>
      </c>
      <c r="DD3988" s="127">
        <v>2</v>
      </c>
      <c r="DE3988" s="127">
        <v>2</v>
      </c>
      <c r="DG3988" s="405" t="s">
        <v>236</v>
      </c>
      <c r="DH3988" s="406" t="s">
        <v>1707</v>
      </c>
      <c r="DI3988" s="406" t="str">
        <f t="shared" si="94"/>
        <v>RS, Campinas do Sul</v>
      </c>
      <c r="DJ3988" s="406">
        <v>-27.716000000000001</v>
      </c>
      <c r="DK3988" s="80">
        <v>-52.628</v>
      </c>
      <c r="DL3988" s="80">
        <v>583</v>
      </c>
      <c r="DM3988" s="64">
        <v>2</v>
      </c>
      <c r="DN3988" s="406" t="s">
        <v>8228</v>
      </c>
      <c r="DO3988" s="406">
        <v>-27.63</v>
      </c>
      <c r="DP3988" s="80">
        <v>765</v>
      </c>
    </row>
    <row r="3989" spans="29:120" x14ac:dyDescent="0.25">
      <c r="AC3989" s="122" t="s">
        <v>268</v>
      </c>
      <c r="AD3989" s="122" t="s">
        <v>4265</v>
      </c>
      <c r="AE3989" s="127">
        <v>8</v>
      </c>
      <c r="DA3989" s="122" t="s">
        <v>236</v>
      </c>
      <c r="DB3989" s="122" t="s">
        <v>8275</v>
      </c>
      <c r="DC3989" s="122" t="s">
        <v>3130</v>
      </c>
      <c r="DD3989" s="127">
        <v>2</v>
      </c>
      <c r="DE3989" s="127">
        <v>2</v>
      </c>
      <c r="DG3989" s="405" t="s">
        <v>236</v>
      </c>
      <c r="DH3989" s="406" t="s">
        <v>3130</v>
      </c>
      <c r="DI3989" s="406" t="str">
        <f t="shared" si="94"/>
        <v>RS, Campo Bom</v>
      </c>
      <c r="DJ3989" s="406">
        <v>-29.678999999999998</v>
      </c>
      <c r="DK3989" s="80">
        <v>-51.052999999999997</v>
      </c>
      <c r="DL3989" s="80">
        <v>29</v>
      </c>
      <c r="DM3989" s="64">
        <v>2</v>
      </c>
      <c r="DN3989" s="406" t="s">
        <v>8227</v>
      </c>
      <c r="DO3989" s="406">
        <v>-29.37</v>
      </c>
      <c r="DP3989" s="80">
        <v>830</v>
      </c>
    </row>
    <row r="3990" spans="29:120" x14ac:dyDescent="0.25">
      <c r="AC3990" s="122" t="s">
        <v>268</v>
      </c>
      <c r="AD3990" s="122" t="s">
        <v>4266</v>
      </c>
      <c r="AE3990" s="127">
        <v>8</v>
      </c>
      <c r="DA3990" s="122" t="s">
        <v>236</v>
      </c>
      <c r="DB3990" s="122" t="s">
        <v>8276</v>
      </c>
      <c r="DC3990" s="122" t="s">
        <v>1731</v>
      </c>
      <c r="DD3990" s="127">
        <v>2</v>
      </c>
      <c r="DE3990" s="127">
        <v>2</v>
      </c>
      <c r="DG3990" s="405" t="s">
        <v>236</v>
      </c>
      <c r="DH3990" s="406" t="s">
        <v>1731</v>
      </c>
      <c r="DI3990" s="406" t="str">
        <f t="shared" si="94"/>
        <v>RS, Campo Novo</v>
      </c>
      <c r="DJ3990" s="406">
        <v>-27.675000000000001</v>
      </c>
      <c r="DK3990" s="80">
        <v>-53.802999999999997</v>
      </c>
      <c r="DL3990" s="80">
        <v>437</v>
      </c>
      <c r="DM3990" s="64">
        <v>2</v>
      </c>
      <c r="DN3990" s="406" t="s">
        <v>8210</v>
      </c>
      <c r="DO3990" s="406">
        <v>-27.85</v>
      </c>
      <c r="DP3990" s="80">
        <v>550</v>
      </c>
    </row>
    <row r="3991" spans="29:120" x14ac:dyDescent="0.25">
      <c r="AC3991" s="122" t="s">
        <v>268</v>
      </c>
      <c r="AD3991" s="122" t="s">
        <v>3611</v>
      </c>
      <c r="AE3991" s="127">
        <v>8</v>
      </c>
      <c r="DA3991" s="122" t="s">
        <v>236</v>
      </c>
      <c r="DB3991" s="122" t="s">
        <v>8277</v>
      </c>
      <c r="DC3991" s="122" t="s">
        <v>1559</v>
      </c>
      <c r="DD3991" s="127">
        <v>2</v>
      </c>
      <c r="DE3991" s="127">
        <v>2</v>
      </c>
      <c r="DG3991" s="405" t="s">
        <v>236</v>
      </c>
      <c r="DH3991" s="406" t="s">
        <v>1559</v>
      </c>
      <c r="DI3991" s="406" t="str">
        <f t="shared" si="94"/>
        <v>RS, Campos Borges</v>
      </c>
      <c r="DJ3991" s="406">
        <v>-28.885999999999999</v>
      </c>
      <c r="DK3991" s="80">
        <v>-52.999000000000002</v>
      </c>
      <c r="DL3991" s="80">
        <v>513</v>
      </c>
      <c r="DM3991" s="64">
        <v>2</v>
      </c>
      <c r="DN3991" s="406" t="s">
        <v>8216</v>
      </c>
      <c r="DO3991" s="406">
        <v>-28.85</v>
      </c>
      <c r="DP3991" s="80">
        <v>667</v>
      </c>
    </row>
    <row r="3992" spans="29:120" x14ac:dyDescent="0.25">
      <c r="AC3992" s="122" t="s">
        <v>300</v>
      </c>
      <c r="AD3992" s="122" t="s">
        <v>4267</v>
      </c>
      <c r="AE3992" s="127">
        <v>8</v>
      </c>
      <c r="DA3992" s="122" t="s">
        <v>236</v>
      </c>
      <c r="DB3992" s="122" t="s">
        <v>1644</v>
      </c>
      <c r="DC3992" s="122" t="s">
        <v>1644</v>
      </c>
      <c r="DD3992" s="127">
        <v>2</v>
      </c>
      <c r="DE3992" s="127">
        <v>2</v>
      </c>
      <c r="DG3992" s="405" t="s">
        <v>236</v>
      </c>
      <c r="DH3992" s="406" t="s">
        <v>1644</v>
      </c>
      <c r="DI3992" s="406" t="str">
        <f t="shared" si="94"/>
        <v>RS, Candelária</v>
      </c>
      <c r="DJ3992" s="406">
        <v>-29.669</v>
      </c>
      <c r="DK3992" s="80">
        <v>-52.789000000000001</v>
      </c>
      <c r="DL3992" s="80">
        <v>57</v>
      </c>
      <c r="DM3992" s="64">
        <v>2</v>
      </c>
      <c r="DN3992" s="406" t="s">
        <v>8263</v>
      </c>
      <c r="DO3992" s="406">
        <v>-29.87</v>
      </c>
      <c r="DP3992" s="80">
        <v>111</v>
      </c>
    </row>
    <row r="3993" spans="29:120" x14ac:dyDescent="0.25">
      <c r="AC3993" s="122" t="s">
        <v>268</v>
      </c>
      <c r="AD3993" s="122" t="s">
        <v>4268</v>
      </c>
      <c r="AE3993" s="127">
        <v>8</v>
      </c>
      <c r="DA3993" s="122" t="s">
        <v>236</v>
      </c>
      <c r="DB3993" s="122" t="s">
        <v>8278</v>
      </c>
      <c r="DC3993" s="122" t="s">
        <v>3088</v>
      </c>
      <c r="DD3993" s="127">
        <v>2</v>
      </c>
      <c r="DE3993" s="127">
        <v>2</v>
      </c>
      <c r="DG3993" s="405" t="s">
        <v>236</v>
      </c>
      <c r="DH3993" s="406" t="s">
        <v>3088</v>
      </c>
      <c r="DI3993" s="406" t="str">
        <f t="shared" si="94"/>
        <v>RS, Cândido Godói</v>
      </c>
      <c r="DJ3993" s="406">
        <v>-27.952000000000002</v>
      </c>
      <c r="DK3993" s="80">
        <v>-54.752000000000002</v>
      </c>
      <c r="DL3993" s="80">
        <v>321</v>
      </c>
      <c r="DM3993" s="64">
        <v>2</v>
      </c>
      <c r="DN3993" s="406" t="s">
        <v>8211</v>
      </c>
      <c r="DO3993" s="406">
        <v>-28.41</v>
      </c>
      <c r="DP3993" s="80">
        <v>245</v>
      </c>
    </row>
    <row r="3994" spans="29:120" x14ac:dyDescent="0.25">
      <c r="AC3994" s="122" t="s">
        <v>344</v>
      </c>
      <c r="AD3994" s="122" t="s">
        <v>4269</v>
      </c>
      <c r="AE3994" s="127">
        <v>8</v>
      </c>
      <c r="DA3994" s="122" t="s">
        <v>236</v>
      </c>
      <c r="DB3994" s="122" t="s">
        <v>1412</v>
      </c>
      <c r="DC3994" s="122" t="s">
        <v>1412</v>
      </c>
      <c r="DD3994" s="127">
        <v>2</v>
      </c>
      <c r="DE3994" s="127">
        <v>2</v>
      </c>
      <c r="DG3994" s="405" t="s">
        <v>236</v>
      </c>
      <c r="DH3994" s="406" t="s">
        <v>1412</v>
      </c>
      <c r="DI3994" s="406" t="str">
        <f t="shared" si="94"/>
        <v>RS, Candiota</v>
      </c>
      <c r="DJ3994" s="406">
        <v>-31.558</v>
      </c>
      <c r="DK3994" s="80">
        <v>-53.673000000000002</v>
      </c>
      <c r="DL3994" s="80">
        <v>220</v>
      </c>
      <c r="DM3994" s="64">
        <v>2</v>
      </c>
      <c r="DN3994" s="406" t="s">
        <v>8206</v>
      </c>
      <c r="DO3994" s="406">
        <v>-31.33</v>
      </c>
      <c r="DP3994" s="80">
        <v>230</v>
      </c>
    </row>
    <row r="3995" spans="29:120" x14ac:dyDescent="0.25">
      <c r="AC3995" s="122" t="s">
        <v>344</v>
      </c>
      <c r="AD3995" s="122" t="s">
        <v>4270</v>
      </c>
      <c r="AE3995" s="127">
        <v>8</v>
      </c>
      <c r="DA3995" s="122" t="s">
        <v>236</v>
      </c>
      <c r="DB3995" s="122" t="s">
        <v>1302</v>
      </c>
      <c r="DC3995" s="122" t="s">
        <v>1302</v>
      </c>
      <c r="DD3995" s="127">
        <v>1</v>
      </c>
      <c r="DE3995" s="127">
        <v>1</v>
      </c>
      <c r="DG3995" s="405" t="s">
        <v>236</v>
      </c>
      <c r="DH3995" s="406" t="s">
        <v>1302</v>
      </c>
      <c r="DI3995" s="406" t="str">
        <f t="shared" si="94"/>
        <v>RS, Canela</v>
      </c>
      <c r="DJ3995" s="406">
        <v>-29.366</v>
      </c>
      <c r="DK3995" s="80">
        <v>-50.816000000000003</v>
      </c>
      <c r="DL3995" s="80">
        <v>837</v>
      </c>
      <c r="DM3995" s="64">
        <v>1</v>
      </c>
      <c r="DN3995" s="406" t="s">
        <v>8227</v>
      </c>
      <c r="DO3995" s="406">
        <v>-29.37</v>
      </c>
      <c r="DP3995" s="80">
        <v>830</v>
      </c>
    </row>
    <row r="3996" spans="29:120" x14ac:dyDescent="0.25">
      <c r="AC3996" s="122" t="s">
        <v>279</v>
      </c>
      <c r="AD3996" s="122" t="s">
        <v>4271</v>
      </c>
      <c r="AE3996" s="127">
        <v>8</v>
      </c>
      <c r="DA3996" s="122" t="s">
        <v>236</v>
      </c>
      <c r="DB3996" s="122" t="s">
        <v>1298</v>
      </c>
      <c r="DC3996" s="122" t="s">
        <v>1298</v>
      </c>
      <c r="DD3996" s="127">
        <v>2</v>
      </c>
      <c r="DE3996" s="127">
        <v>2</v>
      </c>
      <c r="DG3996" s="405" t="s">
        <v>236</v>
      </c>
      <c r="DH3996" s="406" t="s">
        <v>1298</v>
      </c>
      <c r="DI3996" s="406" t="str">
        <f t="shared" si="94"/>
        <v>RS, Canguçu</v>
      </c>
      <c r="DJ3996" s="406">
        <v>-31.395</v>
      </c>
      <c r="DK3996" s="80">
        <v>-52.676000000000002</v>
      </c>
      <c r="DL3996" s="80">
        <v>386</v>
      </c>
      <c r="DM3996" s="64">
        <v>2</v>
      </c>
      <c r="DN3996" s="406" t="s">
        <v>8231</v>
      </c>
      <c r="DO3996" s="406">
        <v>-31.41</v>
      </c>
      <c r="DP3996" s="80">
        <v>464</v>
      </c>
    </row>
    <row r="3997" spans="29:120" x14ac:dyDescent="0.25">
      <c r="AC3997" s="122" t="s">
        <v>328</v>
      </c>
      <c r="AD3997" s="122" t="s">
        <v>4272</v>
      </c>
      <c r="AE3997" s="127">
        <v>8</v>
      </c>
      <c r="DA3997" s="122" t="s">
        <v>236</v>
      </c>
      <c r="DB3997" s="122" t="s">
        <v>1627</v>
      </c>
      <c r="DC3997" s="122" t="s">
        <v>1627</v>
      </c>
      <c r="DD3997" s="127">
        <v>2</v>
      </c>
      <c r="DE3997" s="127">
        <v>2</v>
      </c>
      <c r="DG3997" s="405" t="s">
        <v>236</v>
      </c>
      <c r="DH3997" s="406" t="s">
        <v>1627</v>
      </c>
      <c r="DI3997" s="406" t="str">
        <f t="shared" si="94"/>
        <v>RS, Canoas</v>
      </c>
      <c r="DJ3997" s="406">
        <v>-29.917999999999999</v>
      </c>
      <c r="DK3997" s="80">
        <v>-51.183999999999997</v>
      </c>
      <c r="DL3997" s="80">
        <v>8</v>
      </c>
      <c r="DM3997" s="64">
        <v>2</v>
      </c>
      <c r="DN3997" s="406" t="s">
        <v>8219</v>
      </c>
      <c r="DO3997" s="406">
        <v>-30.03</v>
      </c>
      <c r="DP3997" s="80">
        <v>47</v>
      </c>
    </row>
    <row r="3998" spans="29:120" x14ac:dyDescent="0.25">
      <c r="AC3998" s="122" t="s">
        <v>344</v>
      </c>
      <c r="AD3998" s="122" t="s">
        <v>4273</v>
      </c>
      <c r="AE3998" s="127">
        <v>8</v>
      </c>
      <c r="DA3998" s="122" t="s">
        <v>236</v>
      </c>
      <c r="DB3998" s="122" t="s">
        <v>8279</v>
      </c>
      <c r="DC3998" s="122" t="s">
        <v>1447</v>
      </c>
      <c r="DD3998" s="127">
        <v>2</v>
      </c>
      <c r="DE3998" s="127">
        <v>2</v>
      </c>
      <c r="DG3998" s="405" t="s">
        <v>236</v>
      </c>
      <c r="DH3998" s="406" t="s">
        <v>1447</v>
      </c>
      <c r="DI3998" s="406" t="str">
        <f t="shared" si="94"/>
        <v>RS, Canudos do Vale</v>
      </c>
      <c r="DJ3998" s="406">
        <v>-29.323</v>
      </c>
      <c r="DK3998" s="80">
        <v>-52.234000000000002</v>
      </c>
      <c r="DL3998" s="80">
        <v>344</v>
      </c>
      <c r="DM3998" s="64">
        <v>2</v>
      </c>
      <c r="DN3998" s="406" t="s">
        <v>8216</v>
      </c>
      <c r="DO3998" s="406">
        <v>-28.85</v>
      </c>
      <c r="DP3998" s="80">
        <v>667</v>
      </c>
    </row>
    <row r="3999" spans="29:120" x14ac:dyDescent="0.25">
      <c r="AC3999" s="122" t="s">
        <v>268</v>
      </c>
      <c r="AD3999" s="122" t="s">
        <v>4274</v>
      </c>
      <c r="AE3999" s="127">
        <v>8</v>
      </c>
      <c r="DA3999" s="122" t="s">
        <v>236</v>
      </c>
      <c r="DB3999" s="122" t="s">
        <v>8280</v>
      </c>
      <c r="DC3999" s="122" t="s">
        <v>1208</v>
      </c>
      <c r="DD3999" s="127">
        <v>2</v>
      </c>
      <c r="DE3999" s="127">
        <v>2</v>
      </c>
      <c r="DG3999" s="405" t="s">
        <v>236</v>
      </c>
      <c r="DH3999" s="406" t="s">
        <v>1208</v>
      </c>
      <c r="DI3999" s="406" t="str">
        <f t="shared" si="94"/>
        <v>RS, Capão Bonito do Sul</v>
      </c>
      <c r="DJ3999" s="406">
        <v>-28.128</v>
      </c>
      <c r="DK3999" s="80">
        <v>-51.395000000000003</v>
      </c>
      <c r="DL3999" s="80">
        <v>859</v>
      </c>
      <c r="DM3999" s="64">
        <v>2</v>
      </c>
      <c r="DN3999" s="406" t="s">
        <v>8224</v>
      </c>
      <c r="DO3999" s="406">
        <v>-28.22</v>
      </c>
      <c r="DP3999" s="80">
        <v>842</v>
      </c>
    </row>
    <row r="4000" spans="29:120" x14ac:dyDescent="0.25">
      <c r="AC4000" s="122" t="s">
        <v>328</v>
      </c>
      <c r="AD4000" s="122" t="s">
        <v>4275</v>
      </c>
      <c r="AE4000" s="127">
        <v>8</v>
      </c>
      <c r="DA4000" s="122" t="s">
        <v>236</v>
      </c>
      <c r="DB4000" s="122" t="s">
        <v>8281</v>
      </c>
      <c r="DC4000" s="122" t="s">
        <v>1168</v>
      </c>
      <c r="DD4000" s="127">
        <v>1</v>
      </c>
      <c r="DE4000" s="127">
        <v>1</v>
      </c>
      <c r="DG4000" s="405" t="s">
        <v>236</v>
      </c>
      <c r="DH4000" s="406" t="s">
        <v>1168</v>
      </c>
      <c r="DI4000" s="406" t="str">
        <f t="shared" si="94"/>
        <v>RS, Capão da Canoa</v>
      </c>
      <c r="DJ4000" s="406">
        <v>-29.760999999999999</v>
      </c>
      <c r="DK4000" s="80">
        <v>-50.03</v>
      </c>
      <c r="DL4000" s="80">
        <v>6</v>
      </c>
      <c r="DM4000" s="64">
        <v>1</v>
      </c>
      <c r="DN4000" s="406" t="s">
        <v>8241</v>
      </c>
      <c r="DO4000" s="406">
        <v>-30.01</v>
      </c>
      <c r="DP4000" s="80">
        <v>1</v>
      </c>
    </row>
    <row r="4001" spans="29:120" x14ac:dyDescent="0.25">
      <c r="AC4001" s="122" t="s">
        <v>369</v>
      </c>
      <c r="AD4001" s="122" t="s">
        <v>4276</v>
      </c>
      <c r="AE4001" s="127">
        <v>8</v>
      </c>
      <c r="DA4001" s="122" t="s">
        <v>236</v>
      </c>
      <c r="DB4001" s="122" t="s">
        <v>8282</v>
      </c>
      <c r="DC4001" s="122" t="s">
        <v>1468</v>
      </c>
      <c r="DD4001" s="127">
        <v>2</v>
      </c>
      <c r="DE4001" s="127">
        <v>2</v>
      </c>
      <c r="DG4001" s="405" t="s">
        <v>236</v>
      </c>
      <c r="DH4001" s="406" t="s">
        <v>1468</v>
      </c>
      <c r="DI4001" s="406" t="str">
        <f t="shared" si="94"/>
        <v>RS, Capão do Cipó</v>
      </c>
      <c r="DJ4001" s="406">
        <v>-28.925000000000001</v>
      </c>
      <c r="DK4001" s="80">
        <v>-54.692</v>
      </c>
      <c r="DL4001" s="80">
        <v>376</v>
      </c>
      <c r="DM4001" s="64">
        <v>2</v>
      </c>
      <c r="DN4001" s="406" t="s">
        <v>8283</v>
      </c>
      <c r="DO4001" s="406">
        <v>-29.19</v>
      </c>
      <c r="DP4001" s="80">
        <v>394</v>
      </c>
    </row>
    <row r="4002" spans="29:120" x14ac:dyDescent="0.25">
      <c r="AC4002" s="122" t="s">
        <v>289</v>
      </c>
      <c r="AD4002" s="122" t="s">
        <v>4277</v>
      </c>
      <c r="AE4002" s="127">
        <v>8</v>
      </c>
      <c r="DA4002" s="122" t="s">
        <v>236</v>
      </c>
      <c r="DB4002" s="122" t="s">
        <v>8284</v>
      </c>
      <c r="DC4002" s="122" t="s">
        <v>1138</v>
      </c>
      <c r="DD4002" s="127">
        <v>2</v>
      </c>
      <c r="DE4002" s="127">
        <v>2</v>
      </c>
      <c r="DG4002" s="405" t="s">
        <v>236</v>
      </c>
      <c r="DH4002" s="406" t="s">
        <v>1138</v>
      </c>
      <c r="DI4002" s="406" t="str">
        <f t="shared" si="94"/>
        <v>RS, Capão do Leão</v>
      </c>
      <c r="DJ4002" s="406">
        <v>-31.763000000000002</v>
      </c>
      <c r="DK4002" s="80">
        <v>-52.484000000000002</v>
      </c>
      <c r="DL4002" s="80">
        <v>21</v>
      </c>
      <c r="DM4002" s="64">
        <v>2</v>
      </c>
      <c r="DN4002" s="406" t="s">
        <v>8231</v>
      </c>
      <c r="DO4002" s="406">
        <v>-31.41</v>
      </c>
      <c r="DP4002" s="80">
        <v>464</v>
      </c>
    </row>
    <row r="4003" spans="29:120" x14ac:dyDescent="0.25">
      <c r="AC4003" s="122" t="s">
        <v>268</v>
      </c>
      <c r="AD4003" s="122" t="s">
        <v>4278</v>
      </c>
      <c r="AE4003" s="127">
        <v>8</v>
      </c>
      <c r="DA4003" s="122" t="s">
        <v>236</v>
      </c>
      <c r="DB4003" s="122" t="s">
        <v>8285</v>
      </c>
      <c r="DC4003" s="122" t="s">
        <v>1162</v>
      </c>
      <c r="DD4003" s="127">
        <v>2</v>
      </c>
      <c r="DE4003" s="127">
        <v>2</v>
      </c>
      <c r="DG4003" s="405" t="s">
        <v>236</v>
      </c>
      <c r="DH4003" s="406" t="s">
        <v>1162</v>
      </c>
      <c r="DI4003" s="406" t="str">
        <f t="shared" si="94"/>
        <v>RS, Capela de Santana</v>
      </c>
      <c r="DJ4003" s="406">
        <v>-29.7</v>
      </c>
      <c r="DK4003" s="80">
        <v>-51.325000000000003</v>
      </c>
      <c r="DL4003" s="80">
        <v>69</v>
      </c>
      <c r="DM4003" s="64">
        <v>2</v>
      </c>
      <c r="DN4003" s="406" t="s">
        <v>8219</v>
      </c>
      <c r="DO4003" s="406">
        <v>-30.03</v>
      </c>
      <c r="DP4003" s="80">
        <v>47</v>
      </c>
    </row>
    <row r="4004" spans="29:120" x14ac:dyDescent="0.25">
      <c r="AC4004" s="122" t="s">
        <v>328</v>
      </c>
      <c r="AD4004" s="122" t="s">
        <v>4279</v>
      </c>
      <c r="AE4004" s="127">
        <v>8</v>
      </c>
      <c r="DA4004" s="122" t="s">
        <v>236</v>
      </c>
      <c r="DB4004" s="122" t="s">
        <v>1437</v>
      </c>
      <c r="DC4004" s="122" t="s">
        <v>1437</v>
      </c>
      <c r="DD4004" s="127">
        <v>2</v>
      </c>
      <c r="DE4004" s="127">
        <v>2</v>
      </c>
      <c r="DG4004" s="405" t="s">
        <v>236</v>
      </c>
      <c r="DH4004" s="406" t="s">
        <v>1437</v>
      </c>
      <c r="DI4004" s="406" t="str">
        <f t="shared" si="94"/>
        <v>RS, Capitão</v>
      </c>
      <c r="DJ4004" s="406">
        <v>-29.268999999999998</v>
      </c>
      <c r="DK4004" s="80">
        <v>-51.988999999999997</v>
      </c>
      <c r="DL4004" s="80">
        <v>465</v>
      </c>
      <c r="DM4004" s="64">
        <v>2</v>
      </c>
      <c r="DN4004" s="406" t="s">
        <v>8218</v>
      </c>
      <c r="DO4004" s="406">
        <v>-29.17</v>
      </c>
      <c r="DP4004" s="80">
        <v>640</v>
      </c>
    </row>
    <row r="4005" spans="29:120" x14ac:dyDescent="0.25">
      <c r="AC4005" s="122" t="s">
        <v>344</v>
      </c>
      <c r="AD4005" s="122" t="s">
        <v>4280</v>
      </c>
      <c r="AE4005" s="127">
        <v>8</v>
      </c>
      <c r="DA4005" s="122" t="s">
        <v>236</v>
      </c>
      <c r="DB4005" s="122" t="s">
        <v>8286</v>
      </c>
      <c r="DC4005" s="122" t="s">
        <v>1121</v>
      </c>
      <c r="DD4005" s="127">
        <v>2</v>
      </c>
      <c r="DE4005" s="127">
        <v>2</v>
      </c>
      <c r="DG4005" s="405" t="s">
        <v>236</v>
      </c>
      <c r="DH4005" s="406" t="s">
        <v>1121</v>
      </c>
      <c r="DI4005" s="406" t="str">
        <f t="shared" si="94"/>
        <v>RS, Capivari do Sul</v>
      </c>
      <c r="DJ4005" s="406">
        <v>-30.145</v>
      </c>
      <c r="DK4005" s="80">
        <v>-50.515000000000001</v>
      </c>
      <c r="DL4005" s="80">
        <v>12</v>
      </c>
      <c r="DM4005" s="64">
        <v>2</v>
      </c>
      <c r="DN4005" s="406" t="s">
        <v>8241</v>
      </c>
      <c r="DO4005" s="406">
        <v>-30.01</v>
      </c>
      <c r="DP4005" s="80">
        <v>1</v>
      </c>
    </row>
    <row r="4006" spans="29:120" x14ac:dyDescent="0.25">
      <c r="AC4006" s="122" t="s">
        <v>300</v>
      </c>
      <c r="AD4006" s="122" t="s">
        <v>4281</v>
      </c>
      <c r="AE4006" s="127">
        <v>8</v>
      </c>
      <c r="DA4006" s="122" t="s">
        <v>236</v>
      </c>
      <c r="DB4006" s="122" t="s">
        <v>1097</v>
      </c>
      <c r="DC4006" s="122" t="s">
        <v>1097</v>
      </c>
      <c r="DD4006" s="127">
        <v>1</v>
      </c>
      <c r="DE4006" s="127">
        <v>1</v>
      </c>
      <c r="DG4006" s="405" t="s">
        <v>236</v>
      </c>
      <c r="DH4006" s="406" t="s">
        <v>5748</v>
      </c>
      <c r="DI4006" s="406" t="str">
        <f t="shared" si="94"/>
        <v>RS, Caraá</v>
      </c>
      <c r="DJ4006" s="406">
        <v>-29.79</v>
      </c>
      <c r="DK4006" s="80">
        <v>-50.435000000000002</v>
      </c>
      <c r="DL4006" s="80">
        <v>38</v>
      </c>
      <c r="DM4006" s="64">
        <v>1</v>
      </c>
      <c r="DN4006" s="406" t="s">
        <v>8241</v>
      </c>
      <c r="DO4006" s="406">
        <v>-30.01</v>
      </c>
      <c r="DP4006" s="80">
        <v>1</v>
      </c>
    </row>
    <row r="4007" spans="29:120" x14ac:dyDescent="0.25">
      <c r="AC4007" s="122" t="s">
        <v>268</v>
      </c>
      <c r="AD4007" s="122" t="s">
        <v>4282</v>
      </c>
      <c r="AE4007" s="127">
        <v>8</v>
      </c>
      <c r="DA4007" s="122" t="s">
        <v>236</v>
      </c>
      <c r="DB4007" s="122" t="s">
        <v>1295</v>
      </c>
      <c r="DC4007" s="122" t="s">
        <v>1295</v>
      </c>
      <c r="DD4007" s="127">
        <v>2</v>
      </c>
      <c r="DE4007" s="127">
        <v>2</v>
      </c>
      <c r="DG4007" s="405" t="s">
        <v>236</v>
      </c>
      <c r="DH4007" s="406" t="s">
        <v>1295</v>
      </c>
      <c r="DI4007" s="406" t="str">
        <f t="shared" si="94"/>
        <v>RS, Carazinho</v>
      </c>
      <c r="DJ4007" s="406">
        <v>-28.283999999999999</v>
      </c>
      <c r="DK4007" s="80">
        <v>-52.786000000000001</v>
      </c>
      <c r="DL4007" s="80">
        <v>603</v>
      </c>
      <c r="DM4007" s="64">
        <v>2</v>
      </c>
      <c r="DN4007" s="406" t="s">
        <v>8208</v>
      </c>
      <c r="DO4007" s="406">
        <v>-28.26</v>
      </c>
      <c r="DP4007" s="80">
        <v>684</v>
      </c>
    </row>
    <row r="4008" spans="29:120" x14ac:dyDescent="0.25">
      <c r="AC4008" s="122" t="s">
        <v>393</v>
      </c>
      <c r="AD4008" s="122" t="s">
        <v>4283</v>
      </c>
      <c r="AE4008" s="127">
        <v>7</v>
      </c>
      <c r="DA4008" s="122" t="s">
        <v>236</v>
      </c>
      <c r="DB4008" s="122" t="s">
        <v>8287</v>
      </c>
      <c r="DC4008" s="122" t="s">
        <v>1528</v>
      </c>
      <c r="DD4008" s="127">
        <v>1</v>
      </c>
      <c r="DE4008" s="127">
        <v>1</v>
      </c>
      <c r="DG4008" s="405" t="s">
        <v>236</v>
      </c>
      <c r="DH4008" s="406" t="s">
        <v>1528</v>
      </c>
      <c r="DI4008" s="406" t="str">
        <f t="shared" si="94"/>
        <v>RS, Carlos Barbosa</v>
      </c>
      <c r="DJ4008" s="406">
        <v>-29.297999999999998</v>
      </c>
      <c r="DK4008" s="80">
        <v>-51.503999999999998</v>
      </c>
      <c r="DL4008" s="80">
        <v>676</v>
      </c>
      <c r="DM4008" s="64">
        <v>1</v>
      </c>
      <c r="DN4008" s="406" t="s">
        <v>8218</v>
      </c>
      <c r="DO4008" s="406">
        <v>-29.17</v>
      </c>
      <c r="DP4008" s="80">
        <v>640</v>
      </c>
    </row>
    <row r="4009" spans="29:120" x14ac:dyDescent="0.25">
      <c r="AC4009" s="122" t="s">
        <v>344</v>
      </c>
      <c r="AD4009" s="122" t="s">
        <v>4284</v>
      </c>
      <c r="AE4009" s="127">
        <v>8</v>
      </c>
      <c r="DA4009" s="122" t="s">
        <v>236</v>
      </c>
      <c r="DB4009" s="122" t="s">
        <v>8288</v>
      </c>
      <c r="DC4009" s="122" t="s">
        <v>1643</v>
      </c>
      <c r="DD4009" s="127">
        <v>2</v>
      </c>
      <c r="DE4009" s="127">
        <v>2</v>
      </c>
      <c r="DG4009" s="405" t="s">
        <v>236</v>
      </c>
      <c r="DH4009" s="406" t="s">
        <v>1643</v>
      </c>
      <c r="DI4009" s="406" t="str">
        <f t="shared" si="94"/>
        <v>RS, Carlos Gomes</v>
      </c>
      <c r="DJ4009" s="406">
        <v>-27.718</v>
      </c>
      <c r="DK4009" s="80">
        <v>-51.914000000000001</v>
      </c>
      <c r="DL4009" s="80">
        <v>447</v>
      </c>
      <c r="DM4009" s="64">
        <v>2</v>
      </c>
      <c r="DN4009" s="406" t="s">
        <v>8228</v>
      </c>
      <c r="DO4009" s="406">
        <v>-27.63</v>
      </c>
      <c r="DP4009" s="80">
        <v>765</v>
      </c>
    </row>
    <row r="4010" spans="29:120" x14ac:dyDescent="0.25">
      <c r="AC4010" s="122" t="s">
        <v>328</v>
      </c>
      <c r="AD4010" s="122" t="s">
        <v>4285</v>
      </c>
      <c r="AE4010" s="127">
        <v>8</v>
      </c>
      <c r="DA4010" s="122" t="s">
        <v>236</v>
      </c>
      <c r="DB4010" s="122" t="s">
        <v>1534</v>
      </c>
      <c r="DC4010" s="122" t="s">
        <v>1534</v>
      </c>
      <c r="DD4010" s="127">
        <v>2</v>
      </c>
      <c r="DE4010" s="127">
        <v>2</v>
      </c>
      <c r="DG4010" s="405" t="s">
        <v>236</v>
      </c>
      <c r="DH4010" s="406" t="s">
        <v>1534</v>
      </c>
      <c r="DI4010" s="406" t="str">
        <f t="shared" si="94"/>
        <v>RS, Casca</v>
      </c>
      <c r="DJ4010" s="406">
        <v>-28.561</v>
      </c>
      <c r="DK4010" s="80">
        <v>-51.978000000000002</v>
      </c>
      <c r="DL4010" s="80">
        <v>608</v>
      </c>
      <c r="DM4010" s="64">
        <v>2</v>
      </c>
      <c r="DN4010" s="406" t="s">
        <v>8208</v>
      </c>
      <c r="DO4010" s="406">
        <v>-28.26</v>
      </c>
      <c r="DP4010" s="80">
        <v>684</v>
      </c>
    </row>
    <row r="4011" spans="29:120" x14ac:dyDescent="0.25">
      <c r="AC4011" s="122" t="s">
        <v>300</v>
      </c>
      <c r="AD4011" s="122" t="s">
        <v>4286</v>
      </c>
      <c r="AE4011" s="127">
        <v>8</v>
      </c>
      <c r="DA4011" s="122" t="s">
        <v>236</v>
      </c>
      <c r="DB4011" s="122" t="s">
        <v>1290</v>
      </c>
      <c r="DC4011" s="122" t="s">
        <v>1290</v>
      </c>
      <c r="DD4011" s="127">
        <v>2</v>
      </c>
      <c r="DE4011" s="127">
        <v>2</v>
      </c>
      <c r="DG4011" s="405" t="s">
        <v>236</v>
      </c>
      <c r="DH4011" s="406" t="s">
        <v>1290</v>
      </c>
      <c r="DI4011" s="406" t="str">
        <f t="shared" si="94"/>
        <v>RS, Caseiros</v>
      </c>
      <c r="DJ4011" s="406">
        <v>-28.268999999999998</v>
      </c>
      <c r="DK4011" s="80">
        <v>-51.69</v>
      </c>
      <c r="DL4011" s="80">
        <v>786</v>
      </c>
      <c r="DM4011" s="64">
        <v>2</v>
      </c>
      <c r="DN4011" s="406" t="s">
        <v>8224</v>
      </c>
      <c r="DO4011" s="406">
        <v>-28.22</v>
      </c>
      <c r="DP4011" s="80">
        <v>842</v>
      </c>
    </row>
    <row r="4012" spans="29:120" x14ac:dyDescent="0.25">
      <c r="AC4012" s="122" t="s">
        <v>393</v>
      </c>
      <c r="AD4012" s="122" t="s">
        <v>4287</v>
      </c>
      <c r="AE4012" s="127">
        <v>7</v>
      </c>
      <c r="DA4012" s="122" t="s">
        <v>236</v>
      </c>
      <c r="DB4012" s="122" t="s">
        <v>3089</v>
      </c>
      <c r="DC4012" s="122" t="s">
        <v>3089</v>
      </c>
      <c r="DD4012" s="127">
        <v>2</v>
      </c>
      <c r="DE4012" s="127">
        <v>2</v>
      </c>
      <c r="DG4012" s="405" t="s">
        <v>236</v>
      </c>
      <c r="DH4012" s="406" t="s">
        <v>3089</v>
      </c>
      <c r="DI4012" s="406" t="str">
        <f t="shared" si="94"/>
        <v>RS, Catuípe</v>
      </c>
      <c r="DJ4012" s="406">
        <v>-28.25</v>
      </c>
      <c r="DK4012" s="80">
        <v>-54.012</v>
      </c>
      <c r="DL4012" s="80">
        <v>315</v>
      </c>
      <c r="DM4012" s="64">
        <v>2</v>
      </c>
      <c r="DN4012" s="406" t="s">
        <v>8210</v>
      </c>
      <c r="DO4012" s="406">
        <v>-27.85</v>
      </c>
      <c r="DP4012" s="80">
        <v>550</v>
      </c>
    </row>
    <row r="4013" spans="29:120" x14ac:dyDescent="0.25">
      <c r="AC4013" s="122" t="s">
        <v>300</v>
      </c>
      <c r="AD4013" s="122" t="s">
        <v>4288</v>
      </c>
      <c r="AE4013" s="127">
        <v>8</v>
      </c>
      <c r="DA4013" s="122" t="s">
        <v>236</v>
      </c>
      <c r="DB4013" s="122" t="s">
        <v>8289</v>
      </c>
      <c r="DC4013" s="122" t="s">
        <v>1274</v>
      </c>
      <c r="DD4013" s="127">
        <v>1</v>
      </c>
      <c r="DE4013" s="127">
        <v>1</v>
      </c>
      <c r="DG4013" s="405" t="s">
        <v>236</v>
      </c>
      <c r="DH4013" s="406" t="s">
        <v>1274</v>
      </c>
      <c r="DI4013" s="406" t="str">
        <f t="shared" si="94"/>
        <v>RS, Caxias do Sul</v>
      </c>
      <c r="DJ4013" s="406">
        <v>-29.167999999999999</v>
      </c>
      <c r="DK4013" s="80">
        <v>-51.179000000000002</v>
      </c>
      <c r="DL4013" s="80">
        <v>817</v>
      </c>
      <c r="DM4013" s="64">
        <v>1</v>
      </c>
      <c r="DN4013" s="406" t="s">
        <v>8218</v>
      </c>
      <c r="DO4013" s="406">
        <v>-29.17</v>
      </c>
      <c r="DP4013" s="80">
        <v>640</v>
      </c>
    </row>
    <row r="4014" spans="29:120" x14ac:dyDescent="0.25">
      <c r="AC4014" s="122" t="s">
        <v>300</v>
      </c>
      <c r="AD4014" s="122" t="s">
        <v>4289</v>
      </c>
      <c r="AE4014" s="127">
        <v>8</v>
      </c>
      <c r="DA4014" s="122" t="s">
        <v>236</v>
      </c>
      <c r="DB4014" s="122" t="s">
        <v>1685</v>
      </c>
      <c r="DC4014" s="122" t="s">
        <v>1685</v>
      </c>
      <c r="DD4014" s="127">
        <v>2</v>
      </c>
      <c r="DE4014" s="127">
        <v>2</v>
      </c>
      <c r="DG4014" s="405" t="s">
        <v>236</v>
      </c>
      <c r="DH4014" s="406" t="s">
        <v>1685</v>
      </c>
      <c r="DI4014" s="406" t="str">
        <f t="shared" si="94"/>
        <v>RS, Centenário</v>
      </c>
      <c r="DJ4014" s="406">
        <v>-27.760999999999999</v>
      </c>
      <c r="DK4014" s="80">
        <v>-51.999000000000002</v>
      </c>
      <c r="DL4014" s="80">
        <v>600</v>
      </c>
      <c r="DM4014" s="64">
        <v>2</v>
      </c>
      <c r="DN4014" s="406" t="s">
        <v>8228</v>
      </c>
      <c r="DO4014" s="406">
        <v>-27.63</v>
      </c>
      <c r="DP4014" s="80">
        <v>765</v>
      </c>
    </row>
    <row r="4015" spans="29:120" x14ac:dyDescent="0.25">
      <c r="AC4015" s="122" t="s">
        <v>357</v>
      </c>
      <c r="AD4015" s="122" t="s">
        <v>4290</v>
      </c>
      <c r="AE4015" s="127">
        <v>7</v>
      </c>
      <c r="DA4015" s="122" t="s">
        <v>236</v>
      </c>
      <c r="DB4015" s="122" t="s">
        <v>1267</v>
      </c>
      <c r="DC4015" s="122" t="s">
        <v>1267</v>
      </c>
      <c r="DD4015" s="127">
        <v>2</v>
      </c>
      <c r="DE4015" s="127">
        <v>2</v>
      </c>
      <c r="DG4015" s="405" t="s">
        <v>236</v>
      </c>
      <c r="DH4015" s="406" t="s">
        <v>1267</v>
      </c>
      <c r="DI4015" s="406" t="str">
        <f t="shared" si="94"/>
        <v>RS, Cerrito</v>
      </c>
      <c r="DJ4015" s="406">
        <v>-31.856000000000002</v>
      </c>
      <c r="DK4015" s="80">
        <v>-52.813000000000002</v>
      </c>
      <c r="DL4015" s="80">
        <v>50</v>
      </c>
      <c r="DM4015" s="64">
        <v>2</v>
      </c>
      <c r="DN4015" s="406" t="s">
        <v>8231</v>
      </c>
      <c r="DO4015" s="406">
        <v>-31.41</v>
      </c>
      <c r="DP4015" s="80">
        <v>464</v>
      </c>
    </row>
    <row r="4016" spans="29:120" x14ac:dyDescent="0.25">
      <c r="AC4016" s="122" t="s">
        <v>344</v>
      </c>
      <c r="AD4016" s="122" t="s">
        <v>4291</v>
      </c>
      <c r="AE4016" s="127">
        <v>8</v>
      </c>
      <c r="DA4016" s="122" t="s">
        <v>236</v>
      </c>
      <c r="DB4016" s="122" t="s">
        <v>8290</v>
      </c>
      <c r="DC4016" s="122" t="s">
        <v>1646</v>
      </c>
      <c r="DD4016" s="127">
        <v>2</v>
      </c>
      <c r="DE4016" s="127">
        <v>2</v>
      </c>
      <c r="DG4016" s="405" t="s">
        <v>236</v>
      </c>
      <c r="DH4016" s="406" t="s">
        <v>1646</v>
      </c>
      <c r="DI4016" s="406" t="str">
        <f t="shared" si="94"/>
        <v>RS, Cerro Branco</v>
      </c>
      <c r="DJ4016" s="406">
        <v>-29.654</v>
      </c>
      <c r="DK4016" s="80">
        <v>-52.933999999999997</v>
      </c>
      <c r="DL4016" s="80">
        <v>83</v>
      </c>
      <c r="DM4016" s="64">
        <v>2</v>
      </c>
      <c r="DN4016" s="406" t="s">
        <v>8263</v>
      </c>
      <c r="DO4016" s="406">
        <v>-29.87</v>
      </c>
      <c r="DP4016" s="80">
        <v>111</v>
      </c>
    </row>
    <row r="4017" spans="29:120" x14ac:dyDescent="0.25">
      <c r="AC4017" s="122" t="s">
        <v>268</v>
      </c>
      <c r="AD4017" s="122" t="s">
        <v>4292</v>
      </c>
      <c r="AE4017" s="127">
        <v>8</v>
      </c>
      <c r="DA4017" s="122" t="s">
        <v>236</v>
      </c>
      <c r="DB4017" s="122" t="s">
        <v>8291</v>
      </c>
      <c r="DC4017" s="122" t="s">
        <v>1701</v>
      </c>
      <c r="DD4017" s="127">
        <v>2</v>
      </c>
      <c r="DE4017" s="127">
        <v>2</v>
      </c>
      <c r="DG4017" s="405" t="s">
        <v>236</v>
      </c>
      <c r="DH4017" s="406" t="s">
        <v>1701</v>
      </c>
      <c r="DI4017" s="406" t="str">
        <f t="shared" si="94"/>
        <v>RS, Cerro Grande</v>
      </c>
      <c r="DJ4017" s="406">
        <v>-27.606000000000002</v>
      </c>
      <c r="DK4017" s="80">
        <v>-53.167000000000002</v>
      </c>
      <c r="DL4017" s="80">
        <v>405</v>
      </c>
      <c r="DM4017" s="64">
        <v>2</v>
      </c>
      <c r="DN4017" s="406" t="s">
        <v>8215</v>
      </c>
      <c r="DO4017" s="406">
        <v>-27.4</v>
      </c>
      <c r="DP4017" s="80">
        <v>490</v>
      </c>
    </row>
    <row r="4018" spans="29:120" x14ac:dyDescent="0.25">
      <c r="AC4018" s="122" t="s">
        <v>300</v>
      </c>
      <c r="AD4018" s="122" t="s">
        <v>4293</v>
      </c>
      <c r="AE4018" s="127">
        <v>8</v>
      </c>
      <c r="DA4018" s="122" t="s">
        <v>236</v>
      </c>
      <c r="DB4018" s="122" t="s">
        <v>8292</v>
      </c>
      <c r="DC4018" s="122" t="s">
        <v>1224</v>
      </c>
      <c r="DD4018" s="127">
        <v>2</v>
      </c>
      <c r="DE4018" s="127">
        <v>2</v>
      </c>
      <c r="DG4018" s="405" t="s">
        <v>236</v>
      </c>
      <c r="DH4018" s="406" t="s">
        <v>1224</v>
      </c>
      <c r="DI4018" s="406" t="str">
        <f t="shared" si="94"/>
        <v>RS, Cerro Grande do Sul</v>
      </c>
      <c r="DJ4018" s="406">
        <v>-30.59</v>
      </c>
      <c r="DK4018" s="80">
        <v>-51.738999999999997</v>
      </c>
      <c r="DL4018" s="80">
        <v>405</v>
      </c>
      <c r="DM4018" s="64">
        <v>2</v>
      </c>
      <c r="DN4018" s="406" t="s">
        <v>8221</v>
      </c>
      <c r="DO4018" s="406">
        <v>-30.81</v>
      </c>
      <c r="DP4018" s="80">
        <v>108</v>
      </c>
    </row>
    <row r="4019" spans="29:120" x14ac:dyDescent="0.25">
      <c r="AC4019" s="122" t="s">
        <v>344</v>
      </c>
      <c r="AD4019" s="122" t="s">
        <v>4294</v>
      </c>
      <c r="AE4019" s="127">
        <v>8</v>
      </c>
      <c r="DA4019" s="122" t="s">
        <v>236</v>
      </c>
      <c r="DB4019" s="122" t="s">
        <v>8293</v>
      </c>
      <c r="DC4019" s="122" t="s">
        <v>3139</v>
      </c>
      <c r="DD4019" s="127">
        <v>2</v>
      </c>
      <c r="DE4019" s="127">
        <v>2</v>
      </c>
      <c r="DG4019" s="405" t="s">
        <v>236</v>
      </c>
      <c r="DH4019" s="406" t="s">
        <v>3139</v>
      </c>
      <c r="DI4019" s="406" t="str">
        <f t="shared" si="94"/>
        <v>RS, Cerro Largo</v>
      </c>
      <c r="DJ4019" s="406">
        <v>-28.149000000000001</v>
      </c>
      <c r="DK4019" s="80">
        <v>-54.738</v>
      </c>
      <c r="DL4019" s="80">
        <v>211</v>
      </c>
      <c r="DM4019" s="64">
        <v>2</v>
      </c>
      <c r="DN4019" s="406" t="s">
        <v>8211</v>
      </c>
      <c r="DO4019" s="406">
        <v>-28.41</v>
      </c>
      <c r="DP4019" s="80">
        <v>245</v>
      </c>
    </row>
    <row r="4020" spans="29:120" x14ac:dyDescent="0.25">
      <c r="AC4020" s="122" t="s">
        <v>344</v>
      </c>
      <c r="AD4020" s="122" t="s">
        <v>4295</v>
      </c>
      <c r="AE4020" s="127">
        <v>8</v>
      </c>
      <c r="DA4020" s="122" t="s">
        <v>236</v>
      </c>
      <c r="DB4020" s="122" t="s">
        <v>1342</v>
      </c>
      <c r="DC4020" s="122" t="s">
        <v>1342</v>
      </c>
      <c r="DD4020" s="127">
        <v>2</v>
      </c>
      <c r="DE4020" s="127">
        <v>2</v>
      </c>
      <c r="DG4020" s="405" t="s">
        <v>236</v>
      </c>
      <c r="DH4020" s="406" t="s">
        <v>1342</v>
      </c>
      <c r="DI4020" s="406" t="str">
        <f t="shared" si="94"/>
        <v>RS, Chapada</v>
      </c>
      <c r="DJ4020" s="406">
        <v>-28.055</v>
      </c>
      <c r="DK4020" s="80">
        <v>-53.067999999999998</v>
      </c>
      <c r="DL4020" s="80">
        <v>436</v>
      </c>
      <c r="DM4020" s="64">
        <v>2</v>
      </c>
      <c r="DN4020" s="406" t="s">
        <v>8214</v>
      </c>
      <c r="DO4020" s="406">
        <v>-27.92</v>
      </c>
      <c r="DP4020" s="80">
        <v>642</v>
      </c>
    </row>
    <row r="4021" spans="29:120" x14ac:dyDescent="0.25">
      <c r="AC4021" s="122" t="s">
        <v>348</v>
      </c>
      <c r="AD4021" s="122" t="s">
        <v>4296</v>
      </c>
      <c r="AE4021" s="127">
        <v>8</v>
      </c>
      <c r="DA4021" s="122" t="s">
        <v>236</v>
      </c>
      <c r="DB4021" s="122" t="s">
        <v>1477</v>
      </c>
      <c r="DC4021" s="122" t="s">
        <v>1477</v>
      </c>
      <c r="DD4021" s="127">
        <v>3</v>
      </c>
      <c r="DE4021" s="127">
        <v>3</v>
      </c>
      <c r="DG4021" s="405" t="s">
        <v>236</v>
      </c>
      <c r="DH4021" s="406" t="s">
        <v>1477</v>
      </c>
      <c r="DI4021" s="406" t="str">
        <f t="shared" si="94"/>
        <v>RS, Charqueadas</v>
      </c>
      <c r="DJ4021" s="406">
        <v>-29.954999999999998</v>
      </c>
      <c r="DK4021" s="80">
        <v>-51.625</v>
      </c>
      <c r="DL4021" s="80">
        <v>30</v>
      </c>
      <c r="DM4021" s="64">
        <v>3</v>
      </c>
      <c r="DN4021" s="406" t="s">
        <v>8219</v>
      </c>
      <c r="DO4021" s="406">
        <v>-30.03</v>
      </c>
      <c r="DP4021" s="80">
        <v>47</v>
      </c>
    </row>
    <row r="4022" spans="29:120" x14ac:dyDescent="0.25">
      <c r="AC4022" s="122" t="s">
        <v>344</v>
      </c>
      <c r="AD4022" s="122" t="s">
        <v>4297</v>
      </c>
      <c r="AE4022" s="127">
        <v>8</v>
      </c>
      <c r="DA4022" s="122" t="s">
        <v>236</v>
      </c>
      <c r="DB4022" s="122" t="s">
        <v>1677</v>
      </c>
      <c r="DC4022" s="122" t="s">
        <v>1677</v>
      </c>
      <c r="DD4022" s="127">
        <v>2</v>
      </c>
      <c r="DE4022" s="127">
        <v>2</v>
      </c>
      <c r="DG4022" s="405" t="s">
        <v>236</v>
      </c>
      <c r="DH4022" s="406" t="s">
        <v>1677</v>
      </c>
      <c r="DI4022" s="406" t="str">
        <f t="shared" si="94"/>
        <v>RS, Charrua</v>
      </c>
      <c r="DJ4022" s="406">
        <v>-27.952000000000002</v>
      </c>
      <c r="DK4022" s="80">
        <v>-52.015000000000001</v>
      </c>
      <c r="DL4022" s="80">
        <v>665</v>
      </c>
      <c r="DM4022" s="64">
        <v>2</v>
      </c>
      <c r="DN4022" s="406" t="s">
        <v>8228</v>
      </c>
      <c r="DO4022" s="406">
        <v>-27.63</v>
      </c>
      <c r="DP4022" s="80">
        <v>765</v>
      </c>
    </row>
    <row r="4023" spans="29:120" x14ac:dyDescent="0.25">
      <c r="AC4023" s="122" t="s">
        <v>344</v>
      </c>
      <c r="AD4023" s="122" t="s">
        <v>4298</v>
      </c>
      <c r="AE4023" s="127">
        <v>8</v>
      </c>
      <c r="DA4023" s="122" t="s">
        <v>236</v>
      </c>
      <c r="DB4023" s="122" t="s">
        <v>1705</v>
      </c>
      <c r="DC4023" s="122" t="s">
        <v>1705</v>
      </c>
      <c r="DD4023" s="127">
        <v>2</v>
      </c>
      <c r="DE4023" s="127">
        <v>2</v>
      </c>
      <c r="DG4023" s="405" t="s">
        <v>236</v>
      </c>
      <c r="DH4023" s="406" t="s">
        <v>1705</v>
      </c>
      <c r="DI4023" s="406" t="str">
        <f t="shared" si="94"/>
        <v>RS, Chiapetta</v>
      </c>
      <c r="DJ4023" s="406">
        <v>-27.922999999999998</v>
      </c>
      <c r="DK4023" s="80">
        <v>-53.941000000000003</v>
      </c>
      <c r="DL4023" s="80">
        <v>483</v>
      </c>
      <c r="DM4023" s="64">
        <v>2</v>
      </c>
      <c r="DN4023" s="406" t="s">
        <v>8210</v>
      </c>
      <c r="DO4023" s="406">
        <v>-27.85</v>
      </c>
      <c r="DP4023" s="80">
        <v>550</v>
      </c>
    </row>
    <row r="4024" spans="29:120" x14ac:dyDescent="0.25">
      <c r="AC4024" s="122" t="s">
        <v>344</v>
      </c>
      <c r="AD4024" s="122" t="s">
        <v>4299</v>
      </c>
      <c r="AE4024" s="127">
        <v>8</v>
      </c>
      <c r="DA4024" s="122" t="s">
        <v>236</v>
      </c>
      <c r="DB4024" s="122" t="s">
        <v>1303</v>
      </c>
      <c r="DC4024" s="122" t="s">
        <v>1303</v>
      </c>
      <c r="DD4024" s="127">
        <v>2</v>
      </c>
      <c r="DE4024" s="127">
        <v>2</v>
      </c>
      <c r="DG4024" s="405" t="s">
        <v>236</v>
      </c>
      <c r="DH4024" s="406" t="s">
        <v>1303</v>
      </c>
      <c r="DI4024" s="406" t="str">
        <f t="shared" si="94"/>
        <v>RS, Chuí</v>
      </c>
      <c r="DJ4024" s="406">
        <v>-33.691000000000003</v>
      </c>
      <c r="DK4024" s="80">
        <v>-53.457000000000001</v>
      </c>
      <c r="DL4024" s="80">
        <v>22</v>
      </c>
      <c r="DM4024" s="64">
        <v>2</v>
      </c>
      <c r="DN4024" s="406" t="s">
        <v>8294</v>
      </c>
      <c r="DO4024" s="406">
        <v>-33.74</v>
      </c>
      <c r="DP4024" s="80">
        <v>26</v>
      </c>
    </row>
    <row r="4025" spans="29:120" x14ac:dyDescent="0.25">
      <c r="AC4025" s="122" t="s">
        <v>328</v>
      </c>
      <c r="AD4025" s="122" t="s">
        <v>4300</v>
      </c>
      <c r="AE4025" s="127">
        <v>8</v>
      </c>
      <c r="DA4025" s="122" t="s">
        <v>236</v>
      </c>
      <c r="DB4025" s="122" t="s">
        <v>1339</v>
      </c>
      <c r="DC4025" s="122" t="s">
        <v>1339</v>
      </c>
      <c r="DD4025" s="127">
        <v>2</v>
      </c>
      <c r="DE4025" s="127">
        <v>2</v>
      </c>
      <c r="DG4025" s="405" t="s">
        <v>236</v>
      </c>
      <c r="DH4025" s="406" t="s">
        <v>1339</v>
      </c>
      <c r="DI4025" s="406" t="str">
        <f t="shared" si="94"/>
        <v>RS, Chuvisca</v>
      </c>
      <c r="DJ4025" s="406">
        <v>-30.757999999999999</v>
      </c>
      <c r="DK4025" s="80">
        <v>-51.978000000000002</v>
      </c>
      <c r="DL4025" s="80">
        <v>219</v>
      </c>
      <c r="DM4025" s="64">
        <v>2</v>
      </c>
      <c r="DN4025" s="406" t="s">
        <v>8221</v>
      </c>
      <c r="DO4025" s="406">
        <v>-30.81</v>
      </c>
      <c r="DP4025" s="80">
        <v>108</v>
      </c>
    </row>
    <row r="4026" spans="29:120" x14ac:dyDescent="0.25">
      <c r="AC4026" s="122" t="s">
        <v>328</v>
      </c>
      <c r="AD4026" s="122" t="s">
        <v>4301</v>
      </c>
      <c r="AE4026" s="127">
        <v>8</v>
      </c>
      <c r="DA4026" s="122" t="s">
        <v>236</v>
      </c>
      <c r="DB4026" s="122" t="s">
        <v>1275</v>
      </c>
      <c r="DC4026" s="122" t="s">
        <v>1275</v>
      </c>
      <c r="DD4026" s="127">
        <v>2</v>
      </c>
      <c r="DE4026" s="127">
        <v>2</v>
      </c>
      <c r="DG4026" s="405" t="s">
        <v>236</v>
      </c>
      <c r="DH4026" s="406" t="s">
        <v>1275</v>
      </c>
      <c r="DI4026" s="406" t="str">
        <f t="shared" si="94"/>
        <v>RS, Cidreira</v>
      </c>
      <c r="DJ4026" s="406">
        <v>-30.161000000000001</v>
      </c>
      <c r="DK4026" s="80">
        <v>-50.234000000000002</v>
      </c>
      <c r="DL4026" s="80">
        <v>60</v>
      </c>
      <c r="DM4026" s="64">
        <v>2</v>
      </c>
      <c r="DN4026" s="406" t="s">
        <v>8241</v>
      </c>
      <c r="DO4026" s="406">
        <v>-30.01</v>
      </c>
      <c r="DP4026" s="80">
        <v>1</v>
      </c>
    </row>
    <row r="4027" spans="29:120" x14ac:dyDescent="0.25">
      <c r="AC4027" s="122" t="s">
        <v>328</v>
      </c>
      <c r="AD4027" s="122" t="s">
        <v>4302</v>
      </c>
      <c r="AE4027" s="127">
        <v>8</v>
      </c>
      <c r="DA4027" s="122" t="s">
        <v>236</v>
      </c>
      <c r="DB4027" s="122" t="s">
        <v>1626</v>
      </c>
      <c r="DC4027" s="122" t="s">
        <v>1626</v>
      </c>
      <c r="DD4027" s="127">
        <v>2</v>
      </c>
      <c r="DE4027" s="127">
        <v>2</v>
      </c>
      <c r="DG4027" s="405" t="s">
        <v>236</v>
      </c>
      <c r="DH4027" s="406" t="s">
        <v>1626</v>
      </c>
      <c r="DI4027" s="406" t="str">
        <f t="shared" si="94"/>
        <v>RS, Ciríaco</v>
      </c>
      <c r="DJ4027" s="406">
        <v>-28.344000000000001</v>
      </c>
      <c r="DK4027" s="80">
        <v>-51.875999999999998</v>
      </c>
      <c r="DL4027" s="80">
        <v>753</v>
      </c>
      <c r="DM4027" s="64">
        <v>2</v>
      </c>
      <c r="DN4027" s="406" t="s">
        <v>8224</v>
      </c>
      <c r="DO4027" s="406">
        <v>-28.22</v>
      </c>
      <c r="DP4027" s="80">
        <v>842</v>
      </c>
    </row>
    <row r="4028" spans="29:120" x14ac:dyDescent="0.25">
      <c r="AC4028" s="122" t="s">
        <v>393</v>
      </c>
      <c r="AD4028" s="122" t="s">
        <v>4303</v>
      </c>
      <c r="AE4028" s="127">
        <v>7</v>
      </c>
      <c r="DA4028" s="122" t="s">
        <v>236</v>
      </c>
      <c r="DB4028" s="122" t="s">
        <v>1438</v>
      </c>
      <c r="DC4028" s="122" t="s">
        <v>1438</v>
      </c>
      <c r="DD4028" s="127">
        <v>2</v>
      </c>
      <c r="DE4028" s="127">
        <v>2</v>
      </c>
      <c r="DG4028" s="405" t="s">
        <v>236</v>
      </c>
      <c r="DH4028" s="406" t="s">
        <v>1438</v>
      </c>
      <c r="DI4028" s="406" t="str">
        <f t="shared" si="94"/>
        <v>RS, Colinas</v>
      </c>
      <c r="DJ4028" s="406">
        <v>-29.388000000000002</v>
      </c>
      <c r="DK4028" s="80">
        <v>-51.87</v>
      </c>
      <c r="DL4028" s="80">
        <v>80</v>
      </c>
      <c r="DM4028" s="64">
        <v>2</v>
      </c>
      <c r="DN4028" s="406" t="s">
        <v>8218</v>
      </c>
      <c r="DO4028" s="406">
        <v>-29.17</v>
      </c>
      <c r="DP4028" s="80">
        <v>640</v>
      </c>
    </row>
    <row r="4029" spans="29:120" x14ac:dyDescent="0.25">
      <c r="AC4029" s="122" t="s">
        <v>393</v>
      </c>
      <c r="AD4029" s="122" t="s">
        <v>1685</v>
      </c>
      <c r="AE4029" s="127">
        <v>7</v>
      </c>
      <c r="DA4029" s="122" t="s">
        <v>236</v>
      </c>
      <c r="DB4029" s="122" t="s">
        <v>1581</v>
      </c>
      <c r="DC4029" s="122" t="s">
        <v>1581</v>
      </c>
      <c r="DD4029" s="127">
        <v>2</v>
      </c>
      <c r="DE4029" s="127">
        <v>2</v>
      </c>
      <c r="DG4029" s="405" t="s">
        <v>236</v>
      </c>
      <c r="DH4029" s="406" t="s">
        <v>1581</v>
      </c>
      <c r="DI4029" s="406" t="str">
        <f t="shared" si="94"/>
        <v>RS, Colorado</v>
      </c>
      <c r="DJ4029" s="406">
        <v>-28.524000000000001</v>
      </c>
      <c r="DK4029" s="80">
        <v>-52.994</v>
      </c>
      <c r="DL4029" s="80">
        <v>428</v>
      </c>
      <c r="DM4029" s="64">
        <v>2</v>
      </c>
      <c r="DN4029" s="406" t="s">
        <v>8216</v>
      </c>
      <c r="DO4029" s="406">
        <v>-28.85</v>
      </c>
      <c r="DP4029" s="80">
        <v>667</v>
      </c>
    </row>
    <row r="4030" spans="29:120" x14ac:dyDescent="0.25">
      <c r="AC4030" s="122" t="s">
        <v>300</v>
      </c>
      <c r="AD4030" s="122" t="s">
        <v>4304</v>
      </c>
      <c r="AE4030" s="127">
        <v>7</v>
      </c>
      <c r="DA4030" s="122" t="s">
        <v>236</v>
      </c>
      <c r="DB4030" s="122" t="s">
        <v>1700</v>
      </c>
      <c r="DC4030" s="122" t="s">
        <v>1700</v>
      </c>
      <c r="DD4030" s="127">
        <v>2</v>
      </c>
      <c r="DE4030" s="127">
        <v>2</v>
      </c>
      <c r="DG4030" s="405" t="s">
        <v>236</v>
      </c>
      <c r="DH4030" s="406" t="s">
        <v>1700</v>
      </c>
      <c r="DI4030" s="406" t="str">
        <f t="shared" si="94"/>
        <v>RS, Condor</v>
      </c>
      <c r="DJ4030" s="406">
        <v>-28.207999999999998</v>
      </c>
      <c r="DK4030" s="80">
        <v>-53.487000000000002</v>
      </c>
      <c r="DL4030" s="80">
        <v>451</v>
      </c>
      <c r="DM4030" s="64">
        <v>2</v>
      </c>
      <c r="DN4030" s="406" t="s">
        <v>8214</v>
      </c>
      <c r="DO4030" s="406">
        <v>-27.92</v>
      </c>
      <c r="DP4030" s="80">
        <v>642</v>
      </c>
    </row>
    <row r="4031" spans="29:120" x14ac:dyDescent="0.25">
      <c r="AC4031" s="122" t="s">
        <v>268</v>
      </c>
      <c r="AD4031" s="122" t="s">
        <v>4305</v>
      </c>
      <c r="AE4031" s="127">
        <v>8</v>
      </c>
      <c r="DA4031" s="122" t="s">
        <v>236</v>
      </c>
      <c r="DB4031" s="122" t="s">
        <v>1712</v>
      </c>
      <c r="DC4031" s="122" t="s">
        <v>1712</v>
      </c>
      <c r="DD4031" s="127">
        <v>2</v>
      </c>
      <c r="DE4031" s="127">
        <v>2</v>
      </c>
      <c r="DG4031" s="405" t="s">
        <v>236</v>
      </c>
      <c r="DH4031" s="406" t="s">
        <v>1712</v>
      </c>
      <c r="DI4031" s="406" t="str">
        <f t="shared" si="94"/>
        <v>RS, Constantina</v>
      </c>
      <c r="DJ4031" s="406">
        <v>-27.734999999999999</v>
      </c>
      <c r="DK4031" s="80">
        <v>-52.991999999999997</v>
      </c>
      <c r="DL4031" s="80">
        <v>501</v>
      </c>
      <c r="DM4031" s="64">
        <v>2</v>
      </c>
      <c r="DN4031" s="406" t="s">
        <v>8214</v>
      </c>
      <c r="DO4031" s="406">
        <v>-27.92</v>
      </c>
      <c r="DP4031" s="80">
        <v>642</v>
      </c>
    </row>
    <row r="4032" spans="29:120" x14ac:dyDescent="0.25">
      <c r="AC4032" s="122" t="s">
        <v>268</v>
      </c>
      <c r="AD4032" s="122" t="s">
        <v>4306</v>
      </c>
      <c r="AE4032" s="127">
        <v>8</v>
      </c>
      <c r="DA4032" s="122" t="s">
        <v>236</v>
      </c>
      <c r="DB4032" s="122" t="s">
        <v>8295</v>
      </c>
      <c r="DC4032" s="122" t="s">
        <v>1436</v>
      </c>
      <c r="DD4032" s="127">
        <v>2</v>
      </c>
      <c r="DE4032" s="127">
        <v>2</v>
      </c>
      <c r="DG4032" s="405" t="s">
        <v>236</v>
      </c>
      <c r="DH4032" s="406" t="s">
        <v>1436</v>
      </c>
      <c r="DI4032" s="406" t="str">
        <f t="shared" si="94"/>
        <v>RS, Coqueiro Baixo</v>
      </c>
      <c r="DJ4032" s="406">
        <v>-29.178000000000001</v>
      </c>
      <c r="DK4032" s="80">
        <v>-52.093000000000004</v>
      </c>
      <c r="DL4032" s="80">
        <v>514</v>
      </c>
      <c r="DM4032" s="64">
        <v>2</v>
      </c>
      <c r="DN4032" s="406" t="s">
        <v>8216</v>
      </c>
      <c r="DO4032" s="406">
        <v>-28.85</v>
      </c>
      <c r="DP4032" s="80">
        <v>667</v>
      </c>
    </row>
    <row r="4033" spans="29:120" x14ac:dyDescent="0.25">
      <c r="AC4033" s="122" t="s">
        <v>344</v>
      </c>
      <c r="AD4033" s="122" t="s">
        <v>4307</v>
      </c>
      <c r="AE4033" s="127">
        <v>8</v>
      </c>
      <c r="DA4033" s="122" t="s">
        <v>236</v>
      </c>
      <c r="DB4033" s="122" t="s">
        <v>8296</v>
      </c>
      <c r="DC4033" s="122" t="s">
        <v>1324</v>
      </c>
      <c r="DD4033" s="127">
        <v>2</v>
      </c>
      <c r="DE4033" s="127">
        <v>2</v>
      </c>
      <c r="DG4033" s="405" t="s">
        <v>236</v>
      </c>
      <c r="DH4033" s="406" t="s">
        <v>1324</v>
      </c>
      <c r="DI4033" s="406" t="str">
        <f t="shared" si="94"/>
        <v>RS, Coqueiros do Sul</v>
      </c>
      <c r="DJ4033" s="406">
        <v>-28.119</v>
      </c>
      <c r="DK4033" s="80">
        <v>-52.783000000000001</v>
      </c>
      <c r="DL4033" s="80">
        <v>601</v>
      </c>
      <c r="DM4033" s="64">
        <v>2</v>
      </c>
      <c r="DN4033" s="406" t="s">
        <v>8208</v>
      </c>
      <c r="DO4033" s="406">
        <v>-28.26</v>
      </c>
      <c r="DP4033" s="80">
        <v>684</v>
      </c>
    </row>
    <row r="4034" spans="29:120" x14ac:dyDescent="0.25">
      <c r="AC4034" s="122" t="s">
        <v>328</v>
      </c>
      <c r="AD4034" s="122" t="s">
        <v>4154</v>
      </c>
      <c r="AE4034" s="127">
        <v>8</v>
      </c>
      <c r="DA4034" s="122" t="s">
        <v>236</v>
      </c>
      <c r="DB4034" s="122" t="s">
        <v>8297</v>
      </c>
      <c r="DC4034" s="122" t="s">
        <v>3584</v>
      </c>
      <c r="DD4034" s="127">
        <v>2</v>
      </c>
      <c r="DE4034" s="127">
        <v>2</v>
      </c>
      <c r="DG4034" s="405" t="s">
        <v>236</v>
      </c>
      <c r="DH4034" s="406" t="s">
        <v>3584</v>
      </c>
      <c r="DI4034" s="406" t="str">
        <f t="shared" si="94"/>
        <v>RS, Coronel Barros</v>
      </c>
      <c r="DJ4034" s="406">
        <v>-28.382999999999999</v>
      </c>
      <c r="DK4034" s="80">
        <v>-54.066000000000003</v>
      </c>
      <c r="DL4034" s="80">
        <v>311</v>
      </c>
      <c r="DM4034" s="64">
        <v>2</v>
      </c>
      <c r="DN4034" s="406" t="s">
        <v>8239</v>
      </c>
      <c r="DO4034" s="406">
        <v>-28.6</v>
      </c>
      <c r="DP4034" s="80">
        <v>432</v>
      </c>
    </row>
    <row r="4035" spans="29:120" x14ac:dyDescent="0.25">
      <c r="AC4035" s="122" t="s">
        <v>289</v>
      </c>
      <c r="AD4035" s="122" t="s">
        <v>4308</v>
      </c>
      <c r="AE4035" s="127">
        <v>8</v>
      </c>
      <c r="DA4035" s="122" t="s">
        <v>236</v>
      </c>
      <c r="DB4035" s="122" t="s">
        <v>8298</v>
      </c>
      <c r="DC4035" s="122" t="s">
        <v>1385</v>
      </c>
      <c r="DD4035" s="127">
        <v>2</v>
      </c>
      <c r="DE4035" s="127">
        <v>2</v>
      </c>
      <c r="DG4035" s="405" t="s">
        <v>236</v>
      </c>
      <c r="DH4035" s="406" t="s">
        <v>1385</v>
      </c>
      <c r="DI4035" s="406" t="str">
        <f t="shared" ref="DI4035:DI4098" si="95">CONCATENATE(DG4035,", ",DH4035)</f>
        <v>RS, Coronel Bicaco</v>
      </c>
      <c r="DJ4035" s="406">
        <v>-27.716000000000001</v>
      </c>
      <c r="DK4035" s="80">
        <v>-53.701000000000001</v>
      </c>
      <c r="DL4035" s="80">
        <v>468</v>
      </c>
      <c r="DM4035" s="64">
        <v>2</v>
      </c>
      <c r="DN4035" s="406" t="s">
        <v>8210</v>
      </c>
      <c r="DO4035" s="406">
        <v>-27.85</v>
      </c>
      <c r="DP4035" s="80">
        <v>550</v>
      </c>
    </row>
    <row r="4036" spans="29:120" x14ac:dyDescent="0.25">
      <c r="AC4036" s="122" t="s">
        <v>369</v>
      </c>
      <c r="AD4036" s="122" t="s">
        <v>4309</v>
      </c>
      <c r="AE4036" s="127">
        <v>7</v>
      </c>
      <c r="DA4036" s="122" t="s">
        <v>236</v>
      </c>
      <c r="DB4036" s="122" t="s">
        <v>8299</v>
      </c>
      <c r="DC4036" s="122" t="s">
        <v>1505</v>
      </c>
      <c r="DD4036" s="127">
        <v>2</v>
      </c>
      <c r="DE4036" s="127">
        <v>2</v>
      </c>
      <c r="DG4036" s="405" t="s">
        <v>236</v>
      </c>
      <c r="DH4036" s="406" t="s">
        <v>1505</v>
      </c>
      <c r="DI4036" s="406" t="str">
        <f t="shared" si="95"/>
        <v>RS, Coronel Pilar</v>
      </c>
      <c r="DJ4036" s="406">
        <v>-29.273</v>
      </c>
      <c r="DK4036" s="80">
        <v>-51.686999999999998</v>
      </c>
      <c r="DL4036" s="80">
        <v>538</v>
      </c>
      <c r="DM4036" s="64">
        <v>2</v>
      </c>
      <c r="DN4036" s="406" t="s">
        <v>8218</v>
      </c>
      <c r="DO4036" s="406">
        <v>-29.17</v>
      </c>
      <c r="DP4036" s="80">
        <v>640</v>
      </c>
    </row>
    <row r="4037" spans="29:120" x14ac:dyDescent="0.25">
      <c r="AC4037" s="122" t="s">
        <v>300</v>
      </c>
      <c r="AD4037" s="122" t="s">
        <v>4310</v>
      </c>
      <c r="AE4037" s="127">
        <v>7</v>
      </c>
      <c r="DA4037" s="122" t="s">
        <v>236</v>
      </c>
      <c r="DB4037" s="122" t="s">
        <v>1519</v>
      </c>
      <c r="DC4037" s="122" t="s">
        <v>1519</v>
      </c>
      <c r="DD4037" s="127">
        <v>2</v>
      </c>
      <c r="DE4037" s="127">
        <v>2</v>
      </c>
      <c r="DG4037" s="405" t="s">
        <v>236</v>
      </c>
      <c r="DH4037" s="406" t="s">
        <v>1519</v>
      </c>
      <c r="DI4037" s="406" t="str">
        <f t="shared" si="95"/>
        <v>RS, Cotiporã</v>
      </c>
      <c r="DJ4037" s="406">
        <v>-28.994</v>
      </c>
      <c r="DK4037" s="80">
        <v>-51.695999999999998</v>
      </c>
      <c r="DL4037" s="80">
        <v>609</v>
      </c>
      <c r="DM4037" s="64">
        <v>2</v>
      </c>
      <c r="DN4037" s="406" t="s">
        <v>8218</v>
      </c>
      <c r="DO4037" s="406">
        <v>-29.17</v>
      </c>
      <c r="DP4037" s="80">
        <v>640</v>
      </c>
    </row>
    <row r="4038" spans="29:120" x14ac:dyDescent="0.25">
      <c r="AC4038" s="122" t="s">
        <v>300</v>
      </c>
      <c r="AD4038" s="122" t="s">
        <v>4311</v>
      </c>
      <c r="AE4038" s="127">
        <v>8</v>
      </c>
      <c r="DA4038" s="122" t="s">
        <v>236</v>
      </c>
      <c r="DB4038" s="122" t="s">
        <v>1343</v>
      </c>
      <c r="DC4038" s="122" t="s">
        <v>1343</v>
      </c>
      <c r="DD4038" s="127">
        <v>2</v>
      </c>
      <c r="DE4038" s="127">
        <v>2</v>
      </c>
      <c r="DG4038" s="405" t="s">
        <v>236</v>
      </c>
      <c r="DH4038" s="406" t="s">
        <v>1343</v>
      </c>
      <c r="DI4038" s="406" t="str">
        <f t="shared" si="95"/>
        <v>RS, Coxilha</v>
      </c>
      <c r="DJ4038" s="406">
        <v>-28.126999999999999</v>
      </c>
      <c r="DK4038" s="80">
        <v>-52.295999999999999</v>
      </c>
      <c r="DL4038" s="80">
        <v>721</v>
      </c>
      <c r="DM4038" s="64">
        <v>2</v>
      </c>
      <c r="DN4038" s="406" t="s">
        <v>8208</v>
      </c>
      <c r="DO4038" s="406">
        <v>-28.26</v>
      </c>
      <c r="DP4038" s="80">
        <v>684</v>
      </c>
    </row>
    <row r="4039" spans="29:120" x14ac:dyDescent="0.25">
      <c r="AC4039" s="122" t="s">
        <v>344</v>
      </c>
      <c r="AD4039" s="122" t="s">
        <v>3309</v>
      </c>
      <c r="AE4039" s="127">
        <v>8</v>
      </c>
      <c r="DA4039" s="122" t="s">
        <v>236</v>
      </c>
      <c r="DB4039" s="122" t="s">
        <v>3126</v>
      </c>
      <c r="DC4039" s="122" t="s">
        <v>3126</v>
      </c>
      <c r="DD4039" s="127">
        <v>2</v>
      </c>
      <c r="DE4039" s="127">
        <v>2</v>
      </c>
      <c r="DG4039" s="405" t="s">
        <v>236</v>
      </c>
      <c r="DH4039" s="406" t="s">
        <v>3126</v>
      </c>
      <c r="DI4039" s="406" t="str">
        <f t="shared" si="95"/>
        <v>RS, Crissiumal</v>
      </c>
      <c r="DJ4039" s="406">
        <v>-27.5</v>
      </c>
      <c r="DK4039" s="80">
        <v>-54.100999999999999</v>
      </c>
      <c r="DL4039" s="80">
        <v>410</v>
      </c>
      <c r="DM4039" s="64">
        <v>2</v>
      </c>
      <c r="DN4039" s="406" t="s">
        <v>8210</v>
      </c>
      <c r="DO4039" s="406">
        <v>-27.85</v>
      </c>
      <c r="DP4039" s="80">
        <v>550</v>
      </c>
    </row>
    <row r="4040" spans="29:120" x14ac:dyDescent="0.25">
      <c r="AC4040" s="122" t="s">
        <v>344</v>
      </c>
      <c r="AD4040" s="122" t="s">
        <v>2018</v>
      </c>
      <c r="AE4040" s="127">
        <v>8</v>
      </c>
      <c r="DA4040" s="122" t="s">
        <v>236</v>
      </c>
      <c r="DB4040" s="122" t="s">
        <v>1300</v>
      </c>
      <c r="DC4040" s="122" t="s">
        <v>1300</v>
      </c>
      <c r="DD4040" s="127">
        <v>2</v>
      </c>
      <c r="DE4040" s="127">
        <v>2</v>
      </c>
      <c r="DG4040" s="405" t="s">
        <v>236</v>
      </c>
      <c r="DH4040" s="406" t="s">
        <v>1300</v>
      </c>
      <c r="DI4040" s="406" t="str">
        <f t="shared" si="95"/>
        <v>RS, Cristal</v>
      </c>
      <c r="DJ4040" s="406">
        <v>-31.003</v>
      </c>
      <c r="DK4040" s="80">
        <v>-52.05</v>
      </c>
      <c r="DL4040" s="80">
        <v>500</v>
      </c>
      <c r="DM4040" s="64">
        <v>2</v>
      </c>
      <c r="DN4040" s="406" t="s">
        <v>8221</v>
      </c>
      <c r="DO4040" s="406">
        <v>-30.81</v>
      </c>
      <c r="DP4040" s="80">
        <v>108</v>
      </c>
    </row>
    <row r="4041" spans="29:120" x14ac:dyDescent="0.25">
      <c r="AC4041" s="122" t="s">
        <v>344</v>
      </c>
      <c r="AD4041" s="122" t="s">
        <v>4312</v>
      </c>
      <c r="AE4041" s="127">
        <v>8</v>
      </c>
      <c r="DA4041" s="122" t="s">
        <v>236</v>
      </c>
      <c r="DB4041" s="122" t="s">
        <v>8300</v>
      </c>
      <c r="DC4041" s="122" t="s">
        <v>1670</v>
      </c>
      <c r="DD4041" s="127">
        <v>3</v>
      </c>
      <c r="DE4041" s="127">
        <v>3</v>
      </c>
      <c r="DG4041" s="405" t="s">
        <v>236</v>
      </c>
      <c r="DH4041" s="406" t="s">
        <v>1670</v>
      </c>
      <c r="DI4041" s="406" t="str">
        <f t="shared" si="95"/>
        <v>RS, Cristal do Sul</v>
      </c>
      <c r="DJ4041" s="406">
        <v>-27.454000000000001</v>
      </c>
      <c r="DK4041" s="80">
        <v>-53.246000000000002</v>
      </c>
      <c r="DL4041" s="80">
        <v>369</v>
      </c>
      <c r="DM4041" s="64">
        <v>3</v>
      </c>
      <c r="DN4041" s="406" t="s">
        <v>8215</v>
      </c>
      <c r="DO4041" s="406">
        <v>-27.4</v>
      </c>
      <c r="DP4041" s="80">
        <v>490</v>
      </c>
    </row>
    <row r="4042" spans="29:120" x14ac:dyDescent="0.25">
      <c r="AC4042" s="122" t="s">
        <v>344</v>
      </c>
      <c r="AD4042" s="122" t="s">
        <v>4313</v>
      </c>
      <c r="AE4042" s="127">
        <v>8</v>
      </c>
      <c r="DA4042" s="122" t="s">
        <v>236</v>
      </c>
      <c r="DB4042" s="122" t="s">
        <v>8301</v>
      </c>
      <c r="DC4042" s="122" t="s">
        <v>1738</v>
      </c>
      <c r="DD4042" s="127">
        <v>2</v>
      </c>
      <c r="DE4042" s="127">
        <v>2</v>
      </c>
      <c r="DG4042" s="405" t="s">
        <v>236</v>
      </c>
      <c r="DH4042" s="406" t="s">
        <v>1738</v>
      </c>
      <c r="DI4042" s="406" t="str">
        <f t="shared" si="95"/>
        <v>RS, Cruz Alta</v>
      </c>
      <c r="DJ4042" s="406">
        <v>-28.638999999999999</v>
      </c>
      <c r="DK4042" s="80">
        <v>-53.606000000000002</v>
      </c>
      <c r="DL4042" s="80">
        <v>452</v>
      </c>
      <c r="DM4042" s="64">
        <v>2</v>
      </c>
      <c r="DN4042" s="406" t="s">
        <v>8239</v>
      </c>
      <c r="DO4042" s="406">
        <v>-28.6</v>
      </c>
      <c r="DP4042" s="80">
        <v>432</v>
      </c>
    </row>
    <row r="4043" spans="29:120" x14ac:dyDescent="0.25">
      <c r="AC4043" s="122" t="s">
        <v>328</v>
      </c>
      <c r="AD4043" s="122" t="s">
        <v>4314</v>
      </c>
      <c r="AE4043" s="127">
        <v>7</v>
      </c>
      <c r="DA4043" s="122" t="s">
        <v>236</v>
      </c>
      <c r="DB4043" s="122" t="s">
        <v>1690</v>
      </c>
      <c r="DC4043" s="122" t="s">
        <v>1690</v>
      </c>
      <c r="DD4043" s="127">
        <v>2</v>
      </c>
      <c r="DE4043" s="127">
        <v>2</v>
      </c>
      <c r="DG4043" s="405" t="s">
        <v>236</v>
      </c>
      <c r="DH4043" s="406" t="s">
        <v>1690</v>
      </c>
      <c r="DI4043" s="406" t="str">
        <f t="shared" si="95"/>
        <v>RS, Cruzaltense</v>
      </c>
      <c r="DJ4043" s="406">
        <v>-27.667999999999999</v>
      </c>
      <c r="DK4043" s="80">
        <v>-52.649000000000001</v>
      </c>
      <c r="DL4043" s="80">
        <v>571</v>
      </c>
      <c r="DM4043" s="64">
        <v>2</v>
      </c>
      <c r="DN4043" s="406" t="s">
        <v>8228</v>
      </c>
      <c r="DO4043" s="406">
        <v>-27.63</v>
      </c>
      <c r="DP4043" s="80">
        <v>765</v>
      </c>
    </row>
    <row r="4044" spans="29:120" x14ac:dyDescent="0.25">
      <c r="AC4044" s="122" t="s">
        <v>344</v>
      </c>
      <c r="AD4044" s="122" t="s">
        <v>4315</v>
      </c>
      <c r="AE4044" s="127">
        <v>8</v>
      </c>
      <c r="DA4044" s="122" t="s">
        <v>236</v>
      </c>
      <c r="DB4044" s="122" t="s">
        <v>6072</v>
      </c>
      <c r="DC4044" s="122" t="s">
        <v>1425</v>
      </c>
      <c r="DD4044" s="127">
        <v>2</v>
      </c>
      <c r="DE4044" s="127">
        <v>2</v>
      </c>
      <c r="DG4044" s="405" t="s">
        <v>236</v>
      </c>
      <c r="DH4044" s="406" t="s">
        <v>1425</v>
      </c>
      <c r="DI4044" s="406" t="str">
        <f t="shared" si="95"/>
        <v>RS, Cruzeiro do Sul</v>
      </c>
      <c r="DJ4044" s="406">
        <v>-29.513000000000002</v>
      </c>
      <c r="DK4044" s="80">
        <v>-51.984999999999999</v>
      </c>
      <c r="DL4044" s="80">
        <v>37</v>
      </c>
      <c r="DM4044" s="64">
        <v>2</v>
      </c>
      <c r="DN4044" s="406" t="s">
        <v>8263</v>
      </c>
      <c r="DO4044" s="406">
        <v>-29.87</v>
      </c>
      <c r="DP4044" s="80">
        <v>111</v>
      </c>
    </row>
    <row r="4045" spans="29:120" x14ac:dyDescent="0.25">
      <c r="AC4045" s="122" t="s">
        <v>300</v>
      </c>
      <c r="AD4045" s="122" t="s">
        <v>4316</v>
      </c>
      <c r="AE4045" s="127">
        <v>8</v>
      </c>
      <c r="DA4045" s="122" t="s">
        <v>236</v>
      </c>
      <c r="DB4045" s="122" t="s">
        <v>8302</v>
      </c>
      <c r="DC4045" s="122" t="s">
        <v>1256</v>
      </c>
      <c r="DD4045" s="127">
        <v>2</v>
      </c>
      <c r="DE4045" s="127">
        <v>2</v>
      </c>
      <c r="DG4045" s="405" t="s">
        <v>236</v>
      </c>
      <c r="DH4045" s="406" t="s">
        <v>1256</v>
      </c>
      <c r="DI4045" s="406" t="str">
        <f t="shared" si="95"/>
        <v>RS, David Canabarro</v>
      </c>
      <c r="DJ4045" s="406">
        <v>-28.388000000000002</v>
      </c>
      <c r="DK4045" s="80">
        <v>-51.847999999999999</v>
      </c>
      <c r="DL4045" s="80">
        <v>682</v>
      </c>
      <c r="DM4045" s="64">
        <v>2</v>
      </c>
      <c r="DN4045" s="406" t="s">
        <v>8224</v>
      </c>
      <c r="DO4045" s="406">
        <v>-28.22</v>
      </c>
      <c r="DP4045" s="80">
        <v>842</v>
      </c>
    </row>
    <row r="4046" spans="29:120" x14ac:dyDescent="0.25">
      <c r="AC4046" s="122" t="s">
        <v>369</v>
      </c>
      <c r="AD4046" s="122" t="s">
        <v>4317</v>
      </c>
      <c r="AE4046" s="127">
        <v>8</v>
      </c>
      <c r="DA4046" s="122" t="s">
        <v>236</v>
      </c>
      <c r="DB4046" s="122" t="s">
        <v>3597</v>
      </c>
      <c r="DC4046" s="122" t="s">
        <v>3597</v>
      </c>
      <c r="DD4046" s="127">
        <v>2</v>
      </c>
      <c r="DE4046" s="127">
        <v>2</v>
      </c>
      <c r="DG4046" s="405" t="s">
        <v>236</v>
      </c>
      <c r="DH4046" s="406" t="s">
        <v>3597</v>
      </c>
      <c r="DI4046" s="406" t="str">
        <f t="shared" si="95"/>
        <v>RS, Derrubadas</v>
      </c>
      <c r="DJ4046" s="406">
        <v>-27.265000000000001</v>
      </c>
      <c r="DK4046" s="80">
        <v>-53.860999999999997</v>
      </c>
      <c r="DL4046" s="80">
        <v>485</v>
      </c>
      <c r="DM4046" s="64">
        <v>2</v>
      </c>
      <c r="DN4046" s="406" t="s">
        <v>8215</v>
      </c>
      <c r="DO4046" s="406">
        <v>-27.4</v>
      </c>
      <c r="DP4046" s="80">
        <v>490</v>
      </c>
    </row>
    <row r="4047" spans="29:120" x14ac:dyDescent="0.25">
      <c r="AC4047" s="122" t="s">
        <v>344</v>
      </c>
      <c r="AD4047" s="122" t="s">
        <v>4318</v>
      </c>
      <c r="AE4047" s="127">
        <v>8</v>
      </c>
      <c r="DA4047" s="122" t="s">
        <v>236</v>
      </c>
      <c r="DB4047" s="122" t="s">
        <v>8303</v>
      </c>
      <c r="DC4047" s="122" t="s">
        <v>3396</v>
      </c>
      <c r="DD4047" s="127">
        <v>2</v>
      </c>
      <c r="DE4047" s="127">
        <v>2</v>
      </c>
      <c r="DG4047" s="405" t="s">
        <v>236</v>
      </c>
      <c r="DH4047" s="406" t="s">
        <v>3396</v>
      </c>
      <c r="DI4047" s="406" t="str">
        <f t="shared" si="95"/>
        <v>RS, Dezesseis de Novembro</v>
      </c>
      <c r="DJ4047" s="406">
        <v>-28.213000000000001</v>
      </c>
      <c r="DK4047" s="80">
        <v>-55.067999999999998</v>
      </c>
      <c r="DL4047" s="80">
        <v>178</v>
      </c>
      <c r="DM4047" s="64">
        <v>2</v>
      </c>
      <c r="DN4047" s="406" t="s">
        <v>8211</v>
      </c>
      <c r="DO4047" s="406">
        <v>-28.41</v>
      </c>
      <c r="DP4047" s="80">
        <v>245</v>
      </c>
    </row>
    <row r="4048" spans="29:120" x14ac:dyDescent="0.25">
      <c r="AC4048" s="122" t="s">
        <v>369</v>
      </c>
      <c r="AD4048" s="122" t="s">
        <v>4319</v>
      </c>
      <c r="AE4048" s="127">
        <v>7</v>
      </c>
      <c r="DA4048" s="122" t="s">
        <v>236</v>
      </c>
      <c r="DB4048" s="122" t="s">
        <v>8304</v>
      </c>
      <c r="DC4048" s="122" t="s">
        <v>1720</v>
      </c>
      <c r="DD4048" s="127">
        <v>2</v>
      </c>
      <c r="DE4048" s="127">
        <v>2</v>
      </c>
      <c r="DG4048" s="405" t="s">
        <v>236</v>
      </c>
      <c r="DH4048" s="406" t="s">
        <v>1720</v>
      </c>
      <c r="DI4048" s="406" t="str">
        <f t="shared" si="95"/>
        <v>RS, Dilermando de Aguiar</v>
      </c>
      <c r="DJ4048" s="406">
        <v>-29.706</v>
      </c>
      <c r="DK4048" s="80">
        <v>-54.207999999999998</v>
      </c>
      <c r="DL4048" s="80">
        <v>127</v>
      </c>
      <c r="DM4048" s="64">
        <v>2</v>
      </c>
      <c r="DN4048" s="406" t="s">
        <v>8209</v>
      </c>
      <c r="DO4048" s="406">
        <v>-29.68</v>
      </c>
      <c r="DP4048" s="80">
        <v>95</v>
      </c>
    </row>
    <row r="4049" spans="29:120" x14ac:dyDescent="0.25">
      <c r="AC4049" s="122" t="s">
        <v>300</v>
      </c>
      <c r="AD4049" s="122" t="s">
        <v>4320</v>
      </c>
      <c r="AE4049" s="127">
        <v>7</v>
      </c>
      <c r="DA4049" s="122" t="s">
        <v>236</v>
      </c>
      <c r="DB4049" s="122" t="s">
        <v>8305</v>
      </c>
      <c r="DC4049" s="122" t="s">
        <v>1247</v>
      </c>
      <c r="DD4049" s="127">
        <v>2</v>
      </c>
      <c r="DE4049" s="127">
        <v>2</v>
      </c>
      <c r="DG4049" s="405" t="s">
        <v>236</v>
      </c>
      <c r="DH4049" s="406" t="s">
        <v>1247</v>
      </c>
      <c r="DI4049" s="406" t="str">
        <f t="shared" si="95"/>
        <v>RS, Dois Irmãos</v>
      </c>
      <c r="DJ4049" s="406">
        <v>-29.58</v>
      </c>
      <c r="DK4049" s="80">
        <v>-51.085000000000001</v>
      </c>
      <c r="DL4049" s="80">
        <v>166</v>
      </c>
      <c r="DM4049" s="64">
        <v>2</v>
      </c>
      <c r="DN4049" s="406" t="s">
        <v>8227</v>
      </c>
      <c r="DO4049" s="406">
        <v>-29.37</v>
      </c>
      <c r="DP4049" s="80">
        <v>830</v>
      </c>
    </row>
    <row r="4050" spans="29:120" x14ac:dyDescent="0.25">
      <c r="AC4050" s="122" t="s">
        <v>328</v>
      </c>
      <c r="AD4050" s="122" t="s">
        <v>4321</v>
      </c>
      <c r="AE4050" s="127">
        <v>8</v>
      </c>
      <c r="DA4050" s="122" t="s">
        <v>236</v>
      </c>
      <c r="DB4050" s="122" t="s">
        <v>8306</v>
      </c>
      <c r="DC4050" s="122" t="s">
        <v>1357</v>
      </c>
      <c r="DD4050" s="127">
        <v>2</v>
      </c>
      <c r="DE4050" s="127">
        <v>2</v>
      </c>
      <c r="DG4050" s="405" t="s">
        <v>236</v>
      </c>
      <c r="DH4050" s="406" t="s">
        <v>1357</v>
      </c>
      <c r="DI4050" s="406" t="str">
        <f t="shared" si="95"/>
        <v>RS, Dois Irmãos das Missões</v>
      </c>
      <c r="DJ4050" s="406">
        <v>-27.658999999999999</v>
      </c>
      <c r="DK4050" s="80">
        <v>-53.530999999999999</v>
      </c>
      <c r="DL4050" s="80">
        <v>527</v>
      </c>
      <c r="DM4050" s="64">
        <v>2</v>
      </c>
      <c r="DN4050" s="406" t="s">
        <v>8215</v>
      </c>
      <c r="DO4050" s="406">
        <v>-27.4</v>
      </c>
      <c r="DP4050" s="80">
        <v>490</v>
      </c>
    </row>
    <row r="4051" spans="29:120" x14ac:dyDescent="0.25">
      <c r="AC4051" s="122" t="s">
        <v>369</v>
      </c>
      <c r="AD4051" s="122" t="s">
        <v>4322</v>
      </c>
      <c r="AE4051" s="127">
        <v>7</v>
      </c>
      <c r="DA4051" s="122" t="s">
        <v>236</v>
      </c>
      <c r="DB4051" s="122" t="s">
        <v>8307</v>
      </c>
      <c r="DC4051" s="122" t="s">
        <v>1452</v>
      </c>
      <c r="DD4051" s="127">
        <v>2</v>
      </c>
      <c r="DE4051" s="127">
        <v>2</v>
      </c>
      <c r="DG4051" s="405" t="s">
        <v>236</v>
      </c>
      <c r="DH4051" s="406" t="s">
        <v>1452</v>
      </c>
      <c r="DI4051" s="406" t="str">
        <f t="shared" si="95"/>
        <v>RS, Dois Lajeados</v>
      </c>
      <c r="DJ4051" s="406">
        <v>-28.984000000000002</v>
      </c>
      <c r="DK4051" s="80">
        <v>-51.835999999999999</v>
      </c>
      <c r="DL4051" s="80">
        <v>450</v>
      </c>
      <c r="DM4051" s="64">
        <v>2</v>
      </c>
      <c r="DN4051" s="406" t="s">
        <v>8218</v>
      </c>
      <c r="DO4051" s="406">
        <v>-29.17</v>
      </c>
      <c r="DP4051" s="80">
        <v>640</v>
      </c>
    </row>
    <row r="4052" spans="29:120" x14ac:dyDescent="0.25">
      <c r="AC4052" s="122" t="s">
        <v>300</v>
      </c>
      <c r="AD4052" s="122" t="s">
        <v>4323</v>
      </c>
      <c r="AE4052" s="127">
        <v>8</v>
      </c>
      <c r="DA4052" s="122" t="s">
        <v>236</v>
      </c>
      <c r="DB4052" s="122" t="s">
        <v>8308</v>
      </c>
      <c r="DC4052" s="122" t="s">
        <v>1332</v>
      </c>
      <c r="DD4052" s="127">
        <v>2</v>
      </c>
      <c r="DE4052" s="127">
        <v>2</v>
      </c>
      <c r="DG4052" s="405" t="s">
        <v>236</v>
      </c>
      <c r="DH4052" s="406" t="s">
        <v>1332</v>
      </c>
      <c r="DI4052" s="406" t="str">
        <f t="shared" si="95"/>
        <v>RS, Dom Feliciano</v>
      </c>
      <c r="DJ4052" s="406">
        <v>-30.704000000000001</v>
      </c>
      <c r="DK4052" s="80">
        <v>-52.107999999999997</v>
      </c>
      <c r="DL4052" s="80">
        <v>154</v>
      </c>
      <c r="DM4052" s="64">
        <v>2</v>
      </c>
      <c r="DN4052" s="406" t="s">
        <v>8221</v>
      </c>
      <c r="DO4052" s="406">
        <v>-30.81</v>
      </c>
      <c r="DP4052" s="80">
        <v>108</v>
      </c>
    </row>
    <row r="4053" spans="29:120" x14ac:dyDescent="0.25">
      <c r="AC4053" s="122" t="s">
        <v>234</v>
      </c>
      <c r="AD4053" s="122" t="s">
        <v>4324</v>
      </c>
      <c r="AE4053" s="127">
        <v>8</v>
      </c>
      <c r="DA4053" s="122" t="s">
        <v>236</v>
      </c>
      <c r="DB4053" s="122" t="s">
        <v>8309</v>
      </c>
      <c r="DC4053" s="122" t="s">
        <v>1762</v>
      </c>
      <c r="DD4053" s="127">
        <v>2</v>
      </c>
      <c r="DE4053" s="127">
        <v>2</v>
      </c>
      <c r="DG4053" s="405" t="s">
        <v>236</v>
      </c>
      <c r="DH4053" s="406" t="s">
        <v>1762</v>
      </c>
      <c r="DI4053" s="406" t="str">
        <f t="shared" si="95"/>
        <v>RS, Dom Pedrito</v>
      </c>
      <c r="DJ4053" s="406">
        <v>-30.983000000000001</v>
      </c>
      <c r="DK4053" s="80">
        <v>-54.673000000000002</v>
      </c>
      <c r="DL4053" s="80">
        <v>141</v>
      </c>
      <c r="DM4053" s="64">
        <v>2</v>
      </c>
      <c r="DN4053" s="406" t="s">
        <v>8206</v>
      </c>
      <c r="DO4053" s="406">
        <v>-31.33</v>
      </c>
      <c r="DP4053" s="80">
        <v>230</v>
      </c>
    </row>
    <row r="4054" spans="29:120" x14ac:dyDescent="0.25">
      <c r="AC4054" s="122" t="s">
        <v>328</v>
      </c>
      <c r="AD4054" s="122" t="s">
        <v>4325</v>
      </c>
      <c r="AE4054" s="127">
        <v>7</v>
      </c>
      <c r="DA4054" s="122" t="s">
        <v>236</v>
      </c>
      <c r="DB4054" s="122" t="s">
        <v>8310</v>
      </c>
      <c r="DC4054" s="122" t="s">
        <v>1362</v>
      </c>
      <c r="DD4054" s="127">
        <v>3</v>
      </c>
      <c r="DE4054" s="127">
        <v>3</v>
      </c>
      <c r="DG4054" s="405" t="s">
        <v>236</v>
      </c>
      <c r="DH4054" s="406" t="s">
        <v>1362</v>
      </c>
      <c r="DI4054" s="406" t="str">
        <f t="shared" si="95"/>
        <v>RS, Dom Pedro de Alcântara</v>
      </c>
      <c r="DJ4054" s="406">
        <v>-29.369</v>
      </c>
      <c r="DK4054" s="80">
        <v>-49.85</v>
      </c>
      <c r="DL4054" s="80">
        <v>37</v>
      </c>
      <c r="DM4054" s="64">
        <v>3</v>
      </c>
      <c r="DN4054" s="406" t="s">
        <v>8233</v>
      </c>
      <c r="DO4054" s="406">
        <v>-29.33</v>
      </c>
      <c r="DP4054" s="80">
        <v>5</v>
      </c>
    </row>
    <row r="4055" spans="29:120" x14ac:dyDescent="0.25">
      <c r="AC4055" s="122" t="s">
        <v>369</v>
      </c>
      <c r="AD4055" s="122" t="s">
        <v>4326</v>
      </c>
      <c r="AE4055" s="127">
        <v>8</v>
      </c>
      <c r="DA4055" s="122" t="s">
        <v>236</v>
      </c>
      <c r="DB4055" s="122" t="s">
        <v>8311</v>
      </c>
      <c r="DC4055" s="122" t="s">
        <v>1676</v>
      </c>
      <c r="DD4055" s="127">
        <v>2</v>
      </c>
      <c r="DE4055" s="127">
        <v>2</v>
      </c>
      <c r="DG4055" s="405" t="s">
        <v>236</v>
      </c>
      <c r="DH4055" s="406" t="s">
        <v>1676</v>
      </c>
      <c r="DI4055" s="406" t="str">
        <f t="shared" si="95"/>
        <v>RS, Dona Francisca</v>
      </c>
      <c r="DJ4055" s="406">
        <v>-29.622</v>
      </c>
      <c r="DK4055" s="80">
        <v>-53.356999999999999</v>
      </c>
      <c r="DL4055" s="80">
        <v>49</v>
      </c>
      <c r="DM4055" s="64">
        <v>2</v>
      </c>
      <c r="DN4055" s="406" t="s">
        <v>8209</v>
      </c>
      <c r="DO4055" s="406">
        <v>-29.68</v>
      </c>
      <c r="DP4055" s="80">
        <v>95</v>
      </c>
    </row>
    <row r="4056" spans="29:120" x14ac:dyDescent="0.25">
      <c r="AC4056" s="122" t="s">
        <v>369</v>
      </c>
      <c r="AD4056" s="122" t="s">
        <v>4327</v>
      </c>
      <c r="AE4056" s="127">
        <v>8</v>
      </c>
      <c r="DA4056" s="122" t="s">
        <v>236</v>
      </c>
      <c r="DB4056" s="122" t="s">
        <v>8312</v>
      </c>
      <c r="DC4056" s="122" t="s">
        <v>3096</v>
      </c>
      <c r="DD4056" s="127">
        <v>2</v>
      </c>
      <c r="DE4056" s="127">
        <v>2</v>
      </c>
      <c r="DG4056" s="405" t="s">
        <v>236</v>
      </c>
      <c r="DH4056" s="406" t="s">
        <v>3096</v>
      </c>
      <c r="DI4056" s="406" t="str">
        <f t="shared" si="95"/>
        <v>RS, Doutor Maurício Cardoso</v>
      </c>
      <c r="DJ4056" s="406">
        <v>-27.506</v>
      </c>
      <c r="DK4056" s="80">
        <v>-54.360999999999997</v>
      </c>
      <c r="DL4056" s="80">
        <v>282</v>
      </c>
      <c r="DM4056" s="64">
        <v>2</v>
      </c>
      <c r="DN4056" s="406" t="s">
        <v>8210</v>
      </c>
      <c r="DO4056" s="406">
        <v>-27.85</v>
      </c>
      <c r="DP4056" s="80">
        <v>550</v>
      </c>
    </row>
    <row r="4057" spans="29:120" x14ac:dyDescent="0.25">
      <c r="AC4057" s="122" t="s">
        <v>300</v>
      </c>
      <c r="AD4057" s="122" t="s">
        <v>4328</v>
      </c>
      <c r="AE4057" s="127">
        <v>8</v>
      </c>
      <c r="DA4057" s="122" t="s">
        <v>236</v>
      </c>
      <c r="DB4057" s="122" t="s">
        <v>8313</v>
      </c>
      <c r="DC4057" s="122" t="s">
        <v>1434</v>
      </c>
      <c r="DD4057" s="127">
        <v>2</v>
      </c>
      <c r="DE4057" s="127">
        <v>2</v>
      </c>
      <c r="DG4057" s="405" t="s">
        <v>236</v>
      </c>
      <c r="DH4057" s="406" t="s">
        <v>1434</v>
      </c>
      <c r="DI4057" s="406" t="str">
        <f t="shared" si="95"/>
        <v>RS, Doutor Ricardo</v>
      </c>
      <c r="DJ4057" s="406">
        <v>-29.085999999999999</v>
      </c>
      <c r="DK4057" s="80">
        <v>-51.991999999999997</v>
      </c>
      <c r="DL4057" s="80">
        <v>499</v>
      </c>
      <c r="DM4057" s="64">
        <v>2</v>
      </c>
      <c r="DN4057" s="406" t="s">
        <v>8218</v>
      </c>
      <c r="DO4057" s="406">
        <v>-29.17</v>
      </c>
      <c r="DP4057" s="80">
        <v>640</v>
      </c>
    </row>
    <row r="4058" spans="29:120" x14ac:dyDescent="0.25">
      <c r="AC4058" s="122" t="s">
        <v>328</v>
      </c>
      <c r="AD4058" s="122" t="s">
        <v>4329</v>
      </c>
      <c r="AE4058" s="127">
        <v>8</v>
      </c>
      <c r="DA4058" s="122" t="s">
        <v>236</v>
      </c>
      <c r="DB4058" s="122" t="s">
        <v>8314</v>
      </c>
      <c r="DC4058" s="122" t="s">
        <v>1126</v>
      </c>
      <c r="DD4058" s="127">
        <v>3</v>
      </c>
      <c r="DE4058" s="127">
        <v>3</v>
      </c>
      <c r="DG4058" s="405" t="s">
        <v>236</v>
      </c>
      <c r="DH4058" s="406" t="s">
        <v>1126</v>
      </c>
      <c r="DI4058" s="406" t="str">
        <f t="shared" si="95"/>
        <v>RS, Eldorado do Sul</v>
      </c>
      <c r="DJ4058" s="406">
        <v>-30.084</v>
      </c>
      <c r="DK4058" s="80">
        <v>-51.616</v>
      </c>
      <c r="DL4058" s="80">
        <v>19</v>
      </c>
      <c r="DM4058" s="64">
        <v>3</v>
      </c>
      <c r="DN4058" s="406" t="s">
        <v>8219</v>
      </c>
      <c r="DO4058" s="406">
        <v>-30.03</v>
      </c>
      <c r="DP4058" s="80">
        <v>47</v>
      </c>
    </row>
    <row r="4059" spans="29:120" x14ac:dyDescent="0.25">
      <c r="AC4059" s="122" t="s">
        <v>300</v>
      </c>
      <c r="AD4059" s="122" t="s">
        <v>4330</v>
      </c>
      <c r="AE4059" s="127">
        <v>7</v>
      </c>
      <c r="DA4059" s="122" t="s">
        <v>236</v>
      </c>
      <c r="DB4059" s="122" t="s">
        <v>1446</v>
      </c>
      <c r="DC4059" s="122" t="s">
        <v>1446</v>
      </c>
      <c r="DD4059" s="127">
        <v>2</v>
      </c>
      <c r="DE4059" s="127">
        <v>2</v>
      </c>
      <c r="DG4059" s="405" t="s">
        <v>236</v>
      </c>
      <c r="DH4059" s="406" t="s">
        <v>1446</v>
      </c>
      <c r="DI4059" s="406" t="str">
        <f t="shared" si="95"/>
        <v>RS, Encantado</v>
      </c>
      <c r="DJ4059" s="406">
        <v>-29.236000000000001</v>
      </c>
      <c r="DK4059" s="80">
        <v>-51.87</v>
      </c>
      <c r="DL4059" s="80">
        <v>58</v>
      </c>
      <c r="DM4059" s="64">
        <v>2</v>
      </c>
      <c r="DN4059" s="406" t="s">
        <v>8218</v>
      </c>
      <c r="DO4059" s="406">
        <v>-29.17</v>
      </c>
      <c r="DP4059" s="80">
        <v>640</v>
      </c>
    </row>
    <row r="4060" spans="29:120" x14ac:dyDescent="0.25">
      <c r="AC4060" s="122" t="s">
        <v>344</v>
      </c>
      <c r="AD4060" s="122" t="s">
        <v>4331</v>
      </c>
      <c r="AE4060" s="127">
        <v>8</v>
      </c>
      <c r="DA4060" s="122" t="s">
        <v>236</v>
      </c>
      <c r="DB4060" s="122" t="s">
        <v>8315</v>
      </c>
      <c r="DC4060" s="122" t="s">
        <v>1398</v>
      </c>
      <c r="DD4060" s="127">
        <v>2</v>
      </c>
      <c r="DE4060" s="127">
        <v>2</v>
      </c>
      <c r="DG4060" s="405" t="s">
        <v>236</v>
      </c>
      <c r="DH4060" s="406" t="s">
        <v>1398</v>
      </c>
      <c r="DI4060" s="406" t="str">
        <f t="shared" si="95"/>
        <v>RS, Encruzilhada do Sul</v>
      </c>
      <c r="DJ4060" s="406">
        <v>-30.544</v>
      </c>
      <c r="DK4060" s="80">
        <v>-52.521999999999998</v>
      </c>
      <c r="DL4060" s="80">
        <v>432</v>
      </c>
      <c r="DM4060" s="64">
        <v>2</v>
      </c>
      <c r="DN4060" s="406" t="s">
        <v>8221</v>
      </c>
      <c r="DO4060" s="406">
        <v>-30.81</v>
      </c>
      <c r="DP4060" s="80">
        <v>108</v>
      </c>
    </row>
    <row r="4061" spans="29:120" x14ac:dyDescent="0.25">
      <c r="AC4061" s="122" t="s">
        <v>328</v>
      </c>
      <c r="AD4061" s="122" t="s">
        <v>4332</v>
      </c>
      <c r="AE4061" s="127">
        <v>8</v>
      </c>
      <c r="DA4061" s="122" t="s">
        <v>236</v>
      </c>
      <c r="DB4061" s="122" t="s">
        <v>8316</v>
      </c>
      <c r="DC4061" s="122" t="s">
        <v>1703</v>
      </c>
      <c r="DD4061" s="127">
        <v>2</v>
      </c>
      <c r="DE4061" s="127">
        <v>2</v>
      </c>
      <c r="DG4061" s="405" t="s">
        <v>236</v>
      </c>
      <c r="DH4061" s="406" t="s">
        <v>1703</v>
      </c>
      <c r="DI4061" s="406" t="str">
        <f t="shared" si="95"/>
        <v>RS, Engenho Velho</v>
      </c>
      <c r="DJ4061" s="406">
        <v>-27.707999999999998</v>
      </c>
      <c r="DK4061" s="80">
        <v>-52.912999999999997</v>
      </c>
      <c r="DL4061" s="80">
        <v>506</v>
      </c>
      <c r="DM4061" s="64">
        <v>2</v>
      </c>
      <c r="DN4061" s="406" t="s">
        <v>8214</v>
      </c>
      <c r="DO4061" s="406">
        <v>-27.92</v>
      </c>
      <c r="DP4061" s="80">
        <v>642</v>
      </c>
    </row>
    <row r="4062" spans="29:120" x14ac:dyDescent="0.25">
      <c r="AC4062" s="122" t="s">
        <v>344</v>
      </c>
      <c r="AD4062" s="122" t="s">
        <v>4333</v>
      </c>
      <c r="AE4062" s="127">
        <v>8</v>
      </c>
      <c r="DA4062" s="122" t="s">
        <v>236</v>
      </c>
      <c r="DB4062" s="122" t="s">
        <v>8317</v>
      </c>
      <c r="DC4062" s="122" t="s">
        <v>1664</v>
      </c>
      <c r="DD4062" s="127">
        <v>2</v>
      </c>
      <c r="DE4062" s="127">
        <v>2</v>
      </c>
      <c r="DG4062" s="405" t="s">
        <v>236</v>
      </c>
      <c r="DH4062" s="406" t="s">
        <v>1664</v>
      </c>
      <c r="DI4062" s="406" t="str">
        <f t="shared" si="95"/>
        <v>RS, Entre Rios do Sul</v>
      </c>
      <c r="DJ4062" s="406">
        <v>-27.527999999999999</v>
      </c>
      <c r="DK4062" s="80">
        <v>-52.732999999999997</v>
      </c>
      <c r="DL4062" s="80">
        <v>605</v>
      </c>
      <c r="DM4062" s="64">
        <v>2</v>
      </c>
      <c r="DN4062" s="406" t="s">
        <v>8228</v>
      </c>
      <c r="DO4062" s="406">
        <v>-27.63</v>
      </c>
      <c r="DP4062" s="80">
        <v>765</v>
      </c>
    </row>
    <row r="4063" spans="29:120" x14ac:dyDescent="0.25">
      <c r="AC4063" s="122" t="s">
        <v>328</v>
      </c>
      <c r="AD4063" s="122" t="s">
        <v>1704</v>
      </c>
      <c r="AE4063" s="127">
        <v>8</v>
      </c>
      <c r="DA4063" s="122" t="s">
        <v>236</v>
      </c>
      <c r="DB4063" s="122" t="s">
        <v>1490</v>
      </c>
      <c r="DC4063" s="122" t="s">
        <v>1490</v>
      </c>
      <c r="DD4063" s="127">
        <v>2</v>
      </c>
      <c r="DE4063" s="127">
        <v>2</v>
      </c>
      <c r="DG4063" s="405" t="s">
        <v>236</v>
      </c>
      <c r="DH4063" s="406" t="s">
        <v>1490</v>
      </c>
      <c r="DI4063" s="406" t="str">
        <f t="shared" si="95"/>
        <v>RS, Entre-Ijuís</v>
      </c>
      <c r="DJ4063" s="406">
        <v>-28.36</v>
      </c>
      <c r="DK4063" s="80">
        <v>-54.268000000000001</v>
      </c>
      <c r="DL4063" s="80">
        <v>215</v>
      </c>
      <c r="DM4063" s="64">
        <v>2</v>
      </c>
      <c r="DN4063" s="406" t="s">
        <v>8211</v>
      </c>
      <c r="DO4063" s="406">
        <v>-28.41</v>
      </c>
      <c r="DP4063" s="80">
        <v>245</v>
      </c>
    </row>
    <row r="4064" spans="29:120" x14ac:dyDescent="0.25">
      <c r="AC4064" s="122" t="s">
        <v>328</v>
      </c>
      <c r="AD4064" s="122" t="s">
        <v>4334</v>
      </c>
      <c r="AE4064" s="127">
        <v>8</v>
      </c>
      <c r="DA4064" s="122" t="s">
        <v>236</v>
      </c>
      <c r="DB4064" s="122" t="s">
        <v>1725</v>
      </c>
      <c r="DC4064" s="122" t="s">
        <v>1725</v>
      </c>
      <c r="DD4064" s="127">
        <v>2</v>
      </c>
      <c r="DE4064" s="127">
        <v>2</v>
      </c>
      <c r="DG4064" s="405" t="s">
        <v>236</v>
      </c>
      <c r="DH4064" s="406" t="s">
        <v>1725</v>
      </c>
      <c r="DI4064" s="406" t="str">
        <f t="shared" si="95"/>
        <v>RS, Erebango</v>
      </c>
      <c r="DJ4064" s="406">
        <v>-27.855</v>
      </c>
      <c r="DK4064" s="80">
        <v>-52.302</v>
      </c>
      <c r="DL4064" s="80">
        <v>763</v>
      </c>
      <c r="DM4064" s="64">
        <v>2</v>
      </c>
      <c r="DN4064" s="406" t="s">
        <v>8228</v>
      </c>
      <c r="DO4064" s="406">
        <v>-27.63</v>
      </c>
      <c r="DP4064" s="80">
        <v>765</v>
      </c>
    </row>
    <row r="4065" spans="29:120" x14ac:dyDescent="0.25">
      <c r="AC4065" s="122" t="s">
        <v>344</v>
      </c>
      <c r="AD4065" s="122" t="s">
        <v>4335</v>
      </c>
      <c r="AE4065" s="127">
        <v>8</v>
      </c>
      <c r="DA4065" s="122" t="s">
        <v>236</v>
      </c>
      <c r="DB4065" s="122" t="s">
        <v>1734</v>
      </c>
      <c r="DC4065" s="122" t="s">
        <v>1734</v>
      </c>
      <c r="DD4065" s="127">
        <v>2</v>
      </c>
      <c r="DE4065" s="127">
        <v>2</v>
      </c>
      <c r="DG4065" s="405" t="s">
        <v>236</v>
      </c>
      <c r="DH4065" s="406" t="s">
        <v>1734</v>
      </c>
      <c r="DI4065" s="406" t="str">
        <f t="shared" si="95"/>
        <v>RS, Erechim</v>
      </c>
      <c r="DJ4065" s="406">
        <v>-27.634</v>
      </c>
      <c r="DK4065" s="80">
        <v>-52.274000000000001</v>
      </c>
      <c r="DL4065" s="80">
        <v>783</v>
      </c>
      <c r="DM4065" s="64">
        <v>2</v>
      </c>
      <c r="DN4065" s="406" t="s">
        <v>8228</v>
      </c>
      <c r="DO4065" s="406">
        <v>-27.63</v>
      </c>
      <c r="DP4065" s="80">
        <v>765</v>
      </c>
    </row>
    <row r="4066" spans="29:120" x14ac:dyDescent="0.25">
      <c r="AC4066" s="122" t="s">
        <v>344</v>
      </c>
      <c r="AD4066" s="122" t="s">
        <v>4336</v>
      </c>
      <c r="AE4066" s="127">
        <v>8</v>
      </c>
      <c r="DA4066" s="122" t="s">
        <v>236</v>
      </c>
      <c r="DB4066" s="122" t="s">
        <v>1242</v>
      </c>
      <c r="DC4066" s="122" t="s">
        <v>1242</v>
      </c>
      <c r="DD4066" s="127">
        <v>2</v>
      </c>
      <c r="DE4066" s="127">
        <v>2</v>
      </c>
      <c r="DG4066" s="405" t="s">
        <v>236</v>
      </c>
      <c r="DH4066" s="406" t="s">
        <v>1242</v>
      </c>
      <c r="DI4066" s="406" t="str">
        <f t="shared" si="95"/>
        <v>RS, Ernestina</v>
      </c>
      <c r="DJ4066" s="406">
        <v>-28.498999999999999</v>
      </c>
      <c r="DK4066" s="80">
        <v>-52.573</v>
      </c>
      <c r="DL4066" s="80">
        <v>493</v>
      </c>
      <c r="DM4066" s="64">
        <v>2</v>
      </c>
      <c r="DN4066" s="406" t="s">
        <v>8208</v>
      </c>
      <c r="DO4066" s="406">
        <v>-28.26</v>
      </c>
      <c r="DP4066" s="80">
        <v>684</v>
      </c>
    </row>
    <row r="4067" spans="29:120" x14ac:dyDescent="0.25">
      <c r="AC4067" s="122" t="s">
        <v>344</v>
      </c>
      <c r="AD4067" s="122" t="s">
        <v>4337</v>
      </c>
      <c r="AE4067" s="127">
        <v>8</v>
      </c>
      <c r="DA4067" s="122" t="s">
        <v>236</v>
      </c>
      <c r="DB4067" s="122" t="s">
        <v>8318</v>
      </c>
      <c r="DC4067" s="122" t="s">
        <v>1594</v>
      </c>
      <c r="DD4067" s="127">
        <v>2</v>
      </c>
      <c r="DE4067" s="127">
        <v>2</v>
      </c>
      <c r="DG4067" s="405" t="s">
        <v>236</v>
      </c>
      <c r="DH4067" s="406" t="s">
        <v>1594</v>
      </c>
      <c r="DI4067" s="406" t="str">
        <f t="shared" si="95"/>
        <v>RS, Erval Grande</v>
      </c>
      <c r="DJ4067" s="406">
        <v>-27.390999999999998</v>
      </c>
      <c r="DK4067" s="80">
        <v>-52.570999999999998</v>
      </c>
      <c r="DL4067" s="80">
        <v>763</v>
      </c>
      <c r="DM4067" s="64">
        <v>2</v>
      </c>
      <c r="DN4067" s="406" t="s">
        <v>8228</v>
      </c>
      <c r="DO4067" s="406">
        <v>-27.63</v>
      </c>
      <c r="DP4067" s="80">
        <v>765</v>
      </c>
    </row>
    <row r="4068" spans="29:120" x14ac:dyDescent="0.25">
      <c r="AC4068" s="122" t="s">
        <v>344</v>
      </c>
      <c r="AD4068" s="122" t="s">
        <v>4338</v>
      </c>
      <c r="AE4068" s="127">
        <v>8</v>
      </c>
      <c r="DA4068" s="122" t="s">
        <v>236</v>
      </c>
      <c r="DB4068" s="122" t="s">
        <v>8319</v>
      </c>
      <c r="DC4068" s="122" t="s">
        <v>1330</v>
      </c>
      <c r="DD4068" s="127">
        <v>2</v>
      </c>
      <c r="DE4068" s="127">
        <v>2</v>
      </c>
      <c r="DG4068" s="405" t="s">
        <v>236</v>
      </c>
      <c r="DH4068" s="406" t="s">
        <v>1330</v>
      </c>
      <c r="DI4068" s="406" t="str">
        <f t="shared" si="95"/>
        <v>RS, Erval Seco</v>
      </c>
      <c r="DJ4068" s="406">
        <v>-27.548999999999999</v>
      </c>
      <c r="DK4068" s="80">
        <v>-53.503999999999998</v>
      </c>
      <c r="DL4068" s="80">
        <v>425</v>
      </c>
      <c r="DM4068" s="64">
        <v>2</v>
      </c>
      <c r="DN4068" s="406" t="s">
        <v>8215</v>
      </c>
      <c r="DO4068" s="406">
        <v>-27.4</v>
      </c>
      <c r="DP4068" s="80">
        <v>490</v>
      </c>
    </row>
    <row r="4069" spans="29:120" x14ac:dyDescent="0.25">
      <c r="AC4069" s="122" t="s">
        <v>344</v>
      </c>
      <c r="AD4069" s="122" t="s">
        <v>4339</v>
      </c>
      <c r="AE4069" s="127">
        <v>8</v>
      </c>
      <c r="DA4069" s="122" t="s">
        <v>236</v>
      </c>
      <c r="DB4069" s="122" t="s">
        <v>1479</v>
      </c>
      <c r="DC4069" s="122" t="s">
        <v>1479</v>
      </c>
      <c r="DD4069" s="127">
        <v>2</v>
      </c>
      <c r="DE4069" s="127">
        <v>2</v>
      </c>
      <c r="DG4069" s="405" t="s">
        <v>236</v>
      </c>
      <c r="DH4069" s="406" t="s">
        <v>1479</v>
      </c>
      <c r="DI4069" s="406" t="str">
        <f t="shared" si="95"/>
        <v>RS, Esmeralda</v>
      </c>
      <c r="DJ4069" s="406">
        <v>-28.053999999999998</v>
      </c>
      <c r="DK4069" s="80">
        <v>-51.19</v>
      </c>
      <c r="DL4069" s="80">
        <v>956</v>
      </c>
      <c r="DM4069" s="64">
        <v>2</v>
      </c>
      <c r="DN4069" s="406" t="s">
        <v>8224</v>
      </c>
      <c r="DO4069" s="406">
        <v>-28.22</v>
      </c>
      <c r="DP4069" s="80">
        <v>842</v>
      </c>
    </row>
    <row r="4070" spans="29:120" x14ac:dyDescent="0.25">
      <c r="AC4070" s="122" t="s">
        <v>300</v>
      </c>
      <c r="AD4070" s="122" t="s">
        <v>4340</v>
      </c>
      <c r="AE4070" s="127">
        <v>7</v>
      </c>
      <c r="DA4070" s="122" t="s">
        <v>236</v>
      </c>
      <c r="DB4070" s="122" t="s">
        <v>8320</v>
      </c>
      <c r="DC4070" s="122" t="s">
        <v>3128</v>
      </c>
      <c r="DD4070" s="127">
        <v>2</v>
      </c>
      <c r="DE4070" s="127">
        <v>2</v>
      </c>
      <c r="DG4070" s="405" t="s">
        <v>236</v>
      </c>
      <c r="DH4070" s="406" t="s">
        <v>3128</v>
      </c>
      <c r="DI4070" s="406" t="str">
        <f t="shared" si="95"/>
        <v>RS, Esperança do Sul</v>
      </c>
      <c r="DJ4070" s="406">
        <v>-27.355</v>
      </c>
      <c r="DK4070" s="80">
        <v>-53.991999999999997</v>
      </c>
      <c r="DL4070" s="80">
        <v>387</v>
      </c>
      <c r="DM4070" s="64">
        <v>2</v>
      </c>
      <c r="DN4070" s="406" t="s">
        <v>8210</v>
      </c>
      <c r="DO4070" s="406">
        <v>-27.85</v>
      </c>
      <c r="DP4070" s="80">
        <v>550</v>
      </c>
    </row>
    <row r="4071" spans="29:120" x14ac:dyDescent="0.25">
      <c r="AC4071" s="122" t="s">
        <v>393</v>
      </c>
      <c r="AD4071" s="122" t="s">
        <v>4341</v>
      </c>
      <c r="AE4071" s="127">
        <v>7</v>
      </c>
      <c r="DA4071" s="122" t="s">
        <v>236</v>
      </c>
      <c r="DB4071" s="122" t="s">
        <v>1222</v>
      </c>
      <c r="DC4071" s="122" t="s">
        <v>1222</v>
      </c>
      <c r="DD4071" s="127">
        <v>2</v>
      </c>
      <c r="DE4071" s="127">
        <v>2</v>
      </c>
      <c r="DG4071" s="405" t="s">
        <v>236</v>
      </c>
      <c r="DH4071" s="406" t="s">
        <v>1222</v>
      </c>
      <c r="DI4071" s="406" t="str">
        <f t="shared" si="95"/>
        <v>RS, Espumoso</v>
      </c>
      <c r="DJ4071" s="406">
        <v>-28.725000000000001</v>
      </c>
      <c r="DK4071" s="80">
        <v>-52.85</v>
      </c>
      <c r="DL4071" s="80">
        <v>357</v>
      </c>
      <c r="DM4071" s="64">
        <v>2</v>
      </c>
      <c r="DN4071" s="406" t="s">
        <v>8216</v>
      </c>
      <c r="DO4071" s="406">
        <v>-28.85</v>
      </c>
      <c r="DP4071" s="80">
        <v>667</v>
      </c>
    </row>
    <row r="4072" spans="29:120" x14ac:dyDescent="0.25">
      <c r="AC4072" s="122" t="s">
        <v>300</v>
      </c>
      <c r="AD4072" s="122" t="s">
        <v>3052</v>
      </c>
      <c r="AE4072" s="127">
        <v>8</v>
      </c>
      <c r="DA4072" s="122" t="s">
        <v>236</v>
      </c>
      <c r="DB4072" s="122" t="s">
        <v>1717</v>
      </c>
      <c r="DC4072" s="122" t="s">
        <v>1717</v>
      </c>
      <c r="DD4072" s="127">
        <v>2</v>
      </c>
      <c r="DE4072" s="127">
        <v>2</v>
      </c>
      <c r="DG4072" s="405" t="s">
        <v>236</v>
      </c>
      <c r="DH4072" s="406" t="s">
        <v>1717</v>
      </c>
      <c r="DI4072" s="406" t="str">
        <f t="shared" si="95"/>
        <v>RS, Estação</v>
      </c>
      <c r="DJ4072" s="406">
        <v>-27.911000000000001</v>
      </c>
      <c r="DK4072" s="80">
        <v>-52.26</v>
      </c>
      <c r="DL4072" s="80">
        <v>680</v>
      </c>
      <c r="DM4072" s="64">
        <v>2</v>
      </c>
      <c r="DN4072" s="406" t="s">
        <v>8228</v>
      </c>
      <c r="DO4072" s="406">
        <v>-27.63</v>
      </c>
      <c r="DP4072" s="80">
        <v>765</v>
      </c>
    </row>
    <row r="4073" spans="29:120" x14ac:dyDescent="0.25">
      <c r="AC4073" s="122" t="s">
        <v>344</v>
      </c>
      <c r="AD4073" s="122" t="s">
        <v>4342</v>
      </c>
      <c r="AE4073" s="127">
        <v>8</v>
      </c>
      <c r="DA4073" s="122" t="s">
        <v>236</v>
      </c>
      <c r="DB4073" s="122" t="s">
        <v>8321</v>
      </c>
      <c r="DC4073" s="122" t="s">
        <v>1231</v>
      </c>
      <c r="DD4073" s="127">
        <v>2</v>
      </c>
      <c r="DE4073" s="127">
        <v>2</v>
      </c>
      <c r="DG4073" s="405" t="s">
        <v>236</v>
      </c>
      <c r="DH4073" s="406" t="s">
        <v>1231</v>
      </c>
      <c r="DI4073" s="406" t="str">
        <f t="shared" si="95"/>
        <v>RS, Estância Velha</v>
      </c>
      <c r="DJ4073" s="406">
        <v>-29.648</v>
      </c>
      <c r="DK4073" s="80">
        <v>-51.173999999999999</v>
      </c>
      <c r="DL4073" s="80">
        <v>44</v>
      </c>
      <c r="DM4073" s="64">
        <v>2</v>
      </c>
      <c r="DN4073" s="406" t="s">
        <v>8219</v>
      </c>
      <c r="DO4073" s="406">
        <v>-30.03</v>
      </c>
      <c r="DP4073" s="80">
        <v>47</v>
      </c>
    </row>
    <row r="4074" spans="29:120" x14ac:dyDescent="0.25">
      <c r="AC4074" s="122" t="s">
        <v>328</v>
      </c>
      <c r="AD4074" s="122" t="s">
        <v>4343</v>
      </c>
      <c r="AE4074" s="127">
        <v>8</v>
      </c>
      <c r="DA4074" s="122" t="s">
        <v>236</v>
      </c>
      <c r="DB4074" s="122" t="s">
        <v>1217</v>
      </c>
      <c r="DC4074" s="122" t="s">
        <v>1217</v>
      </c>
      <c r="DD4074" s="127">
        <v>2</v>
      </c>
      <c r="DE4074" s="127">
        <v>2</v>
      </c>
      <c r="DG4074" s="405" t="s">
        <v>236</v>
      </c>
      <c r="DH4074" s="406" t="s">
        <v>1217</v>
      </c>
      <c r="DI4074" s="406" t="str">
        <f t="shared" si="95"/>
        <v>RS, Esteio</v>
      </c>
      <c r="DJ4074" s="406">
        <v>-29.861000000000001</v>
      </c>
      <c r="DK4074" s="80">
        <v>-51.179000000000002</v>
      </c>
      <c r="DL4074" s="80">
        <v>11</v>
      </c>
      <c r="DM4074" s="64">
        <v>2</v>
      </c>
      <c r="DN4074" s="406" t="s">
        <v>8219</v>
      </c>
      <c r="DO4074" s="406">
        <v>-30.03</v>
      </c>
      <c r="DP4074" s="80">
        <v>47</v>
      </c>
    </row>
    <row r="4075" spans="29:120" x14ac:dyDescent="0.25">
      <c r="AC4075" s="122" t="s">
        <v>344</v>
      </c>
      <c r="AD4075" s="122" t="s">
        <v>4344</v>
      </c>
      <c r="AE4075" s="127">
        <v>8</v>
      </c>
      <c r="DA4075" s="122" t="s">
        <v>236</v>
      </c>
      <c r="DB4075" s="122" t="s">
        <v>1426</v>
      </c>
      <c r="DC4075" s="122" t="s">
        <v>1426</v>
      </c>
      <c r="DD4075" s="127">
        <v>2</v>
      </c>
      <c r="DE4075" s="127">
        <v>2</v>
      </c>
      <c r="DG4075" s="405" t="s">
        <v>236</v>
      </c>
      <c r="DH4075" s="406" t="s">
        <v>1426</v>
      </c>
      <c r="DI4075" s="406" t="str">
        <f t="shared" si="95"/>
        <v>RS, Estrela</v>
      </c>
      <c r="DJ4075" s="406">
        <v>-29.501999999999999</v>
      </c>
      <c r="DK4075" s="80">
        <v>-51.966000000000001</v>
      </c>
      <c r="DL4075" s="80">
        <v>39</v>
      </c>
      <c r="DM4075" s="64">
        <v>2</v>
      </c>
      <c r="DN4075" s="406" t="s">
        <v>8218</v>
      </c>
      <c r="DO4075" s="406">
        <v>-29.17</v>
      </c>
      <c r="DP4075" s="80">
        <v>640</v>
      </c>
    </row>
    <row r="4076" spans="29:120" x14ac:dyDescent="0.25">
      <c r="AC4076" s="122" t="s">
        <v>300</v>
      </c>
      <c r="AD4076" s="122" t="s">
        <v>4345</v>
      </c>
      <c r="AE4076" s="127">
        <v>8</v>
      </c>
      <c r="DA4076" s="122" t="s">
        <v>236</v>
      </c>
      <c r="DB4076" s="122" t="s">
        <v>8322</v>
      </c>
      <c r="DC4076" s="122" t="s">
        <v>1560</v>
      </c>
      <c r="DD4076" s="127">
        <v>2</v>
      </c>
      <c r="DE4076" s="127">
        <v>2</v>
      </c>
      <c r="DG4076" s="405" t="s">
        <v>236</v>
      </c>
      <c r="DH4076" s="406" t="s">
        <v>1560</v>
      </c>
      <c r="DI4076" s="406" t="str">
        <f t="shared" si="95"/>
        <v>RS, Estrela Velha</v>
      </c>
      <c r="DJ4076" s="406">
        <v>-29.177</v>
      </c>
      <c r="DK4076" s="80">
        <v>-53.158999999999999</v>
      </c>
      <c r="DL4076" s="80">
        <v>394</v>
      </c>
      <c r="DM4076" s="64">
        <v>2</v>
      </c>
      <c r="DN4076" s="406" t="s">
        <v>8216</v>
      </c>
      <c r="DO4076" s="406">
        <v>-28.85</v>
      </c>
      <c r="DP4076" s="80">
        <v>667</v>
      </c>
    </row>
    <row r="4077" spans="29:120" x14ac:dyDescent="0.25">
      <c r="AC4077" s="122" t="s">
        <v>300</v>
      </c>
      <c r="AD4077" s="122" t="s">
        <v>4346</v>
      </c>
      <c r="AE4077" s="127">
        <v>7</v>
      </c>
      <c r="DA4077" s="122" t="s">
        <v>236</v>
      </c>
      <c r="DB4077" s="122" t="s">
        <v>8323</v>
      </c>
      <c r="DC4077" s="122" t="s">
        <v>1472</v>
      </c>
      <c r="DD4077" s="127">
        <v>2</v>
      </c>
      <c r="DE4077" s="127">
        <v>2</v>
      </c>
      <c r="DG4077" s="405" t="s">
        <v>236</v>
      </c>
      <c r="DH4077" s="406" t="s">
        <v>1472</v>
      </c>
      <c r="DI4077" s="406" t="str">
        <f t="shared" si="95"/>
        <v>RS, Eugênio de Castro</v>
      </c>
      <c r="DJ4077" s="406">
        <v>-28.524999999999999</v>
      </c>
      <c r="DK4077" s="80">
        <v>-54.149000000000001</v>
      </c>
      <c r="DL4077" s="80">
        <v>315</v>
      </c>
      <c r="DM4077" s="64">
        <v>2</v>
      </c>
      <c r="DN4077" s="406" t="s">
        <v>8239</v>
      </c>
      <c r="DO4077" s="406">
        <v>-28.6</v>
      </c>
      <c r="DP4077" s="80">
        <v>432</v>
      </c>
    </row>
    <row r="4078" spans="29:120" x14ac:dyDescent="0.25">
      <c r="AC4078" s="122" t="s">
        <v>300</v>
      </c>
      <c r="AD4078" s="122" t="s">
        <v>4347</v>
      </c>
      <c r="AE4078" s="127">
        <v>8</v>
      </c>
      <c r="DA4078" s="122" t="s">
        <v>236</v>
      </c>
      <c r="DB4078" s="122" t="s">
        <v>8324</v>
      </c>
      <c r="DC4078" s="122" t="s">
        <v>1508</v>
      </c>
      <c r="DD4078" s="127">
        <v>2</v>
      </c>
      <c r="DE4078" s="127">
        <v>2</v>
      </c>
      <c r="DG4078" s="405" t="s">
        <v>236</v>
      </c>
      <c r="DH4078" s="406" t="s">
        <v>1508</v>
      </c>
      <c r="DI4078" s="406" t="str">
        <f t="shared" si="95"/>
        <v>RS, Fagundes Varela</v>
      </c>
      <c r="DJ4078" s="406">
        <v>-28.881</v>
      </c>
      <c r="DK4078" s="80">
        <v>-51.698</v>
      </c>
      <c r="DL4078" s="80">
        <v>610</v>
      </c>
      <c r="DM4078" s="64">
        <v>2</v>
      </c>
      <c r="DN4078" s="406" t="s">
        <v>8218</v>
      </c>
      <c r="DO4078" s="406">
        <v>-29.17</v>
      </c>
      <c r="DP4078" s="80">
        <v>640</v>
      </c>
    </row>
    <row r="4079" spans="29:120" x14ac:dyDescent="0.25">
      <c r="AC4079" s="122" t="s">
        <v>300</v>
      </c>
      <c r="AD4079" s="122" t="s">
        <v>4348</v>
      </c>
      <c r="AE4079" s="127">
        <v>8</v>
      </c>
      <c r="DA4079" s="122" t="s">
        <v>236</v>
      </c>
      <c r="DB4079" s="122" t="s">
        <v>1299</v>
      </c>
      <c r="DC4079" s="122" t="s">
        <v>1299</v>
      </c>
      <c r="DD4079" s="127">
        <v>1</v>
      </c>
      <c r="DE4079" s="127">
        <v>1</v>
      </c>
      <c r="DG4079" s="405" t="s">
        <v>236</v>
      </c>
      <c r="DH4079" s="406" t="s">
        <v>1299</v>
      </c>
      <c r="DI4079" s="406" t="str">
        <f t="shared" si="95"/>
        <v>RS, Farroupilha</v>
      </c>
      <c r="DJ4079" s="406">
        <v>-29.225000000000001</v>
      </c>
      <c r="DK4079" s="80">
        <v>-51.347999999999999</v>
      </c>
      <c r="DL4079" s="80">
        <v>783</v>
      </c>
      <c r="DM4079" s="64">
        <v>1</v>
      </c>
      <c r="DN4079" s="406" t="s">
        <v>8218</v>
      </c>
      <c r="DO4079" s="406">
        <v>-29.17</v>
      </c>
      <c r="DP4079" s="80">
        <v>640</v>
      </c>
    </row>
    <row r="4080" spans="29:120" x14ac:dyDescent="0.25">
      <c r="AC4080" s="122" t="s">
        <v>369</v>
      </c>
      <c r="AD4080" s="122" t="s">
        <v>4349</v>
      </c>
      <c r="AE4080" s="127">
        <v>8</v>
      </c>
      <c r="DA4080" s="122" t="s">
        <v>236</v>
      </c>
      <c r="DB4080" s="122" t="s">
        <v>8325</v>
      </c>
      <c r="DC4080" s="122" t="s">
        <v>1688</v>
      </c>
      <c r="DD4080" s="127">
        <v>2</v>
      </c>
      <c r="DE4080" s="127">
        <v>2</v>
      </c>
      <c r="DG4080" s="405" t="s">
        <v>236</v>
      </c>
      <c r="DH4080" s="406" t="s">
        <v>1688</v>
      </c>
      <c r="DI4080" s="406" t="str">
        <f t="shared" si="95"/>
        <v>RS, Faxinal do Soturno</v>
      </c>
      <c r="DJ4080" s="406">
        <v>-29.574999999999999</v>
      </c>
      <c r="DK4080" s="80">
        <v>-53.445</v>
      </c>
      <c r="DL4080" s="80">
        <v>53</v>
      </c>
      <c r="DM4080" s="64">
        <v>2</v>
      </c>
      <c r="DN4080" s="406" t="s">
        <v>8209</v>
      </c>
      <c r="DO4080" s="406">
        <v>-29.68</v>
      </c>
      <c r="DP4080" s="80">
        <v>95</v>
      </c>
    </row>
    <row r="4081" spans="29:120" x14ac:dyDescent="0.25">
      <c r="AC4081" s="122" t="s">
        <v>328</v>
      </c>
      <c r="AD4081" s="122" t="s">
        <v>4350</v>
      </c>
      <c r="AE4081" s="127">
        <v>8</v>
      </c>
      <c r="DA4081" s="122" t="s">
        <v>236</v>
      </c>
      <c r="DB4081" s="122" t="s">
        <v>1631</v>
      </c>
      <c r="DC4081" s="122" t="s">
        <v>1631</v>
      </c>
      <c r="DD4081" s="127">
        <v>2</v>
      </c>
      <c r="DE4081" s="127">
        <v>2</v>
      </c>
      <c r="DG4081" s="405" t="s">
        <v>236</v>
      </c>
      <c r="DH4081" s="406" t="s">
        <v>1631</v>
      </c>
      <c r="DI4081" s="406" t="str">
        <f t="shared" si="95"/>
        <v>RS, Faxinalzinho</v>
      </c>
      <c r="DJ4081" s="406">
        <v>-27.423999999999999</v>
      </c>
      <c r="DK4081" s="80">
        <v>-52.673000000000002</v>
      </c>
      <c r="DL4081" s="80">
        <v>742</v>
      </c>
      <c r="DM4081" s="64">
        <v>2</v>
      </c>
      <c r="DN4081" s="406" t="s">
        <v>8228</v>
      </c>
      <c r="DO4081" s="406">
        <v>-27.63</v>
      </c>
      <c r="DP4081" s="80">
        <v>765</v>
      </c>
    </row>
    <row r="4082" spans="29:120" x14ac:dyDescent="0.25">
      <c r="AC4082" s="122" t="s">
        <v>357</v>
      </c>
      <c r="AD4082" s="122" t="s">
        <v>4351</v>
      </c>
      <c r="AE4082" s="127">
        <v>8</v>
      </c>
      <c r="DA4082" s="122" t="s">
        <v>236</v>
      </c>
      <c r="DB4082" s="122" t="s">
        <v>8326</v>
      </c>
      <c r="DC4082" s="122" t="s">
        <v>237</v>
      </c>
      <c r="DD4082" s="127">
        <v>2</v>
      </c>
      <c r="DE4082" s="127">
        <v>2</v>
      </c>
      <c r="DG4082" s="405" t="s">
        <v>236</v>
      </c>
      <c r="DH4082" s="406" t="s">
        <v>237</v>
      </c>
      <c r="DI4082" s="406" t="str">
        <f t="shared" si="95"/>
        <v>RS, Fazenda Vilanova</v>
      </c>
      <c r="DJ4082" s="406">
        <v>-29.588999999999999</v>
      </c>
      <c r="DK4082" s="80">
        <v>-51.825000000000003</v>
      </c>
      <c r="DL4082" s="80">
        <v>145</v>
      </c>
      <c r="DM4082" s="64">
        <v>2</v>
      </c>
      <c r="DN4082" s="406" t="s">
        <v>8218</v>
      </c>
      <c r="DO4082" s="406">
        <v>-29.17</v>
      </c>
      <c r="DP4082" s="80">
        <v>640</v>
      </c>
    </row>
    <row r="4083" spans="29:120" x14ac:dyDescent="0.25">
      <c r="AC4083" s="122" t="s">
        <v>328</v>
      </c>
      <c r="AD4083" s="122" t="s">
        <v>4352</v>
      </c>
      <c r="AE4083" s="127">
        <v>8</v>
      </c>
      <c r="DA4083" s="122" t="s">
        <v>236</v>
      </c>
      <c r="DB4083" s="122" t="s">
        <v>1193</v>
      </c>
      <c r="DC4083" s="122" t="s">
        <v>1193</v>
      </c>
      <c r="DD4083" s="127">
        <v>1</v>
      </c>
      <c r="DE4083" s="127">
        <v>1</v>
      </c>
      <c r="DG4083" s="405" t="s">
        <v>236</v>
      </c>
      <c r="DH4083" s="406" t="s">
        <v>1193</v>
      </c>
      <c r="DI4083" s="406" t="str">
        <f t="shared" si="95"/>
        <v>RS, Feliz</v>
      </c>
      <c r="DJ4083" s="406">
        <v>-29.451000000000001</v>
      </c>
      <c r="DK4083" s="80">
        <v>-51.305999999999997</v>
      </c>
      <c r="DL4083" s="80">
        <v>68</v>
      </c>
      <c r="DM4083" s="64">
        <v>1</v>
      </c>
      <c r="DN4083" s="406" t="s">
        <v>8218</v>
      </c>
      <c r="DO4083" s="406">
        <v>-29.17</v>
      </c>
      <c r="DP4083" s="80">
        <v>640</v>
      </c>
    </row>
    <row r="4084" spans="29:120" x14ac:dyDescent="0.25">
      <c r="AC4084" s="122" t="s">
        <v>300</v>
      </c>
      <c r="AD4084" s="122" t="s">
        <v>4353</v>
      </c>
      <c r="AE4084" s="127">
        <v>8</v>
      </c>
      <c r="DA4084" s="122" t="s">
        <v>236</v>
      </c>
      <c r="DB4084" s="122" t="s">
        <v>8327</v>
      </c>
      <c r="DC4084" s="122" t="s">
        <v>1246</v>
      </c>
      <c r="DD4084" s="127">
        <v>1</v>
      </c>
      <c r="DE4084" s="127">
        <v>1</v>
      </c>
      <c r="DG4084" s="405" t="s">
        <v>236</v>
      </c>
      <c r="DH4084" s="406" t="s">
        <v>1246</v>
      </c>
      <c r="DI4084" s="406" t="str">
        <f t="shared" si="95"/>
        <v>RS, Flores da Cunha</v>
      </c>
      <c r="DJ4084" s="406">
        <v>-29.029</v>
      </c>
      <c r="DK4084" s="80">
        <v>-51.182000000000002</v>
      </c>
      <c r="DL4084" s="80">
        <v>756</v>
      </c>
      <c r="DM4084" s="64">
        <v>1</v>
      </c>
      <c r="DN4084" s="406" t="s">
        <v>8218</v>
      </c>
      <c r="DO4084" s="406">
        <v>-29.17</v>
      </c>
      <c r="DP4084" s="80">
        <v>640</v>
      </c>
    </row>
    <row r="4085" spans="29:120" x14ac:dyDescent="0.25">
      <c r="AC4085" s="122" t="s">
        <v>328</v>
      </c>
      <c r="AD4085" s="122" t="s">
        <v>4354</v>
      </c>
      <c r="AE4085" s="127">
        <v>8</v>
      </c>
      <c r="DA4085" s="122" t="s">
        <v>236</v>
      </c>
      <c r="DB4085" s="122" t="s">
        <v>8328</v>
      </c>
      <c r="DC4085" s="122" t="s">
        <v>1702</v>
      </c>
      <c r="DD4085" s="127">
        <v>2</v>
      </c>
      <c r="DE4085" s="127">
        <v>2</v>
      </c>
      <c r="DG4085" s="405" t="s">
        <v>236</v>
      </c>
      <c r="DH4085" s="406" t="s">
        <v>1702</v>
      </c>
      <c r="DI4085" s="406" t="str">
        <f t="shared" si="95"/>
        <v>RS, Floriano Peixoto</v>
      </c>
      <c r="DJ4085" s="406">
        <v>-27.861000000000001</v>
      </c>
      <c r="DK4085" s="80">
        <v>-52.084000000000003</v>
      </c>
      <c r="DL4085" s="80">
        <v>662</v>
      </c>
      <c r="DM4085" s="64">
        <v>2</v>
      </c>
      <c r="DN4085" s="406" t="s">
        <v>8228</v>
      </c>
      <c r="DO4085" s="406">
        <v>-27.63</v>
      </c>
      <c r="DP4085" s="80">
        <v>765</v>
      </c>
    </row>
    <row r="4086" spans="29:120" x14ac:dyDescent="0.25">
      <c r="AC4086" s="122" t="s">
        <v>300</v>
      </c>
      <c r="AD4086" s="122" t="s">
        <v>4355</v>
      </c>
      <c r="AE4086" s="127">
        <v>7</v>
      </c>
      <c r="DA4086" s="122" t="s">
        <v>236</v>
      </c>
      <c r="DB4086" s="122" t="s">
        <v>8329</v>
      </c>
      <c r="DC4086" s="122" t="s">
        <v>1552</v>
      </c>
      <c r="DD4086" s="127">
        <v>2</v>
      </c>
      <c r="DE4086" s="127">
        <v>2</v>
      </c>
      <c r="DG4086" s="405" t="s">
        <v>236</v>
      </c>
      <c r="DH4086" s="406" t="s">
        <v>1552</v>
      </c>
      <c r="DI4086" s="406" t="str">
        <f t="shared" si="95"/>
        <v>RS, Fontoura Xavier</v>
      </c>
      <c r="DJ4086" s="406">
        <v>-28.983000000000001</v>
      </c>
      <c r="DK4086" s="80">
        <v>-52.345999999999997</v>
      </c>
      <c r="DL4086" s="80">
        <v>773</v>
      </c>
      <c r="DM4086" s="64">
        <v>2</v>
      </c>
      <c r="DN4086" s="406" t="s">
        <v>8216</v>
      </c>
      <c r="DO4086" s="406">
        <v>-28.85</v>
      </c>
      <c r="DP4086" s="80">
        <v>667</v>
      </c>
    </row>
    <row r="4087" spans="29:120" x14ac:dyDescent="0.25">
      <c r="AC4087" s="122" t="s">
        <v>300</v>
      </c>
      <c r="AD4087" s="122" t="s">
        <v>4356</v>
      </c>
      <c r="AE4087" s="127">
        <v>7</v>
      </c>
      <c r="DA4087" s="122" t="s">
        <v>236</v>
      </c>
      <c r="DB4087" s="122" t="s">
        <v>1391</v>
      </c>
      <c r="DC4087" s="122" t="s">
        <v>1391</v>
      </c>
      <c r="DD4087" s="127">
        <v>2</v>
      </c>
      <c r="DE4087" s="127">
        <v>2</v>
      </c>
      <c r="DG4087" s="405" t="s">
        <v>236</v>
      </c>
      <c r="DH4087" s="406" t="s">
        <v>1391</v>
      </c>
      <c r="DI4087" s="406" t="str">
        <f t="shared" si="95"/>
        <v>RS, Formigueiro</v>
      </c>
      <c r="DJ4087" s="406">
        <v>-30</v>
      </c>
      <c r="DK4087" s="80">
        <v>-53.499000000000002</v>
      </c>
      <c r="DL4087" s="80">
        <v>129</v>
      </c>
      <c r="DM4087" s="64">
        <v>2</v>
      </c>
      <c r="DN4087" s="406" t="s">
        <v>8209</v>
      </c>
      <c r="DO4087" s="406">
        <v>-29.68</v>
      </c>
      <c r="DP4087" s="80">
        <v>95</v>
      </c>
    </row>
    <row r="4088" spans="29:120" x14ac:dyDescent="0.25">
      <c r="AC4088" s="122" t="s">
        <v>344</v>
      </c>
      <c r="AD4088" s="122" t="s">
        <v>4357</v>
      </c>
      <c r="AE4088" s="127">
        <v>8</v>
      </c>
      <c r="DA4088" s="122" t="s">
        <v>236</v>
      </c>
      <c r="DB4088" s="122" t="s">
        <v>1433</v>
      </c>
      <c r="DC4088" s="122" t="s">
        <v>1433</v>
      </c>
      <c r="DD4088" s="127">
        <v>1</v>
      </c>
      <c r="DE4088" s="127">
        <v>1</v>
      </c>
      <c r="DG4088" s="405" t="s">
        <v>236</v>
      </c>
      <c r="DH4088" s="406" t="s">
        <v>1433</v>
      </c>
      <c r="DI4088" s="406" t="str">
        <f t="shared" si="95"/>
        <v>RS, Forquetinha</v>
      </c>
      <c r="DJ4088" s="406">
        <v>-29.382000000000001</v>
      </c>
      <c r="DK4088" s="80">
        <v>-52.091000000000001</v>
      </c>
      <c r="DL4088" s="80">
        <v>99</v>
      </c>
      <c r="DM4088" s="64">
        <v>1</v>
      </c>
      <c r="DN4088" s="406" t="s">
        <v>8218</v>
      </c>
      <c r="DO4088" s="406">
        <v>-29.17</v>
      </c>
      <c r="DP4088" s="80">
        <v>640</v>
      </c>
    </row>
    <row r="4089" spans="29:120" x14ac:dyDescent="0.25">
      <c r="AC4089" s="122" t="s">
        <v>300</v>
      </c>
      <c r="AD4089" s="122" t="s">
        <v>4358</v>
      </c>
      <c r="AE4089" s="127">
        <v>8</v>
      </c>
      <c r="DA4089" s="122" t="s">
        <v>236</v>
      </c>
      <c r="DB4089" s="122" t="s">
        <v>8330</v>
      </c>
      <c r="DC4089" s="122" t="s">
        <v>1600</v>
      </c>
      <c r="DD4089" s="127">
        <v>2</v>
      </c>
      <c r="DE4089" s="127">
        <v>2</v>
      </c>
      <c r="DG4089" s="405" t="s">
        <v>236</v>
      </c>
      <c r="DH4089" s="406" t="s">
        <v>1600</v>
      </c>
      <c r="DI4089" s="406" t="str">
        <f t="shared" si="95"/>
        <v>RS, Fortaleza dos Valos</v>
      </c>
      <c r="DJ4089" s="406">
        <v>-28.797000000000001</v>
      </c>
      <c r="DK4089" s="80">
        <v>-53.222999999999999</v>
      </c>
      <c r="DL4089" s="80">
        <v>406</v>
      </c>
      <c r="DM4089" s="64">
        <v>2</v>
      </c>
      <c r="DN4089" s="406" t="s">
        <v>8239</v>
      </c>
      <c r="DO4089" s="406">
        <v>-28.6</v>
      </c>
      <c r="DP4089" s="80">
        <v>432</v>
      </c>
    </row>
    <row r="4090" spans="29:120" x14ac:dyDescent="0.25">
      <c r="AC4090" s="122" t="s">
        <v>300</v>
      </c>
      <c r="AD4090" s="122" t="s">
        <v>4359</v>
      </c>
      <c r="AE4090" s="127">
        <v>7</v>
      </c>
      <c r="DA4090" s="122" t="s">
        <v>236</v>
      </c>
      <c r="DB4090" s="122" t="s">
        <v>8331</v>
      </c>
      <c r="DC4090" s="122" t="s">
        <v>1684</v>
      </c>
      <c r="DD4090" s="127">
        <v>3</v>
      </c>
      <c r="DE4090" s="127">
        <v>3</v>
      </c>
      <c r="DG4090" s="405" t="s">
        <v>236</v>
      </c>
      <c r="DH4090" s="406" t="s">
        <v>1684</v>
      </c>
      <c r="DI4090" s="406" t="str">
        <f t="shared" si="95"/>
        <v>RS, Frederico Westphalen</v>
      </c>
      <c r="DJ4090" s="406">
        <v>-27.359000000000002</v>
      </c>
      <c r="DK4090" s="80">
        <v>-53.393999999999998</v>
      </c>
      <c r="DL4090" s="80">
        <v>522</v>
      </c>
      <c r="DM4090" s="64">
        <v>3</v>
      </c>
      <c r="DN4090" s="406" t="s">
        <v>8215</v>
      </c>
      <c r="DO4090" s="406">
        <v>-27.4</v>
      </c>
      <c r="DP4090" s="80">
        <v>490</v>
      </c>
    </row>
    <row r="4091" spans="29:120" x14ac:dyDescent="0.25">
      <c r="AC4091" s="122" t="s">
        <v>268</v>
      </c>
      <c r="AD4091" s="122" t="s">
        <v>4360</v>
      </c>
      <c r="AE4091" s="127">
        <v>8</v>
      </c>
      <c r="DA4091" s="122" t="s">
        <v>236</v>
      </c>
      <c r="DB4091" s="122" t="s">
        <v>1514</v>
      </c>
      <c r="DC4091" s="122" t="s">
        <v>1514</v>
      </c>
      <c r="DD4091" s="127">
        <v>1</v>
      </c>
      <c r="DE4091" s="127">
        <v>1</v>
      </c>
      <c r="DG4091" s="405" t="s">
        <v>236</v>
      </c>
      <c r="DH4091" s="406" t="s">
        <v>1514</v>
      </c>
      <c r="DI4091" s="406" t="str">
        <f t="shared" si="95"/>
        <v>RS, Garibaldi</v>
      </c>
      <c r="DJ4091" s="406">
        <v>-29.256</v>
      </c>
      <c r="DK4091" s="80">
        <v>-51.533999999999999</v>
      </c>
      <c r="DL4091" s="80">
        <v>617</v>
      </c>
      <c r="DM4091" s="64">
        <v>1</v>
      </c>
      <c r="DN4091" s="406" t="s">
        <v>8218</v>
      </c>
      <c r="DO4091" s="406">
        <v>-29.17</v>
      </c>
      <c r="DP4091" s="80">
        <v>640</v>
      </c>
    </row>
    <row r="4092" spans="29:120" x14ac:dyDescent="0.25">
      <c r="AC4092" s="122" t="s">
        <v>344</v>
      </c>
      <c r="AD4092" s="122" t="s">
        <v>4361</v>
      </c>
      <c r="AE4092" s="127">
        <v>8</v>
      </c>
      <c r="DA4092" s="122" t="s">
        <v>236</v>
      </c>
      <c r="DB4092" s="122" t="s">
        <v>3292</v>
      </c>
      <c r="DC4092" s="122" t="s">
        <v>3292</v>
      </c>
      <c r="DD4092" s="127">
        <v>2</v>
      </c>
      <c r="DE4092" s="127">
        <v>2</v>
      </c>
      <c r="DG4092" s="405" t="s">
        <v>236</v>
      </c>
      <c r="DH4092" s="406" t="s">
        <v>3292</v>
      </c>
      <c r="DI4092" s="406" t="str">
        <f t="shared" si="95"/>
        <v>RS, Garruchos</v>
      </c>
      <c r="DJ4092" s="406">
        <v>-28.184000000000001</v>
      </c>
      <c r="DK4092" s="80">
        <v>-55.639000000000003</v>
      </c>
      <c r="DL4092" s="80">
        <v>69</v>
      </c>
      <c r="DM4092" s="64">
        <v>2</v>
      </c>
      <c r="DN4092" s="406" t="s">
        <v>8332</v>
      </c>
      <c r="DO4092" s="406">
        <v>-28.66</v>
      </c>
      <c r="DP4092" s="80">
        <v>83</v>
      </c>
    </row>
    <row r="4093" spans="29:120" x14ac:dyDescent="0.25">
      <c r="AC4093" s="122" t="s">
        <v>344</v>
      </c>
      <c r="AD4093" s="122" t="s">
        <v>4362</v>
      </c>
      <c r="AE4093" s="127">
        <v>8</v>
      </c>
      <c r="DA4093" s="122" t="s">
        <v>236</v>
      </c>
      <c r="DB4093" s="122" t="s">
        <v>1651</v>
      </c>
      <c r="DC4093" s="122" t="s">
        <v>1651</v>
      </c>
      <c r="DD4093" s="127">
        <v>2</v>
      </c>
      <c r="DE4093" s="127">
        <v>2</v>
      </c>
      <c r="DG4093" s="405" t="s">
        <v>236</v>
      </c>
      <c r="DH4093" s="406" t="s">
        <v>1651</v>
      </c>
      <c r="DI4093" s="406" t="str">
        <f t="shared" si="95"/>
        <v>RS, Gaurama</v>
      </c>
      <c r="DJ4093" s="406">
        <v>-27.584</v>
      </c>
      <c r="DK4093" s="80">
        <v>-52.094000000000001</v>
      </c>
      <c r="DL4093" s="80">
        <v>787</v>
      </c>
      <c r="DM4093" s="64">
        <v>2</v>
      </c>
      <c r="DN4093" s="406" t="s">
        <v>8228</v>
      </c>
      <c r="DO4093" s="406">
        <v>-27.63</v>
      </c>
      <c r="DP4093" s="80">
        <v>765</v>
      </c>
    </row>
    <row r="4094" spans="29:120" x14ac:dyDescent="0.25">
      <c r="AC4094" s="122" t="s">
        <v>300</v>
      </c>
      <c r="AD4094" s="122" t="s">
        <v>4363</v>
      </c>
      <c r="AE4094" s="127">
        <v>8</v>
      </c>
      <c r="DA4094" s="122" t="s">
        <v>236</v>
      </c>
      <c r="DB4094" s="122" t="s">
        <v>8333</v>
      </c>
      <c r="DC4094" s="122" t="s">
        <v>249</v>
      </c>
      <c r="DD4094" s="127">
        <v>3</v>
      </c>
      <c r="DE4094" s="127">
        <v>3</v>
      </c>
      <c r="DG4094" s="405" t="s">
        <v>236</v>
      </c>
      <c r="DH4094" s="406" t="s">
        <v>249</v>
      </c>
      <c r="DI4094" s="406" t="str">
        <f t="shared" si="95"/>
        <v>RS, General Câmara</v>
      </c>
      <c r="DJ4094" s="406">
        <v>-29.905000000000001</v>
      </c>
      <c r="DK4094" s="80">
        <v>-51.76</v>
      </c>
      <c r="DL4094" s="80">
        <v>35</v>
      </c>
      <c r="DM4094" s="64">
        <v>3</v>
      </c>
      <c r="DN4094" s="406" t="s">
        <v>8219</v>
      </c>
      <c r="DO4094" s="406">
        <v>-30.03</v>
      </c>
      <c r="DP4094" s="80">
        <v>47</v>
      </c>
    </row>
    <row r="4095" spans="29:120" x14ac:dyDescent="0.25">
      <c r="AC4095" s="122" t="s">
        <v>328</v>
      </c>
      <c r="AD4095" s="122" t="s">
        <v>4364</v>
      </c>
      <c r="AE4095" s="127">
        <v>7</v>
      </c>
      <c r="DA4095" s="122" t="s">
        <v>236</v>
      </c>
      <c r="DB4095" s="122" t="s">
        <v>1579</v>
      </c>
      <c r="DC4095" s="122" t="s">
        <v>1579</v>
      </c>
      <c r="DD4095" s="127">
        <v>2</v>
      </c>
      <c r="DE4095" s="127">
        <v>2</v>
      </c>
      <c r="DG4095" s="405" t="s">
        <v>236</v>
      </c>
      <c r="DH4095" s="406" t="s">
        <v>1579</v>
      </c>
      <c r="DI4095" s="406" t="str">
        <f t="shared" si="95"/>
        <v>RS, Gentil</v>
      </c>
      <c r="DJ4095" s="406">
        <v>-28.43</v>
      </c>
      <c r="DK4095" s="80">
        <v>-52.036000000000001</v>
      </c>
      <c r="DL4095" s="80">
        <v>774</v>
      </c>
      <c r="DM4095" s="64">
        <v>2</v>
      </c>
      <c r="DN4095" s="406" t="s">
        <v>8208</v>
      </c>
      <c r="DO4095" s="406">
        <v>-28.26</v>
      </c>
      <c r="DP4095" s="80">
        <v>684</v>
      </c>
    </row>
    <row r="4096" spans="29:120" x14ac:dyDescent="0.25">
      <c r="AC4096" s="122" t="s">
        <v>300</v>
      </c>
      <c r="AD4096" s="122" t="s">
        <v>4365</v>
      </c>
      <c r="AE4096" s="127">
        <v>8</v>
      </c>
      <c r="DA4096" s="122" t="s">
        <v>236</v>
      </c>
      <c r="DB4096" s="122" t="s">
        <v>8334</v>
      </c>
      <c r="DC4096" s="122" t="s">
        <v>1721</v>
      </c>
      <c r="DD4096" s="127">
        <v>2</v>
      </c>
      <c r="DE4096" s="127">
        <v>2</v>
      </c>
      <c r="DG4096" s="405" t="s">
        <v>236</v>
      </c>
      <c r="DH4096" s="406" t="s">
        <v>1721</v>
      </c>
      <c r="DI4096" s="406" t="str">
        <f t="shared" si="95"/>
        <v>RS, Getúlio Vargas</v>
      </c>
      <c r="DJ4096" s="406">
        <v>-27.89</v>
      </c>
      <c r="DK4096" s="80">
        <v>-52.228000000000002</v>
      </c>
      <c r="DL4096" s="80">
        <v>637</v>
      </c>
      <c r="DM4096" s="64">
        <v>2</v>
      </c>
      <c r="DN4096" s="406" t="s">
        <v>8228</v>
      </c>
      <c r="DO4096" s="406">
        <v>-27.63</v>
      </c>
      <c r="DP4096" s="80">
        <v>765</v>
      </c>
    </row>
    <row r="4097" spans="29:120" x14ac:dyDescent="0.25">
      <c r="AC4097" s="122" t="s">
        <v>300</v>
      </c>
      <c r="AD4097" s="122" t="s">
        <v>4366</v>
      </c>
      <c r="AE4097" s="127">
        <v>8</v>
      </c>
      <c r="DA4097" s="122" t="s">
        <v>236</v>
      </c>
      <c r="DB4097" s="122" t="s">
        <v>3062</v>
      </c>
      <c r="DC4097" s="122" t="s">
        <v>3062</v>
      </c>
      <c r="DD4097" s="127">
        <v>2</v>
      </c>
      <c r="DE4097" s="127">
        <v>2</v>
      </c>
      <c r="DG4097" s="405" t="s">
        <v>236</v>
      </c>
      <c r="DH4097" s="406" t="s">
        <v>3062</v>
      </c>
      <c r="DI4097" s="406" t="str">
        <f t="shared" si="95"/>
        <v>RS, Giruá</v>
      </c>
      <c r="DJ4097" s="406">
        <v>-28.027999999999999</v>
      </c>
      <c r="DK4097" s="80">
        <v>-54.35</v>
      </c>
      <c r="DL4097" s="80">
        <v>429</v>
      </c>
      <c r="DM4097" s="64">
        <v>2</v>
      </c>
      <c r="DN4097" s="406" t="s">
        <v>8210</v>
      </c>
      <c r="DO4097" s="406">
        <v>-27.85</v>
      </c>
      <c r="DP4097" s="80">
        <v>550</v>
      </c>
    </row>
    <row r="4098" spans="29:120" x14ac:dyDescent="0.25">
      <c r="AC4098" s="122" t="s">
        <v>393</v>
      </c>
      <c r="AD4098" s="122" t="s">
        <v>4367</v>
      </c>
      <c r="AE4098" s="127">
        <v>7</v>
      </c>
      <c r="DA4098" s="122" t="s">
        <v>236</v>
      </c>
      <c r="DB4098" s="122" t="s">
        <v>1129</v>
      </c>
      <c r="DC4098" s="122" t="s">
        <v>1129</v>
      </c>
      <c r="DD4098" s="127">
        <v>2</v>
      </c>
      <c r="DE4098" s="127">
        <v>2</v>
      </c>
      <c r="DG4098" s="405" t="s">
        <v>236</v>
      </c>
      <c r="DH4098" s="406" t="s">
        <v>1129</v>
      </c>
      <c r="DI4098" s="406" t="str">
        <f t="shared" si="95"/>
        <v>RS, Glorinha</v>
      </c>
      <c r="DJ4098" s="406">
        <v>-29.881</v>
      </c>
      <c r="DK4098" s="80">
        <v>-50.767000000000003</v>
      </c>
      <c r="DL4098" s="80">
        <v>58</v>
      </c>
      <c r="DM4098" s="64">
        <v>2</v>
      </c>
      <c r="DN4098" s="406" t="s">
        <v>8219</v>
      </c>
      <c r="DO4098" s="406">
        <v>-30.03</v>
      </c>
      <c r="DP4098" s="80">
        <v>47</v>
      </c>
    </row>
    <row r="4099" spans="29:120" x14ac:dyDescent="0.25">
      <c r="AC4099" s="122" t="s">
        <v>344</v>
      </c>
      <c r="AD4099" s="122" t="s">
        <v>4368</v>
      </c>
      <c r="AE4099" s="127">
        <v>8</v>
      </c>
      <c r="DA4099" s="122" t="s">
        <v>236</v>
      </c>
      <c r="DB4099" s="122" t="s">
        <v>1293</v>
      </c>
      <c r="DC4099" s="122" t="s">
        <v>1293</v>
      </c>
      <c r="DD4099" s="127">
        <v>1</v>
      </c>
      <c r="DE4099" s="127">
        <v>1</v>
      </c>
      <c r="DG4099" s="405" t="s">
        <v>236</v>
      </c>
      <c r="DH4099" s="406" t="s">
        <v>1293</v>
      </c>
      <c r="DI4099" s="406" t="str">
        <f t="shared" ref="DI4099:DI4162" si="96">CONCATENATE(DG4099,", ",DH4099)</f>
        <v>RS, Gramado</v>
      </c>
      <c r="DJ4099" s="406">
        <v>-29.379000000000001</v>
      </c>
      <c r="DK4099" s="80">
        <v>-50.874000000000002</v>
      </c>
      <c r="DL4099" s="80">
        <v>825</v>
      </c>
      <c r="DM4099" s="64">
        <v>1</v>
      </c>
      <c r="DN4099" s="406" t="s">
        <v>8227</v>
      </c>
      <c r="DO4099" s="406">
        <v>-29.37</v>
      </c>
      <c r="DP4099" s="80">
        <v>830</v>
      </c>
    </row>
    <row r="4100" spans="29:120" x14ac:dyDescent="0.25">
      <c r="AC4100" s="122" t="s">
        <v>300</v>
      </c>
      <c r="AD4100" s="122" t="s">
        <v>4369</v>
      </c>
      <c r="AE4100" s="127">
        <v>7</v>
      </c>
      <c r="DA4100" s="122" t="s">
        <v>236</v>
      </c>
      <c r="DB4100" s="122" t="s">
        <v>8335</v>
      </c>
      <c r="DC4100" s="122" t="s">
        <v>1652</v>
      </c>
      <c r="DD4100" s="127">
        <v>2</v>
      </c>
      <c r="DE4100" s="127">
        <v>2</v>
      </c>
      <c r="DG4100" s="405" t="s">
        <v>236</v>
      </c>
      <c r="DH4100" s="406" t="s">
        <v>1652</v>
      </c>
      <c r="DI4100" s="406" t="str">
        <f t="shared" si="96"/>
        <v>RS, Gramado dos Loureiros</v>
      </c>
      <c r="DJ4100" s="406">
        <v>-27.443999999999999</v>
      </c>
      <c r="DK4100" s="80">
        <v>-52.917999999999999</v>
      </c>
      <c r="DL4100" s="80">
        <v>520</v>
      </c>
      <c r="DM4100" s="64">
        <v>2</v>
      </c>
      <c r="DN4100" s="406" t="s">
        <v>8215</v>
      </c>
      <c r="DO4100" s="406">
        <v>-27.4</v>
      </c>
      <c r="DP4100" s="80">
        <v>490</v>
      </c>
    </row>
    <row r="4101" spans="29:120" x14ac:dyDescent="0.25">
      <c r="AC4101" s="122" t="s">
        <v>369</v>
      </c>
      <c r="AD4101" s="122" t="s">
        <v>4370</v>
      </c>
      <c r="AE4101" s="127">
        <v>7</v>
      </c>
      <c r="DA4101" s="122" t="s">
        <v>236</v>
      </c>
      <c r="DB4101" s="122" t="s">
        <v>8336</v>
      </c>
      <c r="DC4101" s="122" t="s">
        <v>1541</v>
      </c>
      <c r="DD4101" s="127">
        <v>2</v>
      </c>
      <c r="DE4101" s="127">
        <v>2</v>
      </c>
      <c r="DG4101" s="405" t="s">
        <v>236</v>
      </c>
      <c r="DH4101" s="406" t="s">
        <v>1541</v>
      </c>
      <c r="DI4101" s="406" t="str">
        <f t="shared" si="96"/>
        <v>RS, Gramado Xavier</v>
      </c>
      <c r="DJ4101" s="406">
        <v>-29.268000000000001</v>
      </c>
      <c r="DK4101" s="80">
        <v>-52.579000000000001</v>
      </c>
      <c r="DL4101" s="80">
        <v>463</v>
      </c>
      <c r="DM4101" s="64">
        <v>2</v>
      </c>
      <c r="DN4101" s="406" t="s">
        <v>8216</v>
      </c>
      <c r="DO4101" s="406">
        <v>-28.85</v>
      </c>
      <c r="DP4101" s="80">
        <v>667</v>
      </c>
    </row>
    <row r="4102" spans="29:120" x14ac:dyDescent="0.25">
      <c r="AC4102" s="122" t="s">
        <v>344</v>
      </c>
      <c r="AD4102" s="122" t="s">
        <v>4371</v>
      </c>
      <c r="AE4102" s="127">
        <v>8</v>
      </c>
      <c r="DA4102" s="122" t="s">
        <v>236</v>
      </c>
      <c r="DB4102" s="122" t="s">
        <v>1219</v>
      </c>
      <c r="DC4102" s="122" t="s">
        <v>1219</v>
      </c>
      <c r="DD4102" s="127">
        <v>2</v>
      </c>
      <c r="DE4102" s="127">
        <v>2</v>
      </c>
      <c r="DG4102" s="405" t="s">
        <v>236</v>
      </c>
      <c r="DH4102" s="406" t="s">
        <v>1219</v>
      </c>
      <c r="DI4102" s="406" t="str">
        <f t="shared" si="96"/>
        <v>RS, Gravataí</v>
      </c>
      <c r="DJ4102" s="406">
        <v>-29.943999999999999</v>
      </c>
      <c r="DK4102" s="80">
        <v>-50.991999999999997</v>
      </c>
      <c r="DL4102" s="80">
        <v>26</v>
      </c>
      <c r="DM4102" s="64">
        <v>2</v>
      </c>
      <c r="DN4102" s="406" t="s">
        <v>8219</v>
      </c>
      <c r="DO4102" s="406">
        <v>-30.03</v>
      </c>
      <c r="DP4102" s="80">
        <v>47</v>
      </c>
    </row>
    <row r="4103" spans="29:120" x14ac:dyDescent="0.25">
      <c r="AC4103" s="122" t="s">
        <v>300</v>
      </c>
      <c r="AD4103" s="122" t="s">
        <v>4372</v>
      </c>
      <c r="AE4103" s="127">
        <v>7</v>
      </c>
      <c r="DA4103" s="122" t="s">
        <v>236</v>
      </c>
      <c r="DB4103" s="122" t="s">
        <v>1190</v>
      </c>
      <c r="DC4103" s="122" t="s">
        <v>1190</v>
      </c>
      <c r="DD4103" s="127">
        <v>2</v>
      </c>
      <c r="DE4103" s="127">
        <v>2</v>
      </c>
      <c r="DG4103" s="405" t="s">
        <v>236</v>
      </c>
      <c r="DH4103" s="406" t="s">
        <v>1190</v>
      </c>
      <c r="DI4103" s="406" t="str">
        <f t="shared" si="96"/>
        <v>RS, Guabiju</v>
      </c>
      <c r="DJ4103" s="406">
        <v>-28.541</v>
      </c>
      <c r="DK4103" s="80">
        <v>-51.69</v>
      </c>
      <c r="DL4103" s="80">
        <v>720</v>
      </c>
      <c r="DM4103" s="64">
        <v>2</v>
      </c>
      <c r="DN4103" s="406" t="s">
        <v>8224</v>
      </c>
      <c r="DO4103" s="406">
        <v>-28.22</v>
      </c>
      <c r="DP4103" s="80">
        <v>842</v>
      </c>
    </row>
    <row r="4104" spans="29:120" x14ac:dyDescent="0.25">
      <c r="AC4104" s="122" t="s">
        <v>300</v>
      </c>
      <c r="AD4104" s="122" t="s">
        <v>4373</v>
      </c>
      <c r="AE4104" s="127">
        <v>8</v>
      </c>
      <c r="DA4104" s="122" t="s">
        <v>236</v>
      </c>
      <c r="DB4104" s="122" t="s">
        <v>1287</v>
      </c>
      <c r="DC4104" s="122" t="s">
        <v>1287</v>
      </c>
      <c r="DD4104" s="127">
        <v>3</v>
      </c>
      <c r="DE4104" s="127">
        <v>3</v>
      </c>
      <c r="DG4104" s="405" t="s">
        <v>236</v>
      </c>
      <c r="DH4104" s="406" t="s">
        <v>1287</v>
      </c>
      <c r="DI4104" s="406" t="str">
        <f t="shared" si="96"/>
        <v>RS, Guaíba</v>
      </c>
      <c r="DJ4104" s="406">
        <v>-30.114000000000001</v>
      </c>
      <c r="DK4104" s="80">
        <v>-51.325000000000003</v>
      </c>
      <c r="DL4104" s="80">
        <v>23</v>
      </c>
      <c r="DM4104" s="64">
        <v>3</v>
      </c>
      <c r="DN4104" s="406" t="s">
        <v>8219</v>
      </c>
      <c r="DO4104" s="406">
        <v>-30.03</v>
      </c>
      <c r="DP4104" s="80">
        <v>47</v>
      </c>
    </row>
    <row r="4105" spans="29:120" x14ac:dyDescent="0.25">
      <c r="AC4105" s="122" t="s">
        <v>344</v>
      </c>
      <c r="AD4105" s="122" t="s">
        <v>4374</v>
      </c>
      <c r="AE4105" s="127">
        <v>8</v>
      </c>
      <c r="DA4105" s="122" t="s">
        <v>236</v>
      </c>
      <c r="DB4105" s="122" t="s">
        <v>1462</v>
      </c>
      <c r="DC4105" s="122" t="s">
        <v>1462</v>
      </c>
      <c r="DD4105" s="127">
        <v>2</v>
      </c>
      <c r="DE4105" s="127">
        <v>2</v>
      </c>
      <c r="DG4105" s="405" t="s">
        <v>236</v>
      </c>
      <c r="DH4105" s="406" t="s">
        <v>1462</v>
      </c>
      <c r="DI4105" s="406" t="str">
        <f t="shared" si="96"/>
        <v>RS, Guaporé</v>
      </c>
      <c r="DJ4105" s="406">
        <v>-28.846</v>
      </c>
      <c r="DK4105" s="80">
        <v>-51.89</v>
      </c>
      <c r="DL4105" s="80">
        <v>478</v>
      </c>
      <c r="DM4105" s="64">
        <v>2</v>
      </c>
      <c r="DN4105" s="406" t="s">
        <v>8218</v>
      </c>
      <c r="DO4105" s="406">
        <v>-29.17</v>
      </c>
      <c r="DP4105" s="80">
        <v>640</v>
      </c>
    </row>
    <row r="4106" spans="29:120" x14ac:dyDescent="0.25">
      <c r="AC4106" s="122" t="s">
        <v>289</v>
      </c>
      <c r="AD4106" s="122" t="s">
        <v>4375</v>
      </c>
      <c r="AE4106" s="127">
        <v>8</v>
      </c>
      <c r="DA4106" s="122" t="s">
        <v>236</v>
      </c>
      <c r="DB4106" s="122" t="s">
        <v>8337</v>
      </c>
      <c r="DC4106" s="122" t="s">
        <v>3069</v>
      </c>
      <c r="DD4106" s="127">
        <v>2</v>
      </c>
      <c r="DE4106" s="127">
        <v>2</v>
      </c>
      <c r="DG4106" s="405" t="s">
        <v>236</v>
      </c>
      <c r="DH4106" s="406" t="s">
        <v>3069</v>
      </c>
      <c r="DI4106" s="406" t="str">
        <f t="shared" si="96"/>
        <v>RS, Guarani das Missões</v>
      </c>
      <c r="DJ4106" s="406">
        <v>-28.140999999999998</v>
      </c>
      <c r="DK4106" s="80">
        <v>-54.558</v>
      </c>
      <c r="DL4106" s="80">
        <v>267</v>
      </c>
      <c r="DM4106" s="64">
        <v>2</v>
      </c>
      <c r="DN4106" s="406" t="s">
        <v>8211</v>
      </c>
      <c r="DO4106" s="406">
        <v>-28.41</v>
      </c>
      <c r="DP4106" s="80">
        <v>245</v>
      </c>
    </row>
    <row r="4107" spans="29:120" x14ac:dyDescent="0.25">
      <c r="AC4107" s="122" t="s">
        <v>369</v>
      </c>
      <c r="AD4107" s="122" t="s">
        <v>4376</v>
      </c>
      <c r="AE4107" s="127">
        <v>7</v>
      </c>
      <c r="DA4107" s="122" t="s">
        <v>236</v>
      </c>
      <c r="DB4107" s="122" t="s">
        <v>1493</v>
      </c>
      <c r="DC4107" s="122" t="s">
        <v>1493</v>
      </c>
      <c r="DD4107" s="127">
        <v>1</v>
      </c>
      <c r="DE4107" s="127">
        <v>1</v>
      </c>
      <c r="DG4107" s="405" t="s">
        <v>236</v>
      </c>
      <c r="DH4107" s="406" t="s">
        <v>1493</v>
      </c>
      <c r="DI4107" s="406" t="str">
        <f t="shared" si="96"/>
        <v>RS, Harmonia</v>
      </c>
      <c r="DJ4107" s="406">
        <v>-29.547999999999998</v>
      </c>
      <c r="DK4107" s="80">
        <v>-51.426000000000002</v>
      </c>
      <c r="DL4107" s="80">
        <v>126</v>
      </c>
      <c r="DM4107" s="64">
        <v>1</v>
      </c>
      <c r="DN4107" s="406" t="s">
        <v>8218</v>
      </c>
      <c r="DO4107" s="406">
        <v>-29.17</v>
      </c>
      <c r="DP4107" s="80">
        <v>640</v>
      </c>
    </row>
    <row r="4108" spans="29:120" x14ac:dyDescent="0.25">
      <c r="AC4108" s="122" t="s">
        <v>268</v>
      </c>
      <c r="AD4108" s="122" t="s">
        <v>4377</v>
      </c>
      <c r="AE4108" s="127">
        <v>8</v>
      </c>
      <c r="DA4108" s="122" t="s">
        <v>236</v>
      </c>
      <c r="DB4108" s="122" t="s">
        <v>1402</v>
      </c>
      <c r="DC4108" s="122" t="s">
        <v>1402</v>
      </c>
      <c r="DD4108" s="127">
        <v>2</v>
      </c>
      <c r="DE4108" s="127">
        <v>2</v>
      </c>
      <c r="DG4108" s="405" t="s">
        <v>236</v>
      </c>
      <c r="DH4108" s="406" t="s">
        <v>1402</v>
      </c>
      <c r="DI4108" s="406" t="str">
        <f t="shared" si="96"/>
        <v>RS, Herval</v>
      </c>
      <c r="DJ4108" s="406">
        <v>-32.024000000000001</v>
      </c>
      <c r="DK4108" s="80">
        <v>-53.396000000000001</v>
      </c>
      <c r="DL4108" s="80">
        <v>287</v>
      </c>
      <c r="DM4108" s="64">
        <v>2</v>
      </c>
      <c r="DN4108" s="406" t="s">
        <v>8237</v>
      </c>
      <c r="DO4108" s="406">
        <v>-32.57</v>
      </c>
      <c r="DP4108" s="80">
        <v>47</v>
      </c>
    </row>
    <row r="4109" spans="29:120" x14ac:dyDescent="0.25">
      <c r="AC4109" s="122" t="s">
        <v>268</v>
      </c>
      <c r="AD4109" s="122" t="s">
        <v>4378</v>
      </c>
      <c r="AE4109" s="127">
        <v>8</v>
      </c>
      <c r="DA4109" s="122" t="s">
        <v>236</v>
      </c>
      <c r="DB4109" s="122" t="s">
        <v>1542</v>
      </c>
      <c r="DC4109" s="122" t="s">
        <v>1542</v>
      </c>
      <c r="DD4109" s="127">
        <v>2</v>
      </c>
      <c r="DE4109" s="127">
        <v>2</v>
      </c>
      <c r="DG4109" s="405" t="s">
        <v>236</v>
      </c>
      <c r="DH4109" s="406" t="s">
        <v>1542</v>
      </c>
      <c r="DI4109" s="406" t="str">
        <f t="shared" si="96"/>
        <v>RS, Herveiras</v>
      </c>
      <c r="DJ4109" s="406">
        <v>-29.407</v>
      </c>
      <c r="DK4109" s="80">
        <v>-52.652999999999999</v>
      </c>
      <c r="DL4109" s="80">
        <v>530</v>
      </c>
      <c r="DM4109" s="64">
        <v>2</v>
      </c>
      <c r="DN4109" s="406" t="s">
        <v>8263</v>
      </c>
      <c r="DO4109" s="406">
        <v>-29.87</v>
      </c>
      <c r="DP4109" s="80">
        <v>111</v>
      </c>
    </row>
    <row r="4110" spans="29:120" x14ac:dyDescent="0.25">
      <c r="AC4110" s="122" t="s">
        <v>268</v>
      </c>
      <c r="AD4110" s="122" t="s">
        <v>4379</v>
      </c>
      <c r="AE4110" s="127">
        <v>8</v>
      </c>
      <c r="DA4110" s="122" t="s">
        <v>236</v>
      </c>
      <c r="DB4110" s="122" t="s">
        <v>3093</v>
      </c>
      <c r="DC4110" s="122" t="s">
        <v>3093</v>
      </c>
      <c r="DD4110" s="127">
        <v>2</v>
      </c>
      <c r="DE4110" s="127">
        <v>2</v>
      </c>
      <c r="DG4110" s="405" t="s">
        <v>236</v>
      </c>
      <c r="DH4110" s="406" t="s">
        <v>3093</v>
      </c>
      <c r="DI4110" s="406" t="str">
        <f t="shared" si="96"/>
        <v>RS, Horizontina</v>
      </c>
      <c r="DJ4110" s="406">
        <v>-27.626000000000001</v>
      </c>
      <c r="DK4110" s="80">
        <v>-54.308</v>
      </c>
      <c r="DL4110" s="80">
        <v>343</v>
      </c>
      <c r="DM4110" s="64">
        <v>2</v>
      </c>
      <c r="DN4110" s="406" t="s">
        <v>8210</v>
      </c>
      <c r="DO4110" s="406">
        <v>-27.85</v>
      </c>
      <c r="DP4110" s="80">
        <v>550</v>
      </c>
    </row>
    <row r="4111" spans="29:120" x14ac:dyDescent="0.25">
      <c r="AC4111" s="122" t="s">
        <v>300</v>
      </c>
      <c r="AD4111" s="122" t="s">
        <v>4380</v>
      </c>
      <c r="AE4111" s="127">
        <v>7</v>
      </c>
      <c r="DA4111" s="122" t="s">
        <v>236</v>
      </c>
      <c r="DB4111" s="122" t="s">
        <v>8338</v>
      </c>
      <c r="DC4111" s="122" t="s">
        <v>1422</v>
      </c>
      <c r="DD4111" s="127">
        <v>2</v>
      </c>
      <c r="DE4111" s="127">
        <v>2</v>
      </c>
      <c r="DG4111" s="405" t="s">
        <v>236</v>
      </c>
      <c r="DH4111" s="406" t="s">
        <v>1422</v>
      </c>
      <c r="DI4111" s="406" t="str">
        <f t="shared" si="96"/>
        <v>RS, Hulha Negra</v>
      </c>
      <c r="DJ4111" s="406">
        <v>-31.404</v>
      </c>
      <c r="DK4111" s="80">
        <v>-53.869</v>
      </c>
      <c r="DL4111" s="80">
        <v>196</v>
      </c>
      <c r="DM4111" s="64">
        <v>2</v>
      </c>
      <c r="DN4111" s="406" t="s">
        <v>8206</v>
      </c>
      <c r="DO4111" s="406">
        <v>-31.33</v>
      </c>
      <c r="DP4111" s="80">
        <v>230</v>
      </c>
    </row>
    <row r="4112" spans="29:120" x14ac:dyDescent="0.25">
      <c r="AC4112" s="122" t="s">
        <v>268</v>
      </c>
      <c r="AD4112" s="122" t="s">
        <v>4381</v>
      </c>
      <c r="AE4112" s="127">
        <v>8</v>
      </c>
      <c r="DA4112" s="122" t="s">
        <v>236</v>
      </c>
      <c r="DB4112" s="122" t="s">
        <v>3170</v>
      </c>
      <c r="DC4112" s="122" t="s">
        <v>3170</v>
      </c>
      <c r="DD4112" s="127">
        <v>2</v>
      </c>
      <c r="DE4112" s="127">
        <v>2</v>
      </c>
      <c r="DG4112" s="405" t="s">
        <v>236</v>
      </c>
      <c r="DH4112" s="406" t="s">
        <v>3170</v>
      </c>
      <c r="DI4112" s="406" t="str">
        <f t="shared" si="96"/>
        <v>RS, Humaitá</v>
      </c>
      <c r="DJ4112" s="406">
        <v>-27.562999999999999</v>
      </c>
      <c r="DK4112" s="80">
        <v>-53.973999999999997</v>
      </c>
      <c r="DL4112" s="80">
        <v>466</v>
      </c>
      <c r="DM4112" s="64">
        <v>2</v>
      </c>
      <c r="DN4112" s="406" t="s">
        <v>8210</v>
      </c>
      <c r="DO4112" s="406">
        <v>-27.85</v>
      </c>
      <c r="DP4112" s="80">
        <v>550</v>
      </c>
    </row>
    <row r="4113" spans="29:120" x14ac:dyDescent="0.25">
      <c r="AC4113" s="122" t="s">
        <v>300</v>
      </c>
      <c r="AD4113" s="122" t="s">
        <v>4382</v>
      </c>
      <c r="AE4113" s="127">
        <v>7</v>
      </c>
      <c r="DA4113" s="122" t="s">
        <v>236</v>
      </c>
      <c r="DB4113" s="122" t="s">
        <v>1599</v>
      </c>
      <c r="DC4113" s="122" t="s">
        <v>1599</v>
      </c>
      <c r="DD4113" s="127">
        <v>2</v>
      </c>
      <c r="DE4113" s="127">
        <v>2</v>
      </c>
      <c r="DG4113" s="405" t="s">
        <v>236</v>
      </c>
      <c r="DH4113" s="406" t="s">
        <v>1599</v>
      </c>
      <c r="DI4113" s="406" t="str">
        <f t="shared" si="96"/>
        <v>RS, Ibarama</v>
      </c>
      <c r="DJ4113" s="406">
        <v>-29.419</v>
      </c>
      <c r="DK4113" s="80">
        <v>-53.134999999999998</v>
      </c>
      <c r="DL4113" s="80">
        <v>317</v>
      </c>
      <c r="DM4113" s="64">
        <v>2</v>
      </c>
      <c r="DN4113" s="406" t="s">
        <v>8209</v>
      </c>
      <c r="DO4113" s="406">
        <v>-29.68</v>
      </c>
      <c r="DP4113" s="80">
        <v>95</v>
      </c>
    </row>
    <row r="4114" spans="29:120" x14ac:dyDescent="0.25">
      <c r="AC4114" s="122" t="s">
        <v>393</v>
      </c>
      <c r="AD4114" s="122" t="s">
        <v>4383</v>
      </c>
      <c r="AE4114" s="127">
        <v>7</v>
      </c>
      <c r="DA4114" s="122" t="s">
        <v>236</v>
      </c>
      <c r="DB4114" s="122" t="s">
        <v>1647</v>
      </c>
      <c r="DC4114" s="122" t="s">
        <v>1647</v>
      </c>
      <c r="DD4114" s="127">
        <v>2</v>
      </c>
      <c r="DE4114" s="127">
        <v>2</v>
      </c>
      <c r="DG4114" s="405" t="s">
        <v>236</v>
      </c>
      <c r="DH4114" s="406" t="s">
        <v>1647</v>
      </c>
      <c r="DI4114" s="406" t="str">
        <f t="shared" si="96"/>
        <v>RS, Ibiaçá</v>
      </c>
      <c r="DJ4114" s="406">
        <v>-28.056999999999999</v>
      </c>
      <c r="DK4114" s="80">
        <v>-51.854999999999997</v>
      </c>
      <c r="DL4114" s="80">
        <v>620</v>
      </c>
      <c r="DM4114" s="64">
        <v>2</v>
      </c>
      <c r="DN4114" s="406" t="s">
        <v>8224</v>
      </c>
      <c r="DO4114" s="406">
        <v>-28.22</v>
      </c>
      <c r="DP4114" s="80">
        <v>842</v>
      </c>
    </row>
    <row r="4115" spans="29:120" x14ac:dyDescent="0.25">
      <c r="AC4115" s="122" t="s">
        <v>328</v>
      </c>
      <c r="AD4115" s="122" t="s">
        <v>4384</v>
      </c>
      <c r="AE4115" s="127">
        <v>8</v>
      </c>
      <c r="DA4115" s="122" t="s">
        <v>236</v>
      </c>
      <c r="DB4115" s="122" t="s">
        <v>1268</v>
      </c>
      <c r="DC4115" s="122" t="s">
        <v>1268</v>
      </c>
      <c r="DD4115" s="127">
        <v>2</v>
      </c>
      <c r="DE4115" s="127">
        <v>2</v>
      </c>
      <c r="DG4115" s="405" t="s">
        <v>236</v>
      </c>
      <c r="DH4115" s="406" t="s">
        <v>1268</v>
      </c>
      <c r="DI4115" s="406" t="str">
        <f t="shared" si="96"/>
        <v>RS, Ibiraiaras</v>
      </c>
      <c r="DJ4115" s="406">
        <v>-28.37</v>
      </c>
      <c r="DK4115" s="80">
        <v>-51.636000000000003</v>
      </c>
      <c r="DL4115" s="80">
        <v>776</v>
      </c>
      <c r="DM4115" s="64">
        <v>2</v>
      </c>
      <c r="DN4115" s="406" t="s">
        <v>8224</v>
      </c>
      <c r="DO4115" s="406">
        <v>-28.22</v>
      </c>
      <c r="DP4115" s="80">
        <v>842</v>
      </c>
    </row>
    <row r="4116" spans="29:120" x14ac:dyDescent="0.25">
      <c r="AC4116" s="122" t="s">
        <v>300</v>
      </c>
      <c r="AD4116" s="122" t="s">
        <v>4385</v>
      </c>
      <c r="AE4116" s="127">
        <v>8</v>
      </c>
      <c r="DA4116" s="122" t="s">
        <v>236</v>
      </c>
      <c r="DB4116" s="122" t="s">
        <v>1263</v>
      </c>
      <c r="DC4116" s="122" t="s">
        <v>1263</v>
      </c>
      <c r="DD4116" s="127">
        <v>2</v>
      </c>
      <c r="DE4116" s="127">
        <v>2</v>
      </c>
      <c r="DG4116" s="405" t="s">
        <v>236</v>
      </c>
      <c r="DH4116" s="406" t="s">
        <v>1263</v>
      </c>
      <c r="DI4116" s="406" t="str">
        <f t="shared" si="96"/>
        <v>RS, Ibirapuitã</v>
      </c>
      <c r="DJ4116" s="406">
        <v>-28.623999999999999</v>
      </c>
      <c r="DK4116" s="80">
        <v>-52.511000000000003</v>
      </c>
      <c r="DL4116" s="80">
        <v>641</v>
      </c>
      <c r="DM4116" s="64">
        <v>2</v>
      </c>
      <c r="DN4116" s="406" t="s">
        <v>8216</v>
      </c>
      <c r="DO4116" s="406">
        <v>-28.85</v>
      </c>
      <c r="DP4116" s="80">
        <v>667</v>
      </c>
    </row>
    <row r="4117" spans="29:120" x14ac:dyDescent="0.25">
      <c r="AC4117" s="122" t="s">
        <v>279</v>
      </c>
      <c r="AD4117" s="122" t="s">
        <v>4386</v>
      </c>
      <c r="AE4117" s="127">
        <v>8</v>
      </c>
      <c r="DA4117" s="122" t="s">
        <v>236</v>
      </c>
      <c r="DB4117" s="122" t="s">
        <v>1613</v>
      </c>
      <c r="DC4117" s="122" t="s">
        <v>1613</v>
      </c>
      <c r="DD4117" s="127">
        <v>2</v>
      </c>
      <c r="DE4117" s="127">
        <v>2</v>
      </c>
      <c r="DG4117" s="405" t="s">
        <v>236</v>
      </c>
      <c r="DH4117" s="406" t="s">
        <v>1613</v>
      </c>
      <c r="DI4117" s="406" t="str">
        <f t="shared" si="96"/>
        <v>RS, Ibirubá</v>
      </c>
      <c r="DJ4117" s="406">
        <v>-28.628</v>
      </c>
      <c r="DK4117" s="80">
        <v>-53.09</v>
      </c>
      <c r="DL4117" s="80">
        <v>416</v>
      </c>
      <c r="DM4117" s="64">
        <v>2</v>
      </c>
      <c r="DN4117" s="406" t="s">
        <v>8239</v>
      </c>
      <c r="DO4117" s="406">
        <v>-28.6</v>
      </c>
      <c r="DP4117" s="80">
        <v>432</v>
      </c>
    </row>
    <row r="4118" spans="29:120" x14ac:dyDescent="0.25">
      <c r="AC4118" s="122" t="s">
        <v>300</v>
      </c>
      <c r="AD4118" s="122" t="s">
        <v>4387</v>
      </c>
      <c r="AE4118" s="127">
        <v>5</v>
      </c>
      <c r="DA4118" s="122" t="s">
        <v>236</v>
      </c>
      <c r="DB4118" s="122" t="s">
        <v>1148</v>
      </c>
      <c r="DC4118" s="122" t="s">
        <v>1148</v>
      </c>
      <c r="DD4118" s="127">
        <v>1</v>
      </c>
      <c r="DE4118" s="127">
        <v>1</v>
      </c>
      <c r="DG4118" s="405" t="s">
        <v>236</v>
      </c>
      <c r="DH4118" s="406" t="s">
        <v>1148</v>
      </c>
      <c r="DI4118" s="406" t="str">
        <f t="shared" si="96"/>
        <v>RS, Igrejinha</v>
      </c>
      <c r="DJ4118" s="406">
        <v>-29.574000000000002</v>
      </c>
      <c r="DK4118" s="80">
        <v>-50.79</v>
      </c>
      <c r="DL4118" s="80">
        <v>18</v>
      </c>
      <c r="DM4118" s="64">
        <v>1</v>
      </c>
      <c r="DN4118" s="406" t="s">
        <v>8227</v>
      </c>
      <c r="DO4118" s="406">
        <v>-29.37</v>
      </c>
      <c r="DP4118" s="80">
        <v>830</v>
      </c>
    </row>
    <row r="4119" spans="29:120" x14ac:dyDescent="0.25">
      <c r="AC4119" s="122" t="s">
        <v>300</v>
      </c>
      <c r="AD4119" s="122" t="s">
        <v>4388</v>
      </c>
      <c r="AE4119" s="127">
        <v>7</v>
      </c>
      <c r="DA4119" s="122" t="s">
        <v>236</v>
      </c>
      <c r="DB4119" s="122" t="s">
        <v>3081</v>
      </c>
      <c r="DC4119" s="122" t="s">
        <v>3081</v>
      </c>
      <c r="DD4119" s="127">
        <v>2</v>
      </c>
      <c r="DE4119" s="127">
        <v>2</v>
      </c>
      <c r="DG4119" s="405" t="s">
        <v>236</v>
      </c>
      <c r="DH4119" s="406" t="s">
        <v>3081</v>
      </c>
      <c r="DI4119" s="406" t="str">
        <f t="shared" si="96"/>
        <v>RS, Ijuí</v>
      </c>
      <c r="DJ4119" s="406">
        <v>-28.388000000000002</v>
      </c>
      <c r="DK4119" s="80">
        <v>-53.914999999999999</v>
      </c>
      <c r="DL4119" s="80">
        <v>328</v>
      </c>
      <c r="DM4119" s="64">
        <v>2</v>
      </c>
      <c r="DN4119" s="406" t="s">
        <v>8239</v>
      </c>
      <c r="DO4119" s="406">
        <v>-28.6</v>
      </c>
      <c r="DP4119" s="80">
        <v>432</v>
      </c>
    </row>
    <row r="4120" spans="29:120" x14ac:dyDescent="0.25">
      <c r="AC4120" s="122" t="s">
        <v>328</v>
      </c>
      <c r="AD4120" s="122" t="s">
        <v>4389</v>
      </c>
      <c r="AE4120" s="127">
        <v>7</v>
      </c>
      <c r="DA4120" s="122" t="s">
        <v>236</v>
      </c>
      <c r="DB4120" s="122" t="s">
        <v>1454</v>
      </c>
      <c r="DC4120" s="122" t="s">
        <v>1454</v>
      </c>
      <c r="DD4120" s="127">
        <v>2</v>
      </c>
      <c r="DE4120" s="127">
        <v>2</v>
      </c>
      <c r="DG4120" s="405" t="s">
        <v>236</v>
      </c>
      <c r="DH4120" s="406" t="s">
        <v>1454</v>
      </c>
      <c r="DI4120" s="406" t="str">
        <f t="shared" si="96"/>
        <v>RS, Ilópolis</v>
      </c>
      <c r="DJ4120" s="406">
        <v>-28.927</v>
      </c>
      <c r="DK4120" s="80">
        <v>-52.124000000000002</v>
      </c>
      <c r="DL4120" s="80">
        <v>683</v>
      </c>
      <c r="DM4120" s="64">
        <v>2</v>
      </c>
      <c r="DN4120" s="406" t="s">
        <v>8216</v>
      </c>
      <c r="DO4120" s="406">
        <v>-28.85</v>
      </c>
      <c r="DP4120" s="80">
        <v>667</v>
      </c>
    </row>
    <row r="4121" spans="29:120" x14ac:dyDescent="0.25">
      <c r="AC4121" s="122" t="s">
        <v>328</v>
      </c>
      <c r="AD4121" s="122" t="s">
        <v>4390</v>
      </c>
      <c r="AE4121" s="127">
        <v>8</v>
      </c>
      <c r="DA4121" s="122" t="s">
        <v>236</v>
      </c>
      <c r="DB4121" s="122" t="s">
        <v>1322</v>
      </c>
      <c r="DC4121" s="122" t="s">
        <v>1322</v>
      </c>
      <c r="DD4121" s="127">
        <v>1</v>
      </c>
      <c r="DE4121" s="127">
        <v>1</v>
      </c>
      <c r="DG4121" s="405" t="s">
        <v>236</v>
      </c>
      <c r="DH4121" s="406" t="s">
        <v>1322</v>
      </c>
      <c r="DI4121" s="406" t="str">
        <f t="shared" si="96"/>
        <v>RS, Imbé</v>
      </c>
      <c r="DJ4121" s="406">
        <v>-29.975000000000001</v>
      </c>
      <c r="DK4121" s="80">
        <v>-50.128</v>
      </c>
      <c r="DL4121" s="80">
        <v>500</v>
      </c>
      <c r="DM4121" s="64">
        <v>1</v>
      </c>
      <c r="DN4121" s="406" t="s">
        <v>8241</v>
      </c>
      <c r="DO4121" s="406">
        <v>-30.01</v>
      </c>
      <c r="DP4121" s="80">
        <v>1</v>
      </c>
    </row>
    <row r="4122" spans="29:120" x14ac:dyDescent="0.25">
      <c r="AC4122" s="122" t="s">
        <v>344</v>
      </c>
      <c r="AD4122" s="122" t="s">
        <v>4391</v>
      </c>
      <c r="AE4122" s="127">
        <v>8</v>
      </c>
      <c r="DA4122" s="122" t="s">
        <v>236</v>
      </c>
      <c r="DB4122" s="122" t="s">
        <v>1451</v>
      </c>
      <c r="DC4122" s="122" t="s">
        <v>1451</v>
      </c>
      <c r="DD4122" s="127">
        <v>2</v>
      </c>
      <c r="DE4122" s="127">
        <v>2</v>
      </c>
      <c r="DG4122" s="405" t="s">
        <v>236</v>
      </c>
      <c r="DH4122" s="406" t="s">
        <v>1451</v>
      </c>
      <c r="DI4122" s="406" t="str">
        <f t="shared" si="96"/>
        <v>RS, Imigrante</v>
      </c>
      <c r="DJ4122" s="406">
        <v>-29.355</v>
      </c>
      <c r="DK4122" s="80">
        <v>-51.777000000000001</v>
      </c>
      <c r="DL4122" s="80">
        <v>100</v>
      </c>
      <c r="DM4122" s="64">
        <v>2</v>
      </c>
      <c r="DN4122" s="406" t="s">
        <v>8218</v>
      </c>
      <c r="DO4122" s="406">
        <v>-29.17</v>
      </c>
      <c r="DP4122" s="80">
        <v>640</v>
      </c>
    </row>
    <row r="4123" spans="29:120" x14ac:dyDescent="0.25">
      <c r="AC4123" s="122" t="s">
        <v>300</v>
      </c>
      <c r="AD4123" s="122" t="s">
        <v>4392</v>
      </c>
      <c r="AE4123" s="127">
        <v>8</v>
      </c>
      <c r="DA4123" s="122" t="s">
        <v>236</v>
      </c>
      <c r="DB4123" s="122" t="s">
        <v>3121</v>
      </c>
      <c r="DC4123" s="122" t="s">
        <v>3121</v>
      </c>
      <c r="DD4123" s="127">
        <v>2</v>
      </c>
      <c r="DE4123" s="127">
        <v>2</v>
      </c>
      <c r="DG4123" s="405" t="s">
        <v>236</v>
      </c>
      <c r="DH4123" s="406" t="s">
        <v>3121</v>
      </c>
      <c r="DI4123" s="406" t="str">
        <f t="shared" si="96"/>
        <v>RS, Independência</v>
      </c>
      <c r="DJ4123" s="406">
        <v>-27.832999999999998</v>
      </c>
      <c r="DK4123" s="80">
        <v>-54.188000000000002</v>
      </c>
      <c r="DL4123" s="80">
        <v>372</v>
      </c>
      <c r="DM4123" s="64">
        <v>2</v>
      </c>
      <c r="DN4123" s="406" t="s">
        <v>8210</v>
      </c>
      <c r="DO4123" s="406">
        <v>-27.85</v>
      </c>
      <c r="DP4123" s="80">
        <v>550</v>
      </c>
    </row>
    <row r="4124" spans="29:120" x14ac:dyDescent="0.25">
      <c r="AC4124" s="122" t="s">
        <v>393</v>
      </c>
      <c r="AD4124" s="122" t="s">
        <v>4393</v>
      </c>
      <c r="AE4124" s="127">
        <v>7</v>
      </c>
      <c r="DA4124" s="122" t="s">
        <v>236</v>
      </c>
      <c r="DB4124" s="122" t="s">
        <v>1687</v>
      </c>
      <c r="DC4124" s="122" t="s">
        <v>1687</v>
      </c>
      <c r="DD4124" s="127">
        <v>2</v>
      </c>
      <c r="DE4124" s="127">
        <v>2</v>
      </c>
      <c r="DG4124" s="405" t="s">
        <v>236</v>
      </c>
      <c r="DH4124" s="406" t="s">
        <v>1687</v>
      </c>
      <c r="DI4124" s="406" t="str">
        <f t="shared" si="96"/>
        <v>RS, Inhacorá</v>
      </c>
      <c r="DJ4124" s="406">
        <v>-27.882999999999999</v>
      </c>
      <c r="DK4124" s="80">
        <v>-54.017000000000003</v>
      </c>
      <c r="DL4124" s="80">
        <v>358</v>
      </c>
      <c r="DM4124" s="64">
        <v>2</v>
      </c>
      <c r="DN4124" s="406" t="s">
        <v>8210</v>
      </c>
      <c r="DO4124" s="406">
        <v>-27.85</v>
      </c>
      <c r="DP4124" s="80">
        <v>550</v>
      </c>
    </row>
    <row r="4125" spans="29:120" x14ac:dyDescent="0.25">
      <c r="AC4125" s="122" t="s">
        <v>300</v>
      </c>
      <c r="AD4125" s="122" t="s">
        <v>4394</v>
      </c>
      <c r="AE4125" s="127">
        <v>8</v>
      </c>
      <c r="DA4125" s="122" t="s">
        <v>236</v>
      </c>
      <c r="DB4125" s="122" t="s">
        <v>1175</v>
      </c>
      <c r="DC4125" s="122" t="s">
        <v>1175</v>
      </c>
      <c r="DD4125" s="127">
        <v>1</v>
      </c>
      <c r="DE4125" s="127">
        <v>1</v>
      </c>
      <c r="DG4125" s="405" t="s">
        <v>236</v>
      </c>
      <c r="DH4125" s="406" t="s">
        <v>1175</v>
      </c>
      <c r="DI4125" s="406" t="str">
        <f t="shared" si="96"/>
        <v>RS, Ipê</v>
      </c>
      <c r="DJ4125" s="406">
        <v>-28.82</v>
      </c>
      <c r="DK4125" s="80">
        <v>-51.279000000000003</v>
      </c>
      <c r="DL4125" s="80">
        <v>750</v>
      </c>
      <c r="DM4125" s="64">
        <v>1</v>
      </c>
      <c r="DN4125" s="406" t="s">
        <v>8218</v>
      </c>
      <c r="DO4125" s="406">
        <v>-29.17</v>
      </c>
      <c r="DP4125" s="80">
        <v>640</v>
      </c>
    </row>
    <row r="4126" spans="29:120" x14ac:dyDescent="0.25">
      <c r="AC4126" s="122" t="s">
        <v>344</v>
      </c>
      <c r="AD4126" s="122" t="s">
        <v>4395</v>
      </c>
      <c r="AE4126" s="127">
        <v>8</v>
      </c>
      <c r="DA4126" s="122" t="s">
        <v>236</v>
      </c>
      <c r="DB4126" s="122" t="s">
        <v>8339</v>
      </c>
      <c r="DC4126" s="122" t="s">
        <v>1359</v>
      </c>
      <c r="DD4126" s="127">
        <v>2</v>
      </c>
      <c r="DE4126" s="127">
        <v>2</v>
      </c>
      <c r="DG4126" s="405" t="s">
        <v>236</v>
      </c>
      <c r="DH4126" s="406" t="s">
        <v>1359</v>
      </c>
      <c r="DI4126" s="406" t="str">
        <f t="shared" si="96"/>
        <v>RS, Ipiranga do Sul</v>
      </c>
      <c r="DJ4126" s="406">
        <v>-27.937000000000001</v>
      </c>
      <c r="DK4126" s="80">
        <v>-52.426000000000002</v>
      </c>
      <c r="DL4126" s="80">
        <v>650</v>
      </c>
      <c r="DM4126" s="64">
        <v>2</v>
      </c>
      <c r="DN4126" s="406" t="s">
        <v>8208</v>
      </c>
      <c r="DO4126" s="406">
        <v>-28.26</v>
      </c>
      <c r="DP4126" s="80">
        <v>684</v>
      </c>
    </row>
    <row r="4127" spans="29:120" x14ac:dyDescent="0.25">
      <c r="AC4127" s="122" t="s">
        <v>268</v>
      </c>
      <c r="AD4127" s="122" t="s">
        <v>4396</v>
      </c>
      <c r="AE4127" s="127">
        <v>8</v>
      </c>
      <c r="DA4127" s="122" t="s">
        <v>236</v>
      </c>
      <c r="DB4127" s="122" t="s">
        <v>3590</v>
      </c>
      <c r="DC4127" s="122" t="s">
        <v>3590</v>
      </c>
      <c r="DD4127" s="127">
        <v>3</v>
      </c>
      <c r="DE4127" s="127">
        <v>3</v>
      </c>
      <c r="DG4127" s="405" t="s">
        <v>236</v>
      </c>
      <c r="DH4127" s="406" t="s">
        <v>3590</v>
      </c>
      <c r="DI4127" s="406" t="str">
        <f t="shared" si="96"/>
        <v>RS, Iraí</v>
      </c>
      <c r="DJ4127" s="406">
        <v>-27.193999999999999</v>
      </c>
      <c r="DK4127" s="80">
        <v>-53.250999999999998</v>
      </c>
      <c r="DL4127" s="80">
        <v>235</v>
      </c>
      <c r="DM4127" s="64">
        <v>3</v>
      </c>
      <c r="DN4127" s="406" t="s">
        <v>8215</v>
      </c>
      <c r="DO4127" s="406">
        <v>-27.4</v>
      </c>
      <c r="DP4127" s="80">
        <v>490</v>
      </c>
    </row>
    <row r="4128" spans="29:120" x14ac:dyDescent="0.25">
      <c r="AC4128" s="122" t="s">
        <v>344</v>
      </c>
      <c r="AD4128" s="122" t="s">
        <v>4397</v>
      </c>
      <c r="AE4128" s="127">
        <v>8</v>
      </c>
      <c r="DA4128" s="122" t="s">
        <v>236</v>
      </c>
      <c r="DB4128" s="122" t="s">
        <v>1735</v>
      </c>
      <c r="DC4128" s="122" t="s">
        <v>1735</v>
      </c>
      <c r="DD4128" s="127">
        <v>2</v>
      </c>
      <c r="DE4128" s="127">
        <v>2</v>
      </c>
      <c r="DG4128" s="405" t="s">
        <v>236</v>
      </c>
      <c r="DH4128" s="406" t="s">
        <v>1735</v>
      </c>
      <c r="DI4128" s="406" t="str">
        <f t="shared" si="96"/>
        <v>RS, Itaara</v>
      </c>
      <c r="DJ4128" s="406">
        <v>-29.61</v>
      </c>
      <c r="DK4128" s="80">
        <v>-53.765000000000001</v>
      </c>
      <c r="DL4128" s="80">
        <v>425</v>
      </c>
      <c r="DM4128" s="64">
        <v>2</v>
      </c>
      <c r="DN4128" s="406" t="s">
        <v>8209</v>
      </c>
      <c r="DO4128" s="406">
        <v>-29.68</v>
      </c>
      <c r="DP4128" s="80">
        <v>95</v>
      </c>
    </row>
    <row r="4129" spans="29:120" x14ac:dyDescent="0.25">
      <c r="AC4129" s="122" t="s">
        <v>344</v>
      </c>
      <c r="AD4129" s="122" t="s">
        <v>4398</v>
      </c>
      <c r="AE4129" s="127">
        <v>8</v>
      </c>
      <c r="DA4129" s="122" t="s">
        <v>236</v>
      </c>
      <c r="DB4129" s="122" t="s">
        <v>1722</v>
      </c>
      <c r="DC4129" s="122" t="s">
        <v>1722</v>
      </c>
      <c r="DD4129" s="127">
        <v>2</v>
      </c>
      <c r="DE4129" s="127">
        <v>2</v>
      </c>
      <c r="DG4129" s="405" t="s">
        <v>236</v>
      </c>
      <c r="DH4129" s="406" t="s">
        <v>1722</v>
      </c>
      <c r="DI4129" s="406" t="str">
        <f t="shared" si="96"/>
        <v>RS, Itacurubi</v>
      </c>
      <c r="DJ4129" s="406">
        <v>-28.786999999999999</v>
      </c>
      <c r="DK4129" s="80">
        <v>-55.250999999999998</v>
      </c>
      <c r="DL4129" s="80">
        <v>160</v>
      </c>
      <c r="DM4129" s="64">
        <v>2</v>
      </c>
      <c r="DN4129" s="406" t="s">
        <v>8211</v>
      </c>
      <c r="DO4129" s="406">
        <v>-28.41</v>
      </c>
      <c r="DP4129" s="80">
        <v>245</v>
      </c>
    </row>
    <row r="4130" spans="29:120" x14ac:dyDescent="0.25">
      <c r="AC4130" s="122" t="s">
        <v>268</v>
      </c>
      <c r="AD4130" s="122" t="s">
        <v>3602</v>
      </c>
      <c r="AE4130" s="127">
        <v>8</v>
      </c>
      <c r="DA4130" s="122" t="s">
        <v>236</v>
      </c>
      <c r="DB4130" s="122" t="s">
        <v>1496</v>
      </c>
      <c r="DC4130" s="122" t="s">
        <v>1496</v>
      </c>
      <c r="DD4130" s="127">
        <v>2</v>
      </c>
      <c r="DE4130" s="127">
        <v>2</v>
      </c>
      <c r="DG4130" s="405" t="s">
        <v>236</v>
      </c>
      <c r="DH4130" s="406" t="s">
        <v>1496</v>
      </c>
      <c r="DI4130" s="406" t="str">
        <f t="shared" si="96"/>
        <v>RS, Itapuca</v>
      </c>
      <c r="DJ4130" s="406">
        <v>-28.78</v>
      </c>
      <c r="DK4130" s="80">
        <v>-52.171999999999997</v>
      </c>
      <c r="DL4130" s="80">
        <v>660</v>
      </c>
      <c r="DM4130" s="64">
        <v>2</v>
      </c>
      <c r="DN4130" s="406" t="s">
        <v>8216</v>
      </c>
      <c r="DO4130" s="406">
        <v>-28.85</v>
      </c>
      <c r="DP4130" s="80">
        <v>667</v>
      </c>
    </row>
    <row r="4131" spans="29:120" x14ac:dyDescent="0.25">
      <c r="AC4131" s="122" t="s">
        <v>393</v>
      </c>
      <c r="AD4131" s="122" t="s">
        <v>4399</v>
      </c>
      <c r="AE4131" s="127">
        <v>7</v>
      </c>
      <c r="DA4131" s="122" t="s">
        <v>236</v>
      </c>
      <c r="DB4131" s="122" t="s">
        <v>3271</v>
      </c>
      <c r="DC4131" s="122" t="s">
        <v>3271</v>
      </c>
      <c r="DD4131" s="127">
        <v>2</v>
      </c>
      <c r="DE4131" s="127">
        <v>2</v>
      </c>
      <c r="DG4131" s="405" t="s">
        <v>236</v>
      </c>
      <c r="DH4131" s="406" t="s">
        <v>3271</v>
      </c>
      <c r="DI4131" s="406" t="str">
        <f t="shared" si="96"/>
        <v>RS, Itaqui</v>
      </c>
      <c r="DJ4131" s="406">
        <v>-29.125</v>
      </c>
      <c r="DK4131" s="80">
        <v>-56.552999999999997</v>
      </c>
      <c r="DL4131" s="80">
        <v>57</v>
      </c>
      <c r="DM4131" s="64">
        <v>2</v>
      </c>
      <c r="DN4131" s="406" t="s">
        <v>8332</v>
      </c>
      <c r="DO4131" s="406">
        <v>-28.66</v>
      </c>
      <c r="DP4131" s="80">
        <v>83</v>
      </c>
    </row>
    <row r="4132" spans="29:120" x14ac:dyDescent="0.25">
      <c r="AC4132" s="122" t="s">
        <v>393</v>
      </c>
      <c r="AD4132" s="122" t="s">
        <v>4400</v>
      </c>
      <c r="AE4132" s="127">
        <v>7</v>
      </c>
      <c r="DA4132" s="122" t="s">
        <v>236</v>
      </c>
      <c r="DB4132" s="122" t="s">
        <v>1158</v>
      </c>
      <c r="DC4132" s="122" t="s">
        <v>1158</v>
      </c>
      <c r="DD4132" s="127">
        <v>1</v>
      </c>
      <c r="DE4132" s="127">
        <v>1</v>
      </c>
      <c r="DG4132" s="405" t="s">
        <v>236</v>
      </c>
      <c r="DH4132" s="406" t="s">
        <v>1158</v>
      </c>
      <c r="DI4132" s="406" t="str">
        <f t="shared" si="96"/>
        <v>RS, Itati</v>
      </c>
      <c r="DJ4132" s="406">
        <v>-29.488</v>
      </c>
      <c r="DK4132" s="80">
        <v>-50.104999999999997</v>
      </c>
      <c r="DL4132" s="80">
        <v>144</v>
      </c>
      <c r="DM4132" s="64">
        <v>1</v>
      </c>
      <c r="DN4132" s="406" t="s">
        <v>8233</v>
      </c>
      <c r="DO4132" s="406">
        <v>-29.33</v>
      </c>
      <c r="DP4132" s="80">
        <v>5</v>
      </c>
    </row>
    <row r="4133" spans="29:120" x14ac:dyDescent="0.25">
      <c r="AC4133" s="122" t="s">
        <v>300</v>
      </c>
      <c r="AD4133" s="122" t="s">
        <v>4401</v>
      </c>
      <c r="AE4133" s="127">
        <v>8</v>
      </c>
      <c r="DA4133" s="122" t="s">
        <v>236</v>
      </c>
      <c r="DB4133" s="122" t="s">
        <v>8340</v>
      </c>
      <c r="DC4133" s="122" t="s">
        <v>443</v>
      </c>
      <c r="DD4133" s="127">
        <v>2</v>
      </c>
      <c r="DE4133" s="127">
        <v>2</v>
      </c>
      <c r="DG4133" s="405" t="s">
        <v>236</v>
      </c>
      <c r="DH4133" s="406" t="s">
        <v>443</v>
      </c>
      <c r="DI4133" s="406" t="str">
        <f t="shared" si="96"/>
        <v>RS, Itatiba do Sul</v>
      </c>
      <c r="DJ4133" s="406">
        <v>-27.387</v>
      </c>
      <c r="DK4133" s="80">
        <v>-52.453000000000003</v>
      </c>
      <c r="DL4133" s="80">
        <v>771</v>
      </c>
      <c r="DM4133" s="64">
        <v>2</v>
      </c>
      <c r="DN4133" s="406" t="s">
        <v>8228</v>
      </c>
      <c r="DO4133" s="406">
        <v>-27.63</v>
      </c>
      <c r="DP4133" s="80">
        <v>765</v>
      </c>
    </row>
    <row r="4134" spans="29:120" x14ac:dyDescent="0.25">
      <c r="AC4134" s="122" t="s">
        <v>328</v>
      </c>
      <c r="AD4134" s="122" t="s">
        <v>4402</v>
      </c>
      <c r="AE4134" s="127">
        <v>7</v>
      </c>
      <c r="DA4134" s="122" t="s">
        <v>236</v>
      </c>
      <c r="DB4134" s="122" t="s">
        <v>1654</v>
      </c>
      <c r="DC4134" s="122" t="s">
        <v>1654</v>
      </c>
      <c r="DD4134" s="127">
        <v>2</v>
      </c>
      <c r="DE4134" s="127">
        <v>2</v>
      </c>
      <c r="DG4134" s="405" t="s">
        <v>236</v>
      </c>
      <c r="DH4134" s="406" t="s">
        <v>1654</v>
      </c>
      <c r="DI4134" s="406" t="str">
        <f t="shared" si="96"/>
        <v>RS, Ivorá</v>
      </c>
      <c r="DJ4134" s="406">
        <v>-29.52</v>
      </c>
      <c r="DK4134" s="80">
        <v>-53.581000000000003</v>
      </c>
      <c r="DL4134" s="80">
        <v>120</v>
      </c>
      <c r="DM4134" s="64">
        <v>2</v>
      </c>
      <c r="DN4134" s="406" t="s">
        <v>8209</v>
      </c>
      <c r="DO4134" s="406">
        <v>-29.68</v>
      </c>
      <c r="DP4134" s="80">
        <v>95</v>
      </c>
    </row>
    <row r="4135" spans="29:120" x14ac:dyDescent="0.25">
      <c r="AC4135" s="122" t="s">
        <v>340</v>
      </c>
      <c r="AD4135" s="122" t="s">
        <v>4403</v>
      </c>
      <c r="AE4135" s="127">
        <v>7</v>
      </c>
      <c r="DA4135" s="122" t="s">
        <v>236</v>
      </c>
      <c r="DB4135" s="122" t="s">
        <v>1228</v>
      </c>
      <c r="DC4135" s="122" t="s">
        <v>1228</v>
      </c>
      <c r="DD4135" s="127">
        <v>2</v>
      </c>
      <c r="DE4135" s="127">
        <v>2</v>
      </c>
      <c r="DG4135" s="405" t="s">
        <v>236</v>
      </c>
      <c r="DH4135" s="406" t="s">
        <v>1228</v>
      </c>
      <c r="DI4135" s="406" t="str">
        <f t="shared" si="96"/>
        <v>RS, Ivoti</v>
      </c>
      <c r="DJ4135" s="406">
        <v>-29.591000000000001</v>
      </c>
      <c r="DK4135" s="80">
        <v>-51.161000000000001</v>
      </c>
      <c r="DL4135" s="80">
        <v>127</v>
      </c>
      <c r="DM4135" s="64">
        <v>2</v>
      </c>
      <c r="DN4135" s="406" t="s">
        <v>8227</v>
      </c>
      <c r="DO4135" s="406">
        <v>-29.37</v>
      </c>
      <c r="DP4135" s="80">
        <v>830</v>
      </c>
    </row>
    <row r="4136" spans="29:120" x14ac:dyDescent="0.25">
      <c r="AC4136" s="122" t="s">
        <v>328</v>
      </c>
      <c r="AD4136" s="122" t="s">
        <v>4404</v>
      </c>
      <c r="AE4136" s="127">
        <v>8</v>
      </c>
      <c r="DA4136" s="122" t="s">
        <v>236</v>
      </c>
      <c r="DB4136" s="122" t="s">
        <v>1350</v>
      </c>
      <c r="DC4136" s="122" t="s">
        <v>1350</v>
      </c>
      <c r="DD4136" s="127">
        <v>2</v>
      </c>
      <c r="DE4136" s="127">
        <v>2</v>
      </c>
      <c r="DG4136" s="405" t="s">
        <v>236</v>
      </c>
      <c r="DH4136" s="406" t="s">
        <v>1350</v>
      </c>
      <c r="DI4136" s="406" t="str">
        <f t="shared" si="96"/>
        <v>RS, Jaboticaba</v>
      </c>
      <c r="DJ4136" s="406">
        <v>-27.631</v>
      </c>
      <c r="DK4136" s="80">
        <v>-53.277000000000001</v>
      </c>
      <c r="DL4136" s="80">
        <v>561</v>
      </c>
      <c r="DM4136" s="64">
        <v>2</v>
      </c>
      <c r="DN4136" s="406" t="s">
        <v>8215</v>
      </c>
      <c r="DO4136" s="406">
        <v>-27.4</v>
      </c>
      <c r="DP4136" s="80">
        <v>490</v>
      </c>
    </row>
    <row r="4137" spans="29:120" x14ac:dyDescent="0.25">
      <c r="AC4137" s="122" t="s">
        <v>234</v>
      </c>
      <c r="AD4137" s="122" t="s">
        <v>4405</v>
      </c>
      <c r="AE4137" s="127">
        <v>8</v>
      </c>
      <c r="DA4137" s="122" t="s">
        <v>236</v>
      </c>
      <c r="DB4137" s="122" t="s">
        <v>1548</v>
      </c>
      <c r="DC4137" s="122" t="s">
        <v>1548</v>
      </c>
      <c r="DD4137" s="127">
        <v>2</v>
      </c>
      <c r="DE4137" s="127">
        <v>2</v>
      </c>
      <c r="DG4137" s="405" t="s">
        <v>236</v>
      </c>
      <c r="DH4137" s="406" t="s">
        <v>1548</v>
      </c>
      <c r="DI4137" s="406" t="str">
        <f t="shared" si="96"/>
        <v>RS, Jacuizinho</v>
      </c>
      <c r="DJ4137" s="406">
        <v>-29.033999999999999</v>
      </c>
      <c r="DK4137" s="80">
        <v>-53.058999999999997</v>
      </c>
      <c r="DL4137" s="80">
        <v>313</v>
      </c>
      <c r="DM4137" s="64">
        <v>2</v>
      </c>
      <c r="DN4137" s="406" t="s">
        <v>8216</v>
      </c>
      <c r="DO4137" s="406">
        <v>-28.85</v>
      </c>
      <c r="DP4137" s="80">
        <v>667</v>
      </c>
    </row>
    <row r="4138" spans="29:120" x14ac:dyDescent="0.25">
      <c r="AC4138" s="122" t="s">
        <v>328</v>
      </c>
      <c r="AD4138" s="122" t="s">
        <v>4406</v>
      </c>
      <c r="AE4138" s="127">
        <v>8</v>
      </c>
      <c r="DA4138" s="122" t="s">
        <v>236</v>
      </c>
      <c r="DB4138" s="122" t="s">
        <v>1009</v>
      </c>
      <c r="DC4138" s="122" t="s">
        <v>1009</v>
      </c>
      <c r="DD4138" s="127">
        <v>2</v>
      </c>
      <c r="DE4138" s="127">
        <v>2</v>
      </c>
      <c r="DG4138" s="405" t="s">
        <v>236</v>
      </c>
      <c r="DH4138" s="406" t="s">
        <v>1009</v>
      </c>
      <c r="DI4138" s="406" t="str">
        <f t="shared" si="96"/>
        <v>RS, Jacutinga</v>
      </c>
      <c r="DJ4138" s="406">
        <v>-27.728999999999999</v>
      </c>
      <c r="DK4138" s="80">
        <v>-52.534999999999997</v>
      </c>
      <c r="DL4138" s="80">
        <v>577</v>
      </c>
      <c r="DM4138" s="64">
        <v>2</v>
      </c>
      <c r="DN4138" s="406" t="s">
        <v>8228</v>
      </c>
      <c r="DO4138" s="406">
        <v>-27.63</v>
      </c>
      <c r="DP4138" s="80">
        <v>765</v>
      </c>
    </row>
    <row r="4139" spans="29:120" x14ac:dyDescent="0.25">
      <c r="AC4139" s="122" t="s">
        <v>328</v>
      </c>
      <c r="AD4139" s="122" t="s">
        <v>4407</v>
      </c>
      <c r="AE4139" s="127">
        <v>8</v>
      </c>
      <c r="DA4139" s="122" t="s">
        <v>236</v>
      </c>
      <c r="DB4139" s="122" t="s">
        <v>1419</v>
      </c>
      <c r="DC4139" s="122" t="s">
        <v>1419</v>
      </c>
      <c r="DD4139" s="127">
        <v>2</v>
      </c>
      <c r="DE4139" s="127">
        <v>2</v>
      </c>
      <c r="DG4139" s="405" t="s">
        <v>236</v>
      </c>
      <c r="DH4139" s="406" t="s">
        <v>1419</v>
      </c>
      <c r="DI4139" s="406" t="str">
        <f t="shared" si="96"/>
        <v>RS, Jaguarão</v>
      </c>
      <c r="DJ4139" s="406">
        <v>-32.566000000000003</v>
      </c>
      <c r="DK4139" s="80">
        <v>-53.375999999999998</v>
      </c>
      <c r="DL4139" s="80">
        <v>26</v>
      </c>
      <c r="DM4139" s="64">
        <v>2</v>
      </c>
      <c r="DN4139" s="406" t="s">
        <v>8237</v>
      </c>
      <c r="DO4139" s="406">
        <v>-32.57</v>
      </c>
      <c r="DP4139" s="80">
        <v>47</v>
      </c>
    </row>
    <row r="4140" spans="29:120" x14ac:dyDescent="0.25">
      <c r="AC4140" s="122" t="s">
        <v>344</v>
      </c>
      <c r="AD4140" s="122" t="s">
        <v>4408</v>
      </c>
      <c r="AE4140" s="127">
        <v>8</v>
      </c>
      <c r="DA4140" s="122" t="s">
        <v>236</v>
      </c>
      <c r="DB4140" s="122" t="s">
        <v>1535</v>
      </c>
      <c r="DC4140" s="122" t="s">
        <v>1535</v>
      </c>
      <c r="DD4140" s="127">
        <v>2</v>
      </c>
      <c r="DE4140" s="127">
        <v>2</v>
      </c>
      <c r="DG4140" s="405" t="s">
        <v>236</v>
      </c>
      <c r="DH4140" s="406" t="s">
        <v>1535</v>
      </c>
      <c r="DI4140" s="406" t="str">
        <f t="shared" si="96"/>
        <v>RS, Jaguari</v>
      </c>
      <c r="DJ4140" s="406">
        <v>-29.497</v>
      </c>
      <c r="DK4140" s="80">
        <v>-54.69</v>
      </c>
      <c r="DL4140" s="80">
        <v>112</v>
      </c>
      <c r="DM4140" s="64">
        <v>2</v>
      </c>
      <c r="DN4140" s="406" t="s">
        <v>8283</v>
      </c>
      <c r="DO4140" s="406">
        <v>-29.19</v>
      </c>
      <c r="DP4140" s="80">
        <v>394</v>
      </c>
    </row>
    <row r="4141" spans="29:120" x14ac:dyDescent="0.25">
      <c r="AC4141" s="122" t="s">
        <v>393</v>
      </c>
      <c r="AD4141" s="122" t="s">
        <v>4409</v>
      </c>
      <c r="AE4141" s="127">
        <v>7</v>
      </c>
      <c r="DA4141" s="122" t="s">
        <v>236</v>
      </c>
      <c r="DB4141" s="122" t="s">
        <v>1106</v>
      </c>
      <c r="DC4141" s="122" t="s">
        <v>1106</v>
      </c>
      <c r="DD4141" s="127">
        <v>1</v>
      </c>
      <c r="DE4141" s="127">
        <v>1</v>
      </c>
      <c r="DG4141" s="405" t="s">
        <v>236</v>
      </c>
      <c r="DH4141" s="406" t="s">
        <v>1106</v>
      </c>
      <c r="DI4141" s="406" t="str">
        <f t="shared" si="96"/>
        <v>RS, Jaquirana</v>
      </c>
      <c r="DJ4141" s="406">
        <v>-28.885000000000002</v>
      </c>
      <c r="DK4141" s="80">
        <v>-50.357999999999997</v>
      </c>
      <c r="DL4141" s="80">
        <v>927</v>
      </c>
      <c r="DM4141" s="64">
        <v>1</v>
      </c>
      <c r="DN4141" s="406" t="s">
        <v>8259</v>
      </c>
      <c r="DO4141" s="406">
        <v>-28.75</v>
      </c>
      <c r="DP4141" s="80">
        <v>1244</v>
      </c>
    </row>
    <row r="4142" spans="29:120" x14ac:dyDescent="0.25">
      <c r="AC4142" s="122" t="s">
        <v>393</v>
      </c>
      <c r="AD4142" s="122" t="s">
        <v>4410</v>
      </c>
      <c r="AE4142" s="127">
        <v>8</v>
      </c>
      <c r="DA4142" s="122" t="s">
        <v>236</v>
      </c>
      <c r="DB4142" s="122" t="s">
        <v>1544</v>
      </c>
      <c r="DC4142" s="122" t="s">
        <v>1544</v>
      </c>
      <c r="DD4142" s="127">
        <v>2</v>
      </c>
      <c r="DE4142" s="127">
        <v>2</v>
      </c>
      <c r="DG4142" s="405" t="s">
        <v>236</v>
      </c>
      <c r="DH4142" s="406" t="s">
        <v>1544</v>
      </c>
      <c r="DI4142" s="406" t="str">
        <f t="shared" si="96"/>
        <v>RS, Jari</v>
      </c>
      <c r="DJ4142" s="406">
        <v>-29.291</v>
      </c>
      <c r="DK4142" s="80">
        <v>-54.223999999999997</v>
      </c>
      <c r="DL4142" s="80">
        <v>441</v>
      </c>
      <c r="DM4142" s="64">
        <v>2</v>
      </c>
      <c r="DN4142" s="406" t="s">
        <v>8209</v>
      </c>
      <c r="DO4142" s="406">
        <v>-29.68</v>
      </c>
      <c r="DP4142" s="80">
        <v>95</v>
      </c>
    </row>
    <row r="4143" spans="29:120" x14ac:dyDescent="0.25">
      <c r="AC4143" s="122" t="s">
        <v>328</v>
      </c>
      <c r="AD4143" s="122" t="s">
        <v>4411</v>
      </c>
      <c r="AE4143" s="127">
        <v>8</v>
      </c>
      <c r="DA4143" s="122" t="s">
        <v>236</v>
      </c>
      <c r="DB4143" s="122" t="s">
        <v>1484</v>
      </c>
      <c r="DC4143" s="122" t="s">
        <v>1484</v>
      </c>
      <c r="DD4143" s="127">
        <v>2</v>
      </c>
      <c r="DE4143" s="127">
        <v>2</v>
      </c>
      <c r="DG4143" s="405" t="s">
        <v>236</v>
      </c>
      <c r="DH4143" s="406" t="s">
        <v>1484</v>
      </c>
      <c r="DI4143" s="406" t="str">
        <f t="shared" si="96"/>
        <v>RS, Jóia</v>
      </c>
      <c r="DJ4143" s="406">
        <v>-28.646999999999998</v>
      </c>
      <c r="DK4143" s="80">
        <v>-54.122</v>
      </c>
      <c r="DL4143" s="80">
        <v>302</v>
      </c>
      <c r="DM4143" s="64">
        <v>2</v>
      </c>
      <c r="DN4143" s="406" t="s">
        <v>8239</v>
      </c>
      <c r="DO4143" s="406">
        <v>-28.6</v>
      </c>
      <c r="DP4143" s="80">
        <v>432</v>
      </c>
    </row>
    <row r="4144" spans="29:120" x14ac:dyDescent="0.25">
      <c r="AC4144" s="122" t="s">
        <v>328</v>
      </c>
      <c r="AD4144" s="122" t="s">
        <v>4412</v>
      </c>
      <c r="AE4144" s="127">
        <v>8</v>
      </c>
      <c r="DA4144" s="122" t="s">
        <v>236</v>
      </c>
      <c r="DB4144" s="122" t="s">
        <v>8341</v>
      </c>
      <c r="DC4144" s="122" t="s">
        <v>1648</v>
      </c>
      <c r="DD4144" s="127">
        <v>2</v>
      </c>
      <c r="DE4144" s="127">
        <v>2</v>
      </c>
      <c r="DG4144" s="405" t="s">
        <v>236</v>
      </c>
      <c r="DH4144" s="406" t="s">
        <v>1648</v>
      </c>
      <c r="DI4144" s="406" t="str">
        <f t="shared" si="96"/>
        <v>RS, Júlio de Castilhos</v>
      </c>
      <c r="DJ4144" s="406">
        <v>-29.227</v>
      </c>
      <c r="DK4144" s="80">
        <v>-53.682000000000002</v>
      </c>
      <c r="DL4144" s="80">
        <v>513</v>
      </c>
      <c r="DM4144" s="64">
        <v>2</v>
      </c>
      <c r="DN4144" s="406" t="s">
        <v>8209</v>
      </c>
      <c r="DO4144" s="406">
        <v>-29.68</v>
      </c>
      <c r="DP4144" s="80">
        <v>95</v>
      </c>
    </row>
    <row r="4145" spans="29:120" x14ac:dyDescent="0.25">
      <c r="AC4145" s="122" t="s">
        <v>393</v>
      </c>
      <c r="AD4145" s="122" t="s">
        <v>4413</v>
      </c>
      <c r="AE4145" s="127">
        <v>8</v>
      </c>
      <c r="DA4145" s="122" t="s">
        <v>236</v>
      </c>
      <c r="DB4145" s="122" t="s">
        <v>8342</v>
      </c>
      <c r="DC4145" s="122" t="s">
        <v>1621</v>
      </c>
      <c r="DD4145" s="127">
        <v>2</v>
      </c>
      <c r="DE4145" s="127">
        <v>2</v>
      </c>
      <c r="DG4145" s="405" t="s">
        <v>236</v>
      </c>
      <c r="DH4145" s="406" t="s">
        <v>1621</v>
      </c>
      <c r="DI4145" s="406" t="str">
        <f t="shared" si="96"/>
        <v>RS, Lagoa Bonita do Sul</v>
      </c>
      <c r="DJ4145" s="406">
        <v>-29.489000000000001</v>
      </c>
      <c r="DK4145" s="80">
        <v>-53.012999999999998</v>
      </c>
      <c r="DL4145" s="80">
        <v>566</v>
      </c>
      <c r="DM4145" s="64">
        <v>2</v>
      </c>
      <c r="DN4145" s="406" t="s">
        <v>8263</v>
      </c>
      <c r="DO4145" s="406">
        <v>-29.87</v>
      </c>
      <c r="DP4145" s="80">
        <v>111</v>
      </c>
    </row>
    <row r="4146" spans="29:120" x14ac:dyDescent="0.25">
      <c r="AC4146" s="122" t="s">
        <v>393</v>
      </c>
      <c r="AD4146" s="122" t="s">
        <v>4414</v>
      </c>
      <c r="AE4146" s="127">
        <v>8</v>
      </c>
      <c r="DA4146" s="122" t="s">
        <v>236</v>
      </c>
      <c r="DB4146" s="122" t="s">
        <v>8343</v>
      </c>
      <c r="DC4146" s="122" t="s">
        <v>1194</v>
      </c>
      <c r="DD4146" s="127">
        <v>2</v>
      </c>
      <c r="DE4146" s="127">
        <v>2</v>
      </c>
      <c r="DG4146" s="405" t="s">
        <v>236</v>
      </c>
      <c r="DH4146" s="406" t="s">
        <v>1194</v>
      </c>
      <c r="DI4146" s="406" t="str">
        <f t="shared" si="96"/>
        <v>RS, Lagoa dos Três Cantos</v>
      </c>
      <c r="DJ4146" s="406">
        <v>-28.571000000000002</v>
      </c>
      <c r="DK4146" s="80">
        <v>-52.857999999999997</v>
      </c>
      <c r="DL4146" s="80">
        <v>482</v>
      </c>
      <c r="DM4146" s="64">
        <v>2</v>
      </c>
      <c r="DN4146" s="406" t="s">
        <v>8216</v>
      </c>
      <c r="DO4146" s="406">
        <v>-28.85</v>
      </c>
      <c r="DP4146" s="80">
        <v>667</v>
      </c>
    </row>
    <row r="4147" spans="29:120" x14ac:dyDescent="0.25">
      <c r="AC4147" s="122" t="s">
        <v>344</v>
      </c>
      <c r="AD4147" s="122" t="s">
        <v>4415</v>
      </c>
      <c r="AE4147" s="127">
        <v>8</v>
      </c>
      <c r="DA4147" s="122" t="s">
        <v>236</v>
      </c>
      <c r="DB4147" s="122" t="s">
        <v>8344</v>
      </c>
      <c r="DC4147" s="122" t="s">
        <v>1334</v>
      </c>
      <c r="DD4147" s="127">
        <v>2</v>
      </c>
      <c r="DE4147" s="127">
        <v>2</v>
      </c>
      <c r="DG4147" s="405" t="s">
        <v>236</v>
      </c>
      <c r="DH4147" s="406" t="s">
        <v>1334</v>
      </c>
      <c r="DI4147" s="406" t="str">
        <f t="shared" si="96"/>
        <v>RS, Lagoa Vermelha</v>
      </c>
      <c r="DJ4147" s="406">
        <v>-28.209</v>
      </c>
      <c r="DK4147" s="80">
        <v>-51.526000000000003</v>
      </c>
      <c r="DL4147" s="80">
        <v>801</v>
      </c>
      <c r="DM4147" s="64">
        <v>2</v>
      </c>
      <c r="DN4147" s="406" t="s">
        <v>8224</v>
      </c>
      <c r="DO4147" s="406">
        <v>-28.22</v>
      </c>
      <c r="DP4147" s="80">
        <v>842</v>
      </c>
    </row>
    <row r="4148" spans="29:120" x14ac:dyDescent="0.25">
      <c r="AC4148" s="122" t="s">
        <v>344</v>
      </c>
      <c r="AD4148" s="122" t="s">
        <v>4416</v>
      </c>
      <c r="AE4148" s="127">
        <v>8</v>
      </c>
      <c r="DA4148" s="122" t="s">
        <v>236</v>
      </c>
      <c r="DB4148" s="122" t="s">
        <v>1562</v>
      </c>
      <c r="DC4148" s="122" t="s">
        <v>1562</v>
      </c>
      <c r="DD4148" s="127">
        <v>2</v>
      </c>
      <c r="DE4148" s="127">
        <v>2</v>
      </c>
      <c r="DG4148" s="405" t="s">
        <v>236</v>
      </c>
      <c r="DH4148" s="406" t="s">
        <v>1562</v>
      </c>
      <c r="DI4148" s="406" t="str">
        <f t="shared" si="96"/>
        <v>RS, Lagoão</v>
      </c>
      <c r="DJ4148" s="406">
        <v>-29.234999999999999</v>
      </c>
      <c r="DK4148" s="80">
        <v>-52.795999999999999</v>
      </c>
      <c r="DL4148" s="80">
        <v>577</v>
      </c>
      <c r="DM4148" s="64">
        <v>2</v>
      </c>
      <c r="DN4148" s="406" t="s">
        <v>8216</v>
      </c>
      <c r="DO4148" s="406">
        <v>-28.85</v>
      </c>
      <c r="DP4148" s="80">
        <v>667</v>
      </c>
    </row>
    <row r="4149" spans="29:120" x14ac:dyDescent="0.25">
      <c r="AC4149" s="122" t="s">
        <v>393</v>
      </c>
      <c r="AD4149" s="122" t="s">
        <v>4417</v>
      </c>
      <c r="AE4149" s="127">
        <v>7</v>
      </c>
      <c r="DA4149" s="122" t="s">
        <v>236</v>
      </c>
      <c r="DB4149" s="122" t="s">
        <v>1427</v>
      </c>
      <c r="DC4149" s="122" t="s">
        <v>1427</v>
      </c>
      <c r="DD4149" s="127">
        <v>2</v>
      </c>
      <c r="DE4149" s="127">
        <v>2</v>
      </c>
      <c r="DG4149" s="405" t="s">
        <v>236</v>
      </c>
      <c r="DH4149" s="406" t="s">
        <v>1427</v>
      </c>
      <c r="DI4149" s="406" t="str">
        <f t="shared" si="96"/>
        <v>RS, Lajeado</v>
      </c>
      <c r="DJ4149" s="406">
        <v>-29.466999999999999</v>
      </c>
      <c r="DK4149" s="80">
        <v>-51.960999999999999</v>
      </c>
      <c r="DL4149" s="80">
        <v>31</v>
      </c>
      <c r="DM4149" s="64">
        <v>2</v>
      </c>
      <c r="DN4149" s="406" t="s">
        <v>8218</v>
      </c>
      <c r="DO4149" s="406">
        <v>-29.17</v>
      </c>
      <c r="DP4149" s="80">
        <v>640</v>
      </c>
    </row>
    <row r="4150" spans="29:120" x14ac:dyDescent="0.25">
      <c r="AC4150" s="122" t="s">
        <v>393</v>
      </c>
      <c r="AD4150" s="122" t="s">
        <v>4418</v>
      </c>
      <c r="AE4150" s="127">
        <v>8</v>
      </c>
      <c r="DA4150" s="122" t="s">
        <v>236</v>
      </c>
      <c r="DB4150" s="122" t="s">
        <v>8345</v>
      </c>
      <c r="DC4150" s="122" t="s">
        <v>1344</v>
      </c>
      <c r="DD4150" s="127">
        <v>2</v>
      </c>
      <c r="DE4150" s="127">
        <v>2</v>
      </c>
      <c r="DG4150" s="405" t="s">
        <v>236</v>
      </c>
      <c r="DH4150" s="406" t="s">
        <v>1344</v>
      </c>
      <c r="DI4150" s="406" t="str">
        <f t="shared" si="96"/>
        <v>RS, Lajeado do Bugre</v>
      </c>
      <c r="DJ4150" s="406">
        <v>-27.689</v>
      </c>
      <c r="DK4150" s="80">
        <v>-53.182000000000002</v>
      </c>
      <c r="DL4150" s="80">
        <v>424</v>
      </c>
      <c r="DM4150" s="64">
        <v>2</v>
      </c>
      <c r="DN4150" s="406" t="s">
        <v>8214</v>
      </c>
      <c r="DO4150" s="406">
        <v>-27.92</v>
      </c>
      <c r="DP4150" s="80">
        <v>642</v>
      </c>
    </row>
    <row r="4151" spans="29:120" x14ac:dyDescent="0.25">
      <c r="AC4151" s="122" t="s">
        <v>344</v>
      </c>
      <c r="AD4151" s="122" t="s">
        <v>4419</v>
      </c>
      <c r="AE4151" s="127">
        <v>8</v>
      </c>
      <c r="DA4151" s="122" t="s">
        <v>236</v>
      </c>
      <c r="DB4151" s="122" t="s">
        <v>8346</v>
      </c>
      <c r="DC4151" s="122" t="s">
        <v>1420</v>
      </c>
      <c r="DD4151" s="127">
        <v>2</v>
      </c>
      <c r="DE4151" s="127">
        <v>2</v>
      </c>
      <c r="DG4151" s="405" t="s">
        <v>236</v>
      </c>
      <c r="DH4151" s="406" t="s">
        <v>1420</v>
      </c>
      <c r="DI4151" s="406" t="str">
        <f t="shared" si="96"/>
        <v>RS, Lavras do Sul</v>
      </c>
      <c r="DJ4151" s="406">
        <v>-30.812999999999999</v>
      </c>
      <c r="DK4151" s="80">
        <v>-53.895000000000003</v>
      </c>
      <c r="DL4151" s="80">
        <v>277</v>
      </c>
      <c r="DM4151" s="64">
        <v>2</v>
      </c>
      <c r="DN4151" s="406" t="s">
        <v>8266</v>
      </c>
      <c r="DO4151" s="406">
        <v>-30.51</v>
      </c>
      <c r="DP4151" s="80">
        <v>420</v>
      </c>
    </row>
    <row r="4152" spans="29:120" x14ac:dyDescent="0.25">
      <c r="AC4152" s="122" t="s">
        <v>344</v>
      </c>
      <c r="AD4152" s="122" t="s">
        <v>4420</v>
      </c>
      <c r="AE4152" s="127">
        <v>8</v>
      </c>
      <c r="DA4152" s="122" t="s">
        <v>236</v>
      </c>
      <c r="DB4152" s="122" t="s">
        <v>8347</v>
      </c>
      <c r="DC4152" s="122" t="s">
        <v>1691</v>
      </c>
      <c r="DD4152" s="127">
        <v>2</v>
      </c>
      <c r="DE4152" s="127">
        <v>2</v>
      </c>
      <c r="DG4152" s="405" t="s">
        <v>236</v>
      </c>
      <c r="DH4152" s="406" t="s">
        <v>1691</v>
      </c>
      <c r="DI4152" s="406" t="str">
        <f t="shared" si="96"/>
        <v>RS, Liberato Salzano</v>
      </c>
      <c r="DJ4152" s="406">
        <v>-27.6</v>
      </c>
      <c r="DK4152" s="80">
        <v>-53.073</v>
      </c>
      <c r="DL4152" s="80">
        <v>360</v>
      </c>
      <c r="DM4152" s="64">
        <v>2</v>
      </c>
      <c r="DN4152" s="406" t="s">
        <v>8215</v>
      </c>
      <c r="DO4152" s="406">
        <v>-27.4</v>
      </c>
      <c r="DP4152" s="80">
        <v>490</v>
      </c>
    </row>
    <row r="4153" spans="29:120" x14ac:dyDescent="0.25">
      <c r="AC4153" s="122" t="s">
        <v>393</v>
      </c>
      <c r="AD4153" s="122" t="s">
        <v>4421</v>
      </c>
      <c r="AE4153" s="127">
        <v>7</v>
      </c>
      <c r="DA4153" s="122" t="s">
        <v>236</v>
      </c>
      <c r="DB4153" s="122" t="s">
        <v>8348</v>
      </c>
      <c r="DC4153" s="122" t="s">
        <v>1225</v>
      </c>
      <c r="DD4153" s="127">
        <v>2</v>
      </c>
      <c r="DE4153" s="127">
        <v>2</v>
      </c>
      <c r="DG4153" s="405" t="s">
        <v>236</v>
      </c>
      <c r="DH4153" s="406" t="s">
        <v>1225</v>
      </c>
      <c r="DI4153" s="406" t="str">
        <f t="shared" si="96"/>
        <v>RS, Lindolfo Collor</v>
      </c>
      <c r="DJ4153" s="406">
        <v>-29.597000000000001</v>
      </c>
      <c r="DK4153" s="80">
        <v>-51.209000000000003</v>
      </c>
      <c r="DL4153" s="80">
        <v>40</v>
      </c>
      <c r="DM4153" s="64">
        <v>2</v>
      </c>
      <c r="DN4153" s="406" t="s">
        <v>8227</v>
      </c>
      <c r="DO4153" s="406">
        <v>-29.37</v>
      </c>
      <c r="DP4153" s="80">
        <v>830</v>
      </c>
    </row>
    <row r="4154" spans="29:120" x14ac:dyDescent="0.25">
      <c r="AC4154" s="122" t="s">
        <v>393</v>
      </c>
      <c r="AD4154" s="122" t="s">
        <v>4422</v>
      </c>
      <c r="AE4154" s="127">
        <v>7</v>
      </c>
      <c r="DA4154" s="122" t="s">
        <v>236</v>
      </c>
      <c r="DB4154" s="122" t="s">
        <v>8349</v>
      </c>
      <c r="DC4154" s="122" t="s">
        <v>1249</v>
      </c>
      <c r="DD4154" s="127">
        <v>1</v>
      </c>
      <c r="DE4154" s="127">
        <v>1</v>
      </c>
      <c r="DG4154" s="405" t="s">
        <v>236</v>
      </c>
      <c r="DH4154" s="406" t="s">
        <v>1249</v>
      </c>
      <c r="DI4154" s="406" t="str">
        <f t="shared" si="96"/>
        <v>RS, Linha Nova</v>
      </c>
      <c r="DJ4154" s="406">
        <v>-29.468</v>
      </c>
      <c r="DK4154" s="80">
        <v>-51.201000000000001</v>
      </c>
      <c r="DL4154" s="80">
        <v>365</v>
      </c>
      <c r="DM4154" s="64">
        <v>1</v>
      </c>
      <c r="DN4154" s="406" t="s">
        <v>8227</v>
      </c>
      <c r="DO4154" s="406">
        <v>-29.37</v>
      </c>
      <c r="DP4154" s="80">
        <v>830</v>
      </c>
    </row>
    <row r="4155" spans="29:120" x14ac:dyDescent="0.25">
      <c r="AC4155" s="122" t="s">
        <v>344</v>
      </c>
      <c r="AD4155" s="122" t="s">
        <v>4423</v>
      </c>
      <c r="AE4155" s="127">
        <v>8</v>
      </c>
      <c r="DA4155" s="122" t="s">
        <v>236</v>
      </c>
      <c r="DB4155" s="122" t="s">
        <v>1739</v>
      </c>
      <c r="DC4155" s="122" t="s">
        <v>1739</v>
      </c>
      <c r="DD4155" s="127">
        <v>2</v>
      </c>
      <c r="DE4155" s="127">
        <v>2</v>
      </c>
      <c r="DG4155" s="405" t="s">
        <v>236</v>
      </c>
      <c r="DH4155" s="406" t="s">
        <v>1739</v>
      </c>
      <c r="DI4155" s="406" t="str">
        <f t="shared" si="96"/>
        <v>RS, Maçambará</v>
      </c>
      <c r="DJ4155" s="406">
        <v>-29.143000000000001</v>
      </c>
      <c r="DK4155" s="80">
        <v>-56.064999999999998</v>
      </c>
      <c r="DL4155" s="80">
        <v>110</v>
      </c>
      <c r="DM4155" s="64">
        <v>2</v>
      </c>
      <c r="DN4155" s="406" t="s">
        <v>8332</v>
      </c>
      <c r="DO4155" s="406">
        <v>-28.66</v>
      </c>
      <c r="DP4155" s="80">
        <v>83</v>
      </c>
    </row>
    <row r="4156" spans="29:120" x14ac:dyDescent="0.25">
      <c r="AC4156" s="122" t="s">
        <v>328</v>
      </c>
      <c r="AD4156" s="122" t="s">
        <v>4424</v>
      </c>
      <c r="AE4156" s="127">
        <v>8</v>
      </c>
      <c r="DA4156" s="122" t="s">
        <v>236</v>
      </c>
      <c r="DB4156" s="122" t="s">
        <v>492</v>
      </c>
      <c r="DC4156" s="122" t="s">
        <v>492</v>
      </c>
      <c r="DD4156" s="127">
        <v>2</v>
      </c>
      <c r="DE4156" s="127">
        <v>2</v>
      </c>
      <c r="DG4156" s="405" t="s">
        <v>236</v>
      </c>
      <c r="DH4156" s="406" t="s">
        <v>492</v>
      </c>
      <c r="DI4156" s="406" t="str">
        <f t="shared" si="96"/>
        <v>RS, Machadinho</v>
      </c>
      <c r="DJ4156" s="406">
        <v>-27.567</v>
      </c>
      <c r="DK4156" s="80">
        <v>-51.667999999999999</v>
      </c>
      <c r="DL4156" s="80">
        <v>757</v>
      </c>
      <c r="DM4156" s="64">
        <v>2</v>
      </c>
      <c r="DN4156" s="406" t="s">
        <v>8250</v>
      </c>
      <c r="DO4156" s="406">
        <v>-27.17</v>
      </c>
      <c r="DP4156" s="80">
        <v>776</v>
      </c>
    </row>
    <row r="4157" spans="29:120" x14ac:dyDescent="0.25">
      <c r="AC4157" s="122" t="s">
        <v>328</v>
      </c>
      <c r="AD4157" s="122" t="s">
        <v>4425</v>
      </c>
      <c r="AE4157" s="127">
        <v>8</v>
      </c>
      <c r="DA4157" s="122" t="s">
        <v>236</v>
      </c>
      <c r="DB4157" s="122" t="s">
        <v>1283</v>
      </c>
      <c r="DC4157" s="122" t="s">
        <v>1283</v>
      </c>
      <c r="DD4157" s="127">
        <v>2</v>
      </c>
      <c r="DE4157" s="127">
        <v>2</v>
      </c>
      <c r="DG4157" s="405" t="s">
        <v>236</v>
      </c>
      <c r="DH4157" s="406" t="s">
        <v>1283</v>
      </c>
      <c r="DI4157" s="406" t="str">
        <f t="shared" si="96"/>
        <v>RS, Mampituba</v>
      </c>
      <c r="DJ4157" s="406">
        <v>-29.210999999999999</v>
      </c>
      <c r="DK4157" s="80">
        <v>-49.935000000000002</v>
      </c>
      <c r="DL4157" s="80">
        <v>37</v>
      </c>
      <c r="DM4157" s="64">
        <v>2</v>
      </c>
      <c r="DN4157" s="406" t="s">
        <v>8233</v>
      </c>
      <c r="DO4157" s="406">
        <v>-29.33</v>
      </c>
      <c r="DP4157" s="80">
        <v>5</v>
      </c>
    </row>
    <row r="4158" spans="29:120" x14ac:dyDescent="0.25">
      <c r="AC4158" s="122" t="s">
        <v>344</v>
      </c>
      <c r="AD4158" s="122" t="s">
        <v>4426</v>
      </c>
      <c r="AE4158" s="127">
        <v>8</v>
      </c>
      <c r="DA4158" s="122" t="s">
        <v>236</v>
      </c>
      <c r="DB4158" s="122" t="s">
        <v>8350</v>
      </c>
      <c r="DC4158" s="122" t="s">
        <v>1742</v>
      </c>
      <c r="DD4158" s="127">
        <v>2</v>
      </c>
      <c r="DE4158" s="127">
        <v>2</v>
      </c>
      <c r="DG4158" s="405" t="s">
        <v>236</v>
      </c>
      <c r="DH4158" s="406" t="s">
        <v>1742</v>
      </c>
      <c r="DI4158" s="406" t="str">
        <f t="shared" si="96"/>
        <v>RS, Manoel Viana</v>
      </c>
      <c r="DJ4158" s="406">
        <v>-29.588999999999999</v>
      </c>
      <c r="DK4158" s="80">
        <v>-55.482999999999997</v>
      </c>
      <c r="DL4158" s="80">
        <v>113</v>
      </c>
      <c r="DM4158" s="64">
        <v>2</v>
      </c>
      <c r="DN4158" s="406" t="s">
        <v>8212</v>
      </c>
      <c r="DO4158" s="406">
        <v>-29.78</v>
      </c>
      <c r="DP4158" s="80">
        <v>121</v>
      </c>
    </row>
    <row r="4159" spans="29:120" x14ac:dyDescent="0.25">
      <c r="AC4159" s="122" t="s">
        <v>393</v>
      </c>
      <c r="AD4159" s="122" t="s">
        <v>4427</v>
      </c>
      <c r="AE4159" s="127">
        <v>7</v>
      </c>
      <c r="DA4159" s="122" t="s">
        <v>236</v>
      </c>
      <c r="DB4159" s="122" t="s">
        <v>1152</v>
      </c>
      <c r="DC4159" s="122" t="s">
        <v>1152</v>
      </c>
      <c r="DD4159" s="127">
        <v>1</v>
      </c>
      <c r="DE4159" s="127">
        <v>1</v>
      </c>
      <c r="DG4159" s="405" t="s">
        <v>236</v>
      </c>
      <c r="DH4159" s="406" t="s">
        <v>1152</v>
      </c>
      <c r="DI4159" s="406" t="str">
        <f t="shared" si="96"/>
        <v>RS, Maquiné</v>
      </c>
      <c r="DJ4159" s="406">
        <v>-29.675000000000001</v>
      </c>
      <c r="DK4159" s="80">
        <v>-50.207000000000001</v>
      </c>
      <c r="DL4159" s="80">
        <v>12</v>
      </c>
      <c r="DM4159" s="64">
        <v>1</v>
      </c>
      <c r="DN4159" s="406" t="s">
        <v>8241</v>
      </c>
      <c r="DO4159" s="406">
        <v>-30.01</v>
      </c>
      <c r="DP4159" s="80">
        <v>1</v>
      </c>
    </row>
    <row r="4160" spans="29:120" x14ac:dyDescent="0.25">
      <c r="AC4160" s="122" t="s">
        <v>393</v>
      </c>
      <c r="AD4160" s="122" t="s">
        <v>4428</v>
      </c>
      <c r="AE4160" s="127">
        <v>8</v>
      </c>
      <c r="DA4160" s="122" t="s">
        <v>236</v>
      </c>
      <c r="DB4160" s="122" t="s">
        <v>1464</v>
      </c>
      <c r="DC4160" s="122" t="s">
        <v>1464</v>
      </c>
      <c r="DD4160" s="127">
        <v>2</v>
      </c>
      <c r="DE4160" s="127">
        <v>2</v>
      </c>
      <c r="DG4160" s="405" t="s">
        <v>236</v>
      </c>
      <c r="DH4160" s="406" t="s">
        <v>1464</v>
      </c>
      <c r="DI4160" s="406" t="str">
        <f t="shared" si="96"/>
        <v>RS, Maratá</v>
      </c>
      <c r="DJ4160" s="406">
        <v>-29.548999999999999</v>
      </c>
      <c r="DK4160" s="80">
        <v>-51.554000000000002</v>
      </c>
      <c r="DL4160" s="80">
        <v>30</v>
      </c>
      <c r="DM4160" s="64">
        <v>2</v>
      </c>
      <c r="DN4160" s="406" t="s">
        <v>8218</v>
      </c>
      <c r="DO4160" s="406">
        <v>-29.17</v>
      </c>
      <c r="DP4160" s="80">
        <v>640</v>
      </c>
    </row>
    <row r="4161" spans="29:120" x14ac:dyDescent="0.25">
      <c r="AC4161" s="122" t="s">
        <v>328</v>
      </c>
      <c r="AD4161" s="122" t="s">
        <v>4429</v>
      </c>
      <c r="AE4161" s="127">
        <v>8</v>
      </c>
      <c r="DA4161" s="122" t="s">
        <v>236</v>
      </c>
      <c r="DB4161" s="122" t="s">
        <v>1262</v>
      </c>
      <c r="DC4161" s="122" t="s">
        <v>1262</v>
      </c>
      <c r="DD4161" s="127">
        <v>2</v>
      </c>
      <c r="DE4161" s="127">
        <v>2</v>
      </c>
      <c r="DG4161" s="405" t="s">
        <v>236</v>
      </c>
      <c r="DH4161" s="406" t="s">
        <v>1262</v>
      </c>
      <c r="DI4161" s="406" t="str">
        <f t="shared" si="96"/>
        <v>RS, Marau</v>
      </c>
      <c r="DJ4161" s="406">
        <v>-28.449000000000002</v>
      </c>
      <c r="DK4161" s="80">
        <v>-52.2</v>
      </c>
      <c r="DL4161" s="80">
        <v>571</v>
      </c>
      <c r="DM4161" s="64">
        <v>2</v>
      </c>
      <c r="DN4161" s="406" t="s">
        <v>8208</v>
      </c>
      <c r="DO4161" s="406">
        <v>-28.26</v>
      </c>
      <c r="DP4161" s="80">
        <v>684</v>
      </c>
    </row>
    <row r="4162" spans="29:120" x14ac:dyDescent="0.25">
      <c r="AC4162" s="122" t="s">
        <v>328</v>
      </c>
      <c r="AD4162" s="122" t="s">
        <v>4430</v>
      </c>
      <c r="AE4162" s="127">
        <v>8</v>
      </c>
      <c r="DA4162" s="122" t="s">
        <v>236</v>
      </c>
      <c r="DB4162" s="122" t="s">
        <v>8351</v>
      </c>
      <c r="DC4162" s="122" t="s">
        <v>1628</v>
      </c>
      <c r="DD4162" s="127">
        <v>2</v>
      </c>
      <c r="DE4162" s="127">
        <v>2</v>
      </c>
      <c r="DG4162" s="405" t="s">
        <v>236</v>
      </c>
      <c r="DH4162" s="406" t="s">
        <v>1628</v>
      </c>
      <c r="DI4162" s="406" t="str">
        <f t="shared" si="96"/>
        <v>RS, Marcelino Ramos</v>
      </c>
      <c r="DJ4162" s="406">
        <v>-27.462</v>
      </c>
      <c r="DK4162" s="80">
        <v>-51.905999999999999</v>
      </c>
      <c r="DL4162" s="80">
        <v>405</v>
      </c>
      <c r="DM4162" s="64">
        <v>2</v>
      </c>
      <c r="DN4162" s="406" t="s">
        <v>8228</v>
      </c>
      <c r="DO4162" s="406">
        <v>-27.63</v>
      </c>
      <c r="DP4162" s="80">
        <v>765</v>
      </c>
    </row>
    <row r="4163" spans="29:120" x14ac:dyDescent="0.25">
      <c r="AC4163" s="122" t="s">
        <v>344</v>
      </c>
      <c r="AD4163" s="122" t="s">
        <v>4431</v>
      </c>
      <c r="AE4163" s="127">
        <v>8</v>
      </c>
      <c r="DA4163" s="122" t="s">
        <v>236</v>
      </c>
      <c r="DB4163" s="122" t="s">
        <v>8352</v>
      </c>
      <c r="DC4163" s="122" t="s">
        <v>1122</v>
      </c>
      <c r="DD4163" s="127">
        <v>2</v>
      </c>
      <c r="DE4163" s="127">
        <v>2</v>
      </c>
      <c r="DG4163" s="405" t="s">
        <v>236</v>
      </c>
      <c r="DH4163" s="406" t="s">
        <v>1122</v>
      </c>
      <c r="DI4163" s="406" t="str">
        <f t="shared" ref="DI4163:DI4226" si="97">CONCATENATE(DG4163,", ",DH4163)</f>
        <v>RS, Mariana Pimentel</v>
      </c>
      <c r="DJ4163" s="406">
        <v>-30.353000000000002</v>
      </c>
      <c r="DK4163" s="80">
        <v>-51.582999999999998</v>
      </c>
      <c r="DL4163" s="80">
        <v>119</v>
      </c>
      <c r="DM4163" s="64">
        <v>2</v>
      </c>
      <c r="DN4163" s="406" t="s">
        <v>8219</v>
      </c>
      <c r="DO4163" s="406">
        <v>-30.03</v>
      </c>
      <c r="DP4163" s="80">
        <v>47</v>
      </c>
    </row>
    <row r="4164" spans="29:120" x14ac:dyDescent="0.25">
      <c r="AC4164" s="122" t="s">
        <v>300</v>
      </c>
      <c r="AD4164" s="122" t="s">
        <v>4432</v>
      </c>
      <c r="AE4164" s="127">
        <v>8</v>
      </c>
      <c r="DA4164" s="122" t="s">
        <v>236</v>
      </c>
      <c r="DB4164" s="122" t="s">
        <v>8353</v>
      </c>
      <c r="DC4164" s="122" t="s">
        <v>740</v>
      </c>
      <c r="DD4164" s="127">
        <v>2</v>
      </c>
      <c r="DE4164" s="127">
        <v>2</v>
      </c>
      <c r="DG4164" s="405" t="s">
        <v>236</v>
      </c>
      <c r="DH4164" s="406" t="s">
        <v>740</v>
      </c>
      <c r="DI4164" s="406" t="str">
        <f t="shared" si="97"/>
        <v>RS, Mariano Moro</v>
      </c>
      <c r="DJ4164" s="406">
        <v>-27.353999999999999</v>
      </c>
      <c r="DK4164" s="80">
        <v>-52.146999999999998</v>
      </c>
      <c r="DL4164" s="80">
        <v>475</v>
      </c>
      <c r="DM4164" s="64">
        <v>2</v>
      </c>
      <c r="DN4164" s="406" t="s">
        <v>8228</v>
      </c>
      <c r="DO4164" s="406">
        <v>-27.63</v>
      </c>
      <c r="DP4164" s="80">
        <v>765</v>
      </c>
    </row>
    <row r="4165" spans="29:120" x14ac:dyDescent="0.25">
      <c r="AC4165" s="122" t="s">
        <v>393</v>
      </c>
      <c r="AD4165" s="122" t="s">
        <v>4433</v>
      </c>
      <c r="AE4165" s="127">
        <v>8</v>
      </c>
      <c r="DA4165" s="122" t="s">
        <v>236</v>
      </c>
      <c r="DB4165" s="122" t="s">
        <v>8354</v>
      </c>
      <c r="DC4165" s="122" t="s">
        <v>1432</v>
      </c>
      <c r="DD4165" s="127">
        <v>2</v>
      </c>
      <c r="DE4165" s="127">
        <v>2</v>
      </c>
      <c r="DG4165" s="405" t="s">
        <v>236</v>
      </c>
      <c r="DH4165" s="406" t="s">
        <v>1432</v>
      </c>
      <c r="DI4165" s="406" t="str">
        <f t="shared" si="97"/>
        <v>RS, Marques de Souza</v>
      </c>
      <c r="DJ4165" s="406">
        <v>-29.327999999999999</v>
      </c>
      <c r="DK4165" s="80">
        <v>-52.093000000000004</v>
      </c>
      <c r="DL4165" s="80">
        <v>69</v>
      </c>
      <c r="DM4165" s="64">
        <v>2</v>
      </c>
      <c r="DN4165" s="406" t="s">
        <v>8218</v>
      </c>
      <c r="DO4165" s="406">
        <v>-29.17</v>
      </c>
      <c r="DP4165" s="80">
        <v>640</v>
      </c>
    </row>
    <row r="4166" spans="29:120" x14ac:dyDescent="0.25">
      <c r="AC4166" s="122" t="s">
        <v>279</v>
      </c>
      <c r="AD4166" s="122" t="s">
        <v>4434</v>
      </c>
      <c r="AE4166" s="127">
        <v>8</v>
      </c>
      <c r="DA4166" s="122" t="s">
        <v>236</v>
      </c>
      <c r="DB4166" s="122" t="s">
        <v>1603</v>
      </c>
      <c r="DC4166" s="122" t="s">
        <v>1603</v>
      </c>
      <c r="DD4166" s="127">
        <v>2</v>
      </c>
      <c r="DE4166" s="127">
        <v>2</v>
      </c>
      <c r="DG4166" s="405" t="s">
        <v>236</v>
      </c>
      <c r="DH4166" s="406" t="s">
        <v>1603</v>
      </c>
      <c r="DI4166" s="406" t="str">
        <f t="shared" si="97"/>
        <v>RS, Mata</v>
      </c>
      <c r="DJ4166" s="406">
        <v>-29.565999999999999</v>
      </c>
      <c r="DK4166" s="80">
        <v>-54.46</v>
      </c>
      <c r="DL4166" s="80">
        <v>127</v>
      </c>
      <c r="DM4166" s="64">
        <v>2</v>
      </c>
      <c r="DN4166" s="406" t="s">
        <v>8283</v>
      </c>
      <c r="DO4166" s="406">
        <v>-29.19</v>
      </c>
      <c r="DP4166" s="80">
        <v>394</v>
      </c>
    </row>
    <row r="4167" spans="29:120" x14ac:dyDescent="0.25">
      <c r="AC4167" s="122" t="s">
        <v>393</v>
      </c>
      <c r="AD4167" s="122" t="s">
        <v>4435</v>
      </c>
      <c r="AE4167" s="127">
        <v>8</v>
      </c>
      <c r="DA4167" s="122" t="s">
        <v>236</v>
      </c>
      <c r="DB4167" s="122" t="s">
        <v>8355</v>
      </c>
      <c r="DC4167" s="122" t="s">
        <v>1315</v>
      </c>
      <c r="DD4167" s="127">
        <v>2</v>
      </c>
      <c r="DE4167" s="127">
        <v>2</v>
      </c>
      <c r="DG4167" s="405" t="s">
        <v>236</v>
      </c>
      <c r="DH4167" s="406" t="s">
        <v>1315</v>
      </c>
      <c r="DI4167" s="406" t="str">
        <f t="shared" si="97"/>
        <v>RS, Mato Castelhano</v>
      </c>
      <c r="DJ4167" s="406">
        <v>-28.277999999999999</v>
      </c>
      <c r="DK4167" s="80">
        <v>-52.192</v>
      </c>
      <c r="DL4167" s="80">
        <v>740</v>
      </c>
      <c r="DM4167" s="64">
        <v>2</v>
      </c>
      <c r="DN4167" s="406" t="s">
        <v>8208</v>
      </c>
      <c r="DO4167" s="406">
        <v>-28.26</v>
      </c>
      <c r="DP4167" s="80">
        <v>684</v>
      </c>
    </row>
    <row r="4168" spans="29:120" x14ac:dyDescent="0.25">
      <c r="AC4168" s="122" t="s">
        <v>279</v>
      </c>
      <c r="AD4168" s="122" t="s">
        <v>4436</v>
      </c>
      <c r="AE4168" s="127">
        <v>8</v>
      </c>
      <c r="DA4168" s="122" t="s">
        <v>236</v>
      </c>
      <c r="DB4168" s="122" t="s">
        <v>8356</v>
      </c>
      <c r="DC4168" s="122" t="s">
        <v>1429</v>
      </c>
      <c r="DD4168" s="127">
        <v>2</v>
      </c>
      <c r="DE4168" s="127">
        <v>2</v>
      </c>
      <c r="DG4168" s="405" t="s">
        <v>236</v>
      </c>
      <c r="DH4168" s="406" t="s">
        <v>1429</v>
      </c>
      <c r="DI4168" s="406" t="str">
        <f t="shared" si="97"/>
        <v>RS, Mato Leitão</v>
      </c>
      <c r="DJ4168" s="406">
        <v>-29.524000000000001</v>
      </c>
      <c r="DK4168" s="80">
        <v>-52.128999999999998</v>
      </c>
      <c r="DL4168" s="80">
        <v>81</v>
      </c>
      <c r="DM4168" s="64">
        <v>2</v>
      </c>
      <c r="DN4168" s="406" t="s">
        <v>8263</v>
      </c>
      <c r="DO4168" s="406">
        <v>-29.87</v>
      </c>
      <c r="DP4168" s="80">
        <v>111</v>
      </c>
    </row>
    <row r="4169" spans="29:120" x14ac:dyDescent="0.25">
      <c r="AC4169" s="122" t="s">
        <v>344</v>
      </c>
      <c r="AD4169" s="122" t="s">
        <v>4437</v>
      </c>
      <c r="AE4169" s="127">
        <v>8</v>
      </c>
      <c r="DA4169" s="122" t="s">
        <v>236</v>
      </c>
      <c r="DB4169" s="122" t="s">
        <v>8357</v>
      </c>
      <c r="DC4169" s="122" t="s">
        <v>3118</v>
      </c>
      <c r="DD4169" s="127">
        <v>2</v>
      </c>
      <c r="DE4169" s="127">
        <v>2</v>
      </c>
      <c r="DG4169" s="405" t="s">
        <v>236</v>
      </c>
      <c r="DH4169" s="406" t="s">
        <v>3118</v>
      </c>
      <c r="DI4169" s="406" t="str">
        <f t="shared" si="97"/>
        <v>RS, Mato Queimado</v>
      </c>
      <c r="DJ4169" s="406">
        <v>-28.256</v>
      </c>
      <c r="DK4169" s="80">
        <v>-54.616</v>
      </c>
      <c r="DL4169" s="80">
        <v>232</v>
      </c>
      <c r="DM4169" s="64">
        <v>2</v>
      </c>
      <c r="DN4169" s="406" t="s">
        <v>8211</v>
      </c>
      <c r="DO4169" s="406">
        <v>-28.41</v>
      </c>
      <c r="DP4169" s="80">
        <v>245</v>
      </c>
    </row>
    <row r="4170" spans="29:120" x14ac:dyDescent="0.25">
      <c r="AC4170" s="122" t="s">
        <v>393</v>
      </c>
      <c r="AD4170" s="122" t="s">
        <v>1427</v>
      </c>
      <c r="AE4170" s="127">
        <v>7</v>
      </c>
      <c r="DA4170" s="122" t="s">
        <v>236</v>
      </c>
      <c r="DB4170" s="122" t="s">
        <v>8358</v>
      </c>
      <c r="DC4170" s="122" t="s">
        <v>1641</v>
      </c>
      <c r="DD4170" s="127">
        <v>2</v>
      </c>
      <c r="DE4170" s="127">
        <v>2</v>
      </c>
      <c r="DG4170" s="405" t="s">
        <v>236</v>
      </c>
      <c r="DH4170" s="406" t="s">
        <v>1641</v>
      </c>
      <c r="DI4170" s="406" t="str">
        <f t="shared" si="97"/>
        <v>RS, Maximiliano de Almeida</v>
      </c>
      <c r="DJ4170" s="406">
        <v>-27.632000000000001</v>
      </c>
      <c r="DK4170" s="80">
        <v>-51.802999999999997</v>
      </c>
      <c r="DL4170" s="80">
        <v>583</v>
      </c>
      <c r="DM4170" s="64">
        <v>2</v>
      </c>
      <c r="DN4170" s="406" t="s">
        <v>8228</v>
      </c>
      <c r="DO4170" s="406">
        <v>-27.63</v>
      </c>
      <c r="DP4170" s="80">
        <v>765</v>
      </c>
    </row>
    <row r="4171" spans="29:120" x14ac:dyDescent="0.25">
      <c r="AC4171" s="122" t="s">
        <v>279</v>
      </c>
      <c r="AD4171" s="122" t="s">
        <v>4438</v>
      </c>
      <c r="AE4171" s="127">
        <v>8</v>
      </c>
      <c r="DA4171" s="122" t="s">
        <v>236</v>
      </c>
      <c r="DB4171" s="122" t="s">
        <v>8359</v>
      </c>
      <c r="DC4171" s="122" t="s">
        <v>1237</v>
      </c>
      <c r="DD4171" s="127">
        <v>2</v>
      </c>
      <c r="DE4171" s="127">
        <v>2</v>
      </c>
      <c r="DG4171" s="405" t="s">
        <v>236</v>
      </c>
      <c r="DH4171" s="406" t="s">
        <v>1237</v>
      </c>
      <c r="DI4171" s="406" t="str">
        <f t="shared" si="97"/>
        <v>RS, Minas do Leão</v>
      </c>
      <c r="DJ4171" s="406">
        <v>-30.126999999999999</v>
      </c>
      <c r="DK4171" s="80">
        <v>-52.048000000000002</v>
      </c>
      <c r="DL4171" s="80">
        <v>64</v>
      </c>
      <c r="DM4171" s="64">
        <v>2</v>
      </c>
      <c r="DN4171" s="406" t="s">
        <v>8263</v>
      </c>
      <c r="DO4171" s="406">
        <v>-29.87</v>
      </c>
      <c r="DP4171" s="80">
        <v>111</v>
      </c>
    </row>
    <row r="4172" spans="29:120" x14ac:dyDescent="0.25">
      <c r="AC4172" s="122" t="s">
        <v>234</v>
      </c>
      <c r="AD4172" s="122" t="s">
        <v>4439</v>
      </c>
      <c r="AE4172" s="127">
        <v>8</v>
      </c>
      <c r="DA4172" s="122" t="s">
        <v>236</v>
      </c>
      <c r="DB4172" s="122" t="s">
        <v>1658</v>
      </c>
      <c r="DC4172" s="122" t="s">
        <v>1658</v>
      </c>
      <c r="DD4172" s="127">
        <v>2</v>
      </c>
      <c r="DE4172" s="127">
        <v>2</v>
      </c>
      <c r="DG4172" s="405" t="s">
        <v>236</v>
      </c>
      <c r="DH4172" s="406" t="s">
        <v>1658</v>
      </c>
      <c r="DI4172" s="406" t="str">
        <f t="shared" si="97"/>
        <v>RS, Miraguaí</v>
      </c>
      <c r="DJ4172" s="406">
        <v>-27.494</v>
      </c>
      <c r="DK4172" s="80">
        <v>-53.686</v>
      </c>
      <c r="DL4172" s="80">
        <v>488</v>
      </c>
      <c r="DM4172" s="64">
        <v>2</v>
      </c>
      <c r="DN4172" s="406" t="s">
        <v>8215</v>
      </c>
      <c r="DO4172" s="406">
        <v>-27.4</v>
      </c>
      <c r="DP4172" s="80">
        <v>490</v>
      </c>
    </row>
    <row r="4173" spans="29:120" x14ac:dyDescent="0.25">
      <c r="AC4173" s="122" t="s">
        <v>268</v>
      </c>
      <c r="AD4173" s="122" t="s">
        <v>3170</v>
      </c>
      <c r="AE4173" s="127">
        <v>8</v>
      </c>
      <c r="DA4173" s="122" t="s">
        <v>236</v>
      </c>
      <c r="DB4173" s="122" t="s">
        <v>1501</v>
      </c>
      <c r="DC4173" s="122" t="s">
        <v>1501</v>
      </c>
      <c r="DD4173" s="127">
        <v>2</v>
      </c>
      <c r="DE4173" s="127">
        <v>2</v>
      </c>
      <c r="DG4173" s="405" t="s">
        <v>236</v>
      </c>
      <c r="DH4173" s="406" t="s">
        <v>1501</v>
      </c>
      <c r="DI4173" s="406" t="str">
        <f t="shared" si="97"/>
        <v>RS, Montauri</v>
      </c>
      <c r="DJ4173" s="406">
        <v>-28.652000000000001</v>
      </c>
      <c r="DK4173" s="80">
        <v>-52.07</v>
      </c>
      <c r="DL4173" s="80">
        <v>449</v>
      </c>
      <c r="DM4173" s="64">
        <v>2</v>
      </c>
      <c r="DN4173" s="406" t="s">
        <v>8216</v>
      </c>
      <c r="DO4173" s="406">
        <v>-28.85</v>
      </c>
      <c r="DP4173" s="80">
        <v>667</v>
      </c>
    </row>
    <row r="4174" spans="29:120" x14ac:dyDescent="0.25">
      <c r="AC4174" s="122" t="s">
        <v>340</v>
      </c>
      <c r="AD4174" s="122" t="s">
        <v>4440</v>
      </c>
      <c r="AE4174" s="127">
        <v>8</v>
      </c>
      <c r="DA4174" s="122" t="s">
        <v>236</v>
      </c>
      <c r="DB4174" s="122" t="s">
        <v>8360</v>
      </c>
      <c r="DC4174" s="122" t="s">
        <v>1527</v>
      </c>
      <c r="DD4174" s="127">
        <v>1</v>
      </c>
      <c r="DE4174" s="127">
        <v>1</v>
      </c>
      <c r="DG4174" s="405" t="s">
        <v>236</v>
      </c>
      <c r="DH4174" s="406" t="s">
        <v>1527</v>
      </c>
      <c r="DI4174" s="406" t="str">
        <f t="shared" si="97"/>
        <v>RS, Monte Alegre dos Campos</v>
      </c>
      <c r="DJ4174" s="406">
        <v>-28.683</v>
      </c>
      <c r="DK4174" s="80">
        <v>-50.783000000000001</v>
      </c>
      <c r="DL4174" s="80">
        <v>926</v>
      </c>
      <c r="DM4174" s="64">
        <v>1</v>
      </c>
      <c r="DN4174" s="406" t="s">
        <v>8272</v>
      </c>
      <c r="DO4174" s="406">
        <v>-28.51</v>
      </c>
      <c r="DP4174" s="80">
        <v>986</v>
      </c>
    </row>
    <row r="4175" spans="29:120" x14ac:dyDescent="0.25">
      <c r="AC4175" s="122" t="s">
        <v>393</v>
      </c>
      <c r="AD4175" s="122" t="s">
        <v>4441</v>
      </c>
      <c r="AE4175" s="127">
        <v>7</v>
      </c>
      <c r="DA4175" s="122" t="s">
        <v>236</v>
      </c>
      <c r="DB4175" s="122" t="s">
        <v>8361</v>
      </c>
      <c r="DC4175" s="122" t="s">
        <v>1276</v>
      </c>
      <c r="DD4175" s="127">
        <v>2</v>
      </c>
      <c r="DE4175" s="127">
        <v>2</v>
      </c>
      <c r="DG4175" s="405" t="s">
        <v>236</v>
      </c>
      <c r="DH4175" s="406" t="s">
        <v>1276</v>
      </c>
      <c r="DI4175" s="406" t="str">
        <f t="shared" si="97"/>
        <v>RS, Monte Belo do Sul</v>
      </c>
      <c r="DJ4175" s="406">
        <v>-29.163</v>
      </c>
      <c r="DK4175" s="80">
        <v>-51.631999999999998</v>
      </c>
      <c r="DL4175" s="80">
        <v>645</v>
      </c>
      <c r="DM4175" s="64">
        <v>2</v>
      </c>
      <c r="DN4175" s="406" t="s">
        <v>8218</v>
      </c>
      <c r="DO4175" s="406">
        <v>-29.17</v>
      </c>
      <c r="DP4175" s="80">
        <v>640</v>
      </c>
    </row>
    <row r="4176" spans="29:120" x14ac:dyDescent="0.25">
      <c r="AC4176" s="122" t="s">
        <v>393</v>
      </c>
      <c r="AD4176" s="122" t="s">
        <v>4442</v>
      </c>
      <c r="AE4176" s="127">
        <v>7</v>
      </c>
      <c r="DA4176" s="122" t="s">
        <v>236</v>
      </c>
      <c r="DB4176" s="122" t="s">
        <v>1497</v>
      </c>
      <c r="DC4176" s="122" t="s">
        <v>1497</v>
      </c>
      <c r="DD4176" s="127">
        <v>2</v>
      </c>
      <c r="DE4176" s="127">
        <v>2</v>
      </c>
      <c r="DG4176" s="405" t="s">
        <v>236</v>
      </c>
      <c r="DH4176" s="406" t="s">
        <v>1497</v>
      </c>
      <c r="DI4176" s="406" t="str">
        <f t="shared" si="97"/>
        <v>RS, Montenegro</v>
      </c>
      <c r="DJ4176" s="406">
        <v>-29.689</v>
      </c>
      <c r="DK4176" s="80">
        <v>-51.460999999999999</v>
      </c>
      <c r="DL4176" s="80">
        <v>31</v>
      </c>
      <c r="DM4176" s="64">
        <v>2</v>
      </c>
      <c r="DN4176" s="406" t="s">
        <v>8219</v>
      </c>
      <c r="DO4176" s="406">
        <v>-30.03</v>
      </c>
      <c r="DP4176" s="80">
        <v>47</v>
      </c>
    </row>
    <row r="4177" spans="29:120" x14ac:dyDescent="0.25">
      <c r="AC4177" s="122" t="s">
        <v>234</v>
      </c>
      <c r="AD4177" s="122" t="s">
        <v>4443</v>
      </c>
      <c r="AE4177" s="127">
        <v>8</v>
      </c>
      <c r="DA4177" s="122" t="s">
        <v>236</v>
      </c>
      <c r="DB4177" s="122" t="s">
        <v>1248</v>
      </c>
      <c r="DC4177" s="122" t="s">
        <v>1248</v>
      </c>
      <c r="DD4177" s="127">
        <v>2</v>
      </c>
      <c r="DE4177" s="127">
        <v>2</v>
      </c>
      <c r="DG4177" s="405" t="s">
        <v>236</v>
      </c>
      <c r="DH4177" s="406" t="s">
        <v>1248</v>
      </c>
      <c r="DI4177" s="406" t="str">
        <f t="shared" si="97"/>
        <v>RS, Mormaço</v>
      </c>
      <c r="DJ4177" s="406">
        <v>-28.692</v>
      </c>
      <c r="DK4177" s="80">
        <v>-52.692</v>
      </c>
      <c r="DL4177" s="80">
        <v>410</v>
      </c>
      <c r="DM4177" s="64">
        <v>2</v>
      </c>
      <c r="DN4177" s="406" t="s">
        <v>8216</v>
      </c>
      <c r="DO4177" s="406">
        <v>-28.85</v>
      </c>
      <c r="DP4177" s="80">
        <v>667</v>
      </c>
    </row>
    <row r="4178" spans="29:120" x14ac:dyDescent="0.25">
      <c r="AC4178" s="122" t="s">
        <v>372</v>
      </c>
      <c r="AD4178" s="122" t="s">
        <v>4444</v>
      </c>
      <c r="AE4178" s="127">
        <v>8</v>
      </c>
      <c r="DA4178" s="122" t="s">
        <v>236</v>
      </c>
      <c r="DB4178" s="122" t="s">
        <v>8362</v>
      </c>
      <c r="DC4178" s="122" t="s">
        <v>1286</v>
      </c>
      <c r="DD4178" s="127">
        <v>2</v>
      </c>
      <c r="DE4178" s="127">
        <v>2</v>
      </c>
      <c r="DG4178" s="405" t="s">
        <v>236</v>
      </c>
      <c r="DH4178" s="406" t="s">
        <v>1286</v>
      </c>
      <c r="DI4178" s="406" t="str">
        <f t="shared" si="97"/>
        <v>RS, Morrinhos do Sul</v>
      </c>
      <c r="DJ4178" s="406">
        <v>-29.364999999999998</v>
      </c>
      <c r="DK4178" s="80">
        <v>-49.935000000000002</v>
      </c>
      <c r="DL4178" s="80">
        <v>180</v>
      </c>
      <c r="DM4178" s="64">
        <v>2</v>
      </c>
      <c r="DN4178" s="406" t="s">
        <v>8233</v>
      </c>
      <c r="DO4178" s="406">
        <v>-29.33</v>
      </c>
      <c r="DP4178" s="80">
        <v>5</v>
      </c>
    </row>
    <row r="4179" spans="29:120" x14ac:dyDescent="0.25">
      <c r="AC4179" s="122" t="s">
        <v>393</v>
      </c>
      <c r="AD4179" s="122" t="s">
        <v>4445</v>
      </c>
      <c r="AE4179" s="127">
        <v>8</v>
      </c>
      <c r="DA4179" s="122" t="s">
        <v>236</v>
      </c>
      <c r="DB4179" s="122" t="s">
        <v>8363</v>
      </c>
      <c r="DC4179" s="122" t="s">
        <v>1189</v>
      </c>
      <c r="DD4179" s="127">
        <v>2</v>
      </c>
      <c r="DE4179" s="127">
        <v>2</v>
      </c>
      <c r="DG4179" s="405" t="s">
        <v>236</v>
      </c>
      <c r="DH4179" s="406" t="s">
        <v>1189</v>
      </c>
      <c r="DI4179" s="406" t="str">
        <f t="shared" si="97"/>
        <v>RS, Morro Redondo</v>
      </c>
      <c r="DJ4179" s="406">
        <v>-31.588000000000001</v>
      </c>
      <c r="DK4179" s="80">
        <v>-52.633000000000003</v>
      </c>
      <c r="DL4179" s="80">
        <v>245</v>
      </c>
      <c r="DM4179" s="64">
        <v>2</v>
      </c>
      <c r="DN4179" s="406" t="s">
        <v>8231</v>
      </c>
      <c r="DO4179" s="406">
        <v>-31.41</v>
      </c>
      <c r="DP4179" s="80">
        <v>464</v>
      </c>
    </row>
    <row r="4180" spans="29:120" x14ac:dyDescent="0.25">
      <c r="AC4180" s="122" t="s">
        <v>393</v>
      </c>
      <c r="AD4180" s="122" t="s">
        <v>3164</v>
      </c>
      <c r="AE4180" s="127">
        <v>8</v>
      </c>
      <c r="DA4180" s="122" t="s">
        <v>236</v>
      </c>
      <c r="DB4180" s="122" t="s">
        <v>8364</v>
      </c>
      <c r="DC4180" s="122" t="s">
        <v>1240</v>
      </c>
      <c r="DD4180" s="127">
        <v>1</v>
      </c>
      <c r="DE4180" s="127">
        <v>1</v>
      </c>
      <c r="DG4180" s="405" t="s">
        <v>236</v>
      </c>
      <c r="DH4180" s="406" t="s">
        <v>1240</v>
      </c>
      <c r="DI4180" s="406" t="str">
        <f t="shared" si="97"/>
        <v>RS, Morro Reuter</v>
      </c>
      <c r="DJ4180" s="406">
        <v>-29.538</v>
      </c>
      <c r="DK4180" s="80">
        <v>-51.081000000000003</v>
      </c>
      <c r="DL4180" s="80">
        <v>492</v>
      </c>
      <c r="DM4180" s="64">
        <v>1</v>
      </c>
      <c r="DN4180" s="406" t="s">
        <v>8227</v>
      </c>
      <c r="DO4180" s="406">
        <v>-29.37</v>
      </c>
      <c r="DP4180" s="80">
        <v>830</v>
      </c>
    </row>
    <row r="4181" spans="29:120" x14ac:dyDescent="0.25">
      <c r="AC4181" s="122" t="s">
        <v>393</v>
      </c>
      <c r="AD4181" s="122" t="s">
        <v>4446</v>
      </c>
      <c r="AE4181" s="127">
        <v>8</v>
      </c>
      <c r="DA4181" s="122" t="s">
        <v>236</v>
      </c>
      <c r="DB4181" s="122" t="s">
        <v>1308</v>
      </c>
      <c r="DC4181" s="122" t="s">
        <v>1308</v>
      </c>
      <c r="DD4181" s="127">
        <v>2</v>
      </c>
      <c r="DE4181" s="127">
        <v>2</v>
      </c>
      <c r="DG4181" s="405" t="s">
        <v>236</v>
      </c>
      <c r="DH4181" s="406" t="s">
        <v>1308</v>
      </c>
      <c r="DI4181" s="406" t="str">
        <f t="shared" si="97"/>
        <v>RS, Mostardas</v>
      </c>
      <c r="DJ4181" s="406">
        <v>-31.106999999999999</v>
      </c>
      <c r="DK4181" s="80">
        <v>-50.920999999999999</v>
      </c>
      <c r="DL4181" s="80">
        <v>17</v>
      </c>
      <c r="DM4181" s="64">
        <v>2</v>
      </c>
      <c r="DN4181" s="406" t="s">
        <v>8365</v>
      </c>
      <c r="DO4181" s="406">
        <v>-31.25</v>
      </c>
      <c r="DP4181" s="80">
        <v>10</v>
      </c>
    </row>
    <row r="4182" spans="29:120" x14ac:dyDescent="0.25">
      <c r="AC4182" s="122" t="s">
        <v>328</v>
      </c>
      <c r="AD4182" s="122" t="s">
        <v>4447</v>
      </c>
      <c r="AE4182" s="127">
        <v>7</v>
      </c>
      <c r="DA4182" s="122" t="s">
        <v>236</v>
      </c>
      <c r="DB4182" s="122" t="s">
        <v>1445</v>
      </c>
      <c r="DC4182" s="122" t="s">
        <v>1445</v>
      </c>
      <c r="DD4182" s="127">
        <v>2</v>
      </c>
      <c r="DE4182" s="127">
        <v>2</v>
      </c>
      <c r="DG4182" s="405" t="s">
        <v>236</v>
      </c>
      <c r="DH4182" s="406" t="s">
        <v>1445</v>
      </c>
      <c r="DI4182" s="406" t="str">
        <f t="shared" si="97"/>
        <v>RS, Muçum</v>
      </c>
      <c r="DJ4182" s="406">
        <v>-29.164999999999999</v>
      </c>
      <c r="DK4182" s="80">
        <v>-51.868000000000002</v>
      </c>
      <c r="DL4182" s="80">
        <v>77</v>
      </c>
      <c r="DM4182" s="64">
        <v>2</v>
      </c>
      <c r="DN4182" s="406" t="s">
        <v>8218</v>
      </c>
      <c r="DO4182" s="406">
        <v>-29.17</v>
      </c>
      <c r="DP4182" s="80">
        <v>640</v>
      </c>
    </row>
    <row r="4183" spans="29:120" x14ac:dyDescent="0.25">
      <c r="AC4183" s="122" t="s">
        <v>279</v>
      </c>
      <c r="AD4183" s="122" t="s">
        <v>4448</v>
      </c>
      <c r="AE4183" s="127">
        <v>8</v>
      </c>
      <c r="DA4183" s="122" t="s">
        <v>236</v>
      </c>
      <c r="DB4183" s="122" t="s">
        <v>8366</v>
      </c>
      <c r="DC4183" s="122" t="s">
        <v>1139</v>
      </c>
      <c r="DD4183" s="127">
        <v>1</v>
      </c>
      <c r="DE4183" s="127">
        <v>1</v>
      </c>
      <c r="DG4183" s="405" t="s">
        <v>236</v>
      </c>
      <c r="DH4183" s="406" t="s">
        <v>1139</v>
      </c>
      <c r="DI4183" s="406" t="str">
        <f t="shared" si="97"/>
        <v>RS, Muitos Capões</v>
      </c>
      <c r="DJ4183" s="406">
        <v>-28.314</v>
      </c>
      <c r="DK4183" s="80">
        <v>-51.182000000000002</v>
      </c>
      <c r="DL4183" s="80">
        <v>937</v>
      </c>
      <c r="DM4183" s="64">
        <v>1</v>
      </c>
      <c r="DN4183" s="406" t="s">
        <v>8272</v>
      </c>
      <c r="DO4183" s="406">
        <v>-28.51</v>
      </c>
      <c r="DP4183" s="80">
        <v>986</v>
      </c>
    </row>
    <row r="4184" spans="29:120" x14ac:dyDescent="0.25">
      <c r="AC4184" s="122" t="s">
        <v>372</v>
      </c>
      <c r="AD4184" s="122" t="s">
        <v>4449</v>
      </c>
      <c r="AE4184" s="127">
        <v>8</v>
      </c>
      <c r="DA4184" s="122" t="s">
        <v>236</v>
      </c>
      <c r="DB4184" s="122" t="s">
        <v>1279</v>
      </c>
      <c r="DC4184" s="122" t="s">
        <v>1279</v>
      </c>
      <c r="DD4184" s="127">
        <v>2</v>
      </c>
      <c r="DE4184" s="127">
        <v>2</v>
      </c>
      <c r="DG4184" s="405" t="s">
        <v>236</v>
      </c>
      <c r="DH4184" s="406" t="s">
        <v>1279</v>
      </c>
      <c r="DI4184" s="406" t="str">
        <f t="shared" si="97"/>
        <v>RS, Muliterno</v>
      </c>
      <c r="DJ4184" s="406">
        <v>-28.329000000000001</v>
      </c>
      <c r="DK4184" s="80">
        <v>-51.768000000000001</v>
      </c>
      <c r="DL4184" s="80">
        <v>824</v>
      </c>
      <c r="DM4184" s="64">
        <v>2</v>
      </c>
      <c r="DN4184" s="406" t="s">
        <v>8224</v>
      </c>
      <c r="DO4184" s="406">
        <v>-28.22</v>
      </c>
      <c r="DP4184" s="80">
        <v>842</v>
      </c>
    </row>
    <row r="4185" spans="29:120" x14ac:dyDescent="0.25">
      <c r="AC4185" s="122" t="s">
        <v>372</v>
      </c>
      <c r="AD4185" s="122" t="s">
        <v>4450</v>
      </c>
      <c r="AE4185" s="127">
        <v>8</v>
      </c>
      <c r="DA4185" s="122" t="s">
        <v>236</v>
      </c>
      <c r="DB4185" s="122" t="s">
        <v>1230</v>
      </c>
      <c r="DC4185" s="122" t="s">
        <v>1230</v>
      </c>
      <c r="DD4185" s="127">
        <v>2</v>
      </c>
      <c r="DE4185" s="127">
        <v>2</v>
      </c>
      <c r="DG4185" s="405" t="s">
        <v>236</v>
      </c>
      <c r="DH4185" s="406" t="s">
        <v>1230</v>
      </c>
      <c r="DI4185" s="406" t="str">
        <f t="shared" si="97"/>
        <v>RS, Não-Me-Toque</v>
      </c>
      <c r="DJ4185" s="406">
        <v>-28.459</v>
      </c>
      <c r="DK4185" s="80">
        <v>-52.820999999999998</v>
      </c>
      <c r="DL4185" s="80">
        <v>514</v>
      </c>
      <c r="DM4185" s="64">
        <v>2</v>
      </c>
      <c r="DN4185" s="406" t="s">
        <v>8208</v>
      </c>
      <c r="DO4185" s="406">
        <v>-28.26</v>
      </c>
      <c r="DP4185" s="80">
        <v>684</v>
      </c>
    </row>
    <row r="4186" spans="29:120" x14ac:dyDescent="0.25">
      <c r="AC4186" s="122" t="s">
        <v>372</v>
      </c>
      <c r="AD4186" s="122" t="s">
        <v>4451</v>
      </c>
      <c r="AE4186" s="127">
        <v>8</v>
      </c>
      <c r="DA4186" s="122" t="s">
        <v>236</v>
      </c>
      <c r="DB4186" s="122" t="s">
        <v>8367</v>
      </c>
      <c r="DC4186" s="122" t="s">
        <v>1241</v>
      </c>
      <c r="DD4186" s="127">
        <v>2</v>
      </c>
      <c r="DE4186" s="127">
        <v>2</v>
      </c>
      <c r="DG4186" s="405" t="s">
        <v>236</v>
      </c>
      <c r="DH4186" s="406" t="s">
        <v>1241</v>
      </c>
      <c r="DI4186" s="406" t="str">
        <f t="shared" si="97"/>
        <v>RS, Nicolau Vergueiro</v>
      </c>
      <c r="DJ4186" s="406">
        <v>-28.536000000000001</v>
      </c>
      <c r="DK4186" s="80">
        <v>-52.463999999999999</v>
      </c>
      <c r="DL4186" s="80">
        <v>567</v>
      </c>
      <c r="DM4186" s="64">
        <v>2</v>
      </c>
      <c r="DN4186" s="406" t="s">
        <v>8208</v>
      </c>
      <c r="DO4186" s="406">
        <v>-28.26</v>
      </c>
      <c r="DP4186" s="80">
        <v>684</v>
      </c>
    </row>
    <row r="4187" spans="29:120" x14ac:dyDescent="0.25">
      <c r="AC4187" s="122" t="s">
        <v>372</v>
      </c>
      <c r="AD4187" s="122" t="s">
        <v>4452</v>
      </c>
      <c r="AE4187" s="127">
        <v>8</v>
      </c>
      <c r="DA4187" s="122" t="s">
        <v>236</v>
      </c>
      <c r="DB4187" s="122" t="s">
        <v>1614</v>
      </c>
      <c r="DC4187" s="122" t="s">
        <v>1614</v>
      </c>
      <c r="DD4187" s="127">
        <v>2</v>
      </c>
      <c r="DE4187" s="127">
        <v>2</v>
      </c>
      <c r="DG4187" s="405" t="s">
        <v>236</v>
      </c>
      <c r="DH4187" s="406" t="s">
        <v>1614</v>
      </c>
      <c r="DI4187" s="406" t="str">
        <f t="shared" si="97"/>
        <v>RS, Nonoai</v>
      </c>
      <c r="DJ4187" s="406">
        <v>-27.361999999999998</v>
      </c>
      <c r="DK4187" s="80">
        <v>-52.771000000000001</v>
      </c>
      <c r="DL4187" s="80">
        <v>584</v>
      </c>
      <c r="DM4187" s="64">
        <v>2</v>
      </c>
      <c r="DN4187" s="406" t="s">
        <v>8228</v>
      </c>
      <c r="DO4187" s="406">
        <v>-27.63</v>
      </c>
      <c r="DP4187" s="80">
        <v>765</v>
      </c>
    </row>
    <row r="4188" spans="29:120" x14ac:dyDescent="0.25">
      <c r="AC4188" s="122" t="s">
        <v>268</v>
      </c>
      <c r="AD4188" s="122" t="s">
        <v>4453</v>
      </c>
      <c r="AE4188" s="127">
        <v>8</v>
      </c>
      <c r="DA4188" s="122" t="s">
        <v>236</v>
      </c>
      <c r="DB4188" s="122" t="s">
        <v>8368</v>
      </c>
      <c r="DC4188" s="122" t="s">
        <v>1515</v>
      </c>
      <c r="DD4188" s="127">
        <v>2</v>
      </c>
      <c r="DE4188" s="127">
        <v>2</v>
      </c>
      <c r="DG4188" s="405" t="s">
        <v>236</v>
      </c>
      <c r="DH4188" s="406" t="s">
        <v>1515</v>
      </c>
      <c r="DI4188" s="406" t="str">
        <f t="shared" si="97"/>
        <v>RS, Nova Alvorada</v>
      </c>
      <c r="DJ4188" s="406">
        <v>-28.678000000000001</v>
      </c>
      <c r="DK4188" s="80">
        <v>-52.165999999999997</v>
      </c>
      <c r="DL4188" s="80">
        <v>427</v>
      </c>
      <c r="DM4188" s="64">
        <v>2</v>
      </c>
      <c r="DN4188" s="406" t="s">
        <v>8216</v>
      </c>
      <c r="DO4188" s="406">
        <v>-28.85</v>
      </c>
      <c r="DP4188" s="80">
        <v>667</v>
      </c>
    </row>
    <row r="4189" spans="29:120" x14ac:dyDescent="0.25">
      <c r="AC4189" s="122" t="s">
        <v>372</v>
      </c>
      <c r="AD4189" s="122" t="s">
        <v>4454</v>
      </c>
      <c r="AE4189" s="127">
        <v>8</v>
      </c>
      <c r="DA4189" s="122" t="s">
        <v>236</v>
      </c>
      <c r="DB4189" s="122" t="s">
        <v>8369</v>
      </c>
      <c r="DC4189" s="122" t="s">
        <v>1499</v>
      </c>
      <c r="DD4189" s="127">
        <v>2</v>
      </c>
      <c r="DE4189" s="127">
        <v>2</v>
      </c>
      <c r="DG4189" s="405" t="s">
        <v>236</v>
      </c>
      <c r="DH4189" s="406" t="s">
        <v>1499</v>
      </c>
      <c r="DI4189" s="406" t="str">
        <f t="shared" si="97"/>
        <v>RS, Nova Araçá</v>
      </c>
      <c r="DJ4189" s="406">
        <v>-28.658999999999999</v>
      </c>
      <c r="DK4189" s="80">
        <v>-51.744999999999997</v>
      </c>
      <c r="DL4189" s="80">
        <v>597</v>
      </c>
      <c r="DM4189" s="64">
        <v>2</v>
      </c>
      <c r="DN4189" s="406" t="s">
        <v>8224</v>
      </c>
      <c r="DO4189" s="406">
        <v>-28.22</v>
      </c>
      <c r="DP4189" s="80">
        <v>842</v>
      </c>
    </row>
    <row r="4190" spans="29:120" x14ac:dyDescent="0.25">
      <c r="AC4190" s="122" t="s">
        <v>279</v>
      </c>
      <c r="AD4190" s="122" t="s">
        <v>4455</v>
      </c>
      <c r="AE4190" s="127">
        <v>8</v>
      </c>
      <c r="DA4190" s="122" t="s">
        <v>236</v>
      </c>
      <c r="DB4190" s="122" t="s">
        <v>8370</v>
      </c>
      <c r="DC4190" s="122" t="s">
        <v>1504</v>
      </c>
      <c r="DD4190" s="127">
        <v>2</v>
      </c>
      <c r="DE4190" s="127">
        <v>2</v>
      </c>
      <c r="DG4190" s="405" t="s">
        <v>236</v>
      </c>
      <c r="DH4190" s="406" t="s">
        <v>1504</v>
      </c>
      <c r="DI4190" s="406" t="str">
        <f t="shared" si="97"/>
        <v>RS, Nova Bassano</v>
      </c>
      <c r="DJ4190" s="406">
        <v>-28.724</v>
      </c>
      <c r="DK4190" s="80">
        <v>-51.704999999999998</v>
      </c>
      <c r="DL4190" s="80">
        <v>563</v>
      </c>
      <c r="DM4190" s="64">
        <v>2</v>
      </c>
      <c r="DN4190" s="406" t="s">
        <v>8218</v>
      </c>
      <c r="DO4190" s="406">
        <v>-29.17</v>
      </c>
      <c r="DP4190" s="80">
        <v>640</v>
      </c>
    </row>
    <row r="4191" spans="29:120" x14ac:dyDescent="0.25">
      <c r="AC4191" s="122" t="s">
        <v>344</v>
      </c>
      <c r="AD4191" s="122" t="s">
        <v>4456</v>
      </c>
      <c r="AE4191" s="127">
        <v>8</v>
      </c>
      <c r="DA4191" s="122" t="s">
        <v>236</v>
      </c>
      <c r="DB4191" s="122" t="s">
        <v>8371</v>
      </c>
      <c r="DC4191" s="122" t="s">
        <v>1360</v>
      </c>
      <c r="DD4191" s="127">
        <v>2</v>
      </c>
      <c r="DE4191" s="127">
        <v>2</v>
      </c>
      <c r="DG4191" s="405" t="s">
        <v>236</v>
      </c>
      <c r="DH4191" s="406" t="s">
        <v>1360</v>
      </c>
      <c r="DI4191" s="406" t="str">
        <f t="shared" si="97"/>
        <v>RS, Nova Boa Vista</v>
      </c>
      <c r="DJ4191" s="406">
        <v>-27.994</v>
      </c>
      <c r="DK4191" s="80">
        <v>-52.978999999999999</v>
      </c>
      <c r="DL4191" s="80">
        <v>435</v>
      </c>
      <c r="DM4191" s="64">
        <v>2</v>
      </c>
      <c r="DN4191" s="406" t="s">
        <v>8214</v>
      </c>
      <c r="DO4191" s="406">
        <v>-27.92</v>
      </c>
      <c r="DP4191" s="80">
        <v>642</v>
      </c>
    </row>
    <row r="4192" spans="29:120" x14ac:dyDescent="0.25">
      <c r="AC4192" s="122" t="s">
        <v>279</v>
      </c>
      <c r="AD4192" s="122" t="s">
        <v>4457</v>
      </c>
      <c r="AE4192" s="127">
        <v>8</v>
      </c>
      <c r="DA4192" s="122" t="s">
        <v>236</v>
      </c>
      <c r="DB4192" s="122" t="s">
        <v>8372</v>
      </c>
      <c r="DC4192" s="122" t="s">
        <v>1441</v>
      </c>
      <c r="DD4192" s="127">
        <v>2</v>
      </c>
      <c r="DE4192" s="127">
        <v>2</v>
      </c>
      <c r="DG4192" s="405" t="s">
        <v>236</v>
      </c>
      <c r="DH4192" s="406" t="s">
        <v>1441</v>
      </c>
      <c r="DI4192" s="406" t="str">
        <f t="shared" si="97"/>
        <v>RS, Nova Bréscia</v>
      </c>
      <c r="DJ4192" s="406">
        <v>-29.213999999999999</v>
      </c>
      <c r="DK4192" s="80">
        <v>-52.027999999999999</v>
      </c>
      <c r="DL4192" s="80">
        <v>322</v>
      </c>
      <c r="DM4192" s="64">
        <v>2</v>
      </c>
      <c r="DN4192" s="406" t="s">
        <v>8218</v>
      </c>
      <c r="DO4192" s="406">
        <v>-29.17</v>
      </c>
      <c r="DP4192" s="80">
        <v>640</v>
      </c>
    </row>
    <row r="4193" spans="29:120" x14ac:dyDescent="0.25">
      <c r="AC4193" s="122" t="s">
        <v>279</v>
      </c>
      <c r="AD4193" s="122" t="s">
        <v>4458</v>
      </c>
      <c r="AE4193" s="127">
        <v>8</v>
      </c>
      <c r="DA4193" s="122" t="s">
        <v>236</v>
      </c>
      <c r="DB4193" s="122" t="s">
        <v>8373</v>
      </c>
      <c r="DC4193" s="122" t="s">
        <v>3151</v>
      </c>
      <c r="DD4193" s="127">
        <v>2</v>
      </c>
      <c r="DE4193" s="127">
        <v>2</v>
      </c>
      <c r="DG4193" s="405" t="s">
        <v>236</v>
      </c>
      <c r="DH4193" s="406" t="s">
        <v>3151</v>
      </c>
      <c r="DI4193" s="406" t="str">
        <f t="shared" si="97"/>
        <v>RS, Nova Candelária</v>
      </c>
      <c r="DJ4193" s="406">
        <v>-27.606999999999999</v>
      </c>
      <c r="DK4193" s="80">
        <v>-54.106999999999999</v>
      </c>
      <c r="DL4193" s="80">
        <v>303</v>
      </c>
      <c r="DM4193" s="64">
        <v>2</v>
      </c>
      <c r="DN4193" s="406" t="s">
        <v>8210</v>
      </c>
      <c r="DO4193" s="406">
        <v>-27.85</v>
      </c>
      <c r="DP4193" s="80">
        <v>550</v>
      </c>
    </row>
    <row r="4194" spans="29:120" x14ac:dyDescent="0.25">
      <c r="AC4194" s="122" t="s">
        <v>328</v>
      </c>
      <c r="AD4194" s="122" t="s">
        <v>4459</v>
      </c>
      <c r="AE4194" s="127">
        <v>8</v>
      </c>
      <c r="DA4194" s="122" t="s">
        <v>236</v>
      </c>
      <c r="DB4194" s="122" t="s">
        <v>8374</v>
      </c>
      <c r="DC4194" s="122" t="s">
        <v>1553</v>
      </c>
      <c r="DD4194" s="127">
        <v>2</v>
      </c>
      <c r="DE4194" s="127">
        <v>2</v>
      </c>
      <c r="DG4194" s="405" t="s">
        <v>236</v>
      </c>
      <c r="DH4194" s="406" t="s">
        <v>1553</v>
      </c>
      <c r="DI4194" s="406" t="str">
        <f t="shared" si="97"/>
        <v>RS, Nova Esperança do Sul</v>
      </c>
      <c r="DJ4194" s="406">
        <v>-29.41</v>
      </c>
      <c r="DK4194" s="80">
        <v>-54.829000000000001</v>
      </c>
      <c r="DL4194" s="80">
        <v>318</v>
      </c>
      <c r="DM4194" s="64">
        <v>2</v>
      </c>
      <c r="DN4194" s="406" t="s">
        <v>8283</v>
      </c>
      <c r="DO4194" s="406">
        <v>-29.19</v>
      </c>
      <c r="DP4194" s="80">
        <v>394</v>
      </c>
    </row>
    <row r="4195" spans="29:120" x14ac:dyDescent="0.25">
      <c r="AC4195" s="122" t="s">
        <v>268</v>
      </c>
      <c r="AD4195" s="122" t="s">
        <v>4460</v>
      </c>
      <c r="AE4195" s="127">
        <v>8</v>
      </c>
      <c r="DA4195" s="122" t="s">
        <v>236</v>
      </c>
      <c r="DB4195" s="122" t="s">
        <v>8375</v>
      </c>
      <c r="DC4195" s="122" t="s">
        <v>1182</v>
      </c>
      <c r="DD4195" s="127">
        <v>2</v>
      </c>
      <c r="DE4195" s="127">
        <v>2</v>
      </c>
      <c r="DG4195" s="405" t="s">
        <v>236</v>
      </c>
      <c r="DH4195" s="406" t="s">
        <v>1182</v>
      </c>
      <c r="DI4195" s="406" t="str">
        <f t="shared" si="97"/>
        <v>RS, Nova Hartz</v>
      </c>
      <c r="DJ4195" s="406">
        <v>-29.582999999999998</v>
      </c>
      <c r="DK4195" s="80">
        <v>-50.902000000000001</v>
      </c>
      <c r="DL4195" s="80">
        <v>36</v>
      </c>
      <c r="DM4195" s="64">
        <v>2</v>
      </c>
      <c r="DN4195" s="406" t="s">
        <v>8227</v>
      </c>
      <c r="DO4195" s="406">
        <v>-29.37</v>
      </c>
      <c r="DP4195" s="80">
        <v>830</v>
      </c>
    </row>
    <row r="4196" spans="29:120" x14ac:dyDescent="0.25">
      <c r="AC4196" s="122" t="s">
        <v>279</v>
      </c>
      <c r="AD4196" s="122" t="s">
        <v>4461</v>
      </c>
      <c r="AE4196" s="127">
        <v>8</v>
      </c>
      <c r="DA4196" s="122" t="s">
        <v>236</v>
      </c>
      <c r="DB4196" s="122" t="s">
        <v>8376</v>
      </c>
      <c r="DC4196" s="122" t="s">
        <v>1255</v>
      </c>
      <c r="DD4196" s="127">
        <v>1</v>
      </c>
      <c r="DE4196" s="127">
        <v>1</v>
      </c>
      <c r="DG4196" s="405" t="s">
        <v>236</v>
      </c>
      <c r="DH4196" s="406" t="s">
        <v>1255</v>
      </c>
      <c r="DI4196" s="406" t="str">
        <f t="shared" si="97"/>
        <v>RS, Nova Pádua</v>
      </c>
      <c r="DJ4196" s="406">
        <v>-29.029</v>
      </c>
      <c r="DK4196" s="80">
        <v>-51.307000000000002</v>
      </c>
      <c r="DL4196" s="80">
        <v>638</v>
      </c>
      <c r="DM4196" s="64">
        <v>1</v>
      </c>
      <c r="DN4196" s="406" t="s">
        <v>8218</v>
      </c>
      <c r="DO4196" s="406">
        <v>-29.17</v>
      </c>
      <c r="DP4196" s="80">
        <v>640</v>
      </c>
    </row>
    <row r="4197" spans="29:120" x14ac:dyDescent="0.25">
      <c r="AC4197" s="122" t="s">
        <v>279</v>
      </c>
      <c r="AD4197" s="122" t="s">
        <v>4462</v>
      </c>
      <c r="AE4197" s="127">
        <v>8</v>
      </c>
      <c r="DA4197" s="122" t="s">
        <v>236</v>
      </c>
      <c r="DB4197" s="122" t="s">
        <v>8377</v>
      </c>
      <c r="DC4197" s="122" t="s">
        <v>1639</v>
      </c>
      <c r="DD4197" s="127">
        <v>2</v>
      </c>
      <c r="DE4197" s="127">
        <v>2</v>
      </c>
      <c r="DG4197" s="405" t="s">
        <v>236</v>
      </c>
      <c r="DH4197" s="406" t="s">
        <v>1639</v>
      </c>
      <c r="DI4197" s="406" t="str">
        <f t="shared" si="97"/>
        <v>RS, Nova Palma</v>
      </c>
      <c r="DJ4197" s="406">
        <v>-29.472000000000001</v>
      </c>
      <c r="DK4197" s="80">
        <v>-53.469000000000001</v>
      </c>
      <c r="DL4197" s="80">
        <v>117</v>
      </c>
      <c r="DM4197" s="64">
        <v>2</v>
      </c>
      <c r="DN4197" s="406" t="s">
        <v>8209</v>
      </c>
      <c r="DO4197" s="406">
        <v>-29.68</v>
      </c>
      <c r="DP4197" s="80">
        <v>95</v>
      </c>
    </row>
    <row r="4198" spans="29:120" x14ac:dyDescent="0.25">
      <c r="AC4198" s="122" t="s">
        <v>372</v>
      </c>
      <c r="AD4198" s="122" t="s">
        <v>3190</v>
      </c>
      <c r="AE4198" s="127">
        <v>8</v>
      </c>
      <c r="DA4198" s="122" t="s">
        <v>236</v>
      </c>
      <c r="DB4198" s="122" t="s">
        <v>8378</v>
      </c>
      <c r="DC4198" s="122" t="s">
        <v>1266</v>
      </c>
      <c r="DD4198" s="127">
        <v>1</v>
      </c>
      <c r="DE4198" s="127">
        <v>1</v>
      </c>
      <c r="DG4198" s="405" t="s">
        <v>236</v>
      </c>
      <c r="DH4198" s="406" t="s">
        <v>1266</v>
      </c>
      <c r="DI4198" s="406" t="str">
        <f t="shared" si="97"/>
        <v>RS, Nova Petrópolis</v>
      </c>
      <c r="DJ4198" s="406">
        <v>-29.376000000000001</v>
      </c>
      <c r="DK4198" s="80">
        <v>-51.113999999999997</v>
      </c>
      <c r="DL4198" s="80">
        <v>579</v>
      </c>
      <c r="DM4198" s="64">
        <v>1</v>
      </c>
      <c r="DN4198" s="406" t="s">
        <v>8227</v>
      </c>
      <c r="DO4198" s="406">
        <v>-29.37</v>
      </c>
      <c r="DP4198" s="80">
        <v>830</v>
      </c>
    </row>
    <row r="4199" spans="29:120" x14ac:dyDescent="0.25">
      <c r="AC4199" s="122" t="s">
        <v>340</v>
      </c>
      <c r="AD4199" s="122" t="s">
        <v>4463</v>
      </c>
      <c r="AE4199" s="127">
        <v>8</v>
      </c>
      <c r="DA4199" s="122" t="s">
        <v>236</v>
      </c>
      <c r="DB4199" s="122" t="s">
        <v>8379</v>
      </c>
      <c r="DC4199" s="122" t="s">
        <v>1197</v>
      </c>
      <c r="DD4199" s="127">
        <v>2</v>
      </c>
      <c r="DE4199" s="127">
        <v>2</v>
      </c>
      <c r="DG4199" s="405" t="s">
        <v>236</v>
      </c>
      <c r="DH4199" s="406" t="s">
        <v>1197</v>
      </c>
      <c r="DI4199" s="406" t="str">
        <f t="shared" si="97"/>
        <v>RS, Nova Prata</v>
      </c>
      <c r="DJ4199" s="406">
        <v>-28.783999999999999</v>
      </c>
      <c r="DK4199" s="80">
        <v>-51.61</v>
      </c>
      <c r="DL4199" s="80">
        <v>662</v>
      </c>
      <c r="DM4199" s="64">
        <v>2</v>
      </c>
      <c r="DN4199" s="406" t="s">
        <v>8218</v>
      </c>
      <c r="DO4199" s="406">
        <v>-29.17</v>
      </c>
      <c r="DP4199" s="80">
        <v>640</v>
      </c>
    </row>
    <row r="4200" spans="29:120" x14ac:dyDescent="0.25">
      <c r="AC4200" s="122" t="s">
        <v>340</v>
      </c>
      <c r="AD4200" s="122" t="s">
        <v>4464</v>
      </c>
      <c r="AE4200" s="127">
        <v>8</v>
      </c>
      <c r="DA4200" s="122" t="s">
        <v>236</v>
      </c>
      <c r="DB4200" s="122" t="s">
        <v>8380</v>
      </c>
      <c r="DC4200" s="122" t="s">
        <v>1724</v>
      </c>
      <c r="DD4200" s="127">
        <v>2</v>
      </c>
      <c r="DE4200" s="127">
        <v>2</v>
      </c>
      <c r="DG4200" s="405" t="s">
        <v>236</v>
      </c>
      <c r="DH4200" s="406" t="s">
        <v>1724</v>
      </c>
      <c r="DI4200" s="406" t="str">
        <f t="shared" si="97"/>
        <v>RS, Nova Ramada</v>
      </c>
      <c r="DJ4200" s="406">
        <v>-28.064</v>
      </c>
      <c r="DK4200" s="80">
        <v>-53.697000000000003</v>
      </c>
      <c r="DL4200" s="80">
        <v>511</v>
      </c>
      <c r="DM4200" s="64">
        <v>2</v>
      </c>
      <c r="DN4200" s="406" t="s">
        <v>8210</v>
      </c>
      <c r="DO4200" s="406">
        <v>-27.85</v>
      </c>
      <c r="DP4200" s="80">
        <v>550</v>
      </c>
    </row>
    <row r="4201" spans="29:120" x14ac:dyDescent="0.25">
      <c r="AC4201" s="122" t="s">
        <v>372</v>
      </c>
      <c r="AD4201" s="122" t="s">
        <v>4465</v>
      </c>
      <c r="AE4201" s="127">
        <v>8</v>
      </c>
      <c r="DA4201" s="122" t="s">
        <v>236</v>
      </c>
      <c r="DB4201" s="122" t="s">
        <v>8381</v>
      </c>
      <c r="DC4201" s="122" t="s">
        <v>1253</v>
      </c>
      <c r="DD4201" s="127">
        <v>1</v>
      </c>
      <c r="DE4201" s="127">
        <v>1</v>
      </c>
      <c r="DG4201" s="405" t="s">
        <v>236</v>
      </c>
      <c r="DH4201" s="406" t="s">
        <v>1253</v>
      </c>
      <c r="DI4201" s="406" t="str">
        <f t="shared" si="97"/>
        <v>RS, Nova Roma do Sul</v>
      </c>
      <c r="DJ4201" s="406">
        <v>-28.99</v>
      </c>
      <c r="DK4201" s="80">
        <v>-51.408000000000001</v>
      </c>
      <c r="DL4201" s="80">
        <v>591</v>
      </c>
      <c r="DM4201" s="64">
        <v>1</v>
      </c>
      <c r="DN4201" s="406" t="s">
        <v>8218</v>
      </c>
      <c r="DO4201" s="406">
        <v>-29.17</v>
      </c>
      <c r="DP4201" s="80">
        <v>640</v>
      </c>
    </row>
    <row r="4202" spans="29:120" x14ac:dyDescent="0.25">
      <c r="AC4202" s="122" t="s">
        <v>289</v>
      </c>
      <c r="AD4202" s="122" t="s">
        <v>4466</v>
      </c>
      <c r="AE4202" s="127">
        <v>6</v>
      </c>
      <c r="DA4202" s="122" t="s">
        <v>236</v>
      </c>
      <c r="DB4202" s="122" t="s">
        <v>7743</v>
      </c>
      <c r="DC4202" s="122" t="s">
        <v>1202</v>
      </c>
      <c r="DD4202" s="127">
        <v>3</v>
      </c>
      <c r="DE4202" s="127">
        <v>3</v>
      </c>
      <c r="DG4202" s="405" t="s">
        <v>236</v>
      </c>
      <c r="DH4202" s="406" t="s">
        <v>1202</v>
      </c>
      <c r="DI4202" s="406" t="str">
        <f t="shared" si="97"/>
        <v>RS, Nova Santa Rita</v>
      </c>
      <c r="DJ4202" s="406">
        <v>-29.856999999999999</v>
      </c>
      <c r="DK4202" s="80">
        <v>-51.274000000000001</v>
      </c>
      <c r="DL4202" s="80">
        <v>63</v>
      </c>
      <c r="DM4202" s="64">
        <v>3</v>
      </c>
      <c r="DN4202" s="406" t="s">
        <v>8219</v>
      </c>
      <c r="DO4202" s="406">
        <v>-30.03</v>
      </c>
      <c r="DP4202" s="80">
        <v>47</v>
      </c>
    </row>
    <row r="4203" spans="29:120" x14ac:dyDescent="0.25">
      <c r="AC4203" s="122" t="s">
        <v>289</v>
      </c>
      <c r="AD4203" s="122" t="s">
        <v>4467</v>
      </c>
      <c r="AE4203" s="127">
        <v>7</v>
      </c>
      <c r="DA4203" s="122" t="s">
        <v>236</v>
      </c>
      <c r="DB4203" s="122" t="s">
        <v>8382</v>
      </c>
      <c r="DC4203" s="122" t="s">
        <v>1363</v>
      </c>
      <c r="DD4203" s="127">
        <v>2</v>
      </c>
      <c r="DE4203" s="127">
        <v>2</v>
      </c>
      <c r="DG4203" s="405" t="s">
        <v>236</v>
      </c>
      <c r="DH4203" s="406" t="s">
        <v>1363</v>
      </c>
      <c r="DI4203" s="406" t="str">
        <f t="shared" si="97"/>
        <v>RS, Novo Barreiro</v>
      </c>
      <c r="DJ4203" s="406">
        <v>-27.908999999999999</v>
      </c>
      <c r="DK4203" s="80">
        <v>-53.107999999999997</v>
      </c>
      <c r="DL4203" s="80">
        <v>449</v>
      </c>
      <c r="DM4203" s="64">
        <v>2</v>
      </c>
      <c r="DN4203" s="406" t="s">
        <v>8214</v>
      </c>
      <c r="DO4203" s="406">
        <v>-27.92</v>
      </c>
      <c r="DP4203" s="80">
        <v>642</v>
      </c>
    </row>
    <row r="4204" spans="29:120" x14ac:dyDescent="0.25">
      <c r="AC4204" s="122" t="s">
        <v>322</v>
      </c>
      <c r="AD4204" s="122" t="s">
        <v>4468</v>
      </c>
      <c r="AE4204" s="127">
        <v>7</v>
      </c>
      <c r="DA4204" s="122" t="s">
        <v>236</v>
      </c>
      <c r="DB4204" s="122" t="s">
        <v>8383</v>
      </c>
      <c r="DC4204" s="122" t="s">
        <v>1669</v>
      </c>
      <c r="DD4204" s="127">
        <v>2</v>
      </c>
      <c r="DE4204" s="127">
        <v>2</v>
      </c>
      <c r="DG4204" s="405" t="s">
        <v>236</v>
      </c>
      <c r="DH4204" s="406" t="s">
        <v>1669</v>
      </c>
      <c r="DI4204" s="406" t="str">
        <f t="shared" si="97"/>
        <v>RS, Novo Cabrais</v>
      </c>
      <c r="DJ4204" s="406">
        <v>-29.734999999999999</v>
      </c>
      <c r="DK4204" s="80">
        <v>-52.948</v>
      </c>
      <c r="DL4204" s="80">
        <v>50</v>
      </c>
      <c r="DM4204" s="64">
        <v>2</v>
      </c>
      <c r="DN4204" s="406" t="s">
        <v>8263</v>
      </c>
      <c r="DO4204" s="406">
        <v>-29.87</v>
      </c>
      <c r="DP4204" s="80">
        <v>111</v>
      </c>
    </row>
    <row r="4205" spans="29:120" x14ac:dyDescent="0.25">
      <c r="AC4205" s="122" t="s">
        <v>357</v>
      </c>
      <c r="AD4205" s="122" t="s">
        <v>4469</v>
      </c>
      <c r="AE4205" s="127">
        <v>7</v>
      </c>
      <c r="DA4205" s="122" t="s">
        <v>236</v>
      </c>
      <c r="DB4205" s="122" t="s">
        <v>8384</v>
      </c>
      <c r="DC4205" s="122" t="s">
        <v>1234</v>
      </c>
      <c r="DD4205" s="127">
        <v>2</v>
      </c>
      <c r="DE4205" s="127">
        <v>2</v>
      </c>
      <c r="DG4205" s="405" t="s">
        <v>236</v>
      </c>
      <c r="DH4205" s="406" t="s">
        <v>1234</v>
      </c>
      <c r="DI4205" s="406" t="str">
        <f t="shared" si="97"/>
        <v>RS, Novo Hamburgo</v>
      </c>
      <c r="DJ4205" s="406">
        <v>-29.678000000000001</v>
      </c>
      <c r="DK4205" s="80">
        <v>-51.131</v>
      </c>
      <c r="DL4205" s="80">
        <v>57</v>
      </c>
      <c r="DM4205" s="64">
        <v>2</v>
      </c>
      <c r="DN4205" s="406" t="s">
        <v>8219</v>
      </c>
      <c r="DO4205" s="406">
        <v>-30.03</v>
      </c>
      <c r="DP4205" s="80">
        <v>47</v>
      </c>
    </row>
    <row r="4206" spans="29:120" x14ac:dyDescent="0.25">
      <c r="AC4206" s="122" t="s">
        <v>322</v>
      </c>
      <c r="AD4206" s="122" t="s">
        <v>4470</v>
      </c>
      <c r="AE4206" s="127">
        <v>7</v>
      </c>
      <c r="DA4206" s="122" t="s">
        <v>236</v>
      </c>
      <c r="DB4206" s="122" t="s">
        <v>8385</v>
      </c>
      <c r="DC4206" s="122" t="s">
        <v>3095</v>
      </c>
      <c r="DD4206" s="127">
        <v>2</v>
      </c>
      <c r="DE4206" s="127">
        <v>2</v>
      </c>
      <c r="DG4206" s="405" t="s">
        <v>236</v>
      </c>
      <c r="DH4206" s="406" t="s">
        <v>3095</v>
      </c>
      <c r="DI4206" s="406" t="str">
        <f t="shared" si="97"/>
        <v>RS, Novo Machado</v>
      </c>
      <c r="DJ4206" s="406">
        <v>-27.574000000000002</v>
      </c>
      <c r="DK4206" s="80">
        <v>-54.505000000000003</v>
      </c>
      <c r="DL4206" s="80">
        <v>256</v>
      </c>
      <c r="DM4206" s="64">
        <v>2</v>
      </c>
      <c r="DN4206" s="406" t="s">
        <v>8210</v>
      </c>
      <c r="DO4206" s="406">
        <v>-27.85</v>
      </c>
      <c r="DP4206" s="80">
        <v>550</v>
      </c>
    </row>
    <row r="4207" spans="29:120" x14ac:dyDescent="0.25">
      <c r="AC4207" s="122" t="s">
        <v>357</v>
      </c>
      <c r="AD4207" s="122" t="s">
        <v>4471</v>
      </c>
      <c r="AE4207" s="127">
        <v>7</v>
      </c>
      <c r="DA4207" s="122" t="s">
        <v>236</v>
      </c>
      <c r="DB4207" s="122" t="s">
        <v>8386</v>
      </c>
      <c r="DC4207" s="122" t="s">
        <v>1696</v>
      </c>
      <c r="DD4207" s="127">
        <v>2</v>
      </c>
      <c r="DE4207" s="127">
        <v>2</v>
      </c>
      <c r="DG4207" s="405" t="s">
        <v>236</v>
      </c>
      <c r="DH4207" s="406" t="s">
        <v>1696</v>
      </c>
      <c r="DI4207" s="406" t="str">
        <f t="shared" si="97"/>
        <v>RS, Novo Tiradentes</v>
      </c>
      <c r="DJ4207" s="406">
        <v>-27.562999999999999</v>
      </c>
      <c r="DK4207" s="80">
        <v>-53.182000000000002</v>
      </c>
      <c r="DL4207" s="80">
        <v>384</v>
      </c>
      <c r="DM4207" s="64">
        <v>2</v>
      </c>
      <c r="DN4207" s="406" t="s">
        <v>8215</v>
      </c>
      <c r="DO4207" s="406">
        <v>-27.4</v>
      </c>
      <c r="DP4207" s="80">
        <v>490</v>
      </c>
    </row>
    <row r="4208" spans="29:120" x14ac:dyDescent="0.25">
      <c r="AC4208" s="122" t="s">
        <v>357</v>
      </c>
      <c r="AD4208" s="122" t="s">
        <v>4472</v>
      </c>
      <c r="AE4208" s="127">
        <v>7</v>
      </c>
      <c r="DA4208" s="122" t="s">
        <v>236</v>
      </c>
      <c r="DB4208" s="122" t="s">
        <v>8387</v>
      </c>
      <c r="DC4208" s="122" t="s">
        <v>1708</v>
      </c>
      <c r="DD4208" s="127">
        <v>2</v>
      </c>
      <c r="DE4208" s="127">
        <v>2</v>
      </c>
      <c r="DG4208" s="405" t="s">
        <v>236</v>
      </c>
      <c r="DH4208" s="406" t="s">
        <v>1708</v>
      </c>
      <c r="DI4208" s="406" t="str">
        <f t="shared" si="97"/>
        <v>RS, Novo Xingu</v>
      </c>
      <c r="DJ4208" s="406">
        <v>-27.747</v>
      </c>
      <c r="DK4208" s="80">
        <v>-53.054000000000002</v>
      </c>
      <c r="DL4208" s="80">
        <v>372</v>
      </c>
      <c r="DM4208" s="64">
        <v>2</v>
      </c>
      <c r="DN4208" s="406" t="s">
        <v>8214</v>
      </c>
      <c r="DO4208" s="406">
        <v>-27.92</v>
      </c>
      <c r="DP4208" s="80">
        <v>642</v>
      </c>
    </row>
    <row r="4209" spans="29:120" x14ac:dyDescent="0.25">
      <c r="AC4209" s="122" t="s">
        <v>357</v>
      </c>
      <c r="AD4209" s="122" t="s">
        <v>4473</v>
      </c>
      <c r="AE4209" s="127">
        <v>7</v>
      </c>
      <c r="DA4209" s="122" t="s">
        <v>236</v>
      </c>
      <c r="DB4209" s="122" t="s">
        <v>1147</v>
      </c>
      <c r="DC4209" s="122" t="s">
        <v>1147</v>
      </c>
      <c r="DD4209" s="127">
        <v>2</v>
      </c>
      <c r="DE4209" s="127">
        <v>2</v>
      </c>
      <c r="DG4209" s="405" t="s">
        <v>236</v>
      </c>
      <c r="DH4209" s="406" t="s">
        <v>1147</v>
      </c>
      <c r="DI4209" s="406" t="str">
        <f t="shared" si="97"/>
        <v>RS, Osório</v>
      </c>
      <c r="DJ4209" s="406">
        <v>-29.887</v>
      </c>
      <c r="DK4209" s="80">
        <v>-50.27</v>
      </c>
      <c r="DL4209" s="80">
        <v>16</v>
      </c>
      <c r="DM4209" s="64">
        <v>2</v>
      </c>
      <c r="DN4209" s="406" t="s">
        <v>8241</v>
      </c>
      <c r="DO4209" s="406">
        <v>-30.01</v>
      </c>
      <c r="DP4209" s="80">
        <v>1</v>
      </c>
    </row>
    <row r="4210" spans="29:120" x14ac:dyDescent="0.25">
      <c r="AC4210" s="122" t="s">
        <v>357</v>
      </c>
      <c r="AD4210" s="122" t="s">
        <v>4474</v>
      </c>
      <c r="AE4210" s="127">
        <v>7</v>
      </c>
      <c r="DA4210" s="122" t="s">
        <v>236</v>
      </c>
      <c r="DB4210" s="122" t="s">
        <v>8388</v>
      </c>
      <c r="DC4210" s="122" t="s">
        <v>1634</v>
      </c>
      <c r="DD4210" s="127">
        <v>2</v>
      </c>
      <c r="DE4210" s="127">
        <v>2</v>
      </c>
      <c r="DG4210" s="405" t="s">
        <v>236</v>
      </c>
      <c r="DH4210" s="406" t="s">
        <v>1634</v>
      </c>
      <c r="DI4210" s="406" t="str">
        <f t="shared" si="97"/>
        <v>RS, Paim Filho</v>
      </c>
      <c r="DJ4210" s="406">
        <v>-27.710999999999999</v>
      </c>
      <c r="DK4210" s="80">
        <v>-51.761000000000003</v>
      </c>
      <c r="DL4210" s="80">
        <v>576</v>
      </c>
      <c r="DM4210" s="64">
        <v>2</v>
      </c>
      <c r="DN4210" s="406" t="s">
        <v>8228</v>
      </c>
      <c r="DO4210" s="406">
        <v>-27.63</v>
      </c>
      <c r="DP4210" s="80">
        <v>765</v>
      </c>
    </row>
    <row r="4211" spans="29:120" x14ac:dyDescent="0.25">
      <c r="AC4211" s="122" t="s">
        <v>268</v>
      </c>
      <c r="AD4211" s="122" t="s">
        <v>4475</v>
      </c>
      <c r="AE4211" s="127">
        <v>8</v>
      </c>
      <c r="DA4211" s="122" t="s">
        <v>236</v>
      </c>
      <c r="DB4211" s="122" t="s">
        <v>8389</v>
      </c>
      <c r="DC4211" s="122" t="s">
        <v>1120</v>
      </c>
      <c r="DD4211" s="127">
        <v>2</v>
      </c>
      <c r="DE4211" s="127">
        <v>2</v>
      </c>
      <c r="DG4211" s="405" t="s">
        <v>236</v>
      </c>
      <c r="DH4211" s="406" t="s">
        <v>1120</v>
      </c>
      <c r="DI4211" s="406" t="str">
        <f t="shared" si="97"/>
        <v>RS, Palmares do Sul</v>
      </c>
      <c r="DJ4211" s="406">
        <v>-30.257999999999999</v>
      </c>
      <c r="DK4211" s="80">
        <v>-50.51</v>
      </c>
      <c r="DL4211" s="80">
        <v>9</v>
      </c>
      <c r="DM4211" s="64">
        <v>2</v>
      </c>
      <c r="DN4211" s="406" t="s">
        <v>8241</v>
      </c>
      <c r="DO4211" s="406">
        <v>-30.01</v>
      </c>
      <c r="DP4211" s="80">
        <v>1</v>
      </c>
    </row>
    <row r="4212" spans="29:120" x14ac:dyDescent="0.25">
      <c r="AC4212" s="122" t="s">
        <v>268</v>
      </c>
      <c r="AD4212" s="122" t="s">
        <v>4476</v>
      </c>
      <c r="AE4212" s="127">
        <v>8</v>
      </c>
      <c r="DA4212" s="122" t="s">
        <v>236</v>
      </c>
      <c r="DB4212" s="122" t="s">
        <v>8390</v>
      </c>
      <c r="DC4212" s="122" t="s">
        <v>1380</v>
      </c>
      <c r="DD4212" s="127">
        <v>2</v>
      </c>
      <c r="DE4212" s="127">
        <v>2</v>
      </c>
      <c r="DG4212" s="405" t="s">
        <v>236</v>
      </c>
      <c r="DH4212" s="406" t="s">
        <v>1380</v>
      </c>
      <c r="DI4212" s="406" t="str">
        <f t="shared" si="97"/>
        <v>RS, Palmeira das Missões</v>
      </c>
      <c r="DJ4212" s="406">
        <v>-27.899000000000001</v>
      </c>
      <c r="DK4212" s="80">
        <v>-53.314</v>
      </c>
      <c r="DL4212" s="80">
        <v>639</v>
      </c>
      <c r="DM4212" s="64">
        <v>2</v>
      </c>
      <c r="DN4212" s="406" t="s">
        <v>8214</v>
      </c>
      <c r="DO4212" s="406">
        <v>-27.92</v>
      </c>
      <c r="DP4212" s="80">
        <v>642</v>
      </c>
    </row>
    <row r="4213" spans="29:120" x14ac:dyDescent="0.25">
      <c r="AC4213" s="122" t="s">
        <v>289</v>
      </c>
      <c r="AD4213" s="122" t="s">
        <v>4477</v>
      </c>
      <c r="AE4213" s="127">
        <v>7</v>
      </c>
      <c r="DA4213" s="122" t="s">
        <v>236</v>
      </c>
      <c r="DB4213" s="122" t="s">
        <v>1671</v>
      </c>
      <c r="DC4213" s="122" t="s">
        <v>1671</v>
      </c>
      <c r="DD4213" s="127">
        <v>2</v>
      </c>
      <c r="DE4213" s="127">
        <v>2</v>
      </c>
      <c r="DG4213" s="405" t="s">
        <v>236</v>
      </c>
      <c r="DH4213" s="406" t="s">
        <v>1671</v>
      </c>
      <c r="DI4213" s="406" t="str">
        <f t="shared" si="97"/>
        <v>RS, Palmitinho</v>
      </c>
      <c r="DJ4213" s="406">
        <v>-27.355</v>
      </c>
      <c r="DK4213" s="80">
        <v>-53.555</v>
      </c>
      <c r="DL4213" s="80">
        <v>516</v>
      </c>
      <c r="DM4213" s="64">
        <v>2</v>
      </c>
      <c r="DN4213" s="406" t="s">
        <v>8215</v>
      </c>
      <c r="DO4213" s="406">
        <v>-27.4</v>
      </c>
      <c r="DP4213" s="80">
        <v>490</v>
      </c>
    </row>
    <row r="4214" spans="29:120" x14ac:dyDescent="0.25">
      <c r="AC4214" s="122" t="s">
        <v>357</v>
      </c>
      <c r="AD4214" s="122" t="s">
        <v>4478</v>
      </c>
      <c r="AE4214" s="127">
        <v>7</v>
      </c>
      <c r="DA4214" s="122" t="s">
        <v>236</v>
      </c>
      <c r="DB4214" s="122" t="s">
        <v>1689</v>
      </c>
      <c r="DC4214" s="122" t="s">
        <v>1689</v>
      </c>
      <c r="DD4214" s="127">
        <v>2</v>
      </c>
      <c r="DE4214" s="127">
        <v>2</v>
      </c>
      <c r="DG4214" s="405" t="s">
        <v>236</v>
      </c>
      <c r="DH4214" s="406" t="s">
        <v>1689</v>
      </c>
      <c r="DI4214" s="406" t="str">
        <f t="shared" si="97"/>
        <v>RS, Panambi</v>
      </c>
      <c r="DJ4214" s="406">
        <v>-28.292999999999999</v>
      </c>
      <c r="DK4214" s="80">
        <v>-53.502000000000002</v>
      </c>
      <c r="DL4214" s="80">
        <v>418</v>
      </c>
      <c r="DM4214" s="64">
        <v>2</v>
      </c>
      <c r="DN4214" s="406" t="s">
        <v>8239</v>
      </c>
      <c r="DO4214" s="406">
        <v>-28.6</v>
      </c>
      <c r="DP4214" s="80">
        <v>432</v>
      </c>
    </row>
    <row r="4215" spans="29:120" x14ac:dyDescent="0.25">
      <c r="AC4215" s="122" t="s">
        <v>357</v>
      </c>
      <c r="AD4215" s="122" t="s">
        <v>4479</v>
      </c>
      <c r="AE4215" s="127">
        <v>7</v>
      </c>
      <c r="DA4215" s="122" t="s">
        <v>236</v>
      </c>
      <c r="DB4215" s="122" t="s">
        <v>8391</v>
      </c>
      <c r="DC4215" s="122" t="s">
        <v>1378</v>
      </c>
      <c r="DD4215" s="127">
        <v>2</v>
      </c>
      <c r="DE4215" s="127">
        <v>2</v>
      </c>
      <c r="DG4215" s="405" t="s">
        <v>236</v>
      </c>
      <c r="DH4215" s="406" t="s">
        <v>5781</v>
      </c>
      <c r="DI4215" s="406" t="str">
        <f t="shared" si="97"/>
        <v>RS, Pantano Grande</v>
      </c>
      <c r="DJ4215" s="406">
        <v>-30.190999999999999</v>
      </c>
      <c r="DK4215" s="80">
        <v>-52.374000000000002</v>
      </c>
      <c r="DL4215" s="80">
        <v>100</v>
      </c>
      <c r="DM4215" s="64">
        <v>2</v>
      </c>
      <c r="DN4215" s="406" t="s">
        <v>8263</v>
      </c>
      <c r="DO4215" s="406">
        <v>-29.87</v>
      </c>
      <c r="DP4215" s="80">
        <v>111</v>
      </c>
    </row>
    <row r="4216" spans="29:120" x14ac:dyDescent="0.25">
      <c r="AC4216" s="122" t="s">
        <v>289</v>
      </c>
      <c r="AD4216" s="122" t="s">
        <v>4480</v>
      </c>
      <c r="AE4216" s="127">
        <v>6</v>
      </c>
      <c r="DA4216" s="122" t="s">
        <v>236</v>
      </c>
      <c r="DB4216" s="122" t="s">
        <v>1524</v>
      </c>
      <c r="DC4216" s="122" t="s">
        <v>1524</v>
      </c>
      <c r="DD4216" s="127">
        <v>2</v>
      </c>
      <c r="DE4216" s="127">
        <v>2</v>
      </c>
      <c r="DG4216" s="405" t="s">
        <v>236</v>
      </c>
      <c r="DH4216" s="406" t="s">
        <v>1524</v>
      </c>
      <c r="DI4216" s="406" t="str">
        <f t="shared" si="97"/>
        <v>RS, Paraí</v>
      </c>
      <c r="DJ4216" s="406">
        <v>-28.594000000000001</v>
      </c>
      <c r="DK4216" s="80">
        <v>-51.786000000000001</v>
      </c>
      <c r="DL4216" s="80">
        <v>657</v>
      </c>
      <c r="DM4216" s="64">
        <v>2</v>
      </c>
      <c r="DN4216" s="406" t="s">
        <v>8224</v>
      </c>
      <c r="DO4216" s="406">
        <v>-28.22</v>
      </c>
      <c r="DP4216" s="80">
        <v>842</v>
      </c>
    </row>
    <row r="4217" spans="29:120" x14ac:dyDescent="0.25">
      <c r="AC4217" s="122" t="s">
        <v>369</v>
      </c>
      <c r="AD4217" s="122" t="s">
        <v>4481</v>
      </c>
      <c r="AE4217" s="127">
        <v>7</v>
      </c>
      <c r="DA4217" s="122" t="s">
        <v>236</v>
      </c>
      <c r="DB4217" s="122" t="s">
        <v>8392</v>
      </c>
      <c r="DC4217" s="122" t="s">
        <v>1681</v>
      </c>
      <c r="DD4217" s="127">
        <v>2</v>
      </c>
      <c r="DE4217" s="127">
        <v>2</v>
      </c>
      <c r="DG4217" s="405" t="s">
        <v>236</v>
      </c>
      <c r="DH4217" s="406" t="s">
        <v>1681</v>
      </c>
      <c r="DI4217" s="406" t="str">
        <f t="shared" si="97"/>
        <v>RS, Paraíso do Sul</v>
      </c>
      <c r="DJ4217" s="406">
        <v>-29.669</v>
      </c>
      <c r="DK4217" s="80">
        <v>-53.149000000000001</v>
      </c>
      <c r="DL4217" s="80">
        <v>108</v>
      </c>
      <c r="DM4217" s="64">
        <v>2</v>
      </c>
      <c r="DN4217" s="406" t="s">
        <v>8209</v>
      </c>
      <c r="DO4217" s="406">
        <v>-29.68</v>
      </c>
      <c r="DP4217" s="80">
        <v>95</v>
      </c>
    </row>
    <row r="4218" spans="29:120" x14ac:dyDescent="0.25">
      <c r="AC4218" s="122" t="s">
        <v>369</v>
      </c>
      <c r="AD4218" s="122" t="s">
        <v>4482</v>
      </c>
      <c r="AE4218" s="127">
        <v>7</v>
      </c>
      <c r="DA4218" s="122" t="s">
        <v>236</v>
      </c>
      <c r="DB4218" s="122" t="s">
        <v>8393</v>
      </c>
      <c r="DC4218" s="122" t="s">
        <v>1509</v>
      </c>
      <c r="DD4218" s="127">
        <v>2</v>
      </c>
      <c r="DE4218" s="127">
        <v>2</v>
      </c>
      <c r="DG4218" s="405" t="s">
        <v>236</v>
      </c>
      <c r="DH4218" s="406" t="s">
        <v>1509</v>
      </c>
      <c r="DI4218" s="406" t="str">
        <f t="shared" si="97"/>
        <v>RS, Pareci Novo</v>
      </c>
      <c r="DJ4218" s="406">
        <v>-29.638000000000002</v>
      </c>
      <c r="DK4218" s="80">
        <v>-51.398000000000003</v>
      </c>
      <c r="DL4218" s="80">
        <v>29</v>
      </c>
      <c r="DM4218" s="64">
        <v>2</v>
      </c>
      <c r="DN4218" s="406" t="s">
        <v>8219</v>
      </c>
      <c r="DO4218" s="406">
        <v>-30.03</v>
      </c>
      <c r="DP4218" s="80">
        <v>47</v>
      </c>
    </row>
    <row r="4219" spans="29:120" x14ac:dyDescent="0.25">
      <c r="AC4219" s="122" t="s">
        <v>375</v>
      </c>
      <c r="AD4219" s="122" t="s">
        <v>4483</v>
      </c>
      <c r="AE4219" s="127">
        <v>8</v>
      </c>
      <c r="DA4219" s="122" t="s">
        <v>236</v>
      </c>
      <c r="DB4219" s="122" t="s">
        <v>1164</v>
      </c>
      <c r="DC4219" s="122" t="s">
        <v>1164</v>
      </c>
      <c r="DD4219" s="127">
        <v>1</v>
      </c>
      <c r="DE4219" s="127">
        <v>1</v>
      </c>
      <c r="DG4219" s="405" t="s">
        <v>236</v>
      </c>
      <c r="DH4219" s="406" t="s">
        <v>1164</v>
      </c>
      <c r="DI4219" s="406" t="str">
        <f t="shared" si="97"/>
        <v>RS, Parobé</v>
      </c>
      <c r="DJ4219" s="406">
        <v>-29.629000000000001</v>
      </c>
      <c r="DK4219" s="80">
        <v>-50.835000000000001</v>
      </c>
      <c r="DL4219" s="80">
        <v>133</v>
      </c>
      <c r="DM4219" s="64">
        <v>1</v>
      </c>
      <c r="DN4219" s="406" t="s">
        <v>8227</v>
      </c>
      <c r="DO4219" s="406">
        <v>-29.37</v>
      </c>
      <c r="DP4219" s="80">
        <v>830</v>
      </c>
    </row>
    <row r="4220" spans="29:120" x14ac:dyDescent="0.25">
      <c r="AC4220" s="122" t="s">
        <v>357</v>
      </c>
      <c r="AD4220" s="122" t="s">
        <v>4484</v>
      </c>
      <c r="AE4220" s="127">
        <v>7</v>
      </c>
      <c r="DA4220" s="122" t="s">
        <v>236</v>
      </c>
      <c r="DB4220" s="122" t="s">
        <v>8394</v>
      </c>
      <c r="DC4220" s="122" t="s">
        <v>1586</v>
      </c>
      <c r="DD4220" s="127">
        <v>2</v>
      </c>
      <c r="DE4220" s="127">
        <v>2</v>
      </c>
      <c r="DG4220" s="405" t="s">
        <v>236</v>
      </c>
      <c r="DH4220" s="406" t="s">
        <v>1586</v>
      </c>
      <c r="DI4220" s="406" t="str">
        <f t="shared" si="97"/>
        <v>RS, Passa Sete</v>
      </c>
      <c r="DJ4220" s="406">
        <v>-29.452999999999999</v>
      </c>
      <c r="DK4220" s="80">
        <v>-52.960999999999999</v>
      </c>
      <c r="DL4220" s="80">
        <v>589</v>
      </c>
      <c r="DM4220" s="64">
        <v>2</v>
      </c>
      <c r="DN4220" s="406" t="s">
        <v>8263</v>
      </c>
      <c r="DO4220" s="406">
        <v>-29.87</v>
      </c>
      <c r="DP4220" s="80">
        <v>111</v>
      </c>
    </row>
    <row r="4221" spans="29:120" x14ac:dyDescent="0.25">
      <c r="AC4221" s="122" t="s">
        <v>369</v>
      </c>
      <c r="AD4221" s="122" t="s">
        <v>4485</v>
      </c>
      <c r="AE4221" s="127">
        <v>7</v>
      </c>
      <c r="DA4221" s="122" t="s">
        <v>236</v>
      </c>
      <c r="DB4221" s="122" t="s">
        <v>8395</v>
      </c>
      <c r="DC4221" s="122" t="s">
        <v>1507</v>
      </c>
      <c r="DD4221" s="127">
        <v>2</v>
      </c>
      <c r="DE4221" s="127">
        <v>2</v>
      </c>
      <c r="DG4221" s="405" t="s">
        <v>236</v>
      </c>
      <c r="DH4221" s="406" t="s">
        <v>1507</v>
      </c>
      <c r="DI4221" s="406" t="str">
        <f t="shared" si="97"/>
        <v>RS, Passo do Sobrado</v>
      </c>
      <c r="DJ4221" s="406">
        <v>-29.748000000000001</v>
      </c>
      <c r="DK4221" s="80">
        <v>-52.274999999999999</v>
      </c>
      <c r="DL4221" s="80">
        <v>109</v>
      </c>
      <c r="DM4221" s="64">
        <v>2</v>
      </c>
      <c r="DN4221" s="406" t="s">
        <v>8263</v>
      </c>
      <c r="DO4221" s="406">
        <v>-29.87</v>
      </c>
      <c r="DP4221" s="80">
        <v>111</v>
      </c>
    </row>
    <row r="4222" spans="29:120" x14ac:dyDescent="0.25">
      <c r="AC4222" s="122" t="s">
        <v>268</v>
      </c>
      <c r="AD4222" s="122" t="s">
        <v>4486</v>
      </c>
      <c r="AE4222" s="127">
        <v>8</v>
      </c>
      <c r="DA4222" s="122" t="s">
        <v>236</v>
      </c>
      <c r="DB4222" s="122" t="s">
        <v>8396</v>
      </c>
      <c r="DC4222" s="122" t="s">
        <v>1356</v>
      </c>
      <c r="DD4222" s="127">
        <v>2</v>
      </c>
      <c r="DE4222" s="127">
        <v>2</v>
      </c>
      <c r="DG4222" s="405" t="s">
        <v>236</v>
      </c>
      <c r="DH4222" s="406" t="s">
        <v>1356</v>
      </c>
      <c r="DI4222" s="406" t="str">
        <f t="shared" si="97"/>
        <v>RS, Passo Fundo</v>
      </c>
      <c r="DJ4222" s="406">
        <v>-28.263000000000002</v>
      </c>
      <c r="DK4222" s="80">
        <v>-52.406999999999996</v>
      </c>
      <c r="DL4222" s="80">
        <v>687</v>
      </c>
      <c r="DM4222" s="64">
        <v>2</v>
      </c>
      <c r="DN4222" s="406" t="s">
        <v>8208</v>
      </c>
      <c r="DO4222" s="406">
        <v>-28.26</v>
      </c>
      <c r="DP4222" s="80">
        <v>684</v>
      </c>
    </row>
    <row r="4223" spans="29:120" x14ac:dyDescent="0.25">
      <c r="AC4223" s="122" t="s">
        <v>357</v>
      </c>
      <c r="AD4223" s="122" t="s">
        <v>4487</v>
      </c>
      <c r="AE4223" s="127">
        <v>7</v>
      </c>
      <c r="DA4223" s="122" t="s">
        <v>236</v>
      </c>
      <c r="DB4223" s="122" t="s">
        <v>8397</v>
      </c>
      <c r="DC4223" s="122" t="s">
        <v>1715</v>
      </c>
      <c r="DD4223" s="127">
        <v>2</v>
      </c>
      <c r="DE4223" s="127">
        <v>2</v>
      </c>
      <c r="DG4223" s="405" t="s">
        <v>236</v>
      </c>
      <c r="DH4223" s="406" t="s">
        <v>1715</v>
      </c>
      <c r="DI4223" s="406" t="str">
        <f t="shared" si="97"/>
        <v>RS, Paulo Bento</v>
      </c>
      <c r="DJ4223" s="406">
        <v>-27.702999999999999</v>
      </c>
      <c r="DK4223" s="80">
        <v>-52.420999999999999</v>
      </c>
      <c r="DL4223" s="80">
        <v>674</v>
      </c>
      <c r="DM4223" s="64">
        <v>2</v>
      </c>
      <c r="DN4223" s="406" t="s">
        <v>8228</v>
      </c>
      <c r="DO4223" s="406">
        <v>-27.63</v>
      </c>
      <c r="DP4223" s="80">
        <v>765</v>
      </c>
    </row>
    <row r="4224" spans="29:120" x14ac:dyDescent="0.25">
      <c r="AC4224" s="122" t="s">
        <v>393</v>
      </c>
      <c r="AD4224" s="122" t="s">
        <v>4488</v>
      </c>
      <c r="AE4224" s="127">
        <v>7</v>
      </c>
      <c r="DA4224" s="122" t="s">
        <v>236</v>
      </c>
      <c r="DB4224" s="122" t="s">
        <v>280</v>
      </c>
      <c r="DC4224" s="122" t="s">
        <v>280</v>
      </c>
      <c r="DD4224" s="127">
        <v>2</v>
      </c>
      <c r="DE4224" s="127">
        <v>2</v>
      </c>
      <c r="DG4224" s="405" t="s">
        <v>236</v>
      </c>
      <c r="DH4224" s="406" t="s">
        <v>280</v>
      </c>
      <c r="DI4224" s="406" t="str">
        <f t="shared" si="97"/>
        <v>RS, Paverama</v>
      </c>
      <c r="DJ4224" s="406">
        <v>-29.552</v>
      </c>
      <c r="DK4224" s="80">
        <v>-51.732999999999997</v>
      </c>
      <c r="DL4224" s="80">
        <v>105</v>
      </c>
      <c r="DM4224" s="64">
        <v>2</v>
      </c>
      <c r="DN4224" s="406" t="s">
        <v>8218</v>
      </c>
      <c r="DO4224" s="406">
        <v>-29.17</v>
      </c>
      <c r="DP4224" s="80">
        <v>640</v>
      </c>
    </row>
    <row r="4225" spans="29:120" x14ac:dyDescent="0.25">
      <c r="AC4225" s="122" t="s">
        <v>357</v>
      </c>
      <c r="AD4225" s="122" t="s">
        <v>4489</v>
      </c>
      <c r="AE4225" s="127">
        <v>6</v>
      </c>
      <c r="DA4225" s="122" t="s">
        <v>236</v>
      </c>
      <c r="DB4225" s="122" t="s">
        <v>8398</v>
      </c>
      <c r="DC4225" s="122" t="s">
        <v>1408</v>
      </c>
      <c r="DD4225" s="127">
        <v>2</v>
      </c>
      <c r="DE4225" s="127">
        <v>2</v>
      </c>
      <c r="DG4225" s="405" t="s">
        <v>236</v>
      </c>
      <c r="DH4225" s="406" t="s">
        <v>1408</v>
      </c>
      <c r="DI4225" s="406" t="str">
        <f t="shared" si="97"/>
        <v>RS, Pedras Altas</v>
      </c>
      <c r="DJ4225" s="406">
        <v>-31.731999999999999</v>
      </c>
      <c r="DK4225" s="80">
        <v>-53.582999999999998</v>
      </c>
      <c r="DL4225" s="80">
        <v>396</v>
      </c>
      <c r="DM4225" s="64">
        <v>2</v>
      </c>
      <c r="DN4225" s="406" t="s">
        <v>8206</v>
      </c>
      <c r="DO4225" s="406">
        <v>-31.33</v>
      </c>
      <c r="DP4225" s="80">
        <v>230</v>
      </c>
    </row>
    <row r="4226" spans="29:120" x14ac:dyDescent="0.25">
      <c r="AC4226" s="122" t="s">
        <v>357</v>
      </c>
      <c r="AD4226" s="122" t="s">
        <v>4490</v>
      </c>
      <c r="AE4226" s="127">
        <v>7</v>
      </c>
      <c r="DA4226" s="122" t="s">
        <v>236</v>
      </c>
      <c r="DB4226" s="122" t="s">
        <v>8399</v>
      </c>
      <c r="DC4226" s="122" t="s">
        <v>1277</v>
      </c>
      <c r="DD4226" s="127">
        <v>2</v>
      </c>
      <c r="DE4226" s="127">
        <v>2</v>
      </c>
      <c r="DG4226" s="405" t="s">
        <v>236</v>
      </c>
      <c r="DH4226" s="406" t="s">
        <v>1277</v>
      </c>
      <c r="DI4226" s="406" t="str">
        <f t="shared" si="97"/>
        <v>RS, Pedro Osório</v>
      </c>
      <c r="DJ4226" s="406">
        <v>-31.864000000000001</v>
      </c>
      <c r="DK4226" s="80">
        <v>-52.823</v>
      </c>
      <c r="DL4226" s="80">
        <v>31</v>
      </c>
      <c r="DM4226" s="64">
        <v>2</v>
      </c>
      <c r="DN4226" s="406" t="s">
        <v>8231</v>
      </c>
      <c r="DO4226" s="406">
        <v>-31.41</v>
      </c>
      <c r="DP4226" s="80">
        <v>464</v>
      </c>
    </row>
    <row r="4227" spans="29:120" x14ac:dyDescent="0.25">
      <c r="AC4227" s="122" t="s">
        <v>348</v>
      </c>
      <c r="AD4227" s="122" t="s">
        <v>1444</v>
      </c>
      <c r="AE4227" s="127">
        <v>7</v>
      </c>
      <c r="DA4227" s="122" t="s">
        <v>236</v>
      </c>
      <c r="DB4227" s="122" t="s">
        <v>1680</v>
      </c>
      <c r="DC4227" s="122" t="s">
        <v>1680</v>
      </c>
      <c r="DD4227" s="127">
        <v>2</v>
      </c>
      <c r="DE4227" s="127">
        <v>2</v>
      </c>
      <c r="DG4227" s="405" t="s">
        <v>236</v>
      </c>
      <c r="DH4227" s="406" t="s">
        <v>1680</v>
      </c>
      <c r="DI4227" s="406" t="str">
        <f t="shared" ref="DI4227:DI4290" si="98">CONCATENATE(DG4227,", ",DH4227)</f>
        <v>RS, Pejuçara</v>
      </c>
      <c r="DJ4227" s="406">
        <v>-28.422999999999998</v>
      </c>
      <c r="DK4227" s="80">
        <v>-53.655999999999999</v>
      </c>
      <c r="DL4227" s="80">
        <v>449</v>
      </c>
      <c r="DM4227" s="64">
        <v>2</v>
      </c>
      <c r="DN4227" s="406" t="s">
        <v>8239</v>
      </c>
      <c r="DO4227" s="406">
        <v>-28.6</v>
      </c>
      <c r="DP4227" s="80">
        <v>432</v>
      </c>
    </row>
    <row r="4228" spans="29:120" x14ac:dyDescent="0.25">
      <c r="AC4228" s="122" t="s">
        <v>348</v>
      </c>
      <c r="AD4228" s="122" t="s">
        <v>4491</v>
      </c>
      <c r="AE4228" s="127">
        <v>7</v>
      </c>
      <c r="DA4228" s="122" t="s">
        <v>236</v>
      </c>
      <c r="DB4228" s="122" t="s">
        <v>1112</v>
      </c>
      <c r="DC4228" s="122" t="s">
        <v>1112</v>
      </c>
      <c r="DD4228" s="127">
        <v>2</v>
      </c>
      <c r="DE4228" s="127">
        <v>2</v>
      </c>
      <c r="DG4228" s="405" t="s">
        <v>236</v>
      </c>
      <c r="DH4228" s="406" t="s">
        <v>1112</v>
      </c>
      <c r="DI4228" s="406" t="str">
        <f t="shared" si="98"/>
        <v>RS, Pelotas</v>
      </c>
      <c r="DJ4228" s="406">
        <v>-31.771999999999998</v>
      </c>
      <c r="DK4228" s="80">
        <v>-52.343000000000004</v>
      </c>
      <c r="DL4228" s="80">
        <v>17</v>
      </c>
      <c r="DM4228" s="64">
        <v>2</v>
      </c>
      <c r="DN4228" s="406" t="s">
        <v>8231</v>
      </c>
      <c r="DO4228" s="406">
        <v>-31.41</v>
      </c>
      <c r="DP4228" s="80">
        <v>464</v>
      </c>
    </row>
    <row r="4229" spans="29:120" x14ac:dyDescent="0.25">
      <c r="AC4229" s="122" t="s">
        <v>322</v>
      </c>
      <c r="AD4229" s="122" t="s">
        <v>4492</v>
      </c>
      <c r="AE4229" s="127">
        <v>7</v>
      </c>
      <c r="DA4229" s="122" t="s">
        <v>236</v>
      </c>
      <c r="DB4229" s="122" t="s">
        <v>8400</v>
      </c>
      <c r="DC4229" s="122" t="s">
        <v>1260</v>
      </c>
      <c r="DD4229" s="127">
        <v>1</v>
      </c>
      <c r="DE4229" s="127">
        <v>1</v>
      </c>
      <c r="DG4229" s="405" t="s">
        <v>236</v>
      </c>
      <c r="DH4229" s="406" t="s">
        <v>1260</v>
      </c>
      <c r="DI4229" s="406" t="str">
        <f t="shared" si="98"/>
        <v>RS, Picada Café</v>
      </c>
      <c r="DJ4229" s="406">
        <v>-29.443999999999999</v>
      </c>
      <c r="DK4229" s="80">
        <v>-51.136000000000003</v>
      </c>
      <c r="DL4229" s="80">
        <v>106</v>
      </c>
      <c r="DM4229" s="64">
        <v>1</v>
      </c>
      <c r="DN4229" s="406" t="s">
        <v>8227</v>
      </c>
      <c r="DO4229" s="406">
        <v>-29.37</v>
      </c>
      <c r="DP4229" s="80">
        <v>830</v>
      </c>
    </row>
    <row r="4230" spans="29:120" x14ac:dyDescent="0.25">
      <c r="AC4230" s="122" t="s">
        <v>393</v>
      </c>
      <c r="AD4230" s="122" t="s">
        <v>4493</v>
      </c>
      <c r="AE4230" s="127">
        <v>7</v>
      </c>
      <c r="DA4230" s="122" t="s">
        <v>236</v>
      </c>
      <c r="DB4230" s="122" t="s">
        <v>1695</v>
      </c>
      <c r="DC4230" s="122" t="s">
        <v>1695</v>
      </c>
      <c r="DD4230" s="127">
        <v>2</v>
      </c>
      <c r="DE4230" s="127">
        <v>2</v>
      </c>
      <c r="DG4230" s="405" t="s">
        <v>236</v>
      </c>
      <c r="DH4230" s="406" t="s">
        <v>1695</v>
      </c>
      <c r="DI4230" s="406" t="str">
        <f t="shared" si="98"/>
        <v>RS, Pinhal</v>
      </c>
      <c r="DJ4230" s="406">
        <v>-27.510999999999999</v>
      </c>
      <c r="DK4230" s="80">
        <v>-53.215000000000003</v>
      </c>
      <c r="DL4230" s="80">
        <v>368</v>
      </c>
      <c r="DM4230" s="64">
        <v>2</v>
      </c>
      <c r="DN4230" s="406" t="s">
        <v>8215</v>
      </c>
      <c r="DO4230" s="406">
        <v>-27.4</v>
      </c>
      <c r="DP4230" s="80">
        <v>490</v>
      </c>
    </row>
    <row r="4231" spans="29:120" x14ac:dyDescent="0.25">
      <c r="AC4231" s="122" t="s">
        <v>348</v>
      </c>
      <c r="AD4231" s="122" t="s">
        <v>4494</v>
      </c>
      <c r="AE4231" s="127">
        <v>7</v>
      </c>
      <c r="DA4231" s="122" t="s">
        <v>236</v>
      </c>
      <c r="DB4231" s="122" t="s">
        <v>8401</v>
      </c>
      <c r="DC4231" s="122" t="s">
        <v>1471</v>
      </c>
      <c r="DD4231" s="127">
        <v>2</v>
      </c>
      <c r="DE4231" s="127">
        <v>2</v>
      </c>
      <c r="DG4231" s="405" t="s">
        <v>236</v>
      </c>
      <c r="DH4231" s="406" t="s">
        <v>1471</v>
      </c>
      <c r="DI4231" s="406" t="str">
        <f t="shared" si="98"/>
        <v>RS, Pinhal da Serra</v>
      </c>
      <c r="DJ4231" s="406">
        <v>-27.873999999999999</v>
      </c>
      <c r="DK4231" s="80">
        <v>-51.17</v>
      </c>
      <c r="DL4231" s="80">
        <v>916</v>
      </c>
      <c r="DM4231" s="64">
        <v>2</v>
      </c>
      <c r="DN4231" s="406" t="s">
        <v>8224</v>
      </c>
      <c r="DO4231" s="406">
        <v>-28.22</v>
      </c>
      <c r="DP4231" s="80">
        <v>842</v>
      </c>
    </row>
    <row r="4232" spans="29:120" x14ac:dyDescent="0.25">
      <c r="AC4232" s="122" t="s">
        <v>357</v>
      </c>
      <c r="AD4232" s="122" t="s">
        <v>1202</v>
      </c>
      <c r="AE4232" s="127">
        <v>7</v>
      </c>
      <c r="DA4232" s="122" t="s">
        <v>236</v>
      </c>
      <c r="DB4232" s="122" t="s">
        <v>8402</v>
      </c>
      <c r="DC4232" s="122" t="s">
        <v>1608</v>
      </c>
      <c r="DD4232" s="127">
        <v>2</v>
      </c>
      <c r="DE4232" s="127">
        <v>2</v>
      </c>
      <c r="DG4232" s="405" t="s">
        <v>236</v>
      </c>
      <c r="DH4232" s="406" t="s">
        <v>1608</v>
      </c>
      <c r="DI4232" s="406" t="str">
        <f t="shared" si="98"/>
        <v>RS, Pinhal Grande</v>
      </c>
      <c r="DJ4232" s="406">
        <v>-29.346</v>
      </c>
      <c r="DK4232" s="80">
        <v>-53.307000000000002</v>
      </c>
      <c r="DL4232" s="80">
        <v>394</v>
      </c>
      <c r="DM4232" s="64">
        <v>2</v>
      </c>
      <c r="DN4232" s="406" t="s">
        <v>8209</v>
      </c>
      <c r="DO4232" s="406">
        <v>-29.68</v>
      </c>
      <c r="DP4232" s="80">
        <v>95</v>
      </c>
    </row>
    <row r="4233" spans="29:120" x14ac:dyDescent="0.25">
      <c r="AC4233" s="122" t="s">
        <v>393</v>
      </c>
      <c r="AD4233" s="122" t="s">
        <v>4495</v>
      </c>
      <c r="AE4233" s="127">
        <v>7</v>
      </c>
      <c r="DA4233" s="122" t="s">
        <v>236</v>
      </c>
      <c r="DB4233" s="122" t="s">
        <v>8403</v>
      </c>
      <c r="DC4233" s="122" t="s">
        <v>3158</v>
      </c>
      <c r="DD4233" s="127">
        <v>2</v>
      </c>
      <c r="DE4233" s="127">
        <v>2</v>
      </c>
      <c r="DG4233" s="405" t="s">
        <v>236</v>
      </c>
      <c r="DH4233" s="406" t="s">
        <v>3158</v>
      </c>
      <c r="DI4233" s="406" t="str">
        <f t="shared" si="98"/>
        <v>RS, Pinheirinho do Vale</v>
      </c>
      <c r="DJ4233" s="406">
        <v>-27.21</v>
      </c>
      <c r="DK4233" s="80">
        <v>-53.612000000000002</v>
      </c>
      <c r="DL4233" s="80">
        <v>187</v>
      </c>
      <c r="DM4233" s="64">
        <v>2</v>
      </c>
      <c r="DN4233" s="406" t="s">
        <v>8215</v>
      </c>
      <c r="DO4233" s="406">
        <v>-27.4</v>
      </c>
      <c r="DP4233" s="80">
        <v>490</v>
      </c>
    </row>
    <row r="4234" spans="29:120" x14ac:dyDescent="0.25">
      <c r="AC4234" s="122" t="s">
        <v>369</v>
      </c>
      <c r="AD4234" s="122" t="s">
        <v>4496</v>
      </c>
      <c r="AE4234" s="127">
        <v>7</v>
      </c>
      <c r="DA4234" s="122" t="s">
        <v>236</v>
      </c>
      <c r="DB4234" s="122" t="s">
        <v>8404</v>
      </c>
      <c r="DC4234" s="122" t="s">
        <v>1396</v>
      </c>
      <c r="DD4234" s="127">
        <v>2</v>
      </c>
      <c r="DE4234" s="127">
        <v>2</v>
      </c>
      <c r="DG4234" s="405" t="s">
        <v>236</v>
      </c>
      <c r="DH4234" s="406" t="s">
        <v>1396</v>
      </c>
      <c r="DI4234" s="406" t="str">
        <f t="shared" si="98"/>
        <v>RS, Pinheiro Machado</v>
      </c>
      <c r="DJ4234" s="406">
        <v>-31.577999999999999</v>
      </c>
      <c r="DK4234" s="80">
        <v>-53.381</v>
      </c>
      <c r="DL4234" s="80">
        <v>439</v>
      </c>
      <c r="DM4234" s="64">
        <v>2</v>
      </c>
      <c r="DN4234" s="406" t="s">
        <v>8231</v>
      </c>
      <c r="DO4234" s="406">
        <v>-31.41</v>
      </c>
      <c r="DP4234" s="80">
        <v>464</v>
      </c>
    </row>
    <row r="4235" spans="29:120" x14ac:dyDescent="0.25">
      <c r="AC4235" s="122" t="s">
        <v>369</v>
      </c>
      <c r="AD4235" s="122" t="s">
        <v>4497</v>
      </c>
      <c r="AE4235" s="127">
        <v>7</v>
      </c>
      <c r="DA4235" s="122" t="s">
        <v>236</v>
      </c>
      <c r="DB4235" s="122" t="s">
        <v>3287</v>
      </c>
      <c r="DC4235" s="122" t="s">
        <v>3287</v>
      </c>
      <c r="DD4235" s="127">
        <v>2</v>
      </c>
      <c r="DE4235" s="127">
        <v>2</v>
      </c>
      <c r="DG4235" s="405" t="s">
        <v>236</v>
      </c>
      <c r="DH4235" s="406" t="s">
        <v>3287</v>
      </c>
      <c r="DI4235" s="406" t="str">
        <f t="shared" si="98"/>
        <v>RS, Pirapó</v>
      </c>
      <c r="DJ4235" s="406">
        <v>-28.045000000000002</v>
      </c>
      <c r="DK4235" s="80">
        <v>-55.198999999999998</v>
      </c>
      <c r="DL4235" s="80">
        <v>125</v>
      </c>
      <c r="DM4235" s="64">
        <v>2</v>
      </c>
      <c r="DN4235" s="406" t="s">
        <v>8211</v>
      </c>
      <c r="DO4235" s="406">
        <v>-28.41</v>
      </c>
      <c r="DP4235" s="80">
        <v>245</v>
      </c>
    </row>
    <row r="4236" spans="29:120" x14ac:dyDescent="0.25">
      <c r="AC4236" s="122" t="s">
        <v>348</v>
      </c>
      <c r="AD4236" s="122" t="s">
        <v>4498</v>
      </c>
      <c r="AE4236" s="127">
        <v>7</v>
      </c>
      <c r="DA4236" s="122" t="s">
        <v>236</v>
      </c>
      <c r="DB4236" s="122" t="s">
        <v>1352</v>
      </c>
      <c r="DC4236" s="122" t="s">
        <v>1352</v>
      </c>
      <c r="DD4236" s="127">
        <v>2</v>
      </c>
      <c r="DE4236" s="127">
        <v>2</v>
      </c>
      <c r="DG4236" s="405" t="s">
        <v>236</v>
      </c>
      <c r="DH4236" s="406" t="s">
        <v>1352</v>
      </c>
      <c r="DI4236" s="406" t="str">
        <f t="shared" si="98"/>
        <v>RS, Piratini</v>
      </c>
      <c r="DJ4236" s="406">
        <v>-31.448</v>
      </c>
      <c r="DK4236" s="80">
        <v>-53.103999999999999</v>
      </c>
      <c r="DL4236" s="80">
        <v>349</v>
      </c>
      <c r="DM4236" s="64">
        <v>2</v>
      </c>
      <c r="DN4236" s="406" t="s">
        <v>8231</v>
      </c>
      <c r="DO4236" s="406">
        <v>-31.41</v>
      </c>
      <c r="DP4236" s="80">
        <v>464</v>
      </c>
    </row>
    <row r="4237" spans="29:120" x14ac:dyDescent="0.25">
      <c r="AC4237" s="122" t="s">
        <v>348</v>
      </c>
      <c r="AD4237" s="122" t="s">
        <v>4499</v>
      </c>
      <c r="AE4237" s="127">
        <v>7</v>
      </c>
      <c r="DA4237" s="122" t="s">
        <v>236</v>
      </c>
      <c r="DB4237" s="122" t="s">
        <v>1620</v>
      </c>
      <c r="DC4237" s="122" t="s">
        <v>1620</v>
      </c>
      <c r="DD4237" s="127">
        <v>2</v>
      </c>
      <c r="DE4237" s="127">
        <v>2</v>
      </c>
      <c r="DG4237" s="405" t="s">
        <v>236</v>
      </c>
      <c r="DH4237" s="406" t="s">
        <v>1620</v>
      </c>
      <c r="DI4237" s="406" t="str">
        <f t="shared" si="98"/>
        <v>RS, Planalto</v>
      </c>
      <c r="DJ4237" s="406">
        <v>-27.329000000000001</v>
      </c>
      <c r="DK4237" s="80">
        <v>-53.058999999999997</v>
      </c>
      <c r="DL4237" s="80">
        <v>568</v>
      </c>
      <c r="DM4237" s="64">
        <v>2</v>
      </c>
      <c r="DN4237" s="406" t="s">
        <v>8215</v>
      </c>
      <c r="DO4237" s="406">
        <v>-27.4</v>
      </c>
      <c r="DP4237" s="80">
        <v>490</v>
      </c>
    </row>
    <row r="4238" spans="29:120" x14ac:dyDescent="0.25">
      <c r="AC4238" s="122" t="s">
        <v>348</v>
      </c>
      <c r="AD4238" s="122" t="s">
        <v>4500</v>
      </c>
      <c r="AE4238" s="127">
        <v>7</v>
      </c>
      <c r="DA4238" s="122" t="s">
        <v>236</v>
      </c>
      <c r="DB4238" s="122" t="s">
        <v>8405</v>
      </c>
      <c r="DC4238" s="122" t="s">
        <v>1461</v>
      </c>
      <c r="DD4238" s="127">
        <v>2</v>
      </c>
      <c r="DE4238" s="127">
        <v>2</v>
      </c>
      <c r="DG4238" s="405" t="s">
        <v>236</v>
      </c>
      <c r="DH4238" s="406" t="s">
        <v>1461</v>
      </c>
      <c r="DI4238" s="406" t="str">
        <f t="shared" si="98"/>
        <v>RS, Poço das Antas</v>
      </c>
      <c r="DJ4238" s="406">
        <v>-29.45</v>
      </c>
      <c r="DK4238" s="80">
        <v>-51.670999999999999</v>
      </c>
      <c r="DL4238" s="80">
        <v>120</v>
      </c>
      <c r="DM4238" s="64">
        <v>2</v>
      </c>
      <c r="DN4238" s="406" t="s">
        <v>8218</v>
      </c>
      <c r="DO4238" s="406">
        <v>-29.17</v>
      </c>
      <c r="DP4238" s="80">
        <v>640</v>
      </c>
    </row>
    <row r="4239" spans="29:120" x14ac:dyDescent="0.25">
      <c r="AC4239" s="122" t="s">
        <v>348</v>
      </c>
      <c r="AD4239" s="122" t="s">
        <v>4501</v>
      </c>
      <c r="AE4239" s="127">
        <v>7</v>
      </c>
      <c r="DA4239" s="122" t="s">
        <v>236</v>
      </c>
      <c r="DB4239" s="122" t="s">
        <v>1325</v>
      </c>
      <c r="DC4239" s="122" t="s">
        <v>1325</v>
      </c>
      <c r="DD4239" s="127">
        <v>2</v>
      </c>
      <c r="DE4239" s="127">
        <v>2</v>
      </c>
      <c r="DG4239" s="405" t="s">
        <v>236</v>
      </c>
      <c r="DH4239" s="406" t="s">
        <v>1325</v>
      </c>
      <c r="DI4239" s="406" t="str">
        <f t="shared" si="98"/>
        <v>RS, Pontão</v>
      </c>
      <c r="DJ4239" s="406">
        <v>-28.059000000000001</v>
      </c>
      <c r="DK4239" s="80">
        <v>-52.677</v>
      </c>
      <c r="DL4239" s="80">
        <v>683</v>
      </c>
      <c r="DM4239" s="64">
        <v>2</v>
      </c>
      <c r="DN4239" s="406" t="s">
        <v>8208</v>
      </c>
      <c r="DO4239" s="406">
        <v>-28.26</v>
      </c>
      <c r="DP4239" s="80">
        <v>684</v>
      </c>
    </row>
    <row r="4240" spans="29:120" x14ac:dyDescent="0.25">
      <c r="AC4240" s="122" t="s">
        <v>348</v>
      </c>
      <c r="AD4240" s="122" t="s">
        <v>4502</v>
      </c>
      <c r="AE4240" s="127">
        <v>7</v>
      </c>
      <c r="DA4240" s="122" t="s">
        <v>236</v>
      </c>
      <c r="DB4240" s="122" t="s">
        <v>8406</v>
      </c>
      <c r="DC4240" s="122" t="s">
        <v>1709</v>
      </c>
      <c r="DD4240" s="127">
        <v>2</v>
      </c>
      <c r="DE4240" s="127">
        <v>2</v>
      </c>
      <c r="DG4240" s="405" t="s">
        <v>236</v>
      </c>
      <c r="DH4240" s="406" t="s">
        <v>1709</v>
      </c>
      <c r="DI4240" s="406" t="str">
        <f t="shared" si="98"/>
        <v>RS, Ponte Preta</v>
      </c>
      <c r="DJ4240" s="406">
        <v>-27.654</v>
      </c>
      <c r="DK4240" s="80">
        <v>-52.488</v>
      </c>
      <c r="DL4240" s="80">
        <v>547</v>
      </c>
      <c r="DM4240" s="64">
        <v>2</v>
      </c>
      <c r="DN4240" s="406" t="s">
        <v>8228</v>
      </c>
      <c r="DO4240" s="406">
        <v>-27.63</v>
      </c>
      <c r="DP4240" s="80">
        <v>765</v>
      </c>
    </row>
    <row r="4241" spans="29:120" x14ac:dyDescent="0.25">
      <c r="AC4241" s="122" t="s">
        <v>268</v>
      </c>
      <c r="AD4241" s="122" t="s">
        <v>4503</v>
      </c>
      <c r="AE4241" s="127">
        <v>8</v>
      </c>
      <c r="DA4241" s="122" t="s">
        <v>236</v>
      </c>
      <c r="DB4241" s="122" t="s">
        <v>1192</v>
      </c>
      <c r="DC4241" s="122" t="s">
        <v>1192</v>
      </c>
      <c r="DD4241" s="127">
        <v>2</v>
      </c>
      <c r="DE4241" s="127">
        <v>2</v>
      </c>
      <c r="DG4241" s="405" t="s">
        <v>236</v>
      </c>
      <c r="DH4241" s="406" t="s">
        <v>1192</v>
      </c>
      <c r="DI4241" s="406" t="str">
        <f t="shared" si="98"/>
        <v>RS, Portão</v>
      </c>
      <c r="DJ4241" s="406">
        <v>-29.702000000000002</v>
      </c>
      <c r="DK4241" s="80">
        <v>-51.241999999999997</v>
      </c>
      <c r="DL4241" s="80">
        <v>45</v>
      </c>
      <c r="DM4241" s="64">
        <v>2</v>
      </c>
      <c r="DN4241" s="406" t="s">
        <v>8219</v>
      </c>
      <c r="DO4241" s="406">
        <v>-30.03</v>
      </c>
      <c r="DP4241" s="80">
        <v>47</v>
      </c>
    </row>
    <row r="4242" spans="29:120" x14ac:dyDescent="0.25">
      <c r="AC4242" s="122" t="s">
        <v>348</v>
      </c>
      <c r="AD4242" s="122" t="s">
        <v>4504</v>
      </c>
      <c r="AE4242" s="127">
        <v>7</v>
      </c>
      <c r="DA4242" s="122" t="s">
        <v>236</v>
      </c>
      <c r="DB4242" s="122" t="s">
        <v>8407</v>
      </c>
      <c r="DC4242" s="122" t="s">
        <v>1320</v>
      </c>
      <c r="DD4242" s="127">
        <v>3</v>
      </c>
      <c r="DE4242" s="127">
        <v>3</v>
      </c>
      <c r="DG4242" s="405" t="s">
        <v>236</v>
      </c>
      <c r="DH4242" s="406" t="s">
        <v>1320</v>
      </c>
      <c r="DI4242" s="406" t="str">
        <f t="shared" si="98"/>
        <v>RS, Porto Alegre</v>
      </c>
      <c r="DJ4242" s="406">
        <v>-30.033000000000001</v>
      </c>
      <c r="DK4242" s="80">
        <v>-51.23</v>
      </c>
      <c r="DL4242" s="80">
        <v>3</v>
      </c>
      <c r="DM4242" s="64">
        <v>3</v>
      </c>
      <c r="DN4242" s="406" t="s">
        <v>8219</v>
      </c>
      <c r="DO4242" s="406">
        <v>-30.03</v>
      </c>
      <c r="DP4242" s="80">
        <v>47</v>
      </c>
    </row>
    <row r="4243" spans="29:120" x14ac:dyDescent="0.25">
      <c r="AC4243" s="122" t="s">
        <v>348</v>
      </c>
      <c r="AD4243" s="122" t="s">
        <v>4215</v>
      </c>
      <c r="AE4243" s="127">
        <v>7</v>
      </c>
      <c r="DA4243" s="122" t="s">
        <v>236</v>
      </c>
      <c r="DB4243" s="122" t="s">
        <v>8408</v>
      </c>
      <c r="DC4243" s="122" t="s">
        <v>3136</v>
      </c>
      <c r="DD4243" s="127">
        <v>2</v>
      </c>
      <c r="DE4243" s="127">
        <v>2</v>
      </c>
      <c r="DG4243" s="405" t="s">
        <v>236</v>
      </c>
      <c r="DH4243" s="406" t="s">
        <v>3136</v>
      </c>
      <c r="DI4243" s="406" t="str">
        <f t="shared" si="98"/>
        <v>RS, Porto Lucena</v>
      </c>
      <c r="DJ4243" s="406">
        <v>-27.856000000000002</v>
      </c>
      <c r="DK4243" s="80">
        <v>-55.015999999999998</v>
      </c>
      <c r="DL4243" s="80">
        <v>114</v>
      </c>
      <c r="DM4243" s="64">
        <v>2</v>
      </c>
      <c r="DN4243" s="406" t="s">
        <v>8211</v>
      </c>
      <c r="DO4243" s="406">
        <v>-28.41</v>
      </c>
      <c r="DP4243" s="80">
        <v>245</v>
      </c>
    </row>
    <row r="4244" spans="29:120" x14ac:dyDescent="0.25">
      <c r="AC4244" s="122" t="s">
        <v>348</v>
      </c>
      <c r="AD4244" s="122" t="s">
        <v>4505</v>
      </c>
      <c r="AE4244" s="127">
        <v>7</v>
      </c>
      <c r="DA4244" s="122" t="s">
        <v>236</v>
      </c>
      <c r="DB4244" s="122" t="s">
        <v>8409</v>
      </c>
      <c r="DC4244" s="122" t="s">
        <v>3098</v>
      </c>
      <c r="DD4244" s="127">
        <v>2</v>
      </c>
      <c r="DE4244" s="127">
        <v>2</v>
      </c>
      <c r="DG4244" s="405" t="s">
        <v>236</v>
      </c>
      <c r="DH4244" s="406" t="s">
        <v>3098</v>
      </c>
      <c r="DI4244" s="406" t="str">
        <f t="shared" si="98"/>
        <v>RS, Porto Mauá</v>
      </c>
      <c r="DJ4244" s="406">
        <v>-27.574999999999999</v>
      </c>
      <c r="DK4244" s="80">
        <v>-54.667999999999999</v>
      </c>
      <c r="DL4244" s="80">
        <v>142</v>
      </c>
      <c r="DM4244" s="64">
        <v>2</v>
      </c>
      <c r="DN4244" s="406" t="s">
        <v>8210</v>
      </c>
      <c r="DO4244" s="406">
        <v>-27.85</v>
      </c>
      <c r="DP4244" s="80">
        <v>550</v>
      </c>
    </row>
    <row r="4245" spans="29:120" x14ac:dyDescent="0.25">
      <c r="AC4245" s="122" t="s">
        <v>393</v>
      </c>
      <c r="AD4245" s="122" t="s">
        <v>4506</v>
      </c>
      <c r="AE4245" s="127">
        <v>7</v>
      </c>
      <c r="DA4245" s="122" t="s">
        <v>236</v>
      </c>
      <c r="DB4245" s="122" t="s">
        <v>8410</v>
      </c>
      <c r="DC4245" s="122" t="s">
        <v>3111</v>
      </c>
      <c r="DD4245" s="127">
        <v>2</v>
      </c>
      <c r="DE4245" s="127">
        <v>2</v>
      </c>
      <c r="DG4245" s="405" t="s">
        <v>236</v>
      </c>
      <c r="DH4245" s="406" t="s">
        <v>3111</v>
      </c>
      <c r="DI4245" s="406" t="str">
        <f t="shared" si="98"/>
        <v>RS, Porto Vera Cruz</v>
      </c>
      <c r="DJ4245" s="406">
        <v>-27.736000000000001</v>
      </c>
      <c r="DK4245" s="80">
        <v>-54.901000000000003</v>
      </c>
      <c r="DL4245" s="80">
        <v>127</v>
      </c>
      <c r="DM4245" s="64">
        <v>2</v>
      </c>
      <c r="DN4245" s="406" t="s">
        <v>8211</v>
      </c>
      <c r="DO4245" s="406">
        <v>-28.41</v>
      </c>
      <c r="DP4245" s="80">
        <v>245</v>
      </c>
    </row>
    <row r="4246" spans="29:120" x14ac:dyDescent="0.25">
      <c r="AC4246" s="122" t="s">
        <v>348</v>
      </c>
      <c r="AD4246" s="122" t="s">
        <v>4507</v>
      </c>
      <c r="AE4246" s="127">
        <v>7</v>
      </c>
      <c r="DA4246" s="122" t="s">
        <v>236</v>
      </c>
      <c r="DB4246" s="122" t="s">
        <v>8411</v>
      </c>
      <c r="DC4246" s="122" t="s">
        <v>3166</v>
      </c>
      <c r="DD4246" s="127">
        <v>2</v>
      </c>
      <c r="DE4246" s="127">
        <v>2</v>
      </c>
      <c r="DG4246" s="405" t="s">
        <v>236</v>
      </c>
      <c r="DH4246" s="406" t="s">
        <v>3166</v>
      </c>
      <c r="DI4246" s="406" t="str">
        <f t="shared" si="98"/>
        <v>RS, Porto Xavier</v>
      </c>
      <c r="DJ4246" s="406">
        <v>-27.905999999999999</v>
      </c>
      <c r="DK4246" s="80">
        <v>-55.137999999999998</v>
      </c>
      <c r="DL4246" s="80">
        <v>115</v>
      </c>
      <c r="DM4246" s="64">
        <v>2</v>
      </c>
      <c r="DN4246" s="406" t="s">
        <v>8211</v>
      </c>
      <c r="DO4246" s="406">
        <v>-28.41</v>
      </c>
      <c r="DP4246" s="80">
        <v>245</v>
      </c>
    </row>
    <row r="4247" spans="29:120" x14ac:dyDescent="0.25">
      <c r="AC4247" s="122" t="s">
        <v>369</v>
      </c>
      <c r="AD4247" s="122" t="s">
        <v>4508</v>
      </c>
      <c r="AE4247" s="127">
        <v>7</v>
      </c>
      <c r="DA4247" s="122" t="s">
        <v>236</v>
      </c>
      <c r="DB4247" s="122" t="s">
        <v>8412</v>
      </c>
      <c r="DC4247" s="122" t="s">
        <v>1459</v>
      </c>
      <c r="DD4247" s="127">
        <v>2</v>
      </c>
      <c r="DE4247" s="127">
        <v>2</v>
      </c>
      <c r="DG4247" s="405" t="s">
        <v>236</v>
      </c>
      <c r="DH4247" s="406" t="s">
        <v>1459</v>
      </c>
      <c r="DI4247" s="406" t="str">
        <f t="shared" si="98"/>
        <v>RS, Pouso Novo</v>
      </c>
      <c r="DJ4247" s="406">
        <v>-29.170999999999999</v>
      </c>
      <c r="DK4247" s="80">
        <v>-52.207999999999998</v>
      </c>
      <c r="DL4247" s="80">
        <v>527</v>
      </c>
      <c r="DM4247" s="64">
        <v>2</v>
      </c>
      <c r="DN4247" s="406" t="s">
        <v>8216</v>
      </c>
      <c r="DO4247" s="406">
        <v>-28.85</v>
      </c>
      <c r="DP4247" s="80">
        <v>667</v>
      </c>
    </row>
    <row r="4248" spans="29:120" x14ac:dyDescent="0.25">
      <c r="AC4248" s="122" t="s">
        <v>369</v>
      </c>
      <c r="AD4248" s="122" t="s">
        <v>4509</v>
      </c>
      <c r="AE4248" s="127">
        <v>7</v>
      </c>
      <c r="DA4248" s="122" t="s">
        <v>236</v>
      </c>
      <c r="DB4248" s="122" t="s">
        <v>8413</v>
      </c>
      <c r="DC4248" s="122" t="s">
        <v>1243</v>
      </c>
      <c r="DD4248" s="127">
        <v>1</v>
      </c>
      <c r="DE4248" s="127">
        <v>1</v>
      </c>
      <c r="DG4248" s="405" t="s">
        <v>236</v>
      </c>
      <c r="DH4248" s="406" t="s">
        <v>1243</v>
      </c>
      <c r="DI4248" s="406" t="str">
        <f t="shared" si="98"/>
        <v>RS, Presidente Lucena</v>
      </c>
      <c r="DJ4248" s="406">
        <v>-29.518999999999998</v>
      </c>
      <c r="DK4248" s="80">
        <v>-51.177999999999997</v>
      </c>
      <c r="DL4248" s="80">
        <v>75</v>
      </c>
      <c r="DM4248" s="64">
        <v>1</v>
      </c>
      <c r="DN4248" s="406" t="s">
        <v>8227</v>
      </c>
      <c r="DO4248" s="406">
        <v>-29.37</v>
      </c>
      <c r="DP4248" s="80">
        <v>830</v>
      </c>
    </row>
    <row r="4249" spans="29:120" x14ac:dyDescent="0.25">
      <c r="AC4249" s="122" t="s">
        <v>348</v>
      </c>
      <c r="AD4249" s="122" t="s">
        <v>4510</v>
      </c>
      <c r="AE4249" s="127">
        <v>7</v>
      </c>
      <c r="DA4249" s="122" t="s">
        <v>236</v>
      </c>
      <c r="DB4249" s="122" t="s">
        <v>1494</v>
      </c>
      <c r="DC4249" s="122" t="s">
        <v>1494</v>
      </c>
      <c r="DD4249" s="127">
        <v>2</v>
      </c>
      <c r="DE4249" s="127">
        <v>2</v>
      </c>
      <c r="DG4249" s="405" t="s">
        <v>236</v>
      </c>
      <c r="DH4249" s="406" t="s">
        <v>1494</v>
      </c>
      <c r="DI4249" s="406" t="str">
        <f t="shared" si="98"/>
        <v>RS, Progresso</v>
      </c>
      <c r="DJ4249" s="406">
        <v>-29.244</v>
      </c>
      <c r="DK4249" s="80">
        <v>-52.311999999999998</v>
      </c>
      <c r="DL4249" s="80">
        <v>536</v>
      </c>
      <c r="DM4249" s="64">
        <v>2</v>
      </c>
      <c r="DN4249" s="406" t="s">
        <v>8216</v>
      </c>
      <c r="DO4249" s="406">
        <v>-28.85</v>
      </c>
      <c r="DP4249" s="80">
        <v>667</v>
      </c>
    </row>
    <row r="4250" spans="29:120" x14ac:dyDescent="0.25">
      <c r="AC4250" s="122" t="s">
        <v>348</v>
      </c>
      <c r="AD4250" s="122" t="s">
        <v>4511</v>
      </c>
      <c r="AE4250" s="127">
        <v>7</v>
      </c>
      <c r="DA4250" s="122" t="s">
        <v>236</v>
      </c>
      <c r="DB4250" s="122" t="s">
        <v>8414</v>
      </c>
      <c r="DC4250" s="122" t="s">
        <v>1191</v>
      </c>
      <c r="DD4250" s="127">
        <v>2</v>
      </c>
      <c r="DE4250" s="127">
        <v>2</v>
      </c>
      <c r="DG4250" s="405" t="s">
        <v>236</v>
      </c>
      <c r="DH4250" s="406" t="s">
        <v>1191</v>
      </c>
      <c r="DI4250" s="406" t="str">
        <f t="shared" si="98"/>
        <v>RS, Protásio Alves</v>
      </c>
      <c r="DJ4250" s="406">
        <v>-28.757000000000001</v>
      </c>
      <c r="DK4250" s="80">
        <v>-51.472999999999999</v>
      </c>
      <c r="DL4250" s="80">
        <v>637</v>
      </c>
      <c r="DM4250" s="64">
        <v>2</v>
      </c>
      <c r="DN4250" s="406" t="s">
        <v>8218</v>
      </c>
      <c r="DO4250" s="406">
        <v>-29.17</v>
      </c>
      <c r="DP4250" s="80">
        <v>640</v>
      </c>
    </row>
    <row r="4251" spans="29:120" x14ac:dyDescent="0.25">
      <c r="AC4251" s="122" t="s">
        <v>300</v>
      </c>
      <c r="AD4251" s="122" t="s">
        <v>4512</v>
      </c>
      <c r="AE4251" s="127">
        <v>7</v>
      </c>
      <c r="DA4251" s="122" t="s">
        <v>236</v>
      </c>
      <c r="DB4251" s="122" t="s">
        <v>1466</v>
      </c>
      <c r="DC4251" s="122" t="s">
        <v>1466</v>
      </c>
      <c r="DD4251" s="127">
        <v>2</v>
      </c>
      <c r="DE4251" s="127">
        <v>2</v>
      </c>
      <c r="DG4251" s="405" t="s">
        <v>236</v>
      </c>
      <c r="DH4251" s="406" t="s">
        <v>1466</v>
      </c>
      <c r="DI4251" s="406" t="str">
        <f t="shared" si="98"/>
        <v>RS, Putinga</v>
      </c>
      <c r="DJ4251" s="406">
        <v>-29.001999999999999</v>
      </c>
      <c r="DK4251" s="80">
        <v>-52.154000000000003</v>
      </c>
      <c r="DL4251" s="80">
        <v>435</v>
      </c>
      <c r="DM4251" s="64">
        <v>2</v>
      </c>
      <c r="DN4251" s="406" t="s">
        <v>8216</v>
      </c>
      <c r="DO4251" s="406">
        <v>-28.85</v>
      </c>
      <c r="DP4251" s="80">
        <v>667</v>
      </c>
    </row>
    <row r="4252" spans="29:120" x14ac:dyDescent="0.25">
      <c r="AC4252" s="122" t="s">
        <v>369</v>
      </c>
      <c r="AD4252" s="122" t="s">
        <v>4513</v>
      </c>
      <c r="AE4252" s="127">
        <v>7</v>
      </c>
      <c r="DA4252" s="122" t="s">
        <v>236</v>
      </c>
      <c r="DB4252" s="122" t="s">
        <v>1765</v>
      </c>
      <c r="DC4252" s="122" t="s">
        <v>1765</v>
      </c>
      <c r="DD4252" s="127">
        <v>2</v>
      </c>
      <c r="DE4252" s="127">
        <v>2</v>
      </c>
      <c r="DG4252" s="405" t="s">
        <v>236</v>
      </c>
      <c r="DH4252" s="406" t="s">
        <v>1765</v>
      </c>
      <c r="DI4252" s="406" t="str">
        <f t="shared" si="98"/>
        <v>RS, Quaraí</v>
      </c>
      <c r="DJ4252" s="406">
        <v>-30.388000000000002</v>
      </c>
      <c r="DK4252" s="80">
        <v>-56.451000000000001</v>
      </c>
      <c r="DL4252" s="80">
        <v>112</v>
      </c>
      <c r="DM4252" s="64">
        <v>2</v>
      </c>
      <c r="DN4252" s="406" t="s">
        <v>8415</v>
      </c>
      <c r="DO4252" s="406">
        <v>-30.37</v>
      </c>
      <c r="DP4252" s="80">
        <v>124</v>
      </c>
    </row>
    <row r="4253" spans="29:120" x14ac:dyDescent="0.25">
      <c r="AC4253" s="122" t="s">
        <v>369</v>
      </c>
      <c r="AD4253" s="122" t="s">
        <v>4514</v>
      </c>
      <c r="AE4253" s="127">
        <v>7</v>
      </c>
      <c r="DA4253" s="122" t="s">
        <v>236</v>
      </c>
      <c r="DB4253" s="122" t="s">
        <v>8416</v>
      </c>
      <c r="DC4253" s="122" t="s">
        <v>1361</v>
      </c>
      <c r="DD4253" s="127">
        <v>2</v>
      </c>
      <c r="DE4253" s="127">
        <v>2</v>
      </c>
      <c r="DG4253" s="405" t="s">
        <v>236</v>
      </c>
      <c r="DH4253" s="406" t="s">
        <v>1361</v>
      </c>
      <c r="DI4253" s="406" t="str">
        <f t="shared" si="98"/>
        <v>RS, Quatro Irmãos</v>
      </c>
      <c r="DJ4253" s="406">
        <v>-27.821000000000002</v>
      </c>
      <c r="DK4253" s="80">
        <v>-52.439</v>
      </c>
      <c r="DL4253" s="80">
        <v>723</v>
      </c>
      <c r="DM4253" s="64">
        <v>2</v>
      </c>
      <c r="DN4253" s="406" t="s">
        <v>8228</v>
      </c>
      <c r="DO4253" s="406">
        <v>-27.63</v>
      </c>
      <c r="DP4253" s="80">
        <v>765</v>
      </c>
    </row>
    <row r="4254" spans="29:120" x14ac:dyDescent="0.25">
      <c r="AC4254" s="122" t="s">
        <v>348</v>
      </c>
      <c r="AD4254" s="122" t="s">
        <v>4515</v>
      </c>
      <c r="AE4254" s="127">
        <v>7</v>
      </c>
      <c r="DA4254" s="122" t="s">
        <v>236</v>
      </c>
      <c r="DB4254" s="122" t="s">
        <v>1587</v>
      </c>
      <c r="DC4254" s="122" t="s">
        <v>1587</v>
      </c>
      <c r="DD4254" s="127">
        <v>2</v>
      </c>
      <c r="DE4254" s="127">
        <v>2</v>
      </c>
      <c r="DG4254" s="405" t="s">
        <v>236</v>
      </c>
      <c r="DH4254" s="406" t="s">
        <v>1587</v>
      </c>
      <c r="DI4254" s="406" t="str">
        <f t="shared" si="98"/>
        <v>RS, Quevedos</v>
      </c>
      <c r="DJ4254" s="406">
        <v>-29.353000000000002</v>
      </c>
      <c r="DK4254" s="80">
        <v>-54.072000000000003</v>
      </c>
      <c r="DL4254" s="80">
        <v>410</v>
      </c>
      <c r="DM4254" s="64">
        <v>2</v>
      </c>
      <c r="DN4254" s="406" t="s">
        <v>8209</v>
      </c>
      <c r="DO4254" s="406">
        <v>-29.68</v>
      </c>
      <c r="DP4254" s="80">
        <v>95</v>
      </c>
    </row>
    <row r="4255" spans="29:120" x14ac:dyDescent="0.25">
      <c r="AC4255" s="122" t="s">
        <v>348</v>
      </c>
      <c r="AD4255" s="122" t="s">
        <v>4343</v>
      </c>
      <c r="AE4255" s="127">
        <v>7</v>
      </c>
      <c r="DA4255" s="122" t="s">
        <v>236</v>
      </c>
      <c r="DB4255" s="122" t="s">
        <v>8417</v>
      </c>
      <c r="DC4255" s="122" t="s">
        <v>1580</v>
      </c>
      <c r="DD4255" s="127">
        <v>2</v>
      </c>
      <c r="DE4255" s="127">
        <v>2</v>
      </c>
      <c r="DG4255" s="405" t="s">
        <v>236</v>
      </c>
      <c r="DH4255" s="406" t="s">
        <v>1580</v>
      </c>
      <c r="DI4255" s="406" t="str">
        <f t="shared" si="98"/>
        <v>RS, Quinze de Novembro</v>
      </c>
      <c r="DJ4255" s="406">
        <v>-28.742000000000001</v>
      </c>
      <c r="DK4255" s="80">
        <v>-53.094999999999999</v>
      </c>
      <c r="DL4255" s="80">
        <v>355</v>
      </c>
      <c r="DM4255" s="64">
        <v>2</v>
      </c>
      <c r="DN4255" s="406" t="s">
        <v>8239</v>
      </c>
      <c r="DO4255" s="406">
        <v>-28.6</v>
      </c>
      <c r="DP4255" s="80">
        <v>432</v>
      </c>
    </row>
    <row r="4256" spans="29:120" x14ac:dyDescent="0.25">
      <c r="AC4256" s="122" t="s">
        <v>348</v>
      </c>
      <c r="AD4256" s="122" t="s">
        <v>4516</v>
      </c>
      <c r="AE4256" s="127">
        <v>8</v>
      </c>
      <c r="DA4256" s="122" t="s">
        <v>236</v>
      </c>
      <c r="DB4256" s="122" t="s">
        <v>1358</v>
      </c>
      <c r="DC4256" s="122" t="s">
        <v>1358</v>
      </c>
      <c r="DD4256" s="127">
        <v>2</v>
      </c>
      <c r="DE4256" s="127">
        <v>2</v>
      </c>
      <c r="DG4256" s="405" t="s">
        <v>236</v>
      </c>
      <c r="DH4256" s="406" t="s">
        <v>1358</v>
      </c>
      <c r="DI4256" s="406" t="str">
        <f t="shared" si="98"/>
        <v>RS, Redentora</v>
      </c>
      <c r="DJ4256" s="406">
        <v>-27.664000000000001</v>
      </c>
      <c r="DK4256" s="80">
        <v>-53.637999999999998</v>
      </c>
      <c r="DL4256" s="80">
        <v>545</v>
      </c>
      <c r="DM4256" s="64">
        <v>2</v>
      </c>
      <c r="DN4256" s="406" t="s">
        <v>8210</v>
      </c>
      <c r="DO4256" s="406">
        <v>-27.85</v>
      </c>
      <c r="DP4256" s="80">
        <v>550</v>
      </c>
    </row>
    <row r="4257" spans="29:120" x14ac:dyDescent="0.25">
      <c r="AC4257" s="122" t="s">
        <v>348</v>
      </c>
      <c r="AD4257" s="122" t="s">
        <v>4517</v>
      </c>
      <c r="AE4257" s="127">
        <v>7</v>
      </c>
      <c r="DA4257" s="122" t="s">
        <v>236</v>
      </c>
      <c r="DB4257" s="122" t="s">
        <v>1439</v>
      </c>
      <c r="DC4257" s="122" t="s">
        <v>1439</v>
      </c>
      <c r="DD4257" s="127">
        <v>2</v>
      </c>
      <c r="DE4257" s="127">
        <v>2</v>
      </c>
      <c r="DG4257" s="405" t="s">
        <v>236</v>
      </c>
      <c r="DH4257" s="406" t="s">
        <v>1439</v>
      </c>
      <c r="DI4257" s="406" t="str">
        <f t="shared" si="98"/>
        <v>RS, Relvado</v>
      </c>
      <c r="DJ4257" s="406">
        <v>-29.111000000000001</v>
      </c>
      <c r="DK4257" s="80">
        <v>-52.072000000000003</v>
      </c>
      <c r="DL4257" s="80">
        <v>297</v>
      </c>
      <c r="DM4257" s="64">
        <v>2</v>
      </c>
      <c r="DN4257" s="406" t="s">
        <v>8216</v>
      </c>
      <c r="DO4257" s="406">
        <v>-28.85</v>
      </c>
      <c r="DP4257" s="80">
        <v>667</v>
      </c>
    </row>
    <row r="4258" spans="29:120" x14ac:dyDescent="0.25">
      <c r="AC4258" s="122" t="s">
        <v>369</v>
      </c>
      <c r="AD4258" s="122" t="s">
        <v>4518</v>
      </c>
      <c r="AE4258" s="127">
        <v>7</v>
      </c>
      <c r="DA4258" s="122" t="s">
        <v>236</v>
      </c>
      <c r="DB4258" s="122" t="s">
        <v>8418</v>
      </c>
      <c r="DC4258" s="122" t="s">
        <v>1733</v>
      </c>
      <c r="DD4258" s="127">
        <v>2</v>
      </c>
      <c r="DE4258" s="127">
        <v>2</v>
      </c>
      <c r="DG4258" s="405" t="s">
        <v>236</v>
      </c>
      <c r="DH4258" s="406" t="s">
        <v>1733</v>
      </c>
      <c r="DI4258" s="406" t="str">
        <f t="shared" si="98"/>
        <v>RS, Restinga Seca</v>
      </c>
      <c r="DJ4258" s="406">
        <v>-29.812999999999999</v>
      </c>
      <c r="DK4258" s="80">
        <v>-53.375</v>
      </c>
      <c r="DL4258" s="80">
        <v>49</v>
      </c>
      <c r="DM4258" s="64">
        <v>2</v>
      </c>
      <c r="DN4258" s="406" t="s">
        <v>8209</v>
      </c>
      <c r="DO4258" s="406">
        <v>-29.68</v>
      </c>
      <c r="DP4258" s="80">
        <v>95</v>
      </c>
    </row>
    <row r="4259" spans="29:120" x14ac:dyDescent="0.25">
      <c r="AC4259" s="122" t="s">
        <v>268</v>
      </c>
      <c r="AD4259" s="122" t="s">
        <v>4519</v>
      </c>
      <c r="AE4259" s="127">
        <v>8</v>
      </c>
      <c r="DA4259" s="122" t="s">
        <v>236</v>
      </c>
      <c r="DB4259" s="122" t="s">
        <v>8419</v>
      </c>
      <c r="DC4259" s="122" t="s">
        <v>1592</v>
      </c>
      <c r="DD4259" s="127">
        <v>2</v>
      </c>
      <c r="DE4259" s="127">
        <v>2</v>
      </c>
      <c r="DG4259" s="405" t="s">
        <v>236</v>
      </c>
      <c r="DH4259" s="406" t="s">
        <v>1592</v>
      </c>
      <c r="DI4259" s="406" t="str">
        <f t="shared" si="98"/>
        <v>RS, Rio dos Índios</v>
      </c>
      <c r="DJ4259" s="406">
        <v>-27.3</v>
      </c>
      <c r="DK4259" s="80">
        <v>-52.841000000000001</v>
      </c>
      <c r="DL4259" s="80">
        <v>595</v>
      </c>
      <c r="DM4259" s="64">
        <v>2</v>
      </c>
      <c r="DN4259" s="406" t="s">
        <v>8215</v>
      </c>
      <c r="DO4259" s="406">
        <v>-27.4</v>
      </c>
      <c r="DP4259" s="80">
        <v>490</v>
      </c>
    </row>
    <row r="4260" spans="29:120" x14ac:dyDescent="0.25">
      <c r="AC4260" s="122" t="s">
        <v>369</v>
      </c>
      <c r="AD4260" s="122" t="s">
        <v>4520</v>
      </c>
      <c r="AE4260" s="127">
        <v>7</v>
      </c>
      <c r="DA4260" s="122" t="s">
        <v>236</v>
      </c>
      <c r="DB4260" s="122" t="s">
        <v>8420</v>
      </c>
      <c r="DC4260" s="122" t="s">
        <v>1091</v>
      </c>
      <c r="DD4260" s="127">
        <v>3</v>
      </c>
      <c r="DE4260" s="127">
        <v>3</v>
      </c>
      <c r="DG4260" s="405" t="s">
        <v>236</v>
      </c>
      <c r="DH4260" s="406" t="s">
        <v>1091</v>
      </c>
      <c r="DI4260" s="406" t="str">
        <f t="shared" si="98"/>
        <v>RS, Rio Grande</v>
      </c>
      <c r="DJ4260" s="406">
        <v>-32.034999999999997</v>
      </c>
      <c r="DK4260" s="80">
        <v>-52.098999999999997</v>
      </c>
      <c r="DL4260" s="80">
        <v>5</v>
      </c>
      <c r="DM4260" s="64">
        <v>3</v>
      </c>
      <c r="DN4260" s="406" t="s">
        <v>8231</v>
      </c>
      <c r="DO4260" s="406">
        <v>-31.41</v>
      </c>
      <c r="DP4260" s="80">
        <v>464</v>
      </c>
    </row>
    <row r="4261" spans="29:120" x14ac:dyDescent="0.25">
      <c r="AC4261" s="122" t="s">
        <v>348</v>
      </c>
      <c r="AD4261" s="122" t="s">
        <v>4521</v>
      </c>
      <c r="AE4261" s="127">
        <v>7</v>
      </c>
      <c r="DA4261" s="122" t="s">
        <v>236</v>
      </c>
      <c r="DB4261" s="122" t="s">
        <v>8421</v>
      </c>
      <c r="DC4261" s="122" t="s">
        <v>1387</v>
      </c>
      <c r="DD4261" s="127">
        <v>2</v>
      </c>
      <c r="DE4261" s="127">
        <v>2</v>
      </c>
      <c r="DG4261" s="405" t="s">
        <v>236</v>
      </c>
      <c r="DH4261" s="406" t="s">
        <v>1387</v>
      </c>
      <c r="DI4261" s="406" t="str">
        <f t="shared" si="98"/>
        <v>RS, Rio Pardo</v>
      </c>
      <c r="DJ4261" s="406">
        <v>-29.99</v>
      </c>
      <c r="DK4261" s="80">
        <v>-52.378</v>
      </c>
      <c r="DL4261" s="80">
        <v>47</v>
      </c>
      <c r="DM4261" s="64">
        <v>2</v>
      </c>
      <c r="DN4261" s="406" t="s">
        <v>8263</v>
      </c>
      <c r="DO4261" s="406">
        <v>-29.87</v>
      </c>
      <c r="DP4261" s="80">
        <v>111</v>
      </c>
    </row>
    <row r="4262" spans="29:120" x14ac:dyDescent="0.25">
      <c r="AC4262" s="122" t="s">
        <v>348</v>
      </c>
      <c r="AD4262" s="122" t="s">
        <v>4522</v>
      </c>
      <c r="AE4262" s="127">
        <v>7</v>
      </c>
      <c r="DA4262" s="122" t="s">
        <v>236</v>
      </c>
      <c r="DB4262" s="122" t="s">
        <v>1103</v>
      </c>
      <c r="DC4262" s="122" t="s">
        <v>1103</v>
      </c>
      <c r="DD4262" s="127">
        <v>1</v>
      </c>
      <c r="DE4262" s="127">
        <v>1</v>
      </c>
      <c r="DG4262" s="405" t="s">
        <v>236</v>
      </c>
      <c r="DH4262" s="406" t="s">
        <v>1103</v>
      </c>
      <c r="DI4262" s="406" t="str">
        <f t="shared" si="98"/>
        <v>RS, Riozinho</v>
      </c>
      <c r="DJ4262" s="406">
        <v>-29.640999999999998</v>
      </c>
      <c r="DK4262" s="80">
        <v>-50.453000000000003</v>
      </c>
      <c r="DL4262" s="80">
        <v>90</v>
      </c>
      <c r="DM4262" s="64">
        <v>1</v>
      </c>
      <c r="DN4262" s="406" t="s">
        <v>8227</v>
      </c>
      <c r="DO4262" s="406">
        <v>-29.37</v>
      </c>
      <c r="DP4262" s="80">
        <v>830</v>
      </c>
    </row>
    <row r="4263" spans="29:120" x14ac:dyDescent="0.25">
      <c r="AC4263" s="122" t="s">
        <v>348</v>
      </c>
      <c r="AD4263" s="122" t="s">
        <v>4523</v>
      </c>
      <c r="AE4263" s="127">
        <v>7</v>
      </c>
      <c r="DA4263" s="122" t="s">
        <v>236</v>
      </c>
      <c r="DB4263" s="122" t="s">
        <v>8422</v>
      </c>
      <c r="DC4263" s="122" t="s">
        <v>1448</v>
      </c>
      <c r="DD4263" s="127">
        <v>2</v>
      </c>
      <c r="DE4263" s="127">
        <v>2</v>
      </c>
      <c r="DG4263" s="405" t="s">
        <v>236</v>
      </c>
      <c r="DH4263" s="406" t="s">
        <v>1448</v>
      </c>
      <c r="DI4263" s="406" t="str">
        <f t="shared" si="98"/>
        <v>RS, Roca Sales</v>
      </c>
      <c r="DJ4263" s="406">
        <v>-29.283999999999999</v>
      </c>
      <c r="DK4263" s="80">
        <v>-51.868000000000002</v>
      </c>
      <c r="DL4263" s="80">
        <v>60</v>
      </c>
      <c r="DM4263" s="64">
        <v>2</v>
      </c>
      <c r="DN4263" s="406" t="s">
        <v>8218</v>
      </c>
      <c r="DO4263" s="406">
        <v>-29.17</v>
      </c>
      <c r="DP4263" s="80">
        <v>640</v>
      </c>
    </row>
    <row r="4264" spans="29:120" x14ac:dyDescent="0.25">
      <c r="AC4264" s="122" t="s">
        <v>393</v>
      </c>
      <c r="AD4264" s="122" t="s">
        <v>4524</v>
      </c>
      <c r="AE4264" s="127">
        <v>7</v>
      </c>
      <c r="DA4264" s="122" t="s">
        <v>236</v>
      </c>
      <c r="DB4264" s="122" t="s">
        <v>8423</v>
      </c>
      <c r="DC4264" s="122" t="s">
        <v>1661</v>
      </c>
      <c r="DD4264" s="127">
        <v>2</v>
      </c>
      <c r="DE4264" s="127">
        <v>2</v>
      </c>
      <c r="DG4264" s="405" t="s">
        <v>236</v>
      </c>
      <c r="DH4264" s="406" t="s">
        <v>1661</v>
      </c>
      <c r="DI4264" s="406" t="str">
        <f t="shared" si="98"/>
        <v>RS, Rodeio Bonito</v>
      </c>
      <c r="DJ4264" s="406">
        <v>-27.471</v>
      </c>
      <c r="DK4264" s="80">
        <v>-53.168999999999997</v>
      </c>
      <c r="DL4264" s="80">
        <v>371</v>
      </c>
      <c r="DM4264" s="64">
        <v>2</v>
      </c>
      <c r="DN4264" s="406" t="s">
        <v>8215</v>
      </c>
      <c r="DO4264" s="406">
        <v>-27.4</v>
      </c>
      <c r="DP4264" s="80">
        <v>490</v>
      </c>
    </row>
    <row r="4265" spans="29:120" x14ac:dyDescent="0.25">
      <c r="AC4265" s="122" t="s">
        <v>369</v>
      </c>
      <c r="AD4265" s="122" t="s">
        <v>4525</v>
      </c>
      <c r="AE4265" s="127">
        <v>7</v>
      </c>
      <c r="DA4265" s="122" t="s">
        <v>236</v>
      </c>
      <c r="DB4265" s="122" t="s">
        <v>1737</v>
      </c>
      <c r="DC4265" s="122" t="s">
        <v>1737</v>
      </c>
      <c r="DD4265" s="127">
        <v>2</v>
      </c>
      <c r="DE4265" s="127">
        <v>2</v>
      </c>
      <c r="DG4265" s="405" t="s">
        <v>236</v>
      </c>
      <c r="DH4265" s="406" t="s">
        <v>1737</v>
      </c>
      <c r="DI4265" s="406" t="str">
        <f t="shared" si="98"/>
        <v>RS, Rolador</v>
      </c>
      <c r="DJ4265" s="406">
        <v>-28.257999999999999</v>
      </c>
      <c r="DK4265" s="80">
        <v>-54.817</v>
      </c>
      <c r="DL4265" s="80">
        <v>214</v>
      </c>
      <c r="DM4265" s="64">
        <v>2</v>
      </c>
      <c r="DN4265" s="406" t="s">
        <v>8211</v>
      </c>
      <c r="DO4265" s="406">
        <v>-28.41</v>
      </c>
      <c r="DP4265" s="80">
        <v>245</v>
      </c>
    </row>
    <row r="4266" spans="29:120" x14ac:dyDescent="0.25">
      <c r="AC4266" s="122" t="s">
        <v>348</v>
      </c>
      <c r="AD4266" s="122" t="s">
        <v>1864</v>
      </c>
      <c r="AE4266" s="127">
        <v>7</v>
      </c>
      <c r="DA4266" s="122" t="s">
        <v>236</v>
      </c>
      <c r="DB4266" s="122" t="s">
        <v>1134</v>
      </c>
      <c r="DC4266" s="122" t="s">
        <v>1134</v>
      </c>
      <c r="DD4266" s="127">
        <v>1</v>
      </c>
      <c r="DE4266" s="127">
        <v>1</v>
      </c>
      <c r="DG4266" s="405" t="s">
        <v>236</v>
      </c>
      <c r="DH4266" s="406" t="s">
        <v>1134</v>
      </c>
      <c r="DI4266" s="406" t="str">
        <f t="shared" si="98"/>
        <v>RS, Rolante</v>
      </c>
      <c r="DJ4266" s="406">
        <v>-29.651</v>
      </c>
      <c r="DK4266" s="80">
        <v>-50.576000000000001</v>
      </c>
      <c r="DL4266" s="80">
        <v>38</v>
      </c>
      <c r="DM4266" s="64">
        <v>1</v>
      </c>
      <c r="DN4266" s="406" t="s">
        <v>8227</v>
      </c>
      <c r="DO4266" s="406">
        <v>-29.37</v>
      </c>
      <c r="DP4266" s="80">
        <v>830</v>
      </c>
    </row>
    <row r="4267" spans="29:120" x14ac:dyDescent="0.25">
      <c r="AC4267" s="122" t="s">
        <v>348</v>
      </c>
      <c r="AD4267" s="122" t="s">
        <v>4526</v>
      </c>
      <c r="AE4267" s="127">
        <v>7</v>
      </c>
      <c r="DA4267" s="122" t="s">
        <v>236</v>
      </c>
      <c r="DB4267" s="122" t="s">
        <v>8424</v>
      </c>
      <c r="DC4267" s="122" t="s">
        <v>1711</v>
      </c>
      <c r="DD4267" s="127">
        <v>2</v>
      </c>
      <c r="DE4267" s="127">
        <v>2</v>
      </c>
      <c r="DG4267" s="405" t="s">
        <v>236</v>
      </c>
      <c r="DH4267" s="406" t="s">
        <v>1711</v>
      </c>
      <c r="DI4267" s="406" t="str">
        <f t="shared" si="98"/>
        <v>RS, Ronda Alta</v>
      </c>
      <c r="DJ4267" s="406">
        <v>-27.766999999999999</v>
      </c>
      <c r="DK4267" s="80">
        <v>-52.802</v>
      </c>
      <c r="DL4267" s="80">
        <v>450</v>
      </c>
      <c r="DM4267" s="64">
        <v>2</v>
      </c>
      <c r="DN4267" s="406" t="s">
        <v>8214</v>
      </c>
      <c r="DO4267" s="406">
        <v>-27.92</v>
      </c>
      <c r="DP4267" s="80">
        <v>642</v>
      </c>
    </row>
    <row r="4268" spans="29:120" x14ac:dyDescent="0.25">
      <c r="AC4268" s="122" t="s">
        <v>348</v>
      </c>
      <c r="AD4268" s="122" t="s">
        <v>4527</v>
      </c>
      <c r="AE4268" s="127">
        <v>7</v>
      </c>
      <c r="DA4268" s="122" t="s">
        <v>236</v>
      </c>
      <c r="DB4268" s="122" t="s">
        <v>1340</v>
      </c>
      <c r="DC4268" s="122" t="s">
        <v>1340</v>
      </c>
      <c r="DD4268" s="127">
        <v>2</v>
      </c>
      <c r="DE4268" s="127">
        <v>2</v>
      </c>
      <c r="DG4268" s="405" t="s">
        <v>236</v>
      </c>
      <c r="DH4268" s="406" t="s">
        <v>1340</v>
      </c>
      <c r="DI4268" s="406" t="str">
        <f t="shared" si="98"/>
        <v>RS, Rondinha</v>
      </c>
      <c r="DJ4268" s="406">
        <v>-27.827999999999999</v>
      </c>
      <c r="DK4268" s="80">
        <v>-52.91</v>
      </c>
      <c r="DL4268" s="80">
        <v>440</v>
      </c>
      <c r="DM4268" s="64">
        <v>2</v>
      </c>
      <c r="DN4268" s="406" t="s">
        <v>8214</v>
      </c>
      <c r="DO4268" s="406">
        <v>-27.92</v>
      </c>
      <c r="DP4268" s="80">
        <v>642</v>
      </c>
    </row>
    <row r="4269" spans="29:120" x14ac:dyDescent="0.25">
      <c r="AC4269" s="122" t="s">
        <v>348</v>
      </c>
      <c r="AD4269" s="122" t="s">
        <v>4528</v>
      </c>
      <c r="AE4269" s="127">
        <v>7</v>
      </c>
      <c r="DA4269" s="122" t="s">
        <v>236</v>
      </c>
      <c r="DB4269" s="122" t="s">
        <v>8425</v>
      </c>
      <c r="DC4269" s="122" t="s">
        <v>3299</v>
      </c>
      <c r="DD4269" s="127">
        <v>2</v>
      </c>
      <c r="DE4269" s="127">
        <v>2</v>
      </c>
      <c r="DG4269" s="405" t="s">
        <v>236</v>
      </c>
      <c r="DH4269" s="406" t="s">
        <v>3299</v>
      </c>
      <c r="DI4269" s="406" t="str">
        <f t="shared" si="98"/>
        <v>RS, Roque Gonzales</v>
      </c>
      <c r="DJ4269" s="406">
        <v>-28.131</v>
      </c>
      <c r="DK4269" s="80">
        <v>-55.026000000000003</v>
      </c>
      <c r="DL4269" s="80">
        <v>151</v>
      </c>
      <c r="DM4269" s="64">
        <v>2</v>
      </c>
      <c r="DN4269" s="406" t="s">
        <v>8211</v>
      </c>
      <c r="DO4269" s="406">
        <v>-28.41</v>
      </c>
      <c r="DP4269" s="80">
        <v>245</v>
      </c>
    </row>
    <row r="4270" spans="29:120" x14ac:dyDescent="0.25">
      <c r="AC4270" s="122" t="s">
        <v>369</v>
      </c>
      <c r="AD4270" s="122" t="s">
        <v>542</v>
      </c>
      <c r="AE4270" s="127">
        <v>7</v>
      </c>
      <c r="DA4270" s="122" t="s">
        <v>236</v>
      </c>
      <c r="DB4270" s="122" t="s">
        <v>8426</v>
      </c>
      <c r="DC4270" s="122" t="s">
        <v>1745</v>
      </c>
      <c r="DD4270" s="127">
        <v>2</v>
      </c>
      <c r="DE4270" s="127">
        <v>2</v>
      </c>
      <c r="DG4270" s="405" t="s">
        <v>236</v>
      </c>
      <c r="DH4270" s="406" t="s">
        <v>1745</v>
      </c>
      <c r="DI4270" s="406" t="str">
        <f t="shared" si="98"/>
        <v>RS, Rosário do Sul</v>
      </c>
      <c r="DJ4270" s="406">
        <v>-30.257999999999999</v>
      </c>
      <c r="DK4270" s="80">
        <v>-54.914000000000001</v>
      </c>
      <c r="DL4270" s="80">
        <v>125</v>
      </c>
      <c r="DM4270" s="64">
        <v>2</v>
      </c>
      <c r="DN4270" s="406" t="s">
        <v>8267</v>
      </c>
      <c r="DO4270" s="406">
        <v>-30.34</v>
      </c>
      <c r="DP4270" s="80">
        <v>126</v>
      </c>
    </row>
    <row r="4271" spans="29:120" x14ac:dyDescent="0.25">
      <c r="AC4271" s="122" t="s">
        <v>369</v>
      </c>
      <c r="AD4271" s="122" t="s">
        <v>4529</v>
      </c>
      <c r="AE4271" s="127">
        <v>7</v>
      </c>
      <c r="DA4271" s="122" t="s">
        <v>236</v>
      </c>
      <c r="DB4271" s="122" t="s">
        <v>8427</v>
      </c>
      <c r="DC4271" s="122" t="s">
        <v>1354</v>
      </c>
      <c r="DD4271" s="127">
        <v>2</v>
      </c>
      <c r="DE4271" s="127">
        <v>2</v>
      </c>
      <c r="DG4271" s="405" t="s">
        <v>236</v>
      </c>
      <c r="DH4271" s="406" t="s">
        <v>1354</v>
      </c>
      <c r="DI4271" s="406" t="str">
        <f t="shared" si="98"/>
        <v>RS, Sagrada Família</v>
      </c>
      <c r="DJ4271" s="406">
        <v>-27.707000000000001</v>
      </c>
      <c r="DK4271" s="80">
        <v>-53.136000000000003</v>
      </c>
      <c r="DL4271" s="80">
        <v>395</v>
      </c>
      <c r="DM4271" s="64">
        <v>2</v>
      </c>
      <c r="DN4271" s="406" t="s">
        <v>8214</v>
      </c>
      <c r="DO4271" s="406">
        <v>-27.92</v>
      </c>
      <c r="DP4271" s="80">
        <v>642</v>
      </c>
    </row>
    <row r="4272" spans="29:120" x14ac:dyDescent="0.25">
      <c r="AC4272" s="122" t="s">
        <v>234</v>
      </c>
      <c r="AD4272" s="122" t="s">
        <v>4530</v>
      </c>
      <c r="AE4272" s="127">
        <v>8</v>
      </c>
      <c r="DA4272" s="122" t="s">
        <v>236</v>
      </c>
      <c r="DB4272" s="122" t="s">
        <v>8428</v>
      </c>
      <c r="DC4272" s="122" t="s">
        <v>1630</v>
      </c>
      <c r="DD4272" s="127">
        <v>2</v>
      </c>
      <c r="DE4272" s="127">
        <v>2</v>
      </c>
      <c r="DG4272" s="405" t="s">
        <v>236</v>
      </c>
      <c r="DH4272" s="406" t="s">
        <v>1630</v>
      </c>
      <c r="DI4272" s="406" t="str">
        <f t="shared" si="98"/>
        <v>RS, Saldanha Marinho</v>
      </c>
      <c r="DJ4272" s="406">
        <v>-28.393000000000001</v>
      </c>
      <c r="DK4272" s="80">
        <v>-53.094999999999999</v>
      </c>
      <c r="DL4272" s="80">
        <v>525</v>
      </c>
      <c r="DM4272" s="64">
        <v>2</v>
      </c>
      <c r="DN4272" s="406" t="s">
        <v>8239</v>
      </c>
      <c r="DO4272" s="406">
        <v>-28.6</v>
      </c>
      <c r="DP4272" s="80">
        <v>432</v>
      </c>
    </row>
    <row r="4273" spans="29:120" x14ac:dyDescent="0.25">
      <c r="AC4273" s="122" t="s">
        <v>369</v>
      </c>
      <c r="AD4273" s="122" t="s">
        <v>4531</v>
      </c>
      <c r="AE4273" s="127">
        <v>7</v>
      </c>
      <c r="DA4273" s="122" t="s">
        <v>236</v>
      </c>
      <c r="DB4273" s="122" t="s">
        <v>8429</v>
      </c>
      <c r="DC4273" s="122" t="s">
        <v>1591</v>
      </c>
      <c r="DD4273" s="127">
        <v>2</v>
      </c>
      <c r="DE4273" s="127">
        <v>2</v>
      </c>
      <c r="DG4273" s="405" t="s">
        <v>236</v>
      </c>
      <c r="DH4273" s="406" t="s">
        <v>1591</v>
      </c>
      <c r="DI4273" s="406" t="str">
        <f t="shared" si="98"/>
        <v>RS, Salto do Jacuí</v>
      </c>
      <c r="DJ4273" s="406">
        <v>-29.088000000000001</v>
      </c>
      <c r="DK4273" s="80">
        <v>-53.213000000000001</v>
      </c>
      <c r="DL4273" s="80">
        <v>322</v>
      </c>
      <c r="DM4273" s="64">
        <v>2</v>
      </c>
      <c r="DN4273" s="406" t="s">
        <v>8239</v>
      </c>
      <c r="DO4273" s="406">
        <v>-28.6</v>
      </c>
      <c r="DP4273" s="80">
        <v>432</v>
      </c>
    </row>
    <row r="4274" spans="29:120" x14ac:dyDescent="0.25">
      <c r="AC4274" s="122" t="s">
        <v>369</v>
      </c>
      <c r="AD4274" s="122" t="s">
        <v>4532</v>
      </c>
      <c r="AE4274" s="127">
        <v>7</v>
      </c>
      <c r="DA4274" s="122" t="s">
        <v>236</v>
      </c>
      <c r="DB4274" s="122" t="s">
        <v>8430</v>
      </c>
      <c r="DC4274" s="122" t="s">
        <v>3203</v>
      </c>
      <c r="DD4274" s="127">
        <v>2</v>
      </c>
      <c r="DE4274" s="127">
        <v>2</v>
      </c>
      <c r="DG4274" s="405" t="s">
        <v>236</v>
      </c>
      <c r="DH4274" s="406" t="s">
        <v>3203</v>
      </c>
      <c r="DI4274" s="406" t="str">
        <f t="shared" si="98"/>
        <v>RS, Salvador das Missões</v>
      </c>
      <c r="DJ4274" s="406">
        <v>-28.126000000000001</v>
      </c>
      <c r="DK4274" s="80">
        <v>-54.835000000000001</v>
      </c>
      <c r="DL4274" s="80">
        <v>216</v>
      </c>
      <c r="DM4274" s="64">
        <v>2</v>
      </c>
      <c r="DN4274" s="406" t="s">
        <v>8211</v>
      </c>
      <c r="DO4274" s="406">
        <v>-28.41</v>
      </c>
      <c r="DP4274" s="80">
        <v>245</v>
      </c>
    </row>
    <row r="4275" spans="29:120" x14ac:dyDescent="0.25">
      <c r="AC4275" s="122" t="s">
        <v>369</v>
      </c>
      <c r="AD4275" s="122" t="s">
        <v>4533</v>
      </c>
      <c r="AE4275" s="127">
        <v>7</v>
      </c>
      <c r="DA4275" s="122" t="s">
        <v>236</v>
      </c>
      <c r="DB4275" s="122" t="s">
        <v>8431</v>
      </c>
      <c r="DC4275" s="122" t="s">
        <v>1491</v>
      </c>
      <c r="DD4275" s="127">
        <v>1</v>
      </c>
      <c r="DE4275" s="127">
        <v>1</v>
      </c>
      <c r="DG4275" s="405" t="s">
        <v>236</v>
      </c>
      <c r="DH4275" s="406" t="s">
        <v>1491</v>
      </c>
      <c r="DI4275" s="406" t="str">
        <f t="shared" si="98"/>
        <v>RS, Salvador do Sul</v>
      </c>
      <c r="DJ4275" s="406">
        <v>-29.437999999999999</v>
      </c>
      <c r="DK4275" s="80">
        <v>-51.511000000000003</v>
      </c>
      <c r="DL4275" s="80">
        <v>493</v>
      </c>
      <c r="DM4275" s="64">
        <v>1</v>
      </c>
      <c r="DN4275" s="406" t="s">
        <v>8218</v>
      </c>
      <c r="DO4275" s="406">
        <v>-29.17</v>
      </c>
      <c r="DP4275" s="80">
        <v>640</v>
      </c>
    </row>
    <row r="4276" spans="29:120" x14ac:dyDescent="0.25">
      <c r="AC4276" s="122" t="s">
        <v>348</v>
      </c>
      <c r="AD4276" s="122" t="s">
        <v>4534</v>
      </c>
      <c r="AE4276" s="127">
        <v>7</v>
      </c>
      <c r="DA4276" s="122" t="s">
        <v>236</v>
      </c>
      <c r="DB4276" s="122" t="s">
        <v>1635</v>
      </c>
      <c r="DC4276" s="122" t="s">
        <v>1635</v>
      </c>
      <c r="DD4276" s="127">
        <v>2</v>
      </c>
      <c r="DE4276" s="127">
        <v>2</v>
      </c>
      <c r="DG4276" s="405" t="s">
        <v>236</v>
      </c>
      <c r="DH4276" s="406" t="s">
        <v>1635</v>
      </c>
      <c r="DI4276" s="406" t="str">
        <f t="shared" si="98"/>
        <v>RS, Sananduva</v>
      </c>
      <c r="DJ4276" s="406">
        <v>-27.95</v>
      </c>
      <c r="DK4276" s="80">
        <v>-51.807000000000002</v>
      </c>
      <c r="DL4276" s="80">
        <v>636</v>
      </c>
      <c r="DM4276" s="64">
        <v>2</v>
      </c>
      <c r="DN4276" s="406" t="s">
        <v>8224</v>
      </c>
      <c r="DO4276" s="406">
        <v>-28.22</v>
      </c>
      <c r="DP4276" s="80">
        <v>842</v>
      </c>
    </row>
    <row r="4277" spans="29:120" x14ac:dyDescent="0.25">
      <c r="AC4277" s="122" t="s">
        <v>369</v>
      </c>
      <c r="AD4277" s="122" t="s">
        <v>4535</v>
      </c>
      <c r="AE4277" s="127">
        <v>7</v>
      </c>
      <c r="DA4277" s="122" t="s">
        <v>236</v>
      </c>
      <c r="DB4277" s="122" t="s">
        <v>8432</v>
      </c>
      <c r="DC4277" s="122" t="s">
        <v>1679</v>
      </c>
      <c r="DD4277" s="127">
        <v>2</v>
      </c>
      <c r="DE4277" s="127">
        <v>2</v>
      </c>
      <c r="DG4277" s="405" t="s">
        <v>236</v>
      </c>
      <c r="DH4277" s="406" t="s">
        <v>1679</v>
      </c>
      <c r="DI4277" s="406" t="str">
        <f t="shared" si="98"/>
        <v>RS, Santa Bárbara do Sul</v>
      </c>
      <c r="DJ4277" s="406">
        <v>-28.358000000000001</v>
      </c>
      <c r="DK4277" s="80">
        <v>-53.247</v>
      </c>
      <c r="DL4277" s="80">
        <v>511</v>
      </c>
      <c r="DM4277" s="64">
        <v>2</v>
      </c>
      <c r="DN4277" s="406" t="s">
        <v>8239</v>
      </c>
      <c r="DO4277" s="406">
        <v>-28.6</v>
      </c>
      <c r="DP4277" s="80">
        <v>432</v>
      </c>
    </row>
    <row r="4278" spans="29:120" x14ac:dyDescent="0.25">
      <c r="AC4278" s="122" t="s">
        <v>369</v>
      </c>
      <c r="AD4278" s="122" t="s">
        <v>4536</v>
      </c>
      <c r="AE4278" s="127">
        <v>7</v>
      </c>
      <c r="DA4278" s="122" t="s">
        <v>236</v>
      </c>
      <c r="DB4278" s="122" t="s">
        <v>8433</v>
      </c>
      <c r="DC4278" s="122" t="s">
        <v>1305</v>
      </c>
      <c r="DD4278" s="127">
        <v>2</v>
      </c>
      <c r="DE4278" s="127">
        <v>2</v>
      </c>
      <c r="DG4278" s="405" t="s">
        <v>236</v>
      </c>
      <c r="DH4278" s="406" t="s">
        <v>1305</v>
      </c>
      <c r="DI4278" s="406" t="str">
        <f t="shared" si="98"/>
        <v>RS, Santa Cecília do Sul</v>
      </c>
      <c r="DJ4278" s="406">
        <v>-28.161999999999999</v>
      </c>
      <c r="DK4278" s="80">
        <v>-51.924999999999997</v>
      </c>
      <c r="DL4278" s="80">
        <v>646</v>
      </c>
      <c r="DM4278" s="64">
        <v>2</v>
      </c>
      <c r="DN4278" s="406" t="s">
        <v>8224</v>
      </c>
      <c r="DO4278" s="406">
        <v>-28.22</v>
      </c>
      <c r="DP4278" s="80">
        <v>842</v>
      </c>
    </row>
    <row r="4279" spans="29:120" x14ac:dyDescent="0.25">
      <c r="AC4279" s="122" t="s">
        <v>348</v>
      </c>
      <c r="AD4279" s="122" t="s">
        <v>592</v>
      </c>
      <c r="AE4279" s="127">
        <v>7</v>
      </c>
      <c r="DA4279" s="122" t="s">
        <v>236</v>
      </c>
      <c r="DB4279" s="122" t="s">
        <v>8434</v>
      </c>
      <c r="DC4279" s="122" t="s">
        <v>1428</v>
      </c>
      <c r="DD4279" s="127">
        <v>2</v>
      </c>
      <c r="DE4279" s="127">
        <v>2</v>
      </c>
      <c r="DG4279" s="405" t="s">
        <v>236</v>
      </c>
      <c r="DH4279" s="406" t="s">
        <v>1428</v>
      </c>
      <c r="DI4279" s="406" t="str">
        <f t="shared" si="98"/>
        <v>RS, Santa Clara do Sul</v>
      </c>
      <c r="DJ4279" s="406">
        <v>-29.469000000000001</v>
      </c>
      <c r="DK4279" s="80">
        <v>-52.088000000000001</v>
      </c>
      <c r="DL4279" s="80">
        <v>117</v>
      </c>
      <c r="DM4279" s="64">
        <v>2</v>
      </c>
      <c r="DN4279" s="406" t="s">
        <v>8263</v>
      </c>
      <c r="DO4279" s="406">
        <v>-29.87</v>
      </c>
      <c r="DP4279" s="80">
        <v>111</v>
      </c>
    </row>
    <row r="4280" spans="29:120" x14ac:dyDescent="0.25">
      <c r="AC4280" s="122" t="s">
        <v>369</v>
      </c>
      <c r="AD4280" s="122" t="s">
        <v>4537</v>
      </c>
      <c r="AE4280" s="127">
        <v>7</v>
      </c>
      <c r="DA4280" s="122" t="s">
        <v>236</v>
      </c>
      <c r="DB4280" s="122" t="s">
        <v>8435</v>
      </c>
      <c r="DC4280" s="122" t="s">
        <v>1589</v>
      </c>
      <c r="DD4280" s="127">
        <v>2</v>
      </c>
      <c r="DE4280" s="127">
        <v>2</v>
      </c>
      <c r="DG4280" s="405" t="s">
        <v>236</v>
      </c>
      <c r="DH4280" s="406" t="s">
        <v>1589</v>
      </c>
      <c r="DI4280" s="406" t="str">
        <f t="shared" si="98"/>
        <v>RS, Santa Cruz do Sul</v>
      </c>
      <c r="DJ4280" s="406">
        <v>-29.718</v>
      </c>
      <c r="DK4280" s="80">
        <v>-52.426000000000002</v>
      </c>
      <c r="DL4280" s="80">
        <v>73</v>
      </c>
      <c r="DM4280" s="64">
        <v>2</v>
      </c>
      <c r="DN4280" s="406" t="s">
        <v>8263</v>
      </c>
      <c r="DO4280" s="406">
        <v>-29.87</v>
      </c>
      <c r="DP4280" s="80">
        <v>111</v>
      </c>
    </row>
    <row r="4281" spans="29:120" x14ac:dyDescent="0.25">
      <c r="AC4281" s="122" t="s">
        <v>369</v>
      </c>
      <c r="AD4281" s="122" t="s">
        <v>4538</v>
      </c>
      <c r="AE4281" s="127">
        <v>7</v>
      </c>
      <c r="DA4281" s="122" t="s">
        <v>236</v>
      </c>
      <c r="DB4281" s="122" t="s">
        <v>8436</v>
      </c>
      <c r="DC4281" s="122" t="s">
        <v>1415</v>
      </c>
      <c r="DD4281" s="127">
        <v>2</v>
      </c>
      <c r="DE4281" s="127">
        <v>2</v>
      </c>
      <c r="DG4281" s="405" t="s">
        <v>236</v>
      </c>
      <c r="DH4281" s="406" t="s">
        <v>1415</v>
      </c>
      <c r="DI4281" s="406" t="str">
        <f t="shared" si="98"/>
        <v>RS, Santa Margarida do Sul</v>
      </c>
      <c r="DJ4281" s="406">
        <v>-30.338999999999999</v>
      </c>
      <c r="DK4281" s="80">
        <v>-54.079000000000001</v>
      </c>
      <c r="DL4281" s="80">
        <v>110</v>
      </c>
      <c r="DM4281" s="64">
        <v>2</v>
      </c>
      <c r="DN4281" s="406" t="s">
        <v>8267</v>
      </c>
      <c r="DO4281" s="406">
        <v>-30.34</v>
      </c>
      <c r="DP4281" s="80">
        <v>126</v>
      </c>
    </row>
    <row r="4282" spans="29:120" x14ac:dyDescent="0.25">
      <c r="AC4282" s="122" t="s">
        <v>393</v>
      </c>
      <c r="AD4282" s="122" t="s">
        <v>4539</v>
      </c>
      <c r="AE4282" s="127">
        <v>7</v>
      </c>
      <c r="DA4282" s="122" t="s">
        <v>236</v>
      </c>
      <c r="DB4282" s="122" t="s">
        <v>8138</v>
      </c>
      <c r="DC4282" s="122" t="s">
        <v>1750</v>
      </c>
      <c r="DD4282" s="127">
        <v>2</v>
      </c>
      <c r="DE4282" s="127">
        <v>2</v>
      </c>
      <c r="DG4282" s="405" t="s">
        <v>236</v>
      </c>
      <c r="DH4282" s="406" t="s">
        <v>1750</v>
      </c>
      <c r="DI4282" s="406" t="str">
        <f t="shared" si="98"/>
        <v>RS, Santa Maria</v>
      </c>
      <c r="DJ4282" s="406">
        <v>-29.684000000000001</v>
      </c>
      <c r="DK4282" s="80">
        <v>-53.807000000000002</v>
      </c>
      <c r="DL4282" s="80">
        <v>151</v>
      </c>
      <c r="DM4282" s="64">
        <v>2</v>
      </c>
      <c r="DN4282" s="406" t="s">
        <v>8209</v>
      </c>
      <c r="DO4282" s="406">
        <v>-29.68</v>
      </c>
      <c r="DP4282" s="80">
        <v>95</v>
      </c>
    </row>
    <row r="4283" spans="29:120" x14ac:dyDescent="0.25">
      <c r="AC4283" s="122" t="s">
        <v>369</v>
      </c>
      <c r="AD4283" s="122" t="s">
        <v>4540</v>
      </c>
      <c r="AE4283" s="127">
        <v>7</v>
      </c>
      <c r="DA4283" s="122" t="s">
        <v>236</v>
      </c>
      <c r="DB4283" s="122" t="s">
        <v>8437</v>
      </c>
      <c r="DC4283" s="122" t="s">
        <v>1239</v>
      </c>
      <c r="DD4283" s="127">
        <v>1</v>
      </c>
      <c r="DE4283" s="127">
        <v>1</v>
      </c>
      <c r="DG4283" s="405" t="s">
        <v>236</v>
      </c>
      <c r="DH4283" s="406" t="s">
        <v>1239</v>
      </c>
      <c r="DI4283" s="406" t="str">
        <f t="shared" si="98"/>
        <v>RS, Santa Maria do Herval</v>
      </c>
      <c r="DJ4283" s="406">
        <v>-29.498000000000001</v>
      </c>
      <c r="DK4283" s="80">
        <v>-50.993000000000002</v>
      </c>
      <c r="DL4283" s="80">
        <v>371</v>
      </c>
      <c r="DM4283" s="64">
        <v>1</v>
      </c>
      <c r="DN4283" s="406" t="s">
        <v>8227</v>
      </c>
      <c r="DO4283" s="406">
        <v>-29.37</v>
      </c>
      <c r="DP4283" s="80">
        <v>830</v>
      </c>
    </row>
    <row r="4284" spans="29:120" x14ac:dyDescent="0.25">
      <c r="AC4284" s="122" t="s">
        <v>369</v>
      </c>
      <c r="AD4284" s="122" t="s">
        <v>4541</v>
      </c>
      <c r="AE4284" s="127">
        <v>7</v>
      </c>
      <c r="DA4284" s="122" t="s">
        <v>236</v>
      </c>
      <c r="DB4284" s="122" t="s">
        <v>8438</v>
      </c>
      <c r="DC4284" s="122" t="s">
        <v>3101</v>
      </c>
      <c r="DD4284" s="127">
        <v>2</v>
      </c>
      <c r="DE4284" s="127">
        <v>2</v>
      </c>
      <c r="DG4284" s="405" t="s">
        <v>236</v>
      </c>
      <c r="DH4284" s="406" t="s">
        <v>3101</v>
      </c>
      <c r="DI4284" s="406" t="str">
        <f t="shared" si="98"/>
        <v>RS, Santa Rosa</v>
      </c>
      <c r="DJ4284" s="406">
        <v>-27.870999999999999</v>
      </c>
      <c r="DK4284" s="80">
        <v>-54.481000000000002</v>
      </c>
      <c r="DL4284" s="80">
        <v>277</v>
      </c>
      <c r="DM4284" s="64">
        <v>2</v>
      </c>
      <c r="DN4284" s="406" t="s">
        <v>8210</v>
      </c>
      <c r="DO4284" s="406">
        <v>-27.85</v>
      </c>
      <c r="DP4284" s="80">
        <v>550</v>
      </c>
    </row>
    <row r="4285" spans="29:120" x14ac:dyDescent="0.25">
      <c r="AC4285" s="122" t="s">
        <v>369</v>
      </c>
      <c r="AD4285" s="122" t="s">
        <v>4542</v>
      </c>
      <c r="AE4285" s="127">
        <v>7</v>
      </c>
      <c r="DA4285" s="122" t="s">
        <v>236</v>
      </c>
      <c r="DB4285" s="122" t="s">
        <v>8439</v>
      </c>
      <c r="DC4285" s="122" t="s">
        <v>1523</v>
      </c>
      <c r="DD4285" s="127">
        <v>2</v>
      </c>
      <c r="DE4285" s="127">
        <v>2</v>
      </c>
      <c r="DG4285" s="405" t="s">
        <v>236</v>
      </c>
      <c r="DH4285" s="406" t="s">
        <v>1523</v>
      </c>
      <c r="DI4285" s="406" t="str">
        <f t="shared" si="98"/>
        <v>RS, Santa Tereza</v>
      </c>
      <c r="DJ4285" s="406">
        <v>-29.169</v>
      </c>
      <c r="DK4285" s="80">
        <v>-51.734999999999999</v>
      </c>
      <c r="DL4285" s="80">
        <v>87</v>
      </c>
      <c r="DM4285" s="64">
        <v>2</v>
      </c>
      <c r="DN4285" s="406" t="s">
        <v>8218</v>
      </c>
      <c r="DO4285" s="406">
        <v>-29.17</v>
      </c>
      <c r="DP4285" s="80">
        <v>640</v>
      </c>
    </row>
    <row r="4286" spans="29:120" x14ac:dyDescent="0.25">
      <c r="AC4286" s="122" t="s">
        <v>369</v>
      </c>
      <c r="AD4286" s="122" t="s">
        <v>4543</v>
      </c>
      <c r="AE4286" s="127">
        <v>7</v>
      </c>
      <c r="DA4286" s="122" t="s">
        <v>236</v>
      </c>
      <c r="DB4286" s="122" t="s">
        <v>8440</v>
      </c>
      <c r="DC4286" s="122" t="s">
        <v>1200</v>
      </c>
      <c r="DD4286" s="127">
        <v>2</v>
      </c>
      <c r="DE4286" s="127">
        <v>2</v>
      </c>
      <c r="DG4286" s="405" t="s">
        <v>236</v>
      </c>
      <c r="DH4286" s="406" t="s">
        <v>1200</v>
      </c>
      <c r="DI4286" s="406" t="str">
        <f t="shared" si="98"/>
        <v>RS, Santa Vitória do Palmar</v>
      </c>
      <c r="DJ4286" s="406">
        <v>-33.518999999999998</v>
      </c>
      <c r="DK4286" s="80">
        <v>-53.368000000000002</v>
      </c>
      <c r="DL4286" s="80">
        <v>23</v>
      </c>
      <c r="DM4286" s="64">
        <v>2</v>
      </c>
      <c r="DN4286" s="406" t="s">
        <v>8294</v>
      </c>
      <c r="DO4286" s="406">
        <v>-33.74</v>
      </c>
      <c r="DP4286" s="80">
        <v>26</v>
      </c>
    </row>
    <row r="4287" spans="29:120" x14ac:dyDescent="0.25">
      <c r="AC4287" s="122" t="s">
        <v>369</v>
      </c>
      <c r="AD4287" s="122" t="s">
        <v>4544</v>
      </c>
      <c r="AE4287" s="127">
        <v>7</v>
      </c>
      <c r="DA4287" s="122" t="s">
        <v>236</v>
      </c>
      <c r="DB4287" s="122" t="s">
        <v>8441</v>
      </c>
      <c r="DC4287" s="122" t="s">
        <v>1392</v>
      </c>
      <c r="DD4287" s="127">
        <v>2</v>
      </c>
      <c r="DE4287" s="127">
        <v>2</v>
      </c>
      <c r="DG4287" s="405" t="s">
        <v>236</v>
      </c>
      <c r="DH4287" s="406" t="s">
        <v>1392</v>
      </c>
      <c r="DI4287" s="406" t="str">
        <f t="shared" si="98"/>
        <v>RS, Santana da Boa Vista</v>
      </c>
      <c r="DJ4287" s="406">
        <v>-30.872</v>
      </c>
      <c r="DK4287" s="80">
        <v>-53.115000000000002</v>
      </c>
      <c r="DL4287" s="80">
        <v>306</v>
      </c>
      <c r="DM4287" s="64">
        <v>2</v>
      </c>
      <c r="DN4287" s="406" t="s">
        <v>8266</v>
      </c>
      <c r="DO4287" s="406">
        <v>-30.51</v>
      </c>
      <c r="DP4287" s="80">
        <v>420</v>
      </c>
    </row>
    <row r="4288" spans="29:120" x14ac:dyDescent="0.25">
      <c r="AC4288" s="122" t="s">
        <v>369</v>
      </c>
      <c r="AD4288" s="122" t="s">
        <v>4545</v>
      </c>
      <c r="AE4288" s="127">
        <v>7</v>
      </c>
      <c r="DA4288" s="122" t="s">
        <v>236</v>
      </c>
      <c r="DB4288" s="122" t="s">
        <v>8442</v>
      </c>
      <c r="DC4288" s="122" t="s">
        <v>1763</v>
      </c>
      <c r="DD4288" s="127">
        <v>2</v>
      </c>
      <c r="DE4288" s="127">
        <v>2</v>
      </c>
      <c r="DG4288" s="405" t="s">
        <v>236</v>
      </c>
      <c r="DH4288" s="406" t="s">
        <v>8443</v>
      </c>
      <c r="DI4288" s="406" t="str">
        <f t="shared" si="98"/>
        <v>RS, Sant'Ana do Livramento</v>
      </c>
      <c r="DJ4288" s="406">
        <v>-30.890999999999998</v>
      </c>
      <c r="DK4288" s="80">
        <v>-55.533000000000001</v>
      </c>
      <c r="DL4288" s="80">
        <v>208</v>
      </c>
      <c r="DM4288" s="64">
        <v>2</v>
      </c>
      <c r="DN4288" s="406" t="s">
        <v>8444</v>
      </c>
      <c r="DO4288" s="406">
        <v>-30.89</v>
      </c>
      <c r="DP4288" s="80">
        <v>328</v>
      </c>
    </row>
    <row r="4289" spans="29:120" x14ac:dyDescent="0.25">
      <c r="AC4289" s="122" t="s">
        <v>369</v>
      </c>
      <c r="AD4289" s="122" t="s">
        <v>4546</v>
      </c>
      <c r="AE4289" s="127">
        <v>7</v>
      </c>
      <c r="DA4289" s="122" t="s">
        <v>236</v>
      </c>
      <c r="DB4289" s="122" t="s">
        <v>1376</v>
      </c>
      <c r="DC4289" s="122" t="s">
        <v>1376</v>
      </c>
      <c r="DD4289" s="127">
        <v>2</v>
      </c>
      <c r="DE4289" s="127">
        <v>2</v>
      </c>
      <c r="DG4289" s="405" t="s">
        <v>236</v>
      </c>
      <c r="DH4289" s="406" t="s">
        <v>1376</v>
      </c>
      <c r="DI4289" s="406" t="str">
        <f t="shared" si="98"/>
        <v>RS, Santiago</v>
      </c>
      <c r="DJ4289" s="406">
        <v>-29.192</v>
      </c>
      <c r="DK4289" s="80">
        <v>-54.866999999999997</v>
      </c>
      <c r="DL4289" s="80">
        <v>409</v>
      </c>
      <c r="DM4289" s="64">
        <v>2</v>
      </c>
      <c r="DN4289" s="406" t="s">
        <v>8283</v>
      </c>
      <c r="DO4289" s="406">
        <v>-29.19</v>
      </c>
      <c r="DP4289" s="80">
        <v>394</v>
      </c>
    </row>
    <row r="4290" spans="29:120" x14ac:dyDescent="0.25">
      <c r="AC4290" s="122" t="s">
        <v>348</v>
      </c>
      <c r="AD4290" s="122" t="s">
        <v>4547</v>
      </c>
      <c r="AE4290" s="127">
        <v>7</v>
      </c>
      <c r="DA4290" s="122" t="s">
        <v>236</v>
      </c>
      <c r="DB4290" s="122" t="s">
        <v>8445</v>
      </c>
      <c r="DC4290" s="122" t="s">
        <v>1516</v>
      </c>
      <c r="DD4290" s="127">
        <v>2</v>
      </c>
      <c r="DE4290" s="127">
        <v>2</v>
      </c>
      <c r="DG4290" s="405" t="s">
        <v>236</v>
      </c>
      <c r="DH4290" s="406" t="s">
        <v>1516</v>
      </c>
      <c r="DI4290" s="406" t="str">
        <f t="shared" si="98"/>
        <v>RS, Santo Ângelo</v>
      </c>
      <c r="DJ4290" s="406">
        <v>-28.298999999999999</v>
      </c>
      <c r="DK4290" s="80">
        <v>-54.262999999999998</v>
      </c>
      <c r="DL4290" s="80">
        <v>281</v>
      </c>
      <c r="DM4290" s="64">
        <v>2</v>
      </c>
      <c r="DN4290" s="406" t="s">
        <v>8210</v>
      </c>
      <c r="DO4290" s="406">
        <v>-27.85</v>
      </c>
      <c r="DP4290" s="80">
        <v>550</v>
      </c>
    </row>
    <row r="4291" spans="29:120" x14ac:dyDescent="0.25">
      <c r="AC4291" s="122" t="s">
        <v>369</v>
      </c>
      <c r="AD4291" s="122" t="s">
        <v>4548</v>
      </c>
      <c r="AE4291" s="127">
        <v>7</v>
      </c>
      <c r="DA4291" s="122" t="s">
        <v>236</v>
      </c>
      <c r="DB4291" s="122" t="s">
        <v>8446</v>
      </c>
      <c r="DC4291" s="122" t="s">
        <v>1095</v>
      </c>
      <c r="DD4291" s="127">
        <v>1</v>
      </c>
      <c r="DE4291" s="127">
        <v>1</v>
      </c>
      <c r="DG4291" s="405" t="s">
        <v>236</v>
      </c>
      <c r="DH4291" s="406" t="s">
        <v>1095</v>
      </c>
      <c r="DI4291" s="406" t="str">
        <f t="shared" ref="DI4291:DI4354" si="99">CONCATENATE(DG4291,", ",DH4291)</f>
        <v>RS, Santo Antônio da Patrulha</v>
      </c>
      <c r="DJ4291" s="406">
        <v>-29.818000000000001</v>
      </c>
      <c r="DK4291" s="80">
        <v>-50.52</v>
      </c>
      <c r="DL4291" s="80">
        <v>131</v>
      </c>
      <c r="DM4291" s="64">
        <v>1</v>
      </c>
      <c r="DN4291" s="406" t="s">
        <v>8241</v>
      </c>
      <c r="DO4291" s="406">
        <v>-30.01</v>
      </c>
      <c r="DP4291" s="80">
        <v>1</v>
      </c>
    </row>
    <row r="4292" spans="29:120" x14ac:dyDescent="0.25">
      <c r="AC4292" s="122" t="s">
        <v>369</v>
      </c>
      <c r="AD4292" s="122" t="s">
        <v>3094</v>
      </c>
      <c r="AE4292" s="127">
        <v>7</v>
      </c>
      <c r="DA4292" s="122" t="s">
        <v>236</v>
      </c>
      <c r="DB4292" s="122" t="s">
        <v>8447</v>
      </c>
      <c r="DC4292" s="122" t="s">
        <v>1743</v>
      </c>
      <c r="DD4292" s="127">
        <v>2</v>
      </c>
      <c r="DE4292" s="127">
        <v>2</v>
      </c>
      <c r="DG4292" s="405" t="s">
        <v>236</v>
      </c>
      <c r="DH4292" s="406" t="s">
        <v>1743</v>
      </c>
      <c r="DI4292" s="406" t="str">
        <f t="shared" si="99"/>
        <v>RS, Santo Antônio das Missões</v>
      </c>
      <c r="DJ4292" s="406">
        <v>-28.510999999999999</v>
      </c>
      <c r="DK4292" s="80">
        <v>-55.228000000000002</v>
      </c>
      <c r="DL4292" s="80">
        <v>213</v>
      </c>
      <c r="DM4292" s="64">
        <v>2</v>
      </c>
      <c r="DN4292" s="406" t="s">
        <v>8211</v>
      </c>
      <c r="DO4292" s="406">
        <v>-28.41</v>
      </c>
      <c r="DP4292" s="80">
        <v>245</v>
      </c>
    </row>
    <row r="4293" spans="29:120" x14ac:dyDescent="0.25">
      <c r="AC4293" s="122" t="s">
        <v>369</v>
      </c>
      <c r="AD4293" s="122" t="s">
        <v>4549</v>
      </c>
      <c r="AE4293" s="127">
        <v>8</v>
      </c>
      <c r="DA4293" s="122" t="s">
        <v>236</v>
      </c>
      <c r="DB4293" s="122" t="s">
        <v>8448</v>
      </c>
      <c r="DC4293" s="122" t="s">
        <v>1558</v>
      </c>
      <c r="DD4293" s="127">
        <v>2</v>
      </c>
      <c r="DE4293" s="127">
        <v>2</v>
      </c>
      <c r="DG4293" s="405" t="s">
        <v>236</v>
      </c>
      <c r="DH4293" s="406" t="s">
        <v>1558</v>
      </c>
      <c r="DI4293" s="406" t="str">
        <f t="shared" si="99"/>
        <v>RS, Santo Antônio do Palma</v>
      </c>
      <c r="DJ4293" s="406">
        <v>-28.497</v>
      </c>
      <c r="DK4293" s="80">
        <v>-52.024999999999999</v>
      </c>
      <c r="DL4293" s="80">
        <v>669</v>
      </c>
      <c r="DM4293" s="64">
        <v>2</v>
      </c>
      <c r="DN4293" s="406" t="s">
        <v>8208</v>
      </c>
      <c r="DO4293" s="406">
        <v>-28.26</v>
      </c>
      <c r="DP4293" s="80">
        <v>684</v>
      </c>
    </row>
    <row r="4294" spans="29:120" x14ac:dyDescent="0.25">
      <c r="AC4294" s="122" t="s">
        <v>268</v>
      </c>
      <c r="AD4294" s="122" t="s">
        <v>4550</v>
      </c>
      <c r="AE4294" s="127">
        <v>8</v>
      </c>
      <c r="DA4294" s="122" t="s">
        <v>236</v>
      </c>
      <c r="DB4294" s="122" t="s">
        <v>8449</v>
      </c>
      <c r="DC4294" s="122" t="s">
        <v>1271</v>
      </c>
      <c r="DD4294" s="127">
        <v>2</v>
      </c>
      <c r="DE4294" s="127">
        <v>2</v>
      </c>
      <c r="DG4294" s="405" t="s">
        <v>236</v>
      </c>
      <c r="DH4294" s="406" t="s">
        <v>1271</v>
      </c>
      <c r="DI4294" s="406" t="str">
        <f t="shared" si="99"/>
        <v>RS, Santo Antônio do Planalto</v>
      </c>
      <c r="DJ4294" s="406">
        <v>-28.396000000000001</v>
      </c>
      <c r="DK4294" s="80">
        <v>-52.691000000000003</v>
      </c>
      <c r="DL4294" s="80">
        <v>558</v>
      </c>
      <c r="DM4294" s="64">
        <v>2</v>
      </c>
      <c r="DN4294" s="406" t="s">
        <v>8208</v>
      </c>
      <c r="DO4294" s="406">
        <v>-28.26</v>
      </c>
      <c r="DP4294" s="80">
        <v>684</v>
      </c>
    </row>
    <row r="4295" spans="29:120" x14ac:dyDescent="0.25">
      <c r="AC4295" s="122" t="s">
        <v>348</v>
      </c>
      <c r="AD4295" s="122" t="s">
        <v>4551</v>
      </c>
      <c r="AE4295" s="127">
        <v>7</v>
      </c>
      <c r="DA4295" s="122" t="s">
        <v>236</v>
      </c>
      <c r="DB4295" s="122" t="s">
        <v>8450</v>
      </c>
      <c r="DC4295" s="122" t="s">
        <v>1411</v>
      </c>
      <c r="DD4295" s="127">
        <v>2</v>
      </c>
      <c r="DE4295" s="127">
        <v>2</v>
      </c>
      <c r="DG4295" s="405" t="s">
        <v>236</v>
      </c>
      <c r="DH4295" s="406" t="s">
        <v>1411</v>
      </c>
      <c r="DI4295" s="406" t="str">
        <f t="shared" si="99"/>
        <v>RS, Santo Augusto</v>
      </c>
      <c r="DJ4295" s="406">
        <v>-27.850999999999999</v>
      </c>
      <c r="DK4295" s="80">
        <v>-53.777000000000001</v>
      </c>
      <c r="DL4295" s="80">
        <v>528</v>
      </c>
      <c r="DM4295" s="64">
        <v>2</v>
      </c>
      <c r="DN4295" s="406" t="s">
        <v>8210</v>
      </c>
      <c r="DO4295" s="406">
        <v>-27.85</v>
      </c>
      <c r="DP4295" s="80">
        <v>550</v>
      </c>
    </row>
    <row r="4296" spans="29:120" x14ac:dyDescent="0.25">
      <c r="AC4296" s="122" t="s">
        <v>369</v>
      </c>
      <c r="AD4296" s="122" t="s">
        <v>2281</v>
      </c>
      <c r="AE4296" s="127">
        <v>7</v>
      </c>
      <c r="DA4296" s="122" t="s">
        <v>236</v>
      </c>
      <c r="DB4296" s="122" t="s">
        <v>8451</v>
      </c>
      <c r="DC4296" s="122" t="s">
        <v>3071</v>
      </c>
      <c r="DD4296" s="127">
        <v>2</v>
      </c>
      <c r="DE4296" s="127">
        <v>2</v>
      </c>
      <c r="DG4296" s="405" t="s">
        <v>236</v>
      </c>
      <c r="DH4296" s="406" t="s">
        <v>3071</v>
      </c>
      <c r="DI4296" s="406" t="str">
        <f t="shared" si="99"/>
        <v>RS, Santo Cristo</v>
      </c>
      <c r="DJ4296" s="406">
        <v>-27.824000000000002</v>
      </c>
      <c r="DK4296" s="80">
        <v>-54.662999999999997</v>
      </c>
      <c r="DL4296" s="80">
        <v>283</v>
      </c>
      <c r="DM4296" s="64">
        <v>2</v>
      </c>
      <c r="DN4296" s="406" t="s">
        <v>8211</v>
      </c>
      <c r="DO4296" s="406">
        <v>-28.41</v>
      </c>
      <c r="DP4296" s="80">
        <v>245</v>
      </c>
    </row>
    <row r="4297" spans="29:120" x14ac:dyDescent="0.25">
      <c r="AC4297" s="122" t="s">
        <v>369</v>
      </c>
      <c r="AD4297" s="122" t="s">
        <v>4552</v>
      </c>
      <c r="AE4297" s="127">
        <v>7</v>
      </c>
      <c r="DA4297" s="122" t="s">
        <v>236</v>
      </c>
      <c r="DB4297" s="122" t="s">
        <v>8452</v>
      </c>
      <c r="DC4297" s="122" t="s">
        <v>1577</v>
      </c>
      <c r="DD4297" s="127">
        <v>2</v>
      </c>
      <c r="DE4297" s="127">
        <v>2</v>
      </c>
      <c r="DG4297" s="405" t="s">
        <v>236</v>
      </c>
      <c r="DH4297" s="406" t="s">
        <v>1577</v>
      </c>
      <c r="DI4297" s="406" t="str">
        <f t="shared" si="99"/>
        <v>RS, Santo Expedito do Sul</v>
      </c>
      <c r="DJ4297" s="406">
        <v>-27.908000000000001</v>
      </c>
      <c r="DK4297" s="80">
        <v>-51.645000000000003</v>
      </c>
      <c r="DL4297" s="80">
        <v>662</v>
      </c>
      <c r="DM4297" s="64">
        <v>2</v>
      </c>
      <c r="DN4297" s="406" t="s">
        <v>8224</v>
      </c>
      <c r="DO4297" s="406">
        <v>-28.22</v>
      </c>
      <c r="DP4297" s="80">
        <v>842</v>
      </c>
    </row>
    <row r="4298" spans="29:120" x14ac:dyDescent="0.25">
      <c r="AC4298" s="122" t="s">
        <v>369</v>
      </c>
      <c r="AD4298" s="122" t="s">
        <v>4553</v>
      </c>
      <c r="AE4298" s="127">
        <v>7</v>
      </c>
      <c r="DA4298" s="122" t="s">
        <v>236</v>
      </c>
      <c r="DB4298" s="122" t="s">
        <v>8453</v>
      </c>
      <c r="DC4298" s="122" t="s">
        <v>1741</v>
      </c>
      <c r="DD4298" s="127">
        <v>2</v>
      </c>
      <c r="DE4298" s="127">
        <v>2</v>
      </c>
      <c r="DG4298" s="405" t="s">
        <v>236</v>
      </c>
      <c r="DH4298" s="406" t="s">
        <v>1741</v>
      </c>
      <c r="DI4298" s="406" t="str">
        <f t="shared" si="99"/>
        <v>RS, São Borja</v>
      </c>
      <c r="DJ4298" s="406">
        <v>-28.661000000000001</v>
      </c>
      <c r="DK4298" s="80">
        <v>-56.003999999999998</v>
      </c>
      <c r="DL4298" s="80">
        <v>123</v>
      </c>
      <c r="DM4298" s="64">
        <v>2</v>
      </c>
      <c r="DN4298" s="406" t="s">
        <v>8332</v>
      </c>
      <c r="DO4298" s="406">
        <v>-28.66</v>
      </c>
      <c r="DP4298" s="80">
        <v>83</v>
      </c>
    </row>
    <row r="4299" spans="29:120" x14ac:dyDescent="0.25">
      <c r="AC4299" s="122" t="s">
        <v>369</v>
      </c>
      <c r="AD4299" s="122" t="s">
        <v>4554</v>
      </c>
      <c r="AE4299" s="127">
        <v>7</v>
      </c>
      <c r="DA4299" s="122" t="s">
        <v>236</v>
      </c>
      <c r="DB4299" s="122" t="s">
        <v>8454</v>
      </c>
      <c r="DC4299" s="122" t="s">
        <v>1522</v>
      </c>
      <c r="DD4299" s="127">
        <v>2</v>
      </c>
      <c r="DE4299" s="127">
        <v>2</v>
      </c>
      <c r="DG4299" s="405" t="s">
        <v>236</v>
      </c>
      <c r="DH4299" s="406" t="s">
        <v>1522</v>
      </c>
      <c r="DI4299" s="406" t="str">
        <f t="shared" si="99"/>
        <v>RS, São Domingos do Sul</v>
      </c>
      <c r="DJ4299" s="406">
        <v>-28.530999999999999</v>
      </c>
      <c r="DK4299" s="80">
        <v>-51.887999999999998</v>
      </c>
      <c r="DL4299" s="80">
        <v>660</v>
      </c>
      <c r="DM4299" s="64">
        <v>2</v>
      </c>
      <c r="DN4299" s="406" t="s">
        <v>8224</v>
      </c>
      <c r="DO4299" s="406">
        <v>-28.22</v>
      </c>
      <c r="DP4299" s="80">
        <v>842</v>
      </c>
    </row>
    <row r="4300" spans="29:120" x14ac:dyDescent="0.25">
      <c r="AC4300" s="122" t="s">
        <v>369</v>
      </c>
      <c r="AD4300" s="122" t="s">
        <v>709</v>
      </c>
      <c r="AE4300" s="127">
        <v>7</v>
      </c>
      <c r="DA4300" s="122" t="s">
        <v>236</v>
      </c>
      <c r="DB4300" s="122" t="s">
        <v>8455</v>
      </c>
      <c r="DC4300" s="122" t="s">
        <v>1632</v>
      </c>
      <c r="DD4300" s="127">
        <v>2</v>
      </c>
      <c r="DE4300" s="127">
        <v>2</v>
      </c>
      <c r="DG4300" s="405" t="s">
        <v>236</v>
      </c>
      <c r="DH4300" s="406" t="s">
        <v>1632</v>
      </c>
      <c r="DI4300" s="406" t="str">
        <f t="shared" si="99"/>
        <v>RS, São Francisco de Assis</v>
      </c>
      <c r="DJ4300" s="406">
        <v>-29.55</v>
      </c>
      <c r="DK4300" s="80">
        <v>-55.131</v>
      </c>
      <c r="DL4300" s="80">
        <v>151</v>
      </c>
      <c r="DM4300" s="64">
        <v>2</v>
      </c>
      <c r="DN4300" s="406" t="s">
        <v>8283</v>
      </c>
      <c r="DO4300" s="406">
        <v>-29.19</v>
      </c>
      <c r="DP4300" s="80">
        <v>394</v>
      </c>
    </row>
    <row r="4301" spans="29:120" x14ac:dyDescent="0.25">
      <c r="AC4301" s="122" t="s">
        <v>369</v>
      </c>
      <c r="AD4301" s="122" t="s">
        <v>4555</v>
      </c>
      <c r="AE4301" s="127">
        <v>7</v>
      </c>
      <c r="DA4301" s="122" t="s">
        <v>236</v>
      </c>
      <c r="DB4301" s="122" t="s">
        <v>7166</v>
      </c>
      <c r="DC4301" s="122" t="s">
        <v>690</v>
      </c>
      <c r="DD4301" s="127">
        <v>1</v>
      </c>
      <c r="DE4301" s="127">
        <v>1</v>
      </c>
      <c r="DG4301" s="405" t="s">
        <v>236</v>
      </c>
      <c r="DH4301" s="406" t="s">
        <v>690</v>
      </c>
      <c r="DI4301" s="406" t="str">
        <f t="shared" si="99"/>
        <v>RS, São Francisco de Paula</v>
      </c>
      <c r="DJ4301" s="406">
        <v>-29.448</v>
      </c>
      <c r="DK4301" s="80">
        <v>-50.584000000000003</v>
      </c>
      <c r="DL4301" s="80">
        <v>907</v>
      </c>
      <c r="DM4301" s="64">
        <v>1</v>
      </c>
      <c r="DN4301" s="406" t="s">
        <v>8227</v>
      </c>
      <c r="DO4301" s="406">
        <v>-29.37</v>
      </c>
      <c r="DP4301" s="80">
        <v>830</v>
      </c>
    </row>
    <row r="4302" spans="29:120" x14ac:dyDescent="0.25">
      <c r="AC4302" s="122" t="s">
        <v>369</v>
      </c>
      <c r="AD4302" s="122" t="s">
        <v>4556</v>
      </c>
      <c r="AE4302" s="127">
        <v>7</v>
      </c>
      <c r="DA4302" s="122" t="s">
        <v>236</v>
      </c>
      <c r="DB4302" s="122" t="s">
        <v>6373</v>
      </c>
      <c r="DC4302" s="122" t="s">
        <v>1755</v>
      </c>
      <c r="DD4302" s="127">
        <v>2</v>
      </c>
      <c r="DE4302" s="127">
        <v>2</v>
      </c>
      <c r="DG4302" s="405" t="s">
        <v>236</v>
      </c>
      <c r="DH4302" s="406" t="s">
        <v>1755</v>
      </c>
      <c r="DI4302" s="406" t="str">
        <f t="shared" si="99"/>
        <v>RS, São Gabriel</v>
      </c>
      <c r="DJ4302" s="406">
        <v>-30.335999999999999</v>
      </c>
      <c r="DK4302" s="80">
        <v>-54.32</v>
      </c>
      <c r="DL4302" s="80">
        <v>114</v>
      </c>
      <c r="DM4302" s="64">
        <v>2</v>
      </c>
      <c r="DN4302" s="406" t="s">
        <v>8267</v>
      </c>
      <c r="DO4302" s="406">
        <v>-30.34</v>
      </c>
      <c r="DP4302" s="80">
        <v>126</v>
      </c>
    </row>
    <row r="4303" spans="29:120" x14ac:dyDescent="0.25">
      <c r="AC4303" s="122" t="s">
        <v>369</v>
      </c>
      <c r="AD4303" s="122" t="s">
        <v>4557</v>
      </c>
      <c r="AE4303" s="127">
        <v>7</v>
      </c>
      <c r="DA4303" s="122" t="s">
        <v>236</v>
      </c>
      <c r="DB4303" s="122" t="s">
        <v>8456</v>
      </c>
      <c r="DC4303" s="122" t="s">
        <v>1443</v>
      </c>
      <c r="DD4303" s="127">
        <v>3</v>
      </c>
      <c r="DE4303" s="127">
        <v>3</v>
      </c>
      <c r="DG4303" s="405" t="s">
        <v>236</v>
      </c>
      <c r="DH4303" s="406" t="s">
        <v>1443</v>
      </c>
      <c r="DI4303" s="406" t="str">
        <f t="shared" si="99"/>
        <v>RS, São Jerônimo</v>
      </c>
      <c r="DJ4303" s="406">
        <v>-29.959</v>
      </c>
      <c r="DK4303" s="80">
        <v>-51.722000000000001</v>
      </c>
      <c r="DL4303" s="80">
        <v>29</v>
      </c>
      <c r="DM4303" s="64">
        <v>3</v>
      </c>
      <c r="DN4303" s="406" t="s">
        <v>8219</v>
      </c>
      <c r="DO4303" s="406">
        <v>-30.03</v>
      </c>
      <c r="DP4303" s="80">
        <v>47</v>
      </c>
    </row>
    <row r="4304" spans="29:120" x14ac:dyDescent="0.25">
      <c r="AC4304" s="122" t="s">
        <v>369</v>
      </c>
      <c r="AD4304" s="122" t="s">
        <v>4558</v>
      </c>
      <c r="AE4304" s="127">
        <v>7</v>
      </c>
      <c r="DA4304" s="122" t="s">
        <v>236</v>
      </c>
      <c r="DB4304" s="122" t="s">
        <v>8457</v>
      </c>
      <c r="DC4304" s="122" t="s">
        <v>1625</v>
      </c>
      <c r="DD4304" s="127">
        <v>2</v>
      </c>
      <c r="DE4304" s="127">
        <v>2</v>
      </c>
      <c r="DG4304" s="405" t="s">
        <v>236</v>
      </c>
      <c r="DH4304" s="406" t="s">
        <v>1625</v>
      </c>
      <c r="DI4304" s="406" t="str">
        <f t="shared" si="99"/>
        <v>RS, São João da Urtiga</v>
      </c>
      <c r="DJ4304" s="406">
        <v>-27.82</v>
      </c>
      <c r="DK4304" s="80">
        <v>-51.828000000000003</v>
      </c>
      <c r="DL4304" s="80">
        <v>745</v>
      </c>
      <c r="DM4304" s="64">
        <v>2</v>
      </c>
      <c r="DN4304" s="406" t="s">
        <v>8228</v>
      </c>
      <c r="DO4304" s="406">
        <v>-27.63</v>
      </c>
      <c r="DP4304" s="80">
        <v>765</v>
      </c>
    </row>
    <row r="4305" spans="29:120" x14ac:dyDescent="0.25">
      <c r="AC4305" s="122" t="s">
        <v>369</v>
      </c>
      <c r="AD4305" s="122" t="s">
        <v>4559</v>
      </c>
      <c r="AE4305" s="127">
        <v>7</v>
      </c>
      <c r="DA4305" s="122" t="s">
        <v>236</v>
      </c>
      <c r="DB4305" s="122" t="s">
        <v>8458</v>
      </c>
      <c r="DC4305" s="122" t="s">
        <v>1693</v>
      </c>
      <c r="DD4305" s="127">
        <v>2</v>
      </c>
      <c r="DE4305" s="127">
        <v>2</v>
      </c>
      <c r="DG4305" s="405" t="s">
        <v>236</v>
      </c>
      <c r="DH4305" s="406" t="s">
        <v>1693</v>
      </c>
      <c r="DI4305" s="406" t="str">
        <f t="shared" si="99"/>
        <v>RS, São João do Polêsine</v>
      </c>
      <c r="DJ4305" s="406">
        <v>-29.614000000000001</v>
      </c>
      <c r="DK4305" s="80">
        <v>-53.445999999999998</v>
      </c>
      <c r="DL4305" s="80">
        <v>37</v>
      </c>
      <c r="DM4305" s="64">
        <v>2</v>
      </c>
      <c r="DN4305" s="406" t="s">
        <v>8209</v>
      </c>
      <c r="DO4305" s="406">
        <v>-29.68</v>
      </c>
      <c r="DP4305" s="80">
        <v>95</v>
      </c>
    </row>
    <row r="4306" spans="29:120" x14ac:dyDescent="0.25">
      <c r="AC4306" s="122" t="s">
        <v>393</v>
      </c>
      <c r="AD4306" s="122" t="s">
        <v>4560</v>
      </c>
      <c r="AE4306" s="127">
        <v>7</v>
      </c>
      <c r="DA4306" s="122" t="s">
        <v>236</v>
      </c>
      <c r="DB4306" s="122" t="s">
        <v>8459</v>
      </c>
      <c r="DC4306" s="122" t="s">
        <v>1211</v>
      </c>
      <c r="DD4306" s="127">
        <v>2</v>
      </c>
      <c r="DE4306" s="127">
        <v>2</v>
      </c>
      <c r="DG4306" s="405" t="s">
        <v>236</v>
      </c>
      <c r="DH4306" s="406" t="s">
        <v>1211</v>
      </c>
      <c r="DI4306" s="406" t="str">
        <f t="shared" si="99"/>
        <v>RS, São Jorge</v>
      </c>
      <c r="DJ4306" s="406">
        <v>-28.498999999999999</v>
      </c>
      <c r="DK4306" s="80">
        <v>-51.703000000000003</v>
      </c>
      <c r="DL4306" s="80">
        <v>640</v>
      </c>
      <c r="DM4306" s="64">
        <v>2</v>
      </c>
      <c r="DN4306" s="406" t="s">
        <v>8224</v>
      </c>
      <c r="DO4306" s="406">
        <v>-28.22</v>
      </c>
      <c r="DP4306" s="80">
        <v>842</v>
      </c>
    </row>
    <row r="4307" spans="29:120" x14ac:dyDescent="0.25">
      <c r="AC4307" s="122" t="s">
        <v>234</v>
      </c>
      <c r="AD4307" s="122" t="s">
        <v>4561</v>
      </c>
      <c r="AE4307" s="127">
        <v>8</v>
      </c>
      <c r="DA4307" s="122" t="s">
        <v>236</v>
      </c>
      <c r="DB4307" s="122" t="s">
        <v>8460</v>
      </c>
      <c r="DC4307" s="122" t="s">
        <v>1365</v>
      </c>
      <c r="DD4307" s="127">
        <v>2</v>
      </c>
      <c r="DE4307" s="127">
        <v>2</v>
      </c>
      <c r="DG4307" s="405" t="s">
        <v>236</v>
      </c>
      <c r="DH4307" s="406" t="s">
        <v>1365</v>
      </c>
      <c r="DI4307" s="406" t="str">
        <f t="shared" si="99"/>
        <v>RS, São José das Missões</v>
      </c>
      <c r="DJ4307" s="406">
        <v>-27.78</v>
      </c>
      <c r="DK4307" s="80">
        <v>-53.122</v>
      </c>
      <c r="DL4307" s="80">
        <v>509</v>
      </c>
      <c r="DM4307" s="64">
        <v>2</v>
      </c>
      <c r="DN4307" s="406" t="s">
        <v>8214</v>
      </c>
      <c r="DO4307" s="406">
        <v>-27.92</v>
      </c>
      <c r="DP4307" s="80">
        <v>642</v>
      </c>
    </row>
    <row r="4308" spans="29:120" x14ac:dyDescent="0.25">
      <c r="AC4308" s="122" t="s">
        <v>369</v>
      </c>
      <c r="AD4308" s="122" t="s">
        <v>4562</v>
      </c>
      <c r="AE4308" s="127">
        <v>7</v>
      </c>
      <c r="DA4308" s="122" t="s">
        <v>236</v>
      </c>
      <c r="DB4308" s="122" t="s">
        <v>8461</v>
      </c>
      <c r="DC4308" s="122" t="s">
        <v>1512</v>
      </c>
      <c r="DD4308" s="127">
        <v>2</v>
      </c>
      <c r="DE4308" s="127">
        <v>2</v>
      </c>
      <c r="DG4308" s="405" t="s">
        <v>236</v>
      </c>
      <c r="DH4308" s="406" t="s">
        <v>1512</v>
      </c>
      <c r="DI4308" s="406" t="str">
        <f t="shared" si="99"/>
        <v>RS, São José do Herval</v>
      </c>
      <c r="DJ4308" s="406">
        <v>-29.044</v>
      </c>
      <c r="DK4308" s="80">
        <v>-52.295999999999999</v>
      </c>
      <c r="DL4308" s="80">
        <v>680</v>
      </c>
      <c r="DM4308" s="64">
        <v>2</v>
      </c>
      <c r="DN4308" s="406" t="s">
        <v>8216</v>
      </c>
      <c r="DO4308" s="406">
        <v>-28.85</v>
      </c>
      <c r="DP4308" s="80">
        <v>667</v>
      </c>
    </row>
    <row r="4309" spans="29:120" x14ac:dyDescent="0.25">
      <c r="AC4309" s="122" t="s">
        <v>348</v>
      </c>
      <c r="AD4309" s="122" t="s">
        <v>2492</v>
      </c>
      <c r="AE4309" s="127">
        <v>7</v>
      </c>
      <c r="DA4309" s="122" t="s">
        <v>236</v>
      </c>
      <c r="DB4309" s="122" t="s">
        <v>8462</v>
      </c>
      <c r="DC4309" s="122" t="s">
        <v>1213</v>
      </c>
      <c r="DD4309" s="127">
        <v>1</v>
      </c>
      <c r="DE4309" s="127">
        <v>1</v>
      </c>
      <c r="DG4309" s="405" t="s">
        <v>236</v>
      </c>
      <c r="DH4309" s="406" t="s">
        <v>1213</v>
      </c>
      <c r="DI4309" s="406" t="str">
        <f t="shared" si="99"/>
        <v>RS, São José do Hortêncio</v>
      </c>
      <c r="DJ4309" s="406">
        <v>-29.527999999999999</v>
      </c>
      <c r="DK4309" s="80">
        <v>-51.250999999999998</v>
      </c>
      <c r="DL4309" s="80">
        <v>100</v>
      </c>
      <c r="DM4309" s="64">
        <v>1</v>
      </c>
      <c r="DN4309" s="406" t="s">
        <v>8227</v>
      </c>
      <c r="DO4309" s="406">
        <v>-29.37</v>
      </c>
      <c r="DP4309" s="80">
        <v>830</v>
      </c>
    </row>
    <row r="4310" spans="29:120" x14ac:dyDescent="0.25">
      <c r="AC4310" s="122" t="s">
        <v>344</v>
      </c>
      <c r="AD4310" s="122" t="s">
        <v>4563</v>
      </c>
      <c r="AE4310" s="127">
        <v>8</v>
      </c>
      <c r="DA4310" s="122" t="s">
        <v>236</v>
      </c>
      <c r="DB4310" s="122" t="s">
        <v>8463</v>
      </c>
      <c r="DC4310" s="122" t="s">
        <v>3147</v>
      </c>
      <c r="DD4310" s="127">
        <v>2</v>
      </c>
      <c r="DE4310" s="127">
        <v>2</v>
      </c>
      <c r="DG4310" s="405" t="s">
        <v>236</v>
      </c>
      <c r="DH4310" s="406" t="s">
        <v>3147</v>
      </c>
      <c r="DI4310" s="406" t="str">
        <f t="shared" si="99"/>
        <v>RS, São José do Inhacorá</v>
      </c>
      <c r="DJ4310" s="406">
        <v>-27.725000000000001</v>
      </c>
      <c r="DK4310" s="80">
        <v>-54.128999999999998</v>
      </c>
      <c r="DL4310" s="80">
        <v>220</v>
      </c>
      <c r="DM4310" s="64">
        <v>2</v>
      </c>
      <c r="DN4310" s="406" t="s">
        <v>8210</v>
      </c>
      <c r="DO4310" s="406">
        <v>-27.85</v>
      </c>
      <c r="DP4310" s="80">
        <v>550</v>
      </c>
    </row>
    <row r="4311" spans="29:120" x14ac:dyDescent="0.25">
      <c r="AC4311" s="122" t="s">
        <v>369</v>
      </c>
      <c r="AD4311" s="122" t="s">
        <v>4564</v>
      </c>
      <c r="AE4311" s="127">
        <v>7</v>
      </c>
      <c r="DA4311" s="122" t="s">
        <v>236</v>
      </c>
      <c r="DB4311" s="122" t="s">
        <v>8464</v>
      </c>
      <c r="DC4311" s="122" t="s">
        <v>1090</v>
      </c>
      <c r="DD4311" s="127">
        <v>3</v>
      </c>
      <c r="DE4311" s="127">
        <v>3</v>
      </c>
      <c r="DG4311" s="405" t="s">
        <v>236</v>
      </c>
      <c r="DH4311" s="406" t="s">
        <v>1090</v>
      </c>
      <c r="DI4311" s="406" t="str">
        <f t="shared" si="99"/>
        <v>RS, São José do Norte</v>
      </c>
      <c r="DJ4311" s="406">
        <v>-32.015000000000001</v>
      </c>
      <c r="DK4311" s="80">
        <v>-52.042000000000002</v>
      </c>
      <c r="DL4311" s="80">
        <v>4</v>
      </c>
      <c r="DM4311" s="64">
        <v>3</v>
      </c>
      <c r="DN4311" s="406" t="s">
        <v>8231</v>
      </c>
      <c r="DO4311" s="406">
        <v>-31.41</v>
      </c>
      <c r="DP4311" s="80">
        <v>464</v>
      </c>
    </row>
    <row r="4312" spans="29:120" x14ac:dyDescent="0.25">
      <c r="AC4312" s="122" t="s">
        <v>348</v>
      </c>
      <c r="AD4312" s="122" t="s">
        <v>4565</v>
      </c>
      <c r="AE4312" s="127">
        <v>7</v>
      </c>
      <c r="DA4312" s="122" t="s">
        <v>236</v>
      </c>
      <c r="DB4312" s="122" t="s">
        <v>8465</v>
      </c>
      <c r="DC4312" s="122" t="s">
        <v>1597</v>
      </c>
      <c r="DD4312" s="127">
        <v>2</v>
      </c>
      <c r="DE4312" s="127">
        <v>2</v>
      </c>
      <c r="DG4312" s="405" t="s">
        <v>236</v>
      </c>
      <c r="DH4312" s="406" t="s">
        <v>1597</v>
      </c>
      <c r="DI4312" s="406" t="str">
        <f t="shared" si="99"/>
        <v>RS, São José do Ouro</v>
      </c>
      <c r="DJ4312" s="406">
        <v>-27.768999999999998</v>
      </c>
      <c r="DK4312" s="80">
        <v>-51.594000000000001</v>
      </c>
      <c r="DL4312" s="80">
        <v>769</v>
      </c>
      <c r="DM4312" s="64">
        <v>2</v>
      </c>
      <c r="DN4312" s="406" t="s">
        <v>8224</v>
      </c>
      <c r="DO4312" s="406">
        <v>-28.22</v>
      </c>
      <c r="DP4312" s="80">
        <v>842</v>
      </c>
    </row>
    <row r="4313" spans="29:120" x14ac:dyDescent="0.25">
      <c r="AC4313" s="122" t="s">
        <v>369</v>
      </c>
      <c r="AD4313" s="122" t="s">
        <v>4566</v>
      </c>
      <c r="AE4313" s="127">
        <v>7</v>
      </c>
      <c r="DA4313" s="122" t="s">
        <v>236</v>
      </c>
      <c r="DB4313" s="122" t="s">
        <v>8466</v>
      </c>
      <c r="DC4313" s="122" t="s">
        <v>1482</v>
      </c>
      <c r="DD4313" s="127">
        <v>2</v>
      </c>
      <c r="DE4313" s="127">
        <v>2</v>
      </c>
      <c r="DG4313" s="405" t="s">
        <v>236</v>
      </c>
      <c r="DH4313" s="406" t="s">
        <v>1482</v>
      </c>
      <c r="DI4313" s="406" t="str">
        <f t="shared" si="99"/>
        <v>RS, São José do Sul</v>
      </c>
      <c r="DJ4313" s="406">
        <v>-29.530999999999999</v>
      </c>
      <c r="DK4313" s="80">
        <v>-51.481999999999999</v>
      </c>
      <c r="DL4313" s="80">
        <v>103</v>
      </c>
      <c r="DM4313" s="64">
        <v>2</v>
      </c>
      <c r="DN4313" s="406" t="s">
        <v>8218</v>
      </c>
      <c r="DO4313" s="406">
        <v>-29.17</v>
      </c>
      <c r="DP4313" s="80">
        <v>640</v>
      </c>
    </row>
    <row r="4314" spans="29:120" x14ac:dyDescent="0.25">
      <c r="AC4314" s="122" t="s">
        <v>369</v>
      </c>
      <c r="AD4314" s="122" t="s">
        <v>4567</v>
      </c>
      <c r="AE4314" s="127">
        <v>7</v>
      </c>
      <c r="DA4314" s="122" t="s">
        <v>236</v>
      </c>
      <c r="DB4314" s="122" t="s">
        <v>8467</v>
      </c>
      <c r="DC4314" s="122" t="s">
        <v>498</v>
      </c>
      <c r="DD4314" s="127">
        <v>1</v>
      </c>
      <c r="DE4314" s="127">
        <v>1</v>
      </c>
      <c r="DG4314" s="405" t="s">
        <v>236</v>
      </c>
      <c r="DH4314" s="406" t="s">
        <v>498</v>
      </c>
      <c r="DI4314" s="406" t="str">
        <f t="shared" si="99"/>
        <v>RS, São José dos Ausentes</v>
      </c>
      <c r="DJ4314" s="406">
        <v>-28.748000000000001</v>
      </c>
      <c r="DK4314" s="80">
        <v>-50.066000000000003</v>
      </c>
      <c r="DL4314" s="80">
        <v>116</v>
      </c>
      <c r="DM4314" s="64">
        <v>1</v>
      </c>
      <c r="DN4314" s="406" t="s">
        <v>8259</v>
      </c>
      <c r="DO4314" s="406">
        <v>-28.75</v>
      </c>
      <c r="DP4314" s="80">
        <v>1244</v>
      </c>
    </row>
    <row r="4315" spans="29:120" x14ac:dyDescent="0.25">
      <c r="AC4315" s="122" t="s">
        <v>369</v>
      </c>
      <c r="AD4315" s="122" t="s">
        <v>4568</v>
      </c>
      <c r="AE4315" s="127">
        <v>7</v>
      </c>
      <c r="DA4315" s="122" t="s">
        <v>236</v>
      </c>
      <c r="DB4315" s="122" t="s">
        <v>8468</v>
      </c>
      <c r="DC4315" s="122" t="s">
        <v>1214</v>
      </c>
      <c r="DD4315" s="127">
        <v>2</v>
      </c>
      <c r="DE4315" s="127">
        <v>2</v>
      </c>
      <c r="DG4315" s="405" t="s">
        <v>236</v>
      </c>
      <c r="DH4315" s="406" t="s">
        <v>1214</v>
      </c>
      <c r="DI4315" s="406" t="str">
        <f t="shared" si="99"/>
        <v>RS, São Leopoldo</v>
      </c>
      <c r="DJ4315" s="406">
        <v>-29.76</v>
      </c>
      <c r="DK4315" s="80">
        <v>-51.146999999999998</v>
      </c>
      <c r="DL4315" s="80">
        <v>15</v>
      </c>
      <c r="DM4315" s="64">
        <v>2</v>
      </c>
      <c r="DN4315" s="406" t="s">
        <v>8219</v>
      </c>
      <c r="DO4315" s="406">
        <v>-30.03</v>
      </c>
      <c r="DP4315" s="80">
        <v>47</v>
      </c>
    </row>
    <row r="4316" spans="29:120" x14ac:dyDescent="0.25">
      <c r="AC4316" s="122" t="s">
        <v>369</v>
      </c>
      <c r="AD4316" s="122" t="s">
        <v>4569</v>
      </c>
      <c r="AE4316" s="127">
        <v>7</v>
      </c>
      <c r="DA4316" s="122" t="s">
        <v>236</v>
      </c>
      <c r="DB4316" s="122" t="s">
        <v>8469</v>
      </c>
      <c r="DC4316" s="122" t="s">
        <v>1140</v>
      </c>
      <c r="DD4316" s="127">
        <v>2</v>
      </c>
      <c r="DE4316" s="127">
        <v>2</v>
      </c>
      <c r="DG4316" s="405" t="s">
        <v>236</v>
      </c>
      <c r="DH4316" s="406" t="s">
        <v>1140</v>
      </c>
      <c r="DI4316" s="406" t="str">
        <f t="shared" si="99"/>
        <v>RS, São Lourenço do Sul</v>
      </c>
      <c r="DJ4316" s="406">
        <v>-31.364999999999998</v>
      </c>
      <c r="DK4316" s="80">
        <v>-51.978000000000002</v>
      </c>
      <c r="DL4316" s="80">
        <v>19</v>
      </c>
      <c r="DM4316" s="64">
        <v>2</v>
      </c>
      <c r="DN4316" s="406" t="s">
        <v>8221</v>
      </c>
      <c r="DO4316" s="406">
        <v>-30.81</v>
      </c>
      <c r="DP4316" s="80">
        <v>108</v>
      </c>
    </row>
    <row r="4317" spans="29:120" x14ac:dyDescent="0.25">
      <c r="AC4317" s="122" t="s">
        <v>369</v>
      </c>
      <c r="AD4317" s="122" t="s">
        <v>4570</v>
      </c>
      <c r="AE4317" s="127">
        <v>7</v>
      </c>
      <c r="DA4317" s="122" t="s">
        <v>236</v>
      </c>
      <c r="DB4317" s="122" t="s">
        <v>8470</v>
      </c>
      <c r="DC4317" s="122" t="s">
        <v>1748</v>
      </c>
      <c r="DD4317" s="127">
        <v>2</v>
      </c>
      <c r="DE4317" s="127">
        <v>2</v>
      </c>
      <c r="DG4317" s="405" t="s">
        <v>236</v>
      </c>
      <c r="DH4317" s="406" t="s">
        <v>1748</v>
      </c>
      <c r="DI4317" s="406" t="str">
        <f t="shared" si="99"/>
        <v>RS, São Luiz Gonzaga</v>
      </c>
      <c r="DJ4317" s="406">
        <v>-28.408000000000001</v>
      </c>
      <c r="DK4317" s="80">
        <v>-54.960999999999999</v>
      </c>
      <c r="DL4317" s="80">
        <v>231</v>
      </c>
      <c r="DM4317" s="64">
        <v>2</v>
      </c>
      <c r="DN4317" s="406" t="s">
        <v>8211</v>
      </c>
      <c r="DO4317" s="406">
        <v>-28.41</v>
      </c>
      <c r="DP4317" s="80">
        <v>245</v>
      </c>
    </row>
    <row r="4318" spans="29:120" x14ac:dyDescent="0.25">
      <c r="AC4318" s="122" t="s">
        <v>234</v>
      </c>
      <c r="AD4318" s="122" t="s">
        <v>1425</v>
      </c>
      <c r="AE4318" s="127">
        <v>8</v>
      </c>
      <c r="DA4318" s="122" t="s">
        <v>236</v>
      </c>
      <c r="DB4318" s="122" t="s">
        <v>8471</v>
      </c>
      <c r="DC4318" s="122" t="s">
        <v>1185</v>
      </c>
      <c r="DD4318" s="127">
        <v>1</v>
      </c>
      <c r="DE4318" s="127">
        <v>1</v>
      </c>
      <c r="DG4318" s="405" t="s">
        <v>236</v>
      </c>
      <c r="DH4318" s="406" t="s">
        <v>1185</v>
      </c>
      <c r="DI4318" s="406" t="str">
        <f t="shared" si="99"/>
        <v>RS, São Marcos</v>
      </c>
      <c r="DJ4318" s="406">
        <v>-28.971</v>
      </c>
      <c r="DK4318" s="80">
        <v>-51.067999999999998</v>
      </c>
      <c r="DL4318" s="80">
        <v>746</v>
      </c>
      <c r="DM4318" s="64">
        <v>1</v>
      </c>
      <c r="DN4318" s="406" t="s">
        <v>8218</v>
      </c>
      <c r="DO4318" s="406">
        <v>-29.17</v>
      </c>
      <c r="DP4318" s="80">
        <v>640</v>
      </c>
    </row>
    <row r="4319" spans="29:120" x14ac:dyDescent="0.25">
      <c r="AC4319" s="122" t="s">
        <v>369</v>
      </c>
      <c r="AD4319" s="122" t="s">
        <v>4571</v>
      </c>
      <c r="AE4319" s="127">
        <v>7</v>
      </c>
      <c r="DA4319" s="122" t="s">
        <v>236</v>
      </c>
      <c r="DB4319" s="122" t="s">
        <v>8472</v>
      </c>
      <c r="DC4319" s="122" t="s">
        <v>1104</v>
      </c>
      <c r="DD4319" s="127">
        <v>2</v>
      </c>
      <c r="DE4319" s="127">
        <v>2</v>
      </c>
      <c r="DG4319" s="405" t="s">
        <v>236</v>
      </c>
      <c r="DH4319" s="406" t="s">
        <v>1104</v>
      </c>
      <c r="DI4319" s="406" t="str">
        <f t="shared" si="99"/>
        <v>RS, São Martinho</v>
      </c>
      <c r="DJ4319" s="406">
        <v>-27.707000000000001</v>
      </c>
      <c r="DK4319" s="80">
        <v>-53.969000000000001</v>
      </c>
      <c r="DL4319" s="80">
        <v>448</v>
      </c>
      <c r="DM4319" s="64">
        <v>2</v>
      </c>
      <c r="DN4319" s="406" t="s">
        <v>8210</v>
      </c>
      <c r="DO4319" s="406">
        <v>-27.85</v>
      </c>
      <c r="DP4319" s="80">
        <v>550</v>
      </c>
    </row>
    <row r="4320" spans="29:120" x14ac:dyDescent="0.25">
      <c r="AC4320" s="122" t="s">
        <v>369</v>
      </c>
      <c r="AD4320" s="122" t="s">
        <v>4572</v>
      </c>
      <c r="AE4320" s="127">
        <v>7</v>
      </c>
      <c r="DA4320" s="122" t="s">
        <v>236</v>
      </c>
      <c r="DB4320" s="122" t="s">
        <v>8473</v>
      </c>
      <c r="DC4320" s="122" t="s">
        <v>1727</v>
      </c>
      <c r="DD4320" s="127">
        <v>2</v>
      </c>
      <c r="DE4320" s="127">
        <v>2</v>
      </c>
      <c r="DG4320" s="405" t="s">
        <v>236</v>
      </c>
      <c r="DH4320" s="406" t="s">
        <v>1727</v>
      </c>
      <c r="DI4320" s="406" t="str">
        <f t="shared" si="99"/>
        <v>RS, São Martinho da Serra</v>
      </c>
      <c r="DJ4320" s="406">
        <v>-29.538</v>
      </c>
      <c r="DK4320" s="80">
        <v>-53.854999999999997</v>
      </c>
      <c r="DL4320" s="80">
        <v>453</v>
      </c>
      <c r="DM4320" s="64">
        <v>2</v>
      </c>
      <c r="DN4320" s="406" t="s">
        <v>8209</v>
      </c>
      <c r="DO4320" s="406">
        <v>-29.68</v>
      </c>
      <c r="DP4320" s="80">
        <v>95</v>
      </c>
    </row>
    <row r="4321" spans="29:120" x14ac:dyDescent="0.25">
      <c r="AC4321" s="122" t="s">
        <v>348</v>
      </c>
      <c r="AD4321" s="122" t="s">
        <v>2937</v>
      </c>
      <c r="AE4321" s="127">
        <v>7</v>
      </c>
      <c r="DA4321" s="122" t="s">
        <v>236</v>
      </c>
      <c r="DB4321" s="122" t="s">
        <v>8474</v>
      </c>
      <c r="DC4321" s="122" t="s">
        <v>1572</v>
      </c>
      <c r="DD4321" s="127">
        <v>2</v>
      </c>
      <c r="DE4321" s="127">
        <v>2</v>
      </c>
      <c r="DG4321" s="405" t="s">
        <v>236</v>
      </c>
      <c r="DH4321" s="406" t="s">
        <v>1572</v>
      </c>
      <c r="DI4321" s="406" t="str">
        <f t="shared" si="99"/>
        <v>RS, São Miguel das Missões</v>
      </c>
      <c r="DJ4321" s="406">
        <v>-28.562999999999999</v>
      </c>
      <c r="DK4321" s="80">
        <v>-54.554000000000002</v>
      </c>
      <c r="DL4321" s="80">
        <v>305</v>
      </c>
      <c r="DM4321" s="64">
        <v>2</v>
      </c>
      <c r="DN4321" s="406" t="s">
        <v>8211</v>
      </c>
      <c r="DO4321" s="406">
        <v>-28.41</v>
      </c>
      <c r="DP4321" s="80">
        <v>245</v>
      </c>
    </row>
    <row r="4322" spans="29:120" x14ac:dyDescent="0.25">
      <c r="AC4322" s="122" t="s">
        <v>328</v>
      </c>
      <c r="AD4322" s="122" t="s">
        <v>4573</v>
      </c>
      <c r="AE4322" s="127">
        <v>8</v>
      </c>
      <c r="DA4322" s="122" t="s">
        <v>236</v>
      </c>
      <c r="DB4322" s="122" t="s">
        <v>8475</v>
      </c>
      <c r="DC4322" s="122" t="s">
        <v>3331</v>
      </c>
      <c r="DD4322" s="127">
        <v>2</v>
      </c>
      <c r="DE4322" s="127">
        <v>2</v>
      </c>
      <c r="DG4322" s="405" t="s">
        <v>236</v>
      </c>
      <c r="DH4322" s="406" t="s">
        <v>3331</v>
      </c>
      <c r="DI4322" s="406" t="str">
        <f t="shared" si="99"/>
        <v>RS, São Nicolau</v>
      </c>
      <c r="DJ4322" s="406">
        <v>-28.183</v>
      </c>
      <c r="DK4322" s="80">
        <v>-55.267000000000003</v>
      </c>
      <c r="DL4322" s="80">
        <v>148</v>
      </c>
      <c r="DM4322" s="64">
        <v>2</v>
      </c>
      <c r="DN4322" s="406" t="s">
        <v>8211</v>
      </c>
      <c r="DO4322" s="406">
        <v>-28.41</v>
      </c>
      <c r="DP4322" s="80">
        <v>245</v>
      </c>
    </row>
    <row r="4323" spans="29:120" x14ac:dyDescent="0.25">
      <c r="AC4323" s="122" t="s">
        <v>348</v>
      </c>
      <c r="AD4323" s="122" t="s">
        <v>3664</v>
      </c>
      <c r="AE4323" s="127">
        <v>7</v>
      </c>
      <c r="DA4323" s="122" t="s">
        <v>236</v>
      </c>
      <c r="DB4323" s="122" t="s">
        <v>8476</v>
      </c>
      <c r="DC4323" s="122" t="s">
        <v>3181</v>
      </c>
      <c r="DD4323" s="127">
        <v>2</v>
      </c>
      <c r="DE4323" s="127">
        <v>2</v>
      </c>
      <c r="DG4323" s="405" t="s">
        <v>236</v>
      </c>
      <c r="DH4323" s="406" t="s">
        <v>3181</v>
      </c>
      <c r="DI4323" s="406" t="str">
        <f t="shared" si="99"/>
        <v>RS, São Paulo das Missões</v>
      </c>
      <c r="DJ4323" s="406">
        <v>-28.021000000000001</v>
      </c>
      <c r="DK4323" s="80">
        <v>-54.936</v>
      </c>
      <c r="DL4323" s="80">
        <v>157</v>
      </c>
      <c r="DM4323" s="64">
        <v>2</v>
      </c>
      <c r="DN4323" s="406" t="s">
        <v>8211</v>
      </c>
      <c r="DO4323" s="406">
        <v>-28.41</v>
      </c>
      <c r="DP4323" s="80">
        <v>245</v>
      </c>
    </row>
    <row r="4324" spans="29:120" x14ac:dyDescent="0.25">
      <c r="AC4324" s="122" t="s">
        <v>369</v>
      </c>
      <c r="AD4324" s="122" t="s">
        <v>4574</v>
      </c>
      <c r="AE4324" s="127">
        <v>7</v>
      </c>
      <c r="DA4324" s="122" t="s">
        <v>236</v>
      </c>
      <c r="DB4324" s="122" t="s">
        <v>8477</v>
      </c>
      <c r="DC4324" s="122" t="s">
        <v>1492</v>
      </c>
      <c r="DD4324" s="127">
        <v>1</v>
      </c>
      <c r="DE4324" s="127">
        <v>1</v>
      </c>
      <c r="DG4324" s="405" t="s">
        <v>236</v>
      </c>
      <c r="DH4324" s="406" t="s">
        <v>1492</v>
      </c>
      <c r="DI4324" s="406" t="str">
        <f t="shared" si="99"/>
        <v>RS, São Pedro da Serra</v>
      </c>
      <c r="DJ4324" s="406">
        <v>-29.420999999999999</v>
      </c>
      <c r="DK4324" s="80">
        <v>-51.512999999999998</v>
      </c>
      <c r="DL4324" s="80">
        <v>463</v>
      </c>
      <c r="DM4324" s="64">
        <v>1</v>
      </c>
      <c r="DN4324" s="406" t="s">
        <v>8218</v>
      </c>
      <c r="DO4324" s="406">
        <v>-29.17</v>
      </c>
      <c r="DP4324" s="80">
        <v>640</v>
      </c>
    </row>
    <row r="4325" spans="29:120" x14ac:dyDescent="0.25">
      <c r="AC4325" s="122" t="s">
        <v>322</v>
      </c>
      <c r="AD4325" s="122" t="s">
        <v>4575</v>
      </c>
      <c r="AE4325" s="127">
        <v>7</v>
      </c>
      <c r="DA4325" s="122" t="s">
        <v>236</v>
      </c>
      <c r="DB4325" s="122" t="s">
        <v>8478</v>
      </c>
      <c r="DC4325" s="122" t="s">
        <v>1595</v>
      </c>
      <c r="DD4325" s="127">
        <v>2</v>
      </c>
      <c r="DE4325" s="127">
        <v>2</v>
      </c>
      <c r="DG4325" s="405" t="s">
        <v>236</v>
      </c>
      <c r="DH4325" s="406" t="s">
        <v>1595</v>
      </c>
      <c r="DI4325" s="406" t="str">
        <f t="shared" si="99"/>
        <v>RS, São Pedro das Missões</v>
      </c>
      <c r="DJ4325" s="406">
        <v>-27.077000000000002</v>
      </c>
      <c r="DK4325" s="80">
        <v>-53.246000000000002</v>
      </c>
      <c r="DL4325" s="80">
        <v>305</v>
      </c>
      <c r="DM4325" s="64">
        <v>2</v>
      </c>
      <c r="DN4325" s="406" t="s">
        <v>8215</v>
      </c>
      <c r="DO4325" s="406">
        <v>-27.4</v>
      </c>
      <c r="DP4325" s="80">
        <v>490</v>
      </c>
    </row>
    <row r="4326" spans="29:120" x14ac:dyDescent="0.25">
      <c r="AC4326" s="122" t="s">
        <v>300</v>
      </c>
      <c r="AD4326" s="122" t="s">
        <v>4576</v>
      </c>
      <c r="AE4326" s="127">
        <v>7</v>
      </c>
      <c r="DA4326" s="122" t="s">
        <v>236</v>
      </c>
      <c r="DB4326" s="122" t="s">
        <v>8479</v>
      </c>
      <c r="DC4326" s="122" t="s">
        <v>3235</v>
      </c>
      <c r="DD4326" s="127">
        <v>2</v>
      </c>
      <c r="DE4326" s="127">
        <v>2</v>
      </c>
      <c r="DG4326" s="405" t="s">
        <v>236</v>
      </c>
      <c r="DH4326" s="406" t="s">
        <v>3235</v>
      </c>
      <c r="DI4326" s="406" t="str">
        <f t="shared" si="99"/>
        <v>RS, São Pedro do Butiá</v>
      </c>
      <c r="DJ4326" s="406">
        <v>-28.123999999999999</v>
      </c>
      <c r="DK4326" s="80">
        <v>-54.887</v>
      </c>
      <c r="DL4326" s="80">
        <v>194</v>
      </c>
      <c r="DM4326" s="64">
        <v>2</v>
      </c>
      <c r="DN4326" s="406" t="s">
        <v>8211</v>
      </c>
      <c r="DO4326" s="406">
        <v>-28.41</v>
      </c>
      <c r="DP4326" s="80">
        <v>245</v>
      </c>
    </row>
    <row r="4327" spans="29:120" x14ac:dyDescent="0.25">
      <c r="AC4327" s="122" t="s">
        <v>328</v>
      </c>
      <c r="AD4327" s="122" t="s">
        <v>1280</v>
      </c>
      <c r="AE4327" s="127">
        <v>8</v>
      </c>
      <c r="DA4327" s="122" t="s">
        <v>236</v>
      </c>
      <c r="DB4327" s="122" t="s">
        <v>8480</v>
      </c>
      <c r="DC4327" s="122" t="s">
        <v>1694</v>
      </c>
      <c r="DD4327" s="127">
        <v>2</v>
      </c>
      <c r="DE4327" s="127">
        <v>2</v>
      </c>
      <c r="DG4327" s="405" t="s">
        <v>236</v>
      </c>
      <c r="DH4327" s="406" t="s">
        <v>1694</v>
      </c>
      <c r="DI4327" s="406" t="str">
        <f t="shared" si="99"/>
        <v>RS, São Pedro do Sul</v>
      </c>
      <c r="DJ4327" s="406">
        <v>-29.620999999999999</v>
      </c>
      <c r="DK4327" s="80">
        <v>-54.179000000000002</v>
      </c>
      <c r="DL4327" s="80">
        <v>173</v>
      </c>
      <c r="DM4327" s="64">
        <v>2</v>
      </c>
      <c r="DN4327" s="406" t="s">
        <v>8209</v>
      </c>
      <c r="DO4327" s="406">
        <v>-29.68</v>
      </c>
      <c r="DP4327" s="80">
        <v>95</v>
      </c>
    </row>
    <row r="4328" spans="29:120" x14ac:dyDescent="0.25">
      <c r="AC4328" s="122" t="s">
        <v>328</v>
      </c>
      <c r="AD4328" s="122" t="s">
        <v>4577</v>
      </c>
      <c r="AE4328" s="127">
        <v>8</v>
      </c>
      <c r="DA4328" s="122" t="s">
        <v>236</v>
      </c>
      <c r="DB4328" s="122" t="s">
        <v>8481</v>
      </c>
      <c r="DC4328" s="122" t="s">
        <v>1510</v>
      </c>
      <c r="DD4328" s="127">
        <v>2</v>
      </c>
      <c r="DE4328" s="127">
        <v>2</v>
      </c>
      <c r="DG4328" s="405" t="s">
        <v>236</v>
      </c>
      <c r="DH4328" s="406" t="s">
        <v>1510</v>
      </c>
      <c r="DI4328" s="406" t="str">
        <f t="shared" si="99"/>
        <v>RS, São Sebastião do Caí</v>
      </c>
      <c r="DJ4328" s="406">
        <v>-29.587</v>
      </c>
      <c r="DK4328" s="80">
        <v>-51.375999999999998</v>
      </c>
      <c r="DL4328" s="80">
        <v>17</v>
      </c>
      <c r="DM4328" s="64">
        <v>2</v>
      </c>
      <c r="DN4328" s="406" t="s">
        <v>8218</v>
      </c>
      <c r="DO4328" s="406">
        <v>-29.17</v>
      </c>
      <c r="DP4328" s="80">
        <v>640</v>
      </c>
    </row>
    <row r="4329" spans="29:120" x14ac:dyDescent="0.25">
      <c r="AC4329" s="122" t="s">
        <v>300</v>
      </c>
      <c r="AD4329" s="122" t="s">
        <v>4578</v>
      </c>
      <c r="AE4329" s="127">
        <v>7</v>
      </c>
      <c r="DA4329" s="122" t="s">
        <v>236</v>
      </c>
      <c r="DB4329" s="122" t="s">
        <v>8482</v>
      </c>
      <c r="DC4329" s="122" t="s">
        <v>1405</v>
      </c>
      <c r="DD4329" s="127">
        <v>2</v>
      </c>
      <c r="DE4329" s="127">
        <v>2</v>
      </c>
      <c r="DG4329" s="405" t="s">
        <v>236</v>
      </c>
      <c r="DH4329" s="406" t="s">
        <v>1405</v>
      </c>
      <c r="DI4329" s="406" t="str">
        <f t="shared" si="99"/>
        <v>RS, São Sepé</v>
      </c>
      <c r="DJ4329" s="406">
        <v>-30.161000000000001</v>
      </c>
      <c r="DK4329" s="80">
        <v>-53.564999999999998</v>
      </c>
      <c r="DL4329" s="80">
        <v>85</v>
      </c>
      <c r="DM4329" s="64">
        <v>2</v>
      </c>
      <c r="DN4329" s="406" t="s">
        <v>8266</v>
      </c>
      <c r="DO4329" s="406">
        <v>-30.51</v>
      </c>
      <c r="DP4329" s="80">
        <v>420</v>
      </c>
    </row>
    <row r="4330" spans="29:120" x14ac:dyDescent="0.25">
      <c r="AC4330" s="122" t="s">
        <v>300</v>
      </c>
      <c r="AD4330" s="122" t="s">
        <v>4579</v>
      </c>
      <c r="AE4330" s="127">
        <v>7</v>
      </c>
      <c r="DA4330" s="122" t="s">
        <v>236</v>
      </c>
      <c r="DB4330" s="122" t="s">
        <v>8483</v>
      </c>
      <c r="DC4330" s="122" t="s">
        <v>1663</v>
      </c>
      <c r="DD4330" s="127">
        <v>2</v>
      </c>
      <c r="DE4330" s="127">
        <v>2</v>
      </c>
      <c r="DG4330" s="405" t="s">
        <v>236</v>
      </c>
      <c r="DH4330" s="406" t="s">
        <v>1663</v>
      </c>
      <c r="DI4330" s="406" t="str">
        <f t="shared" si="99"/>
        <v>RS, São Valentim</v>
      </c>
      <c r="DJ4330" s="406">
        <v>-27.558</v>
      </c>
      <c r="DK4330" s="80">
        <v>-52.524000000000001</v>
      </c>
      <c r="DL4330" s="80">
        <v>836</v>
      </c>
      <c r="DM4330" s="64">
        <v>2</v>
      </c>
      <c r="DN4330" s="406" t="s">
        <v>8228</v>
      </c>
      <c r="DO4330" s="406">
        <v>-27.63</v>
      </c>
      <c r="DP4330" s="80">
        <v>765</v>
      </c>
    </row>
    <row r="4331" spans="29:120" x14ac:dyDescent="0.25">
      <c r="AC4331" s="122" t="s">
        <v>357</v>
      </c>
      <c r="AD4331" s="122" t="s">
        <v>4580</v>
      </c>
      <c r="AE4331" s="127">
        <v>7</v>
      </c>
      <c r="DA4331" s="122" t="s">
        <v>236</v>
      </c>
      <c r="DB4331" s="122" t="s">
        <v>8484</v>
      </c>
      <c r="DC4331" s="122" t="s">
        <v>1481</v>
      </c>
      <c r="DD4331" s="127">
        <v>2</v>
      </c>
      <c r="DE4331" s="127">
        <v>2</v>
      </c>
      <c r="DG4331" s="405" t="s">
        <v>236</v>
      </c>
      <c r="DH4331" s="406" t="s">
        <v>1481</v>
      </c>
      <c r="DI4331" s="406" t="str">
        <f t="shared" si="99"/>
        <v>RS, São Valentim do Sul</v>
      </c>
      <c r="DJ4331" s="406">
        <v>-29.047000000000001</v>
      </c>
      <c r="DK4331" s="80">
        <v>-51.765000000000001</v>
      </c>
      <c r="DL4331" s="80">
        <v>550</v>
      </c>
      <c r="DM4331" s="64">
        <v>2</v>
      </c>
      <c r="DN4331" s="406" t="s">
        <v>8218</v>
      </c>
      <c r="DO4331" s="406">
        <v>-29.17</v>
      </c>
      <c r="DP4331" s="80">
        <v>640</v>
      </c>
    </row>
    <row r="4332" spans="29:120" x14ac:dyDescent="0.25">
      <c r="AC4332" s="122" t="s">
        <v>369</v>
      </c>
      <c r="AD4332" s="122" t="s">
        <v>4581</v>
      </c>
      <c r="AE4332" s="127">
        <v>7</v>
      </c>
      <c r="DA4332" s="122" t="s">
        <v>236</v>
      </c>
      <c r="DB4332" s="122" t="s">
        <v>8485</v>
      </c>
      <c r="DC4332" s="122" t="s">
        <v>1728</v>
      </c>
      <c r="DD4332" s="127">
        <v>2</v>
      </c>
      <c r="DE4332" s="127">
        <v>2</v>
      </c>
      <c r="DG4332" s="405" t="s">
        <v>236</v>
      </c>
      <c r="DH4332" s="406" t="s">
        <v>1728</v>
      </c>
      <c r="DI4332" s="406" t="str">
        <f t="shared" si="99"/>
        <v>RS, São Valério do Sul</v>
      </c>
      <c r="DJ4332" s="406">
        <v>-27.786999999999999</v>
      </c>
      <c r="DK4332" s="80">
        <v>-53.936999999999998</v>
      </c>
      <c r="DL4332" s="80">
        <v>421</v>
      </c>
      <c r="DM4332" s="64">
        <v>2</v>
      </c>
      <c r="DN4332" s="406" t="s">
        <v>8210</v>
      </c>
      <c r="DO4332" s="406">
        <v>-27.85</v>
      </c>
      <c r="DP4332" s="80">
        <v>550</v>
      </c>
    </row>
    <row r="4333" spans="29:120" x14ac:dyDescent="0.25">
      <c r="AC4333" s="122" t="s">
        <v>369</v>
      </c>
      <c r="AD4333" s="122" t="s">
        <v>4582</v>
      </c>
      <c r="AE4333" s="127">
        <v>7</v>
      </c>
      <c r="DA4333" s="122" t="s">
        <v>236</v>
      </c>
      <c r="DB4333" s="122" t="s">
        <v>8486</v>
      </c>
      <c r="DC4333" s="122" t="s">
        <v>1188</v>
      </c>
      <c r="DD4333" s="127">
        <v>1</v>
      </c>
      <c r="DE4333" s="127">
        <v>1</v>
      </c>
      <c r="DG4333" s="405" t="s">
        <v>236</v>
      </c>
      <c r="DH4333" s="406" t="s">
        <v>1188</v>
      </c>
      <c r="DI4333" s="406" t="str">
        <f t="shared" si="99"/>
        <v>RS, São Vendelino</v>
      </c>
      <c r="DJ4333" s="406">
        <v>-29.369</v>
      </c>
      <c r="DK4333" s="80">
        <v>-51.377000000000002</v>
      </c>
      <c r="DL4333" s="80">
        <v>100</v>
      </c>
      <c r="DM4333" s="64">
        <v>1</v>
      </c>
      <c r="DN4333" s="406" t="s">
        <v>8218</v>
      </c>
      <c r="DO4333" s="406">
        <v>-29.17</v>
      </c>
      <c r="DP4333" s="80">
        <v>640</v>
      </c>
    </row>
    <row r="4334" spans="29:120" x14ac:dyDescent="0.25">
      <c r="AC4334" s="122" t="s">
        <v>393</v>
      </c>
      <c r="AD4334" s="122" t="s">
        <v>4583</v>
      </c>
      <c r="AE4334" s="127">
        <v>7</v>
      </c>
      <c r="DA4334" s="122" t="s">
        <v>236</v>
      </c>
      <c r="DB4334" s="122" t="s">
        <v>8487</v>
      </c>
      <c r="DC4334" s="122" t="s">
        <v>1618</v>
      </c>
      <c r="DD4334" s="127">
        <v>2</v>
      </c>
      <c r="DE4334" s="127">
        <v>2</v>
      </c>
      <c r="DG4334" s="405" t="s">
        <v>236</v>
      </c>
      <c r="DH4334" s="406" t="s">
        <v>1618</v>
      </c>
      <c r="DI4334" s="406" t="str">
        <f t="shared" si="99"/>
        <v>RS, São Vicente do Sul</v>
      </c>
      <c r="DJ4334" s="406">
        <v>-29.692</v>
      </c>
      <c r="DK4334" s="80">
        <v>-54.679000000000002</v>
      </c>
      <c r="DL4334" s="80">
        <v>129</v>
      </c>
      <c r="DM4334" s="64">
        <v>2</v>
      </c>
      <c r="DN4334" s="406" t="s">
        <v>8283</v>
      </c>
      <c r="DO4334" s="406">
        <v>-29.19</v>
      </c>
      <c r="DP4334" s="80">
        <v>394</v>
      </c>
    </row>
    <row r="4335" spans="29:120" x14ac:dyDescent="0.25">
      <c r="AC4335" s="122" t="s">
        <v>268</v>
      </c>
      <c r="AD4335" s="122" t="s">
        <v>4584</v>
      </c>
      <c r="AE4335" s="127">
        <v>8</v>
      </c>
      <c r="DA4335" s="122" t="s">
        <v>236</v>
      </c>
      <c r="DB4335" s="122" t="s">
        <v>1236</v>
      </c>
      <c r="DC4335" s="122" t="s">
        <v>1236</v>
      </c>
      <c r="DD4335" s="127">
        <v>2</v>
      </c>
      <c r="DE4335" s="127">
        <v>2</v>
      </c>
      <c r="DG4335" s="405" t="s">
        <v>236</v>
      </c>
      <c r="DH4335" s="406" t="s">
        <v>1236</v>
      </c>
      <c r="DI4335" s="406" t="str">
        <f t="shared" si="99"/>
        <v>RS, Sapiranga</v>
      </c>
      <c r="DJ4335" s="406">
        <v>-29.638000000000002</v>
      </c>
      <c r="DK4335" s="80">
        <v>-51.006999999999998</v>
      </c>
      <c r="DL4335" s="80">
        <v>57</v>
      </c>
      <c r="DM4335" s="64">
        <v>2</v>
      </c>
      <c r="DN4335" s="406" t="s">
        <v>8227</v>
      </c>
      <c r="DO4335" s="406">
        <v>-29.37</v>
      </c>
      <c r="DP4335" s="80">
        <v>830</v>
      </c>
    </row>
    <row r="4336" spans="29:120" x14ac:dyDescent="0.25">
      <c r="AC4336" s="122" t="s">
        <v>369</v>
      </c>
      <c r="AD4336" s="122" t="s">
        <v>4585</v>
      </c>
      <c r="AE4336" s="127">
        <v>7</v>
      </c>
      <c r="DA4336" s="122" t="s">
        <v>236</v>
      </c>
      <c r="DB4336" s="122" t="s">
        <v>8488</v>
      </c>
      <c r="DC4336" s="122" t="s">
        <v>1218</v>
      </c>
      <c r="DD4336" s="127">
        <v>2</v>
      </c>
      <c r="DE4336" s="127">
        <v>2</v>
      </c>
      <c r="DG4336" s="405" t="s">
        <v>236</v>
      </c>
      <c r="DH4336" s="406" t="s">
        <v>1218</v>
      </c>
      <c r="DI4336" s="406" t="str">
        <f t="shared" si="99"/>
        <v>RS, Sapucaia do Sul</v>
      </c>
      <c r="DJ4336" s="406">
        <v>-29.838999999999999</v>
      </c>
      <c r="DK4336" s="80">
        <v>-51.143999999999998</v>
      </c>
      <c r="DL4336" s="80">
        <v>23</v>
      </c>
      <c r="DM4336" s="64">
        <v>2</v>
      </c>
      <c r="DN4336" s="406" t="s">
        <v>8219</v>
      </c>
      <c r="DO4336" s="406">
        <v>-30.03</v>
      </c>
      <c r="DP4336" s="80">
        <v>47</v>
      </c>
    </row>
    <row r="4337" spans="29:120" x14ac:dyDescent="0.25">
      <c r="AC4337" s="122" t="s">
        <v>328</v>
      </c>
      <c r="AD4337" s="122" t="s">
        <v>4586</v>
      </c>
      <c r="AE4337" s="127">
        <v>8</v>
      </c>
      <c r="DA4337" s="122" t="s">
        <v>236</v>
      </c>
      <c r="DB4337" s="122" t="s">
        <v>1338</v>
      </c>
      <c r="DC4337" s="122" t="s">
        <v>1338</v>
      </c>
      <c r="DD4337" s="127">
        <v>2</v>
      </c>
      <c r="DE4337" s="127">
        <v>2</v>
      </c>
      <c r="DG4337" s="405" t="s">
        <v>236</v>
      </c>
      <c r="DH4337" s="406" t="s">
        <v>1338</v>
      </c>
      <c r="DI4337" s="406" t="str">
        <f t="shared" si="99"/>
        <v>RS, Sarandi</v>
      </c>
      <c r="DJ4337" s="406">
        <v>-27.943999999999999</v>
      </c>
      <c r="DK4337" s="80">
        <v>-52.923000000000002</v>
      </c>
      <c r="DL4337" s="80">
        <v>503</v>
      </c>
      <c r="DM4337" s="64">
        <v>2</v>
      </c>
      <c r="DN4337" s="406" t="s">
        <v>8214</v>
      </c>
      <c r="DO4337" s="406">
        <v>-27.92</v>
      </c>
      <c r="DP4337" s="80">
        <v>642</v>
      </c>
    </row>
    <row r="4338" spans="29:120" x14ac:dyDescent="0.25">
      <c r="AC4338" s="122" t="s">
        <v>328</v>
      </c>
      <c r="AD4338" s="122" t="s">
        <v>4587</v>
      </c>
      <c r="AE4338" s="127">
        <v>8</v>
      </c>
      <c r="DA4338" s="122" t="s">
        <v>236</v>
      </c>
      <c r="DB4338" s="122" t="s">
        <v>1351</v>
      </c>
      <c r="DC4338" s="122" t="s">
        <v>1351</v>
      </c>
      <c r="DD4338" s="127">
        <v>2</v>
      </c>
      <c r="DE4338" s="127">
        <v>2</v>
      </c>
      <c r="DG4338" s="405" t="s">
        <v>236</v>
      </c>
      <c r="DH4338" s="406" t="s">
        <v>1351</v>
      </c>
      <c r="DI4338" s="406" t="str">
        <f t="shared" si="99"/>
        <v>RS, Seberi</v>
      </c>
      <c r="DJ4338" s="406">
        <v>-27.478000000000002</v>
      </c>
      <c r="DK4338" s="80">
        <v>-53.402999999999999</v>
      </c>
      <c r="DL4338" s="80">
        <v>546</v>
      </c>
      <c r="DM4338" s="64">
        <v>2</v>
      </c>
      <c r="DN4338" s="406" t="s">
        <v>8215</v>
      </c>
      <c r="DO4338" s="406">
        <v>-27.4</v>
      </c>
      <c r="DP4338" s="80">
        <v>490</v>
      </c>
    </row>
    <row r="4339" spans="29:120" x14ac:dyDescent="0.25">
      <c r="AC4339" s="122" t="s">
        <v>300</v>
      </c>
      <c r="AD4339" s="122" t="s">
        <v>4588</v>
      </c>
      <c r="AE4339" s="127">
        <v>7</v>
      </c>
      <c r="DA4339" s="122" t="s">
        <v>236</v>
      </c>
      <c r="DB4339" s="122" t="s">
        <v>8489</v>
      </c>
      <c r="DC4339" s="122" t="s">
        <v>1683</v>
      </c>
      <c r="DD4339" s="127">
        <v>2</v>
      </c>
      <c r="DE4339" s="127">
        <v>2</v>
      </c>
      <c r="DG4339" s="405" t="s">
        <v>236</v>
      </c>
      <c r="DH4339" s="406" t="s">
        <v>1683</v>
      </c>
      <c r="DI4339" s="406" t="str">
        <f t="shared" si="99"/>
        <v>RS, Sede Nova</v>
      </c>
      <c r="DJ4339" s="406">
        <v>-27.635000000000002</v>
      </c>
      <c r="DK4339" s="80">
        <v>-53.945999999999998</v>
      </c>
      <c r="DL4339" s="80">
        <v>460</v>
      </c>
      <c r="DM4339" s="64">
        <v>2</v>
      </c>
      <c r="DN4339" s="406" t="s">
        <v>8210</v>
      </c>
      <c r="DO4339" s="406">
        <v>-27.85</v>
      </c>
      <c r="DP4339" s="80">
        <v>550</v>
      </c>
    </row>
    <row r="4340" spans="29:120" x14ac:dyDescent="0.25">
      <c r="AC4340" s="122" t="s">
        <v>328</v>
      </c>
      <c r="AD4340" s="122" t="s">
        <v>4589</v>
      </c>
      <c r="AE4340" s="127">
        <v>8</v>
      </c>
      <c r="DA4340" s="122" t="s">
        <v>236</v>
      </c>
      <c r="DB4340" s="122" t="s">
        <v>1569</v>
      </c>
      <c r="DC4340" s="122" t="s">
        <v>1569</v>
      </c>
      <c r="DD4340" s="127">
        <v>2</v>
      </c>
      <c r="DE4340" s="127">
        <v>2</v>
      </c>
      <c r="DG4340" s="405" t="s">
        <v>236</v>
      </c>
      <c r="DH4340" s="406" t="s">
        <v>1569</v>
      </c>
      <c r="DI4340" s="406" t="str">
        <f t="shared" si="99"/>
        <v>RS, Segredo</v>
      </c>
      <c r="DJ4340" s="406">
        <v>-29.268999999999998</v>
      </c>
      <c r="DK4340" s="80">
        <v>-53.012</v>
      </c>
      <c r="DL4340" s="80">
        <v>330</v>
      </c>
      <c r="DM4340" s="64">
        <v>2</v>
      </c>
      <c r="DN4340" s="406" t="s">
        <v>8216</v>
      </c>
      <c r="DO4340" s="406">
        <v>-28.85</v>
      </c>
      <c r="DP4340" s="80">
        <v>667</v>
      </c>
    </row>
    <row r="4341" spans="29:120" x14ac:dyDescent="0.25">
      <c r="AC4341" s="122" t="s">
        <v>369</v>
      </c>
      <c r="AD4341" s="122" t="s">
        <v>4590</v>
      </c>
      <c r="AE4341" s="127">
        <v>7</v>
      </c>
      <c r="DA4341" s="122" t="s">
        <v>236</v>
      </c>
      <c r="DB4341" s="122" t="s">
        <v>1547</v>
      </c>
      <c r="DC4341" s="122" t="s">
        <v>1547</v>
      </c>
      <c r="DD4341" s="127">
        <v>2</v>
      </c>
      <c r="DE4341" s="127">
        <v>2</v>
      </c>
      <c r="DG4341" s="405" t="s">
        <v>236</v>
      </c>
      <c r="DH4341" s="406" t="s">
        <v>1547</v>
      </c>
      <c r="DI4341" s="406" t="str">
        <f t="shared" si="99"/>
        <v>RS, Selbach</v>
      </c>
      <c r="DJ4341" s="406">
        <v>-28.629000000000001</v>
      </c>
      <c r="DK4341" s="80">
        <v>-52.953000000000003</v>
      </c>
      <c r="DL4341" s="80">
        <v>404</v>
      </c>
      <c r="DM4341" s="64">
        <v>2</v>
      </c>
      <c r="DN4341" s="406" t="s">
        <v>8216</v>
      </c>
      <c r="DO4341" s="406">
        <v>-28.85</v>
      </c>
      <c r="DP4341" s="80">
        <v>667</v>
      </c>
    </row>
    <row r="4342" spans="29:120" x14ac:dyDescent="0.25">
      <c r="AC4342" s="122" t="s">
        <v>300</v>
      </c>
      <c r="AD4342" s="122" t="s">
        <v>4591</v>
      </c>
      <c r="AE4342" s="127">
        <v>7</v>
      </c>
      <c r="DA4342" s="122" t="s">
        <v>236</v>
      </c>
      <c r="DB4342" s="122" t="s">
        <v>8490</v>
      </c>
      <c r="DC4342" s="122" t="s">
        <v>3064</v>
      </c>
      <c r="DD4342" s="127">
        <v>2</v>
      </c>
      <c r="DE4342" s="127">
        <v>2</v>
      </c>
      <c r="DG4342" s="405" t="s">
        <v>236</v>
      </c>
      <c r="DH4342" s="406" t="s">
        <v>3064</v>
      </c>
      <c r="DI4342" s="406" t="str">
        <f t="shared" si="99"/>
        <v>RS, Senador Salgado Filho</v>
      </c>
      <c r="DJ4342" s="406">
        <v>-28.030999999999999</v>
      </c>
      <c r="DK4342" s="80">
        <v>-54.542999999999999</v>
      </c>
      <c r="DL4342" s="80">
        <v>336</v>
      </c>
      <c r="DM4342" s="64">
        <v>2</v>
      </c>
      <c r="DN4342" s="406" t="s">
        <v>8211</v>
      </c>
      <c r="DO4342" s="406">
        <v>-28.41</v>
      </c>
      <c r="DP4342" s="80">
        <v>245</v>
      </c>
    </row>
    <row r="4343" spans="29:120" x14ac:dyDescent="0.25">
      <c r="AC4343" s="122" t="s">
        <v>300</v>
      </c>
      <c r="AD4343" s="122" t="s">
        <v>4592</v>
      </c>
      <c r="AE4343" s="127">
        <v>7</v>
      </c>
      <c r="DA4343" s="122" t="s">
        <v>236</v>
      </c>
      <c r="DB4343" s="122" t="s">
        <v>8491</v>
      </c>
      <c r="DC4343" s="122" t="s">
        <v>1109</v>
      </c>
      <c r="DD4343" s="127">
        <v>2</v>
      </c>
      <c r="DE4343" s="127">
        <v>2</v>
      </c>
      <c r="DG4343" s="405" t="s">
        <v>236</v>
      </c>
      <c r="DH4343" s="406" t="s">
        <v>1109</v>
      </c>
      <c r="DI4343" s="406" t="str">
        <f t="shared" si="99"/>
        <v>RS, Sentinela do Sul</v>
      </c>
      <c r="DJ4343" s="406">
        <v>-30.611000000000001</v>
      </c>
      <c r="DK4343" s="80">
        <v>-51.579000000000001</v>
      </c>
      <c r="DL4343" s="80">
        <v>600</v>
      </c>
      <c r="DM4343" s="64">
        <v>2</v>
      </c>
      <c r="DN4343" s="406" t="s">
        <v>8221</v>
      </c>
      <c r="DO4343" s="406">
        <v>-30.81</v>
      </c>
      <c r="DP4343" s="80">
        <v>108</v>
      </c>
    </row>
    <row r="4344" spans="29:120" x14ac:dyDescent="0.25">
      <c r="AC4344" s="122" t="s">
        <v>344</v>
      </c>
      <c r="AD4344" s="122" t="s">
        <v>4593</v>
      </c>
      <c r="AE4344" s="127">
        <v>8</v>
      </c>
      <c r="DA4344" s="122" t="s">
        <v>236</v>
      </c>
      <c r="DB4344" s="122" t="s">
        <v>8492</v>
      </c>
      <c r="DC4344" s="122" t="s">
        <v>1470</v>
      </c>
      <c r="DD4344" s="127">
        <v>2</v>
      </c>
      <c r="DE4344" s="127">
        <v>2</v>
      </c>
      <c r="DG4344" s="405" t="s">
        <v>236</v>
      </c>
      <c r="DH4344" s="406" t="s">
        <v>1470</v>
      </c>
      <c r="DI4344" s="406" t="str">
        <f t="shared" si="99"/>
        <v>RS, Serafina Corrêa</v>
      </c>
      <c r="DJ4344" s="406">
        <v>-28.712</v>
      </c>
      <c r="DK4344" s="80">
        <v>-51.935000000000002</v>
      </c>
      <c r="DL4344" s="80">
        <v>509</v>
      </c>
      <c r="DM4344" s="64">
        <v>2</v>
      </c>
      <c r="DN4344" s="406" t="s">
        <v>8216</v>
      </c>
      <c r="DO4344" s="406">
        <v>-28.85</v>
      </c>
      <c r="DP4344" s="80">
        <v>667</v>
      </c>
    </row>
    <row r="4345" spans="29:120" x14ac:dyDescent="0.25">
      <c r="AC4345" s="122" t="s">
        <v>328</v>
      </c>
      <c r="AD4345" s="122" t="s">
        <v>4594</v>
      </c>
      <c r="AE4345" s="127">
        <v>8</v>
      </c>
      <c r="DA4345" s="122" t="s">
        <v>236</v>
      </c>
      <c r="DB4345" s="122" t="s">
        <v>1450</v>
      </c>
      <c r="DC4345" s="122" t="s">
        <v>1450</v>
      </c>
      <c r="DD4345" s="127">
        <v>2</v>
      </c>
      <c r="DE4345" s="127">
        <v>2</v>
      </c>
      <c r="DG4345" s="405" t="s">
        <v>236</v>
      </c>
      <c r="DH4345" s="406" t="s">
        <v>1450</v>
      </c>
      <c r="DI4345" s="406" t="str">
        <f t="shared" si="99"/>
        <v>RS, Sério</v>
      </c>
      <c r="DJ4345" s="406">
        <v>-29.382999999999999</v>
      </c>
      <c r="DK4345" s="80">
        <v>-52.268999999999998</v>
      </c>
      <c r="DL4345" s="80">
        <v>626</v>
      </c>
      <c r="DM4345" s="64">
        <v>2</v>
      </c>
      <c r="DN4345" s="406" t="s">
        <v>8263</v>
      </c>
      <c r="DO4345" s="406">
        <v>-29.87</v>
      </c>
      <c r="DP4345" s="80">
        <v>111</v>
      </c>
    </row>
    <row r="4346" spans="29:120" x14ac:dyDescent="0.25">
      <c r="AC4346" s="122" t="s">
        <v>328</v>
      </c>
      <c r="AD4346" s="122" t="s">
        <v>4595</v>
      </c>
      <c r="AE4346" s="127">
        <v>8</v>
      </c>
      <c r="DA4346" s="122" t="s">
        <v>236</v>
      </c>
      <c r="DB4346" s="122" t="s">
        <v>1349</v>
      </c>
      <c r="DC4346" s="122" t="s">
        <v>1349</v>
      </c>
      <c r="DD4346" s="127">
        <v>2</v>
      </c>
      <c r="DE4346" s="127">
        <v>2</v>
      </c>
      <c r="DG4346" s="405" t="s">
        <v>236</v>
      </c>
      <c r="DH4346" s="406" t="s">
        <v>1349</v>
      </c>
      <c r="DI4346" s="406" t="str">
        <f t="shared" si="99"/>
        <v>RS, Sertão</v>
      </c>
      <c r="DJ4346" s="406">
        <v>-27.98</v>
      </c>
      <c r="DK4346" s="80">
        <v>-52.26</v>
      </c>
      <c r="DL4346" s="80">
        <v>735</v>
      </c>
      <c r="DM4346" s="64">
        <v>2</v>
      </c>
      <c r="DN4346" s="406" t="s">
        <v>8208</v>
      </c>
      <c r="DO4346" s="406">
        <v>-28.26</v>
      </c>
      <c r="DP4346" s="80">
        <v>684</v>
      </c>
    </row>
    <row r="4347" spans="29:120" x14ac:dyDescent="0.25">
      <c r="AC4347" s="122" t="s">
        <v>357</v>
      </c>
      <c r="AD4347" s="122" t="s">
        <v>4596</v>
      </c>
      <c r="AE4347" s="127">
        <v>7</v>
      </c>
      <c r="DA4347" s="122" t="s">
        <v>236</v>
      </c>
      <c r="DB4347" s="122" t="s">
        <v>8493</v>
      </c>
      <c r="DC4347" s="122" t="s">
        <v>1130</v>
      </c>
      <c r="DD4347" s="127">
        <v>2</v>
      </c>
      <c r="DE4347" s="127">
        <v>2</v>
      </c>
      <c r="DG4347" s="405" t="s">
        <v>236</v>
      </c>
      <c r="DH4347" s="406" t="s">
        <v>1130</v>
      </c>
      <c r="DI4347" s="406" t="str">
        <f t="shared" si="99"/>
        <v>RS, Sertão Santana</v>
      </c>
      <c r="DJ4347" s="406">
        <v>-30.46</v>
      </c>
      <c r="DK4347" s="80">
        <v>-51.603000000000002</v>
      </c>
      <c r="DL4347" s="80">
        <v>75</v>
      </c>
      <c r="DM4347" s="64">
        <v>2</v>
      </c>
      <c r="DN4347" s="406" t="s">
        <v>8221</v>
      </c>
      <c r="DO4347" s="406">
        <v>-30.81</v>
      </c>
      <c r="DP4347" s="80">
        <v>108</v>
      </c>
    </row>
    <row r="4348" spans="29:120" x14ac:dyDescent="0.25">
      <c r="AC4348" s="122" t="s">
        <v>357</v>
      </c>
      <c r="AD4348" s="122" t="s">
        <v>4597</v>
      </c>
      <c r="AE4348" s="127">
        <v>7</v>
      </c>
      <c r="DA4348" s="122" t="s">
        <v>236</v>
      </c>
      <c r="DB4348" s="122" t="s">
        <v>8494</v>
      </c>
      <c r="DC4348" s="122" t="s">
        <v>3060</v>
      </c>
      <c r="DD4348" s="127">
        <v>2</v>
      </c>
      <c r="DE4348" s="127">
        <v>2</v>
      </c>
      <c r="DG4348" s="405" t="s">
        <v>236</v>
      </c>
      <c r="DH4348" s="406" t="s">
        <v>3060</v>
      </c>
      <c r="DI4348" s="406" t="str">
        <f t="shared" si="99"/>
        <v>RS, Sete de Setembro</v>
      </c>
      <c r="DJ4348" s="406">
        <v>-28.131</v>
      </c>
      <c r="DK4348" s="80">
        <v>-54.463000000000001</v>
      </c>
      <c r="DL4348" s="80">
        <v>273</v>
      </c>
      <c r="DM4348" s="64">
        <v>2</v>
      </c>
      <c r="DN4348" s="406" t="s">
        <v>8211</v>
      </c>
      <c r="DO4348" s="406">
        <v>-28.41</v>
      </c>
      <c r="DP4348" s="80">
        <v>245</v>
      </c>
    </row>
    <row r="4349" spans="29:120" x14ac:dyDescent="0.25">
      <c r="AC4349" s="122" t="s">
        <v>300</v>
      </c>
      <c r="AD4349" s="122" t="s">
        <v>4598</v>
      </c>
      <c r="AE4349" s="127">
        <v>7</v>
      </c>
      <c r="DA4349" s="122" t="s">
        <v>236</v>
      </c>
      <c r="DB4349" s="122" t="s">
        <v>8495</v>
      </c>
      <c r="DC4349" s="122" t="s">
        <v>1503</v>
      </c>
      <c r="DD4349" s="127">
        <v>2</v>
      </c>
      <c r="DE4349" s="127">
        <v>2</v>
      </c>
      <c r="DG4349" s="405" t="s">
        <v>236</v>
      </c>
      <c r="DH4349" s="406" t="s">
        <v>1503</v>
      </c>
      <c r="DI4349" s="406" t="str">
        <f t="shared" si="99"/>
        <v>RS, Severiano de Almeida</v>
      </c>
      <c r="DJ4349" s="406">
        <v>-27.433</v>
      </c>
      <c r="DK4349" s="80">
        <v>-52.116</v>
      </c>
      <c r="DL4349" s="80">
        <v>476</v>
      </c>
      <c r="DM4349" s="64">
        <v>2</v>
      </c>
      <c r="DN4349" s="406" t="s">
        <v>8228</v>
      </c>
      <c r="DO4349" s="406">
        <v>-27.63</v>
      </c>
      <c r="DP4349" s="80">
        <v>765</v>
      </c>
    </row>
    <row r="4350" spans="29:120" x14ac:dyDescent="0.25">
      <c r="AC4350" s="122" t="s">
        <v>369</v>
      </c>
      <c r="AD4350" s="122" t="s">
        <v>4599</v>
      </c>
      <c r="AE4350" s="127">
        <v>7</v>
      </c>
      <c r="DA4350" s="122" t="s">
        <v>236</v>
      </c>
      <c r="DB4350" s="122" t="s">
        <v>8496</v>
      </c>
      <c r="DC4350" s="122" t="s">
        <v>1730</v>
      </c>
      <c r="DD4350" s="127">
        <v>2</v>
      </c>
      <c r="DE4350" s="127">
        <v>2</v>
      </c>
      <c r="DG4350" s="405" t="s">
        <v>236</v>
      </c>
      <c r="DH4350" s="406" t="s">
        <v>1730</v>
      </c>
      <c r="DI4350" s="406" t="str">
        <f t="shared" si="99"/>
        <v>RS, Silveira Martins</v>
      </c>
      <c r="DJ4350" s="406">
        <v>-29.641999999999999</v>
      </c>
      <c r="DK4350" s="80">
        <v>-53.585999999999999</v>
      </c>
      <c r="DL4350" s="80">
        <v>431</v>
      </c>
      <c r="DM4350" s="64">
        <v>2</v>
      </c>
      <c r="DN4350" s="406" t="s">
        <v>8209</v>
      </c>
      <c r="DO4350" s="406">
        <v>-29.68</v>
      </c>
      <c r="DP4350" s="80">
        <v>95</v>
      </c>
    </row>
    <row r="4351" spans="29:120" x14ac:dyDescent="0.25">
      <c r="AC4351" s="122" t="s">
        <v>328</v>
      </c>
      <c r="AD4351" s="122" t="s">
        <v>4600</v>
      </c>
      <c r="AE4351" s="127">
        <v>8</v>
      </c>
      <c r="DA4351" s="122" t="s">
        <v>236</v>
      </c>
      <c r="DB4351" s="122" t="s">
        <v>1545</v>
      </c>
      <c r="DC4351" s="122" t="s">
        <v>1545</v>
      </c>
      <c r="DD4351" s="127">
        <v>2</v>
      </c>
      <c r="DE4351" s="127">
        <v>2</v>
      </c>
      <c r="DG4351" s="405" t="s">
        <v>236</v>
      </c>
      <c r="DH4351" s="406" t="s">
        <v>1545</v>
      </c>
      <c r="DI4351" s="406" t="str">
        <f t="shared" si="99"/>
        <v>RS, Sinimbu</v>
      </c>
      <c r="DJ4351" s="406">
        <v>-29.539000000000001</v>
      </c>
      <c r="DK4351" s="80">
        <v>-52.521999999999998</v>
      </c>
      <c r="DL4351" s="80">
        <v>77</v>
      </c>
      <c r="DM4351" s="64">
        <v>2</v>
      </c>
      <c r="DN4351" s="406" t="s">
        <v>8263</v>
      </c>
      <c r="DO4351" s="406">
        <v>-29.87</v>
      </c>
      <c r="DP4351" s="80">
        <v>111</v>
      </c>
    </row>
    <row r="4352" spans="29:120" x14ac:dyDescent="0.25">
      <c r="AC4352" s="122" t="s">
        <v>300</v>
      </c>
      <c r="AD4352" s="122" t="s">
        <v>4601</v>
      </c>
      <c r="AE4352" s="127">
        <v>7</v>
      </c>
      <c r="DA4352" s="122" t="s">
        <v>236</v>
      </c>
      <c r="DB4352" s="122" t="s">
        <v>1610</v>
      </c>
      <c r="DC4352" s="122" t="s">
        <v>1610</v>
      </c>
      <c r="DD4352" s="127">
        <v>2</v>
      </c>
      <c r="DE4352" s="127">
        <v>2</v>
      </c>
      <c r="DG4352" s="405" t="s">
        <v>236</v>
      </c>
      <c r="DH4352" s="406" t="s">
        <v>1610</v>
      </c>
      <c r="DI4352" s="406" t="str">
        <f t="shared" si="99"/>
        <v>RS, Sobradinho</v>
      </c>
      <c r="DJ4352" s="406">
        <v>-29.420999999999999</v>
      </c>
      <c r="DK4352" s="80">
        <v>-53.029000000000003</v>
      </c>
      <c r="DL4352" s="80">
        <v>427</v>
      </c>
      <c r="DM4352" s="64">
        <v>2</v>
      </c>
      <c r="DN4352" s="406" t="s">
        <v>8263</v>
      </c>
      <c r="DO4352" s="406">
        <v>-29.87</v>
      </c>
      <c r="DP4352" s="80">
        <v>111</v>
      </c>
    </row>
    <row r="4353" spans="29:120" x14ac:dyDescent="0.25">
      <c r="AC4353" s="122" t="s">
        <v>300</v>
      </c>
      <c r="AD4353" s="122" t="s">
        <v>4602</v>
      </c>
      <c r="AE4353" s="127">
        <v>7</v>
      </c>
      <c r="DA4353" s="122" t="s">
        <v>236</v>
      </c>
      <c r="DB4353" s="122" t="s">
        <v>1337</v>
      </c>
      <c r="DC4353" s="122" t="s">
        <v>1337</v>
      </c>
      <c r="DD4353" s="127">
        <v>2</v>
      </c>
      <c r="DE4353" s="127">
        <v>2</v>
      </c>
      <c r="DG4353" s="405" t="s">
        <v>236</v>
      </c>
      <c r="DH4353" s="406" t="s">
        <v>1337</v>
      </c>
      <c r="DI4353" s="406" t="str">
        <f t="shared" si="99"/>
        <v>RS, Soledade</v>
      </c>
      <c r="DJ4353" s="406">
        <v>-28.818000000000001</v>
      </c>
      <c r="DK4353" s="80">
        <v>-52.51</v>
      </c>
      <c r="DL4353" s="80">
        <v>726</v>
      </c>
      <c r="DM4353" s="64">
        <v>2</v>
      </c>
      <c r="DN4353" s="406" t="s">
        <v>8216</v>
      </c>
      <c r="DO4353" s="406">
        <v>-28.85</v>
      </c>
      <c r="DP4353" s="80">
        <v>667</v>
      </c>
    </row>
    <row r="4354" spans="29:120" x14ac:dyDescent="0.25">
      <c r="AC4354" s="122" t="s">
        <v>357</v>
      </c>
      <c r="AD4354" s="122" t="s">
        <v>4603</v>
      </c>
      <c r="AE4354" s="127">
        <v>8</v>
      </c>
      <c r="DA4354" s="122" t="s">
        <v>236</v>
      </c>
      <c r="DB4354" s="122" t="s">
        <v>290</v>
      </c>
      <c r="DC4354" s="122" t="s">
        <v>290</v>
      </c>
      <c r="DD4354" s="127">
        <v>2</v>
      </c>
      <c r="DE4354" s="127">
        <v>2</v>
      </c>
      <c r="DG4354" s="405" t="s">
        <v>236</v>
      </c>
      <c r="DH4354" s="406" t="s">
        <v>290</v>
      </c>
      <c r="DI4354" s="406" t="str">
        <f t="shared" si="99"/>
        <v>RS, Tabaí</v>
      </c>
      <c r="DJ4354" s="406">
        <v>-29.643000000000001</v>
      </c>
      <c r="DK4354" s="80">
        <v>-51.682000000000002</v>
      </c>
      <c r="DL4354" s="80">
        <v>79</v>
      </c>
      <c r="DM4354" s="64">
        <v>2</v>
      </c>
      <c r="DN4354" s="406" t="s">
        <v>8218</v>
      </c>
      <c r="DO4354" s="406">
        <v>-29.17</v>
      </c>
      <c r="DP4354" s="80">
        <v>640</v>
      </c>
    </row>
    <row r="4355" spans="29:120" x14ac:dyDescent="0.25">
      <c r="AC4355" s="122" t="s">
        <v>357</v>
      </c>
      <c r="AD4355" s="122" t="s">
        <v>4604</v>
      </c>
      <c r="AE4355" s="127">
        <v>7</v>
      </c>
      <c r="DA4355" s="122" t="s">
        <v>236</v>
      </c>
      <c r="DB4355" s="122" t="s">
        <v>1667</v>
      </c>
      <c r="DC4355" s="122" t="s">
        <v>1667</v>
      </c>
      <c r="DD4355" s="127">
        <v>2</v>
      </c>
      <c r="DE4355" s="127">
        <v>2</v>
      </c>
      <c r="DG4355" s="405" t="s">
        <v>236</v>
      </c>
      <c r="DH4355" s="406" t="s">
        <v>1667</v>
      </c>
      <c r="DI4355" s="406" t="str">
        <f t="shared" ref="DI4355:DI4418" si="100">CONCATENATE(DG4355,", ",DH4355)</f>
        <v>RS, Tapejara</v>
      </c>
      <c r="DJ4355" s="406">
        <v>-28.068000000000001</v>
      </c>
      <c r="DK4355" s="80">
        <v>-52.014000000000003</v>
      </c>
      <c r="DL4355" s="80">
        <v>658</v>
      </c>
      <c r="DM4355" s="64">
        <v>2</v>
      </c>
      <c r="DN4355" s="406" t="s">
        <v>8208</v>
      </c>
      <c r="DO4355" s="406">
        <v>-28.26</v>
      </c>
      <c r="DP4355" s="80">
        <v>684</v>
      </c>
    </row>
    <row r="4356" spans="29:120" x14ac:dyDescent="0.25">
      <c r="AC4356" s="122" t="s">
        <v>328</v>
      </c>
      <c r="AD4356" s="122" t="s">
        <v>4605</v>
      </c>
      <c r="AE4356" s="127">
        <v>8</v>
      </c>
      <c r="DA4356" s="122" t="s">
        <v>236</v>
      </c>
      <c r="DB4356" s="122" t="s">
        <v>1531</v>
      </c>
      <c r="DC4356" s="122" t="s">
        <v>1531</v>
      </c>
      <c r="DD4356" s="127">
        <v>2</v>
      </c>
      <c r="DE4356" s="127">
        <v>2</v>
      </c>
      <c r="DG4356" s="405" t="s">
        <v>236</v>
      </c>
      <c r="DH4356" s="406" t="s">
        <v>1531</v>
      </c>
      <c r="DI4356" s="406" t="str">
        <f t="shared" si="100"/>
        <v>RS, Tapera</v>
      </c>
      <c r="DJ4356" s="406">
        <v>-28.626000000000001</v>
      </c>
      <c r="DK4356" s="80">
        <v>-52.87</v>
      </c>
      <c r="DL4356" s="80">
        <v>409</v>
      </c>
      <c r="DM4356" s="64">
        <v>2</v>
      </c>
      <c r="DN4356" s="406" t="s">
        <v>8216</v>
      </c>
      <c r="DO4356" s="406">
        <v>-28.85</v>
      </c>
      <c r="DP4356" s="80">
        <v>667</v>
      </c>
    </row>
    <row r="4357" spans="29:120" x14ac:dyDescent="0.25">
      <c r="AC4357" s="122" t="s">
        <v>328</v>
      </c>
      <c r="AD4357" s="122" t="s">
        <v>4606</v>
      </c>
      <c r="AE4357" s="127">
        <v>8</v>
      </c>
      <c r="DA4357" s="122" t="s">
        <v>236</v>
      </c>
      <c r="DB4357" s="122" t="s">
        <v>1107</v>
      </c>
      <c r="DC4357" s="122" t="s">
        <v>1107</v>
      </c>
      <c r="DD4357" s="127">
        <v>2</v>
      </c>
      <c r="DE4357" s="127">
        <v>2</v>
      </c>
      <c r="DG4357" s="405" t="s">
        <v>236</v>
      </c>
      <c r="DH4357" s="406" t="s">
        <v>1107</v>
      </c>
      <c r="DI4357" s="406" t="str">
        <f t="shared" si="100"/>
        <v>RS, Tapes</v>
      </c>
      <c r="DJ4357" s="406">
        <v>-30.672999999999998</v>
      </c>
      <c r="DK4357" s="80">
        <v>-51.396000000000001</v>
      </c>
      <c r="DL4357" s="80">
        <v>7</v>
      </c>
      <c r="DM4357" s="64">
        <v>2</v>
      </c>
      <c r="DN4357" s="406" t="s">
        <v>8221</v>
      </c>
      <c r="DO4357" s="406">
        <v>-30.81</v>
      </c>
      <c r="DP4357" s="80">
        <v>108</v>
      </c>
    </row>
    <row r="4358" spans="29:120" x14ac:dyDescent="0.25">
      <c r="AC4358" s="122" t="s">
        <v>300</v>
      </c>
      <c r="AD4358" s="122" t="s">
        <v>4607</v>
      </c>
      <c r="AE4358" s="127">
        <v>7</v>
      </c>
      <c r="DA4358" s="122" t="s">
        <v>236</v>
      </c>
      <c r="DB4358" s="122" t="s">
        <v>1150</v>
      </c>
      <c r="DC4358" s="122" t="s">
        <v>1150</v>
      </c>
      <c r="DD4358" s="127">
        <v>1</v>
      </c>
      <c r="DE4358" s="127">
        <v>1</v>
      </c>
      <c r="DG4358" s="405" t="s">
        <v>236</v>
      </c>
      <c r="DH4358" s="406" t="s">
        <v>1150</v>
      </c>
      <c r="DI4358" s="406" t="str">
        <f t="shared" si="100"/>
        <v>RS, Taquara</v>
      </c>
      <c r="DJ4358" s="406">
        <v>-29.651</v>
      </c>
      <c r="DK4358" s="80">
        <v>-50.780999999999999</v>
      </c>
      <c r="DL4358" s="80">
        <v>57</v>
      </c>
      <c r="DM4358" s="64">
        <v>1</v>
      </c>
      <c r="DN4358" s="406" t="s">
        <v>8227</v>
      </c>
      <c r="DO4358" s="406">
        <v>-29.37</v>
      </c>
      <c r="DP4358" s="80">
        <v>830</v>
      </c>
    </row>
    <row r="4359" spans="29:120" x14ac:dyDescent="0.25">
      <c r="AC4359" s="122" t="s">
        <v>393</v>
      </c>
      <c r="AD4359" s="122" t="s">
        <v>4608</v>
      </c>
      <c r="AE4359" s="127">
        <v>7</v>
      </c>
      <c r="DA4359" s="122" t="s">
        <v>236</v>
      </c>
      <c r="DB4359" s="122" t="s">
        <v>3059</v>
      </c>
      <c r="DC4359" s="122" t="s">
        <v>3059</v>
      </c>
      <c r="DD4359" s="127">
        <v>2</v>
      </c>
      <c r="DE4359" s="127">
        <v>2</v>
      </c>
      <c r="DG4359" s="405" t="s">
        <v>236</v>
      </c>
      <c r="DH4359" s="406" t="s">
        <v>3059</v>
      </c>
      <c r="DI4359" s="406" t="str">
        <f t="shared" si="100"/>
        <v>RS, Taquari</v>
      </c>
      <c r="DJ4359" s="406">
        <v>-29.8</v>
      </c>
      <c r="DK4359" s="80">
        <v>-51.863999999999997</v>
      </c>
      <c r="DL4359" s="80">
        <v>54</v>
      </c>
      <c r="DM4359" s="64">
        <v>2</v>
      </c>
      <c r="DN4359" s="406" t="s">
        <v>8263</v>
      </c>
      <c r="DO4359" s="406">
        <v>-29.87</v>
      </c>
      <c r="DP4359" s="80">
        <v>111</v>
      </c>
    </row>
    <row r="4360" spans="29:120" x14ac:dyDescent="0.25">
      <c r="AC4360" s="122" t="s">
        <v>300</v>
      </c>
      <c r="AD4360" s="122" t="s">
        <v>4609</v>
      </c>
      <c r="AE4360" s="127">
        <v>7</v>
      </c>
      <c r="DA4360" s="122" t="s">
        <v>236</v>
      </c>
      <c r="DB4360" s="122" t="s">
        <v>8497</v>
      </c>
      <c r="DC4360" s="122" t="s">
        <v>1369</v>
      </c>
      <c r="DD4360" s="127">
        <v>3</v>
      </c>
      <c r="DE4360" s="127">
        <v>3</v>
      </c>
      <c r="DG4360" s="405" t="s">
        <v>236</v>
      </c>
      <c r="DH4360" s="406" t="s">
        <v>1369</v>
      </c>
      <c r="DI4360" s="406" t="str">
        <f t="shared" si="100"/>
        <v>RS, Taquaruçu do Sul</v>
      </c>
      <c r="DJ4360" s="406">
        <v>-27.4</v>
      </c>
      <c r="DK4360" s="80">
        <v>-53.466999999999999</v>
      </c>
      <c r="DL4360" s="80">
        <v>545</v>
      </c>
      <c r="DM4360" s="64">
        <v>3</v>
      </c>
      <c r="DN4360" s="406" t="s">
        <v>8215</v>
      </c>
      <c r="DO4360" s="406">
        <v>-27.4</v>
      </c>
      <c r="DP4360" s="80">
        <v>490</v>
      </c>
    </row>
    <row r="4361" spans="29:120" x14ac:dyDescent="0.25">
      <c r="AC4361" s="122" t="s">
        <v>300</v>
      </c>
      <c r="AD4361" s="122" t="s">
        <v>4610</v>
      </c>
      <c r="AE4361" s="127">
        <v>7</v>
      </c>
      <c r="DA4361" s="122" t="s">
        <v>236</v>
      </c>
      <c r="DB4361" s="122" t="s">
        <v>1273</v>
      </c>
      <c r="DC4361" s="122" t="s">
        <v>1273</v>
      </c>
      <c r="DD4361" s="127">
        <v>2</v>
      </c>
      <c r="DE4361" s="127">
        <v>2</v>
      </c>
      <c r="DG4361" s="405" t="s">
        <v>236</v>
      </c>
      <c r="DH4361" s="406" t="s">
        <v>1273</v>
      </c>
      <c r="DI4361" s="406" t="str">
        <f t="shared" si="100"/>
        <v>RS, Tavares</v>
      </c>
      <c r="DJ4361" s="406">
        <v>-31.286999999999999</v>
      </c>
      <c r="DK4361" s="80">
        <v>-51.094000000000001</v>
      </c>
      <c r="DL4361" s="80">
        <v>15</v>
      </c>
      <c r="DM4361" s="64">
        <v>2</v>
      </c>
      <c r="DN4361" s="406" t="s">
        <v>8365</v>
      </c>
      <c r="DO4361" s="406">
        <v>-31.25</v>
      </c>
      <c r="DP4361" s="80">
        <v>10</v>
      </c>
    </row>
    <row r="4362" spans="29:120" x14ac:dyDescent="0.25">
      <c r="AC4362" s="122" t="s">
        <v>369</v>
      </c>
      <c r="AD4362" s="122" t="s">
        <v>4611</v>
      </c>
      <c r="AE4362" s="127">
        <v>7</v>
      </c>
      <c r="DA4362" s="122" t="s">
        <v>236</v>
      </c>
      <c r="DB4362" s="122" t="s">
        <v>8498</v>
      </c>
      <c r="DC4362" s="122" t="s">
        <v>1619</v>
      </c>
      <c r="DD4362" s="127">
        <v>2</v>
      </c>
      <c r="DE4362" s="127">
        <v>2</v>
      </c>
      <c r="DG4362" s="405" t="s">
        <v>236</v>
      </c>
      <c r="DH4362" s="406" t="s">
        <v>1619</v>
      </c>
      <c r="DI4362" s="406" t="str">
        <f t="shared" si="100"/>
        <v>RS, Tenente Portela</v>
      </c>
      <c r="DJ4362" s="406">
        <v>-27.370999999999999</v>
      </c>
      <c r="DK4362" s="80">
        <v>-53.758000000000003</v>
      </c>
      <c r="DL4362" s="80">
        <v>390</v>
      </c>
      <c r="DM4362" s="64">
        <v>2</v>
      </c>
      <c r="DN4362" s="406" t="s">
        <v>8215</v>
      </c>
      <c r="DO4362" s="406">
        <v>-27.4</v>
      </c>
      <c r="DP4362" s="80">
        <v>490</v>
      </c>
    </row>
    <row r="4363" spans="29:120" x14ac:dyDescent="0.25">
      <c r="AC4363" s="122" t="s">
        <v>300</v>
      </c>
      <c r="AD4363" s="122" t="s">
        <v>4612</v>
      </c>
      <c r="AE4363" s="127">
        <v>7</v>
      </c>
      <c r="DA4363" s="122" t="s">
        <v>236</v>
      </c>
      <c r="DB4363" s="122" t="s">
        <v>8499</v>
      </c>
      <c r="DC4363" s="122" t="s">
        <v>1142</v>
      </c>
      <c r="DD4363" s="127">
        <v>1</v>
      </c>
      <c r="DE4363" s="127">
        <v>1</v>
      </c>
      <c r="DG4363" s="405" t="s">
        <v>236</v>
      </c>
      <c r="DH4363" s="406" t="s">
        <v>1142</v>
      </c>
      <c r="DI4363" s="406" t="str">
        <f t="shared" si="100"/>
        <v>RS, Terra de Areia</v>
      </c>
      <c r="DJ4363" s="406">
        <v>-29.585000000000001</v>
      </c>
      <c r="DK4363" s="80">
        <v>-50.070999999999998</v>
      </c>
      <c r="DL4363" s="80">
        <v>14</v>
      </c>
      <c r="DM4363" s="64">
        <v>1</v>
      </c>
      <c r="DN4363" s="406" t="s">
        <v>8233</v>
      </c>
      <c r="DO4363" s="406">
        <v>-29.33</v>
      </c>
      <c r="DP4363" s="80">
        <v>5</v>
      </c>
    </row>
    <row r="4364" spans="29:120" x14ac:dyDescent="0.25">
      <c r="AC4364" s="122" t="s">
        <v>300</v>
      </c>
      <c r="AD4364" s="122" t="s">
        <v>4613</v>
      </c>
      <c r="AE4364" s="127">
        <v>8</v>
      </c>
      <c r="DA4364" s="122" t="s">
        <v>236</v>
      </c>
      <c r="DB4364" s="122" t="s">
        <v>1440</v>
      </c>
      <c r="DC4364" s="122" t="s">
        <v>1440</v>
      </c>
      <c r="DD4364" s="127">
        <v>2</v>
      </c>
      <c r="DE4364" s="127">
        <v>2</v>
      </c>
      <c r="DG4364" s="405" t="s">
        <v>236</v>
      </c>
      <c r="DH4364" s="406" t="s">
        <v>1440</v>
      </c>
      <c r="DI4364" s="406" t="str">
        <f t="shared" si="100"/>
        <v>RS, Teutônia</v>
      </c>
      <c r="DJ4364" s="406">
        <v>-29.448</v>
      </c>
      <c r="DK4364" s="80">
        <v>-51.805999999999997</v>
      </c>
      <c r="DL4364" s="80">
        <v>100</v>
      </c>
      <c r="DM4364" s="64">
        <v>2</v>
      </c>
      <c r="DN4364" s="406" t="s">
        <v>8218</v>
      </c>
      <c r="DO4364" s="406">
        <v>-29.17</v>
      </c>
      <c r="DP4364" s="80">
        <v>640</v>
      </c>
    </row>
    <row r="4365" spans="29:120" x14ac:dyDescent="0.25">
      <c r="AC4365" s="122" t="s">
        <v>328</v>
      </c>
      <c r="AD4365" s="122" t="s">
        <v>4614</v>
      </c>
      <c r="AE4365" s="127">
        <v>8</v>
      </c>
      <c r="DA4365" s="122" t="s">
        <v>236</v>
      </c>
      <c r="DB4365" s="122" t="s">
        <v>8500</v>
      </c>
      <c r="DC4365" s="122" t="s">
        <v>1226</v>
      </c>
      <c r="DD4365" s="127">
        <v>2</v>
      </c>
      <c r="DE4365" s="127">
        <v>2</v>
      </c>
      <c r="DG4365" s="405" t="s">
        <v>236</v>
      </c>
      <c r="DH4365" s="406" t="s">
        <v>1226</v>
      </c>
      <c r="DI4365" s="406" t="str">
        <f t="shared" si="100"/>
        <v>RS, Tio Hugo</v>
      </c>
      <c r="DJ4365" s="406">
        <v>-28.579000000000001</v>
      </c>
      <c r="DK4365" s="80">
        <v>-52.598999999999997</v>
      </c>
      <c r="DL4365" s="80">
        <v>452</v>
      </c>
      <c r="DM4365" s="64">
        <v>2</v>
      </c>
      <c r="DN4365" s="406" t="s">
        <v>8216</v>
      </c>
      <c r="DO4365" s="406">
        <v>-28.85</v>
      </c>
      <c r="DP4365" s="80">
        <v>667</v>
      </c>
    </row>
    <row r="4366" spans="29:120" x14ac:dyDescent="0.25">
      <c r="AC4366" s="122" t="s">
        <v>300</v>
      </c>
      <c r="AD4366" s="122" t="s">
        <v>4615</v>
      </c>
      <c r="AE4366" s="127">
        <v>7</v>
      </c>
      <c r="DA4366" s="122" t="s">
        <v>236</v>
      </c>
      <c r="DB4366" s="122" t="s">
        <v>8501</v>
      </c>
      <c r="DC4366" s="122" t="s">
        <v>3113</v>
      </c>
      <c r="DD4366" s="127">
        <v>2</v>
      </c>
      <c r="DE4366" s="127">
        <v>2</v>
      </c>
      <c r="DG4366" s="405" t="s">
        <v>236</v>
      </c>
      <c r="DH4366" s="406" t="s">
        <v>3113</v>
      </c>
      <c r="DI4366" s="406" t="str">
        <f t="shared" si="100"/>
        <v>RS, Tiradentes do Sul</v>
      </c>
      <c r="DJ4366" s="406">
        <v>-27.398</v>
      </c>
      <c r="DK4366" s="80">
        <v>-54.084000000000003</v>
      </c>
      <c r="DL4366" s="80">
        <v>407</v>
      </c>
      <c r="DM4366" s="64">
        <v>2</v>
      </c>
      <c r="DN4366" s="406" t="s">
        <v>8210</v>
      </c>
      <c r="DO4366" s="406">
        <v>-27.85</v>
      </c>
      <c r="DP4366" s="80">
        <v>550</v>
      </c>
    </row>
    <row r="4367" spans="29:120" x14ac:dyDescent="0.25">
      <c r="AC4367" s="122" t="s">
        <v>328</v>
      </c>
      <c r="AD4367" s="122" t="s">
        <v>4616</v>
      </c>
      <c r="AE4367" s="127">
        <v>8</v>
      </c>
      <c r="DA4367" s="122" t="s">
        <v>236</v>
      </c>
      <c r="DB4367" s="122" t="s">
        <v>1611</v>
      </c>
      <c r="DC4367" s="122" t="s">
        <v>1611</v>
      </c>
      <c r="DD4367" s="127">
        <v>2</v>
      </c>
      <c r="DE4367" s="127">
        <v>2</v>
      </c>
      <c r="DG4367" s="405" t="s">
        <v>236</v>
      </c>
      <c r="DH4367" s="406" t="s">
        <v>1611</v>
      </c>
      <c r="DI4367" s="406" t="str">
        <f t="shared" si="100"/>
        <v>RS, Toropi</v>
      </c>
      <c r="DJ4367" s="406">
        <v>-29.478000000000002</v>
      </c>
      <c r="DK4367" s="80">
        <v>-54.228000000000002</v>
      </c>
      <c r="DL4367" s="80">
        <v>133</v>
      </c>
      <c r="DM4367" s="64">
        <v>2</v>
      </c>
      <c r="DN4367" s="406" t="s">
        <v>8209</v>
      </c>
      <c r="DO4367" s="406">
        <v>-29.68</v>
      </c>
      <c r="DP4367" s="80">
        <v>95</v>
      </c>
    </row>
    <row r="4368" spans="29:120" x14ac:dyDescent="0.25">
      <c r="AC4368" s="122" t="s">
        <v>328</v>
      </c>
      <c r="AD4368" s="122" t="s">
        <v>4617</v>
      </c>
      <c r="AE4368" s="127">
        <v>8</v>
      </c>
      <c r="DA4368" s="122" t="s">
        <v>236</v>
      </c>
      <c r="DB4368" s="122" t="s">
        <v>1406</v>
      </c>
      <c r="DC4368" s="122" t="s">
        <v>1406</v>
      </c>
      <c r="DD4368" s="127">
        <v>3</v>
      </c>
      <c r="DE4368" s="127">
        <v>3</v>
      </c>
      <c r="DG4368" s="405" t="s">
        <v>236</v>
      </c>
      <c r="DH4368" s="406" t="s">
        <v>1406</v>
      </c>
      <c r="DI4368" s="406" t="str">
        <f t="shared" si="100"/>
        <v>RS, Torres</v>
      </c>
      <c r="DJ4368" s="406">
        <v>-29.335000000000001</v>
      </c>
      <c r="DK4368" s="80">
        <v>-49.726999999999997</v>
      </c>
      <c r="DL4368" s="80">
        <v>16</v>
      </c>
      <c r="DM4368" s="64">
        <v>3</v>
      </c>
      <c r="DN4368" s="406" t="s">
        <v>8233</v>
      </c>
      <c r="DO4368" s="406">
        <v>-29.33</v>
      </c>
      <c r="DP4368" s="80">
        <v>5</v>
      </c>
    </row>
    <row r="4369" spans="29:120" x14ac:dyDescent="0.25">
      <c r="AC4369" s="122" t="s">
        <v>369</v>
      </c>
      <c r="AD4369" s="122" t="s">
        <v>2185</v>
      </c>
      <c r="AE4369" s="127">
        <v>8</v>
      </c>
      <c r="DA4369" s="122" t="s">
        <v>236</v>
      </c>
      <c r="DB4369" s="122" t="s">
        <v>1323</v>
      </c>
      <c r="DC4369" s="122" t="s">
        <v>1323</v>
      </c>
      <c r="DD4369" s="127">
        <v>2</v>
      </c>
      <c r="DE4369" s="127">
        <v>2</v>
      </c>
      <c r="DG4369" s="405" t="s">
        <v>236</v>
      </c>
      <c r="DH4369" s="406" t="s">
        <v>1323</v>
      </c>
      <c r="DI4369" s="406" t="str">
        <f t="shared" si="100"/>
        <v>RS, Tramandaí</v>
      </c>
      <c r="DJ4369" s="406">
        <v>-29.984999999999999</v>
      </c>
      <c r="DK4369" s="80">
        <v>-50.134</v>
      </c>
      <c r="DL4369" s="80">
        <v>8</v>
      </c>
      <c r="DM4369" s="64">
        <v>2</v>
      </c>
      <c r="DN4369" s="406" t="s">
        <v>8241</v>
      </c>
      <c r="DO4369" s="406">
        <v>-30.01</v>
      </c>
      <c r="DP4369" s="80">
        <v>1</v>
      </c>
    </row>
    <row r="4370" spans="29:120" x14ac:dyDescent="0.25">
      <c r="AC4370" s="122" t="s">
        <v>300</v>
      </c>
      <c r="AD4370" s="122" t="s">
        <v>4618</v>
      </c>
      <c r="AE4370" s="127">
        <v>8</v>
      </c>
      <c r="DA4370" s="122" t="s">
        <v>236</v>
      </c>
      <c r="DB4370" s="122" t="s">
        <v>1430</v>
      </c>
      <c r="DC4370" s="122" t="s">
        <v>1430</v>
      </c>
      <c r="DD4370" s="127">
        <v>2</v>
      </c>
      <c r="DE4370" s="127">
        <v>2</v>
      </c>
      <c r="DG4370" s="405" t="s">
        <v>236</v>
      </c>
      <c r="DH4370" s="406" t="s">
        <v>1430</v>
      </c>
      <c r="DI4370" s="406" t="str">
        <f t="shared" si="100"/>
        <v>RS, Travesseiro</v>
      </c>
      <c r="DJ4370" s="406">
        <v>-29.294</v>
      </c>
      <c r="DK4370" s="80">
        <v>-52.055</v>
      </c>
      <c r="DL4370" s="80">
        <v>86</v>
      </c>
      <c r="DM4370" s="64">
        <v>2</v>
      </c>
      <c r="DN4370" s="406" t="s">
        <v>8218</v>
      </c>
      <c r="DO4370" s="406">
        <v>-29.17</v>
      </c>
      <c r="DP4370" s="80">
        <v>640</v>
      </c>
    </row>
    <row r="4371" spans="29:120" x14ac:dyDescent="0.25">
      <c r="AC4371" s="122" t="s">
        <v>328</v>
      </c>
      <c r="AD4371" s="122" t="s">
        <v>530</v>
      </c>
      <c r="AE4371" s="127">
        <v>8</v>
      </c>
      <c r="DA4371" s="122" t="s">
        <v>236</v>
      </c>
      <c r="DB4371" s="122" t="s">
        <v>8502</v>
      </c>
      <c r="DC4371" s="122" t="s">
        <v>1568</v>
      </c>
      <c r="DD4371" s="127">
        <v>2</v>
      </c>
      <c r="DE4371" s="127">
        <v>2</v>
      </c>
      <c r="DG4371" s="405" t="s">
        <v>236</v>
      </c>
      <c r="DH4371" s="406" t="s">
        <v>1568</v>
      </c>
      <c r="DI4371" s="406" t="str">
        <f t="shared" si="100"/>
        <v>RS, Três Arroios</v>
      </c>
      <c r="DJ4371" s="406">
        <v>-27.498999999999999</v>
      </c>
      <c r="DK4371" s="80">
        <v>-52.146999999999998</v>
      </c>
      <c r="DL4371" s="80">
        <v>580</v>
      </c>
      <c r="DM4371" s="64">
        <v>2</v>
      </c>
      <c r="DN4371" s="406" t="s">
        <v>8228</v>
      </c>
      <c r="DO4371" s="406">
        <v>-27.63</v>
      </c>
      <c r="DP4371" s="80">
        <v>765</v>
      </c>
    </row>
    <row r="4372" spans="29:120" x14ac:dyDescent="0.25">
      <c r="AC4372" s="122" t="s">
        <v>300</v>
      </c>
      <c r="AD4372" s="122" t="s">
        <v>4619</v>
      </c>
      <c r="AE4372" s="127">
        <v>7</v>
      </c>
      <c r="DA4372" s="122" t="s">
        <v>236</v>
      </c>
      <c r="DB4372" s="122" t="s">
        <v>8503</v>
      </c>
      <c r="DC4372" s="122" t="s">
        <v>1265</v>
      </c>
      <c r="DD4372" s="127">
        <v>2</v>
      </c>
      <c r="DE4372" s="127">
        <v>2</v>
      </c>
      <c r="DG4372" s="405" t="s">
        <v>236</v>
      </c>
      <c r="DH4372" s="406" t="s">
        <v>1265</v>
      </c>
      <c r="DI4372" s="406" t="str">
        <f t="shared" si="100"/>
        <v>RS, Três Cachoeiras</v>
      </c>
      <c r="DJ4372" s="406">
        <v>-29.456</v>
      </c>
      <c r="DK4372" s="80">
        <v>-49.923999999999999</v>
      </c>
      <c r="DL4372" s="80">
        <v>15</v>
      </c>
      <c r="DM4372" s="64">
        <v>2</v>
      </c>
      <c r="DN4372" s="406" t="s">
        <v>8233</v>
      </c>
      <c r="DO4372" s="406">
        <v>-29.33</v>
      </c>
      <c r="DP4372" s="80">
        <v>5</v>
      </c>
    </row>
    <row r="4373" spans="29:120" x14ac:dyDescent="0.25">
      <c r="AC4373" s="122" t="s">
        <v>328</v>
      </c>
      <c r="AD4373" s="122" t="s">
        <v>4620</v>
      </c>
      <c r="AE4373" s="127">
        <v>8</v>
      </c>
      <c r="DA4373" s="122" t="s">
        <v>236</v>
      </c>
      <c r="DB4373" s="122" t="s">
        <v>8504</v>
      </c>
      <c r="DC4373" s="122" t="s">
        <v>1171</v>
      </c>
      <c r="DD4373" s="127">
        <v>1</v>
      </c>
      <c r="DE4373" s="127">
        <v>1</v>
      </c>
      <c r="DG4373" s="405" t="s">
        <v>236</v>
      </c>
      <c r="DH4373" s="406" t="s">
        <v>1171</v>
      </c>
      <c r="DI4373" s="406" t="str">
        <f t="shared" si="100"/>
        <v>RS, Três Coroas</v>
      </c>
      <c r="DJ4373" s="406">
        <v>-29.516999999999999</v>
      </c>
      <c r="DK4373" s="80">
        <v>-50.777999999999999</v>
      </c>
      <c r="DL4373" s="80">
        <v>56</v>
      </c>
      <c r="DM4373" s="64">
        <v>1</v>
      </c>
      <c r="DN4373" s="406" t="s">
        <v>8227</v>
      </c>
      <c r="DO4373" s="406">
        <v>-29.37</v>
      </c>
      <c r="DP4373" s="80">
        <v>830</v>
      </c>
    </row>
    <row r="4374" spans="29:120" x14ac:dyDescent="0.25">
      <c r="AC4374" s="122" t="s">
        <v>328</v>
      </c>
      <c r="AD4374" s="122" t="s">
        <v>4621</v>
      </c>
      <c r="AE4374" s="127">
        <v>8</v>
      </c>
      <c r="DA4374" s="122" t="s">
        <v>236</v>
      </c>
      <c r="DB4374" s="122" t="s">
        <v>8505</v>
      </c>
      <c r="DC4374" s="122" t="s">
        <v>3106</v>
      </c>
      <c r="DD4374" s="127">
        <v>2</v>
      </c>
      <c r="DE4374" s="127">
        <v>2</v>
      </c>
      <c r="DG4374" s="405" t="s">
        <v>236</v>
      </c>
      <c r="DH4374" s="406" t="s">
        <v>3106</v>
      </c>
      <c r="DI4374" s="406" t="str">
        <f t="shared" si="100"/>
        <v>RS, Três de Maio</v>
      </c>
      <c r="DJ4374" s="406">
        <v>-27.773</v>
      </c>
      <c r="DK4374" s="80">
        <v>-54.24</v>
      </c>
      <c r="DL4374" s="80">
        <v>343</v>
      </c>
      <c r="DM4374" s="64">
        <v>2</v>
      </c>
      <c r="DN4374" s="406" t="s">
        <v>8210</v>
      </c>
      <c r="DO4374" s="406">
        <v>-27.85</v>
      </c>
      <c r="DP4374" s="80">
        <v>550</v>
      </c>
    </row>
    <row r="4375" spans="29:120" x14ac:dyDescent="0.25">
      <c r="AC4375" s="122" t="s">
        <v>328</v>
      </c>
      <c r="AD4375" s="122" t="s">
        <v>4622</v>
      </c>
      <c r="AE4375" s="127">
        <v>8</v>
      </c>
      <c r="DA4375" s="122" t="s">
        <v>236</v>
      </c>
      <c r="DB4375" s="122" t="s">
        <v>8506</v>
      </c>
      <c r="DC4375" s="122" t="s">
        <v>1149</v>
      </c>
      <c r="DD4375" s="127">
        <v>1</v>
      </c>
      <c r="DE4375" s="127">
        <v>1</v>
      </c>
      <c r="DG4375" s="405" t="s">
        <v>236</v>
      </c>
      <c r="DH4375" s="406" t="s">
        <v>1149</v>
      </c>
      <c r="DI4375" s="406" t="str">
        <f t="shared" si="100"/>
        <v>RS, Três Forquilhas</v>
      </c>
      <c r="DJ4375" s="406">
        <v>-29.536999999999999</v>
      </c>
      <c r="DK4375" s="80">
        <v>-50.064</v>
      </c>
      <c r="DL4375" s="80">
        <v>15</v>
      </c>
      <c r="DM4375" s="64">
        <v>1</v>
      </c>
      <c r="DN4375" s="406" t="s">
        <v>8233</v>
      </c>
      <c r="DO4375" s="406">
        <v>-29.33</v>
      </c>
      <c r="DP4375" s="80">
        <v>5</v>
      </c>
    </row>
    <row r="4376" spans="29:120" x14ac:dyDescent="0.25">
      <c r="AC4376" s="122" t="s">
        <v>300</v>
      </c>
      <c r="AD4376" s="122" t="s">
        <v>4623</v>
      </c>
      <c r="AE4376" s="127">
        <v>7</v>
      </c>
      <c r="DA4376" s="122" t="s">
        <v>236</v>
      </c>
      <c r="DB4376" s="122" t="s">
        <v>8507</v>
      </c>
      <c r="DC4376" s="122" t="s">
        <v>1678</v>
      </c>
      <c r="DD4376" s="127">
        <v>2</v>
      </c>
      <c r="DE4376" s="127">
        <v>2</v>
      </c>
      <c r="DG4376" s="405" t="s">
        <v>236</v>
      </c>
      <c r="DH4376" s="406" t="s">
        <v>1678</v>
      </c>
      <c r="DI4376" s="406" t="str">
        <f t="shared" si="100"/>
        <v>RS, Três Palmeiras</v>
      </c>
      <c r="DJ4376" s="406">
        <v>-27.614999999999998</v>
      </c>
      <c r="DK4376" s="80">
        <v>-52.841000000000001</v>
      </c>
      <c r="DL4376" s="80">
        <v>662</v>
      </c>
      <c r="DM4376" s="64">
        <v>2</v>
      </c>
      <c r="DN4376" s="406" t="s">
        <v>8228</v>
      </c>
      <c r="DO4376" s="406">
        <v>-27.63</v>
      </c>
      <c r="DP4376" s="80">
        <v>765</v>
      </c>
    </row>
    <row r="4377" spans="29:120" x14ac:dyDescent="0.25">
      <c r="AC4377" s="122" t="s">
        <v>289</v>
      </c>
      <c r="AD4377" s="122" t="s">
        <v>4624</v>
      </c>
      <c r="AE4377" s="127">
        <v>6</v>
      </c>
      <c r="DA4377" s="122" t="s">
        <v>236</v>
      </c>
      <c r="DB4377" s="122" t="s">
        <v>8508</v>
      </c>
      <c r="DC4377" s="122" t="s">
        <v>3161</v>
      </c>
      <c r="DD4377" s="127">
        <v>2</v>
      </c>
      <c r="DE4377" s="127">
        <v>2</v>
      </c>
      <c r="DG4377" s="405" t="s">
        <v>236</v>
      </c>
      <c r="DH4377" s="406" t="s">
        <v>3161</v>
      </c>
      <c r="DI4377" s="406" t="str">
        <f t="shared" si="100"/>
        <v>RS, Três Passos</v>
      </c>
      <c r="DJ4377" s="406">
        <v>-27.456</v>
      </c>
      <c r="DK4377" s="80">
        <v>-53.932000000000002</v>
      </c>
      <c r="DL4377" s="80">
        <v>451</v>
      </c>
      <c r="DM4377" s="64">
        <v>2</v>
      </c>
      <c r="DN4377" s="406" t="s">
        <v>8210</v>
      </c>
      <c r="DO4377" s="406">
        <v>-27.85</v>
      </c>
      <c r="DP4377" s="80">
        <v>550</v>
      </c>
    </row>
    <row r="4378" spans="29:120" x14ac:dyDescent="0.25">
      <c r="AC4378" s="122" t="s">
        <v>328</v>
      </c>
      <c r="AD4378" s="122" t="s">
        <v>4625</v>
      </c>
      <c r="AE4378" s="127">
        <v>8</v>
      </c>
      <c r="DA4378" s="122" t="s">
        <v>236</v>
      </c>
      <c r="DB4378" s="122" t="s">
        <v>8509</v>
      </c>
      <c r="DC4378" s="122" t="s">
        <v>1650</v>
      </c>
      <c r="DD4378" s="127">
        <v>2</v>
      </c>
      <c r="DE4378" s="127">
        <v>2</v>
      </c>
      <c r="DG4378" s="405" t="s">
        <v>236</v>
      </c>
      <c r="DH4378" s="406" t="s">
        <v>1650</v>
      </c>
      <c r="DI4378" s="406" t="str">
        <f t="shared" si="100"/>
        <v>RS, Trindade do Sul</v>
      </c>
      <c r="DJ4378" s="406">
        <v>-27.521999999999998</v>
      </c>
      <c r="DK4378" s="80">
        <v>-52.893999999999998</v>
      </c>
      <c r="DL4378" s="80">
        <v>640</v>
      </c>
      <c r="DM4378" s="64">
        <v>2</v>
      </c>
      <c r="DN4378" s="406" t="s">
        <v>8215</v>
      </c>
      <c r="DO4378" s="406">
        <v>-27.4</v>
      </c>
      <c r="DP4378" s="80">
        <v>490</v>
      </c>
    </row>
    <row r="4379" spans="29:120" x14ac:dyDescent="0.25">
      <c r="AC4379" s="122" t="s">
        <v>393</v>
      </c>
      <c r="AD4379" s="122" t="s">
        <v>4626</v>
      </c>
      <c r="AE4379" s="127">
        <v>7</v>
      </c>
      <c r="DA4379" s="122" t="s">
        <v>236</v>
      </c>
      <c r="DB4379" s="122" t="s">
        <v>1444</v>
      </c>
      <c r="DC4379" s="122" t="s">
        <v>1444</v>
      </c>
      <c r="DD4379" s="127">
        <v>3</v>
      </c>
      <c r="DE4379" s="127">
        <v>3</v>
      </c>
      <c r="DG4379" s="405" t="s">
        <v>236</v>
      </c>
      <c r="DH4379" s="406" t="s">
        <v>1444</v>
      </c>
      <c r="DI4379" s="406" t="str">
        <f t="shared" si="100"/>
        <v>RS, Triunfo</v>
      </c>
      <c r="DJ4379" s="406">
        <v>-29.943000000000001</v>
      </c>
      <c r="DK4379" s="80">
        <v>-51.718000000000004</v>
      </c>
      <c r="DL4379" s="80">
        <v>31</v>
      </c>
      <c r="DM4379" s="64">
        <v>3</v>
      </c>
      <c r="DN4379" s="406" t="s">
        <v>8219</v>
      </c>
      <c r="DO4379" s="406">
        <v>-30.03</v>
      </c>
      <c r="DP4379" s="80">
        <v>47</v>
      </c>
    </row>
    <row r="4380" spans="29:120" x14ac:dyDescent="0.25">
      <c r="AC4380" s="122" t="s">
        <v>348</v>
      </c>
      <c r="AD4380" s="122" t="s">
        <v>4627</v>
      </c>
      <c r="AE4380" s="127">
        <v>7</v>
      </c>
      <c r="DA4380" s="122" t="s">
        <v>236</v>
      </c>
      <c r="DB4380" s="122" t="s">
        <v>3080</v>
      </c>
      <c r="DC4380" s="122" t="s">
        <v>3080</v>
      </c>
      <c r="DD4380" s="127">
        <v>2</v>
      </c>
      <c r="DE4380" s="127">
        <v>2</v>
      </c>
      <c r="DG4380" s="405" t="s">
        <v>236</v>
      </c>
      <c r="DH4380" s="406" t="s">
        <v>3080</v>
      </c>
      <c r="DI4380" s="406" t="str">
        <f t="shared" si="100"/>
        <v>RS, Tucunduva</v>
      </c>
      <c r="DJ4380" s="406">
        <v>-27.657</v>
      </c>
      <c r="DK4380" s="80">
        <v>-54.44</v>
      </c>
      <c r="DL4380" s="80">
        <v>223</v>
      </c>
      <c r="DM4380" s="64">
        <v>2</v>
      </c>
      <c r="DN4380" s="406" t="s">
        <v>8210</v>
      </c>
      <c r="DO4380" s="406">
        <v>-27.85</v>
      </c>
      <c r="DP4380" s="80">
        <v>550</v>
      </c>
    </row>
    <row r="4381" spans="29:120" x14ac:dyDescent="0.25">
      <c r="AC4381" s="122" t="s">
        <v>372</v>
      </c>
      <c r="AD4381" s="122" t="s">
        <v>4628</v>
      </c>
      <c r="AE4381" s="127">
        <v>8</v>
      </c>
      <c r="DA4381" s="122" t="s">
        <v>236</v>
      </c>
      <c r="DB4381" s="122" t="s">
        <v>1554</v>
      </c>
      <c r="DC4381" s="122" t="s">
        <v>1554</v>
      </c>
      <c r="DD4381" s="127">
        <v>2</v>
      </c>
      <c r="DE4381" s="127">
        <v>2</v>
      </c>
      <c r="DG4381" s="405" t="s">
        <v>236</v>
      </c>
      <c r="DH4381" s="406" t="s">
        <v>1554</v>
      </c>
      <c r="DI4381" s="406" t="str">
        <f t="shared" si="100"/>
        <v>RS, Tunas</v>
      </c>
      <c r="DJ4381" s="406">
        <v>-29.103000000000002</v>
      </c>
      <c r="DK4381" s="80">
        <v>-52.956000000000003</v>
      </c>
      <c r="DL4381" s="80">
        <v>339</v>
      </c>
      <c r="DM4381" s="64">
        <v>2</v>
      </c>
      <c r="DN4381" s="406" t="s">
        <v>8216</v>
      </c>
      <c r="DO4381" s="406">
        <v>-28.85</v>
      </c>
      <c r="DP4381" s="80">
        <v>667</v>
      </c>
    </row>
    <row r="4382" spans="29:120" x14ac:dyDescent="0.25">
      <c r="AC4382" s="122" t="s">
        <v>300</v>
      </c>
      <c r="AD4382" s="122" t="s">
        <v>4629</v>
      </c>
      <c r="AE4382" s="127">
        <v>7</v>
      </c>
      <c r="DA4382" s="122" t="s">
        <v>236</v>
      </c>
      <c r="DB4382" s="122" t="s">
        <v>8510</v>
      </c>
      <c r="DC4382" s="122" t="s">
        <v>1539</v>
      </c>
      <c r="DD4382" s="127">
        <v>2</v>
      </c>
      <c r="DE4382" s="127">
        <v>2</v>
      </c>
      <c r="DG4382" s="405" t="s">
        <v>236</v>
      </c>
      <c r="DH4382" s="406" t="s">
        <v>1539</v>
      </c>
      <c r="DI4382" s="406" t="str">
        <f t="shared" si="100"/>
        <v>RS, Tupanci do Sul</v>
      </c>
      <c r="DJ4382" s="406">
        <v>-27.925000000000001</v>
      </c>
      <c r="DK4382" s="80">
        <v>-51.536000000000001</v>
      </c>
      <c r="DL4382" s="80">
        <v>824</v>
      </c>
      <c r="DM4382" s="64">
        <v>2</v>
      </c>
      <c r="DN4382" s="406" t="s">
        <v>8224</v>
      </c>
      <c r="DO4382" s="406">
        <v>-28.22</v>
      </c>
      <c r="DP4382" s="80">
        <v>842</v>
      </c>
    </row>
    <row r="4383" spans="29:120" x14ac:dyDescent="0.25">
      <c r="AC4383" s="122" t="s">
        <v>344</v>
      </c>
      <c r="AD4383" s="122" t="s">
        <v>4630</v>
      </c>
      <c r="AE4383" s="127">
        <v>8</v>
      </c>
      <c r="DA4383" s="122" t="s">
        <v>236</v>
      </c>
      <c r="DB4383" s="122" t="s">
        <v>1578</v>
      </c>
      <c r="DC4383" s="122" t="s">
        <v>1578</v>
      </c>
      <c r="DD4383" s="127">
        <v>2</v>
      </c>
      <c r="DE4383" s="127">
        <v>2</v>
      </c>
      <c r="DG4383" s="405" t="s">
        <v>236</v>
      </c>
      <c r="DH4383" s="406" t="s">
        <v>1578</v>
      </c>
      <c r="DI4383" s="406" t="str">
        <f t="shared" si="100"/>
        <v>RS, Tupanciretã</v>
      </c>
      <c r="DJ4383" s="406">
        <v>-29.081</v>
      </c>
      <c r="DK4383" s="80">
        <v>-53.835999999999999</v>
      </c>
      <c r="DL4383" s="80">
        <v>465</v>
      </c>
      <c r="DM4383" s="64">
        <v>2</v>
      </c>
      <c r="DN4383" s="406" t="s">
        <v>8239</v>
      </c>
      <c r="DO4383" s="406">
        <v>-28.6</v>
      </c>
      <c r="DP4383" s="80">
        <v>432</v>
      </c>
    </row>
    <row r="4384" spans="29:120" x14ac:dyDescent="0.25">
      <c r="AC4384" s="122" t="s">
        <v>300</v>
      </c>
      <c r="AD4384" s="122" t="s">
        <v>4631</v>
      </c>
      <c r="AE4384" s="127">
        <v>7</v>
      </c>
      <c r="DA4384" s="122" t="s">
        <v>236</v>
      </c>
      <c r="DB4384" s="122" t="s">
        <v>1506</v>
      </c>
      <c r="DC4384" s="122" t="s">
        <v>1506</v>
      </c>
      <c r="DD4384" s="127">
        <v>1</v>
      </c>
      <c r="DE4384" s="127">
        <v>1</v>
      </c>
      <c r="DG4384" s="405" t="s">
        <v>236</v>
      </c>
      <c r="DH4384" s="406" t="s">
        <v>1506</v>
      </c>
      <c r="DI4384" s="406" t="str">
        <f t="shared" si="100"/>
        <v>RS, Tupandi</v>
      </c>
      <c r="DJ4384" s="406">
        <v>-29.475999999999999</v>
      </c>
      <c r="DK4384" s="80">
        <v>-51.420999999999999</v>
      </c>
      <c r="DL4384" s="80">
        <v>63</v>
      </c>
      <c r="DM4384" s="64">
        <v>1</v>
      </c>
      <c r="DN4384" s="406" t="s">
        <v>8218</v>
      </c>
      <c r="DO4384" s="406">
        <v>-29.17</v>
      </c>
      <c r="DP4384" s="80">
        <v>640</v>
      </c>
    </row>
    <row r="4385" spans="29:120" x14ac:dyDescent="0.25">
      <c r="AC4385" s="122" t="s">
        <v>300</v>
      </c>
      <c r="AD4385" s="122" t="s">
        <v>4632</v>
      </c>
      <c r="AE4385" s="127">
        <v>8</v>
      </c>
      <c r="DA4385" s="122" t="s">
        <v>236</v>
      </c>
      <c r="DB4385" s="122" t="s">
        <v>3083</v>
      </c>
      <c r="DC4385" s="122" t="s">
        <v>3083</v>
      </c>
      <c r="DD4385" s="127">
        <v>2</v>
      </c>
      <c r="DE4385" s="127">
        <v>2</v>
      </c>
      <c r="DG4385" s="405" t="s">
        <v>236</v>
      </c>
      <c r="DH4385" s="406" t="s">
        <v>3083</v>
      </c>
      <c r="DI4385" s="406" t="str">
        <f t="shared" si="100"/>
        <v>RS, Tuparendi</v>
      </c>
      <c r="DJ4385" s="406">
        <v>-27.756</v>
      </c>
      <c r="DK4385" s="80">
        <v>-54.481999999999999</v>
      </c>
      <c r="DL4385" s="80">
        <v>328</v>
      </c>
      <c r="DM4385" s="64">
        <v>2</v>
      </c>
      <c r="DN4385" s="406" t="s">
        <v>8210</v>
      </c>
      <c r="DO4385" s="406">
        <v>-27.85</v>
      </c>
      <c r="DP4385" s="80">
        <v>550</v>
      </c>
    </row>
    <row r="4386" spans="29:120" x14ac:dyDescent="0.25">
      <c r="AC4386" s="122" t="s">
        <v>372</v>
      </c>
      <c r="AD4386" s="122" t="s">
        <v>4633</v>
      </c>
      <c r="AE4386" s="127">
        <v>8</v>
      </c>
      <c r="DA4386" s="122" t="s">
        <v>236</v>
      </c>
      <c r="DB4386" s="122" t="s">
        <v>1131</v>
      </c>
      <c r="DC4386" s="122" t="s">
        <v>1131</v>
      </c>
      <c r="DD4386" s="127">
        <v>2</v>
      </c>
      <c r="DE4386" s="127">
        <v>2</v>
      </c>
      <c r="DG4386" s="405" t="s">
        <v>236</v>
      </c>
      <c r="DH4386" s="406" t="s">
        <v>1131</v>
      </c>
      <c r="DI4386" s="406" t="str">
        <f t="shared" si="100"/>
        <v>RS, Turuçu</v>
      </c>
      <c r="DJ4386" s="406">
        <v>-31.422000000000001</v>
      </c>
      <c r="DK4386" s="80">
        <v>-52.177999999999997</v>
      </c>
      <c r="DL4386" s="80">
        <v>30</v>
      </c>
      <c r="DM4386" s="64">
        <v>2</v>
      </c>
      <c r="DN4386" s="406" t="s">
        <v>8231</v>
      </c>
      <c r="DO4386" s="406">
        <v>-31.41</v>
      </c>
      <c r="DP4386" s="80">
        <v>464</v>
      </c>
    </row>
    <row r="4387" spans="29:120" x14ac:dyDescent="0.25">
      <c r="AC4387" s="122" t="s">
        <v>328</v>
      </c>
      <c r="AD4387" s="122" t="s">
        <v>3588</v>
      </c>
      <c r="AE4387" s="127">
        <v>8</v>
      </c>
      <c r="DA4387" s="122" t="s">
        <v>236</v>
      </c>
      <c r="DB4387" s="122" t="s">
        <v>3075</v>
      </c>
      <c r="DC4387" s="122" t="s">
        <v>3075</v>
      </c>
      <c r="DD4387" s="127">
        <v>2</v>
      </c>
      <c r="DE4387" s="127">
        <v>2</v>
      </c>
      <c r="DG4387" s="405" t="s">
        <v>236</v>
      </c>
      <c r="DH4387" s="406" t="s">
        <v>3075</v>
      </c>
      <c r="DI4387" s="406" t="str">
        <f t="shared" si="100"/>
        <v>RS, Ubiretama</v>
      </c>
      <c r="DJ4387" s="406">
        <v>-28.045999999999999</v>
      </c>
      <c r="DK4387" s="80">
        <v>-54.680999999999997</v>
      </c>
      <c r="DL4387" s="80">
        <v>208</v>
      </c>
      <c r="DM4387" s="64">
        <v>2</v>
      </c>
      <c r="DN4387" s="406" t="s">
        <v>8211</v>
      </c>
      <c r="DO4387" s="406">
        <v>-28.41</v>
      </c>
      <c r="DP4387" s="80">
        <v>245</v>
      </c>
    </row>
    <row r="4388" spans="29:120" x14ac:dyDescent="0.25">
      <c r="AC4388" s="122" t="s">
        <v>357</v>
      </c>
      <c r="AD4388" s="122" t="s">
        <v>4634</v>
      </c>
      <c r="AE4388" s="127">
        <v>7</v>
      </c>
      <c r="DA4388" s="122" t="s">
        <v>236</v>
      </c>
      <c r="DB4388" s="122" t="s">
        <v>8511</v>
      </c>
      <c r="DC4388" s="122" t="s">
        <v>1463</v>
      </c>
      <c r="DD4388" s="127">
        <v>2</v>
      </c>
      <c r="DE4388" s="127">
        <v>2</v>
      </c>
      <c r="DG4388" s="405" t="s">
        <v>236</v>
      </c>
      <c r="DH4388" s="406" t="s">
        <v>1463</v>
      </c>
      <c r="DI4388" s="406" t="str">
        <f t="shared" si="100"/>
        <v>RS, União da Serra</v>
      </c>
      <c r="DJ4388" s="406">
        <v>-28.795000000000002</v>
      </c>
      <c r="DK4388" s="80">
        <v>-52.036999999999999</v>
      </c>
      <c r="DL4388" s="80">
        <v>520</v>
      </c>
      <c r="DM4388" s="64">
        <v>2</v>
      </c>
      <c r="DN4388" s="406" t="s">
        <v>8216</v>
      </c>
      <c r="DO4388" s="406">
        <v>-28.85</v>
      </c>
      <c r="DP4388" s="80">
        <v>667</v>
      </c>
    </row>
    <row r="4389" spans="29:120" x14ac:dyDescent="0.25">
      <c r="AC4389" s="122" t="s">
        <v>300</v>
      </c>
      <c r="AD4389" s="122" t="s">
        <v>4635</v>
      </c>
      <c r="AE4389" s="127">
        <v>8</v>
      </c>
      <c r="DA4389" s="122" t="s">
        <v>236</v>
      </c>
      <c r="DB4389" s="122" t="s">
        <v>1686</v>
      </c>
      <c r="DC4389" s="122" t="s">
        <v>1686</v>
      </c>
      <c r="DD4389" s="127">
        <v>2</v>
      </c>
      <c r="DE4389" s="127">
        <v>2</v>
      </c>
      <c r="DG4389" s="405" t="s">
        <v>236</v>
      </c>
      <c r="DH4389" s="406" t="s">
        <v>1686</v>
      </c>
      <c r="DI4389" s="406" t="str">
        <f t="shared" si="100"/>
        <v>RS, Unistalda</v>
      </c>
      <c r="DJ4389" s="406">
        <v>-29.047000000000001</v>
      </c>
      <c r="DK4389" s="80">
        <v>-55.15</v>
      </c>
      <c r="DL4389" s="80">
        <v>361</v>
      </c>
      <c r="DM4389" s="64">
        <v>2</v>
      </c>
      <c r="DN4389" s="406" t="s">
        <v>8283</v>
      </c>
      <c r="DO4389" s="406">
        <v>-29.19</v>
      </c>
      <c r="DP4389" s="80">
        <v>394</v>
      </c>
    </row>
    <row r="4390" spans="29:120" x14ac:dyDescent="0.25">
      <c r="AC4390" s="122" t="s">
        <v>268</v>
      </c>
      <c r="AD4390" s="122" t="s">
        <v>4636</v>
      </c>
      <c r="AE4390" s="127">
        <v>8</v>
      </c>
      <c r="DA4390" s="122" t="s">
        <v>236</v>
      </c>
      <c r="DB4390" s="122" t="s">
        <v>1753</v>
      </c>
      <c r="DC4390" s="122" t="s">
        <v>1753</v>
      </c>
      <c r="DD4390" s="127">
        <v>2</v>
      </c>
      <c r="DE4390" s="127">
        <v>2</v>
      </c>
      <c r="DG4390" s="405" t="s">
        <v>236</v>
      </c>
      <c r="DH4390" s="406" t="s">
        <v>1753</v>
      </c>
      <c r="DI4390" s="406" t="str">
        <f t="shared" si="100"/>
        <v>RS, Uruguaiana</v>
      </c>
      <c r="DJ4390" s="406">
        <v>-29.754999999999999</v>
      </c>
      <c r="DK4390" s="80">
        <v>-57.088000000000001</v>
      </c>
      <c r="DL4390" s="80">
        <v>66</v>
      </c>
      <c r="DM4390" s="64">
        <v>2</v>
      </c>
      <c r="DN4390" s="406" t="s">
        <v>8246</v>
      </c>
      <c r="DO4390" s="406">
        <v>-29.75</v>
      </c>
      <c r="DP4390" s="80">
        <v>62</v>
      </c>
    </row>
    <row r="4391" spans="29:120" x14ac:dyDescent="0.25">
      <c r="AC4391" s="122" t="s">
        <v>300</v>
      </c>
      <c r="AD4391" s="122" t="s">
        <v>4637</v>
      </c>
      <c r="AE4391" s="127">
        <v>8</v>
      </c>
      <c r="DA4391" s="122" t="s">
        <v>236</v>
      </c>
      <c r="DB4391" s="122" t="s">
        <v>1657</v>
      </c>
      <c r="DC4391" s="122" t="s">
        <v>1657</v>
      </c>
      <c r="DD4391" s="127">
        <v>1</v>
      </c>
      <c r="DE4391" s="127">
        <v>1</v>
      </c>
      <c r="DG4391" s="405" t="s">
        <v>236</v>
      </c>
      <c r="DH4391" s="406" t="s">
        <v>1657</v>
      </c>
      <c r="DI4391" s="406" t="str">
        <f t="shared" si="100"/>
        <v>RS, Vacaria</v>
      </c>
      <c r="DJ4391" s="406">
        <v>-28.512</v>
      </c>
      <c r="DK4391" s="80">
        <v>-50.933999999999997</v>
      </c>
      <c r="DL4391" s="80">
        <v>971</v>
      </c>
      <c r="DM4391" s="64">
        <v>1</v>
      </c>
      <c r="DN4391" s="406" t="s">
        <v>8272</v>
      </c>
      <c r="DO4391" s="406">
        <v>-28.51</v>
      </c>
      <c r="DP4391" s="80">
        <v>986</v>
      </c>
    </row>
    <row r="4392" spans="29:120" x14ac:dyDescent="0.25">
      <c r="AC4392" s="122" t="s">
        <v>369</v>
      </c>
      <c r="AD4392" s="122" t="s">
        <v>4638</v>
      </c>
      <c r="AE4392" s="127">
        <v>7</v>
      </c>
      <c r="DA4392" s="122" t="s">
        <v>236</v>
      </c>
      <c r="DB4392" s="122" t="s">
        <v>8512</v>
      </c>
      <c r="DC4392" s="122" t="s">
        <v>1606</v>
      </c>
      <c r="DD4392" s="127">
        <v>2</v>
      </c>
      <c r="DE4392" s="127">
        <v>2</v>
      </c>
      <c r="DG4392" s="405" t="s">
        <v>236</v>
      </c>
      <c r="DH4392" s="406" t="s">
        <v>1606</v>
      </c>
      <c r="DI4392" s="406" t="str">
        <f t="shared" si="100"/>
        <v>RS, Vale do Sol</v>
      </c>
      <c r="DJ4392" s="406">
        <v>-29.603999999999999</v>
      </c>
      <c r="DK4392" s="80">
        <v>-52.683</v>
      </c>
      <c r="DL4392" s="80">
        <v>500</v>
      </c>
      <c r="DM4392" s="64">
        <v>2</v>
      </c>
      <c r="DN4392" s="406" t="s">
        <v>8263</v>
      </c>
      <c r="DO4392" s="406">
        <v>-29.87</v>
      </c>
      <c r="DP4392" s="80">
        <v>111</v>
      </c>
    </row>
    <row r="4393" spans="29:120" x14ac:dyDescent="0.25">
      <c r="AC4393" s="122" t="s">
        <v>340</v>
      </c>
      <c r="AD4393" s="122" t="s">
        <v>4639</v>
      </c>
      <c r="AE4393" s="127">
        <v>6</v>
      </c>
      <c r="DA4393" s="122" t="s">
        <v>236</v>
      </c>
      <c r="DB4393" s="122" t="s">
        <v>8513</v>
      </c>
      <c r="DC4393" s="122" t="s">
        <v>1233</v>
      </c>
      <c r="DD4393" s="127">
        <v>1</v>
      </c>
      <c r="DE4393" s="127">
        <v>1</v>
      </c>
      <c r="DG4393" s="405" t="s">
        <v>236</v>
      </c>
      <c r="DH4393" s="406" t="s">
        <v>1233</v>
      </c>
      <c r="DI4393" s="406" t="str">
        <f t="shared" si="100"/>
        <v>RS, Vale Real</v>
      </c>
      <c r="DJ4393" s="406">
        <v>-29.398</v>
      </c>
      <c r="DK4393" s="80">
        <v>-51.253999999999998</v>
      </c>
      <c r="DL4393" s="80">
        <v>450</v>
      </c>
      <c r="DM4393" s="64">
        <v>1</v>
      </c>
      <c r="DN4393" s="406" t="s">
        <v>8218</v>
      </c>
      <c r="DO4393" s="406">
        <v>-29.17</v>
      </c>
      <c r="DP4393" s="80">
        <v>640</v>
      </c>
    </row>
    <row r="4394" spans="29:120" x14ac:dyDescent="0.25">
      <c r="AC4394" s="122" t="s">
        <v>357</v>
      </c>
      <c r="AD4394" s="122" t="s">
        <v>4640</v>
      </c>
      <c r="AE4394" s="127">
        <v>7</v>
      </c>
      <c r="DA4394" s="122" t="s">
        <v>236</v>
      </c>
      <c r="DB4394" s="122" t="s">
        <v>8514</v>
      </c>
      <c r="DC4394" s="122" t="s">
        <v>1465</v>
      </c>
      <c r="DD4394" s="127">
        <v>2</v>
      </c>
      <c r="DE4394" s="127">
        <v>2</v>
      </c>
      <c r="DG4394" s="405" t="s">
        <v>236</v>
      </c>
      <c r="DH4394" s="406" t="s">
        <v>1465</v>
      </c>
      <c r="DI4394" s="406" t="str">
        <f t="shared" si="100"/>
        <v>RS, Vale Verde</v>
      </c>
      <c r="DJ4394" s="406">
        <v>-29.786999999999999</v>
      </c>
      <c r="DK4394" s="80">
        <v>-52.183999999999997</v>
      </c>
      <c r="DL4394" s="80">
        <v>91</v>
      </c>
      <c r="DM4394" s="64">
        <v>2</v>
      </c>
      <c r="DN4394" s="406" t="s">
        <v>8263</v>
      </c>
      <c r="DO4394" s="406">
        <v>-29.87</v>
      </c>
      <c r="DP4394" s="80">
        <v>111</v>
      </c>
    </row>
    <row r="4395" spans="29:120" x14ac:dyDescent="0.25">
      <c r="AC4395" s="122" t="s">
        <v>300</v>
      </c>
      <c r="AD4395" s="122" t="s">
        <v>4641</v>
      </c>
      <c r="AE4395" s="127">
        <v>7</v>
      </c>
      <c r="DA4395" s="122" t="s">
        <v>236</v>
      </c>
      <c r="DB4395" s="122" t="s">
        <v>1546</v>
      </c>
      <c r="DC4395" s="122" t="s">
        <v>1546</v>
      </c>
      <c r="DD4395" s="127">
        <v>2</v>
      </c>
      <c r="DE4395" s="127">
        <v>2</v>
      </c>
      <c r="DG4395" s="405" t="s">
        <v>236</v>
      </c>
      <c r="DH4395" s="406" t="s">
        <v>1546</v>
      </c>
      <c r="DI4395" s="406" t="str">
        <f t="shared" si="100"/>
        <v>RS, Vanini</v>
      </c>
      <c r="DJ4395" s="406">
        <v>-28.478000000000002</v>
      </c>
      <c r="DK4395" s="80">
        <v>-51.844999999999999</v>
      </c>
      <c r="DL4395" s="80">
        <v>757</v>
      </c>
      <c r="DM4395" s="64">
        <v>2</v>
      </c>
      <c r="DN4395" s="406" t="s">
        <v>8224</v>
      </c>
      <c r="DO4395" s="406">
        <v>-28.22</v>
      </c>
      <c r="DP4395" s="80">
        <v>842</v>
      </c>
    </row>
    <row r="4396" spans="29:120" x14ac:dyDescent="0.25">
      <c r="AC4396" s="122" t="s">
        <v>328</v>
      </c>
      <c r="AD4396" s="122" t="s">
        <v>4642</v>
      </c>
      <c r="AE4396" s="127">
        <v>8</v>
      </c>
      <c r="DA4396" s="122" t="s">
        <v>236</v>
      </c>
      <c r="DB4396" s="122" t="s">
        <v>8515</v>
      </c>
      <c r="DC4396" s="122" t="s">
        <v>1435</v>
      </c>
      <c r="DD4396" s="127">
        <v>2</v>
      </c>
      <c r="DE4396" s="127">
        <v>2</v>
      </c>
      <c r="DG4396" s="405" t="s">
        <v>236</v>
      </c>
      <c r="DH4396" s="406" t="s">
        <v>1435</v>
      </c>
      <c r="DI4396" s="406" t="str">
        <f t="shared" si="100"/>
        <v>RS, Venâncio Aires</v>
      </c>
      <c r="DJ4396" s="406">
        <v>-29.606000000000002</v>
      </c>
      <c r="DK4396" s="80">
        <v>-52.192</v>
      </c>
      <c r="DL4396" s="80">
        <v>46</v>
      </c>
      <c r="DM4396" s="64">
        <v>2</v>
      </c>
      <c r="DN4396" s="406" t="s">
        <v>8263</v>
      </c>
      <c r="DO4396" s="406">
        <v>-29.87</v>
      </c>
      <c r="DP4396" s="80">
        <v>111</v>
      </c>
    </row>
    <row r="4397" spans="29:120" x14ac:dyDescent="0.25">
      <c r="AC4397" s="122" t="s">
        <v>300</v>
      </c>
      <c r="AD4397" s="122" t="s">
        <v>4643</v>
      </c>
      <c r="AE4397" s="127">
        <v>7</v>
      </c>
      <c r="DA4397" s="122" t="s">
        <v>236</v>
      </c>
      <c r="DB4397" s="122" t="s">
        <v>6398</v>
      </c>
      <c r="DC4397" s="122" t="s">
        <v>1612</v>
      </c>
      <c r="DD4397" s="127">
        <v>2</v>
      </c>
      <c r="DE4397" s="127">
        <v>2</v>
      </c>
      <c r="DG4397" s="405" t="s">
        <v>236</v>
      </c>
      <c r="DH4397" s="406" t="s">
        <v>1612</v>
      </c>
      <c r="DI4397" s="406" t="str">
        <f t="shared" si="100"/>
        <v>RS, Vera Cruz</v>
      </c>
      <c r="DJ4397" s="406">
        <v>-29.715</v>
      </c>
      <c r="DK4397" s="80">
        <v>-52.506</v>
      </c>
      <c r="DL4397" s="80">
        <v>68</v>
      </c>
      <c r="DM4397" s="64">
        <v>2</v>
      </c>
      <c r="DN4397" s="406" t="s">
        <v>8263</v>
      </c>
      <c r="DO4397" s="406">
        <v>-29.87</v>
      </c>
      <c r="DP4397" s="80">
        <v>111</v>
      </c>
    </row>
    <row r="4398" spans="29:120" x14ac:dyDescent="0.25">
      <c r="AC4398" s="122" t="s">
        <v>372</v>
      </c>
      <c r="AD4398" s="122" t="s">
        <v>2700</v>
      </c>
      <c r="AE4398" s="127">
        <v>8</v>
      </c>
      <c r="DA4398" s="122" t="s">
        <v>236</v>
      </c>
      <c r="DB4398" s="122" t="s">
        <v>1301</v>
      </c>
      <c r="DC4398" s="122" t="s">
        <v>1301</v>
      </c>
      <c r="DD4398" s="127">
        <v>1</v>
      </c>
      <c r="DE4398" s="127">
        <v>1</v>
      </c>
      <c r="DG4398" s="405" t="s">
        <v>236</v>
      </c>
      <c r="DH4398" s="406" t="s">
        <v>1301</v>
      </c>
      <c r="DI4398" s="406" t="str">
        <f t="shared" si="100"/>
        <v>RS, Veranópolis</v>
      </c>
      <c r="DJ4398" s="406">
        <v>-28.936</v>
      </c>
      <c r="DK4398" s="80">
        <v>-51.548999999999999</v>
      </c>
      <c r="DL4398" s="80">
        <v>680</v>
      </c>
      <c r="DM4398" s="64">
        <v>1</v>
      </c>
      <c r="DN4398" s="406" t="s">
        <v>8218</v>
      </c>
      <c r="DO4398" s="406">
        <v>-29.17</v>
      </c>
      <c r="DP4398" s="80">
        <v>640</v>
      </c>
    </row>
    <row r="4399" spans="29:120" x14ac:dyDescent="0.25">
      <c r="AC4399" s="122" t="s">
        <v>357</v>
      </c>
      <c r="AD4399" s="122" t="s">
        <v>4644</v>
      </c>
      <c r="AE4399" s="127">
        <v>7</v>
      </c>
      <c r="DA4399" s="122" t="s">
        <v>236</v>
      </c>
      <c r="DB4399" s="122" t="s">
        <v>8516</v>
      </c>
      <c r="DC4399" s="122" t="s">
        <v>1457</v>
      </c>
      <c r="DD4399" s="127">
        <v>2</v>
      </c>
      <c r="DE4399" s="127">
        <v>2</v>
      </c>
      <c r="DG4399" s="405" t="s">
        <v>236</v>
      </c>
      <c r="DH4399" s="406" t="s">
        <v>1457</v>
      </c>
      <c r="DI4399" s="406" t="str">
        <f t="shared" si="100"/>
        <v>RS, Vespasiano Correa</v>
      </c>
      <c r="DJ4399" s="406">
        <v>-29.068000000000001</v>
      </c>
      <c r="DK4399" s="80">
        <v>-51.859000000000002</v>
      </c>
      <c r="DL4399" s="80">
        <v>518</v>
      </c>
      <c r="DM4399" s="64">
        <v>2</v>
      </c>
      <c r="DN4399" s="406" t="s">
        <v>8218</v>
      </c>
      <c r="DO4399" s="406">
        <v>-29.17</v>
      </c>
      <c r="DP4399" s="80">
        <v>640</v>
      </c>
    </row>
    <row r="4400" spans="29:120" x14ac:dyDescent="0.25">
      <c r="AC4400" s="122" t="s">
        <v>369</v>
      </c>
      <c r="AD4400" s="122" t="s">
        <v>4645</v>
      </c>
      <c r="AE4400" s="127">
        <v>7</v>
      </c>
      <c r="DA4400" s="122" t="s">
        <v>236</v>
      </c>
      <c r="DB4400" s="122" t="s">
        <v>1593</v>
      </c>
      <c r="DC4400" s="122" t="s">
        <v>1593</v>
      </c>
      <c r="DD4400" s="127">
        <v>2</v>
      </c>
      <c r="DE4400" s="127">
        <v>2</v>
      </c>
      <c r="DG4400" s="405" t="s">
        <v>236</v>
      </c>
      <c r="DH4400" s="406" t="s">
        <v>1593</v>
      </c>
      <c r="DI4400" s="406" t="str">
        <f t="shared" si="100"/>
        <v>RS, Viadutos</v>
      </c>
      <c r="DJ4400" s="406">
        <v>-27.568999999999999</v>
      </c>
      <c r="DK4400" s="80">
        <v>-52.02</v>
      </c>
      <c r="DL4400" s="80">
        <v>645</v>
      </c>
      <c r="DM4400" s="64">
        <v>2</v>
      </c>
      <c r="DN4400" s="406" t="s">
        <v>8228</v>
      </c>
      <c r="DO4400" s="406">
        <v>-27.63</v>
      </c>
      <c r="DP4400" s="80">
        <v>765</v>
      </c>
    </row>
    <row r="4401" spans="29:120" x14ac:dyDescent="0.25">
      <c r="AC4401" s="122" t="s">
        <v>357</v>
      </c>
      <c r="AD4401" s="122" t="s">
        <v>4646</v>
      </c>
      <c r="AE4401" s="127">
        <v>7</v>
      </c>
      <c r="DA4401" s="122" t="s">
        <v>236</v>
      </c>
      <c r="DB4401" s="122" t="s">
        <v>1195</v>
      </c>
      <c r="DC4401" s="122" t="s">
        <v>1195</v>
      </c>
      <c r="DD4401" s="127">
        <v>2</v>
      </c>
      <c r="DE4401" s="127">
        <v>2</v>
      </c>
      <c r="DG4401" s="405" t="s">
        <v>236</v>
      </c>
      <c r="DH4401" s="406" t="s">
        <v>1195</v>
      </c>
      <c r="DI4401" s="406" t="str">
        <f t="shared" si="100"/>
        <v>RS, Viamão</v>
      </c>
      <c r="DJ4401" s="406">
        <v>-30.081</v>
      </c>
      <c r="DK4401" s="80">
        <v>-51.023000000000003</v>
      </c>
      <c r="DL4401" s="80">
        <v>111</v>
      </c>
      <c r="DM4401" s="64">
        <v>2</v>
      </c>
      <c r="DN4401" s="406" t="s">
        <v>8219</v>
      </c>
      <c r="DO4401" s="406">
        <v>-30.03</v>
      </c>
      <c r="DP4401" s="80">
        <v>47</v>
      </c>
    </row>
    <row r="4402" spans="29:120" x14ac:dyDescent="0.25">
      <c r="AC4402" s="122" t="s">
        <v>300</v>
      </c>
      <c r="AD4402" s="122" t="s">
        <v>4647</v>
      </c>
      <c r="AE4402" s="127">
        <v>7</v>
      </c>
      <c r="DA4402" s="122" t="s">
        <v>236</v>
      </c>
      <c r="DB4402" s="122" t="s">
        <v>8517</v>
      </c>
      <c r="DC4402" s="122" t="s">
        <v>1615</v>
      </c>
      <c r="DD4402" s="127">
        <v>3</v>
      </c>
      <c r="DE4402" s="127">
        <v>3</v>
      </c>
      <c r="DG4402" s="405" t="s">
        <v>236</v>
      </c>
      <c r="DH4402" s="406" t="s">
        <v>1615</v>
      </c>
      <c r="DI4402" s="406" t="str">
        <f t="shared" si="100"/>
        <v>RS, Vicente Dutra</v>
      </c>
      <c r="DJ4402" s="406">
        <v>-27.161999999999999</v>
      </c>
      <c r="DK4402" s="80">
        <v>-53.405000000000001</v>
      </c>
      <c r="DL4402" s="80">
        <v>289</v>
      </c>
      <c r="DM4402" s="64">
        <v>3</v>
      </c>
      <c r="DN4402" s="406" t="s">
        <v>8215</v>
      </c>
      <c r="DO4402" s="406">
        <v>-27.4</v>
      </c>
      <c r="DP4402" s="80">
        <v>490</v>
      </c>
    </row>
    <row r="4403" spans="29:120" x14ac:dyDescent="0.25">
      <c r="AC4403" s="122" t="s">
        <v>322</v>
      </c>
      <c r="AD4403" s="122" t="s">
        <v>4648</v>
      </c>
      <c r="AE4403" s="127">
        <v>7</v>
      </c>
      <c r="DA4403" s="122" t="s">
        <v>236</v>
      </c>
      <c r="DB4403" s="122" t="s">
        <v>8518</v>
      </c>
      <c r="DC4403" s="122" t="s">
        <v>1209</v>
      </c>
      <c r="DD4403" s="127">
        <v>2</v>
      </c>
      <c r="DE4403" s="127">
        <v>2</v>
      </c>
      <c r="DG4403" s="405" t="s">
        <v>236</v>
      </c>
      <c r="DH4403" s="406" t="s">
        <v>1209</v>
      </c>
      <c r="DI4403" s="406" t="str">
        <f t="shared" si="100"/>
        <v>RS, Victor Graeff</v>
      </c>
      <c r="DJ4403" s="406">
        <v>-28.56</v>
      </c>
      <c r="DK4403" s="80">
        <v>-52.747999999999998</v>
      </c>
      <c r="DL4403" s="80">
        <v>411</v>
      </c>
      <c r="DM4403" s="64">
        <v>2</v>
      </c>
      <c r="DN4403" s="406" t="s">
        <v>8216</v>
      </c>
      <c r="DO4403" s="406">
        <v>-28.85</v>
      </c>
      <c r="DP4403" s="80">
        <v>667</v>
      </c>
    </row>
    <row r="4404" spans="29:120" x14ac:dyDescent="0.25">
      <c r="AC4404" s="122" t="s">
        <v>328</v>
      </c>
      <c r="AD4404" s="122" t="s">
        <v>4649</v>
      </c>
      <c r="AE4404" s="127">
        <v>8</v>
      </c>
      <c r="DA4404" s="122" t="s">
        <v>236</v>
      </c>
      <c r="DB4404" s="122" t="s">
        <v>8519</v>
      </c>
      <c r="DC4404" s="122" t="s">
        <v>1261</v>
      </c>
      <c r="DD4404" s="127">
        <v>1</v>
      </c>
      <c r="DE4404" s="127">
        <v>1</v>
      </c>
      <c r="DG4404" s="405" t="s">
        <v>236</v>
      </c>
      <c r="DH4404" s="406" t="s">
        <v>1261</v>
      </c>
      <c r="DI4404" s="406" t="str">
        <f t="shared" si="100"/>
        <v>RS, Vila Flores</v>
      </c>
      <c r="DJ4404" s="406">
        <v>-28.863</v>
      </c>
      <c r="DK4404" s="80">
        <v>-51.533000000000001</v>
      </c>
      <c r="DL4404" s="80">
        <v>743</v>
      </c>
      <c r="DM4404" s="64">
        <v>1</v>
      </c>
      <c r="DN4404" s="406" t="s">
        <v>8218</v>
      </c>
      <c r="DO4404" s="406">
        <v>-29.17</v>
      </c>
      <c r="DP4404" s="80">
        <v>640</v>
      </c>
    </row>
    <row r="4405" spans="29:120" x14ac:dyDescent="0.25">
      <c r="AC4405" s="122" t="s">
        <v>300</v>
      </c>
      <c r="AD4405" s="122" t="s">
        <v>4650</v>
      </c>
      <c r="AE4405" s="127">
        <v>7</v>
      </c>
      <c r="DA4405" s="122" t="s">
        <v>236</v>
      </c>
      <c r="DB4405" s="122" t="s">
        <v>8520</v>
      </c>
      <c r="DC4405" s="122" t="s">
        <v>1336</v>
      </c>
      <c r="DD4405" s="127">
        <v>2</v>
      </c>
      <c r="DE4405" s="127">
        <v>2</v>
      </c>
      <c r="DG4405" s="405" t="s">
        <v>236</v>
      </c>
      <c r="DH4405" s="406" t="s">
        <v>1336</v>
      </c>
      <c r="DI4405" s="406" t="str">
        <f t="shared" si="100"/>
        <v>RS, Vila Lângaro</v>
      </c>
      <c r="DJ4405" s="406">
        <v>-28.106999999999999</v>
      </c>
      <c r="DK4405" s="80">
        <v>-52.143999999999998</v>
      </c>
      <c r="DL4405" s="80">
        <v>643</v>
      </c>
      <c r="DM4405" s="64">
        <v>2</v>
      </c>
      <c r="DN4405" s="406" t="s">
        <v>8208</v>
      </c>
      <c r="DO4405" s="406">
        <v>-28.26</v>
      </c>
      <c r="DP4405" s="80">
        <v>684</v>
      </c>
    </row>
    <row r="4406" spans="29:120" x14ac:dyDescent="0.25">
      <c r="AC4406" s="122" t="s">
        <v>357</v>
      </c>
      <c r="AD4406" s="122" t="s">
        <v>4651</v>
      </c>
      <c r="AE4406" s="127">
        <v>7</v>
      </c>
      <c r="DA4406" s="122" t="s">
        <v>236</v>
      </c>
      <c r="DB4406" s="122" t="s">
        <v>8521</v>
      </c>
      <c r="DC4406" s="122" t="s">
        <v>1550</v>
      </c>
      <c r="DD4406" s="127">
        <v>2</v>
      </c>
      <c r="DE4406" s="127">
        <v>2</v>
      </c>
      <c r="DG4406" s="405" t="s">
        <v>236</v>
      </c>
      <c r="DH4406" s="406" t="s">
        <v>1550</v>
      </c>
      <c r="DI4406" s="406" t="str">
        <f t="shared" si="100"/>
        <v>RS, Vila Maria</v>
      </c>
      <c r="DJ4406" s="406">
        <v>-28.535</v>
      </c>
      <c r="DK4406" s="80">
        <v>-52.154000000000003</v>
      </c>
      <c r="DL4406" s="80">
        <v>455</v>
      </c>
      <c r="DM4406" s="64">
        <v>2</v>
      </c>
      <c r="DN4406" s="406" t="s">
        <v>8208</v>
      </c>
      <c r="DO4406" s="406">
        <v>-28.26</v>
      </c>
      <c r="DP4406" s="80">
        <v>684</v>
      </c>
    </row>
    <row r="4407" spans="29:120" x14ac:dyDescent="0.25">
      <c r="AC4407" s="122" t="s">
        <v>328</v>
      </c>
      <c r="AD4407" s="122" t="s">
        <v>4652</v>
      </c>
      <c r="AE4407" s="127">
        <v>8</v>
      </c>
      <c r="DA4407" s="122" t="s">
        <v>236</v>
      </c>
      <c r="DB4407" s="122" t="s">
        <v>8522</v>
      </c>
      <c r="DC4407" s="122" t="s">
        <v>1410</v>
      </c>
      <c r="DD4407" s="127">
        <v>2</v>
      </c>
      <c r="DE4407" s="127">
        <v>2</v>
      </c>
      <c r="DG4407" s="405" t="s">
        <v>236</v>
      </c>
      <c r="DH4407" s="406" t="s">
        <v>1410</v>
      </c>
      <c r="DI4407" s="406" t="str">
        <f t="shared" si="100"/>
        <v>RS, Vila Nova do Sul</v>
      </c>
      <c r="DJ4407" s="406">
        <v>-30.344000000000001</v>
      </c>
      <c r="DK4407" s="80">
        <v>-53.883000000000003</v>
      </c>
      <c r="DL4407" s="80">
        <v>267</v>
      </c>
      <c r="DM4407" s="64">
        <v>2</v>
      </c>
      <c r="DN4407" s="406" t="s">
        <v>8266</v>
      </c>
      <c r="DO4407" s="406">
        <v>-30.51</v>
      </c>
      <c r="DP4407" s="80">
        <v>420</v>
      </c>
    </row>
    <row r="4408" spans="29:120" x14ac:dyDescent="0.25">
      <c r="AC4408" s="122" t="s">
        <v>300</v>
      </c>
      <c r="AD4408" s="122" t="s">
        <v>4653</v>
      </c>
      <c r="AE4408" s="127">
        <v>7</v>
      </c>
      <c r="DA4408" s="122" t="s">
        <v>236</v>
      </c>
      <c r="DB4408" s="122" t="s">
        <v>8523</v>
      </c>
      <c r="DC4408" s="122" t="s">
        <v>1710</v>
      </c>
      <c r="DD4408" s="127">
        <v>3</v>
      </c>
      <c r="DE4408" s="127">
        <v>3</v>
      </c>
      <c r="DG4408" s="405" t="s">
        <v>236</v>
      </c>
      <c r="DH4408" s="406" t="s">
        <v>1710</v>
      </c>
      <c r="DI4408" s="406" t="str">
        <f t="shared" si="100"/>
        <v>RS, Vista Alegre</v>
      </c>
      <c r="DJ4408" s="406">
        <v>-27.367000000000001</v>
      </c>
      <c r="DK4408" s="80">
        <v>-53.49</v>
      </c>
      <c r="DL4408" s="80">
        <v>546</v>
      </c>
      <c r="DM4408" s="64">
        <v>3</v>
      </c>
      <c r="DN4408" s="406" t="s">
        <v>8215</v>
      </c>
      <c r="DO4408" s="406">
        <v>-27.4</v>
      </c>
      <c r="DP4408" s="80">
        <v>490</v>
      </c>
    </row>
    <row r="4409" spans="29:120" x14ac:dyDescent="0.25">
      <c r="AC4409" s="122" t="s">
        <v>300</v>
      </c>
      <c r="AD4409" s="122" t="s">
        <v>4654</v>
      </c>
      <c r="AE4409" s="127">
        <v>7</v>
      </c>
      <c r="DA4409" s="122" t="s">
        <v>236</v>
      </c>
      <c r="DB4409" s="122" t="s">
        <v>8524</v>
      </c>
      <c r="DC4409" s="122" t="s">
        <v>1480</v>
      </c>
      <c r="DD4409" s="127">
        <v>2</v>
      </c>
      <c r="DE4409" s="127">
        <v>2</v>
      </c>
      <c r="DG4409" s="405" t="s">
        <v>236</v>
      </c>
      <c r="DH4409" s="406" t="s">
        <v>1480</v>
      </c>
      <c r="DI4409" s="406" t="str">
        <f t="shared" si="100"/>
        <v>RS, Vista Alegre do Prata</v>
      </c>
      <c r="DJ4409" s="406">
        <v>-28.809000000000001</v>
      </c>
      <c r="DK4409" s="80">
        <v>-51.79</v>
      </c>
      <c r="DL4409" s="80">
        <v>562</v>
      </c>
      <c r="DM4409" s="64">
        <v>2</v>
      </c>
      <c r="DN4409" s="406" t="s">
        <v>8218</v>
      </c>
      <c r="DO4409" s="406">
        <v>-29.17</v>
      </c>
      <c r="DP4409" s="80">
        <v>640</v>
      </c>
    </row>
    <row r="4410" spans="29:120" x14ac:dyDescent="0.25">
      <c r="AC4410" s="122" t="s">
        <v>300</v>
      </c>
      <c r="AD4410" s="122" t="s">
        <v>1993</v>
      </c>
      <c r="AE4410" s="127">
        <v>7</v>
      </c>
      <c r="DA4410" s="122" t="s">
        <v>236</v>
      </c>
      <c r="DB4410" s="122" t="s">
        <v>8525</v>
      </c>
      <c r="DC4410" s="122" t="s">
        <v>3599</v>
      </c>
      <c r="DD4410" s="127">
        <v>2</v>
      </c>
      <c r="DE4410" s="127">
        <v>2</v>
      </c>
      <c r="DG4410" s="405" t="s">
        <v>236</v>
      </c>
      <c r="DH4410" s="406" t="s">
        <v>3599</v>
      </c>
      <c r="DI4410" s="406" t="str">
        <f t="shared" si="100"/>
        <v>RS, Vista Gaúcha</v>
      </c>
      <c r="DJ4410" s="406">
        <v>-27.291</v>
      </c>
      <c r="DK4410" s="80">
        <v>-53.701999999999998</v>
      </c>
      <c r="DL4410" s="80">
        <v>497</v>
      </c>
      <c r="DM4410" s="64">
        <v>2</v>
      </c>
      <c r="DN4410" s="406" t="s">
        <v>8215</v>
      </c>
      <c r="DO4410" s="406">
        <v>-27.4</v>
      </c>
      <c r="DP4410" s="80">
        <v>490</v>
      </c>
    </row>
    <row r="4411" spans="29:120" x14ac:dyDescent="0.25">
      <c r="AC4411" s="122" t="s">
        <v>357</v>
      </c>
      <c r="AD4411" s="122" t="s">
        <v>4655</v>
      </c>
      <c r="AE4411" s="127">
        <v>7</v>
      </c>
      <c r="DA4411" s="122" t="s">
        <v>236</v>
      </c>
      <c r="DB4411" s="122" t="s">
        <v>8526</v>
      </c>
      <c r="DC4411" s="122" t="s">
        <v>1532</v>
      </c>
      <c r="DD4411" s="127">
        <v>2</v>
      </c>
      <c r="DE4411" s="127">
        <v>2</v>
      </c>
      <c r="DG4411" s="405" t="s">
        <v>236</v>
      </c>
      <c r="DH4411" s="406" t="s">
        <v>1532</v>
      </c>
      <c r="DI4411" s="406" t="str">
        <f t="shared" si="100"/>
        <v>RS, Vitória das Missões</v>
      </c>
      <c r="DJ4411" s="406">
        <v>-28.350999999999999</v>
      </c>
      <c r="DK4411" s="80">
        <v>-54.496000000000002</v>
      </c>
      <c r="DL4411" s="80">
        <v>178</v>
      </c>
      <c r="DM4411" s="64">
        <v>2</v>
      </c>
      <c r="DN4411" s="406" t="s">
        <v>8211</v>
      </c>
      <c r="DO4411" s="406">
        <v>-28.41</v>
      </c>
      <c r="DP4411" s="80">
        <v>245</v>
      </c>
    </row>
    <row r="4412" spans="29:120" x14ac:dyDescent="0.25">
      <c r="AC4412" s="122" t="s">
        <v>300</v>
      </c>
      <c r="AD4412" s="122" t="s">
        <v>4656</v>
      </c>
      <c r="AE4412" s="127">
        <v>7</v>
      </c>
      <c r="DA4412" s="122" t="s">
        <v>236</v>
      </c>
      <c r="DB4412" s="122" t="s">
        <v>1442</v>
      </c>
      <c r="DC4412" s="122" t="s">
        <v>1442</v>
      </c>
      <c r="DD4412" s="127">
        <v>2</v>
      </c>
      <c r="DE4412" s="127">
        <v>2</v>
      </c>
      <c r="DG4412" s="405" t="s">
        <v>236</v>
      </c>
      <c r="DH4412" s="406" t="s">
        <v>1442</v>
      </c>
      <c r="DI4412" s="406" t="str">
        <f t="shared" si="100"/>
        <v>RS, Westfalia</v>
      </c>
      <c r="DJ4412" s="406">
        <v>-29.417000000000002</v>
      </c>
      <c r="DK4412" s="80">
        <v>-51.765000000000001</v>
      </c>
      <c r="DL4412" s="80">
        <v>88</v>
      </c>
      <c r="DM4412" s="64">
        <v>2</v>
      </c>
      <c r="DN4412" s="406" t="s">
        <v>8218</v>
      </c>
      <c r="DO4412" s="406">
        <v>-29.17</v>
      </c>
      <c r="DP4412" s="80">
        <v>640</v>
      </c>
    </row>
    <row r="4413" spans="29:120" x14ac:dyDescent="0.25">
      <c r="AC4413" s="122" t="s">
        <v>300</v>
      </c>
      <c r="AD4413" s="122" t="s">
        <v>4657</v>
      </c>
      <c r="AE4413" s="127">
        <v>7</v>
      </c>
      <c r="DA4413" s="122" t="s">
        <v>236</v>
      </c>
      <c r="DB4413" s="122" t="s">
        <v>1169</v>
      </c>
      <c r="DC4413" s="122" t="s">
        <v>1169</v>
      </c>
      <c r="DD4413" s="127">
        <v>1</v>
      </c>
      <c r="DE4413" s="127">
        <v>1</v>
      </c>
      <c r="DG4413" s="405" t="s">
        <v>236</v>
      </c>
      <c r="DH4413" s="406" t="s">
        <v>1169</v>
      </c>
      <c r="DI4413" s="406" t="str">
        <f t="shared" si="100"/>
        <v>RS, Xangri-lá</v>
      </c>
      <c r="DJ4413" s="406">
        <v>-29.800999999999998</v>
      </c>
      <c r="DK4413" s="80">
        <v>-50.043999999999997</v>
      </c>
      <c r="DL4413" s="80">
        <v>9</v>
      </c>
      <c r="DM4413" s="64">
        <v>1</v>
      </c>
      <c r="DN4413" s="406" t="s">
        <v>8241</v>
      </c>
      <c r="DO4413" s="406">
        <v>-30.01</v>
      </c>
      <c r="DP4413" s="80">
        <v>1</v>
      </c>
    </row>
    <row r="4414" spans="29:120" x14ac:dyDescent="0.25">
      <c r="AC4414" s="122" t="s">
        <v>300</v>
      </c>
      <c r="AD4414" s="122" t="s">
        <v>4658</v>
      </c>
      <c r="AE4414" s="127">
        <v>7</v>
      </c>
      <c r="DA4414" s="122" t="s">
        <v>27</v>
      </c>
      <c r="DB4414" s="122" t="s">
        <v>8527</v>
      </c>
      <c r="DC4414" s="122" t="s">
        <v>1453</v>
      </c>
      <c r="DD4414" s="127">
        <v>2</v>
      </c>
      <c r="DE4414" s="127">
        <v>2</v>
      </c>
      <c r="DG4414" s="405" t="s">
        <v>27</v>
      </c>
      <c r="DH4414" s="406" t="s">
        <v>1453</v>
      </c>
      <c r="DI4414" s="406" t="str">
        <f t="shared" si="100"/>
        <v>SC, Abdon Batista</v>
      </c>
      <c r="DJ4414" s="406">
        <v>-27.611000000000001</v>
      </c>
      <c r="DK4414" s="80">
        <v>-51.023000000000003</v>
      </c>
      <c r="DL4414" s="80">
        <v>716</v>
      </c>
      <c r="DM4414" s="64">
        <v>2</v>
      </c>
      <c r="DN4414" s="406" t="s">
        <v>8528</v>
      </c>
      <c r="DO4414" s="406">
        <v>-27.29</v>
      </c>
      <c r="DP4414" s="80">
        <v>982</v>
      </c>
    </row>
    <row r="4415" spans="29:120" x14ac:dyDescent="0.25">
      <c r="AC4415" s="122" t="s">
        <v>328</v>
      </c>
      <c r="AD4415" s="122" t="s">
        <v>4659</v>
      </c>
      <c r="AE4415" s="127">
        <v>8</v>
      </c>
      <c r="DA4415" s="122" t="s">
        <v>27</v>
      </c>
      <c r="DB4415" s="122" t="s">
        <v>8529</v>
      </c>
      <c r="DC4415" s="122" t="s">
        <v>1583</v>
      </c>
      <c r="DD4415" s="127">
        <v>2</v>
      </c>
      <c r="DE4415" s="127">
        <v>2</v>
      </c>
      <c r="DG4415" s="405" t="s">
        <v>27</v>
      </c>
      <c r="DH4415" s="406" t="s">
        <v>1583</v>
      </c>
      <c r="DI4415" s="406" t="str">
        <f t="shared" si="100"/>
        <v>SC, Abelardo Luz</v>
      </c>
      <c r="DJ4415" s="406">
        <v>-26.565000000000001</v>
      </c>
      <c r="DK4415" s="80">
        <v>-52.328000000000003</v>
      </c>
      <c r="DL4415" s="80">
        <v>760</v>
      </c>
      <c r="DM4415" s="64">
        <v>2</v>
      </c>
      <c r="DN4415" s="406" t="s">
        <v>7856</v>
      </c>
      <c r="DO4415" s="406">
        <v>-26.42</v>
      </c>
      <c r="DP4415" s="80">
        <v>980</v>
      </c>
    </row>
    <row r="4416" spans="29:120" x14ac:dyDescent="0.25">
      <c r="AC4416" s="122" t="s">
        <v>357</v>
      </c>
      <c r="AD4416" s="122" t="s">
        <v>4660</v>
      </c>
      <c r="AE4416" s="127">
        <v>7</v>
      </c>
      <c r="DA4416" s="122" t="s">
        <v>27</v>
      </c>
      <c r="DB4416" s="122" t="s">
        <v>1311</v>
      </c>
      <c r="DC4416" s="122" t="s">
        <v>1311</v>
      </c>
      <c r="DD4416" s="127">
        <v>2</v>
      </c>
      <c r="DE4416" s="127">
        <v>2</v>
      </c>
      <c r="DG4416" s="405" t="s">
        <v>27</v>
      </c>
      <c r="DH4416" s="406" t="s">
        <v>1311</v>
      </c>
      <c r="DI4416" s="406" t="str">
        <f t="shared" si="100"/>
        <v>SC, Agrolândia</v>
      </c>
      <c r="DJ4416" s="406">
        <v>-27.411999999999999</v>
      </c>
      <c r="DK4416" s="80">
        <v>-49.826000000000001</v>
      </c>
      <c r="DL4416" s="80">
        <v>405</v>
      </c>
      <c r="DM4416" s="64">
        <v>2</v>
      </c>
      <c r="DN4416" s="406" t="s">
        <v>8530</v>
      </c>
      <c r="DO4416" s="406">
        <v>-27.42</v>
      </c>
      <c r="DP4416" s="80">
        <v>484</v>
      </c>
    </row>
    <row r="4417" spans="29:120" x14ac:dyDescent="0.25">
      <c r="AC4417" s="122" t="s">
        <v>328</v>
      </c>
      <c r="AD4417" s="122" t="s">
        <v>4661</v>
      </c>
      <c r="AE4417" s="127">
        <v>8</v>
      </c>
      <c r="DA4417" s="122" t="s">
        <v>27</v>
      </c>
      <c r="DB4417" s="122" t="s">
        <v>1304</v>
      </c>
      <c r="DC4417" s="122" t="s">
        <v>1304</v>
      </c>
      <c r="DD4417" s="127">
        <v>2</v>
      </c>
      <c r="DE4417" s="127">
        <v>2</v>
      </c>
      <c r="DG4417" s="405" t="s">
        <v>27</v>
      </c>
      <c r="DH4417" s="406" t="s">
        <v>1304</v>
      </c>
      <c r="DI4417" s="406" t="str">
        <f t="shared" si="100"/>
        <v>SC, Agronômica</v>
      </c>
      <c r="DJ4417" s="406">
        <v>-27.265000000000001</v>
      </c>
      <c r="DK4417" s="80">
        <v>-49.710999999999999</v>
      </c>
      <c r="DL4417" s="80">
        <v>347</v>
      </c>
      <c r="DM4417" s="64">
        <v>2</v>
      </c>
      <c r="DN4417" s="406" t="s">
        <v>8530</v>
      </c>
      <c r="DO4417" s="406">
        <v>-27.42</v>
      </c>
      <c r="DP4417" s="80">
        <v>484</v>
      </c>
    </row>
    <row r="4418" spans="29:120" x14ac:dyDescent="0.25">
      <c r="AC4418" s="122" t="s">
        <v>357</v>
      </c>
      <c r="AD4418" s="122" t="s">
        <v>4662</v>
      </c>
      <c r="AE4418" s="127">
        <v>6</v>
      </c>
      <c r="DA4418" s="122" t="s">
        <v>27</v>
      </c>
      <c r="DB4418" s="122" t="s">
        <v>8531</v>
      </c>
      <c r="DC4418" s="122" t="s">
        <v>1645</v>
      </c>
      <c r="DD4418" s="127">
        <v>2</v>
      </c>
      <c r="DE4418" s="127">
        <v>2</v>
      </c>
      <c r="DG4418" s="405" t="s">
        <v>27</v>
      </c>
      <c r="DH4418" s="406" t="s">
        <v>1645</v>
      </c>
      <c r="DI4418" s="406" t="str">
        <f t="shared" si="100"/>
        <v>SC, Água Doce</v>
      </c>
      <c r="DJ4418" s="406">
        <v>-26.998000000000001</v>
      </c>
      <c r="DK4418" s="80">
        <v>-51.555999999999997</v>
      </c>
      <c r="DL4418" s="80">
        <v>847</v>
      </c>
      <c r="DM4418" s="64">
        <v>2</v>
      </c>
      <c r="DN4418" s="406" t="s">
        <v>8250</v>
      </c>
      <c r="DO4418" s="406">
        <v>-27.17</v>
      </c>
      <c r="DP4418" s="80">
        <v>776</v>
      </c>
    </row>
    <row r="4419" spans="29:120" x14ac:dyDescent="0.25">
      <c r="AC4419" s="122" t="s">
        <v>357</v>
      </c>
      <c r="AD4419" s="122" t="s">
        <v>4663</v>
      </c>
      <c r="AE4419" s="127">
        <v>8</v>
      </c>
      <c r="DA4419" s="122" t="s">
        <v>27</v>
      </c>
      <c r="DB4419" s="122" t="s">
        <v>8532</v>
      </c>
      <c r="DC4419" s="122" t="s">
        <v>1556</v>
      </c>
      <c r="DD4419" s="127">
        <v>2</v>
      </c>
      <c r="DE4419" s="127">
        <v>2</v>
      </c>
      <c r="DG4419" s="405" t="s">
        <v>27</v>
      </c>
      <c r="DH4419" s="406" t="s">
        <v>1556</v>
      </c>
      <c r="DI4419" s="406" t="str">
        <f t="shared" ref="DI4419:DI4482" si="101">CONCATENATE(DG4419,", ",DH4419)</f>
        <v>SC, Águas de Chapecó</v>
      </c>
      <c r="DJ4419" s="406">
        <v>-27.07</v>
      </c>
      <c r="DK4419" s="80">
        <v>-52.987000000000002</v>
      </c>
      <c r="DL4419" s="80">
        <v>291</v>
      </c>
      <c r="DM4419" s="64">
        <v>2</v>
      </c>
      <c r="DN4419" s="406" t="s">
        <v>8215</v>
      </c>
      <c r="DO4419" s="406">
        <v>-27.4</v>
      </c>
      <c r="DP4419" s="80">
        <v>490</v>
      </c>
    </row>
    <row r="4420" spans="29:120" x14ac:dyDescent="0.25">
      <c r="AC4420" s="122" t="s">
        <v>357</v>
      </c>
      <c r="AD4420" s="122" t="s">
        <v>4664</v>
      </c>
      <c r="AE4420" s="127">
        <v>7</v>
      </c>
      <c r="DA4420" s="122" t="s">
        <v>27</v>
      </c>
      <c r="DB4420" s="122" t="s">
        <v>8533</v>
      </c>
      <c r="DC4420" s="122" t="s">
        <v>1165</v>
      </c>
      <c r="DD4420" s="127">
        <v>3</v>
      </c>
      <c r="DE4420" s="127">
        <v>3</v>
      </c>
      <c r="DG4420" s="405" t="s">
        <v>27</v>
      </c>
      <c r="DH4420" s="406" t="s">
        <v>1165</v>
      </c>
      <c r="DI4420" s="406" t="str">
        <f t="shared" si="101"/>
        <v>SC, Águas Frias</v>
      </c>
      <c r="DJ4420" s="406">
        <v>-26.88</v>
      </c>
      <c r="DK4420" s="80">
        <v>-52.859000000000002</v>
      </c>
      <c r="DL4420" s="80">
        <v>345</v>
      </c>
      <c r="DM4420" s="64">
        <v>3</v>
      </c>
      <c r="DN4420" s="406" t="s">
        <v>8534</v>
      </c>
      <c r="DO4420" s="406">
        <v>-26.94</v>
      </c>
      <c r="DP4420" s="80">
        <v>889</v>
      </c>
    </row>
    <row r="4421" spans="29:120" x14ac:dyDescent="0.25">
      <c r="AC4421" s="122" t="s">
        <v>328</v>
      </c>
      <c r="AD4421" s="122" t="s">
        <v>4665</v>
      </c>
      <c r="AE4421" s="127">
        <v>8</v>
      </c>
      <c r="DA4421" s="122" t="s">
        <v>27</v>
      </c>
      <c r="DB4421" s="122" t="s">
        <v>8535</v>
      </c>
      <c r="DC4421" s="122" t="s">
        <v>1220</v>
      </c>
      <c r="DD4421" s="127">
        <v>3</v>
      </c>
      <c r="DE4421" s="127">
        <v>3</v>
      </c>
      <c r="DG4421" s="405" t="s">
        <v>27</v>
      </c>
      <c r="DH4421" s="406" t="s">
        <v>1220</v>
      </c>
      <c r="DI4421" s="406" t="str">
        <f t="shared" si="101"/>
        <v>SC, Águas Mornas</v>
      </c>
      <c r="DJ4421" s="406">
        <v>-27.693999999999999</v>
      </c>
      <c r="DK4421" s="80">
        <v>-48.823999999999998</v>
      </c>
      <c r="DL4421" s="80">
        <v>70</v>
      </c>
      <c r="DM4421" s="64">
        <v>3</v>
      </c>
      <c r="DN4421" t="s">
        <v>10336</v>
      </c>
      <c r="DO4421" s="406">
        <v>-27.6</v>
      </c>
      <c r="DP4421" s="80">
        <v>2</v>
      </c>
    </row>
    <row r="4422" spans="29:120" x14ac:dyDescent="0.25">
      <c r="AC4422" s="122" t="s">
        <v>344</v>
      </c>
      <c r="AD4422" s="122" t="s">
        <v>4666</v>
      </c>
      <c r="AE4422" s="127">
        <v>8</v>
      </c>
      <c r="DA4422" s="122" t="s">
        <v>27</v>
      </c>
      <c r="DB4422" s="122" t="s">
        <v>8537</v>
      </c>
      <c r="DC4422" s="122" t="s">
        <v>1128</v>
      </c>
      <c r="DD4422" s="127">
        <v>3</v>
      </c>
      <c r="DE4422" s="127">
        <v>3</v>
      </c>
      <c r="DG4422" s="405" t="s">
        <v>27</v>
      </c>
      <c r="DH4422" s="406" t="s">
        <v>1128</v>
      </c>
      <c r="DI4422" s="406" t="str">
        <f t="shared" si="101"/>
        <v>SC, Alfredo Wagner</v>
      </c>
      <c r="DJ4422" s="406">
        <v>-27.7</v>
      </c>
      <c r="DK4422" s="80">
        <v>-49.334000000000003</v>
      </c>
      <c r="DL4422" s="80">
        <v>480</v>
      </c>
      <c r="DM4422" s="64">
        <v>3</v>
      </c>
      <c r="DN4422" s="406" t="s">
        <v>8530</v>
      </c>
      <c r="DO4422" s="406">
        <v>-27.42</v>
      </c>
      <c r="DP4422" s="80">
        <v>484</v>
      </c>
    </row>
    <row r="4423" spans="29:120" x14ac:dyDescent="0.25">
      <c r="AC4423" s="122" t="s">
        <v>289</v>
      </c>
      <c r="AD4423" s="122" t="s">
        <v>4667</v>
      </c>
      <c r="AE4423" s="127">
        <v>7</v>
      </c>
      <c r="DA4423" s="122" t="s">
        <v>27</v>
      </c>
      <c r="DB4423" s="122" t="s">
        <v>8538</v>
      </c>
      <c r="DC4423" s="122" t="s">
        <v>1629</v>
      </c>
      <c r="DD4423" s="127">
        <v>2</v>
      </c>
      <c r="DE4423" s="127">
        <v>2</v>
      </c>
      <c r="DG4423" s="405" t="s">
        <v>27</v>
      </c>
      <c r="DH4423" s="406" t="s">
        <v>1629</v>
      </c>
      <c r="DI4423" s="406" t="str">
        <f t="shared" si="101"/>
        <v>SC, Alto Bela Vista</v>
      </c>
      <c r="DJ4423" s="406">
        <v>-27.457999999999998</v>
      </c>
      <c r="DK4423" s="80">
        <v>-51.878999999999998</v>
      </c>
      <c r="DL4423" s="80">
        <v>395</v>
      </c>
      <c r="DM4423" s="64">
        <v>2</v>
      </c>
      <c r="DN4423" s="406" t="s">
        <v>8228</v>
      </c>
      <c r="DO4423" s="406">
        <v>-27.63</v>
      </c>
      <c r="DP4423" s="80">
        <v>765</v>
      </c>
    </row>
    <row r="4424" spans="29:120" x14ac:dyDescent="0.25">
      <c r="AC4424" s="122" t="s">
        <v>328</v>
      </c>
      <c r="AD4424" s="122" t="s">
        <v>4668</v>
      </c>
      <c r="AE4424" s="127">
        <v>8</v>
      </c>
      <c r="DA4424" s="122" t="s">
        <v>27</v>
      </c>
      <c r="DB4424" s="122" t="s">
        <v>1244</v>
      </c>
      <c r="DC4424" s="122" t="s">
        <v>1244</v>
      </c>
      <c r="DD4424" s="127">
        <v>2</v>
      </c>
      <c r="DE4424" s="127">
        <v>2</v>
      </c>
      <c r="DG4424" s="405" t="s">
        <v>27</v>
      </c>
      <c r="DH4424" s="406" t="s">
        <v>1244</v>
      </c>
      <c r="DI4424" s="406" t="str">
        <f t="shared" si="101"/>
        <v>SC, Anchieta</v>
      </c>
      <c r="DJ4424" s="406">
        <v>-26.533999999999999</v>
      </c>
      <c r="DK4424" s="80">
        <v>-53.331000000000003</v>
      </c>
      <c r="DL4424" s="80">
        <v>710</v>
      </c>
      <c r="DM4424" s="64">
        <v>2</v>
      </c>
      <c r="DN4424" s="406" t="s">
        <v>8539</v>
      </c>
      <c r="DO4424" s="406">
        <v>-26.78</v>
      </c>
      <c r="DP4424" s="80">
        <v>665</v>
      </c>
    </row>
    <row r="4425" spans="29:120" x14ac:dyDescent="0.25">
      <c r="AC4425" s="122" t="s">
        <v>300</v>
      </c>
      <c r="AD4425" s="122" t="s">
        <v>4669</v>
      </c>
      <c r="AE4425" s="127">
        <v>7</v>
      </c>
      <c r="DA4425" s="122" t="s">
        <v>27</v>
      </c>
      <c r="DB4425" s="122" t="s">
        <v>1198</v>
      </c>
      <c r="DC4425" s="122" t="s">
        <v>1198</v>
      </c>
      <c r="DD4425" s="127">
        <v>3</v>
      </c>
      <c r="DE4425" s="127">
        <v>3</v>
      </c>
      <c r="DG4425" s="405" t="s">
        <v>27</v>
      </c>
      <c r="DH4425" s="406" t="s">
        <v>1198</v>
      </c>
      <c r="DI4425" s="406" t="str">
        <f t="shared" si="101"/>
        <v>SC, Angelina</v>
      </c>
      <c r="DJ4425" s="406">
        <v>-27.568999999999999</v>
      </c>
      <c r="DK4425" s="80">
        <v>-48.984999999999999</v>
      </c>
      <c r="DL4425" s="80">
        <v>450</v>
      </c>
      <c r="DM4425" s="64">
        <v>3</v>
      </c>
      <c r="DN4425" s="406" t="s">
        <v>8536</v>
      </c>
      <c r="DO4425" s="406">
        <v>-27.6</v>
      </c>
      <c r="DP4425" s="80">
        <v>2</v>
      </c>
    </row>
    <row r="4426" spans="29:120" x14ac:dyDescent="0.25">
      <c r="AC4426" s="122" t="s">
        <v>268</v>
      </c>
      <c r="AD4426" s="122" t="s">
        <v>4670</v>
      </c>
      <c r="AE4426" s="127">
        <v>8</v>
      </c>
      <c r="DA4426" s="122" t="s">
        <v>27</v>
      </c>
      <c r="DB4426" s="122" t="s">
        <v>8540</v>
      </c>
      <c r="DC4426" s="122" t="s">
        <v>1469</v>
      </c>
      <c r="DD4426" s="127">
        <v>2</v>
      </c>
      <c r="DE4426" s="127">
        <v>2</v>
      </c>
      <c r="DG4426" s="405" t="s">
        <v>27</v>
      </c>
      <c r="DH4426" s="406" t="s">
        <v>1469</v>
      </c>
      <c r="DI4426" s="406" t="str">
        <f t="shared" si="101"/>
        <v>SC, Anita Garibaldi</v>
      </c>
      <c r="DJ4426" s="406">
        <v>-27.689</v>
      </c>
      <c r="DK4426" s="80">
        <v>-51.13</v>
      </c>
      <c r="DL4426" s="80">
        <v>885</v>
      </c>
      <c r="DM4426" s="64">
        <v>2</v>
      </c>
      <c r="DN4426" s="406" t="s">
        <v>8250</v>
      </c>
      <c r="DO4426" s="406">
        <v>-27.17</v>
      </c>
      <c r="DP4426" s="80">
        <v>776</v>
      </c>
    </row>
    <row r="4427" spans="29:120" x14ac:dyDescent="0.25">
      <c r="AC4427" s="122" t="s">
        <v>279</v>
      </c>
      <c r="AD4427" s="122" t="s">
        <v>4671</v>
      </c>
      <c r="AE4427" s="127">
        <v>8</v>
      </c>
      <c r="DA4427" s="122" t="s">
        <v>27</v>
      </c>
      <c r="DB4427" s="122" t="s">
        <v>1101</v>
      </c>
      <c r="DC4427" s="122" t="s">
        <v>1101</v>
      </c>
      <c r="DD4427" s="127">
        <v>2</v>
      </c>
      <c r="DE4427" s="127">
        <v>2</v>
      </c>
      <c r="DG4427" s="405" t="s">
        <v>27</v>
      </c>
      <c r="DH4427" s="406" t="s">
        <v>1101</v>
      </c>
      <c r="DI4427" s="406" t="str">
        <f t="shared" si="101"/>
        <v>SC, Anitápolis</v>
      </c>
      <c r="DJ4427" s="406">
        <v>-27.902000000000001</v>
      </c>
      <c r="DK4427" s="80">
        <v>-49.128999999999998</v>
      </c>
      <c r="DL4427" s="80">
        <v>430</v>
      </c>
      <c r="DM4427" s="64">
        <v>2</v>
      </c>
      <c r="DN4427" s="406" t="s">
        <v>8541</v>
      </c>
      <c r="DO4427" s="406">
        <v>-28.13</v>
      </c>
      <c r="DP4427" s="80">
        <v>1810</v>
      </c>
    </row>
    <row r="4428" spans="29:120" x14ac:dyDescent="0.25">
      <c r="AC4428" s="122" t="s">
        <v>300</v>
      </c>
      <c r="AD4428" s="122" t="s">
        <v>4672</v>
      </c>
      <c r="AE4428" s="127">
        <v>7</v>
      </c>
      <c r="DA4428" s="122" t="s">
        <v>27</v>
      </c>
      <c r="DB4428" s="122" t="s">
        <v>6824</v>
      </c>
      <c r="DC4428" s="122" t="s">
        <v>580</v>
      </c>
      <c r="DD4428" s="127">
        <v>3</v>
      </c>
      <c r="DE4428" s="127">
        <v>3</v>
      </c>
      <c r="DG4428" s="405" t="s">
        <v>27</v>
      </c>
      <c r="DH4428" s="406" t="s">
        <v>580</v>
      </c>
      <c r="DI4428" s="406" t="str">
        <f t="shared" si="101"/>
        <v>SC, Antônio Carlos</v>
      </c>
      <c r="DJ4428" s="406">
        <v>-27.516999999999999</v>
      </c>
      <c r="DK4428" s="80">
        <v>-48.768000000000001</v>
      </c>
      <c r="DL4428" s="80">
        <v>30</v>
      </c>
      <c r="DM4428" s="64">
        <v>3</v>
      </c>
      <c r="DN4428" s="406" t="s">
        <v>8536</v>
      </c>
      <c r="DO4428" s="406">
        <v>-27.6</v>
      </c>
      <c r="DP4428" s="80">
        <v>2</v>
      </c>
    </row>
    <row r="4429" spans="29:120" x14ac:dyDescent="0.25">
      <c r="AC4429" s="122" t="s">
        <v>234</v>
      </c>
      <c r="AD4429" s="122" t="s">
        <v>4673</v>
      </c>
      <c r="AE4429" s="127">
        <v>8</v>
      </c>
      <c r="DA4429" s="122" t="s">
        <v>27</v>
      </c>
      <c r="DB4429" s="122" t="s">
        <v>1371</v>
      </c>
      <c r="DC4429" s="122" t="s">
        <v>1371</v>
      </c>
      <c r="DD4429" s="127">
        <v>3</v>
      </c>
      <c r="DE4429" s="127">
        <v>3</v>
      </c>
      <c r="DG4429" s="405" t="s">
        <v>27</v>
      </c>
      <c r="DH4429" s="406" t="s">
        <v>1371</v>
      </c>
      <c r="DI4429" s="406" t="str">
        <f t="shared" si="101"/>
        <v>SC, Apiúna</v>
      </c>
      <c r="DJ4429" s="406">
        <v>-27.036000000000001</v>
      </c>
      <c r="DK4429" s="80">
        <v>-49.39</v>
      </c>
      <c r="DL4429" s="80">
        <v>87</v>
      </c>
      <c r="DM4429" s="64">
        <v>3</v>
      </c>
      <c r="DN4429" s="406" t="s">
        <v>8542</v>
      </c>
      <c r="DO4429" s="406">
        <v>-26.92</v>
      </c>
      <c r="DP4429" s="80">
        <v>86</v>
      </c>
    </row>
    <row r="4430" spans="29:120" x14ac:dyDescent="0.25">
      <c r="AC4430" s="122" t="s">
        <v>300</v>
      </c>
      <c r="AD4430" s="122" t="s">
        <v>4674</v>
      </c>
      <c r="AE4430" s="127">
        <v>8</v>
      </c>
      <c r="DA4430" s="122" t="s">
        <v>27</v>
      </c>
      <c r="DB4430" s="122" t="s">
        <v>743</v>
      </c>
      <c r="DC4430" s="122" t="s">
        <v>743</v>
      </c>
      <c r="DD4430" s="127">
        <v>2</v>
      </c>
      <c r="DE4430" s="127">
        <v>2</v>
      </c>
      <c r="DG4430" s="405" t="s">
        <v>27</v>
      </c>
      <c r="DH4430" s="406" t="s">
        <v>743</v>
      </c>
      <c r="DI4430" s="406" t="str">
        <f t="shared" si="101"/>
        <v>SC, Arabutã</v>
      </c>
      <c r="DJ4430" s="406">
        <v>-27.16</v>
      </c>
      <c r="DK4430" s="80">
        <v>-52.142000000000003</v>
      </c>
      <c r="DL4430" s="80">
        <v>408</v>
      </c>
      <c r="DM4430" s="64">
        <v>2</v>
      </c>
      <c r="DN4430" s="406" t="s">
        <v>8534</v>
      </c>
      <c r="DO4430" s="406">
        <v>-26.94</v>
      </c>
      <c r="DP4430" s="80">
        <v>889</v>
      </c>
    </row>
    <row r="4431" spans="29:120" x14ac:dyDescent="0.25">
      <c r="AC4431" s="122" t="s">
        <v>328</v>
      </c>
      <c r="AD4431" s="122" t="s">
        <v>4675</v>
      </c>
      <c r="AE4431" s="127">
        <v>8</v>
      </c>
      <c r="DA4431" s="122" t="s">
        <v>27</v>
      </c>
      <c r="DB4431" s="122" t="s">
        <v>3061</v>
      </c>
      <c r="DC4431" s="122" t="s">
        <v>3061</v>
      </c>
      <c r="DD4431" s="127">
        <v>5</v>
      </c>
      <c r="DE4431" s="127">
        <v>5</v>
      </c>
      <c r="DG4431" s="405" t="s">
        <v>27</v>
      </c>
      <c r="DH4431" s="406" t="s">
        <v>3061</v>
      </c>
      <c r="DI4431" s="406" t="str">
        <f t="shared" si="101"/>
        <v>SC, Araquari</v>
      </c>
      <c r="DJ4431" s="406">
        <v>-26.37</v>
      </c>
      <c r="DK4431" s="80">
        <v>-48.722000000000001</v>
      </c>
      <c r="DL4431" s="80">
        <v>9</v>
      </c>
      <c r="DM4431" s="64">
        <v>5</v>
      </c>
      <c r="DN4431" s="406" t="s">
        <v>7896</v>
      </c>
      <c r="DO4431" s="406">
        <v>-26.12</v>
      </c>
      <c r="DP4431" s="80">
        <v>2</v>
      </c>
    </row>
    <row r="4432" spans="29:120" x14ac:dyDescent="0.25">
      <c r="AC4432" s="122" t="s">
        <v>357</v>
      </c>
      <c r="AD4432" s="122" t="s">
        <v>4676</v>
      </c>
      <c r="AE4432" s="127">
        <v>8</v>
      </c>
      <c r="DA4432" s="122" t="s">
        <v>27</v>
      </c>
      <c r="DB4432" s="122" t="s">
        <v>1424</v>
      </c>
      <c r="DC4432" s="122" t="s">
        <v>1424</v>
      </c>
      <c r="DD4432" s="127">
        <v>2</v>
      </c>
      <c r="DE4432" s="127">
        <v>2</v>
      </c>
      <c r="DG4432" s="405" t="s">
        <v>27</v>
      </c>
      <c r="DH4432" s="406" t="s">
        <v>1424</v>
      </c>
      <c r="DI4432" s="406" t="str">
        <f t="shared" si="101"/>
        <v>SC, Araranguá</v>
      </c>
      <c r="DJ4432" s="406">
        <v>-28.934999999999999</v>
      </c>
      <c r="DK4432" s="80">
        <v>-49.485999999999997</v>
      </c>
      <c r="DL4432" s="80">
        <v>13</v>
      </c>
      <c r="DM4432" s="64">
        <v>2</v>
      </c>
      <c r="DN4432" s="406" t="s">
        <v>8543</v>
      </c>
      <c r="DO4432" s="406">
        <v>-28.93</v>
      </c>
      <c r="DP4432" s="80">
        <v>12</v>
      </c>
    </row>
    <row r="4433" spans="29:120" x14ac:dyDescent="0.25">
      <c r="AC4433" s="122" t="s">
        <v>357</v>
      </c>
      <c r="AD4433" s="122" t="s">
        <v>4677</v>
      </c>
      <c r="AE4433" s="127">
        <v>7</v>
      </c>
      <c r="DA4433" s="122" t="s">
        <v>27</v>
      </c>
      <c r="DB4433" s="122" t="s">
        <v>250</v>
      </c>
      <c r="DC4433" s="122" t="s">
        <v>250</v>
      </c>
      <c r="DD4433" s="127">
        <v>2</v>
      </c>
      <c r="DE4433" s="127">
        <v>2</v>
      </c>
      <c r="DG4433" s="405" t="s">
        <v>27</v>
      </c>
      <c r="DH4433" s="406" t="s">
        <v>250</v>
      </c>
      <c r="DI4433" s="406" t="str">
        <f t="shared" si="101"/>
        <v>SC, Armazém</v>
      </c>
      <c r="DJ4433" s="406">
        <v>-28.262</v>
      </c>
      <c r="DK4433" s="80">
        <v>-49.018000000000001</v>
      </c>
      <c r="DL4433" s="80">
        <v>30</v>
      </c>
      <c r="DM4433" s="64">
        <v>2</v>
      </c>
      <c r="DN4433" s="406" t="s">
        <v>8544</v>
      </c>
      <c r="DO4433" s="406">
        <v>-28.53</v>
      </c>
      <c r="DP4433" s="80">
        <v>48</v>
      </c>
    </row>
    <row r="4434" spans="29:120" x14ac:dyDescent="0.25">
      <c r="AC4434" s="122" t="s">
        <v>357</v>
      </c>
      <c r="AD4434" s="122" t="s">
        <v>4678</v>
      </c>
      <c r="AE4434" s="127">
        <v>7</v>
      </c>
      <c r="DA4434" s="122" t="s">
        <v>27</v>
      </c>
      <c r="DB4434" s="122" t="s">
        <v>8545</v>
      </c>
      <c r="DC4434" s="122" t="s">
        <v>1483</v>
      </c>
      <c r="DD4434" s="127">
        <v>2</v>
      </c>
      <c r="DE4434" s="127">
        <v>2</v>
      </c>
      <c r="DG4434" s="405" t="s">
        <v>27</v>
      </c>
      <c r="DH4434" s="406" t="s">
        <v>1483</v>
      </c>
      <c r="DI4434" s="406" t="str">
        <f t="shared" si="101"/>
        <v>SC, Arroio Trinta</v>
      </c>
      <c r="DJ4434" s="406">
        <v>-26.933</v>
      </c>
      <c r="DK4434" s="80">
        <v>-51.338999999999999</v>
      </c>
      <c r="DL4434" s="80">
        <v>840</v>
      </c>
      <c r="DM4434" s="64">
        <v>2</v>
      </c>
      <c r="DN4434" s="406" t="s">
        <v>8250</v>
      </c>
      <c r="DO4434" s="406">
        <v>-27.17</v>
      </c>
      <c r="DP4434" s="80">
        <v>776</v>
      </c>
    </row>
    <row r="4435" spans="29:120" x14ac:dyDescent="0.25">
      <c r="AC4435" s="122" t="s">
        <v>344</v>
      </c>
      <c r="AD4435" s="122" t="s">
        <v>4679</v>
      </c>
      <c r="AE4435" s="127">
        <v>8</v>
      </c>
      <c r="DA4435" s="122" t="s">
        <v>27</v>
      </c>
      <c r="DB4435" s="122" t="s">
        <v>456</v>
      </c>
      <c r="DC4435" s="122" t="s">
        <v>456</v>
      </c>
      <c r="DD4435" s="127">
        <v>2</v>
      </c>
      <c r="DE4435" s="127">
        <v>2</v>
      </c>
      <c r="DG4435" s="405" t="s">
        <v>27</v>
      </c>
      <c r="DH4435" s="406" t="s">
        <v>456</v>
      </c>
      <c r="DI4435" s="406" t="str">
        <f t="shared" si="101"/>
        <v>SC, Arvoredo</v>
      </c>
      <c r="DJ4435" s="406">
        <v>-27.074000000000002</v>
      </c>
      <c r="DK4435" s="80">
        <v>-52.456000000000003</v>
      </c>
      <c r="DL4435" s="80">
        <v>362</v>
      </c>
      <c r="DM4435" s="64">
        <v>2</v>
      </c>
      <c r="DN4435" s="406" t="s">
        <v>8534</v>
      </c>
      <c r="DO4435" s="406">
        <v>-26.94</v>
      </c>
      <c r="DP4435" s="80">
        <v>889</v>
      </c>
    </row>
    <row r="4436" spans="29:120" x14ac:dyDescent="0.25">
      <c r="AC4436" s="122" t="s">
        <v>357</v>
      </c>
      <c r="AD4436" s="122" t="s">
        <v>4680</v>
      </c>
      <c r="AE4436" s="127">
        <v>7</v>
      </c>
      <c r="DA4436" s="122" t="s">
        <v>27</v>
      </c>
      <c r="DB4436" s="122" t="s">
        <v>1394</v>
      </c>
      <c r="DC4436" s="122" t="s">
        <v>1394</v>
      </c>
      <c r="DD4436" s="127">
        <v>3</v>
      </c>
      <c r="DE4436" s="127">
        <v>3</v>
      </c>
      <c r="DG4436" s="405" t="s">
        <v>27</v>
      </c>
      <c r="DH4436" s="406" t="s">
        <v>1394</v>
      </c>
      <c r="DI4436" s="406" t="str">
        <f t="shared" si="101"/>
        <v>SC, Ascurra</v>
      </c>
      <c r="DJ4436" s="406">
        <v>-26.954999999999998</v>
      </c>
      <c r="DK4436" s="80">
        <v>-49.375999999999998</v>
      </c>
      <c r="DL4436" s="80">
        <v>88</v>
      </c>
      <c r="DM4436" s="64">
        <v>3</v>
      </c>
      <c r="DN4436" s="406" t="s">
        <v>8542</v>
      </c>
      <c r="DO4436" s="406">
        <v>-26.92</v>
      </c>
      <c r="DP4436" s="80">
        <v>86</v>
      </c>
    </row>
    <row r="4437" spans="29:120" x14ac:dyDescent="0.25">
      <c r="AC4437" s="122" t="s">
        <v>300</v>
      </c>
      <c r="AD4437" s="122" t="s">
        <v>4681</v>
      </c>
      <c r="AE4437" s="127">
        <v>7</v>
      </c>
      <c r="DA4437" s="122" t="s">
        <v>27</v>
      </c>
      <c r="DB4437" s="122" t="s">
        <v>1333</v>
      </c>
      <c r="DC4437" s="122" t="s">
        <v>1333</v>
      </c>
      <c r="DD4437" s="127">
        <v>2</v>
      </c>
      <c r="DE4437" s="127">
        <v>2</v>
      </c>
      <c r="DG4437" s="405" t="s">
        <v>27</v>
      </c>
      <c r="DH4437" s="406" t="s">
        <v>1333</v>
      </c>
      <c r="DI4437" s="406" t="str">
        <f t="shared" si="101"/>
        <v>SC, Atalanta</v>
      </c>
      <c r="DJ4437" s="406">
        <v>-27.42</v>
      </c>
      <c r="DK4437" s="80">
        <v>-49.780999999999999</v>
      </c>
      <c r="DL4437" s="80">
        <v>545</v>
      </c>
      <c r="DM4437" s="64">
        <v>2</v>
      </c>
      <c r="DN4437" s="406" t="s">
        <v>8530</v>
      </c>
      <c r="DO4437" s="406">
        <v>-27.42</v>
      </c>
      <c r="DP4437" s="80">
        <v>484</v>
      </c>
    </row>
    <row r="4438" spans="29:120" x14ac:dyDescent="0.25">
      <c r="AC4438" s="122" t="s">
        <v>300</v>
      </c>
      <c r="AD4438" s="122" t="s">
        <v>4682</v>
      </c>
      <c r="AE4438" s="127">
        <v>7</v>
      </c>
      <c r="DA4438" s="122" t="s">
        <v>27</v>
      </c>
      <c r="DB4438" s="122" t="s">
        <v>1326</v>
      </c>
      <c r="DC4438" s="122" t="s">
        <v>1326</v>
      </c>
      <c r="DD4438" s="127">
        <v>2</v>
      </c>
      <c r="DE4438" s="127">
        <v>2</v>
      </c>
      <c r="DG4438" s="405" t="s">
        <v>27</v>
      </c>
      <c r="DH4438" s="406" t="s">
        <v>1326</v>
      </c>
      <c r="DI4438" s="406" t="str">
        <f t="shared" si="101"/>
        <v>SC, Aurora</v>
      </c>
      <c r="DJ4438" s="406">
        <v>-27.315000000000001</v>
      </c>
      <c r="DK4438" s="80">
        <v>-49.637999999999998</v>
      </c>
      <c r="DL4438" s="80">
        <v>350</v>
      </c>
      <c r="DM4438" s="64">
        <v>2</v>
      </c>
      <c r="DN4438" s="406" t="s">
        <v>8530</v>
      </c>
      <c r="DO4438" s="406">
        <v>-27.42</v>
      </c>
      <c r="DP4438" s="80">
        <v>484</v>
      </c>
    </row>
    <row r="4439" spans="29:120" x14ac:dyDescent="0.25">
      <c r="AC4439" s="122" t="s">
        <v>357</v>
      </c>
      <c r="AD4439" s="122" t="s">
        <v>4683</v>
      </c>
      <c r="AE4439" s="127">
        <v>8</v>
      </c>
      <c r="DA4439" s="122" t="s">
        <v>27</v>
      </c>
      <c r="DB4439" s="122" t="s">
        <v>8546</v>
      </c>
      <c r="DC4439" s="122" t="s">
        <v>1423</v>
      </c>
      <c r="DD4439" s="127">
        <v>2</v>
      </c>
      <c r="DE4439" s="127">
        <v>2</v>
      </c>
      <c r="DG4439" s="405" t="s">
        <v>27</v>
      </c>
      <c r="DH4439" s="406" t="s">
        <v>1423</v>
      </c>
      <c r="DI4439" s="406" t="str">
        <f t="shared" si="101"/>
        <v>SC, Balneário Arroio do Silva</v>
      </c>
      <c r="DJ4439" s="406">
        <v>-28.984000000000002</v>
      </c>
      <c r="DK4439" s="80">
        <v>-49.412999999999997</v>
      </c>
      <c r="DL4439" s="80">
        <v>10</v>
      </c>
      <c r="DM4439" s="64">
        <v>2</v>
      </c>
      <c r="DN4439" s="406" t="s">
        <v>8543</v>
      </c>
      <c r="DO4439" s="406">
        <v>-28.93</v>
      </c>
      <c r="DP4439" s="80">
        <v>12</v>
      </c>
    </row>
    <row r="4440" spans="29:120" x14ac:dyDescent="0.25">
      <c r="AC4440" s="122" t="s">
        <v>393</v>
      </c>
      <c r="AD4440" s="122" t="s">
        <v>4684</v>
      </c>
      <c r="AE4440" s="127">
        <v>7</v>
      </c>
      <c r="DA4440" s="122" t="s">
        <v>27</v>
      </c>
      <c r="DB4440" s="122" t="s">
        <v>8547</v>
      </c>
      <c r="DC4440" s="122" t="s">
        <v>3073</v>
      </c>
      <c r="DD4440" s="127">
        <v>5</v>
      </c>
      <c r="DE4440" s="127">
        <v>5</v>
      </c>
      <c r="DG4440" s="405" t="s">
        <v>27</v>
      </c>
      <c r="DH4440" s="406" t="s">
        <v>3073</v>
      </c>
      <c r="DI4440" s="406" t="str">
        <f t="shared" si="101"/>
        <v>SC, Balneário Barra do Sul</v>
      </c>
      <c r="DJ4440" s="406">
        <v>-26.456</v>
      </c>
      <c r="DK4440" s="80">
        <v>-48.612000000000002</v>
      </c>
      <c r="DL4440" s="80">
        <v>8</v>
      </c>
      <c r="DM4440" s="64">
        <v>5</v>
      </c>
      <c r="DN4440" s="406" t="s">
        <v>7896</v>
      </c>
      <c r="DO4440" s="406">
        <v>-26.12</v>
      </c>
      <c r="DP4440" s="80">
        <v>2</v>
      </c>
    </row>
    <row r="4441" spans="29:120" x14ac:dyDescent="0.25">
      <c r="AC4441" s="122" t="s">
        <v>357</v>
      </c>
      <c r="AD4441" s="122" t="s">
        <v>4685</v>
      </c>
      <c r="AE4441" s="127">
        <v>7</v>
      </c>
      <c r="DA4441" s="122" t="s">
        <v>27</v>
      </c>
      <c r="DB4441" s="122" t="s">
        <v>8548</v>
      </c>
      <c r="DC4441" s="122" t="s">
        <v>1386</v>
      </c>
      <c r="DD4441" s="127">
        <v>3</v>
      </c>
      <c r="DE4441" s="127">
        <v>3</v>
      </c>
      <c r="DG4441" s="405" t="s">
        <v>27</v>
      </c>
      <c r="DH4441" s="406" t="s">
        <v>1386</v>
      </c>
      <c r="DI4441" s="406" t="str">
        <f t="shared" si="101"/>
        <v>SC, Balneário Camboriú</v>
      </c>
      <c r="DJ4441" s="406">
        <v>-26.991</v>
      </c>
      <c r="DK4441" s="80">
        <v>-48.634999999999998</v>
      </c>
      <c r="DL4441" s="80">
        <v>18</v>
      </c>
      <c r="DM4441" s="64">
        <v>3</v>
      </c>
      <c r="DN4441" s="406" t="s">
        <v>8542</v>
      </c>
      <c r="DO4441" s="406">
        <v>-26.92</v>
      </c>
      <c r="DP4441" s="80">
        <v>86</v>
      </c>
    </row>
    <row r="4442" spans="29:120" x14ac:dyDescent="0.25">
      <c r="AC4442" s="122" t="s">
        <v>328</v>
      </c>
      <c r="AD4442" s="122" t="s">
        <v>4686</v>
      </c>
      <c r="AE4442" s="127">
        <v>8</v>
      </c>
      <c r="DA4442" s="122" t="s">
        <v>27</v>
      </c>
      <c r="DB4442" s="122" t="s">
        <v>8549</v>
      </c>
      <c r="DC4442" s="122" t="s">
        <v>1421</v>
      </c>
      <c r="DD4442" s="127">
        <v>3</v>
      </c>
      <c r="DE4442" s="127">
        <v>3</v>
      </c>
      <c r="DG4442" s="405" t="s">
        <v>27</v>
      </c>
      <c r="DH4442" s="406" t="s">
        <v>1421</v>
      </c>
      <c r="DI4442" s="406" t="str">
        <f t="shared" si="101"/>
        <v>SC, Balneário Gaivota</v>
      </c>
      <c r="DJ4442" s="406">
        <v>-29.157</v>
      </c>
      <c r="DK4442" s="80">
        <v>-49.579000000000001</v>
      </c>
      <c r="DL4442" s="80">
        <v>7</v>
      </c>
      <c r="DM4442" s="64">
        <v>3</v>
      </c>
      <c r="DN4442" s="406" t="s">
        <v>8233</v>
      </c>
      <c r="DO4442" s="406">
        <v>-29.33</v>
      </c>
      <c r="DP4442" s="80">
        <v>5</v>
      </c>
    </row>
    <row r="4443" spans="29:120" x14ac:dyDescent="0.25">
      <c r="AC4443" s="122" t="s">
        <v>357</v>
      </c>
      <c r="AD4443" s="122" t="s">
        <v>4687</v>
      </c>
      <c r="AE4443" s="127">
        <v>7</v>
      </c>
      <c r="DA4443" s="122" t="s">
        <v>27</v>
      </c>
      <c r="DB4443" s="122" t="s">
        <v>8550</v>
      </c>
      <c r="DC4443" s="122" t="s">
        <v>3144</v>
      </c>
      <c r="DD4443" s="127">
        <v>3</v>
      </c>
      <c r="DE4443" s="127">
        <v>3</v>
      </c>
      <c r="DG4443" s="405" t="s">
        <v>27</v>
      </c>
      <c r="DH4443" s="406" t="s">
        <v>3144</v>
      </c>
      <c r="DI4443" s="406" t="str">
        <f t="shared" si="101"/>
        <v>SC, Balneário Piçarras</v>
      </c>
      <c r="DJ4443" s="406">
        <v>-26.763999999999999</v>
      </c>
      <c r="DK4443" s="80">
        <v>-48.671999999999997</v>
      </c>
      <c r="DL4443" s="80">
        <v>18</v>
      </c>
      <c r="DM4443" s="64">
        <v>3</v>
      </c>
      <c r="DN4443" s="406" t="s">
        <v>8542</v>
      </c>
      <c r="DO4443" s="406">
        <v>-26.92</v>
      </c>
      <c r="DP4443" s="80">
        <v>86</v>
      </c>
    </row>
    <row r="4444" spans="29:120" x14ac:dyDescent="0.25">
      <c r="AC4444" s="122" t="s">
        <v>300</v>
      </c>
      <c r="AD4444" s="122" t="s">
        <v>4688</v>
      </c>
      <c r="AE4444" s="127">
        <v>7</v>
      </c>
      <c r="DA4444" s="122" t="s">
        <v>27</v>
      </c>
      <c r="DB4444" s="122" t="s">
        <v>1381</v>
      </c>
      <c r="DC4444" s="122" t="s">
        <v>1381</v>
      </c>
      <c r="DD4444" s="127">
        <v>2</v>
      </c>
      <c r="DE4444" s="127">
        <v>2</v>
      </c>
      <c r="DG4444" s="405" t="s">
        <v>27</v>
      </c>
      <c r="DH4444" s="406" t="s">
        <v>1381</v>
      </c>
      <c r="DI4444" s="406" t="str">
        <f t="shared" si="101"/>
        <v>SC, Bandeirante</v>
      </c>
      <c r="DJ4444" s="406">
        <v>-26.768999999999998</v>
      </c>
      <c r="DK4444" s="80">
        <v>-53.637999999999998</v>
      </c>
      <c r="DL4444" s="80">
        <v>517</v>
      </c>
      <c r="DM4444" s="64">
        <v>2</v>
      </c>
      <c r="DN4444" s="406" t="s">
        <v>8539</v>
      </c>
      <c r="DO4444" s="406">
        <v>-26.78</v>
      </c>
      <c r="DP4444" s="80">
        <v>665</v>
      </c>
    </row>
    <row r="4445" spans="29:120" x14ac:dyDescent="0.25">
      <c r="AC4445" s="122" t="s">
        <v>357</v>
      </c>
      <c r="AD4445" s="122" t="s">
        <v>4689</v>
      </c>
      <c r="AE4445" s="127">
        <v>7</v>
      </c>
      <c r="DA4445" s="122" t="s">
        <v>27</v>
      </c>
      <c r="DB4445" s="122" t="s">
        <v>8551</v>
      </c>
      <c r="DC4445" s="122" t="s">
        <v>1366</v>
      </c>
      <c r="DD4445" s="127">
        <v>2</v>
      </c>
      <c r="DE4445" s="127">
        <v>2</v>
      </c>
      <c r="DG4445" s="405" t="s">
        <v>27</v>
      </c>
      <c r="DH4445" s="406" t="s">
        <v>1366</v>
      </c>
      <c r="DI4445" s="406" t="str">
        <f t="shared" si="101"/>
        <v>SC, Barra Bonita</v>
      </c>
      <c r="DJ4445" s="406">
        <v>-26.654</v>
      </c>
      <c r="DK4445" s="80">
        <v>-53.44</v>
      </c>
      <c r="DL4445" s="80">
        <v>335</v>
      </c>
      <c r="DM4445" s="64">
        <v>2</v>
      </c>
      <c r="DN4445" s="406" t="s">
        <v>8539</v>
      </c>
      <c r="DO4445" s="406">
        <v>-26.78</v>
      </c>
      <c r="DP4445" s="80">
        <v>665</v>
      </c>
    </row>
    <row r="4446" spans="29:120" x14ac:dyDescent="0.25">
      <c r="AC4446" s="122" t="s">
        <v>300</v>
      </c>
      <c r="AD4446" s="122" t="s">
        <v>4690</v>
      </c>
      <c r="AE4446" s="127">
        <v>7</v>
      </c>
      <c r="DA4446" s="122" t="s">
        <v>27</v>
      </c>
      <c r="DB4446" s="122" t="s">
        <v>8552</v>
      </c>
      <c r="DC4446" s="122" t="s">
        <v>3092</v>
      </c>
      <c r="DD4446" s="127">
        <v>3</v>
      </c>
      <c r="DE4446" s="127">
        <v>3</v>
      </c>
      <c r="DG4446" s="405" t="s">
        <v>27</v>
      </c>
      <c r="DH4446" s="406" t="s">
        <v>3092</v>
      </c>
      <c r="DI4446" s="406" t="str">
        <f t="shared" si="101"/>
        <v>SC, Barra Velha</v>
      </c>
      <c r="DJ4446" s="406">
        <v>-26.632000000000001</v>
      </c>
      <c r="DK4446" s="80">
        <v>-48.685000000000002</v>
      </c>
      <c r="DL4446" s="80">
        <v>35</v>
      </c>
      <c r="DM4446" s="64">
        <v>3</v>
      </c>
      <c r="DN4446" s="406" t="s">
        <v>7896</v>
      </c>
      <c r="DO4446" s="406">
        <v>-26.12</v>
      </c>
      <c r="DP4446" s="80">
        <v>2</v>
      </c>
    </row>
    <row r="4447" spans="29:120" x14ac:dyDescent="0.25">
      <c r="AC4447" s="122" t="s">
        <v>357</v>
      </c>
      <c r="AD4447" s="122" t="s">
        <v>4691</v>
      </c>
      <c r="AE4447" s="127">
        <v>8</v>
      </c>
      <c r="DA4447" s="122" t="s">
        <v>27</v>
      </c>
      <c r="DB4447" s="122" t="s">
        <v>8553</v>
      </c>
      <c r="DC4447" s="122" t="s">
        <v>1723</v>
      </c>
      <c r="DD4447" s="127">
        <v>2</v>
      </c>
      <c r="DE4447" s="127">
        <v>2</v>
      </c>
      <c r="DG4447" s="405" t="s">
        <v>27</v>
      </c>
      <c r="DH4447" s="406" t="s">
        <v>1723</v>
      </c>
      <c r="DI4447" s="406" t="str">
        <f t="shared" si="101"/>
        <v>SC, Bela Vista do Toldo</v>
      </c>
      <c r="DJ4447" s="406">
        <v>-26.273</v>
      </c>
      <c r="DK4447" s="80">
        <v>-50.463999999999999</v>
      </c>
      <c r="DL4447" s="80">
        <v>752</v>
      </c>
      <c r="DM4447" s="64">
        <v>2</v>
      </c>
      <c r="DN4447" s="406" t="s">
        <v>7825</v>
      </c>
      <c r="DO4447" s="406">
        <v>-26.4</v>
      </c>
      <c r="DP4447" s="80">
        <v>808</v>
      </c>
    </row>
    <row r="4448" spans="29:120" x14ac:dyDescent="0.25">
      <c r="AC4448" s="122" t="s">
        <v>328</v>
      </c>
      <c r="AD4448" s="122" t="s">
        <v>1864</v>
      </c>
      <c r="AE4448" s="127">
        <v>8</v>
      </c>
      <c r="DA4448" s="122" t="s">
        <v>27</v>
      </c>
      <c r="DB4448" s="122" t="s">
        <v>1390</v>
      </c>
      <c r="DC4448" s="122" t="s">
        <v>1390</v>
      </c>
      <c r="DD4448" s="127">
        <v>2</v>
      </c>
      <c r="DE4448" s="127">
        <v>2</v>
      </c>
      <c r="DG4448" s="405" t="s">
        <v>27</v>
      </c>
      <c r="DH4448" s="406" t="s">
        <v>1390</v>
      </c>
      <c r="DI4448" s="406" t="str">
        <f t="shared" si="101"/>
        <v>SC, Belmonte</v>
      </c>
      <c r="DJ4448" s="406">
        <v>-26.841000000000001</v>
      </c>
      <c r="DK4448" s="80">
        <v>-53.576000000000001</v>
      </c>
      <c r="DL4448" s="80">
        <v>612</v>
      </c>
      <c r="DM4448" s="64">
        <v>2</v>
      </c>
      <c r="DN4448" s="406" t="s">
        <v>8539</v>
      </c>
      <c r="DO4448" s="406">
        <v>-26.78</v>
      </c>
      <c r="DP4448" s="80">
        <v>665</v>
      </c>
    </row>
    <row r="4449" spans="29:120" x14ac:dyDescent="0.25">
      <c r="AC4449" s="122" t="s">
        <v>328</v>
      </c>
      <c r="AD4449" s="122" t="s">
        <v>4692</v>
      </c>
      <c r="AE4449" s="127">
        <v>8</v>
      </c>
      <c r="DA4449" s="122" t="s">
        <v>27</v>
      </c>
      <c r="DB4449" s="122" t="s">
        <v>8554</v>
      </c>
      <c r="DC4449" s="122" t="s">
        <v>1382</v>
      </c>
      <c r="DD4449" s="127">
        <v>3</v>
      </c>
      <c r="DE4449" s="127">
        <v>3</v>
      </c>
      <c r="DG4449" s="405" t="s">
        <v>27</v>
      </c>
      <c r="DH4449" s="406" t="s">
        <v>1382</v>
      </c>
      <c r="DI4449" s="406" t="str">
        <f t="shared" si="101"/>
        <v>SC, Benedito Novo</v>
      </c>
      <c r="DJ4449" s="406">
        <v>-26.783000000000001</v>
      </c>
      <c r="DK4449" s="80">
        <v>-49.363999999999997</v>
      </c>
      <c r="DL4449" s="80">
        <v>130</v>
      </c>
      <c r="DM4449" s="64">
        <v>3</v>
      </c>
      <c r="DN4449" s="406" t="s">
        <v>8542</v>
      </c>
      <c r="DO4449" s="406">
        <v>-26.92</v>
      </c>
      <c r="DP4449" s="80">
        <v>86</v>
      </c>
    </row>
    <row r="4450" spans="29:120" x14ac:dyDescent="0.25">
      <c r="AC4450" s="122" t="s">
        <v>372</v>
      </c>
      <c r="AD4450" s="122" t="s">
        <v>2243</v>
      </c>
      <c r="AE4450" s="127">
        <v>8</v>
      </c>
      <c r="DA4450" s="122" t="s">
        <v>27</v>
      </c>
      <c r="DB4450" s="122" t="s">
        <v>480</v>
      </c>
      <c r="DC4450" s="122" t="s">
        <v>480</v>
      </c>
      <c r="DD4450" s="127">
        <v>3</v>
      </c>
      <c r="DE4450" s="127">
        <v>3</v>
      </c>
      <c r="DG4450" s="405" t="s">
        <v>27</v>
      </c>
      <c r="DH4450" s="406" t="s">
        <v>480</v>
      </c>
      <c r="DI4450" s="406" t="str">
        <f t="shared" si="101"/>
        <v>SC, Biguaçu</v>
      </c>
      <c r="DJ4450" s="406">
        <v>-27.494</v>
      </c>
      <c r="DK4450" s="80">
        <v>-48.655999999999999</v>
      </c>
      <c r="DL4450" s="80">
        <v>2</v>
      </c>
      <c r="DM4450" s="64">
        <v>3</v>
      </c>
      <c r="DN4450" s="406" t="s">
        <v>8536</v>
      </c>
      <c r="DO4450" s="406">
        <v>-27.6</v>
      </c>
      <c r="DP4450" s="80">
        <v>2</v>
      </c>
    </row>
    <row r="4451" spans="29:120" x14ac:dyDescent="0.25">
      <c r="AC4451" s="122" t="s">
        <v>300</v>
      </c>
      <c r="AD4451" s="122" t="s">
        <v>4693</v>
      </c>
      <c r="AE4451" s="127">
        <v>7</v>
      </c>
      <c r="DA4451" s="122" t="s">
        <v>27</v>
      </c>
      <c r="DB4451" s="122" t="s">
        <v>3066</v>
      </c>
      <c r="DC4451" s="122" t="s">
        <v>3066</v>
      </c>
      <c r="DD4451" s="127">
        <v>3</v>
      </c>
      <c r="DE4451" s="127">
        <v>3</v>
      </c>
      <c r="DG4451" s="405" t="s">
        <v>27</v>
      </c>
      <c r="DH4451" s="406" t="s">
        <v>3066</v>
      </c>
      <c r="DI4451" s="406" t="str">
        <f t="shared" si="101"/>
        <v>SC, Blumenau</v>
      </c>
      <c r="DJ4451" s="406">
        <v>-26.919</v>
      </c>
      <c r="DK4451" s="80">
        <v>-49.066000000000003</v>
      </c>
      <c r="DL4451" s="80">
        <v>21</v>
      </c>
      <c r="DM4451" s="64">
        <v>3</v>
      </c>
      <c r="DN4451" s="406" t="s">
        <v>8542</v>
      </c>
      <c r="DO4451" s="406">
        <v>-26.92</v>
      </c>
      <c r="DP4451" s="80">
        <v>86</v>
      </c>
    </row>
    <row r="4452" spans="29:120" x14ac:dyDescent="0.25">
      <c r="AC4452" s="122" t="s">
        <v>328</v>
      </c>
      <c r="AD4452" s="122" t="s">
        <v>4694</v>
      </c>
      <c r="AE4452" s="127">
        <v>8</v>
      </c>
      <c r="DA4452" s="122" t="s">
        <v>27</v>
      </c>
      <c r="DB4452" s="122" t="s">
        <v>8555</v>
      </c>
      <c r="DC4452" s="122" t="s">
        <v>1201</v>
      </c>
      <c r="DD4452" s="127">
        <v>1</v>
      </c>
      <c r="DE4452" s="127">
        <v>1</v>
      </c>
      <c r="DG4452" s="405" t="s">
        <v>27</v>
      </c>
      <c r="DH4452" s="406" t="s">
        <v>1201</v>
      </c>
      <c r="DI4452" s="406" t="str">
        <f t="shared" si="101"/>
        <v>SC, Bocaina do Sul</v>
      </c>
      <c r="DJ4452" s="406">
        <v>-27.744</v>
      </c>
      <c r="DK4452" s="80">
        <v>-49.944000000000003</v>
      </c>
      <c r="DL4452" s="80">
        <v>860</v>
      </c>
      <c r="DM4452" s="64">
        <v>1</v>
      </c>
      <c r="DN4452" s="406" t="s">
        <v>8530</v>
      </c>
      <c r="DO4452" s="406">
        <v>-27.42</v>
      </c>
      <c r="DP4452" s="80">
        <v>484</v>
      </c>
    </row>
    <row r="4453" spans="29:120" x14ac:dyDescent="0.25">
      <c r="AC4453" s="122" t="s">
        <v>300</v>
      </c>
      <c r="AD4453" s="122" t="s">
        <v>4695</v>
      </c>
      <c r="AE4453" s="127">
        <v>8</v>
      </c>
      <c r="DA4453" s="122" t="s">
        <v>27</v>
      </c>
      <c r="DB4453" s="122" t="s">
        <v>8556</v>
      </c>
      <c r="DC4453" s="122" t="s">
        <v>354</v>
      </c>
      <c r="DD4453" s="127">
        <v>1</v>
      </c>
      <c r="DE4453" s="127">
        <v>1</v>
      </c>
      <c r="DG4453" s="405" t="s">
        <v>27</v>
      </c>
      <c r="DH4453" s="406" t="s">
        <v>354</v>
      </c>
      <c r="DI4453" s="406" t="str">
        <f t="shared" si="101"/>
        <v>SC, Bom Jardim da Serra</v>
      </c>
      <c r="DJ4453" s="406">
        <v>-28.337</v>
      </c>
      <c r="DK4453" s="80">
        <v>-49.625</v>
      </c>
      <c r="DL4453" s="80">
        <v>1245</v>
      </c>
      <c r="DM4453" s="64">
        <v>1</v>
      </c>
      <c r="DN4453" s="406" t="s">
        <v>8541</v>
      </c>
      <c r="DO4453" s="406">
        <v>-28.13</v>
      </c>
      <c r="DP4453" s="80">
        <v>1810</v>
      </c>
    </row>
    <row r="4454" spans="29:120" x14ac:dyDescent="0.25">
      <c r="AC4454" s="122" t="s">
        <v>357</v>
      </c>
      <c r="AD4454" s="122" t="s">
        <v>4696</v>
      </c>
      <c r="AE4454" s="127">
        <v>7</v>
      </c>
      <c r="DA4454" s="122" t="s">
        <v>27</v>
      </c>
      <c r="DB4454" s="122" t="s">
        <v>7511</v>
      </c>
      <c r="DC4454" s="122" t="s">
        <v>1517</v>
      </c>
      <c r="DD4454" s="127">
        <v>2</v>
      </c>
      <c r="DE4454" s="127">
        <v>2</v>
      </c>
      <c r="DG4454" s="405" t="s">
        <v>27</v>
      </c>
      <c r="DH4454" s="406" t="s">
        <v>1517</v>
      </c>
      <c r="DI4454" s="406" t="str">
        <f t="shared" si="101"/>
        <v>SC, Bom Jesus</v>
      </c>
      <c r="DJ4454" s="406">
        <v>-26.734000000000002</v>
      </c>
      <c r="DK4454" s="80">
        <v>-52.393999999999998</v>
      </c>
      <c r="DL4454" s="80">
        <v>669</v>
      </c>
      <c r="DM4454" s="64">
        <v>2</v>
      </c>
      <c r="DN4454" s="406" t="s">
        <v>8534</v>
      </c>
      <c r="DO4454" s="406">
        <v>-26.94</v>
      </c>
      <c r="DP4454" s="80">
        <v>889</v>
      </c>
    </row>
    <row r="4455" spans="29:120" x14ac:dyDescent="0.25">
      <c r="AC4455" s="122" t="s">
        <v>357</v>
      </c>
      <c r="AD4455" s="122" t="s">
        <v>4697</v>
      </c>
      <c r="AE4455" s="127">
        <v>7</v>
      </c>
      <c r="DA4455" s="122" t="s">
        <v>27</v>
      </c>
      <c r="DB4455" s="122" t="s">
        <v>8557</v>
      </c>
      <c r="DC4455" s="122" t="s">
        <v>1141</v>
      </c>
      <c r="DD4455" s="127">
        <v>2</v>
      </c>
      <c r="DE4455" s="127">
        <v>2</v>
      </c>
      <c r="DG4455" s="405" t="s">
        <v>27</v>
      </c>
      <c r="DH4455" s="406" t="s">
        <v>1141</v>
      </c>
      <c r="DI4455" s="406" t="str">
        <f t="shared" si="101"/>
        <v>SC, Bom Jesus do Oeste</v>
      </c>
      <c r="DJ4455" s="406">
        <v>-26.69</v>
      </c>
      <c r="DK4455" s="80">
        <v>-53.097999999999999</v>
      </c>
      <c r="DL4455" s="80">
        <v>618</v>
      </c>
      <c r="DM4455" s="64">
        <v>2</v>
      </c>
      <c r="DN4455" s="406" t="s">
        <v>7844</v>
      </c>
      <c r="DO4455" s="406">
        <v>-26.41</v>
      </c>
      <c r="DP4455" s="80">
        <v>960</v>
      </c>
    </row>
    <row r="4456" spans="29:120" x14ac:dyDescent="0.25">
      <c r="AC4456" s="122" t="s">
        <v>300</v>
      </c>
      <c r="AD4456" s="122" t="s">
        <v>4698</v>
      </c>
      <c r="AE4456" s="127">
        <v>7</v>
      </c>
      <c r="DA4456" s="122" t="s">
        <v>27</v>
      </c>
      <c r="DB4456" s="122" t="s">
        <v>8558</v>
      </c>
      <c r="DC4456" s="122" t="s">
        <v>1153</v>
      </c>
      <c r="DD4456" s="127">
        <v>3</v>
      </c>
      <c r="DE4456" s="127">
        <v>3</v>
      </c>
      <c r="DG4456" s="405" t="s">
        <v>27</v>
      </c>
      <c r="DH4456" s="406" t="s">
        <v>1153</v>
      </c>
      <c r="DI4456" s="406" t="str">
        <f t="shared" si="101"/>
        <v>SC, Bom Retiro</v>
      </c>
      <c r="DJ4456" s="406">
        <v>-27.797000000000001</v>
      </c>
      <c r="DK4456" s="80">
        <v>-49.488999999999997</v>
      </c>
      <c r="DL4456" s="80">
        <v>890</v>
      </c>
      <c r="DM4456" s="64">
        <v>3</v>
      </c>
      <c r="DN4456" s="406" t="s">
        <v>8541</v>
      </c>
      <c r="DO4456" s="406">
        <v>-28.13</v>
      </c>
      <c r="DP4456" s="80">
        <v>1810</v>
      </c>
    </row>
    <row r="4457" spans="29:120" x14ac:dyDescent="0.25">
      <c r="AC4457" s="122" t="s">
        <v>328</v>
      </c>
      <c r="AD4457" s="122" t="s">
        <v>4699</v>
      </c>
      <c r="AE4457" s="127">
        <v>8</v>
      </c>
      <c r="DA4457" s="122" t="s">
        <v>27</v>
      </c>
      <c r="DB4457" s="122" t="s">
        <v>1370</v>
      </c>
      <c r="DC4457" s="122" t="s">
        <v>1370</v>
      </c>
      <c r="DD4457" s="127">
        <v>3</v>
      </c>
      <c r="DE4457" s="127">
        <v>3</v>
      </c>
      <c r="DG4457" s="405" t="s">
        <v>27</v>
      </c>
      <c r="DH4457" s="406" t="s">
        <v>1370</v>
      </c>
      <c r="DI4457" s="406" t="str">
        <f t="shared" si="101"/>
        <v>SC, Bombinhas</v>
      </c>
      <c r="DJ4457" s="406">
        <v>-27.138000000000002</v>
      </c>
      <c r="DK4457" s="80">
        <v>-48.517000000000003</v>
      </c>
      <c r="DL4457" s="80">
        <v>32</v>
      </c>
      <c r="DM4457" s="64">
        <v>3</v>
      </c>
      <c r="DN4457" s="406" t="s">
        <v>8536</v>
      </c>
      <c r="DO4457" s="406">
        <v>-27.6</v>
      </c>
      <c r="DP4457" s="80">
        <v>2</v>
      </c>
    </row>
    <row r="4458" spans="29:120" x14ac:dyDescent="0.25">
      <c r="AC4458" s="122" t="s">
        <v>357</v>
      </c>
      <c r="AD4458" s="122" t="s">
        <v>4700</v>
      </c>
      <c r="AE4458" s="127">
        <v>7</v>
      </c>
      <c r="DA4458" s="122" t="s">
        <v>27</v>
      </c>
      <c r="DB4458" s="122" t="s">
        <v>1223</v>
      </c>
      <c r="DC4458" s="122" t="s">
        <v>1223</v>
      </c>
      <c r="DD4458" s="127">
        <v>3</v>
      </c>
      <c r="DE4458" s="127">
        <v>3</v>
      </c>
      <c r="DG4458" s="405" t="s">
        <v>27</v>
      </c>
      <c r="DH4458" s="406" t="s">
        <v>1223</v>
      </c>
      <c r="DI4458" s="406" t="str">
        <f t="shared" si="101"/>
        <v>SC, Botuverá</v>
      </c>
      <c r="DJ4458" s="406">
        <v>-27.199000000000002</v>
      </c>
      <c r="DK4458" s="80">
        <v>-49.075000000000003</v>
      </c>
      <c r="DL4458" s="80">
        <v>85</v>
      </c>
      <c r="DM4458" s="64">
        <v>3</v>
      </c>
      <c r="DN4458" s="406" t="s">
        <v>8542</v>
      </c>
      <c r="DO4458" s="406">
        <v>-26.92</v>
      </c>
      <c r="DP4458" s="80">
        <v>86</v>
      </c>
    </row>
    <row r="4459" spans="29:120" x14ac:dyDescent="0.25">
      <c r="AC4459" s="122" t="s">
        <v>357</v>
      </c>
      <c r="AD4459" s="122" t="s">
        <v>4701</v>
      </c>
      <c r="AE4459" s="127">
        <v>7</v>
      </c>
      <c r="DA4459" s="122" t="s">
        <v>27</v>
      </c>
      <c r="DB4459" s="122" t="s">
        <v>8559</v>
      </c>
      <c r="DC4459" s="122" t="s">
        <v>1533</v>
      </c>
      <c r="DD4459" s="127">
        <v>2</v>
      </c>
      <c r="DE4459" s="127">
        <v>2</v>
      </c>
      <c r="DG4459" s="405" t="s">
        <v>27</v>
      </c>
      <c r="DH4459" s="406" t="s">
        <v>1533</v>
      </c>
      <c r="DI4459" s="406" t="str">
        <f t="shared" si="101"/>
        <v>SC, Braço do Norte</v>
      </c>
      <c r="DJ4459" s="406">
        <v>-28.274999999999999</v>
      </c>
      <c r="DK4459" s="80">
        <v>-49.165999999999997</v>
      </c>
      <c r="DL4459" s="80">
        <v>75</v>
      </c>
      <c r="DM4459" s="64">
        <v>2</v>
      </c>
      <c r="DN4459" s="406" t="s">
        <v>8544</v>
      </c>
      <c r="DO4459" s="406">
        <v>-28.53</v>
      </c>
      <c r="DP4459" s="80">
        <v>48</v>
      </c>
    </row>
    <row r="4460" spans="29:120" x14ac:dyDescent="0.25">
      <c r="AC4460" s="122" t="s">
        <v>322</v>
      </c>
      <c r="AD4460" s="122" t="s">
        <v>4702</v>
      </c>
      <c r="AE4460" s="127">
        <v>7</v>
      </c>
      <c r="DA4460" s="122" t="s">
        <v>27</v>
      </c>
      <c r="DB4460" s="122" t="s">
        <v>8560</v>
      </c>
      <c r="DC4460" s="122" t="s">
        <v>1259</v>
      </c>
      <c r="DD4460" s="127">
        <v>2</v>
      </c>
      <c r="DE4460" s="127">
        <v>2</v>
      </c>
      <c r="DG4460" s="405" t="s">
        <v>27</v>
      </c>
      <c r="DH4460" s="406" t="s">
        <v>1259</v>
      </c>
      <c r="DI4460" s="406" t="str">
        <f t="shared" si="101"/>
        <v>SC, Braço do Trombudo</v>
      </c>
      <c r="DJ4460" s="406">
        <v>-27.358000000000001</v>
      </c>
      <c r="DK4460" s="80">
        <v>-49.886000000000003</v>
      </c>
      <c r="DL4460" s="80">
        <v>430</v>
      </c>
      <c r="DM4460" s="64">
        <v>2</v>
      </c>
      <c r="DN4460" s="406" t="s">
        <v>8530</v>
      </c>
      <c r="DO4460" s="406">
        <v>-27.42</v>
      </c>
      <c r="DP4460" s="80">
        <v>484</v>
      </c>
    </row>
    <row r="4461" spans="29:120" x14ac:dyDescent="0.25">
      <c r="AC4461" s="122" t="s">
        <v>357</v>
      </c>
      <c r="AD4461" s="122" t="s">
        <v>4703</v>
      </c>
      <c r="AE4461" s="127">
        <v>8</v>
      </c>
      <c r="DA4461" s="122" t="s">
        <v>27</v>
      </c>
      <c r="DB4461" s="122" t="s">
        <v>1145</v>
      </c>
      <c r="DC4461" s="122" t="s">
        <v>1145</v>
      </c>
      <c r="DD4461" s="127">
        <v>2</v>
      </c>
      <c r="DE4461" s="127">
        <v>2</v>
      </c>
      <c r="DG4461" s="405" t="s">
        <v>27</v>
      </c>
      <c r="DH4461" s="406" t="s">
        <v>1145</v>
      </c>
      <c r="DI4461" s="406" t="str">
        <f t="shared" si="101"/>
        <v>SC, Brunópolis</v>
      </c>
      <c r="DJ4461" s="406">
        <v>-27.306000000000001</v>
      </c>
      <c r="DK4461" s="80">
        <v>-50.868000000000002</v>
      </c>
      <c r="DL4461" s="80">
        <v>843</v>
      </c>
      <c r="DM4461" s="64">
        <v>2</v>
      </c>
      <c r="DN4461" s="406" t="s">
        <v>8528</v>
      </c>
      <c r="DO4461" s="406">
        <v>-27.29</v>
      </c>
      <c r="DP4461" s="80">
        <v>982</v>
      </c>
    </row>
    <row r="4462" spans="29:120" x14ac:dyDescent="0.25">
      <c r="AC4462" s="122" t="s">
        <v>300</v>
      </c>
      <c r="AD4462" s="122" t="s">
        <v>4704</v>
      </c>
      <c r="AE4462" s="127">
        <v>7</v>
      </c>
      <c r="DA4462" s="122" t="s">
        <v>27</v>
      </c>
      <c r="DB4462" s="122" t="s">
        <v>1215</v>
      </c>
      <c r="DC4462" s="122" t="s">
        <v>1215</v>
      </c>
      <c r="DD4462" s="127">
        <v>3</v>
      </c>
      <c r="DE4462" s="127">
        <v>3</v>
      </c>
      <c r="DG4462" s="405" t="s">
        <v>27</v>
      </c>
      <c r="DH4462" s="406" t="s">
        <v>1215</v>
      </c>
      <c r="DI4462" s="406" t="str">
        <f t="shared" si="101"/>
        <v>SC, Brusque</v>
      </c>
      <c r="DJ4462" s="406">
        <v>-27.097999999999999</v>
      </c>
      <c r="DK4462" s="80">
        <v>-48.917999999999999</v>
      </c>
      <c r="DL4462" s="80">
        <v>36</v>
      </c>
      <c r="DM4462" s="64">
        <v>3</v>
      </c>
      <c r="DN4462" s="406" t="s">
        <v>8542</v>
      </c>
      <c r="DO4462" s="406">
        <v>-26.92</v>
      </c>
      <c r="DP4462" s="80">
        <v>86</v>
      </c>
    </row>
    <row r="4463" spans="29:120" x14ac:dyDescent="0.25">
      <c r="AC4463" s="122" t="s">
        <v>357</v>
      </c>
      <c r="AD4463" s="122" t="s">
        <v>2199</v>
      </c>
      <c r="AE4463" s="127">
        <v>7</v>
      </c>
      <c r="DA4463" s="122" t="s">
        <v>27</v>
      </c>
      <c r="DB4463" s="122" t="s">
        <v>1653</v>
      </c>
      <c r="DC4463" s="122" t="s">
        <v>1653</v>
      </c>
      <c r="DD4463" s="127">
        <v>2</v>
      </c>
      <c r="DE4463" s="127">
        <v>2</v>
      </c>
      <c r="DG4463" s="405" t="s">
        <v>27</v>
      </c>
      <c r="DH4463" s="406" t="s">
        <v>1653</v>
      </c>
      <c r="DI4463" s="406" t="str">
        <f t="shared" si="101"/>
        <v>SC, Caçador</v>
      </c>
      <c r="DJ4463" s="406">
        <v>-26.774999999999999</v>
      </c>
      <c r="DK4463" s="80">
        <v>-51.015000000000001</v>
      </c>
      <c r="DL4463" s="80">
        <v>920</v>
      </c>
      <c r="DM4463" s="64">
        <v>2</v>
      </c>
      <c r="DN4463" s="406" t="s">
        <v>8561</v>
      </c>
      <c r="DO4463" s="406">
        <v>-26.82</v>
      </c>
      <c r="DP4463" s="80">
        <v>952</v>
      </c>
    </row>
    <row r="4464" spans="29:120" x14ac:dyDescent="0.25">
      <c r="AC4464" s="122" t="s">
        <v>268</v>
      </c>
      <c r="AD4464" s="122" t="s">
        <v>4705</v>
      </c>
      <c r="AE4464" s="127">
        <v>8</v>
      </c>
      <c r="DA4464" s="122" t="s">
        <v>27</v>
      </c>
      <c r="DB4464" s="122" t="s">
        <v>1596</v>
      </c>
      <c r="DC4464" s="122" t="s">
        <v>1596</v>
      </c>
      <c r="DD4464" s="127">
        <v>2</v>
      </c>
      <c r="DE4464" s="127">
        <v>2</v>
      </c>
      <c r="DG4464" s="405" t="s">
        <v>27</v>
      </c>
      <c r="DH4464" s="406" t="s">
        <v>1596</v>
      </c>
      <c r="DI4464" s="406" t="str">
        <f t="shared" si="101"/>
        <v>SC, Caibi</v>
      </c>
      <c r="DJ4464" s="406">
        <v>-27.071999999999999</v>
      </c>
      <c r="DK4464" s="80">
        <v>-53.247999999999998</v>
      </c>
      <c r="DL4464" s="80">
        <v>337</v>
      </c>
      <c r="DM4464" s="64">
        <v>2</v>
      </c>
      <c r="DN4464" s="406" t="s">
        <v>8215</v>
      </c>
      <c r="DO4464" s="406">
        <v>-27.4</v>
      </c>
      <c r="DP4464" s="80">
        <v>490</v>
      </c>
    </row>
    <row r="4465" spans="29:120" x14ac:dyDescent="0.25">
      <c r="AC4465" s="122" t="s">
        <v>393</v>
      </c>
      <c r="AD4465" s="122" t="s">
        <v>4706</v>
      </c>
      <c r="AE4465" s="127">
        <v>7</v>
      </c>
      <c r="DA4465" s="122" t="s">
        <v>27</v>
      </c>
      <c r="DB4465" s="122" t="s">
        <v>455</v>
      </c>
      <c r="DC4465" s="122" t="s">
        <v>455</v>
      </c>
      <c r="DD4465" s="127">
        <v>2</v>
      </c>
      <c r="DE4465" s="127">
        <v>2</v>
      </c>
      <c r="DG4465" s="405" t="s">
        <v>27</v>
      </c>
      <c r="DH4465" s="406" t="s">
        <v>455</v>
      </c>
      <c r="DI4465" s="406" t="str">
        <f t="shared" si="101"/>
        <v>SC, Calmon</v>
      </c>
      <c r="DJ4465" s="406">
        <v>-26.6</v>
      </c>
      <c r="DK4465" s="80">
        <v>-51.097000000000001</v>
      </c>
      <c r="DL4465" s="80">
        <v>1200</v>
      </c>
      <c r="DM4465" s="64">
        <v>2</v>
      </c>
      <c r="DN4465" s="406" t="s">
        <v>8561</v>
      </c>
      <c r="DO4465" s="406">
        <v>-26.82</v>
      </c>
      <c r="DP4465" s="80">
        <v>952</v>
      </c>
    </row>
    <row r="4466" spans="29:120" x14ac:dyDescent="0.25">
      <c r="AC4466" s="122" t="s">
        <v>393</v>
      </c>
      <c r="AD4466" s="122" t="s">
        <v>4707</v>
      </c>
      <c r="AE4466" s="127">
        <v>7</v>
      </c>
      <c r="DA4466" s="122" t="s">
        <v>27</v>
      </c>
      <c r="DB4466" s="122" t="s">
        <v>1355</v>
      </c>
      <c r="DC4466" s="122" t="s">
        <v>1355</v>
      </c>
      <c r="DD4466" s="127">
        <v>3</v>
      </c>
      <c r="DE4466" s="127">
        <v>3</v>
      </c>
      <c r="DG4466" s="405" t="s">
        <v>27</v>
      </c>
      <c r="DH4466" s="406" t="s">
        <v>1355</v>
      </c>
      <c r="DI4466" s="406" t="str">
        <f t="shared" si="101"/>
        <v>SC, Camboriú</v>
      </c>
      <c r="DJ4466" s="406">
        <v>-27.024999999999999</v>
      </c>
      <c r="DK4466" s="80">
        <v>-48.654000000000003</v>
      </c>
      <c r="DL4466" s="80">
        <v>8</v>
      </c>
      <c r="DM4466" s="64">
        <v>3</v>
      </c>
      <c r="DN4466" s="406" t="s">
        <v>8542</v>
      </c>
      <c r="DO4466" s="406">
        <v>-26.92</v>
      </c>
      <c r="DP4466" s="80">
        <v>86</v>
      </c>
    </row>
    <row r="4467" spans="29:120" x14ac:dyDescent="0.25">
      <c r="AC4467" s="122" t="s">
        <v>357</v>
      </c>
      <c r="AD4467" s="122" t="s">
        <v>4708</v>
      </c>
      <c r="AE4467" s="127">
        <v>7</v>
      </c>
      <c r="DA4467" s="122" t="s">
        <v>27</v>
      </c>
      <c r="DB4467" s="122" t="s">
        <v>6098</v>
      </c>
      <c r="DC4467" s="122" t="s">
        <v>723</v>
      </c>
      <c r="DD4467" s="127">
        <v>3</v>
      </c>
      <c r="DE4467" s="127">
        <v>3</v>
      </c>
      <c r="DG4467" s="405" t="s">
        <v>27</v>
      </c>
      <c r="DH4467" s="406" t="s">
        <v>723</v>
      </c>
      <c r="DI4467" s="406" t="str">
        <f t="shared" si="101"/>
        <v>SC, Campo Alegre</v>
      </c>
      <c r="DJ4467" s="406">
        <v>-26.193000000000001</v>
      </c>
      <c r="DK4467" s="80">
        <v>-49.265999999999998</v>
      </c>
      <c r="DL4467" s="80">
        <v>870</v>
      </c>
      <c r="DM4467" s="64">
        <v>3</v>
      </c>
      <c r="DN4467" s="406" t="s">
        <v>7809</v>
      </c>
      <c r="DO4467" s="406">
        <v>-26.25</v>
      </c>
      <c r="DP4467" s="80">
        <v>869</v>
      </c>
    </row>
    <row r="4468" spans="29:120" x14ac:dyDescent="0.25">
      <c r="AC4468" s="122" t="s">
        <v>357</v>
      </c>
      <c r="AD4468" s="122" t="s">
        <v>4709</v>
      </c>
      <c r="AE4468" s="127">
        <v>7</v>
      </c>
      <c r="DA4468" s="122" t="s">
        <v>27</v>
      </c>
      <c r="DB4468" s="122" t="s">
        <v>8562</v>
      </c>
      <c r="DC4468" s="122" t="s">
        <v>1467</v>
      </c>
      <c r="DD4468" s="127">
        <v>1</v>
      </c>
      <c r="DE4468" s="127">
        <v>1</v>
      </c>
      <c r="DG4468" s="405" t="s">
        <v>27</v>
      </c>
      <c r="DH4468" s="406" t="s">
        <v>1467</v>
      </c>
      <c r="DI4468" s="406" t="str">
        <f t="shared" si="101"/>
        <v>SC, Campo Belo do Sul</v>
      </c>
      <c r="DJ4468" s="406">
        <v>-27.899000000000001</v>
      </c>
      <c r="DK4468" s="80">
        <v>-50.761000000000003</v>
      </c>
      <c r="DL4468" s="80">
        <v>1017</v>
      </c>
      <c r="DM4468" s="64">
        <v>1</v>
      </c>
      <c r="DN4468" s="406" t="s">
        <v>8528</v>
      </c>
      <c r="DO4468" s="406">
        <v>-27.29</v>
      </c>
      <c r="DP4468" s="80">
        <v>982</v>
      </c>
    </row>
    <row r="4469" spans="29:120" x14ac:dyDescent="0.25">
      <c r="AC4469" s="122" t="s">
        <v>357</v>
      </c>
      <c r="AD4469" s="122" t="s">
        <v>4710</v>
      </c>
      <c r="AE4469" s="127">
        <v>7</v>
      </c>
      <c r="DA4469" s="122" t="s">
        <v>27</v>
      </c>
      <c r="DB4469" s="122" t="s">
        <v>8563</v>
      </c>
      <c r="DC4469" s="122" t="s">
        <v>438</v>
      </c>
      <c r="DD4469" s="127">
        <v>2</v>
      </c>
      <c r="DE4469" s="127">
        <v>2</v>
      </c>
      <c r="DG4469" s="405" t="s">
        <v>27</v>
      </c>
      <c r="DH4469" s="406" t="s">
        <v>438</v>
      </c>
      <c r="DI4469" s="406" t="str">
        <f t="shared" si="101"/>
        <v>SC, Campo Erê</v>
      </c>
      <c r="DJ4469" s="406">
        <v>-26.393999999999998</v>
      </c>
      <c r="DK4469" s="80">
        <v>-53.078000000000003</v>
      </c>
      <c r="DL4469" s="80">
        <v>910</v>
      </c>
      <c r="DM4469" s="64">
        <v>2</v>
      </c>
      <c r="DN4469" s="406" t="s">
        <v>7844</v>
      </c>
      <c r="DO4469" s="406">
        <v>-26.41</v>
      </c>
      <c r="DP4469" s="80">
        <v>960</v>
      </c>
    </row>
    <row r="4470" spans="29:120" x14ac:dyDescent="0.25">
      <c r="AC4470" s="122" t="s">
        <v>328</v>
      </c>
      <c r="AD4470" s="122" t="s">
        <v>4711</v>
      </c>
      <c r="AE4470" s="127">
        <v>7</v>
      </c>
      <c r="DA4470" s="122" t="s">
        <v>27</v>
      </c>
      <c r="DB4470" s="122" t="s">
        <v>8564</v>
      </c>
      <c r="DC4470" s="122" t="s">
        <v>1530</v>
      </c>
      <c r="DD4470" s="127">
        <v>2</v>
      </c>
      <c r="DE4470" s="127">
        <v>2</v>
      </c>
      <c r="DG4470" s="405" t="s">
        <v>27</v>
      </c>
      <c r="DH4470" s="406" t="s">
        <v>1530</v>
      </c>
      <c r="DI4470" s="406" t="str">
        <f t="shared" si="101"/>
        <v>SC, Campos Novos</v>
      </c>
      <c r="DJ4470" s="406">
        <v>-27.402000000000001</v>
      </c>
      <c r="DK4470" s="80">
        <v>-51.225000000000001</v>
      </c>
      <c r="DL4470" s="80">
        <v>934</v>
      </c>
      <c r="DM4470" s="64">
        <v>2</v>
      </c>
      <c r="DN4470" s="406" t="s">
        <v>8250</v>
      </c>
      <c r="DO4470" s="406">
        <v>-27.17</v>
      </c>
      <c r="DP4470" s="80">
        <v>776</v>
      </c>
    </row>
    <row r="4471" spans="29:120" x14ac:dyDescent="0.25">
      <c r="AC4471" s="122" t="s">
        <v>357</v>
      </c>
      <c r="AD4471" s="122" t="s">
        <v>4712</v>
      </c>
      <c r="AE4471" s="127">
        <v>7</v>
      </c>
      <c r="DA4471" s="122" t="s">
        <v>27</v>
      </c>
      <c r="DB4471" s="122" t="s">
        <v>1297</v>
      </c>
      <c r="DC4471" s="122" t="s">
        <v>1297</v>
      </c>
      <c r="DD4471" s="127">
        <v>3</v>
      </c>
      <c r="DE4471" s="127">
        <v>3</v>
      </c>
      <c r="DG4471" s="405" t="s">
        <v>27</v>
      </c>
      <c r="DH4471" s="406" t="s">
        <v>1297</v>
      </c>
      <c r="DI4471" s="406" t="str">
        <f t="shared" si="101"/>
        <v>SC, Canelinha</v>
      </c>
      <c r="DJ4471" s="406">
        <v>-27.265000000000001</v>
      </c>
      <c r="DK4471" s="80">
        <v>-48.768000000000001</v>
      </c>
      <c r="DL4471" s="80">
        <v>17</v>
      </c>
      <c r="DM4471" s="64">
        <v>3</v>
      </c>
      <c r="DN4471" s="406" t="s">
        <v>8536</v>
      </c>
      <c r="DO4471" s="406">
        <v>-27.6</v>
      </c>
      <c r="DP4471" s="80">
        <v>2</v>
      </c>
    </row>
    <row r="4472" spans="29:120" x14ac:dyDescent="0.25">
      <c r="AC4472" s="122" t="s">
        <v>357</v>
      </c>
      <c r="AD4472" s="122" t="s">
        <v>4713</v>
      </c>
      <c r="AE4472" s="127">
        <v>7</v>
      </c>
      <c r="DA4472" s="122" t="s">
        <v>27</v>
      </c>
      <c r="DB4472" s="122" t="s">
        <v>1692</v>
      </c>
      <c r="DC4472" s="122" t="s">
        <v>1692</v>
      </c>
      <c r="DD4472" s="127">
        <v>2</v>
      </c>
      <c r="DE4472" s="127">
        <v>2</v>
      </c>
      <c r="DG4472" s="405" t="s">
        <v>27</v>
      </c>
      <c r="DH4472" s="406" t="s">
        <v>1692</v>
      </c>
      <c r="DI4472" s="406" t="str">
        <f t="shared" si="101"/>
        <v>SC, Canoinhas</v>
      </c>
      <c r="DJ4472" s="406">
        <v>-26.177</v>
      </c>
      <c r="DK4472" s="80">
        <v>-50.39</v>
      </c>
      <c r="DL4472" s="80">
        <v>839</v>
      </c>
      <c r="DM4472" s="64">
        <v>2</v>
      </c>
      <c r="DN4472" s="406" t="s">
        <v>7825</v>
      </c>
      <c r="DO4472" s="406">
        <v>-26.4</v>
      </c>
      <c r="DP4472" s="80">
        <v>808</v>
      </c>
    </row>
    <row r="4473" spans="29:120" x14ac:dyDescent="0.25">
      <c r="AC4473" s="122" t="s">
        <v>322</v>
      </c>
      <c r="AD4473" s="122" t="s">
        <v>4714</v>
      </c>
      <c r="AE4473" s="127">
        <v>6</v>
      </c>
      <c r="DA4473" s="122" t="s">
        <v>27</v>
      </c>
      <c r="DB4473" s="122" t="s">
        <v>8565</v>
      </c>
      <c r="DC4473" s="122" t="s">
        <v>1474</v>
      </c>
      <c r="DD4473" s="127">
        <v>1</v>
      </c>
      <c r="DE4473" s="127">
        <v>1</v>
      </c>
      <c r="DG4473" s="405" t="s">
        <v>27</v>
      </c>
      <c r="DH4473" s="406" t="s">
        <v>1474</v>
      </c>
      <c r="DI4473" s="406" t="str">
        <f t="shared" si="101"/>
        <v>SC, Capão Alto</v>
      </c>
      <c r="DJ4473" s="406">
        <v>-27.937000000000001</v>
      </c>
      <c r="DK4473" s="80">
        <v>-50.512</v>
      </c>
      <c r="DL4473" s="80">
        <v>1022</v>
      </c>
      <c r="DM4473" s="64">
        <v>1</v>
      </c>
      <c r="DN4473" s="406" t="s">
        <v>8566</v>
      </c>
      <c r="DO4473" s="406">
        <v>-28.28</v>
      </c>
      <c r="DP4473" s="80">
        <v>1410</v>
      </c>
    </row>
    <row r="4474" spans="29:120" x14ac:dyDescent="0.25">
      <c r="AC4474" s="122" t="s">
        <v>300</v>
      </c>
      <c r="AD4474" s="122" t="s">
        <v>4715</v>
      </c>
      <c r="AE4474" s="127">
        <v>7</v>
      </c>
      <c r="DA4474" s="122" t="s">
        <v>27</v>
      </c>
      <c r="DB4474" s="122" t="s">
        <v>394</v>
      </c>
      <c r="DC4474" s="122" t="s">
        <v>394</v>
      </c>
      <c r="DD4474" s="127">
        <v>2</v>
      </c>
      <c r="DE4474" s="127">
        <v>2</v>
      </c>
      <c r="DG4474" s="405" t="s">
        <v>27</v>
      </c>
      <c r="DH4474" s="406" t="s">
        <v>394</v>
      </c>
      <c r="DI4474" s="406" t="str">
        <f t="shared" si="101"/>
        <v>SC, Capinzal</v>
      </c>
      <c r="DJ4474" s="406">
        <v>-27.344000000000001</v>
      </c>
      <c r="DK4474" s="80">
        <v>-51.612000000000002</v>
      </c>
      <c r="DL4474" s="80">
        <v>480</v>
      </c>
      <c r="DM4474" s="64">
        <v>2</v>
      </c>
      <c r="DN4474" s="406" t="s">
        <v>8250</v>
      </c>
      <c r="DO4474" s="406">
        <v>-27.17</v>
      </c>
      <c r="DP4474" s="80">
        <v>776</v>
      </c>
    </row>
    <row r="4475" spans="29:120" x14ac:dyDescent="0.25">
      <c r="AC4475" s="122" t="s">
        <v>300</v>
      </c>
      <c r="AD4475" s="122" t="s">
        <v>4716</v>
      </c>
      <c r="AE4475" s="127">
        <v>7</v>
      </c>
      <c r="DA4475" s="122" t="s">
        <v>27</v>
      </c>
      <c r="DB4475" s="122" t="s">
        <v>8567</v>
      </c>
      <c r="DC4475" s="122" t="s">
        <v>1118</v>
      </c>
      <c r="DD4475" s="127">
        <v>2</v>
      </c>
      <c r="DE4475" s="127">
        <v>2</v>
      </c>
      <c r="DG4475" s="405" t="s">
        <v>27</v>
      </c>
      <c r="DH4475" s="406" t="s">
        <v>1118</v>
      </c>
      <c r="DI4475" s="406" t="str">
        <f t="shared" si="101"/>
        <v>SC, Capivari de Baixo</v>
      </c>
      <c r="DJ4475" s="406">
        <v>-28.445</v>
      </c>
      <c r="DK4475" s="80">
        <v>-48.957999999999998</v>
      </c>
      <c r="DL4475" s="80">
        <v>100</v>
      </c>
      <c r="DM4475" s="64">
        <v>2</v>
      </c>
      <c r="DN4475" s="406" t="s">
        <v>8568</v>
      </c>
      <c r="DO4475" s="406">
        <v>-28.6</v>
      </c>
      <c r="DP4475" s="80">
        <v>52</v>
      </c>
    </row>
    <row r="4476" spans="29:120" x14ac:dyDescent="0.25">
      <c r="AC4476" s="122" t="s">
        <v>344</v>
      </c>
      <c r="AD4476" s="122" t="s">
        <v>4717</v>
      </c>
      <c r="AE4476" s="127">
        <v>8</v>
      </c>
      <c r="DA4476" s="122" t="s">
        <v>27</v>
      </c>
      <c r="DB4476" s="122" t="s">
        <v>434</v>
      </c>
      <c r="DC4476" s="122" t="s">
        <v>434</v>
      </c>
      <c r="DD4476" s="127">
        <v>2</v>
      </c>
      <c r="DE4476" s="127">
        <v>2</v>
      </c>
      <c r="DG4476" s="405" t="s">
        <v>27</v>
      </c>
      <c r="DH4476" s="406" t="s">
        <v>434</v>
      </c>
      <c r="DI4476" s="406" t="str">
        <f t="shared" si="101"/>
        <v>SC, Catanduvas</v>
      </c>
      <c r="DJ4476" s="406">
        <v>-27.071000000000002</v>
      </c>
      <c r="DK4476" s="80">
        <v>-51.661999999999999</v>
      </c>
      <c r="DL4476" s="80">
        <v>945</v>
      </c>
      <c r="DM4476" s="64">
        <v>2</v>
      </c>
      <c r="DN4476" s="406" t="s">
        <v>8250</v>
      </c>
      <c r="DO4476" s="406">
        <v>-27.17</v>
      </c>
      <c r="DP4476" s="80">
        <v>776</v>
      </c>
    </row>
    <row r="4477" spans="29:120" x14ac:dyDescent="0.25">
      <c r="AC4477" s="122" t="s">
        <v>357</v>
      </c>
      <c r="AD4477" s="122" t="s">
        <v>4718</v>
      </c>
      <c r="AE4477" s="127">
        <v>7</v>
      </c>
      <c r="DA4477" s="122" t="s">
        <v>27</v>
      </c>
      <c r="DB4477" s="122" t="s">
        <v>8569</v>
      </c>
      <c r="DC4477" s="122" t="s">
        <v>1575</v>
      </c>
      <c r="DD4477" s="127">
        <v>2</v>
      </c>
      <c r="DE4477" s="127">
        <v>2</v>
      </c>
      <c r="DG4477" s="405" t="s">
        <v>27</v>
      </c>
      <c r="DH4477" s="406" t="s">
        <v>1575</v>
      </c>
      <c r="DI4477" s="406" t="str">
        <f t="shared" si="101"/>
        <v>SC, Caxambu do Sul</v>
      </c>
      <c r="DJ4477" s="406">
        <v>-27.161000000000001</v>
      </c>
      <c r="DK4477" s="80">
        <v>-52.878999999999998</v>
      </c>
      <c r="DL4477" s="80">
        <v>318</v>
      </c>
      <c r="DM4477" s="64">
        <v>2</v>
      </c>
      <c r="DN4477" s="406" t="s">
        <v>8534</v>
      </c>
      <c r="DO4477" s="406">
        <v>-26.94</v>
      </c>
      <c r="DP4477" s="80">
        <v>889</v>
      </c>
    </row>
    <row r="4478" spans="29:120" x14ac:dyDescent="0.25">
      <c r="AC4478" s="122" t="s">
        <v>357</v>
      </c>
      <c r="AD4478" s="122" t="s">
        <v>4719</v>
      </c>
      <c r="AE4478" s="127">
        <v>7</v>
      </c>
      <c r="DA4478" s="122" t="s">
        <v>27</v>
      </c>
      <c r="DB4478" s="122" t="s">
        <v>8570</v>
      </c>
      <c r="DC4478" s="122" t="s">
        <v>1540</v>
      </c>
      <c r="DD4478" s="127">
        <v>2</v>
      </c>
      <c r="DE4478" s="127">
        <v>2</v>
      </c>
      <c r="DG4478" s="405" t="s">
        <v>27</v>
      </c>
      <c r="DH4478" s="406" t="s">
        <v>1540</v>
      </c>
      <c r="DI4478" s="406" t="str">
        <f t="shared" si="101"/>
        <v>SC, Celso Ramos</v>
      </c>
      <c r="DJ4478" s="406">
        <v>-27.634</v>
      </c>
      <c r="DK4478" s="80">
        <v>-51.335999999999999</v>
      </c>
      <c r="DL4478" s="80">
        <v>778</v>
      </c>
      <c r="DM4478" s="64">
        <v>2</v>
      </c>
      <c r="DN4478" s="406" t="s">
        <v>8250</v>
      </c>
      <c r="DO4478" s="406">
        <v>-27.17</v>
      </c>
      <c r="DP4478" s="80">
        <v>776</v>
      </c>
    </row>
    <row r="4479" spans="29:120" x14ac:dyDescent="0.25">
      <c r="AC4479" s="122" t="s">
        <v>372</v>
      </c>
      <c r="AD4479" s="122" t="s">
        <v>4720</v>
      </c>
      <c r="AE4479" s="127">
        <v>8</v>
      </c>
      <c r="DA4479" s="122" t="s">
        <v>27</v>
      </c>
      <c r="DB4479" s="122" t="s">
        <v>8571</v>
      </c>
      <c r="DC4479" s="122" t="s">
        <v>1458</v>
      </c>
      <c r="DD4479" s="127">
        <v>2</v>
      </c>
      <c r="DE4479" s="127">
        <v>2</v>
      </c>
      <c r="DG4479" s="405" t="s">
        <v>27</v>
      </c>
      <c r="DH4479" s="406" t="s">
        <v>1458</v>
      </c>
      <c r="DI4479" s="406" t="str">
        <f t="shared" si="101"/>
        <v>SC, Cerro Negro</v>
      </c>
      <c r="DJ4479" s="406">
        <v>-27.795000000000002</v>
      </c>
      <c r="DK4479" s="80">
        <v>-50.875999999999998</v>
      </c>
      <c r="DL4479" s="80">
        <v>996</v>
      </c>
      <c r="DM4479" s="64">
        <v>2</v>
      </c>
      <c r="DN4479" s="406" t="s">
        <v>8528</v>
      </c>
      <c r="DO4479" s="406">
        <v>-27.29</v>
      </c>
      <c r="DP4479" s="80">
        <v>982</v>
      </c>
    </row>
    <row r="4480" spans="29:120" x14ac:dyDescent="0.25">
      <c r="AC4480" s="122" t="s">
        <v>328</v>
      </c>
      <c r="AD4480" s="122" t="s">
        <v>4721</v>
      </c>
      <c r="AE4480" s="127">
        <v>8</v>
      </c>
      <c r="DA4480" s="122" t="s">
        <v>27</v>
      </c>
      <c r="DB4480" s="122" t="s">
        <v>8572</v>
      </c>
      <c r="DC4480" s="122" t="s">
        <v>1285</v>
      </c>
      <c r="DD4480" s="127">
        <v>2</v>
      </c>
      <c r="DE4480" s="127">
        <v>2</v>
      </c>
      <c r="DG4480" s="405" t="s">
        <v>27</v>
      </c>
      <c r="DH4480" s="406" t="s">
        <v>1285</v>
      </c>
      <c r="DI4480" s="406" t="str">
        <f t="shared" si="101"/>
        <v>SC, Chapadão do Lageado</v>
      </c>
      <c r="DJ4480" s="406">
        <v>-27.591000000000001</v>
      </c>
      <c r="DK4480" s="80">
        <v>-49.554000000000002</v>
      </c>
      <c r="DL4480" s="80">
        <v>600</v>
      </c>
      <c r="DM4480" s="64">
        <v>2</v>
      </c>
      <c r="DN4480" s="406" t="s">
        <v>8530</v>
      </c>
      <c r="DO4480" s="406">
        <v>-27.42</v>
      </c>
      <c r="DP4480" s="80">
        <v>484</v>
      </c>
    </row>
    <row r="4481" spans="29:120" x14ac:dyDescent="0.25">
      <c r="AC4481" s="122" t="s">
        <v>372</v>
      </c>
      <c r="AD4481" s="122" t="s">
        <v>4722</v>
      </c>
      <c r="AE4481" s="127">
        <v>8</v>
      </c>
      <c r="DA4481" s="122" t="s">
        <v>27</v>
      </c>
      <c r="DB4481" s="122" t="s">
        <v>1567</v>
      </c>
      <c r="DC4481" s="122" t="s">
        <v>1567</v>
      </c>
      <c r="DD4481" s="127">
        <v>3</v>
      </c>
      <c r="DE4481" s="127">
        <v>3</v>
      </c>
      <c r="DG4481" s="405" t="s">
        <v>27</v>
      </c>
      <c r="DH4481" s="406" t="s">
        <v>1567</v>
      </c>
      <c r="DI4481" s="406" t="str">
        <f t="shared" si="101"/>
        <v>SC, Chapecó</v>
      </c>
      <c r="DJ4481" s="406">
        <v>-27.096</v>
      </c>
      <c r="DK4481" s="80">
        <v>-52.618000000000002</v>
      </c>
      <c r="DL4481" s="80">
        <v>674</v>
      </c>
      <c r="DM4481" s="64">
        <v>3</v>
      </c>
      <c r="DN4481" s="406" t="s">
        <v>8534</v>
      </c>
      <c r="DO4481" s="406">
        <v>-26.94</v>
      </c>
      <c r="DP4481" s="80">
        <v>889</v>
      </c>
    </row>
    <row r="4482" spans="29:120" x14ac:dyDescent="0.25">
      <c r="AC4482" s="122" t="s">
        <v>300</v>
      </c>
      <c r="AD4482" s="122" t="s">
        <v>4723</v>
      </c>
      <c r="AE4482" s="127">
        <v>8</v>
      </c>
      <c r="DA4482" s="122" t="s">
        <v>27</v>
      </c>
      <c r="DB4482" s="122" t="s">
        <v>8573</v>
      </c>
      <c r="DC4482" s="122" t="s">
        <v>1404</v>
      </c>
      <c r="DD4482" s="127">
        <v>2</v>
      </c>
      <c r="DE4482" s="127">
        <v>2</v>
      </c>
      <c r="DG4482" s="405" t="s">
        <v>27</v>
      </c>
      <c r="DH4482" s="406" t="s">
        <v>1404</v>
      </c>
      <c r="DI4482" s="406" t="str">
        <f t="shared" si="101"/>
        <v>SC, Cocal do Sul</v>
      </c>
      <c r="DJ4482" s="406">
        <v>-28.600999999999999</v>
      </c>
      <c r="DK4482" s="80">
        <v>-49.326000000000001</v>
      </c>
      <c r="DL4482" s="80">
        <v>58</v>
      </c>
      <c r="DM4482" s="64">
        <v>2</v>
      </c>
      <c r="DN4482" s="406" t="s">
        <v>8544</v>
      </c>
      <c r="DO4482" s="406">
        <v>-28.53</v>
      </c>
      <c r="DP4482" s="80">
        <v>48</v>
      </c>
    </row>
    <row r="4483" spans="29:120" x14ac:dyDescent="0.25">
      <c r="AC4483" s="122" t="s">
        <v>372</v>
      </c>
      <c r="AD4483" s="122" t="s">
        <v>4724</v>
      </c>
      <c r="AE4483" s="127">
        <v>8</v>
      </c>
      <c r="DA4483" s="122" t="s">
        <v>27</v>
      </c>
      <c r="DB4483" s="122" t="s">
        <v>789</v>
      </c>
      <c r="DC4483" s="122" t="s">
        <v>789</v>
      </c>
      <c r="DD4483" s="127">
        <v>2</v>
      </c>
      <c r="DE4483" s="127">
        <v>2</v>
      </c>
      <c r="DG4483" s="405" t="s">
        <v>27</v>
      </c>
      <c r="DH4483" s="406" t="s">
        <v>789</v>
      </c>
      <c r="DI4483" s="406" t="str">
        <f t="shared" ref="DI4483:DI4546" si="102">CONCATENATE(DG4483,", ",DH4483)</f>
        <v>SC, Concórdia</v>
      </c>
      <c r="DJ4483" s="406">
        <v>-27.234000000000002</v>
      </c>
      <c r="DK4483" s="80">
        <v>-52.027999999999999</v>
      </c>
      <c r="DL4483" s="80">
        <v>569</v>
      </c>
      <c r="DM4483" s="64">
        <v>2</v>
      </c>
      <c r="DN4483" s="406" t="s">
        <v>8534</v>
      </c>
      <c r="DO4483" s="406">
        <v>-26.94</v>
      </c>
      <c r="DP4483" s="80">
        <v>889</v>
      </c>
    </row>
    <row r="4484" spans="29:120" x14ac:dyDescent="0.25">
      <c r="AC4484" s="122" t="s">
        <v>328</v>
      </c>
      <c r="AD4484" s="122" t="s">
        <v>4725</v>
      </c>
      <c r="AE4484" s="127">
        <v>8</v>
      </c>
      <c r="DA4484" s="122" t="s">
        <v>27</v>
      </c>
      <c r="DB4484" s="122" t="s">
        <v>8574</v>
      </c>
      <c r="DC4484" s="122" t="s">
        <v>1221</v>
      </c>
      <c r="DD4484" s="127">
        <v>3</v>
      </c>
      <c r="DE4484" s="127">
        <v>3</v>
      </c>
      <c r="DG4484" s="405" t="s">
        <v>27</v>
      </c>
      <c r="DH4484" s="406" t="s">
        <v>1221</v>
      </c>
      <c r="DI4484" s="406" t="str">
        <f t="shared" si="102"/>
        <v>SC, Cordilheira Alta</v>
      </c>
      <c r="DJ4484" s="406">
        <v>-26.984000000000002</v>
      </c>
      <c r="DK4484" s="80">
        <v>-52.606999999999999</v>
      </c>
      <c r="DL4484" s="80">
        <v>768</v>
      </c>
      <c r="DM4484" s="64">
        <v>3</v>
      </c>
      <c r="DN4484" s="406" t="s">
        <v>8534</v>
      </c>
      <c r="DO4484" s="406">
        <v>-26.94</v>
      </c>
      <c r="DP4484" s="80">
        <v>889</v>
      </c>
    </row>
    <row r="4485" spans="29:120" x14ac:dyDescent="0.25">
      <c r="AC4485" s="122" t="s">
        <v>357</v>
      </c>
      <c r="AD4485" s="122" t="s">
        <v>4726</v>
      </c>
      <c r="AE4485" s="127">
        <v>7</v>
      </c>
      <c r="DA4485" s="122" t="s">
        <v>27</v>
      </c>
      <c r="DB4485" s="122" t="s">
        <v>8575</v>
      </c>
      <c r="DC4485" s="122" t="s">
        <v>1187</v>
      </c>
      <c r="DD4485" s="127">
        <v>3</v>
      </c>
      <c r="DE4485" s="127">
        <v>3</v>
      </c>
      <c r="DG4485" s="405" t="s">
        <v>27</v>
      </c>
      <c r="DH4485" s="406" t="s">
        <v>1187</v>
      </c>
      <c r="DI4485" s="406" t="str">
        <f t="shared" si="102"/>
        <v>SC, Coronel Freitas</v>
      </c>
      <c r="DJ4485" s="406">
        <v>-26.908999999999999</v>
      </c>
      <c r="DK4485" s="80">
        <v>-52.703000000000003</v>
      </c>
      <c r="DL4485" s="80">
        <v>375</v>
      </c>
      <c r="DM4485" s="64">
        <v>3</v>
      </c>
      <c r="DN4485" s="406" t="s">
        <v>8534</v>
      </c>
      <c r="DO4485" s="406">
        <v>-26.94</v>
      </c>
      <c r="DP4485" s="80">
        <v>889</v>
      </c>
    </row>
    <row r="4486" spans="29:120" x14ac:dyDescent="0.25">
      <c r="AC4486" s="122" t="s">
        <v>357</v>
      </c>
      <c r="AD4486" s="122" t="s">
        <v>4727</v>
      </c>
      <c r="AE4486" s="127">
        <v>7</v>
      </c>
      <c r="DA4486" s="122" t="s">
        <v>27</v>
      </c>
      <c r="DB4486" s="122" t="s">
        <v>8576</v>
      </c>
      <c r="DC4486" s="122" t="s">
        <v>1100</v>
      </c>
      <c r="DD4486" s="127">
        <v>2</v>
      </c>
      <c r="DE4486" s="127">
        <v>2</v>
      </c>
      <c r="DG4486" s="405" t="s">
        <v>27</v>
      </c>
      <c r="DH4486" s="406" t="s">
        <v>1100</v>
      </c>
      <c r="DI4486" s="406" t="str">
        <f t="shared" si="102"/>
        <v>SC, Coronel Martins</v>
      </c>
      <c r="DJ4486" s="406">
        <v>-26.512</v>
      </c>
      <c r="DK4486" s="80">
        <v>-52.668999999999997</v>
      </c>
      <c r="DL4486" s="80">
        <v>695</v>
      </c>
      <c r="DM4486" s="64">
        <v>2</v>
      </c>
      <c r="DN4486" s="406" t="s">
        <v>7844</v>
      </c>
      <c r="DO4486" s="406">
        <v>-26.41</v>
      </c>
      <c r="DP4486" s="80">
        <v>960</v>
      </c>
    </row>
    <row r="4487" spans="29:120" x14ac:dyDescent="0.25">
      <c r="AC4487" s="122" t="s">
        <v>322</v>
      </c>
      <c r="AD4487" s="122" t="s">
        <v>4728</v>
      </c>
      <c r="AE4487" s="127">
        <v>6</v>
      </c>
      <c r="DA4487" s="122" t="s">
        <v>27</v>
      </c>
      <c r="DB4487" s="122" t="s">
        <v>8577</v>
      </c>
      <c r="DC4487" s="122" t="s">
        <v>1123</v>
      </c>
      <c r="DD4487" s="127">
        <v>1</v>
      </c>
      <c r="DE4487" s="127">
        <v>1</v>
      </c>
      <c r="DG4487" s="405" t="s">
        <v>27</v>
      </c>
      <c r="DH4487" s="406" t="s">
        <v>1123</v>
      </c>
      <c r="DI4487" s="406" t="str">
        <f t="shared" si="102"/>
        <v>SC, Correia Pinto</v>
      </c>
      <c r="DJ4487" s="406">
        <v>-27.585000000000001</v>
      </c>
      <c r="DK4487" s="80">
        <v>-50.360999999999997</v>
      </c>
      <c r="DL4487" s="80">
        <v>847</v>
      </c>
      <c r="DM4487" s="64">
        <v>1</v>
      </c>
      <c r="DN4487" s="406" t="s">
        <v>8528</v>
      </c>
      <c r="DO4487" s="406">
        <v>-27.29</v>
      </c>
      <c r="DP4487" s="80">
        <v>982</v>
      </c>
    </row>
    <row r="4488" spans="29:120" x14ac:dyDescent="0.25">
      <c r="AC4488" s="122" t="s">
        <v>234</v>
      </c>
      <c r="AD4488" s="122" t="s">
        <v>4729</v>
      </c>
      <c r="AE4488" s="127">
        <v>8</v>
      </c>
      <c r="DA4488" s="122" t="s">
        <v>27</v>
      </c>
      <c r="DB4488" s="122" t="s">
        <v>532</v>
      </c>
      <c r="DC4488" s="122" t="s">
        <v>532</v>
      </c>
      <c r="DD4488" s="127">
        <v>3</v>
      </c>
      <c r="DE4488" s="127">
        <v>3</v>
      </c>
      <c r="DG4488" s="405" t="s">
        <v>27</v>
      </c>
      <c r="DH4488" s="406" t="s">
        <v>532</v>
      </c>
      <c r="DI4488" s="406" t="str">
        <f t="shared" si="102"/>
        <v>SC, Corupá</v>
      </c>
      <c r="DJ4488" s="406">
        <v>-26.425000000000001</v>
      </c>
      <c r="DK4488" s="80">
        <v>-49.243000000000002</v>
      </c>
      <c r="DL4488" s="80">
        <v>75</v>
      </c>
      <c r="DM4488" s="64">
        <v>3</v>
      </c>
      <c r="DN4488" s="406" t="s">
        <v>7809</v>
      </c>
      <c r="DO4488" s="406">
        <v>-26.25</v>
      </c>
      <c r="DP4488" s="80">
        <v>869</v>
      </c>
    </row>
    <row r="4489" spans="29:120" x14ac:dyDescent="0.25">
      <c r="AC4489" s="122" t="s">
        <v>357</v>
      </c>
      <c r="AD4489" s="122" t="s">
        <v>4730</v>
      </c>
      <c r="AE4489" s="127">
        <v>7</v>
      </c>
      <c r="DA4489" s="122" t="s">
        <v>27</v>
      </c>
      <c r="DB4489" s="122" t="s">
        <v>1327</v>
      </c>
      <c r="DC4489" s="122" t="s">
        <v>1327</v>
      </c>
      <c r="DD4489" s="127">
        <v>2</v>
      </c>
      <c r="DE4489" s="127">
        <v>2</v>
      </c>
      <c r="DG4489" s="405" t="s">
        <v>27</v>
      </c>
      <c r="DH4489" s="406" t="s">
        <v>1327</v>
      </c>
      <c r="DI4489" s="406" t="str">
        <f t="shared" si="102"/>
        <v>SC, Criciúma</v>
      </c>
      <c r="DJ4489" s="406">
        <v>-28.678000000000001</v>
      </c>
      <c r="DK4489" s="80">
        <v>-49.37</v>
      </c>
      <c r="DL4489" s="80">
        <v>46</v>
      </c>
      <c r="DM4489" s="64">
        <v>2</v>
      </c>
      <c r="DN4489" s="406" t="s">
        <v>8544</v>
      </c>
      <c r="DO4489" s="406">
        <v>-28.53</v>
      </c>
      <c r="DP4489" s="80">
        <v>48</v>
      </c>
    </row>
    <row r="4490" spans="29:120" x14ac:dyDescent="0.25">
      <c r="AC4490" s="122" t="s">
        <v>328</v>
      </c>
      <c r="AD4490" s="122" t="s">
        <v>4731</v>
      </c>
      <c r="AE4490" s="127">
        <v>8</v>
      </c>
      <c r="DA4490" s="122" t="s">
        <v>27</v>
      </c>
      <c r="DB4490" s="122" t="s">
        <v>8578</v>
      </c>
      <c r="DC4490" s="122" t="s">
        <v>1590</v>
      </c>
      <c r="DD4490" s="127">
        <v>2</v>
      </c>
      <c r="DE4490" s="127">
        <v>2</v>
      </c>
      <c r="DG4490" s="405" t="s">
        <v>27</v>
      </c>
      <c r="DH4490" s="406" t="s">
        <v>1590</v>
      </c>
      <c r="DI4490" s="406" t="str">
        <f t="shared" si="102"/>
        <v>SC, Cunha Porã</v>
      </c>
      <c r="DJ4490" s="406">
        <v>-26.893999999999998</v>
      </c>
      <c r="DK4490" s="80">
        <v>-53.167999999999999</v>
      </c>
      <c r="DL4490" s="80">
        <v>570</v>
      </c>
      <c r="DM4490" s="64">
        <v>2</v>
      </c>
      <c r="DN4490" s="406" t="s">
        <v>8539</v>
      </c>
      <c r="DO4490" s="406">
        <v>-26.78</v>
      </c>
      <c r="DP4490" s="80">
        <v>665</v>
      </c>
    </row>
    <row r="4491" spans="29:120" x14ac:dyDescent="0.25">
      <c r="AC4491" s="122" t="s">
        <v>289</v>
      </c>
      <c r="AD4491" s="122" t="s">
        <v>4732</v>
      </c>
      <c r="AE4491" s="127">
        <v>6</v>
      </c>
      <c r="DA4491" s="122" t="s">
        <v>27</v>
      </c>
      <c r="DB4491" s="122" t="s">
        <v>1564</v>
      </c>
      <c r="DC4491" s="122" t="s">
        <v>1564</v>
      </c>
      <c r="DD4491" s="127">
        <v>2</v>
      </c>
      <c r="DE4491" s="127">
        <v>2</v>
      </c>
      <c r="DG4491" s="405" t="s">
        <v>27</v>
      </c>
      <c r="DH4491" s="406" t="s">
        <v>1564</v>
      </c>
      <c r="DI4491" s="406" t="str">
        <f t="shared" si="102"/>
        <v>SC, Cunhataí</v>
      </c>
      <c r="DJ4491" s="406">
        <v>-26.969000000000001</v>
      </c>
      <c r="DK4491" s="80">
        <v>-53.093000000000004</v>
      </c>
      <c r="DL4491" s="80">
        <v>400</v>
      </c>
      <c r="DM4491" s="64">
        <v>2</v>
      </c>
      <c r="DN4491" s="406" t="s">
        <v>8539</v>
      </c>
      <c r="DO4491" s="406">
        <v>-26.78</v>
      </c>
      <c r="DP4491" s="80">
        <v>665</v>
      </c>
    </row>
    <row r="4492" spans="29:120" x14ac:dyDescent="0.25">
      <c r="AC4492" s="122" t="s">
        <v>357</v>
      </c>
      <c r="AD4492" s="122" t="s">
        <v>4733</v>
      </c>
      <c r="AE4492" s="127">
        <v>7</v>
      </c>
      <c r="DA4492" s="122" t="s">
        <v>27</v>
      </c>
      <c r="DB4492" s="122" t="s">
        <v>1372</v>
      </c>
      <c r="DC4492" s="122" t="s">
        <v>1372</v>
      </c>
      <c r="DD4492" s="127">
        <v>2</v>
      </c>
      <c r="DE4492" s="127">
        <v>2</v>
      </c>
      <c r="DG4492" s="405" t="s">
        <v>27</v>
      </c>
      <c r="DH4492" s="406" t="s">
        <v>1372</v>
      </c>
      <c r="DI4492" s="406" t="str">
        <f t="shared" si="102"/>
        <v>SC, Curitibanos</v>
      </c>
      <c r="DJ4492" s="406">
        <v>-27.283000000000001</v>
      </c>
      <c r="DK4492" s="80">
        <v>-50.584000000000003</v>
      </c>
      <c r="DL4492" s="80">
        <v>987</v>
      </c>
      <c r="DM4492" s="64">
        <v>2</v>
      </c>
      <c r="DN4492" s="406" t="s">
        <v>8528</v>
      </c>
      <c r="DO4492" s="406">
        <v>-27.29</v>
      </c>
      <c r="DP4492" s="80">
        <v>982</v>
      </c>
    </row>
    <row r="4493" spans="29:120" x14ac:dyDescent="0.25">
      <c r="AC4493" s="122" t="s">
        <v>322</v>
      </c>
      <c r="AD4493" s="122" t="s">
        <v>4734</v>
      </c>
      <c r="AE4493" s="127">
        <v>6</v>
      </c>
      <c r="DA4493" s="122" t="s">
        <v>27</v>
      </c>
      <c r="DB4493" s="122" t="s">
        <v>1388</v>
      </c>
      <c r="DC4493" s="122" t="s">
        <v>1388</v>
      </c>
      <c r="DD4493" s="127">
        <v>2</v>
      </c>
      <c r="DE4493" s="127">
        <v>2</v>
      </c>
      <c r="DG4493" s="405" t="s">
        <v>27</v>
      </c>
      <c r="DH4493" s="406" t="s">
        <v>1388</v>
      </c>
      <c r="DI4493" s="406" t="str">
        <f t="shared" si="102"/>
        <v>SC, Descanso</v>
      </c>
      <c r="DJ4493" s="406">
        <v>-26.826000000000001</v>
      </c>
      <c r="DK4493" s="80">
        <v>-53.502000000000002</v>
      </c>
      <c r="DL4493" s="80">
        <v>552</v>
      </c>
      <c r="DM4493" s="64">
        <v>2</v>
      </c>
      <c r="DN4493" s="406" t="s">
        <v>8539</v>
      </c>
      <c r="DO4493" s="406">
        <v>-26.78</v>
      </c>
      <c r="DP4493" s="80">
        <v>665</v>
      </c>
    </row>
    <row r="4494" spans="29:120" x14ac:dyDescent="0.25">
      <c r="AC4494" s="122" t="s">
        <v>357</v>
      </c>
      <c r="AD4494" s="122" t="s">
        <v>4735</v>
      </c>
      <c r="AE4494" s="127">
        <v>7</v>
      </c>
      <c r="DA4494" s="122" t="s">
        <v>27</v>
      </c>
      <c r="DB4494" s="122" t="s">
        <v>8579</v>
      </c>
      <c r="DC4494" s="122" t="s">
        <v>1335</v>
      </c>
      <c r="DD4494" s="127">
        <v>2</v>
      </c>
      <c r="DE4494" s="127">
        <v>2</v>
      </c>
      <c r="DG4494" s="405" t="s">
        <v>27</v>
      </c>
      <c r="DH4494" s="406" t="s">
        <v>1335</v>
      </c>
      <c r="DI4494" s="406" t="str">
        <f t="shared" si="102"/>
        <v>SC, Dionísio Cerqueira</v>
      </c>
      <c r="DJ4494" s="406">
        <v>-26.254999999999999</v>
      </c>
      <c r="DK4494" s="80">
        <v>-53.64</v>
      </c>
      <c r="DL4494" s="80">
        <v>830</v>
      </c>
      <c r="DM4494" s="64">
        <v>2</v>
      </c>
      <c r="DN4494" s="406" t="s">
        <v>7833</v>
      </c>
      <c r="DO4494" s="406">
        <v>-26.29</v>
      </c>
      <c r="DP4494" s="80">
        <v>810</v>
      </c>
    </row>
    <row r="4495" spans="29:120" x14ac:dyDescent="0.25">
      <c r="AC4495" s="122" t="s">
        <v>393</v>
      </c>
      <c r="AD4495" s="122" t="s">
        <v>4736</v>
      </c>
      <c r="AE4495" s="127">
        <v>7</v>
      </c>
      <c r="DA4495" s="122" t="s">
        <v>27</v>
      </c>
      <c r="DB4495" s="122" t="s">
        <v>8580</v>
      </c>
      <c r="DC4495" s="122" t="s">
        <v>1204</v>
      </c>
      <c r="DD4495" s="127">
        <v>3</v>
      </c>
      <c r="DE4495" s="127">
        <v>3</v>
      </c>
      <c r="DG4495" s="405" t="s">
        <v>27</v>
      </c>
      <c r="DH4495" s="406" t="s">
        <v>1204</v>
      </c>
      <c r="DI4495" s="406" t="str">
        <f t="shared" si="102"/>
        <v>SC, Dona Emma</v>
      </c>
      <c r="DJ4495" s="406">
        <v>-26.984999999999999</v>
      </c>
      <c r="DK4495" s="80">
        <v>-49.725999999999999</v>
      </c>
      <c r="DL4495" s="80">
        <v>370</v>
      </c>
      <c r="DM4495" s="64">
        <v>3</v>
      </c>
      <c r="DN4495" s="406" t="s">
        <v>8542</v>
      </c>
      <c r="DO4495" s="406">
        <v>-26.92</v>
      </c>
      <c r="DP4495" s="80">
        <v>86</v>
      </c>
    </row>
    <row r="4496" spans="29:120" x14ac:dyDescent="0.25">
      <c r="AC4496" s="122" t="s">
        <v>393</v>
      </c>
      <c r="AD4496" s="122" t="s">
        <v>4737</v>
      </c>
      <c r="AE4496" s="127">
        <v>8</v>
      </c>
      <c r="DA4496" s="122" t="s">
        <v>27</v>
      </c>
      <c r="DB4496" s="122" t="s">
        <v>8581</v>
      </c>
      <c r="DC4496" s="122" t="s">
        <v>1373</v>
      </c>
      <c r="DD4496" s="127">
        <v>3</v>
      </c>
      <c r="DE4496" s="127">
        <v>3</v>
      </c>
      <c r="DG4496" s="405" t="s">
        <v>27</v>
      </c>
      <c r="DH4496" s="406" t="s">
        <v>1373</v>
      </c>
      <c r="DI4496" s="406" t="str">
        <f t="shared" si="102"/>
        <v>SC, Doutor Pedrinho</v>
      </c>
      <c r="DJ4496" s="406">
        <v>-26.713999999999999</v>
      </c>
      <c r="DK4496" s="80">
        <v>-49.482999999999997</v>
      </c>
      <c r="DL4496" s="80">
        <v>530</v>
      </c>
      <c r="DM4496" s="64">
        <v>3</v>
      </c>
      <c r="DN4496" s="406" t="s">
        <v>8542</v>
      </c>
      <c r="DO4496" s="406">
        <v>-26.92</v>
      </c>
      <c r="DP4496" s="80">
        <v>86</v>
      </c>
    </row>
    <row r="4497" spans="29:120" x14ac:dyDescent="0.25">
      <c r="AC4497" s="122" t="s">
        <v>372</v>
      </c>
      <c r="AD4497" s="122" t="s">
        <v>4738</v>
      </c>
      <c r="AE4497" s="127">
        <v>8</v>
      </c>
      <c r="DA4497" s="122" t="s">
        <v>27</v>
      </c>
      <c r="DB4497" s="122" t="s">
        <v>6278</v>
      </c>
      <c r="DC4497" s="122" t="s">
        <v>1177</v>
      </c>
      <c r="DD4497" s="127">
        <v>2</v>
      </c>
      <c r="DE4497" s="127">
        <v>2</v>
      </c>
      <c r="DG4497" s="405" t="s">
        <v>27</v>
      </c>
      <c r="DH4497" s="406" t="s">
        <v>1177</v>
      </c>
      <c r="DI4497" s="406" t="str">
        <f t="shared" si="102"/>
        <v>SC, Entre Rios</v>
      </c>
      <c r="DJ4497" s="406">
        <v>-26.724</v>
      </c>
      <c r="DK4497" s="80">
        <v>-52.561</v>
      </c>
      <c r="DL4497" s="80">
        <v>400</v>
      </c>
      <c r="DM4497" s="64">
        <v>2</v>
      </c>
      <c r="DN4497" s="406" t="s">
        <v>8534</v>
      </c>
      <c r="DO4497" s="406">
        <v>-26.94</v>
      </c>
      <c r="DP4497" s="80">
        <v>889</v>
      </c>
    </row>
    <row r="4498" spans="29:120" x14ac:dyDescent="0.25">
      <c r="AC4498" s="122" t="s">
        <v>357</v>
      </c>
      <c r="AD4498" s="122" t="s">
        <v>4739</v>
      </c>
      <c r="AE4498" s="127">
        <v>7</v>
      </c>
      <c r="DA4498" s="122" t="s">
        <v>27</v>
      </c>
      <c r="DB4498" s="122" t="s">
        <v>1414</v>
      </c>
      <c r="DC4498" s="122" t="s">
        <v>1414</v>
      </c>
      <c r="DD4498" s="127">
        <v>2</v>
      </c>
      <c r="DE4498" s="127">
        <v>2</v>
      </c>
      <c r="DG4498" s="405" t="s">
        <v>27</v>
      </c>
      <c r="DH4498" s="406" t="s">
        <v>1414</v>
      </c>
      <c r="DI4498" s="406" t="str">
        <f t="shared" si="102"/>
        <v>SC, Ermo</v>
      </c>
      <c r="DJ4498" s="406">
        <v>-28.983000000000001</v>
      </c>
      <c r="DK4498" s="80">
        <v>-49.643999999999998</v>
      </c>
      <c r="DL4498" s="80">
        <v>16</v>
      </c>
      <c r="DM4498" s="64">
        <v>2</v>
      </c>
      <c r="DN4498" s="406" t="s">
        <v>8543</v>
      </c>
      <c r="DO4498" s="406">
        <v>-28.93</v>
      </c>
      <c r="DP4498" s="80">
        <v>12</v>
      </c>
    </row>
    <row r="4499" spans="29:120" x14ac:dyDescent="0.25">
      <c r="AC4499" s="122" t="s">
        <v>328</v>
      </c>
      <c r="AD4499" s="122" t="s">
        <v>1814</v>
      </c>
      <c r="AE4499" s="127">
        <v>8</v>
      </c>
      <c r="DA4499" s="122" t="s">
        <v>27</v>
      </c>
      <c r="DB4499" s="122" t="s">
        <v>8582</v>
      </c>
      <c r="DC4499" s="122" t="s">
        <v>370</v>
      </c>
      <c r="DD4499" s="127">
        <v>2</v>
      </c>
      <c r="DE4499" s="127">
        <v>2</v>
      </c>
      <c r="DG4499" s="405" t="s">
        <v>27</v>
      </c>
      <c r="DH4499" s="406" t="s">
        <v>370</v>
      </c>
      <c r="DI4499" s="406" t="str">
        <f t="shared" si="102"/>
        <v>SC, Erval Velho</v>
      </c>
      <c r="DJ4499" s="406">
        <v>-27.276</v>
      </c>
      <c r="DK4499" s="80">
        <v>-51.442</v>
      </c>
      <c r="DL4499" s="80">
        <v>674</v>
      </c>
      <c r="DM4499" s="64">
        <v>2</v>
      </c>
      <c r="DN4499" s="406" t="s">
        <v>8250</v>
      </c>
      <c r="DO4499" s="406">
        <v>-27.17</v>
      </c>
      <c r="DP4499" s="80">
        <v>776</v>
      </c>
    </row>
    <row r="4500" spans="29:120" x14ac:dyDescent="0.25">
      <c r="AC4500" s="122" t="s">
        <v>328</v>
      </c>
      <c r="AD4500" s="122" t="s">
        <v>4740</v>
      </c>
      <c r="AE4500" s="127">
        <v>8</v>
      </c>
      <c r="DA4500" s="122" t="s">
        <v>27</v>
      </c>
      <c r="DB4500" s="122" t="s">
        <v>8583</v>
      </c>
      <c r="DC4500" s="122" t="s">
        <v>413</v>
      </c>
      <c r="DD4500" s="127">
        <v>2</v>
      </c>
      <c r="DE4500" s="127">
        <v>2</v>
      </c>
      <c r="DG4500" s="405" t="s">
        <v>27</v>
      </c>
      <c r="DH4500" s="406" t="s">
        <v>413</v>
      </c>
      <c r="DI4500" s="406" t="str">
        <f t="shared" si="102"/>
        <v>SC, Faxinal dos Guedes</v>
      </c>
      <c r="DJ4500" s="406">
        <v>-26.853000000000002</v>
      </c>
      <c r="DK4500" s="80">
        <v>-52.26</v>
      </c>
      <c r="DL4500" s="80">
        <v>1005</v>
      </c>
      <c r="DM4500" s="64">
        <v>2</v>
      </c>
      <c r="DN4500" s="406" t="s">
        <v>8534</v>
      </c>
      <c r="DO4500" s="406">
        <v>-26.94</v>
      </c>
      <c r="DP4500" s="80">
        <v>889</v>
      </c>
    </row>
    <row r="4501" spans="29:120" x14ac:dyDescent="0.25">
      <c r="AC4501" s="122" t="s">
        <v>357</v>
      </c>
      <c r="AD4501" s="122" t="s">
        <v>4741</v>
      </c>
      <c r="AE4501" s="127">
        <v>8</v>
      </c>
      <c r="DA4501" s="122" t="s">
        <v>27</v>
      </c>
      <c r="DB4501" s="122" t="s">
        <v>8584</v>
      </c>
      <c r="DC4501" s="122" t="s">
        <v>1331</v>
      </c>
      <c r="DD4501" s="127">
        <v>2</v>
      </c>
      <c r="DE4501" s="127">
        <v>2</v>
      </c>
      <c r="DG4501" s="405" t="s">
        <v>27</v>
      </c>
      <c r="DH4501" s="406" t="s">
        <v>1331</v>
      </c>
      <c r="DI4501" s="406" t="str">
        <f t="shared" si="102"/>
        <v>SC, Flor do Sertão</v>
      </c>
      <c r="DJ4501" s="406">
        <v>-26.777999999999999</v>
      </c>
      <c r="DK4501" s="80">
        <v>-53.347000000000001</v>
      </c>
      <c r="DL4501" s="80">
        <v>302</v>
      </c>
      <c r="DM4501" s="64">
        <v>2</v>
      </c>
      <c r="DN4501" s="406" t="s">
        <v>8539</v>
      </c>
      <c r="DO4501" s="406">
        <v>-26.78</v>
      </c>
      <c r="DP4501" s="80">
        <v>665</v>
      </c>
    </row>
    <row r="4502" spans="29:120" x14ac:dyDescent="0.25">
      <c r="AC4502" s="122" t="s">
        <v>357</v>
      </c>
      <c r="AD4502" s="122" t="s">
        <v>4742</v>
      </c>
      <c r="AE4502" s="127">
        <v>7</v>
      </c>
      <c r="DA4502" s="122" t="s">
        <v>27</v>
      </c>
      <c r="DB4502" s="122" t="s">
        <v>29</v>
      </c>
      <c r="DC4502" s="122" t="s">
        <v>29</v>
      </c>
      <c r="DD4502" s="127">
        <v>3</v>
      </c>
      <c r="DE4502" s="127">
        <v>3</v>
      </c>
      <c r="DG4502" s="405" t="s">
        <v>27</v>
      </c>
      <c r="DH4502" s="406" t="s">
        <v>29</v>
      </c>
      <c r="DI4502" s="406" t="str">
        <f t="shared" si="102"/>
        <v>SC, Florianópolis</v>
      </c>
      <c r="DJ4502" s="406">
        <v>-27.597000000000001</v>
      </c>
      <c r="DK4502" s="80">
        <v>-48.548999999999999</v>
      </c>
      <c r="DL4502" s="80">
        <v>3</v>
      </c>
      <c r="DM4502" s="64">
        <v>3</v>
      </c>
      <c r="DN4502" t="s">
        <v>10336</v>
      </c>
      <c r="DO4502" s="406">
        <v>-27.6</v>
      </c>
      <c r="DP4502" s="80">
        <v>2</v>
      </c>
    </row>
    <row r="4503" spans="29:120" x14ac:dyDescent="0.25">
      <c r="AC4503" s="122" t="s">
        <v>372</v>
      </c>
      <c r="AD4503" s="122" t="s">
        <v>4743</v>
      </c>
      <c r="AE4503" s="127">
        <v>8</v>
      </c>
      <c r="DA4503" s="122" t="s">
        <v>27</v>
      </c>
      <c r="DB4503" s="122" t="s">
        <v>8585</v>
      </c>
      <c r="DC4503" s="122" t="s">
        <v>1115</v>
      </c>
      <c r="DD4503" s="127">
        <v>2</v>
      </c>
      <c r="DE4503" s="127">
        <v>2</v>
      </c>
      <c r="DG4503" s="405" t="s">
        <v>27</v>
      </c>
      <c r="DH4503" s="406" t="s">
        <v>1115</v>
      </c>
      <c r="DI4503" s="406" t="str">
        <f t="shared" si="102"/>
        <v>SC, Formosa do Sul</v>
      </c>
      <c r="DJ4503" s="406">
        <v>-26.646999999999998</v>
      </c>
      <c r="DK4503" s="80">
        <v>-52.793999999999997</v>
      </c>
      <c r="DL4503" s="80">
        <v>500</v>
      </c>
      <c r="DM4503" s="64">
        <v>2</v>
      </c>
      <c r="DN4503" s="406" t="s">
        <v>7844</v>
      </c>
      <c r="DO4503" s="406">
        <v>-26.41</v>
      </c>
      <c r="DP4503" s="80">
        <v>960</v>
      </c>
    </row>
    <row r="4504" spans="29:120" x14ac:dyDescent="0.25">
      <c r="AC4504" s="122" t="s">
        <v>328</v>
      </c>
      <c r="AD4504" s="122" t="s">
        <v>4744</v>
      </c>
      <c r="AE4504" s="127">
        <v>8</v>
      </c>
      <c r="DA4504" s="122" t="s">
        <v>27</v>
      </c>
      <c r="DB4504" s="122" t="s">
        <v>3222</v>
      </c>
      <c r="DC4504" s="122" t="s">
        <v>3222</v>
      </c>
      <c r="DD4504" s="127">
        <v>2</v>
      </c>
      <c r="DE4504" s="127">
        <v>2</v>
      </c>
      <c r="DG4504" s="405" t="s">
        <v>27</v>
      </c>
      <c r="DH4504" s="406" t="s">
        <v>3222</v>
      </c>
      <c r="DI4504" s="406" t="str">
        <f t="shared" si="102"/>
        <v>SC, Forquilhinha</v>
      </c>
      <c r="DJ4504" s="406">
        <v>-28.747</v>
      </c>
      <c r="DK4504" s="80">
        <v>-49.472000000000001</v>
      </c>
      <c r="DL4504" s="80">
        <v>42</v>
      </c>
      <c r="DM4504" s="64">
        <v>2</v>
      </c>
      <c r="DN4504" s="406" t="s">
        <v>8543</v>
      </c>
      <c r="DO4504" s="406">
        <v>-28.93</v>
      </c>
      <c r="DP4504" s="80">
        <v>12</v>
      </c>
    </row>
    <row r="4505" spans="29:120" x14ac:dyDescent="0.25">
      <c r="AC4505" s="122" t="s">
        <v>357</v>
      </c>
      <c r="AD4505" s="122" t="s">
        <v>4745</v>
      </c>
      <c r="AE4505" s="127">
        <v>8</v>
      </c>
      <c r="DA4505" s="122" t="s">
        <v>27</v>
      </c>
      <c r="DB4505" s="122" t="s">
        <v>1624</v>
      </c>
      <c r="DC4505" s="122" t="s">
        <v>1624</v>
      </c>
      <c r="DD4505" s="127">
        <v>2</v>
      </c>
      <c r="DE4505" s="127">
        <v>2</v>
      </c>
      <c r="DG4505" s="405" t="s">
        <v>27</v>
      </c>
      <c r="DH4505" s="406" t="s">
        <v>1624</v>
      </c>
      <c r="DI4505" s="406" t="str">
        <f t="shared" si="102"/>
        <v>SC, Fraiburgo</v>
      </c>
      <c r="DJ4505" s="406">
        <v>-27.026</v>
      </c>
      <c r="DK4505" s="80">
        <v>-50.920999999999999</v>
      </c>
      <c r="DL4505" s="80">
        <v>1048</v>
      </c>
      <c r="DM4505" s="64">
        <v>2</v>
      </c>
      <c r="DN4505" s="406" t="s">
        <v>8561</v>
      </c>
      <c r="DO4505" s="406">
        <v>-26.82</v>
      </c>
      <c r="DP4505" s="80">
        <v>952</v>
      </c>
    </row>
    <row r="4506" spans="29:120" x14ac:dyDescent="0.25">
      <c r="AC4506" s="122" t="s">
        <v>357</v>
      </c>
      <c r="AD4506" s="122" t="s">
        <v>4746</v>
      </c>
      <c r="AE4506" s="127">
        <v>7</v>
      </c>
      <c r="DA4506" s="122" t="s">
        <v>27</v>
      </c>
      <c r="DB4506" s="122" t="s">
        <v>8586</v>
      </c>
      <c r="DC4506" s="122" t="s">
        <v>1312</v>
      </c>
      <c r="DD4506" s="127">
        <v>2</v>
      </c>
      <c r="DE4506" s="127">
        <v>2</v>
      </c>
      <c r="DG4506" s="405" t="s">
        <v>27</v>
      </c>
      <c r="DH4506" s="406" t="s">
        <v>1312</v>
      </c>
      <c r="DI4506" s="406" t="str">
        <f t="shared" si="102"/>
        <v>SC, Frei Rogério</v>
      </c>
      <c r="DJ4506" s="406">
        <v>-27.175000000000001</v>
      </c>
      <c r="DK4506" s="80">
        <v>-50.805</v>
      </c>
      <c r="DL4506" s="80">
        <v>950</v>
      </c>
      <c r="DM4506" s="64">
        <v>2</v>
      </c>
      <c r="DN4506" s="406" t="s">
        <v>8528</v>
      </c>
      <c r="DO4506" s="406">
        <v>-27.29</v>
      </c>
      <c r="DP4506" s="80">
        <v>982</v>
      </c>
    </row>
    <row r="4507" spans="29:120" x14ac:dyDescent="0.25">
      <c r="AC4507" s="122" t="s">
        <v>357</v>
      </c>
      <c r="AD4507" s="122" t="s">
        <v>4747</v>
      </c>
      <c r="AE4507" s="127">
        <v>8</v>
      </c>
      <c r="DA4507" s="122" t="s">
        <v>27</v>
      </c>
      <c r="DB4507" s="122" t="s">
        <v>1096</v>
      </c>
      <c r="DC4507" s="122" t="s">
        <v>1096</v>
      </c>
      <c r="DD4507" s="127">
        <v>2</v>
      </c>
      <c r="DE4507" s="127">
        <v>2</v>
      </c>
      <c r="DG4507" s="405" t="s">
        <v>27</v>
      </c>
      <c r="DH4507" s="406" t="s">
        <v>1096</v>
      </c>
      <c r="DI4507" s="406" t="str">
        <f t="shared" si="102"/>
        <v>SC, Galvão</v>
      </c>
      <c r="DJ4507" s="406">
        <v>-26.454999999999998</v>
      </c>
      <c r="DK4507" s="80">
        <v>-52.686</v>
      </c>
      <c r="DL4507" s="80">
        <v>655</v>
      </c>
      <c r="DM4507" s="64">
        <v>2</v>
      </c>
      <c r="DN4507" s="406" t="s">
        <v>7844</v>
      </c>
      <c r="DO4507" s="406">
        <v>-26.41</v>
      </c>
      <c r="DP4507" s="80">
        <v>960</v>
      </c>
    </row>
    <row r="4508" spans="29:120" x14ac:dyDescent="0.25">
      <c r="AC4508" s="122" t="s">
        <v>328</v>
      </c>
      <c r="AD4508" s="122" t="s">
        <v>4748</v>
      </c>
      <c r="AE4508" s="127">
        <v>8</v>
      </c>
      <c r="DA4508" s="122" t="s">
        <v>27</v>
      </c>
      <c r="DB4508" s="122" t="s">
        <v>337</v>
      </c>
      <c r="DC4508" s="122" t="s">
        <v>337</v>
      </c>
      <c r="DD4508" s="127">
        <v>3</v>
      </c>
      <c r="DE4508" s="127">
        <v>3</v>
      </c>
      <c r="DG4508" s="405" t="s">
        <v>27</v>
      </c>
      <c r="DH4508" s="406" t="s">
        <v>337</v>
      </c>
      <c r="DI4508" s="406" t="str">
        <f t="shared" si="102"/>
        <v>SC, Garopaba</v>
      </c>
      <c r="DJ4508" s="406">
        <v>-28.023</v>
      </c>
      <c r="DK4508" s="80">
        <v>-48.613</v>
      </c>
      <c r="DL4508" s="80">
        <v>18</v>
      </c>
      <c r="DM4508" s="64">
        <v>3</v>
      </c>
      <c r="DN4508" s="406" t="s">
        <v>8536</v>
      </c>
      <c r="DO4508" s="406">
        <v>-27.6</v>
      </c>
      <c r="DP4508" s="80">
        <v>2</v>
      </c>
    </row>
    <row r="4509" spans="29:120" x14ac:dyDescent="0.25">
      <c r="AC4509" s="122" t="s">
        <v>357</v>
      </c>
      <c r="AD4509" s="122" t="s">
        <v>1884</v>
      </c>
      <c r="AE4509" s="127">
        <v>8</v>
      </c>
      <c r="DA4509" s="122" t="s">
        <v>27</v>
      </c>
      <c r="DB4509" s="122" t="s">
        <v>457</v>
      </c>
      <c r="DC4509" s="122" t="s">
        <v>457</v>
      </c>
      <c r="DD4509" s="127">
        <v>5</v>
      </c>
      <c r="DE4509" s="127">
        <v>5</v>
      </c>
      <c r="DG4509" s="405" t="s">
        <v>27</v>
      </c>
      <c r="DH4509" s="406" t="s">
        <v>457</v>
      </c>
      <c r="DI4509" s="406" t="str">
        <f t="shared" si="102"/>
        <v>SC, Garuva</v>
      </c>
      <c r="DJ4509" s="406">
        <v>-26.027000000000001</v>
      </c>
      <c r="DK4509" s="80">
        <v>-48.854999999999997</v>
      </c>
      <c r="DL4509" s="80">
        <v>25</v>
      </c>
      <c r="DM4509" s="64">
        <v>5</v>
      </c>
      <c r="DN4509" s="406" t="s">
        <v>7896</v>
      </c>
      <c r="DO4509" s="406">
        <v>-26.12</v>
      </c>
      <c r="DP4509" s="80">
        <v>2</v>
      </c>
    </row>
    <row r="4510" spans="29:120" x14ac:dyDescent="0.25">
      <c r="AC4510" s="122" t="s">
        <v>340</v>
      </c>
      <c r="AD4510" s="122" t="s">
        <v>4749</v>
      </c>
      <c r="AE4510" s="127">
        <v>7</v>
      </c>
      <c r="DA4510" s="122" t="s">
        <v>27</v>
      </c>
      <c r="DB4510" s="122" t="s">
        <v>3065</v>
      </c>
      <c r="DC4510" s="122" t="s">
        <v>3065</v>
      </c>
      <c r="DD4510" s="127">
        <v>3</v>
      </c>
      <c r="DE4510" s="127">
        <v>3</v>
      </c>
      <c r="DG4510" s="405" t="s">
        <v>27</v>
      </c>
      <c r="DH4510" s="406" t="s">
        <v>3065</v>
      </c>
      <c r="DI4510" s="406" t="str">
        <f t="shared" si="102"/>
        <v>SC, Gaspar</v>
      </c>
      <c r="DJ4510" s="406">
        <v>-26.931000000000001</v>
      </c>
      <c r="DK4510" s="80">
        <v>-48.959000000000003</v>
      </c>
      <c r="DL4510" s="80">
        <v>18</v>
      </c>
      <c r="DM4510" s="64">
        <v>3</v>
      </c>
      <c r="DN4510" s="406" t="s">
        <v>8542</v>
      </c>
      <c r="DO4510" s="406">
        <v>-26.92</v>
      </c>
      <c r="DP4510" s="80">
        <v>86</v>
      </c>
    </row>
    <row r="4511" spans="29:120" x14ac:dyDescent="0.25">
      <c r="AC4511" s="122" t="s">
        <v>300</v>
      </c>
      <c r="AD4511" s="122" t="s">
        <v>4750</v>
      </c>
      <c r="AE4511" s="127">
        <v>7</v>
      </c>
      <c r="DA4511" s="122" t="s">
        <v>27</v>
      </c>
      <c r="DB4511" s="122" t="s">
        <v>8587</v>
      </c>
      <c r="DC4511" s="122" t="s">
        <v>1306</v>
      </c>
      <c r="DD4511" s="127">
        <v>3</v>
      </c>
      <c r="DE4511" s="127">
        <v>3</v>
      </c>
      <c r="DG4511" s="405" t="s">
        <v>27</v>
      </c>
      <c r="DH4511" s="406" t="s">
        <v>1306</v>
      </c>
      <c r="DI4511" s="406" t="str">
        <f t="shared" si="102"/>
        <v>SC, Governador Celso Ramos</v>
      </c>
      <c r="DJ4511" s="406">
        <v>-27.315000000000001</v>
      </c>
      <c r="DK4511" s="80">
        <v>-48.558999999999997</v>
      </c>
      <c r="DL4511" s="80">
        <v>40</v>
      </c>
      <c r="DM4511" s="64">
        <v>3</v>
      </c>
      <c r="DN4511" s="406" t="s">
        <v>8536</v>
      </c>
      <c r="DO4511" s="406">
        <v>-27.6</v>
      </c>
      <c r="DP4511" s="80">
        <v>2</v>
      </c>
    </row>
    <row r="4512" spans="29:120" x14ac:dyDescent="0.25">
      <c r="AC4512" s="122" t="s">
        <v>300</v>
      </c>
      <c r="AD4512" s="122" t="s">
        <v>4751</v>
      </c>
      <c r="AE4512" s="127">
        <v>7</v>
      </c>
      <c r="DA4512" s="122" t="s">
        <v>27</v>
      </c>
      <c r="DB4512" s="122" t="s">
        <v>8588</v>
      </c>
      <c r="DC4512" s="122" t="s">
        <v>1114</v>
      </c>
      <c r="DD4512" s="127">
        <v>2</v>
      </c>
      <c r="DE4512" s="127">
        <v>2</v>
      </c>
      <c r="DG4512" s="405" t="s">
        <v>27</v>
      </c>
      <c r="DH4512" s="406" t="s">
        <v>1114</v>
      </c>
      <c r="DI4512" s="406" t="str">
        <f t="shared" si="102"/>
        <v>SC, Grão Pará</v>
      </c>
      <c r="DJ4512" s="406">
        <v>-28.184999999999999</v>
      </c>
      <c r="DK4512" s="80">
        <v>-49.215000000000003</v>
      </c>
      <c r="DL4512" s="80">
        <v>110</v>
      </c>
      <c r="DM4512" s="64">
        <v>2</v>
      </c>
      <c r="DN4512" s="406" t="s">
        <v>8541</v>
      </c>
      <c r="DO4512" s="406">
        <v>-28.13</v>
      </c>
      <c r="DP4512" s="80">
        <v>1810</v>
      </c>
    </row>
    <row r="4513" spans="29:120" x14ac:dyDescent="0.25">
      <c r="AC4513" s="122" t="s">
        <v>344</v>
      </c>
      <c r="AD4513" s="122" t="s">
        <v>4752</v>
      </c>
      <c r="AE4513" s="127">
        <v>8</v>
      </c>
      <c r="DA4513" s="122" t="s">
        <v>27</v>
      </c>
      <c r="DB4513" s="122" t="s">
        <v>1159</v>
      </c>
      <c r="DC4513" s="122" t="s">
        <v>1159</v>
      </c>
      <c r="DD4513" s="127">
        <v>2</v>
      </c>
      <c r="DE4513" s="127">
        <v>2</v>
      </c>
      <c r="DG4513" s="405" t="s">
        <v>27</v>
      </c>
      <c r="DH4513" s="406" t="s">
        <v>1159</v>
      </c>
      <c r="DI4513" s="406" t="str">
        <f t="shared" si="102"/>
        <v>SC, Gravatal</v>
      </c>
      <c r="DJ4513" s="406">
        <v>-28.331</v>
      </c>
      <c r="DK4513" s="80">
        <v>-49.034999999999997</v>
      </c>
      <c r="DL4513" s="80">
        <v>30</v>
      </c>
      <c r="DM4513" s="64">
        <v>2</v>
      </c>
      <c r="DN4513" s="406" t="s">
        <v>8544</v>
      </c>
      <c r="DO4513" s="406">
        <v>-28.53</v>
      </c>
      <c r="DP4513" s="80">
        <v>48</v>
      </c>
    </row>
    <row r="4514" spans="29:120" x14ac:dyDescent="0.25">
      <c r="AC4514" s="122" t="s">
        <v>357</v>
      </c>
      <c r="AD4514" s="122" t="s">
        <v>4753</v>
      </c>
      <c r="AE4514" s="127">
        <v>7</v>
      </c>
      <c r="DA4514" s="122" t="s">
        <v>27</v>
      </c>
      <c r="DB4514" s="122" t="s">
        <v>1167</v>
      </c>
      <c r="DC4514" s="122" t="s">
        <v>1167</v>
      </c>
      <c r="DD4514" s="127">
        <v>3</v>
      </c>
      <c r="DE4514" s="127">
        <v>3</v>
      </c>
      <c r="DG4514" s="405" t="s">
        <v>27</v>
      </c>
      <c r="DH4514" s="406" t="s">
        <v>1167</v>
      </c>
      <c r="DI4514" s="406" t="str">
        <f t="shared" si="102"/>
        <v>SC, Guabiruba</v>
      </c>
      <c r="DJ4514" s="406">
        <v>-27.085999999999999</v>
      </c>
      <c r="DK4514" s="80">
        <v>-48.981000000000002</v>
      </c>
      <c r="DL4514" s="80">
        <v>60</v>
      </c>
      <c r="DM4514" s="64">
        <v>3</v>
      </c>
      <c r="DN4514" s="406" t="s">
        <v>8542</v>
      </c>
      <c r="DO4514" s="406">
        <v>-26.92</v>
      </c>
      <c r="DP4514" s="80">
        <v>86</v>
      </c>
    </row>
    <row r="4515" spans="29:120" x14ac:dyDescent="0.25">
      <c r="AC4515" s="122" t="s">
        <v>344</v>
      </c>
      <c r="AD4515" s="122" t="s">
        <v>4754</v>
      </c>
      <c r="AE4515" s="127">
        <v>8</v>
      </c>
      <c r="DA4515" s="122" t="s">
        <v>27</v>
      </c>
      <c r="DB4515" s="122" t="s">
        <v>557</v>
      </c>
      <c r="DC4515" s="122" t="s">
        <v>557</v>
      </c>
      <c r="DD4515" s="127">
        <v>2</v>
      </c>
      <c r="DE4515" s="127">
        <v>2</v>
      </c>
      <c r="DG4515" s="405" t="s">
        <v>27</v>
      </c>
      <c r="DH4515" s="406" t="s">
        <v>557</v>
      </c>
      <c r="DI4515" s="406" t="str">
        <f t="shared" si="102"/>
        <v>SC, Guaraciaba</v>
      </c>
      <c r="DJ4515" s="406">
        <v>-26.599</v>
      </c>
      <c r="DK4515" s="80">
        <v>-53.518000000000001</v>
      </c>
      <c r="DL4515" s="80">
        <v>670</v>
      </c>
      <c r="DM4515" s="64">
        <v>2</v>
      </c>
      <c r="DN4515" s="406" t="s">
        <v>8539</v>
      </c>
      <c r="DO4515" s="406">
        <v>-26.78</v>
      </c>
      <c r="DP4515" s="80">
        <v>665</v>
      </c>
    </row>
    <row r="4516" spans="29:120" x14ac:dyDescent="0.25">
      <c r="AC4516" s="122" t="s">
        <v>357</v>
      </c>
      <c r="AD4516" s="122" t="s">
        <v>4755</v>
      </c>
      <c r="AE4516" s="127">
        <v>7</v>
      </c>
      <c r="DA4516" s="122" t="s">
        <v>27</v>
      </c>
      <c r="DB4516" s="122" t="s">
        <v>3125</v>
      </c>
      <c r="DC4516" s="122" t="s">
        <v>3125</v>
      </c>
      <c r="DD4516" s="127">
        <v>3</v>
      </c>
      <c r="DE4516" s="127">
        <v>3</v>
      </c>
      <c r="DG4516" s="405" t="s">
        <v>27</v>
      </c>
      <c r="DH4516" s="406" t="s">
        <v>3125</v>
      </c>
      <c r="DI4516" s="406" t="str">
        <f t="shared" si="102"/>
        <v>SC, Guaramirim</v>
      </c>
      <c r="DJ4516" s="406">
        <v>-26.472999999999999</v>
      </c>
      <c r="DK4516" s="80">
        <v>-49.003</v>
      </c>
      <c r="DL4516" s="80">
        <v>30</v>
      </c>
      <c r="DM4516" s="64">
        <v>3</v>
      </c>
      <c r="DN4516" s="406" t="s">
        <v>8542</v>
      </c>
      <c r="DO4516" s="406">
        <v>-26.92</v>
      </c>
      <c r="DP4516" s="80">
        <v>86</v>
      </c>
    </row>
    <row r="4517" spans="29:120" x14ac:dyDescent="0.25">
      <c r="AC4517" s="122" t="s">
        <v>328</v>
      </c>
      <c r="AD4517" s="122" t="s">
        <v>4756</v>
      </c>
      <c r="AE4517" s="127">
        <v>8</v>
      </c>
      <c r="DA4517" s="122" t="s">
        <v>27</v>
      </c>
      <c r="DB4517" s="122" t="s">
        <v>8589</v>
      </c>
      <c r="DC4517" s="122" t="s">
        <v>1314</v>
      </c>
      <c r="DD4517" s="127">
        <v>2</v>
      </c>
      <c r="DE4517" s="127">
        <v>2</v>
      </c>
      <c r="DG4517" s="405" t="s">
        <v>27</v>
      </c>
      <c r="DH4517" s="406" t="s">
        <v>1314</v>
      </c>
      <c r="DI4517" s="406" t="str">
        <f t="shared" si="102"/>
        <v>SC, Guarujá do Sul</v>
      </c>
      <c r="DJ4517" s="406">
        <v>-26.385000000000002</v>
      </c>
      <c r="DK4517" s="80">
        <v>-53.527999999999999</v>
      </c>
      <c r="DL4517" s="80">
        <v>707</v>
      </c>
      <c r="DM4517" s="64">
        <v>2</v>
      </c>
      <c r="DN4517" s="406" t="s">
        <v>7833</v>
      </c>
      <c r="DO4517" s="406">
        <v>-26.29</v>
      </c>
      <c r="DP4517" s="80">
        <v>810</v>
      </c>
    </row>
    <row r="4518" spans="29:120" x14ac:dyDescent="0.25">
      <c r="AC4518" s="122" t="s">
        <v>328</v>
      </c>
      <c r="AD4518" s="122" t="s">
        <v>4757</v>
      </c>
      <c r="AE4518" s="127">
        <v>8</v>
      </c>
      <c r="DA4518" s="122" t="s">
        <v>27</v>
      </c>
      <c r="DB4518" s="122" t="s">
        <v>1563</v>
      </c>
      <c r="DC4518" s="122" t="s">
        <v>1563</v>
      </c>
      <c r="DD4518" s="127">
        <v>2</v>
      </c>
      <c r="DE4518" s="127">
        <v>2</v>
      </c>
      <c r="DG4518" s="405" t="s">
        <v>27</v>
      </c>
      <c r="DH4518" s="406" t="s">
        <v>5754</v>
      </c>
      <c r="DI4518" s="406" t="str">
        <f t="shared" si="102"/>
        <v>SC, Guatambú</v>
      </c>
      <c r="DJ4518" s="406">
        <v>-27.132000000000001</v>
      </c>
      <c r="DK4518" s="80">
        <v>-52.786999999999999</v>
      </c>
      <c r="DL4518" s="80">
        <v>530</v>
      </c>
      <c r="DM4518" s="64">
        <v>2</v>
      </c>
      <c r="DN4518" s="406" t="s">
        <v>8534</v>
      </c>
      <c r="DO4518" s="406">
        <v>-26.94</v>
      </c>
      <c r="DP4518" s="80">
        <v>889</v>
      </c>
    </row>
    <row r="4519" spans="29:120" x14ac:dyDescent="0.25">
      <c r="AC4519" s="122" t="s">
        <v>328</v>
      </c>
      <c r="AD4519" s="122" t="s">
        <v>4758</v>
      </c>
      <c r="AE4519" s="127">
        <v>8</v>
      </c>
      <c r="DA4519" s="122" t="s">
        <v>27</v>
      </c>
      <c r="DB4519" s="122" t="s">
        <v>8590</v>
      </c>
      <c r="DC4519" s="122" t="s">
        <v>1698</v>
      </c>
      <c r="DD4519" s="127">
        <v>2</v>
      </c>
      <c r="DE4519" s="127">
        <v>2</v>
      </c>
      <c r="DG4519" s="405" t="s">
        <v>27</v>
      </c>
      <c r="DH4519" s="406" t="s">
        <v>1698</v>
      </c>
      <c r="DI4519" s="406" t="str">
        <f t="shared" si="102"/>
        <v>SC, Herval d'Oeste</v>
      </c>
      <c r="DJ4519" s="406">
        <v>-27.193999999999999</v>
      </c>
      <c r="DK4519" s="80">
        <v>-51.494999999999997</v>
      </c>
      <c r="DL4519" s="80">
        <v>523</v>
      </c>
      <c r="DM4519" s="64">
        <v>2</v>
      </c>
      <c r="DN4519" s="406" t="s">
        <v>8250</v>
      </c>
      <c r="DO4519" s="406">
        <v>-27.17</v>
      </c>
      <c r="DP4519" s="80">
        <v>776</v>
      </c>
    </row>
    <row r="4520" spans="29:120" x14ac:dyDescent="0.25">
      <c r="AC4520" s="122" t="s">
        <v>357</v>
      </c>
      <c r="AD4520" s="122" t="s">
        <v>4759</v>
      </c>
      <c r="AE4520" s="127">
        <v>7</v>
      </c>
      <c r="DA4520" s="122" t="s">
        <v>27</v>
      </c>
      <c r="DB4520" s="122" t="s">
        <v>1455</v>
      </c>
      <c r="DC4520" s="122" t="s">
        <v>1455</v>
      </c>
      <c r="DD4520" s="127">
        <v>2</v>
      </c>
      <c r="DE4520" s="127">
        <v>2</v>
      </c>
      <c r="DG4520" s="405" t="s">
        <v>27</v>
      </c>
      <c r="DH4520" s="406" t="s">
        <v>1455</v>
      </c>
      <c r="DI4520" s="406" t="str">
        <f t="shared" si="102"/>
        <v>SC, Ibiam</v>
      </c>
      <c r="DJ4520" s="406">
        <v>-27.181000000000001</v>
      </c>
      <c r="DK4520" s="80">
        <v>-51.237000000000002</v>
      </c>
      <c r="DL4520" s="80">
        <v>724</v>
      </c>
      <c r="DM4520" s="64">
        <v>2</v>
      </c>
      <c r="DN4520" s="406" t="s">
        <v>8250</v>
      </c>
      <c r="DO4520" s="406">
        <v>-27.17</v>
      </c>
      <c r="DP4520" s="80">
        <v>776</v>
      </c>
    </row>
    <row r="4521" spans="29:120" x14ac:dyDescent="0.25">
      <c r="AC4521" s="122" t="s">
        <v>393</v>
      </c>
      <c r="AD4521" s="122" t="s">
        <v>3632</v>
      </c>
      <c r="AE4521" s="127">
        <v>7</v>
      </c>
      <c r="DA4521" s="122" t="s">
        <v>27</v>
      </c>
      <c r="DB4521" s="122" t="s">
        <v>1511</v>
      </c>
      <c r="DC4521" s="122" t="s">
        <v>1511</v>
      </c>
      <c r="DD4521" s="127">
        <v>2</v>
      </c>
      <c r="DE4521" s="127">
        <v>2</v>
      </c>
      <c r="DG4521" s="405" t="s">
        <v>27</v>
      </c>
      <c r="DH4521" s="406" t="s">
        <v>1511</v>
      </c>
      <c r="DI4521" s="406" t="str">
        <f t="shared" si="102"/>
        <v>SC, Ibicaré</v>
      </c>
      <c r="DJ4521" s="406">
        <v>-27.091999999999999</v>
      </c>
      <c r="DK4521" s="80">
        <v>-51.365000000000002</v>
      </c>
      <c r="DL4521" s="80">
        <v>550</v>
      </c>
      <c r="DM4521" s="64">
        <v>2</v>
      </c>
      <c r="DN4521" s="406" t="s">
        <v>8250</v>
      </c>
      <c r="DO4521" s="406">
        <v>-27.17</v>
      </c>
      <c r="DP4521" s="80">
        <v>776</v>
      </c>
    </row>
    <row r="4522" spans="29:120" x14ac:dyDescent="0.25">
      <c r="AC4522" s="122" t="s">
        <v>357</v>
      </c>
      <c r="AD4522" s="122" t="s">
        <v>4760</v>
      </c>
      <c r="AE4522" s="127">
        <v>8</v>
      </c>
      <c r="DA4522" s="122" t="s">
        <v>27</v>
      </c>
      <c r="DB4522" s="122" t="s">
        <v>1317</v>
      </c>
      <c r="DC4522" s="122" t="s">
        <v>1317</v>
      </c>
      <c r="DD4522" s="127">
        <v>3</v>
      </c>
      <c r="DE4522" s="127">
        <v>3</v>
      </c>
      <c r="DG4522" s="405" t="s">
        <v>27</v>
      </c>
      <c r="DH4522" s="406" t="s">
        <v>1317</v>
      </c>
      <c r="DI4522" s="406" t="str">
        <f t="shared" si="102"/>
        <v>SC, Ibirama</v>
      </c>
      <c r="DJ4522" s="406">
        <v>-27.056999999999999</v>
      </c>
      <c r="DK4522" s="80">
        <v>-49.518000000000001</v>
      </c>
      <c r="DL4522" s="80">
        <v>150</v>
      </c>
      <c r="DM4522" s="64">
        <v>3</v>
      </c>
      <c r="DN4522" s="406" t="s">
        <v>8542</v>
      </c>
      <c r="DO4522" s="406">
        <v>-26.92</v>
      </c>
      <c r="DP4522" s="80">
        <v>86</v>
      </c>
    </row>
    <row r="4523" spans="29:120" x14ac:dyDescent="0.25">
      <c r="AC4523" s="122" t="s">
        <v>328</v>
      </c>
      <c r="AD4523" s="122" t="s">
        <v>4761</v>
      </c>
      <c r="AE4523" s="127">
        <v>8</v>
      </c>
      <c r="DA4523" s="122" t="s">
        <v>27</v>
      </c>
      <c r="DB4523" s="122" t="s">
        <v>1397</v>
      </c>
      <c r="DC4523" s="122" t="s">
        <v>1397</v>
      </c>
      <c r="DD4523" s="127">
        <v>2</v>
      </c>
      <c r="DE4523" s="127">
        <v>2</v>
      </c>
      <c r="DG4523" s="405" t="s">
        <v>27</v>
      </c>
      <c r="DH4523" s="406" t="s">
        <v>1397</v>
      </c>
      <c r="DI4523" s="406" t="str">
        <f t="shared" si="102"/>
        <v>SC, Içara</v>
      </c>
      <c r="DJ4523" s="406">
        <v>-28.713000000000001</v>
      </c>
      <c r="DK4523" s="80">
        <v>-49.3</v>
      </c>
      <c r="DL4523" s="80">
        <v>48</v>
      </c>
      <c r="DM4523" s="64">
        <v>2</v>
      </c>
      <c r="DN4523" s="406" t="s">
        <v>8544</v>
      </c>
      <c r="DO4523" s="406">
        <v>-28.53</v>
      </c>
      <c r="DP4523" s="80">
        <v>48</v>
      </c>
    </row>
    <row r="4524" spans="29:120" x14ac:dyDescent="0.25">
      <c r="AC4524" s="122" t="s">
        <v>289</v>
      </c>
      <c r="AD4524" s="122" t="s">
        <v>4762</v>
      </c>
      <c r="AE4524" s="127">
        <v>6</v>
      </c>
      <c r="DA4524" s="122" t="s">
        <v>27</v>
      </c>
      <c r="DB4524" s="122" t="s">
        <v>3134</v>
      </c>
      <c r="DC4524" s="122" t="s">
        <v>3134</v>
      </c>
      <c r="DD4524" s="127">
        <v>3</v>
      </c>
      <c r="DE4524" s="127">
        <v>3</v>
      </c>
      <c r="DG4524" s="405" t="s">
        <v>27</v>
      </c>
      <c r="DH4524" s="406" t="s">
        <v>3134</v>
      </c>
      <c r="DI4524" s="406" t="str">
        <f t="shared" si="102"/>
        <v>SC, Ilhota</v>
      </c>
      <c r="DJ4524" s="406">
        <v>-26.9</v>
      </c>
      <c r="DK4524" s="80">
        <v>-48.826999999999998</v>
      </c>
      <c r="DL4524" s="80">
        <v>15</v>
      </c>
      <c r="DM4524" s="64">
        <v>3</v>
      </c>
      <c r="DN4524" s="406" t="s">
        <v>8542</v>
      </c>
      <c r="DO4524" s="406">
        <v>-26.92</v>
      </c>
      <c r="DP4524" s="80">
        <v>86</v>
      </c>
    </row>
    <row r="4525" spans="29:120" x14ac:dyDescent="0.25">
      <c r="AC4525" s="122" t="s">
        <v>357</v>
      </c>
      <c r="AD4525" s="122" t="s">
        <v>4763</v>
      </c>
      <c r="AE4525" s="127">
        <v>7</v>
      </c>
      <c r="DA4525" s="122" t="s">
        <v>27</v>
      </c>
      <c r="DB4525" s="122" t="s">
        <v>1093</v>
      </c>
      <c r="DC4525" s="122" t="s">
        <v>1093</v>
      </c>
      <c r="DD4525" s="127">
        <v>2</v>
      </c>
      <c r="DE4525" s="127">
        <v>2</v>
      </c>
      <c r="DG4525" s="405" t="s">
        <v>27</v>
      </c>
      <c r="DH4525" s="406" t="s">
        <v>1093</v>
      </c>
      <c r="DI4525" s="406" t="str">
        <f t="shared" si="102"/>
        <v>SC, Imaruí</v>
      </c>
      <c r="DJ4525" s="406">
        <v>-28.341000000000001</v>
      </c>
      <c r="DK4525" s="80">
        <v>-48.82</v>
      </c>
      <c r="DL4525" s="80">
        <v>6</v>
      </c>
      <c r="DM4525" s="64">
        <v>2</v>
      </c>
      <c r="DN4525" s="406" t="s">
        <v>8568</v>
      </c>
      <c r="DO4525" s="406">
        <v>-28.6</v>
      </c>
      <c r="DP4525" s="80">
        <v>52</v>
      </c>
    </row>
    <row r="4526" spans="29:120" x14ac:dyDescent="0.25">
      <c r="AC4526" s="122" t="s">
        <v>393</v>
      </c>
      <c r="AD4526" s="122" t="s">
        <v>4764</v>
      </c>
      <c r="AE4526" s="127">
        <v>7</v>
      </c>
      <c r="DA4526" s="122" t="s">
        <v>27</v>
      </c>
      <c r="DB4526" s="122" t="s">
        <v>269</v>
      </c>
      <c r="DC4526" s="122" t="s">
        <v>269</v>
      </c>
      <c r="DD4526" s="127">
        <v>2</v>
      </c>
      <c r="DE4526" s="127">
        <v>2</v>
      </c>
      <c r="DG4526" s="405" t="s">
        <v>27</v>
      </c>
      <c r="DH4526" s="406" t="s">
        <v>269</v>
      </c>
      <c r="DI4526" s="406" t="str">
        <f t="shared" si="102"/>
        <v>SC, Imbituba</v>
      </c>
      <c r="DJ4526" s="406">
        <v>-28.24</v>
      </c>
      <c r="DK4526" s="80">
        <v>-48.67</v>
      </c>
      <c r="DL4526" s="80">
        <v>30</v>
      </c>
      <c r="DM4526" s="64">
        <v>2</v>
      </c>
      <c r="DN4526" s="406" t="s">
        <v>8568</v>
      </c>
      <c r="DO4526" s="406">
        <v>-28.6</v>
      </c>
      <c r="DP4526" s="80">
        <v>52</v>
      </c>
    </row>
    <row r="4527" spans="29:120" x14ac:dyDescent="0.25">
      <c r="AC4527" s="122" t="s">
        <v>393</v>
      </c>
      <c r="AD4527" s="122" t="s">
        <v>4765</v>
      </c>
      <c r="AE4527" s="127">
        <v>8</v>
      </c>
      <c r="DA4527" s="122" t="s">
        <v>27</v>
      </c>
      <c r="DB4527" s="122" t="s">
        <v>1269</v>
      </c>
      <c r="DC4527" s="122" t="s">
        <v>1269</v>
      </c>
      <c r="DD4527" s="127">
        <v>3</v>
      </c>
      <c r="DE4527" s="127">
        <v>3</v>
      </c>
      <c r="DG4527" s="405" t="s">
        <v>27</v>
      </c>
      <c r="DH4527" s="406" t="s">
        <v>1269</v>
      </c>
      <c r="DI4527" s="406" t="str">
        <f t="shared" si="102"/>
        <v>SC, Imbuia</v>
      </c>
      <c r="DJ4527" s="406">
        <v>-27.492999999999999</v>
      </c>
      <c r="DK4527" s="80">
        <v>-49.423999999999999</v>
      </c>
      <c r="DL4527" s="80">
        <v>718</v>
      </c>
      <c r="DM4527" s="64">
        <v>3</v>
      </c>
      <c r="DN4527" s="406" t="s">
        <v>8530</v>
      </c>
      <c r="DO4527" s="406">
        <v>-27.42</v>
      </c>
      <c r="DP4527" s="80">
        <v>484</v>
      </c>
    </row>
    <row r="4528" spans="29:120" x14ac:dyDescent="0.25">
      <c r="AC4528" s="122" t="s">
        <v>372</v>
      </c>
      <c r="AD4528" s="122" t="s">
        <v>4766</v>
      </c>
      <c r="AE4528" s="127">
        <v>8</v>
      </c>
      <c r="DA4528" s="122" t="s">
        <v>27</v>
      </c>
      <c r="DB4528" s="122" t="s">
        <v>1375</v>
      </c>
      <c r="DC4528" s="122" t="s">
        <v>1375</v>
      </c>
      <c r="DD4528" s="127">
        <v>3</v>
      </c>
      <c r="DE4528" s="127">
        <v>3</v>
      </c>
      <c r="DG4528" s="405" t="s">
        <v>27</v>
      </c>
      <c r="DH4528" s="406" t="s">
        <v>1375</v>
      </c>
      <c r="DI4528" s="406" t="str">
        <f t="shared" si="102"/>
        <v>SC, Indaial</v>
      </c>
      <c r="DJ4528" s="406">
        <v>-26.898</v>
      </c>
      <c r="DK4528" s="80">
        <v>-49.231999999999999</v>
      </c>
      <c r="DL4528" s="80">
        <v>64</v>
      </c>
      <c r="DM4528" s="64">
        <v>3</v>
      </c>
      <c r="DN4528" s="406" t="s">
        <v>8542</v>
      </c>
      <c r="DO4528" s="406">
        <v>-26.92</v>
      </c>
      <c r="DP4528" s="80">
        <v>86</v>
      </c>
    </row>
    <row r="4529" spans="29:120" x14ac:dyDescent="0.25">
      <c r="AC4529" s="122" t="s">
        <v>357</v>
      </c>
      <c r="AD4529" s="122" t="s">
        <v>4767</v>
      </c>
      <c r="AE4529" s="127">
        <v>7</v>
      </c>
      <c r="DA4529" s="122" t="s">
        <v>27</v>
      </c>
      <c r="DB4529" s="122" t="s">
        <v>1478</v>
      </c>
      <c r="DC4529" s="122" t="s">
        <v>1478</v>
      </c>
      <c r="DD4529" s="127">
        <v>2</v>
      </c>
      <c r="DE4529" s="127">
        <v>2</v>
      </c>
      <c r="DG4529" s="405" t="s">
        <v>27</v>
      </c>
      <c r="DH4529" s="406" t="s">
        <v>1478</v>
      </c>
      <c r="DI4529" s="406" t="str">
        <f t="shared" si="102"/>
        <v>SC, Iomerê</v>
      </c>
      <c r="DJ4529" s="406">
        <v>-27.004000000000001</v>
      </c>
      <c r="DK4529" s="80">
        <v>-51.241999999999997</v>
      </c>
      <c r="DL4529" s="80">
        <v>847</v>
      </c>
      <c r="DM4529" s="64">
        <v>2</v>
      </c>
      <c r="DN4529" s="406" t="s">
        <v>8561</v>
      </c>
      <c r="DO4529" s="406">
        <v>-26.82</v>
      </c>
      <c r="DP4529" s="80">
        <v>952</v>
      </c>
    </row>
    <row r="4530" spans="29:120" x14ac:dyDescent="0.25">
      <c r="AC4530" s="122" t="s">
        <v>357</v>
      </c>
      <c r="AD4530" s="122" t="s">
        <v>4768</v>
      </c>
      <c r="AE4530" s="127">
        <v>7</v>
      </c>
      <c r="DA4530" s="122" t="s">
        <v>27</v>
      </c>
      <c r="DB4530" s="122" t="s">
        <v>487</v>
      </c>
      <c r="DC4530" s="122" t="s">
        <v>487</v>
      </c>
      <c r="DD4530" s="127">
        <v>2</v>
      </c>
      <c r="DE4530" s="127">
        <v>2</v>
      </c>
      <c r="DG4530" s="405" t="s">
        <v>27</v>
      </c>
      <c r="DH4530" s="406" t="s">
        <v>487</v>
      </c>
      <c r="DI4530" s="406" t="str">
        <f t="shared" si="102"/>
        <v>SC, Ipira</v>
      </c>
      <c r="DJ4530" s="406">
        <v>-27.404</v>
      </c>
      <c r="DK4530" s="80">
        <v>-51.773000000000003</v>
      </c>
      <c r="DL4530" s="80">
        <v>409</v>
      </c>
      <c r="DM4530" s="64">
        <v>2</v>
      </c>
      <c r="DN4530" s="406" t="s">
        <v>8250</v>
      </c>
      <c r="DO4530" s="406">
        <v>-27.17</v>
      </c>
      <c r="DP4530" s="80">
        <v>776</v>
      </c>
    </row>
    <row r="4531" spans="29:120" x14ac:dyDescent="0.25">
      <c r="AC4531" s="122" t="s">
        <v>357</v>
      </c>
      <c r="AD4531" s="122" t="s">
        <v>4769</v>
      </c>
      <c r="AE4531" s="127">
        <v>7</v>
      </c>
      <c r="DA4531" s="122" t="s">
        <v>27</v>
      </c>
      <c r="DB4531" s="122" t="s">
        <v>8591</v>
      </c>
      <c r="DC4531" s="122" t="s">
        <v>1697</v>
      </c>
      <c r="DD4531" s="127">
        <v>2</v>
      </c>
      <c r="DE4531" s="127">
        <v>2</v>
      </c>
      <c r="DG4531" s="405" t="s">
        <v>27</v>
      </c>
      <c r="DH4531" s="406" t="s">
        <v>1697</v>
      </c>
      <c r="DI4531" s="406" t="str">
        <f t="shared" si="102"/>
        <v>SC, Iporã do Oeste</v>
      </c>
      <c r="DJ4531" s="406">
        <v>-26.988</v>
      </c>
      <c r="DK4531" s="80">
        <v>-53.534999999999997</v>
      </c>
      <c r="DL4531" s="80">
        <v>557</v>
      </c>
      <c r="DM4531" s="64">
        <v>2</v>
      </c>
      <c r="DN4531" s="406" t="s">
        <v>8539</v>
      </c>
      <c r="DO4531" s="406">
        <v>-26.78</v>
      </c>
      <c r="DP4531" s="80">
        <v>665</v>
      </c>
    </row>
    <row r="4532" spans="29:120" x14ac:dyDescent="0.25">
      <c r="AC4532" s="122" t="s">
        <v>393</v>
      </c>
      <c r="AD4532" s="122" t="s">
        <v>4770</v>
      </c>
      <c r="AE4532" s="127">
        <v>8</v>
      </c>
      <c r="DA4532" s="122" t="s">
        <v>27</v>
      </c>
      <c r="DB4532" s="122" t="s">
        <v>1543</v>
      </c>
      <c r="DC4532" s="122" t="s">
        <v>1543</v>
      </c>
      <c r="DD4532" s="127">
        <v>2</v>
      </c>
      <c r="DE4532" s="127">
        <v>2</v>
      </c>
      <c r="DG4532" s="405" t="s">
        <v>27</v>
      </c>
      <c r="DH4532" s="406" t="s">
        <v>1543</v>
      </c>
      <c r="DI4532" s="406" t="str">
        <f t="shared" si="102"/>
        <v>SC, Ipuaçu</v>
      </c>
      <c r="DJ4532" s="406">
        <v>-26.631</v>
      </c>
      <c r="DK4532" s="80">
        <v>-52.454999999999998</v>
      </c>
      <c r="DL4532" s="80">
        <v>720</v>
      </c>
      <c r="DM4532" s="64">
        <v>2</v>
      </c>
      <c r="DN4532" s="406" t="s">
        <v>7856</v>
      </c>
      <c r="DO4532" s="406">
        <v>-26.42</v>
      </c>
      <c r="DP4532" s="80">
        <v>980</v>
      </c>
    </row>
    <row r="4533" spans="29:120" x14ac:dyDescent="0.25">
      <c r="AC4533" s="122" t="s">
        <v>322</v>
      </c>
      <c r="AD4533" s="122" t="s">
        <v>4771</v>
      </c>
      <c r="AE4533" s="127">
        <v>6</v>
      </c>
      <c r="DA4533" s="122" t="s">
        <v>27</v>
      </c>
      <c r="DB4533" s="122" t="s">
        <v>431</v>
      </c>
      <c r="DC4533" s="122" t="s">
        <v>431</v>
      </c>
      <c r="DD4533" s="127">
        <v>2</v>
      </c>
      <c r="DE4533" s="127">
        <v>2</v>
      </c>
      <c r="DG4533" s="405" t="s">
        <v>27</v>
      </c>
      <c r="DH4533" s="406" t="s">
        <v>431</v>
      </c>
      <c r="DI4533" s="406" t="str">
        <f t="shared" si="102"/>
        <v>SC, Ipumirim</v>
      </c>
      <c r="DJ4533" s="406">
        <v>-27.077000000000002</v>
      </c>
      <c r="DK4533" s="80">
        <v>-52.136000000000003</v>
      </c>
      <c r="DL4533" s="80">
        <v>562</v>
      </c>
      <c r="DM4533" s="64">
        <v>2</v>
      </c>
      <c r="DN4533" s="406" t="s">
        <v>8534</v>
      </c>
      <c r="DO4533" s="406">
        <v>-26.94</v>
      </c>
      <c r="DP4533" s="80">
        <v>889</v>
      </c>
    </row>
    <row r="4534" spans="29:120" x14ac:dyDescent="0.25">
      <c r="AC4534" s="122" t="s">
        <v>322</v>
      </c>
      <c r="AD4534" s="122" t="s">
        <v>4772</v>
      </c>
      <c r="AE4534" s="127">
        <v>6</v>
      </c>
      <c r="DA4534" s="122" t="s">
        <v>27</v>
      </c>
      <c r="DB4534" s="122" t="s">
        <v>1656</v>
      </c>
      <c r="DC4534" s="122" t="s">
        <v>1656</v>
      </c>
      <c r="DD4534" s="127">
        <v>2</v>
      </c>
      <c r="DE4534" s="127">
        <v>2</v>
      </c>
      <c r="DG4534" s="405" t="s">
        <v>27</v>
      </c>
      <c r="DH4534" s="406" t="s">
        <v>1656</v>
      </c>
      <c r="DI4534" s="406" t="str">
        <f t="shared" si="102"/>
        <v>SC, Iraceminha</v>
      </c>
      <c r="DJ4534" s="406">
        <v>-26.823</v>
      </c>
      <c r="DK4534" s="80">
        <v>-53.274000000000001</v>
      </c>
      <c r="DL4534" s="80">
        <v>445</v>
      </c>
      <c r="DM4534" s="64">
        <v>2</v>
      </c>
      <c r="DN4534" s="406" t="s">
        <v>8539</v>
      </c>
      <c r="DO4534" s="406">
        <v>-26.78</v>
      </c>
      <c r="DP4534" s="80">
        <v>665</v>
      </c>
    </row>
    <row r="4535" spans="29:120" x14ac:dyDescent="0.25">
      <c r="AC4535" s="122" t="s">
        <v>322</v>
      </c>
      <c r="AD4535" s="122" t="s">
        <v>4773</v>
      </c>
      <c r="AE4535" s="127">
        <v>6</v>
      </c>
      <c r="DA4535" s="122" t="s">
        <v>27</v>
      </c>
      <c r="DB4535" s="122" t="s">
        <v>782</v>
      </c>
      <c r="DC4535" s="122" t="s">
        <v>782</v>
      </c>
      <c r="DD4535" s="127">
        <v>2</v>
      </c>
      <c r="DE4535" s="127">
        <v>2</v>
      </c>
      <c r="DG4535" s="405" t="s">
        <v>27</v>
      </c>
      <c r="DH4535" s="406" t="s">
        <v>782</v>
      </c>
      <c r="DI4535" s="406" t="str">
        <f t="shared" si="102"/>
        <v>SC, Irani</v>
      </c>
      <c r="DJ4535" s="406">
        <v>-27.024999999999999</v>
      </c>
      <c r="DK4535" s="80">
        <v>-51.902000000000001</v>
      </c>
      <c r="DL4535" s="80">
        <v>1047</v>
      </c>
      <c r="DM4535" s="64">
        <v>2</v>
      </c>
      <c r="DN4535" s="406" t="s">
        <v>8250</v>
      </c>
      <c r="DO4535" s="406">
        <v>-27.17</v>
      </c>
      <c r="DP4535" s="80">
        <v>776</v>
      </c>
    </row>
    <row r="4536" spans="29:120" x14ac:dyDescent="0.25">
      <c r="AC4536" s="122" t="s">
        <v>340</v>
      </c>
      <c r="AD4536" s="122" t="s">
        <v>4774</v>
      </c>
      <c r="AE4536" s="127">
        <v>8</v>
      </c>
      <c r="DA4536" s="122" t="s">
        <v>27</v>
      </c>
      <c r="DB4536" s="122" t="s">
        <v>1105</v>
      </c>
      <c r="DC4536" s="122" t="s">
        <v>1105</v>
      </c>
      <c r="DD4536" s="127">
        <v>2</v>
      </c>
      <c r="DE4536" s="127">
        <v>2</v>
      </c>
      <c r="DG4536" s="405" t="s">
        <v>27</v>
      </c>
      <c r="DH4536" s="406" t="s">
        <v>1105</v>
      </c>
      <c r="DI4536" s="406" t="str">
        <f t="shared" si="102"/>
        <v>SC, Irati</v>
      </c>
      <c r="DJ4536" s="406">
        <v>-26.655999999999999</v>
      </c>
      <c r="DK4536" s="80">
        <v>-52.892000000000003</v>
      </c>
      <c r="DL4536" s="80">
        <v>438</v>
      </c>
      <c r="DM4536" s="64">
        <v>2</v>
      </c>
      <c r="DN4536" s="406" t="s">
        <v>7844</v>
      </c>
      <c r="DO4536" s="406">
        <v>-26.41</v>
      </c>
      <c r="DP4536" s="80">
        <v>960</v>
      </c>
    </row>
    <row r="4537" spans="29:120" x14ac:dyDescent="0.25">
      <c r="AC4537" s="122" t="s">
        <v>357</v>
      </c>
      <c r="AD4537" s="122" t="s">
        <v>4775</v>
      </c>
      <c r="AE4537" s="127">
        <v>7</v>
      </c>
      <c r="DA4537" s="122" t="s">
        <v>27</v>
      </c>
      <c r="DB4537" s="122" t="s">
        <v>1682</v>
      </c>
      <c r="DC4537" s="122" t="s">
        <v>1682</v>
      </c>
      <c r="DD4537" s="127">
        <v>2</v>
      </c>
      <c r="DE4537" s="127">
        <v>2</v>
      </c>
      <c r="DG4537" s="405" t="s">
        <v>27</v>
      </c>
      <c r="DH4537" s="406" t="s">
        <v>1682</v>
      </c>
      <c r="DI4537" s="406" t="str">
        <f t="shared" si="102"/>
        <v>SC, Irineópolis</v>
      </c>
      <c r="DJ4537" s="406">
        <v>-26.239000000000001</v>
      </c>
      <c r="DK4537" s="80">
        <v>-50.8</v>
      </c>
      <c r="DL4537" s="80">
        <v>762</v>
      </c>
      <c r="DM4537" s="64">
        <v>2</v>
      </c>
      <c r="DN4537" s="406" t="s">
        <v>7825</v>
      </c>
      <c r="DO4537" s="406">
        <v>-26.4</v>
      </c>
      <c r="DP4537" s="80">
        <v>808</v>
      </c>
    </row>
    <row r="4538" spans="29:120" x14ac:dyDescent="0.25">
      <c r="AC4538" s="122" t="s">
        <v>234</v>
      </c>
      <c r="AD4538" s="122" t="s">
        <v>4776</v>
      </c>
      <c r="AE4538" s="127">
        <v>8</v>
      </c>
      <c r="DA4538" s="122" t="s">
        <v>27</v>
      </c>
      <c r="DB4538" s="122" t="s">
        <v>3140</v>
      </c>
      <c r="DC4538" s="122" t="s">
        <v>3140</v>
      </c>
      <c r="DD4538" s="127">
        <v>2</v>
      </c>
      <c r="DE4538" s="127">
        <v>2</v>
      </c>
      <c r="DG4538" s="405" t="s">
        <v>27</v>
      </c>
      <c r="DH4538" s="406" t="s">
        <v>3140</v>
      </c>
      <c r="DI4538" s="406" t="str">
        <f t="shared" si="102"/>
        <v>SC, Itá</v>
      </c>
      <c r="DJ4538" s="406">
        <v>-27.291</v>
      </c>
      <c r="DK4538" s="80">
        <v>-52.323</v>
      </c>
      <c r="DL4538" s="80">
        <v>385</v>
      </c>
      <c r="DM4538" s="64">
        <v>2</v>
      </c>
      <c r="DN4538" s="406" t="s">
        <v>8228</v>
      </c>
      <c r="DO4538" s="406">
        <v>-27.63</v>
      </c>
      <c r="DP4538" s="80">
        <v>765</v>
      </c>
    </row>
    <row r="4539" spans="29:120" x14ac:dyDescent="0.25">
      <c r="AC4539" s="122" t="s">
        <v>328</v>
      </c>
      <c r="AD4539" s="122" t="s">
        <v>4777</v>
      </c>
      <c r="AE4539" s="127">
        <v>7</v>
      </c>
      <c r="DA4539" s="122" t="s">
        <v>27</v>
      </c>
      <c r="DB4539" s="122" t="s">
        <v>1588</v>
      </c>
      <c r="DC4539" s="122" t="s">
        <v>1588</v>
      </c>
      <c r="DD4539" s="127">
        <v>2</v>
      </c>
      <c r="DE4539" s="127">
        <v>2</v>
      </c>
      <c r="DG4539" s="405" t="s">
        <v>27</v>
      </c>
      <c r="DH4539" s="406" t="s">
        <v>1588</v>
      </c>
      <c r="DI4539" s="406" t="str">
        <f t="shared" si="102"/>
        <v>SC, Itaiópolis</v>
      </c>
      <c r="DJ4539" s="406">
        <v>-26.335999999999999</v>
      </c>
      <c r="DK4539" s="80">
        <v>-49.905999999999999</v>
      </c>
      <c r="DL4539" s="80">
        <v>925</v>
      </c>
      <c r="DM4539" s="64">
        <v>2</v>
      </c>
      <c r="DN4539" s="406" t="s">
        <v>7809</v>
      </c>
      <c r="DO4539" s="406">
        <v>-26.25</v>
      </c>
      <c r="DP4539" s="80">
        <v>869</v>
      </c>
    </row>
    <row r="4540" spans="29:120" x14ac:dyDescent="0.25">
      <c r="AC4540" s="122" t="s">
        <v>357</v>
      </c>
      <c r="AD4540" s="122" t="s">
        <v>4778</v>
      </c>
      <c r="AE4540" s="127">
        <v>7</v>
      </c>
      <c r="DA4540" s="122" t="s">
        <v>27</v>
      </c>
      <c r="DB4540" s="122" t="s">
        <v>3219</v>
      </c>
      <c r="DC4540" s="122" t="s">
        <v>3219</v>
      </c>
      <c r="DD4540" s="127">
        <v>3</v>
      </c>
      <c r="DE4540" s="127">
        <v>3</v>
      </c>
      <c r="DG4540" s="405" t="s">
        <v>27</v>
      </c>
      <c r="DH4540" s="406" t="s">
        <v>3219</v>
      </c>
      <c r="DI4540" s="406" t="str">
        <f t="shared" si="102"/>
        <v>SC, Itajaí</v>
      </c>
      <c r="DJ4540" s="406">
        <v>-26.908000000000001</v>
      </c>
      <c r="DK4540" s="80">
        <v>-48.661999999999999</v>
      </c>
      <c r="DL4540" s="80">
        <v>1</v>
      </c>
      <c r="DM4540" s="64">
        <v>3</v>
      </c>
      <c r="DN4540" s="406" t="s">
        <v>8542</v>
      </c>
      <c r="DO4540" s="406">
        <v>-26.92</v>
      </c>
      <c r="DP4540" s="80">
        <v>86</v>
      </c>
    </row>
    <row r="4541" spans="29:120" x14ac:dyDescent="0.25">
      <c r="AC4541" s="122" t="s">
        <v>328</v>
      </c>
      <c r="AD4541" s="122" t="s">
        <v>4779</v>
      </c>
      <c r="AE4541" s="127">
        <v>8</v>
      </c>
      <c r="DA4541" s="122" t="s">
        <v>27</v>
      </c>
      <c r="DB4541" s="122" t="s">
        <v>1368</v>
      </c>
      <c r="DC4541" s="122" t="s">
        <v>1368</v>
      </c>
      <c r="DD4541" s="127">
        <v>3</v>
      </c>
      <c r="DE4541" s="127">
        <v>3</v>
      </c>
      <c r="DG4541" s="405" t="s">
        <v>27</v>
      </c>
      <c r="DH4541" s="406" t="s">
        <v>1368</v>
      </c>
      <c r="DI4541" s="406" t="str">
        <f t="shared" si="102"/>
        <v>SC, Itapema</v>
      </c>
      <c r="DJ4541" s="406">
        <v>-27.09</v>
      </c>
      <c r="DK4541" s="80">
        <v>-48.610999999999997</v>
      </c>
      <c r="DL4541" s="80">
        <v>15</v>
      </c>
      <c r="DM4541" s="64">
        <v>3</v>
      </c>
      <c r="DN4541" s="406" t="s">
        <v>8536</v>
      </c>
      <c r="DO4541" s="406">
        <v>-27.6</v>
      </c>
      <c r="DP4541" s="80">
        <v>2</v>
      </c>
    </row>
    <row r="4542" spans="29:120" x14ac:dyDescent="0.25">
      <c r="AC4542" s="122" t="s">
        <v>322</v>
      </c>
      <c r="AD4542" s="122" t="s">
        <v>4780</v>
      </c>
      <c r="AE4542" s="127">
        <v>6</v>
      </c>
      <c r="DA4542" s="122" t="s">
        <v>27</v>
      </c>
      <c r="DB4542" s="122" t="s">
        <v>3602</v>
      </c>
      <c r="DC4542" s="122" t="s">
        <v>3602</v>
      </c>
      <c r="DD4542" s="127">
        <v>2</v>
      </c>
      <c r="DE4542" s="127">
        <v>2</v>
      </c>
      <c r="DG4542" s="405" t="s">
        <v>27</v>
      </c>
      <c r="DH4542" s="406" t="s">
        <v>3602</v>
      </c>
      <c r="DI4542" s="406" t="str">
        <f t="shared" si="102"/>
        <v>SC, Itapiranga</v>
      </c>
      <c r="DJ4542" s="406">
        <v>-27.169</v>
      </c>
      <c r="DK4542" s="80">
        <v>-53.712000000000003</v>
      </c>
      <c r="DL4542" s="80">
        <v>206</v>
      </c>
      <c r="DM4542" s="64">
        <v>2</v>
      </c>
      <c r="DN4542" s="406" t="s">
        <v>8215</v>
      </c>
      <c r="DO4542" s="406">
        <v>-27.4</v>
      </c>
      <c r="DP4542" s="80">
        <v>490</v>
      </c>
    </row>
    <row r="4543" spans="29:120" x14ac:dyDescent="0.25">
      <c r="AC4543" s="122" t="s">
        <v>357</v>
      </c>
      <c r="AD4543" s="122" t="s">
        <v>4781</v>
      </c>
      <c r="AE4543" s="127">
        <v>7</v>
      </c>
      <c r="DA4543" s="122" t="s">
        <v>27</v>
      </c>
      <c r="DB4543" s="122" t="s">
        <v>724</v>
      </c>
      <c r="DC4543" s="122" t="s">
        <v>724</v>
      </c>
      <c r="DD4543" s="127">
        <v>5</v>
      </c>
      <c r="DE4543" s="127">
        <v>5</v>
      </c>
      <c r="DG4543" s="405" t="s">
        <v>27</v>
      </c>
      <c r="DH4543" s="406" t="s">
        <v>724</v>
      </c>
      <c r="DI4543" s="406" t="str">
        <f t="shared" si="102"/>
        <v>SC, Itapoá</v>
      </c>
      <c r="DJ4543" s="406">
        <v>-26.117000000000001</v>
      </c>
      <c r="DK4543" s="80">
        <v>-48.616</v>
      </c>
      <c r="DL4543" s="80">
        <v>18</v>
      </c>
      <c r="DM4543" s="64">
        <v>5</v>
      </c>
      <c r="DN4543" s="406" t="s">
        <v>7896</v>
      </c>
      <c r="DO4543" s="406">
        <v>-26.12</v>
      </c>
      <c r="DP4543" s="80">
        <v>2</v>
      </c>
    </row>
    <row r="4544" spans="29:120" x14ac:dyDescent="0.25">
      <c r="AC4544" s="122" t="s">
        <v>393</v>
      </c>
      <c r="AD4544" s="122" t="s">
        <v>4782</v>
      </c>
      <c r="AE4544" s="127">
        <v>7</v>
      </c>
      <c r="DA4544" s="122" t="s">
        <v>27</v>
      </c>
      <c r="DB4544" s="122" t="s">
        <v>1341</v>
      </c>
      <c r="DC4544" s="122" t="s">
        <v>1341</v>
      </c>
      <c r="DD4544" s="127">
        <v>2</v>
      </c>
      <c r="DE4544" s="127">
        <v>2</v>
      </c>
      <c r="DG4544" s="405" t="s">
        <v>27</v>
      </c>
      <c r="DH4544" s="406" t="s">
        <v>1341</v>
      </c>
      <c r="DI4544" s="406" t="str">
        <f t="shared" si="102"/>
        <v>SC, Ituporanga</v>
      </c>
      <c r="DJ4544" s="406">
        <v>-27.414000000000001</v>
      </c>
      <c r="DK4544" s="80">
        <v>-49.600999999999999</v>
      </c>
      <c r="DL4544" s="80">
        <v>360</v>
      </c>
      <c r="DM4544" s="64">
        <v>2</v>
      </c>
      <c r="DN4544" s="406" t="s">
        <v>8530</v>
      </c>
      <c r="DO4544" s="406">
        <v>-27.42</v>
      </c>
      <c r="DP4544" s="80">
        <v>484</v>
      </c>
    </row>
    <row r="4545" spans="29:120" x14ac:dyDescent="0.25">
      <c r="AC4545" s="122" t="s">
        <v>300</v>
      </c>
      <c r="AD4545" s="122" t="s">
        <v>4783</v>
      </c>
      <c r="AE4545" s="127">
        <v>8</v>
      </c>
      <c r="DA4545" s="122" t="s">
        <v>27</v>
      </c>
      <c r="DB4545" s="122" t="s">
        <v>373</v>
      </c>
      <c r="DC4545" s="122" t="s">
        <v>373</v>
      </c>
      <c r="DD4545" s="127">
        <v>2</v>
      </c>
      <c r="DE4545" s="127">
        <v>2</v>
      </c>
      <c r="DG4545" s="405" t="s">
        <v>27</v>
      </c>
      <c r="DH4545" s="406" t="s">
        <v>373</v>
      </c>
      <c r="DI4545" s="406" t="str">
        <f t="shared" si="102"/>
        <v>SC, Jaborá</v>
      </c>
      <c r="DJ4545" s="406">
        <v>-27.175999999999998</v>
      </c>
      <c r="DK4545" s="80">
        <v>-51.734000000000002</v>
      </c>
      <c r="DL4545" s="80">
        <v>689</v>
      </c>
      <c r="DM4545" s="64">
        <v>2</v>
      </c>
      <c r="DN4545" s="406" t="s">
        <v>8250</v>
      </c>
      <c r="DO4545" s="406">
        <v>-27.17</v>
      </c>
      <c r="DP4545" s="80">
        <v>776</v>
      </c>
    </row>
    <row r="4546" spans="29:120" x14ac:dyDescent="0.25">
      <c r="AC4546" s="122" t="s">
        <v>393</v>
      </c>
      <c r="AD4546" s="122" t="s">
        <v>4784</v>
      </c>
      <c r="AE4546" s="127">
        <v>8</v>
      </c>
      <c r="DA4546" s="122" t="s">
        <v>27</v>
      </c>
      <c r="DB4546" s="122" t="s">
        <v>8592</v>
      </c>
      <c r="DC4546" s="122" t="s">
        <v>1389</v>
      </c>
      <c r="DD4546" s="127">
        <v>2</v>
      </c>
      <c r="DE4546" s="127">
        <v>2</v>
      </c>
      <c r="DG4546" s="405" t="s">
        <v>27</v>
      </c>
      <c r="DH4546" s="406" t="s">
        <v>1389</v>
      </c>
      <c r="DI4546" s="406" t="str">
        <f t="shared" si="102"/>
        <v>SC, Jacinto Machado</v>
      </c>
      <c r="DJ4546" s="406">
        <v>-28.997</v>
      </c>
      <c r="DK4546" s="80">
        <v>-49.764000000000003</v>
      </c>
      <c r="DL4546" s="80">
        <v>50</v>
      </c>
      <c r="DM4546" s="64">
        <v>2</v>
      </c>
      <c r="DN4546" s="406" t="s">
        <v>8543</v>
      </c>
      <c r="DO4546" s="406">
        <v>-28.93</v>
      </c>
      <c r="DP4546" s="80">
        <v>12</v>
      </c>
    </row>
    <row r="4547" spans="29:120" x14ac:dyDescent="0.25">
      <c r="AC4547" s="122" t="s">
        <v>393</v>
      </c>
      <c r="AD4547" s="122" t="s">
        <v>4785</v>
      </c>
      <c r="AE4547" s="127">
        <v>7</v>
      </c>
      <c r="DA4547" s="122" t="s">
        <v>27</v>
      </c>
      <c r="DB4547" s="122" t="s">
        <v>1288</v>
      </c>
      <c r="DC4547" s="122" t="s">
        <v>1288</v>
      </c>
      <c r="DD4547" s="127">
        <v>2</v>
      </c>
      <c r="DE4547" s="127">
        <v>2</v>
      </c>
      <c r="DG4547" s="405" t="s">
        <v>27</v>
      </c>
      <c r="DH4547" s="406" t="s">
        <v>1288</v>
      </c>
      <c r="DI4547" s="406" t="str">
        <f t="shared" ref="DI4547:DI4610" si="103">CONCATENATE(DG4547,", ",DH4547)</f>
        <v>SC, Jaguaruna</v>
      </c>
      <c r="DJ4547" s="406">
        <v>-28.614999999999998</v>
      </c>
      <c r="DK4547" s="80">
        <v>-49.026000000000003</v>
      </c>
      <c r="DL4547" s="80">
        <v>12</v>
      </c>
      <c r="DM4547" s="64">
        <v>2</v>
      </c>
      <c r="DN4547" s="406" t="s">
        <v>8568</v>
      </c>
      <c r="DO4547" s="406">
        <v>-28.6</v>
      </c>
      <c r="DP4547" s="80">
        <v>52</v>
      </c>
    </row>
    <row r="4548" spans="29:120" x14ac:dyDescent="0.25">
      <c r="AC4548" s="122" t="s">
        <v>328</v>
      </c>
      <c r="AD4548" s="122" t="s">
        <v>4786</v>
      </c>
      <c r="AE4548" s="127">
        <v>8</v>
      </c>
      <c r="DA4548" s="122" t="s">
        <v>27</v>
      </c>
      <c r="DB4548" s="122" t="s">
        <v>8593</v>
      </c>
      <c r="DC4548" s="122" t="s">
        <v>3132</v>
      </c>
      <c r="DD4548" s="127">
        <v>3</v>
      </c>
      <c r="DE4548" s="127">
        <v>3</v>
      </c>
      <c r="DG4548" s="405" t="s">
        <v>27</v>
      </c>
      <c r="DH4548" s="406" t="s">
        <v>3132</v>
      </c>
      <c r="DI4548" s="406" t="str">
        <f t="shared" si="103"/>
        <v>SC, Jaraguá do Sul</v>
      </c>
      <c r="DJ4548" s="406">
        <v>-26.486000000000001</v>
      </c>
      <c r="DK4548" s="80">
        <v>-49.067</v>
      </c>
      <c r="DL4548" s="80">
        <v>29</v>
      </c>
      <c r="DM4548" s="64">
        <v>3</v>
      </c>
      <c r="DN4548" s="406" t="s">
        <v>8542</v>
      </c>
      <c r="DO4548" s="406">
        <v>-26.92</v>
      </c>
      <c r="DP4548" s="80">
        <v>86</v>
      </c>
    </row>
    <row r="4549" spans="29:120" x14ac:dyDescent="0.25">
      <c r="AC4549" s="122" t="s">
        <v>357</v>
      </c>
      <c r="AD4549" s="122" t="s">
        <v>4787</v>
      </c>
      <c r="AE4549" s="127">
        <v>8</v>
      </c>
      <c r="DA4549" s="122" t="s">
        <v>27</v>
      </c>
      <c r="DB4549" s="122" t="s">
        <v>1119</v>
      </c>
      <c r="DC4549" s="122" t="s">
        <v>1119</v>
      </c>
      <c r="DD4549" s="127">
        <v>2</v>
      </c>
      <c r="DE4549" s="127">
        <v>2</v>
      </c>
      <c r="DG4549" s="405" t="s">
        <v>27</v>
      </c>
      <c r="DH4549" s="406" t="s">
        <v>1119</v>
      </c>
      <c r="DI4549" s="406" t="str">
        <f t="shared" si="103"/>
        <v>SC, Jardinópolis</v>
      </c>
      <c r="DJ4549" s="406">
        <v>-26.722000000000001</v>
      </c>
      <c r="DK4549" s="80">
        <v>-52.86</v>
      </c>
      <c r="DL4549" s="80">
        <v>525</v>
      </c>
      <c r="DM4549" s="64">
        <v>2</v>
      </c>
      <c r="DN4549" s="406" t="s">
        <v>7844</v>
      </c>
      <c r="DO4549" s="406">
        <v>-26.41</v>
      </c>
      <c r="DP4549" s="80">
        <v>960</v>
      </c>
    </row>
    <row r="4550" spans="29:120" x14ac:dyDescent="0.25">
      <c r="AC4550" s="122" t="s">
        <v>344</v>
      </c>
      <c r="AD4550" s="122" t="s">
        <v>4788</v>
      </c>
      <c r="AE4550" s="127">
        <v>8</v>
      </c>
      <c r="DA4550" s="122" t="s">
        <v>27</v>
      </c>
      <c r="DB4550" s="122" t="s">
        <v>1699</v>
      </c>
      <c r="DC4550" s="122" t="s">
        <v>1699</v>
      </c>
      <c r="DD4550" s="127">
        <v>2</v>
      </c>
      <c r="DE4550" s="127">
        <v>2</v>
      </c>
      <c r="DG4550" s="405" t="s">
        <v>27</v>
      </c>
      <c r="DH4550" s="406" t="s">
        <v>1699</v>
      </c>
      <c r="DI4550" s="406" t="str">
        <f t="shared" si="103"/>
        <v>SC, Joaçaba</v>
      </c>
      <c r="DJ4550" s="406">
        <v>-27.178000000000001</v>
      </c>
      <c r="DK4550" s="80">
        <v>-51.505000000000003</v>
      </c>
      <c r="DL4550" s="80">
        <v>522</v>
      </c>
      <c r="DM4550" s="64">
        <v>2</v>
      </c>
      <c r="DN4550" s="406" t="s">
        <v>8250</v>
      </c>
      <c r="DO4550" s="406">
        <v>-27.17</v>
      </c>
      <c r="DP4550" s="80">
        <v>776</v>
      </c>
    </row>
    <row r="4551" spans="29:120" x14ac:dyDescent="0.25">
      <c r="AC4551" s="122" t="s">
        <v>357</v>
      </c>
      <c r="AD4551" s="122" t="s">
        <v>4789</v>
      </c>
      <c r="AE4551" s="127">
        <v>7</v>
      </c>
      <c r="DA4551" s="122" t="s">
        <v>27</v>
      </c>
      <c r="DB4551" s="122" t="s">
        <v>1953</v>
      </c>
      <c r="DC4551" s="122" t="s">
        <v>1953</v>
      </c>
      <c r="DD4551" s="127">
        <v>5</v>
      </c>
      <c r="DE4551" s="127">
        <v>5</v>
      </c>
      <c r="DG4551" s="405" t="s">
        <v>27</v>
      </c>
      <c r="DH4551" s="406" t="s">
        <v>1953</v>
      </c>
      <c r="DI4551" s="406" t="str">
        <f t="shared" si="103"/>
        <v>SC, Joinville</v>
      </c>
      <c r="DJ4551" s="406">
        <v>-26.303999999999998</v>
      </c>
      <c r="DK4551" s="80">
        <v>-48.845999999999997</v>
      </c>
      <c r="DL4551" s="80">
        <v>3</v>
      </c>
      <c r="DM4551" s="64">
        <v>5</v>
      </c>
      <c r="DN4551" s="406" t="s">
        <v>7896</v>
      </c>
      <c r="DO4551" s="406">
        <v>-26.12</v>
      </c>
      <c r="DP4551" s="80">
        <v>2</v>
      </c>
    </row>
    <row r="4552" spans="29:120" x14ac:dyDescent="0.25">
      <c r="AC4552" s="122" t="s">
        <v>328</v>
      </c>
      <c r="AD4552" s="122" t="s">
        <v>4790</v>
      </c>
      <c r="AE4552" s="127">
        <v>8</v>
      </c>
      <c r="DA4552" s="122" t="s">
        <v>27</v>
      </c>
      <c r="DB4552" s="122" t="s">
        <v>8594</v>
      </c>
      <c r="DC4552" s="122" t="s">
        <v>1294</v>
      </c>
      <c r="DD4552" s="127">
        <v>3</v>
      </c>
      <c r="DE4552" s="127">
        <v>3</v>
      </c>
      <c r="DG4552" s="405" t="s">
        <v>27</v>
      </c>
      <c r="DH4552" s="406" t="s">
        <v>1294</v>
      </c>
      <c r="DI4552" s="406" t="str">
        <f t="shared" si="103"/>
        <v>SC, José Boiteux</v>
      </c>
      <c r="DJ4552" s="406">
        <v>-26.957999999999998</v>
      </c>
      <c r="DK4552" s="80">
        <v>-49.628</v>
      </c>
      <c r="DL4552" s="80">
        <v>240</v>
      </c>
      <c r="DM4552" s="64">
        <v>3</v>
      </c>
      <c r="DN4552" s="406" t="s">
        <v>8542</v>
      </c>
      <c r="DO4552" s="406">
        <v>-26.92</v>
      </c>
      <c r="DP4552" s="80">
        <v>86</v>
      </c>
    </row>
    <row r="4553" spans="29:120" x14ac:dyDescent="0.25">
      <c r="AC4553" s="122" t="s">
        <v>393</v>
      </c>
      <c r="AD4553" s="122" t="s">
        <v>4791</v>
      </c>
      <c r="AE4553" s="127">
        <v>7</v>
      </c>
      <c r="DA4553" s="122" t="s">
        <v>27</v>
      </c>
      <c r="DB4553" s="122" t="s">
        <v>1094</v>
      </c>
      <c r="DC4553" s="122" t="s">
        <v>1094</v>
      </c>
      <c r="DD4553" s="127">
        <v>2</v>
      </c>
      <c r="DE4553" s="127">
        <v>2</v>
      </c>
      <c r="DG4553" s="405" t="s">
        <v>27</v>
      </c>
      <c r="DH4553" s="406" t="s">
        <v>1094</v>
      </c>
      <c r="DI4553" s="406" t="str">
        <f t="shared" si="103"/>
        <v>SC, Jupiá</v>
      </c>
      <c r="DJ4553" s="406">
        <v>-26.398</v>
      </c>
      <c r="DK4553" s="80">
        <v>-52.728000000000002</v>
      </c>
      <c r="DL4553" s="80">
        <v>855</v>
      </c>
      <c r="DM4553" s="64">
        <v>2</v>
      </c>
      <c r="DN4553" s="406" t="s">
        <v>7844</v>
      </c>
      <c r="DO4553" s="406">
        <v>-26.41</v>
      </c>
      <c r="DP4553" s="80">
        <v>960</v>
      </c>
    </row>
    <row r="4554" spans="29:120" x14ac:dyDescent="0.25">
      <c r="AC4554" s="122" t="s">
        <v>393</v>
      </c>
      <c r="AD4554" s="122" t="s">
        <v>4792</v>
      </c>
      <c r="AE4554" s="127">
        <v>8</v>
      </c>
      <c r="DA4554" s="122" t="s">
        <v>27</v>
      </c>
      <c r="DB4554" s="122" t="s">
        <v>418</v>
      </c>
      <c r="DC4554" s="122" t="s">
        <v>418</v>
      </c>
      <c r="DD4554" s="127">
        <v>2</v>
      </c>
      <c r="DE4554" s="127">
        <v>2</v>
      </c>
      <c r="DG4554" s="405" t="s">
        <v>27</v>
      </c>
      <c r="DH4554" s="406" t="s">
        <v>418</v>
      </c>
      <c r="DI4554" s="406" t="str">
        <f t="shared" si="103"/>
        <v>SC, Lacerdópolis</v>
      </c>
      <c r="DJ4554" s="406">
        <v>-27.26</v>
      </c>
      <c r="DK4554" s="80">
        <v>-51.555999999999997</v>
      </c>
      <c r="DL4554" s="80">
        <v>490</v>
      </c>
      <c r="DM4554" s="64">
        <v>2</v>
      </c>
      <c r="DN4554" s="406" t="s">
        <v>8250</v>
      </c>
      <c r="DO4554" s="406">
        <v>-27.17</v>
      </c>
      <c r="DP4554" s="80">
        <v>776</v>
      </c>
    </row>
    <row r="4555" spans="29:120" x14ac:dyDescent="0.25">
      <c r="AC4555" s="122" t="s">
        <v>328</v>
      </c>
      <c r="AD4555" s="122" t="s">
        <v>4793</v>
      </c>
      <c r="AE4555" s="127">
        <v>8</v>
      </c>
      <c r="DA4555" s="122" t="s">
        <v>27</v>
      </c>
      <c r="DB4555" s="122" t="s">
        <v>1151</v>
      </c>
      <c r="DC4555" s="122" t="s">
        <v>1151</v>
      </c>
      <c r="DD4555" s="127">
        <v>1</v>
      </c>
      <c r="DE4555" s="127">
        <v>1</v>
      </c>
      <c r="DG4555" s="405" t="s">
        <v>27</v>
      </c>
      <c r="DH4555" s="406" t="s">
        <v>1151</v>
      </c>
      <c r="DI4555" s="406" t="str">
        <f t="shared" si="103"/>
        <v>SC, Lages</v>
      </c>
      <c r="DJ4555" s="406">
        <v>-27.815999999999999</v>
      </c>
      <c r="DK4555" s="80">
        <v>-50.326000000000001</v>
      </c>
      <c r="DL4555" s="80">
        <v>884</v>
      </c>
      <c r="DM4555" s="64">
        <v>1</v>
      </c>
      <c r="DN4555" s="406" t="s">
        <v>8528</v>
      </c>
      <c r="DO4555" s="406">
        <v>-27.29</v>
      </c>
      <c r="DP4555" s="80">
        <v>982</v>
      </c>
    </row>
    <row r="4556" spans="29:120" x14ac:dyDescent="0.25">
      <c r="AC4556" s="122" t="s">
        <v>393</v>
      </c>
      <c r="AD4556" s="122" t="s">
        <v>4794</v>
      </c>
      <c r="AE4556" s="127">
        <v>8</v>
      </c>
      <c r="DA4556" s="122" t="s">
        <v>27</v>
      </c>
      <c r="DB4556" s="122" t="s">
        <v>1089</v>
      </c>
      <c r="DC4556" s="122" t="s">
        <v>1089</v>
      </c>
      <c r="DD4556" s="127">
        <v>2</v>
      </c>
      <c r="DE4556" s="127">
        <v>2</v>
      </c>
      <c r="DG4556" s="405" t="s">
        <v>27</v>
      </c>
      <c r="DH4556" s="406" t="s">
        <v>1089</v>
      </c>
      <c r="DI4556" s="406" t="str">
        <f t="shared" si="103"/>
        <v>SC, Laguna</v>
      </c>
      <c r="DJ4556" s="406">
        <v>-28.483000000000001</v>
      </c>
      <c r="DK4556" s="80">
        <v>-48.780999999999999</v>
      </c>
      <c r="DL4556" s="80">
        <v>2</v>
      </c>
      <c r="DM4556" s="64">
        <v>2</v>
      </c>
      <c r="DN4556" s="406" t="s">
        <v>8568</v>
      </c>
      <c r="DO4556" s="406">
        <v>-28.6</v>
      </c>
      <c r="DP4556" s="80">
        <v>52</v>
      </c>
    </row>
    <row r="4557" spans="29:120" x14ac:dyDescent="0.25">
      <c r="AC4557" s="122" t="s">
        <v>348</v>
      </c>
      <c r="AD4557" s="122" t="s">
        <v>4795</v>
      </c>
      <c r="AE4557" s="127">
        <v>7</v>
      </c>
      <c r="DA4557" s="122" t="s">
        <v>27</v>
      </c>
      <c r="DB4557" s="122" t="s">
        <v>8595</v>
      </c>
      <c r="DC4557" s="122" t="s">
        <v>1199</v>
      </c>
      <c r="DD4557" s="127">
        <v>3</v>
      </c>
      <c r="DE4557" s="127">
        <v>3</v>
      </c>
      <c r="DG4557" s="405" t="s">
        <v>27</v>
      </c>
      <c r="DH4557" s="406" t="s">
        <v>1199</v>
      </c>
      <c r="DI4557" s="406" t="str">
        <f t="shared" si="103"/>
        <v>SC, Lajeado Grande</v>
      </c>
      <c r="DJ4557" s="406">
        <v>-26.858000000000001</v>
      </c>
      <c r="DK4557" s="80">
        <v>-52.567</v>
      </c>
      <c r="DL4557" s="80">
        <v>480</v>
      </c>
      <c r="DM4557" s="64">
        <v>3</v>
      </c>
      <c r="DN4557" s="406" t="s">
        <v>8534</v>
      </c>
      <c r="DO4557" s="406">
        <v>-26.94</v>
      </c>
      <c r="DP4557" s="80">
        <v>889</v>
      </c>
    </row>
    <row r="4558" spans="29:120" x14ac:dyDescent="0.25">
      <c r="AC4558" s="122" t="s">
        <v>300</v>
      </c>
      <c r="AD4558" s="122" t="s">
        <v>4796</v>
      </c>
      <c r="AE4558" s="127">
        <v>7</v>
      </c>
      <c r="DA4558" s="122" t="s">
        <v>27</v>
      </c>
      <c r="DB4558" s="122" t="s">
        <v>1289</v>
      </c>
      <c r="DC4558" s="122" t="s">
        <v>1289</v>
      </c>
      <c r="DD4558" s="127">
        <v>2</v>
      </c>
      <c r="DE4558" s="127">
        <v>2</v>
      </c>
      <c r="DG4558" s="405" t="s">
        <v>27</v>
      </c>
      <c r="DH4558" s="406" t="s">
        <v>1289</v>
      </c>
      <c r="DI4558" s="406" t="str">
        <f t="shared" si="103"/>
        <v>SC, Laurentino</v>
      </c>
      <c r="DJ4558" s="406">
        <v>-27.216999999999999</v>
      </c>
      <c r="DK4558" s="80">
        <v>-49.732999999999997</v>
      </c>
      <c r="DL4558" s="80">
        <v>345</v>
      </c>
      <c r="DM4558" s="64">
        <v>2</v>
      </c>
      <c r="DN4558" s="406" t="s">
        <v>8530</v>
      </c>
      <c r="DO4558" s="406">
        <v>-27.42</v>
      </c>
      <c r="DP4558" s="80">
        <v>484</v>
      </c>
    </row>
    <row r="4559" spans="29:120" x14ac:dyDescent="0.25">
      <c r="AC4559" s="122" t="s">
        <v>340</v>
      </c>
      <c r="AD4559" s="122" t="s">
        <v>4797</v>
      </c>
      <c r="AE4559" s="127">
        <v>7</v>
      </c>
      <c r="DA4559" s="122" t="s">
        <v>27</v>
      </c>
      <c r="DB4559" s="122" t="s">
        <v>8596</v>
      </c>
      <c r="DC4559" s="122" t="s">
        <v>1602</v>
      </c>
      <c r="DD4559" s="127">
        <v>2</v>
      </c>
      <c r="DE4559" s="127">
        <v>2</v>
      </c>
      <c r="DG4559" s="405" t="s">
        <v>27</v>
      </c>
      <c r="DH4559" s="406" t="s">
        <v>1602</v>
      </c>
      <c r="DI4559" s="406" t="str">
        <f t="shared" si="103"/>
        <v>SC, Lauro Muller</v>
      </c>
      <c r="DJ4559" s="406">
        <v>-28.393000000000001</v>
      </c>
      <c r="DK4559" s="80">
        <v>-49.396999999999998</v>
      </c>
      <c r="DL4559" s="80">
        <v>220</v>
      </c>
      <c r="DM4559" s="64">
        <v>2</v>
      </c>
      <c r="DN4559" s="406" t="s">
        <v>8544</v>
      </c>
      <c r="DO4559" s="406">
        <v>-28.53</v>
      </c>
      <c r="DP4559" s="80">
        <v>48</v>
      </c>
    </row>
    <row r="4560" spans="29:120" x14ac:dyDescent="0.25">
      <c r="AC4560" s="122" t="s">
        <v>340</v>
      </c>
      <c r="AD4560" s="122" t="s">
        <v>4798</v>
      </c>
      <c r="AE4560" s="127">
        <v>6</v>
      </c>
      <c r="DA4560" s="122" t="s">
        <v>27</v>
      </c>
      <c r="DB4560" s="122" t="s">
        <v>8597</v>
      </c>
      <c r="DC4560" s="122" t="s">
        <v>1740</v>
      </c>
      <c r="DD4560" s="127">
        <v>2</v>
      </c>
      <c r="DE4560" s="127">
        <v>2</v>
      </c>
      <c r="DG4560" s="405" t="s">
        <v>27</v>
      </c>
      <c r="DH4560" s="406" t="s">
        <v>1740</v>
      </c>
      <c r="DI4560" s="406" t="str">
        <f t="shared" si="103"/>
        <v>SC, Lebon Régis</v>
      </c>
      <c r="DJ4560" s="406">
        <v>-26.928999999999998</v>
      </c>
      <c r="DK4560" s="80">
        <v>-50.695</v>
      </c>
      <c r="DL4560" s="80">
        <v>980</v>
      </c>
      <c r="DM4560" s="64">
        <v>2</v>
      </c>
      <c r="DN4560" s="406" t="s">
        <v>8561</v>
      </c>
      <c r="DO4560" s="406">
        <v>-26.82</v>
      </c>
      <c r="DP4560" s="80">
        <v>952</v>
      </c>
    </row>
    <row r="4561" spans="29:120" x14ac:dyDescent="0.25">
      <c r="AC4561" s="122" t="s">
        <v>357</v>
      </c>
      <c r="AD4561" s="122" t="s">
        <v>4799</v>
      </c>
      <c r="AE4561" s="127">
        <v>7</v>
      </c>
      <c r="DA4561" s="122" t="s">
        <v>27</v>
      </c>
      <c r="DB4561" s="122" t="s">
        <v>8598</v>
      </c>
      <c r="DC4561" s="122" t="s">
        <v>1207</v>
      </c>
      <c r="DD4561" s="127">
        <v>3</v>
      </c>
      <c r="DE4561" s="127">
        <v>3</v>
      </c>
      <c r="DG4561" s="405" t="s">
        <v>27</v>
      </c>
      <c r="DH4561" s="406" t="s">
        <v>1207</v>
      </c>
      <c r="DI4561" s="406" t="str">
        <f t="shared" si="103"/>
        <v>SC, Leoberto Leal</v>
      </c>
      <c r="DJ4561" s="406">
        <v>-27.507000000000001</v>
      </c>
      <c r="DK4561" s="80">
        <v>-49.286999999999999</v>
      </c>
      <c r="DL4561" s="80">
        <v>550</v>
      </c>
      <c r="DM4561" s="64">
        <v>3</v>
      </c>
      <c r="DN4561" s="406" t="s">
        <v>8530</v>
      </c>
      <c r="DO4561" s="406">
        <v>-27.42</v>
      </c>
      <c r="DP4561" s="80">
        <v>484</v>
      </c>
    </row>
    <row r="4562" spans="29:120" x14ac:dyDescent="0.25">
      <c r="AC4562" s="122" t="s">
        <v>234</v>
      </c>
      <c r="AD4562" s="122" t="s">
        <v>4800</v>
      </c>
      <c r="AE4562" s="127">
        <v>8</v>
      </c>
      <c r="DA4562" s="122" t="s">
        <v>27</v>
      </c>
      <c r="DB4562" s="122" t="s">
        <v>8599</v>
      </c>
      <c r="DC4562" s="122" t="s">
        <v>767</v>
      </c>
      <c r="DD4562" s="127">
        <v>2</v>
      </c>
      <c r="DE4562" s="127">
        <v>2</v>
      </c>
      <c r="DG4562" s="405" t="s">
        <v>27</v>
      </c>
      <c r="DH4562" s="406" t="s">
        <v>767</v>
      </c>
      <c r="DI4562" s="406" t="str">
        <f t="shared" si="103"/>
        <v>SC, Lindóia do Sul</v>
      </c>
      <c r="DJ4562" s="406">
        <v>-27.053000000000001</v>
      </c>
      <c r="DK4562" s="80">
        <v>-52.067</v>
      </c>
      <c r="DL4562" s="80">
        <v>643</v>
      </c>
      <c r="DM4562" s="64">
        <v>2</v>
      </c>
      <c r="DN4562" s="406" t="s">
        <v>8534</v>
      </c>
      <c r="DO4562" s="406">
        <v>-26.94</v>
      </c>
      <c r="DP4562" s="80">
        <v>889</v>
      </c>
    </row>
    <row r="4563" spans="29:120" x14ac:dyDescent="0.25">
      <c r="AC4563" s="122" t="s">
        <v>234</v>
      </c>
      <c r="AD4563" s="122" t="s">
        <v>4801</v>
      </c>
      <c r="AE4563" s="127">
        <v>8</v>
      </c>
      <c r="DA4563" s="122" t="s">
        <v>27</v>
      </c>
      <c r="DB4563" s="122" t="s">
        <v>1282</v>
      </c>
      <c r="DC4563" s="122" t="s">
        <v>1282</v>
      </c>
      <c r="DD4563" s="127">
        <v>3</v>
      </c>
      <c r="DE4563" s="127">
        <v>3</v>
      </c>
      <c r="DG4563" s="405" t="s">
        <v>27</v>
      </c>
      <c r="DH4563" s="406" t="s">
        <v>1282</v>
      </c>
      <c r="DI4563" s="406" t="str">
        <f t="shared" si="103"/>
        <v>SC, Lontras</v>
      </c>
      <c r="DJ4563" s="406">
        <v>-27.166</v>
      </c>
      <c r="DK4563" s="80">
        <v>-49.542000000000002</v>
      </c>
      <c r="DL4563" s="80">
        <v>330</v>
      </c>
      <c r="DM4563" s="64">
        <v>3</v>
      </c>
      <c r="DN4563" s="406" t="s">
        <v>8530</v>
      </c>
      <c r="DO4563" s="406">
        <v>-27.42</v>
      </c>
      <c r="DP4563" s="80">
        <v>484</v>
      </c>
    </row>
    <row r="4564" spans="29:120" x14ac:dyDescent="0.25">
      <c r="AC4564" s="122" t="s">
        <v>328</v>
      </c>
      <c r="AD4564" s="122" t="s">
        <v>4802</v>
      </c>
      <c r="AE4564" s="127">
        <v>7</v>
      </c>
      <c r="DA4564" s="122" t="s">
        <v>27</v>
      </c>
      <c r="DB4564" s="122" t="s">
        <v>8600</v>
      </c>
      <c r="DC4564" s="122" t="s">
        <v>3067</v>
      </c>
      <c r="DD4564" s="127">
        <v>3</v>
      </c>
      <c r="DE4564" s="127">
        <v>3</v>
      </c>
      <c r="DG4564" s="405" t="s">
        <v>27</v>
      </c>
      <c r="DH4564" s="406" t="s">
        <v>3067</v>
      </c>
      <c r="DI4564" s="406" t="str">
        <f t="shared" si="103"/>
        <v>SC, Luiz Alves</v>
      </c>
      <c r="DJ4564" s="406">
        <v>-26.721</v>
      </c>
      <c r="DK4564" s="80">
        <v>-48.933</v>
      </c>
      <c r="DL4564" s="80">
        <v>70</v>
      </c>
      <c r="DM4564" s="64">
        <v>3</v>
      </c>
      <c r="DN4564" s="406" t="s">
        <v>8542</v>
      </c>
      <c r="DO4564" s="406">
        <v>-26.92</v>
      </c>
      <c r="DP4564" s="80">
        <v>86</v>
      </c>
    </row>
    <row r="4565" spans="29:120" x14ac:dyDescent="0.25">
      <c r="AC4565" s="122" t="s">
        <v>328</v>
      </c>
      <c r="AD4565" s="122" t="s">
        <v>4803</v>
      </c>
      <c r="AE4565" s="127">
        <v>7</v>
      </c>
      <c r="DA4565" s="122" t="s">
        <v>27</v>
      </c>
      <c r="DB4565" s="122" t="s">
        <v>1607</v>
      </c>
      <c r="DC4565" s="122" t="s">
        <v>1607</v>
      </c>
      <c r="DD4565" s="127">
        <v>2</v>
      </c>
      <c r="DE4565" s="127">
        <v>2</v>
      </c>
      <c r="DG4565" s="405" t="s">
        <v>27</v>
      </c>
      <c r="DH4565" s="406" t="s">
        <v>1607</v>
      </c>
      <c r="DI4565" s="406" t="str">
        <f t="shared" si="103"/>
        <v>SC, Luzerna</v>
      </c>
      <c r="DJ4565" s="406">
        <v>-27.132999999999999</v>
      </c>
      <c r="DK4565" s="80">
        <v>-51.466999999999999</v>
      </c>
      <c r="DL4565" s="80">
        <v>511</v>
      </c>
      <c r="DM4565" s="64">
        <v>2</v>
      </c>
      <c r="DN4565" s="406" t="s">
        <v>8250</v>
      </c>
      <c r="DO4565" s="406">
        <v>-27.17</v>
      </c>
      <c r="DP4565" s="80">
        <v>776</v>
      </c>
    </row>
    <row r="4566" spans="29:120" x14ac:dyDescent="0.25">
      <c r="AC4566" s="122" t="s">
        <v>234</v>
      </c>
      <c r="AD4566" s="122" t="s">
        <v>4804</v>
      </c>
      <c r="AE4566" s="127">
        <v>8</v>
      </c>
      <c r="DA4566" s="122" t="s">
        <v>27</v>
      </c>
      <c r="DB4566" s="122" t="s">
        <v>1566</v>
      </c>
      <c r="DC4566" s="122" t="s">
        <v>1566</v>
      </c>
      <c r="DD4566" s="127">
        <v>2</v>
      </c>
      <c r="DE4566" s="127">
        <v>2</v>
      </c>
      <c r="DG4566" s="405" t="s">
        <v>27</v>
      </c>
      <c r="DH4566" s="406" t="s">
        <v>1566</v>
      </c>
      <c r="DI4566" s="406" t="str">
        <f t="shared" si="103"/>
        <v>SC, Macieira</v>
      </c>
      <c r="DJ4566" s="406">
        <v>-26.856000000000002</v>
      </c>
      <c r="DK4566" s="80">
        <v>-51.378</v>
      </c>
      <c r="DL4566" s="80">
        <v>880</v>
      </c>
      <c r="DM4566" s="64">
        <v>2</v>
      </c>
      <c r="DN4566" s="406" t="s">
        <v>8561</v>
      </c>
      <c r="DO4566" s="406">
        <v>-26.82</v>
      </c>
      <c r="DP4566" s="80">
        <v>952</v>
      </c>
    </row>
    <row r="4567" spans="29:120" x14ac:dyDescent="0.25">
      <c r="AC4567" s="122" t="s">
        <v>344</v>
      </c>
      <c r="AD4567" s="122" t="s">
        <v>4805</v>
      </c>
      <c r="AE4567" s="127">
        <v>8</v>
      </c>
      <c r="DA4567" s="122" t="s">
        <v>27</v>
      </c>
      <c r="DB4567" s="122" t="s">
        <v>1660</v>
      </c>
      <c r="DC4567" s="122" t="s">
        <v>1660</v>
      </c>
      <c r="DD4567" s="127">
        <v>2</v>
      </c>
      <c r="DE4567" s="127">
        <v>2</v>
      </c>
      <c r="DG4567" s="405" t="s">
        <v>27</v>
      </c>
      <c r="DH4567" s="406" t="s">
        <v>1660</v>
      </c>
      <c r="DI4567" s="406" t="str">
        <f t="shared" si="103"/>
        <v>SC, Mafra</v>
      </c>
      <c r="DJ4567" s="406">
        <v>-26.111000000000001</v>
      </c>
      <c r="DK4567" s="80">
        <v>-49.805</v>
      </c>
      <c r="DL4567" s="80">
        <v>793</v>
      </c>
      <c r="DM4567" s="64">
        <v>2</v>
      </c>
      <c r="DN4567" s="406" t="s">
        <v>7809</v>
      </c>
      <c r="DO4567" s="406">
        <v>-26.25</v>
      </c>
      <c r="DP4567" s="80">
        <v>869</v>
      </c>
    </row>
    <row r="4568" spans="29:120" x14ac:dyDescent="0.25">
      <c r="AC4568" s="122" t="s">
        <v>328</v>
      </c>
      <c r="AD4568" s="122" t="s">
        <v>4806</v>
      </c>
      <c r="AE4568" s="127">
        <v>8</v>
      </c>
      <c r="DA4568" s="122" t="s">
        <v>27</v>
      </c>
      <c r="DB4568" s="122" t="s">
        <v>8601</v>
      </c>
      <c r="DC4568" s="122" t="s">
        <v>1216</v>
      </c>
      <c r="DD4568" s="127">
        <v>3</v>
      </c>
      <c r="DE4568" s="127">
        <v>3</v>
      </c>
      <c r="DG4568" s="405" t="s">
        <v>27</v>
      </c>
      <c r="DH4568" s="406" t="s">
        <v>1216</v>
      </c>
      <c r="DI4568" s="406" t="str">
        <f t="shared" si="103"/>
        <v>SC, Major Gercino</v>
      </c>
      <c r="DJ4568" s="406">
        <v>-27.417999999999999</v>
      </c>
      <c r="DK4568" s="80">
        <v>-48.951000000000001</v>
      </c>
      <c r="DL4568" s="80">
        <v>80</v>
      </c>
      <c r="DM4568" s="64">
        <v>3</v>
      </c>
      <c r="DN4568" s="406" t="s">
        <v>8536</v>
      </c>
      <c r="DO4568" s="406">
        <v>-27.6</v>
      </c>
      <c r="DP4568" s="80">
        <v>2</v>
      </c>
    </row>
    <row r="4569" spans="29:120" x14ac:dyDescent="0.25">
      <c r="AC4569" s="122" t="s">
        <v>328</v>
      </c>
      <c r="AD4569" s="122" t="s">
        <v>4807</v>
      </c>
      <c r="AE4569" s="127">
        <v>7</v>
      </c>
      <c r="DA4569" s="122" t="s">
        <v>27</v>
      </c>
      <c r="DB4569" s="122" t="s">
        <v>8602</v>
      </c>
      <c r="DC4569" s="122" t="s">
        <v>1409</v>
      </c>
      <c r="DD4569" s="127">
        <v>2</v>
      </c>
      <c r="DE4569" s="127">
        <v>2</v>
      </c>
      <c r="DG4569" s="405" t="s">
        <v>27</v>
      </c>
      <c r="DH4569" s="406" t="s">
        <v>1409</v>
      </c>
      <c r="DI4569" s="406" t="str">
        <f t="shared" si="103"/>
        <v>SC, Major Vieira</v>
      </c>
      <c r="DJ4569" s="406">
        <v>-26.367999999999999</v>
      </c>
      <c r="DK4569" s="80">
        <v>-50.328000000000003</v>
      </c>
      <c r="DL4569" s="80">
        <v>786</v>
      </c>
      <c r="DM4569" s="64">
        <v>2</v>
      </c>
      <c r="DN4569" s="406" t="s">
        <v>7825</v>
      </c>
      <c r="DO4569" s="406">
        <v>-26.4</v>
      </c>
      <c r="DP4569" s="80">
        <v>808</v>
      </c>
    </row>
    <row r="4570" spans="29:120" x14ac:dyDescent="0.25">
      <c r="AC4570" s="122" t="s">
        <v>328</v>
      </c>
      <c r="AD4570" s="122" t="s">
        <v>4808</v>
      </c>
      <c r="AE4570" s="127">
        <v>8</v>
      </c>
      <c r="DA4570" s="122" t="s">
        <v>27</v>
      </c>
      <c r="DB4570" s="122" t="s">
        <v>1413</v>
      </c>
      <c r="DC4570" s="122" t="s">
        <v>1413</v>
      </c>
      <c r="DD4570" s="127">
        <v>2</v>
      </c>
      <c r="DE4570" s="127">
        <v>2</v>
      </c>
      <c r="DG4570" s="405" t="s">
        <v>27</v>
      </c>
      <c r="DH4570" s="406" t="s">
        <v>1413</v>
      </c>
      <c r="DI4570" s="406" t="str">
        <f t="shared" si="103"/>
        <v>SC, Maracajá</v>
      </c>
      <c r="DJ4570" s="406">
        <v>-28.847000000000001</v>
      </c>
      <c r="DK4570" s="80">
        <v>-49.453000000000003</v>
      </c>
      <c r="DL4570" s="80">
        <v>30</v>
      </c>
      <c r="DM4570" s="64">
        <v>2</v>
      </c>
      <c r="DN4570" s="406" t="s">
        <v>8543</v>
      </c>
      <c r="DO4570" s="406">
        <v>-28.93</v>
      </c>
      <c r="DP4570" s="80">
        <v>12</v>
      </c>
    </row>
    <row r="4571" spans="29:120" x14ac:dyDescent="0.25">
      <c r="AC4571" s="122" t="s">
        <v>328</v>
      </c>
      <c r="AD4571" s="122" t="s">
        <v>4809</v>
      </c>
      <c r="AE4571" s="127">
        <v>8</v>
      </c>
      <c r="DA4571" s="122" t="s">
        <v>27</v>
      </c>
      <c r="DB4571" s="122" t="s">
        <v>1232</v>
      </c>
      <c r="DC4571" s="122" t="s">
        <v>1232</v>
      </c>
      <c r="DD4571" s="127">
        <v>2</v>
      </c>
      <c r="DE4571" s="127">
        <v>2</v>
      </c>
      <c r="DG4571" s="405" t="s">
        <v>27</v>
      </c>
      <c r="DH4571" s="406" t="s">
        <v>1232</v>
      </c>
      <c r="DI4571" s="406" t="str">
        <f t="shared" si="103"/>
        <v>SC, Maravilha</v>
      </c>
      <c r="DJ4571" s="406">
        <v>-26.760999999999999</v>
      </c>
      <c r="DK4571" s="80">
        <v>-53.173000000000002</v>
      </c>
      <c r="DL4571" s="80">
        <v>625</v>
      </c>
      <c r="DM4571" s="64">
        <v>2</v>
      </c>
      <c r="DN4571" s="406" t="s">
        <v>8539</v>
      </c>
      <c r="DO4571" s="406">
        <v>-26.78</v>
      </c>
      <c r="DP4571" s="80">
        <v>665</v>
      </c>
    </row>
    <row r="4572" spans="29:120" x14ac:dyDescent="0.25">
      <c r="AC4572" s="122" t="s">
        <v>328</v>
      </c>
      <c r="AD4572" s="122" t="s">
        <v>4810</v>
      </c>
      <c r="AE4572" s="127">
        <v>7</v>
      </c>
      <c r="DA4572" s="122" t="s">
        <v>27</v>
      </c>
      <c r="DB4572" s="122" t="s">
        <v>1186</v>
      </c>
      <c r="DC4572" s="122" t="s">
        <v>1186</v>
      </c>
      <c r="DD4572" s="127">
        <v>3</v>
      </c>
      <c r="DE4572" s="127">
        <v>3</v>
      </c>
      <c r="DG4572" s="405" t="s">
        <v>27</v>
      </c>
      <c r="DH4572" s="406" t="s">
        <v>1186</v>
      </c>
      <c r="DI4572" s="406" t="str">
        <f t="shared" si="103"/>
        <v>SC, Marema</v>
      </c>
      <c r="DJ4572" s="406">
        <v>-26.802</v>
      </c>
      <c r="DK4572" s="80">
        <v>-52.625</v>
      </c>
      <c r="DL4572" s="80">
        <v>417</v>
      </c>
      <c r="DM4572" s="64">
        <v>3</v>
      </c>
      <c r="DN4572" s="406" t="s">
        <v>8534</v>
      </c>
      <c r="DO4572" s="406">
        <v>-26.94</v>
      </c>
      <c r="DP4572" s="80">
        <v>889</v>
      </c>
    </row>
    <row r="4573" spans="29:120" x14ac:dyDescent="0.25">
      <c r="AC4573" s="122" t="s">
        <v>300</v>
      </c>
      <c r="AD4573" s="122" t="s">
        <v>4811</v>
      </c>
      <c r="AE4573" s="127">
        <v>8</v>
      </c>
      <c r="DA4573" s="122" t="s">
        <v>27</v>
      </c>
      <c r="DB4573" s="122" t="s">
        <v>2261</v>
      </c>
      <c r="DC4573" s="122" t="s">
        <v>2261</v>
      </c>
      <c r="DD4573" s="127">
        <v>3</v>
      </c>
      <c r="DE4573" s="127">
        <v>3</v>
      </c>
      <c r="DG4573" s="405" t="s">
        <v>27</v>
      </c>
      <c r="DH4573" s="406" t="s">
        <v>2261</v>
      </c>
      <c r="DI4573" s="406" t="str">
        <f t="shared" si="103"/>
        <v>SC, Massaranduba</v>
      </c>
      <c r="DJ4573" s="406">
        <v>-26.611000000000001</v>
      </c>
      <c r="DK4573" s="80">
        <v>-49.008000000000003</v>
      </c>
      <c r="DL4573" s="80">
        <v>38</v>
      </c>
      <c r="DM4573" s="64">
        <v>3</v>
      </c>
      <c r="DN4573" s="406" t="s">
        <v>8542</v>
      </c>
      <c r="DO4573" s="406">
        <v>-26.92</v>
      </c>
      <c r="DP4573" s="80">
        <v>86</v>
      </c>
    </row>
    <row r="4574" spans="29:120" x14ac:dyDescent="0.25">
      <c r="AC4574" s="122" t="s">
        <v>328</v>
      </c>
      <c r="AD4574" s="122" t="s">
        <v>4812</v>
      </c>
      <c r="AE4574" s="127">
        <v>7</v>
      </c>
      <c r="DA4574" s="122" t="s">
        <v>27</v>
      </c>
      <c r="DB4574" s="122" t="s">
        <v>8603</v>
      </c>
      <c r="DC4574" s="122" t="s">
        <v>508</v>
      </c>
      <c r="DD4574" s="127">
        <v>2</v>
      </c>
      <c r="DE4574" s="127">
        <v>2</v>
      </c>
      <c r="DG4574" s="405" t="s">
        <v>27</v>
      </c>
      <c r="DH4574" s="406" t="s">
        <v>508</v>
      </c>
      <c r="DI4574" s="406" t="str">
        <f t="shared" si="103"/>
        <v>SC, Matos Costa</v>
      </c>
      <c r="DJ4574" s="406">
        <v>-26.472999999999999</v>
      </c>
      <c r="DK4574" s="80">
        <v>-51.148000000000003</v>
      </c>
      <c r="DL4574" s="80">
        <v>1220</v>
      </c>
      <c r="DM4574" s="64">
        <v>2</v>
      </c>
      <c r="DN4574" s="406" t="s">
        <v>7836</v>
      </c>
      <c r="DO4574" s="406">
        <v>-26.4</v>
      </c>
      <c r="DP4574" s="80">
        <v>1018</v>
      </c>
    </row>
    <row r="4575" spans="29:120" x14ac:dyDescent="0.25">
      <c r="AC4575" s="122" t="s">
        <v>393</v>
      </c>
      <c r="AD4575" s="122" t="s">
        <v>4813</v>
      </c>
      <c r="AE4575" s="127">
        <v>8</v>
      </c>
      <c r="DA4575" s="122" t="s">
        <v>27</v>
      </c>
      <c r="DB4575" s="122" t="s">
        <v>1401</v>
      </c>
      <c r="DC4575" s="122" t="s">
        <v>1401</v>
      </c>
      <c r="DD4575" s="127">
        <v>2</v>
      </c>
      <c r="DE4575" s="127">
        <v>2</v>
      </c>
      <c r="DG4575" s="405" t="s">
        <v>27</v>
      </c>
      <c r="DH4575" s="406" t="s">
        <v>1401</v>
      </c>
      <c r="DI4575" s="406" t="str">
        <f t="shared" si="103"/>
        <v>SC, Meleiro</v>
      </c>
      <c r="DJ4575" s="406">
        <v>-28.829000000000001</v>
      </c>
      <c r="DK4575" s="80">
        <v>-49.636000000000003</v>
      </c>
      <c r="DL4575" s="80">
        <v>38</v>
      </c>
      <c r="DM4575" s="64">
        <v>2</v>
      </c>
      <c r="DN4575" s="406" t="s">
        <v>8543</v>
      </c>
      <c r="DO4575" s="406">
        <v>-28.93</v>
      </c>
      <c r="DP4575" s="80">
        <v>12</v>
      </c>
    </row>
    <row r="4576" spans="29:120" x14ac:dyDescent="0.25">
      <c r="AC4576" s="122" t="s">
        <v>328</v>
      </c>
      <c r="AD4576" s="122" t="s">
        <v>4814</v>
      </c>
      <c r="AE4576" s="127">
        <v>8</v>
      </c>
      <c r="DA4576" s="122" t="s">
        <v>27</v>
      </c>
      <c r="DB4576" s="122" t="s">
        <v>8604</v>
      </c>
      <c r="DC4576" s="122" t="s">
        <v>1143</v>
      </c>
      <c r="DD4576" s="127">
        <v>2</v>
      </c>
      <c r="DE4576" s="127">
        <v>2</v>
      </c>
      <c r="DG4576" s="405" t="s">
        <v>27</v>
      </c>
      <c r="DH4576" s="406" t="s">
        <v>1143</v>
      </c>
      <c r="DI4576" s="406" t="str">
        <f t="shared" si="103"/>
        <v>SC, Mirim Doce</v>
      </c>
      <c r="DJ4576" s="406">
        <v>-27.196000000000002</v>
      </c>
      <c r="DK4576" s="80">
        <v>-50.076999999999998</v>
      </c>
      <c r="DL4576" s="80">
        <v>397</v>
      </c>
      <c r="DM4576" s="64">
        <v>2</v>
      </c>
      <c r="DN4576" s="406" t="s">
        <v>8528</v>
      </c>
      <c r="DO4576" s="406">
        <v>-27.29</v>
      </c>
      <c r="DP4576" s="80">
        <v>982</v>
      </c>
    </row>
    <row r="4577" spans="29:120" x14ac:dyDescent="0.25">
      <c r="AC4577" s="122" t="s">
        <v>357</v>
      </c>
      <c r="AD4577" s="122" t="s">
        <v>4815</v>
      </c>
      <c r="AE4577" s="127">
        <v>7</v>
      </c>
      <c r="DA4577" s="122" t="s">
        <v>27</v>
      </c>
      <c r="DB4577" s="122" t="s">
        <v>1156</v>
      </c>
      <c r="DC4577" s="122" t="s">
        <v>1156</v>
      </c>
      <c r="DD4577" s="127">
        <v>2</v>
      </c>
      <c r="DE4577" s="127">
        <v>2</v>
      </c>
      <c r="DG4577" s="405" t="s">
        <v>27</v>
      </c>
      <c r="DH4577" s="406" t="s">
        <v>1156</v>
      </c>
      <c r="DI4577" s="406" t="str">
        <f t="shared" si="103"/>
        <v>SC, Modelo</v>
      </c>
      <c r="DJ4577" s="406">
        <v>-26.777999999999999</v>
      </c>
      <c r="DK4577" s="80">
        <v>-53.055</v>
      </c>
      <c r="DL4577" s="80">
        <v>470</v>
      </c>
      <c r="DM4577" s="64">
        <v>2</v>
      </c>
      <c r="DN4577" s="406" t="s">
        <v>8539</v>
      </c>
      <c r="DO4577" s="406">
        <v>-26.78</v>
      </c>
      <c r="DP4577" s="80">
        <v>665</v>
      </c>
    </row>
    <row r="4578" spans="29:120" x14ac:dyDescent="0.25">
      <c r="AC4578" s="122" t="s">
        <v>393</v>
      </c>
      <c r="AD4578" s="122" t="s">
        <v>4816</v>
      </c>
      <c r="AE4578" s="127">
        <v>7</v>
      </c>
      <c r="DA4578" s="122" t="s">
        <v>27</v>
      </c>
      <c r="DB4578" s="122" t="s">
        <v>1616</v>
      </c>
      <c r="DC4578" s="122" t="s">
        <v>1616</v>
      </c>
      <c r="DD4578" s="127">
        <v>2</v>
      </c>
      <c r="DE4578" s="127">
        <v>2</v>
      </c>
      <c r="DG4578" s="405" t="s">
        <v>27</v>
      </c>
      <c r="DH4578" s="406" t="s">
        <v>1616</v>
      </c>
      <c r="DI4578" s="406" t="str">
        <f t="shared" si="103"/>
        <v>SC, Mondaí</v>
      </c>
      <c r="DJ4578" s="406">
        <v>-27.103000000000002</v>
      </c>
      <c r="DK4578" s="80">
        <v>-53.402000000000001</v>
      </c>
      <c r="DL4578" s="80">
        <v>235</v>
      </c>
      <c r="DM4578" s="64">
        <v>2</v>
      </c>
      <c r="DN4578" s="406" t="s">
        <v>8215</v>
      </c>
      <c r="DO4578" s="406">
        <v>-27.4</v>
      </c>
      <c r="DP4578" s="80">
        <v>490</v>
      </c>
    </row>
    <row r="4579" spans="29:120" x14ac:dyDescent="0.25">
      <c r="AC4579" s="122" t="s">
        <v>234</v>
      </c>
      <c r="AD4579" s="122" t="s">
        <v>4817</v>
      </c>
      <c r="AE4579" s="127">
        <v>8</v>
      </c>
      <c r="DA4579" s="122" t="s">
        <v>27</v>
      </c>
      <c r="DB4579" s="122" t="s">
        <v>8605</v>
      </c>
      <c r="DC4579" s="122" t="s">
        <v>1108</v>
      </c>
      <c r="DD4579" s="127">
        <v>2</v>
      </c>
      <c r="DE4579" s="127">
        <v>2</v>
      </c>
      <c r="DG4579" s="405" t="s">
        <v>27</v>
      </c>
      <c r="DH4579" s="406" t="s">
        <v>1108</v>
      </c>
      <c r="DI4579" s="406" t="str">
        <f t="shared" si="103"/>
        <v>SC, Monte Carlo</v>
      </c>
      <c r="DJ4579" s="406">
        <v>-27.222999999999999</v>
      </c>
      <c r="DK4579" s="80">
        <v>-50.98</v>
      </c>
      <c r="DL4579" s="80">
        <v>942</v>
      </c>
      <c r="DM4579" s="64">
        <v>2</v>
      </c>
      <c r="DN4579" s="406" t="s">
        <v>8528</v>
      </c>
      <c r="DO4579" s="406">
        <v>-27.29</v>
      </c>
      <c r="DP4579" s="80">
        <v>982</v>
      </c>
    </row>
    <row r="4580" spans="29:120" x14ac:dyDescent="0.25">
      <c r="AC4580" s="122" t="s">
        <v>344</v>
      </c>
      <c r="AD4580" s="122" t="s">
        <v>4818</v>
      </c>
      <c r="AE4580" s="127">
        <v>8</v>
      </c>
      <c r="DA4580" s="122" t="s">
        <v>27</v>
      </c>
      <c r="DB4580" s="122" t="s">
        <v>8606</v>
      </c>
      <c r="DC4580" s="122" t="s">
        <v>1374</v>
      </c>
      <c r="DD4580" s="127">
        <v>2</v>
      </c>
      <c r="DE4580" s="127">
        <v>2</v>
      </c>
      <c r="DG4580" s="405" t="s">
        <v>27</v>
      </c>
      <c r="DH4580" s="406" t="s">
        <v>1374</v>
      </c>
      <c r="DI4580" s="406" t="str">
        <f t="shared" si="103"/>
        <v>SC, Monte Castelo</v>
      </c>
      <c r="DJ4580" s="406">
        <v>-26.462</v>
      </c>
      <c r="DK4580" s="80">
        <v>-50.231000000000002</v>
      </c>
      <c r="DL4580" s="80">
        <v>820</v>
      </c>
      <c r="DM4580" s="64">
        <v>2</v>
      </c>
      <c r="DN4580" s="406" t="s">
        <v>7825</v>
      </c>
      <c r="DO4580" s="406">
        <v>-26.4</v>
      </c>
      <c r="DP4580" s="80">
        <v>808</v>
      </c>
    </row>
    <row r="4581" spans="29:120" x14ac:dyDescent="0.25">
      <c r="AC4581" s="122" t="s">
        <v>234</v>
      </c>
      <c r="AD4581" s="122" t="s">
        <v>4819</v>
      </c>
      <c r="AE4581" s="127">
        <v>8</v>
      </c>
      <c r="DA4581" s="122" t="s">
        <v>27</v>
      </c>
      <c r="DB4581" s="122" t="s">
        <v>8607</v>
      </c>
      <c r="DC4581" s="122" t="s">
        <v>1399</v>
      </c>
      <c r="DD4581" s="127">
        <v>2</v>
      </c>
      <c r="DE4581" s="127">
        <v>2</v>
      </c>
      <c r="DG4581" s="405" t="s">
        <v>27</v>
      </c>
      <c r="DH4581" s="406" t="s">
        <v>1399</v>
      </c>
      <c r="DI4581" s="406" t="str">
        <f t="shared" si="103"/>
        <v>SC, Morro da Fumaça</v>
      </c>
      <c r="DJ4581" s="406">
        <v>-28.651</v>
      </c>
      <c r="DK4581" s="80">
        <v>-49.21</v>
      </c>
      <c r="DL4581" s="80">
        <v>18</v>
      </c>
      <c r="DM4581" s="64">
        <v>2</v>
      </c>
      <c r="DN4581" s="406" t="s">
        <v>8544</v>
      </c>
      <c r="DO4581" s="406">
        <v>-28.53</v>
      </c>
      <c r="DP4581" s="80">
        <v>48</v>
      </c>
    </row>
    <row r="4582" spans="29:120" x14ac:dyDescent="0.25">
      <c r="AC4582" s="122" t="s">
        <v>344</v>
      </c>
      <c r="AD4582" s="122" t="s">
        <v>4820</v>
      </c>
      <c r="AE4582" s="127">
        <v>8</v>
      </c>
      <c r="DA4582" s="122" t="s">
        <v>27</v>
      </c>
      <c r="DB4582" s="122" t="s">
        <v>8608</v>
      </c>
      <c r="DC4582" s="122" t="s">
        <v>528</v>
      </c>
      <c r="DD4582" s="127">
        <v>2</v>
      </c>
      <c r="DE4582" s="127">
        <v>2</v>
      </c>
      <c r="DG4582" s="405" t="s">
        <v>27</v>
      </c>
      <c r="DH4582" s="406" t="s">
        <v>528</v>
      </c>
      <c r="DI4582" s="406" t="str">
        <f t="shared" si="103"/>
        <v>SC, Morro Grande</v>
      </c>
      <c r="DJ4582" s="406">
        <v>-28.800999999999998</v>
      </c>
      <c r="DK4582" s="80">
        <v>-49.720999999999997</v>
      </c>
      <c r="DL4582" s="80">
        <v>90</v>
      </c>
      <c r="DM4582" s="64">
        <v>2</v>
      </c>
      <c r="DN4582" s="406" t="s">
        <v>8543</v>
      </c>
      <c r="DO4582" s="406">
        <v>-28.93</v>
      </c>
      <c r="DP4582" s="80">
        <v>12</v>
      </c>
    </row>
    <row r="4583" spans="29:120" x14ac:dyDescent="0.25">
      <c r="AC4583" s="122" t="s">
        <v>393</v>
      </c>
      <c r="AD4583" s="122" t="s">
        <v>4821</v>
      </c>
      <c r="AE4583" s="127">
        <v>7</v>
      </c>
      <c r="DA4583" s="122" t="s">
        <v>27</v>
      </c>
      <c r="DB4583" s="122" t="s">
        <v>3220</v>
      </c>
      <c r="DC4583" s="122" t="s">
        <v>3220</v>
      </c>
      <c r="DD4583" s="127">
        <v>3</v>
      </c>
      <c r="DE4583" s="127">
        <v>3</v>
      </c>
      <c r="DG4583" s="405" t="s">
        <v>27</v>
      </c>
      <c r="DH4583" s="406" t="s">
        <v>3220</v>
      </c>
      <c r="DI4583" s="406" t="str">
        <f t="shared" si="103"/>
        <v>SC, Navegantes</v>
      </c>
      <c r="DJ4583" s="406">
        <v>-26.899000000000001</v>
      </c>
      <c r="DK4583" s="80">
        <v>-48.654000000000003</v>
      </c>
      <c r="DL4583" s="80">
        <v>12</v>
      </c>
      <c r="DM4583" s="64">
        <v>3</v>
      </c>
      <c r="DN4583" s="406" t="s">
        <v>8542</v>
      </c>
      <c r="DO4583" s="406">
        <v>-26.92</v>
      </c>
      <c r="DP4583" s="80">
        <v>86</v>
      </c>
    </row>
    <row r="4584" spans="29:120" x14ac:dyDescent="0.25">
      <c r="AC4584" s="122" t="s">
        <v>357</v>
      </c>
      <c r="AD4584" s="122" t="s">
        <v>4822</v>
      </c>
      <c r="AE4584" s="127">
        <v>7</v>
      </c>
      <c r="DA4584" s="122" t="s">
        <v>27</v>
      </c>
      <c r="DB4584" s="122" t="s">
        <v>8609</v>
      </c>
      <c r="DC4584" s="122" t="s">
        <v>1173</v>
      </c>
      <c r="DD4584" s="127">
        <v>2</v>
      </c>
      <c r="DE4584" s="127">
        <v>2</v>
      </c>
      <c r="DG4584" s="405" t="s">
        <v>27</v>
      </c>
      <c r="DH4584" s="406" t="s">
        <v>1173</v>
      </c>
      <c r="DI4584" s="406" t="str">
        <f t="shared" si="103"/>
        <v>SC, Nova Erechim</v>
      </c>
      <c r="DJ4584" s="406">
        <v>-26.902999999999999</v>
      </c>
      <c r="DK4584" s="80">
        <v>-52.905999999999999</v>
      </c>
      <c r="DL4584" s="80">
        <v>462</v>
      </c>
      <c r="DM4584" s="64">
        <v>2</v>
      </c>
      <c r="DN4584" s="406" t="s">
        <v>8534</v>
      </c>
      <c r="DO4584" s="406">
        <v>-26.94</v>
      </c>
      <c r="DP4584" s="80">
        <v>889</v>
      </c>
    </row>
    <row r="4585" spans="29:120" x14ac:dyDescent="0.25">
      <c r="AC4585" s="122" t="s">
        <v>372</v>
      </c>
      <c r="AD4585" s="122" t="s">
        <v>4823</v>
      </c>
      <c r="AE4585" s="127">
        <v>8</v>
      </c>
      <c r="DA4585" s="122" t="s">
        <v>27</v>
      </c>
      <c r="DB4585" s="122" t="s">
        <v>8610</v>
      </c>
      <c r="DC4585" s="122" t="s">
        <v>1183</v>
      </c>
      <c r="DD4585" s="127">
        <v>3</v>
      </c>
      <c r="DE4585" s="127">
        <v>3</v>
      </c>
      <c r="DG4585" s="405" t="s">
        <v>27</v>
      </c>
      <c r="DH4585" s="406" t="s">
        <v>1183</v>
      </c>
      <c r="DI4585" s="406" t="str">
        <f t="shared" si="103"/>
        <v>SC, Nova Itaberaba</v>
      </c>
      <c r="DJ4585" s="406">
        <v>-26.94</v>
      </c>
      <c r="DK4585" s="80">
        <v>-52.811999999999998</v>
      </c>
      <c r="DL4585" s="80">
        <v>350</v>
      </c>
      <c r="DM4585" s="64">
        <v>3</v>
      </c>
      <c r="DN4585" s="406" t="s">
        <v>8534</v>
      </c>
      <c r="DO4585" s="406">
        <v>-26.94</v>
      </c>
      <c r="DP4585" s="80">
        <v>889</v>
      </c>
    </row>
    <row r="4586" spans="29:120" x14ac:dyDescent="0.25">
      <c r="AC4586" s="122" t="s">
        <v>328</v>
      </c>
      <c r="AD4586" s="122" t="s">
        <v>4824</v>
      </c>
      <c r="AE4586" s="127">
        <v>7</v>
      </c>
      <c r="DA4586" s="122" t="s">
        <v>27</v>
      </c>
      <c r="DB4586" s="122" t="s">
        <v>8611</v>
      </c>
      <c r="DC4586" s="122" t="s">
        <v>1229</v>
      </c>
      <c r="DD4586" s="127">
        <v>3</v>
      </c>
      <c r="DE4586" s="127">
        <v>3</v>
      </c>
      <c r="DG4586" s="405" t="s">
        <v>27</v>
      </c>
      <c r="DH4586" s="406" t="s">
        <v>1229</v>
      </c>
      <c r="DI4586" s="406" t="str">
        <f t="shared" si="103"/>
        <v>SC, Nova Trento</v>
      </c>
      <c r="DJ4586" s="406">
        <v>-27.286000000000001</v>
      </c>
      <c r="DK4586" s="80">
        <v>-48.93</v>
      </c>
      <c r="DL4586" s="80">
        <v>30</v>
      </c>
      <c r="DM4586" s="64">
        <v>3</v>
      </c>
      <c r="DN4586" s="406" t="s">
        <v>8542</v>
      </c>
      <c r="DO4586" s="406">
        <v>-26.92</v>
      </c>
      <c r="DP4586" s="80">
        <v>86</v>
      </c>
    </row>
    <row r="4587" spans="29:120" x14ac:dyDescent="0.25">
      <c r="AC4587" s="122" t="s">
        <v>340</v>
      </c>
      <c r="AD4587" s="122" t="s">
        <v>4825</v>
      </c>
      <c r="AE4587" s="127">
        <v>8</v>
      </c>
      <c r="DA4587" s="122" t="s">
        <v>27</v>
      </c>
      <c r="DB4587" s="122" t="s">
        <v>6585</v>
      </c>
      <c r="DC4587" s="122" t="s">
        <v>459</v>
      </c>
      <c r="DD4587" s="127">
        <v>2</v>
      </c>
      <c r="DE4587" s="127">
        <v>2</v>
      </c>
      <c r="DG4587" s="405" t="s">
        <v>27</v>
      </c>
      <c r="DH4587" s="406" t="s">
        <v>459</v>
      </c>
      <c r="DI4587" s="406" t="str">
        <f t="shared" si="103"/>
        <v>SC, Nova Veneza</v>
      </c>
      <c r="DJ4587" s="406">
        <v>-28.637</v>
      </c>
      <c r="DK4587" s="80">
        <v>-49.497999999999998</v>
      </c>
      <c r="DL4587" s="80">
        <v>74</v>
      </c>
      <c r="DM4587" s="64">
        <v>2</v>
      </c>
      <c r="DN4587" s="406" t="s">
        <v>8544</v>
      </c>
      <c r="DO4587" s="406">
        <v>-28.53</v>
      </c>
      <c r="DP4587" s="80">
        <v>48</v>
      </c>
    </row>
    <row r="4588" spans="29:120" x14ac:dyDescent="0.25">
      <c r="AC4588" s="122" t="s">
        <v>328</v>
      </c>
      <c r="AD4588" s="122" t="s">
        <v>4826</v>
      </c>
      <c r="AE4588" s="127">
        <v>8</v>
      </c>
      <c r="DA4588" s="122" t="s">
        <v>27</v>
      </c>
      <c r="DB4588" s="122" t="s">
        <v>6324</v>
      </c>
      <c r="DC4588" s="122" t="s">
        <v>1111</v>
      </c>
      <c r="DD4588" s="127">
        <v>2</v>
      </c>
      <c r="DE4588" s="127">
        <v>2</v>
      </c>
      <c r="DG4588" s="405" t="s">
        <v>27</v>
      </c>
      <c r="DH4588" s="406" t="s">
        <v>1111</v>
      </c>
      <c r="DI4588" s="406" t="str">
        <f t="shared" si="103"/>
        <v>SC, Novo Horizonte</v>
      </c>
      <c r="DJ4588" s="406">
        <v>-26.443999999999999</v>
      </c>
      <c r="DK4588" s="80">
        <v>-52.834000000000003</v>
      </c>
      <c r="DL4588" s="80">
        <v>710</v>
      </c>
      <c r="DM4588" s="64">
        <v>2</v>
      </c>
      <c r="DN4588" s="406" t="s">
        <v>7844</v>
      </c>
      <c r="DO4588" s="406">
        <v>-26.41</v>
      </c>
      <c r="DP4588" s="80">
        <v>960</v>
      </c>
    </row>
    <row r="4589" spans="29:120" x14ac:dyDescent="0.25">
      <c r="AC4589" s="122" t="s">
        <v>393</v>
      </c>
      <c r="AD4589" s="122" t="s">
        <v>4827</v>
      </c>
      <c r="AE4589" s="127">
        <v>8</v>
      </c>
      <c r="DA4589" s="122" t="s">
        <v>27</v>
      </c>
      <c r="DB4589" s="122" t="s">
        <v>1609</v>
      </c>
      <c r="DC4589" s="122" t="s">
        <v>1609</v>
      </c>
      <c r="DD4589" s="127">
        <v>2</v>
      </c>
      <c r="DE4589" s="127">
        <v>2</v>
      </c>
      <c r="DG4589" s="405" t="s">
        <v>27</v>
      </c>
      <c r="DH4589" s="406" t="s">
        <v>1609</v>
      </c>
      <c r="DI4589" s="406" t="str">
        <f t="shared" si="103"/>
        <v>SC, Orleans</v>
      </c>
      <c r="DJ4589" s="406">
        <v>-28.359000000000002</v>
      </c>
      <c r="DK4589" s="80">
        <v>-49.290999999999997</v>
      </c>
      <c r="DL4589" s="80">
        <v>132</v>
      </c>
      <c r="DM4589" s="64">
        <v>2</v>
      </c>
      <c r="DN4589" s="406" t="s">
        <v>8544</v>
      </c>
      <c r="DO4589" s="406">
        <v>-28.53</v>
      </c>
      <c r="DP4589" s="80">
        <v>48</v>
      </c>
    </row>
    <row r="4590" spans="29:120" x14ac:dyDescent="0.25">
      <c r="AC4590" s="122" t="s">
        <v>393</v>
      </c>
      <c r="AD4590" s="122" t="s">
        <v>4828</v>
      </c>
      <c r="AE4590" s="127">
        <v>7</v>
      </c>
      <c r="DA4590" s="122" t="s">
        <v>27</v>
      </c>
      <c r="DB4590" s="122" t="s">
        <v>8612</v>
      </c>
      <c r="DC4590" s="122" t="s">
        <v>1160</v>
      </c>
      <c r="DD4590" s="127">
        <v>1</v>
      </c>
      <c r="DE4590" s="127">
        <v>1</v>
      </c>
      <c r="DG4590" s="405" t="s">
        <v>27</v>
      </c>
      <c r="DH4590" s="406" t="s">
        <v>1160</v>
      </c>
      <c r="DI4590" s="406" t="str">
        <f t="shared" si="103"/>
        <v>SC, Otacílio Costa</v>
      </c>
      <c r="DJ4590" s="406">
        <v>-27.483000000000001</v>
      </c>
      <c r="DK4590" s="80">
        <v>-50.122</v>
      </c>
      <c r="DL4590" s="80">
        <v>884</v>
      </c>
      <c r="DM4590" s="64">
        <v>1</v>
      </c>
      <c r="DN4590" s="406" t="s">
        <v>8528</v>
      </c>
      <c r="DO4590" s="406">
        <v>-27.29</v>
      </c>
      <c r="DP4590" s="80">
        <v>982</v>
      </c>
    </row>
    <row r="4591" spans="29:120" x14ac:dyDescent="0.25">
      <c r="AC4591" s="122" t="s">
        <v>328</v>
      </c>
      <c r="AD4591" s="122" t="s">
        <v>4829</v>
      </c>
      <c r="AE4591" s="127">
        <v>8</v>
      </c>
      <c r="DA4591" s="122" t="s">
        <v>27</v>
      </c>
      <c r="DB4591" s="122" t="s">
        <v>398</v>
      </c>
      <c r="DC4591" s="122" t="s">
        <v>398</v>
      </c>
      <c r="DD4591" s="127">
        <v>2</v>
      </c>
      <c r="DE4591" s="127">
        <v>2</v>
      </c>
      <c r="DG4591" s="405" t="s">
        <v>27</v>
      </c>
      <c r="DH4591" s="406" t="s">
        <v>398</v>
      </c>
      <c r="DI4591" s="406" t="str">
        <f t="shared" si="103"/>
        <v>SC, Ouro</v>
      </c>
      <c r="DJ4591" s="406">
        <v>-27.341000000000001</v>
      </c>
      <c r="DK4591" s="80">
        <v>-51.618000000000002</v>
      </c>
      <c r="DL4591" s="80">
        <v>485</v>
      </c>
      <c r="DM4591" s="64">
        <v>2</v>
      </c>
      <c r="DN4591" s="406" t="s">
        <v>8250</v>
      </c>
      <c r="DO4591" s="406">
        <v>-27.17</v>
      </c>
      <c r="DP4591" s="80">
        <v>776</v>
      </c>
    </row>
    <row r="4592" spans="29:120" x14ac:dyDescent="0.25">
      <c r="AC4592" s="122" t="s">
        <v>328</v>
      </c>
      <c r="AD4592" s="122" t="s">
        <v>4830</v>
      </c>
      <c r="AE4592" s="127">
        <v>7</v>
      </c>
      <c r="DA4592" s="122" t="s">
        <v>27</v>
      </c>
      <c r="DB4592" s="122" t="s">
        <v>8613</v>
      </c>
      <c r="DC4592" s="122" t="s">
        <v>1536</v>
      </c>
      <c r="DD4592" s="127">
        <v>2</v>
      </c>
      <c r="DE4592" s="127">
        <v>2</v>
      </c>
      <c r="DG4592" s="405" t="s">
        <v>27</v>
      </c>
      <c r="DH4592" s="406" t="s">
        <v>1536</v>
      </c>
      <c r="DI4592" s="406" t="str">
        <f t="shared" si="103"/>
        <v>SC, Ouro Verde</v>
      </c>
      <c r="DJ4592" s="406">
        <v>-26.693999999999999</v>
      </c>
      <c r="DK4592" s="80">
        <v>-52.311999999999998</v>
      </c>
      <c r="DL4592" s="80">
        <v>758</v>
      </c>
      <c r="DM4592" s="64">
        <v>2</v>
      </c>
      <c r="DN4592" s="406" t="s">
        <v>8534</v>
      </c>
      <c r="DO4592" s="406">
        <v>-26.94</v>
      </c>
      <c r="DP4592" s="80">
        <v>889</v>
      </c>
    </row>
    <row r="4593" spans="29:120" x14ac:dyDescent="0.25">
      <c r="AC4593" s="122" t="s">
        <v>393</v>
      </c>
      <c r="AD4593" s="122" t="s">
        <v>4831</v>
      </c>
      <c r="AE4593" s="127">
        <v>7</v>
      </c>
      <c r="DA4593" s="122" t="s">
        <v>27</v>
      </c>
      <c r="DB4593" s="122" t="s">
        <v>433</v>
      </c>
      <c r="DC4593" s="122" t="s">
        <v>433</v>
      </c>
      <c r="DD4593" s="127">
        <v>2</v>
      </c>
      <c r="DE4593" s="127">
        <v>2</v>
      </c>
      <c r="DG4593" s="405" t="s">
        <v>27</v>
      </c>
      <c r="DH4593" s="406" t="s">
        <v>433</v>
      </c>
      <c r="DI4593" s="406" t="str">
        <f t="shared" si="103"/>
        <v>SC, Paial</v>
      </c>
      <c r="DJ4593" s="406">
        <v>-27.251999999999999</v>
      </c>
      <c r="DK4593" s="80">
        <v>-52.497999999999998</v>
      </c>
      <c r="DL4593" s="80">
        <v>425</v>
      </c>
      <c r="DM4593" s="64">
        <v>2</v>
      </c>
      <c r="DN4593" s="406" t="s">
        <v>8534</v>
      </c>
      <c r="DO4593" s="406">
        <v>-26.94</v>
      </c>
      <c r="DP4593" s="80">
        <v>889</v>
      </c>
    </row>
    <row r="4594" spans="29:120" x14ac:dyDescent="0.25">
      <c r="AC4594" s="122" t="s">
        <v>393</v>
      </c>
      <c r="AD4594" s="122" t="s">
        <v>4832</v>
      </c>
      <c r="AE4594" s="127">
        <v>8</v>
      </c>
      <c r="DA4594" s="122" t="s">
        <v>27</v>
      </c>
      <c r="DB4594" s="122" t="s">
        <v>1146</v>
      </c>
      <c r="DC4594" s="122" t="s">
        <v>1146</v>
      </c>
      <c r="DD4594" s="127">
        <v>1</v>
      </c>
      <c r="DE4594" s="127">
        <v>1</v>
      </c>
      <c r="DG4594" s="405" t="s">
        <v>27</v>
      </c>
      <c r="DH4594" s="406" t="s">
        <v>1146</v>
      </c>
      <c r="DI4594" s="406" t="str">
        <f t="shared" si="103"/>
        <v>SC, Painel</v>
      </c>
      <c r="DJ4594" s="406">
        <v>-27.928999999999998</v>
      </c>
      <c r="DK4594" s="80">
        <v>-50.104999999999997</v>
      </c>
      <c r="DL4594" s="80">
        <v>1144</v>
      </c>
      <c r="DM4594" s="64">
        <v>1</v>
      </c>
      <c r="DN4594" s="406" t="s">
        <v>8566</v>
      </c>
      <c r="DO4594" s="406">
        <v>-28.28</v>
      </c>
      <c r="DP4594" s="80">
        <v>1410</v>
      </c>
    </row>
    <row r="4595" spans="29:120" x14ac:dyDescent="0.25">
      <c r="AC4595" s="122" t="s">
        <v>328</v>
      </c>
      <c r="AD4595" s="122" t="s">
        <v>4833</v>
      </c>
      <c r="AE4595" s="127">
        <v>8</v>
      </c>
      <c r="DA4595" s="122" t="s">
        <v>27</v>
      </c>
      <c r="DB4595" s="122" t="s">
        <v>465</v>
      </c>
      <c r="DC4595" s="122" t="s">
        <v>465</v>
      </c>
      <c r="DD4595" s="127">
        <v>3</v>
      </c>
      <c r="DE4595" s="127">
        <v>3</v>
      </c>
      <c r="DG4595" s="405" t="s">
        <v>27</v>
      </c>
      <c r="DH4595" s="406" t="s">
        <v>465</v>
      </c>
      <c r="DI4595" s="406" t="str">
        <f t="shared" si="103"/>
        <v>SC, Palhoça</v>
      </c>
      <c r="DJ4595" s="406">
        <v>-27.645</v>
      </c>
      <c r="DK4595" s="80">
        <v>-48.667999999999999</v>
      </c>
      <c r="DL4595" s="80">
        <v>3</v>
      </c>
      <c r="DM4595" s="64">
        <v>3</v>
      </c>
      <c r="DN4595" s="406" t="s">
        <v>8536</v>
      </c>
      <c r="DO4595" s="406">
        <v>-27.6</v>
      </c>
      <c r="DP4595" s="80">
        <v>2</v>
      </c>
    </row>
    <row r="4596" spans="29:120" x14ac:dyDescent="0.25">
      <c r="AC4596" s="122" t="s">
        <v>357</v>
      </c>
      <c r="AD4596" s="122" t="s">
        <v>4834</v>
      </c>
      <c r="AE4596" s="127">
        <v>7</v>
      </c>
      <c r="DA4596" s="122" t="s">
        <v>27</v>
      </c>
      <c r="DB4596" s="122" t="s">
        <v>8614</v>
      </c>
      <c r="DC4596" s="122" t="s">
        <v>349</v>
      </c>
      <c r="DD4596" s="127">
        <v>2</v>
      </c>
      <c r="DE4596" s="127">
        <v>2</v>
      </c>
      <c r="DG4596" s="405" t="s">
        <v>27</v>
      </c>
      <c r="DH4596" s="406" t="s">
        <v>349</v>
      </c>
      <c r="DI4596" s="406" t="str">
        <f t="shared" si="103"/>
        <v>SC, Palma Sola</v>
      </c>
      <c r="DJ4596" s="406">
        <v>-26.347999999999999</v>
      </c>
      <c r="DK4596" s="80">
        <v>-53.277999999999999</v>
      </c>
      <c r="DL4596" s="80">
        <v>870</v>
      </c>
      <c r="DM4596" s="64">
        <v>2</v>
      </c>
      <c r="DN4596" s="406" t="s">
        <v>7833</v>
      </c>
      <c r="DO4596" s="406">
        <v>-26.29</v>
      </c>
      <c r="DP4596" s="80">
        <v>810</v>
      </c>
    </row>
    <row r="4597" spans="29:120" x14ac:dyDescent="0.25">
      <c r="AC4597" s="122" t="s">
        <v>328</v>
      </c>
      <c r="AD4597" s="122" t="s">
        <v>4835</v>
      </c>
      <c r="AE4597" s="127">
        <v>8</v>
      </c>
      <c r="DA4597" s="122" t="s">
        <v>27</v>
      </c>
      <c r="DB4597" s="122" t="s">
        <v>793</v>
      </c>
      <c r="DC4597" s="122" t="s">
        <v>793</v>
      </c>
      <c r="DD4597" s="127">
        <v>1</v>
      </c>
      <c r="DE4597" s="127">
        <v>1</v>
      </c>
      <c r="DG4597" s="405" t="s">
        <v>27</v>
      </c>
      <c r="DH4597" s="406" t="s">
        <v>793</v>
      </c>
      <c r="DI4597" s="406" t="str">
        <f t="shared" si="103"/>
        <v>SC, Palmeira</v>
      </c>
      <c r="DJ4597" s="406">
        <v>-27.582999999999998</v>
      </c>
      <c r="DK4597" s="80">
        <v>-50.158999999999999</v>
      </c>
      <c r="DL4597" s="80">
        <v>867</v>
      </c>
      <c r="DM4597" s="64">
        <v>1</v>
      </c>
      <c r="DN4597" s="406" t="s">
        <v>8528</v>
      </c>
      <c r="DO4597" s="406">
        <v>-27.29</v>
      </c>
      <c r="DP4597" s="80">
        <v>982</v>
      </c>
    </row>
    <row r="4598" spans="29:120" x14ac:dyDescent="0.25">
      <c r="AC4598" s="122" t="s">
        <v>393</v>
      </c>
      <c r="AD4598" s="122" t="s">
        <v>4836</v>
      </c>
      <c r="AE4598" s="127">
        <v>7</v>
      </c>
      <c r="DA4598" s="122" t="s">
        <v>27</v>
      </c>
      <c r="DB4598" s="122" t="s">
        <v>1582</v>
      </c>
      <c r="DC4598" s="122" t="s">
        <v>1582</v>
      </c>
      <c r="DD4598" s="127">
        <v>2</v>
      </c>
      <c r="DE4598" s="127">
        <v>2</v>
      </c>
      <c r="DG4598" s="405" t="s">
        <v>27</v>
      </c>
      <c r="DH4598" s="406" t="s">
        <v>1582</v>
      </c>
      <c r="DI4598" s="406" t="str">
        <f t="shared" si="103"/>
        <v>SC, Palmitos</v>
      </c>
      <c r="DJ4598" s="406">
        <v>-27.068000000000001</v>
      </c>
      <c r="DK4598" s="80">
        <v>-53.161000000000001</v>
      </c>
      <c r="DL4598" s="80">
        <v>406</v>
      </c>
      <c r="DM4598" s="64">
        <v>2</v>
      </c>
      <c r="DN4598" s="406" t="s">
        <v>8215</v>
      </c>
      <c r="DO4598" s="406">
        <v>-27.4</v>
      </c>
      <c r="DP4598" s="80">
        <v>490</v>
      </c>
    </row>
    <row r="4599" spans="29:120" x14ac:dyDescent="0.25">
      <c r="AC4599" s="122" t="s">
        <v>393</v>
      </c>
      <c r="AD4599" s="122" t="s">
        <v>1637</v>
      </c>
      <c r="AE4599" s="127">
        <v>7</v>
      </c>
      <c r="DA4599" s="122" t="s">
        <v>27</v>
      </c>
      <c r="DB4599" s="122" t="s">
        <v>1718</v>
      </c>
      <c r="DC4599" s="122" t="s">
        <v>1718</v>
      </c>
      <c r="DD4599" s="127">
        <v>2</v>
      </c>
      <c r="DE4599" s="127">
        <v>2</v>
      </c>
      <c r="DG4599" s="405" t="s">
        <v>27</v>
      </c>
      <c r="DH4599" s="406" t="s">
        <v>1718</v>
      </c>
      <c r="DI4599" s="406" t="str">
        <f t="shared" si="103"/>
        <v>SC, Papanduva</v>
      </c>
      <c r="DJ4599" s="406">
        <v>-26.37</v>
      </c>
      <c r="DK4599" s="80">
        <v>-50.143999999999998</v>
      </c>
      <c r="DL4599" s="80">
        <v>788</v>
      </c>
      <c r="DM4599" s="64">
        <v>2</v>
      </c>
      <c r="DN4599" s="406" t="s">
        <v>7825</v>
      </c>
      <c r="DO4599" s="406">
        <v>-26.4</v>
      </c>
      <c r="DP4599" s="80">
        <v>808</v>
      </c>
    </row>
    <row r="4600" spans="29:120" x14ac:dyDescent="0.25">
      <c r="AC4600" s="122" t="s">
        <v>372</v>
      </c>
      <c r="AD4600" s="122" t="s">
        <v>4837</v>
      </c>
      <c r="AE4600" s="127">
        <v>8</v>
      </c>
      <c r="DA4600" s="122" t="s">
        <v>27</v>
      </c>
      <c r="DB4600" s="122" t="s">
        <v>1353</v>
      </c>
      <c r="DC4600" s="122" t="s">
        <v>1353</v>
      </c>
      <c r="DD4600" s="127">
        <v>2</v>
      </c>
      <c r="DE4600" s="127">
        <v>2</v>
      </c>
      <c r="DG4600" s="405" t="s">
        <v>27</v>
      </c>
      <c r="DH4600" s="406" t="s">
        <v>1353</v>
      </c>
      <c r="DI4600" s="406" t="str">
        <f t="shared" si="103"/>
        <v>SC, Paraíso</v>
      </c>
      <c r="DJ4600" s="406">
        <v>-26.614000000000001</v>
      </c>
      <c r="DK4600" s="80">
        <v>-53.671999999999997</v>
      </c>
      <c r="DL4600" s="80">
        <v>520</v>
      </c>
      <c r="DM4600" s="64">
        <v>2</v>
      </c>
      <c r="DN4600" s="406" t="s">
        <v>8539</v>
      </c>
      <c r="DO4600" s="406">
        <v>-26.78</v>
      </c>
      <c r="DP4600" s="80">
        <v>665</v>
      </c>
    </row>
    <row r="4601" spans="29:120" x14ac:dyDescent="0.25">
      <c r="AC4601" s="122" t="s">
        <v>393</v>
      </c>
      <c r="AD4601" s="122" t="s">
        <v>4838</v>
      </c>
      <c r="AE4601" s="127">
        <v>8</v>
      </c>
      <c r="DA4601" s="122" t="s">
        <v>27</v>
      </c>
      <c r="DB4601" s="122" t="s">
        <v>8615</v>
      </c>
      <c r="DC4601" s="122" t="s">
        <v>1407</v>
      </c>
      <c r="DD4601" s="127">
        <v>3</v>
      </c>
      <c r="DE4601" s="127">
        <v>3</v>
      </c>
      <c r="DG4601" s="405" t="s">
        <v>27</v>
      </c>
      <c r="DH4601" s="406" t="s">
        <v>1407</v>
      </c>
      <c r="DI4601" s="406" t="str">
        <f t="shared" si="103"/>
        <v>SC, Passo de Torres</v>
      </c>
      <c r="DJ4601" s="406">
        <v>-29.315999999999999</v>
      </c>
      <c r="DK4601" s="80">
        <v>-49.723999999999997</v>
      </c>
      <c r="DL4601" s="80">
        <v>10</v>
      </c>
      <c r="DM4601" s="64">
        <v>3</v>
      </c>
      <c r="DN4601" s="406" t="s">
        <v>8233</v>
      </c>
      <c r="DO4601" s="406">
        <v>-29.33</v>
      </c>
      <c r="DP4601" s="80">
        <v>5</v>
      </c>
    </row>
    <row r="4602" spans="29:120" x14ac:dyDescent="0.25">
      <c r="AC4602" s="122" t="s">
        <v>328</v>
      </c>
      <c r="AD4602" s="122" t="s">
        <v>4839</v>
      </c>
      <c r="AE4602" s="127">
        <v>7</v>
      </c>
      <c r="DA4602" s="122" t="s">
        <v>27</v>
      </c>
      <c r="DB4602" s="122" t="s">
        <v>8616</v>
      </c>
      <c r="DC4602" s="122" t="s">
        <v>760</v>
      </c>
      <c r="DD4602" s="127">
        <v>1</v>
      </c>
      <c r="DE4602" s="127">
        <v>1</v>
      </c>
      <c r="DG4602" s="405" t="s">
        <v>27</v>
      </c>
      <c r="DH4602" s="406" t="s">
        <v>760</v>
      </c>
      <c r="DI4602" s="406" t="str">
        <f t="shared" si="103"/>
        <v>SC, Passos Maia</v>
      </c>
      <c r="DJ4602" s="406">
        <v>-26.78</v>
      </c>
      <c r="DK4602" s="80">
        <v>-52.058999999999997</v>
      </c>
      <c r="DL4602" s="80">
        <v>800</v>
      </c>
      <c r="DM4602" s="64">
        <v>1</v>
      </c>
      <c r="DN4602" s="406" t="s">
        <v>8534</v>
      </c>
      <c r="DO4602" s="406">
        <v>-26.94</v>
      </c>
      <c r="DP4602" s="80">
        <v>889</v>
      </c>
    </row>
    <row r="4603" spans="29:120" x14ac:dyDescent="0.25">
      <c r="AC4603" s="122" t="s">
        <v>357</v>
      </c>
      <c r="AD4603" s="122" t="s">
        <v>4840</v>
      </c>
      <c r="AE4603" s="127">
        <v>7</v>
      </c>
      <c r="DA4603" s="122" t="s">
        <v>27</v>
      </c>
      <c r="DB4603" s="122" t="s">
        <v>8617</v>
      </c>
      <c r="DC4603" s="122" t="s">
        <v>345</v>
      </c>
      <c r="DD4603" s="127">
        <v>3</v>
      </c>
      <c r="DE4603" s="127">
        <v>3</v>
      </c>
      <c r="DG4603" s="405" t="s">
        <v>27</v>
      </c>
      <c r="DH4603" s="406" t="s">
        <v>345</v>
      </c>
      <c r="DI4603" s="406" t="str">
        <f t="shared" si="103"/>
        <v>SC, Paulo Lopes</v>
      </c>
      <c r="DJ4603" s="406">
        <v>-27.962</v>
      </c>
      <c r="DK4603" s="80">
        <v>-48.683999999999997</v>
      </c>
      <c r="DL4603" s="80">
        <v>2</v>
      </c>
      <c r="DM4603" s="64">
        <v>3</v>
      </c>
      <c r="DN4603" s="406" t="s">
        <v>8536</v>
      </c>
      <c r="DO4603" s="406">
        <v>-27.6</v>
      </c>
      <c r="DP4603" s="80">
        <v>2</v>
      </c>
    </row>
    <row r="4604" spans="29:120" x14ac:dyDescent="0.25">
      <c r="AC4604" s="122" t="s">
        <v>328</v>
      </c>
      <c r="AD4604" s="122" t="s">
        <v>4841</v>
      </c>
      <c r="AE4604" s="127">
        <v>7</v>
      </c>
      <c r="DA4604" s="122" t="s">
        <v>27</v>
      </c>
      <c r="DB4604" s="122" t="s">
        <v>8618</v>
      </c>
      <c r="DC4604" s="122" t="s">
        <v>1313</v>
      </c>
      <c r="DD4604" s="127">
        <v>2</v>
      </c>
      <c r="DE4604" s="127">
        <v>2</v>
      </c>
      <c r="DG4604" s="405" t="s">
        <v>27</v>
      </c>
      <c r="DH4604" s="406" t="s">
        <v>1313</v>
      </c>
      <c r="DI4604" s="406" t="str">
        <f t="shared" si="103"/>
        <v>SC, Pedras Grandes</v>
      </c>
      <c r="DJ4604" s="406">
        <v>-28.436</v>
      </c>
      <c r="DK4604" s="80">
        <v>-49.185000000000002</v>
      </c>
      <c r="DL4604" s="80">
        <v>39</v>
      </c>
      <c r="DM4604" s="64">
        <v>2</v>
      </c>
      <c r="DN4604" s="406" t="s">
        <v>8544</v>
      </c>
      <c r="DO4604" s="406">
        <v>-28.53</v>
      </c>
      <c r="DP4604" s="80">
        <v>48</v>
      </c>
    </row>
    <row r="4605" spans="29:120" x14ac:dyDescent="0.25">
      <c r="AC4605" s="122" t="s">
        <v>340</v>
      </c>
      <c r="AD4605" s="122" t="s">
        <v>4842</v>
      </c>
      <c r="AE4605" s="127">
        <v>6</v>
      </c>
      <c r="DA4605" s="122" t="s">
        <v>27</v>
      </c>
      <c r="DB4605" s="122" t="s">
        <v>3145</v>
      </c>
      <c r="DC4605" s="122" t="s">
        <v>3145</v>
      </c>
      <c r="DD4605" s="127">
        <v>3</v>
      </c>
      <c r="DE4605" s="127">
        <v>3</v>
      </c>
      <c r="DG4605" s="405" t="s">
        <v>27</v>
      </c>
      <c r="DH4605" s="406" t="s">
        <v>3145</v>
      </c>
      <c r="DI4605" s="406" t="str">
        <f t="shared" si="103"/>
        <v>SC, Penha</v>
      </c>
      <c r="DJ4605" s="406">
        <v>-26.768999999999998</v>
      </c>
      <c r="DK4605" s="80">
        <v>-48.646000000000001</v>
      </c>
      <c r="DL4605" s="80">
        <v>20</v>
      </c>
      <c r="DM4605" s="64">
        <v>3</v>
      </c>
      <c r="DN4605" s="406" t="s">
        <v>8542</v>
      </c>
      <c r="DO4605" s="406">
        <v>-26.92</v>
      </c>
      <c r="DP4605" s="80">
        <v>86</v>
      </c>
    </row>
    <row r="4606" spans="29:120" x14ac:dyDescent="0.25">
      <c r="AC4606" s="122" t="s">
        <v>328</v>
      </c>
      <c r="AD4606" s="122" t="s">
        <v>4843</v>
      </c>
      <c r="AE4606" s="127">
        <v>8</v>
      </c>
      <c r="DA4606" s="122" t="s">
        <v>27</v>
      </c>
      <c r="DB4606" s="122" t="s">
        <v>1521</v>
      </c>
      <c r="DC4606" s="122" t="s">
        <v>1521</v>
      </c>
      <c r="DD4606" s="127">
        <v>2</v>
      </c>
      <c r="DE4606" s="127">
        <v>2</v>
      </c>
      <c r="DG4606" s="405" t="s">
        <v>27</v>
      </c>
      <c r="DH4606" s="406" t="s">
        <v>1521</v>
      </c>
      <c r="DI4606" s="406" t="str">
        <f t="shared" si="103"/>
        <v>SC, Peritiba</v>
      </c>
      <c r="DJ4606" s="406">
        <v>-27.373000000000001</v>
      </c>
      <c r="DK4606" s="80">
        <v>-51.904000000000003</v>
      </c>
      <c r="DL4606" s="80">
        <v>450</v>
      </c>
      <c r="DM4606" s="64">
        <v>2</v>
      </c>
      <c r="DN4606" s="406" t="s">
        <v>8250</v>
      </c>
      <c r="DO4606" s="406">
        <v>-27.17</v>
      </c>
      <c r="DP4606" s="80">
        <v>776</v>
      </c>
    </row>
    <row r="4607" spans="29:120" x14ac:dyDescent="0.25">
      <c r="AC4607" s="122" t="s">
        <v>328</v>
      </c>
      <c r="AD4607" s="122" t="s">
        <v>4844</v>
      </c>
      <c r="AE4607" s="127">
        <v>7</v>
      </c>
      <c r="DA4607" s="122" t="s">
        <v>27</v>
      </c>
      <c r="DB4607" s="122" t="s">
        <v>1329</v>
      </c>
      <c r="DC4607" s="122" t="s">
        <v>1329</v>
      </c>
      <c r="DD4607" s="127">
        <v>2</v>
      </c>
      <c r="DE4607" s="127">
        <v>2</v>
      </c>
      <c r="DG4607" s="405" t="s">
        <v>27</v>
      </c>
      <c r="DH4607" s="406" t="s">
        <v>1329</v>
      </c>
      <c r="DI4607" s="406" t="str">
        <f t="shared" si="103"/>
        <v>SC, Petrolândia</v>
      </c>
      <c r="DJ4607" s="406">
        <v>-27.535</v>
      </c>
      <c r="DK4607" s="80">
        <v>-49.698</v>
      </c>
      <c r="DL4607" s="80">
        <v>410</v>
      </c>
      <c r="DM4607" s="64">
        <v>2</v>
      </c>
      <c r="DN4607" s="406" t="s">
        <v>8530</v>
      </c>
      <c r="DO4607" s="406">
        <v>-27.42</v>
      </c>
      <c r="DP4607" s="80">
        <v>484</v>
      </c>
    </row>
    <row r="4608" spans="29:120" x14ac:dyDescent="0.25">
      <c r="AC4608" s="122" t="s">
        <v>340</v>
      </c>
      <c r="AD4608" s="122" t="s">
        <v>4845</v>
      </c>
      <c r="AE4608" s="127">
        <v>8</v>
      </c>
      <c r="DA4608" s="122" t="s">
        <v>27</v>
      </c>
      <c r="DB4608" s="122" t="s">
        <v>1059</v>
      </c>
      <c r="DC4608" s="122" t="s">
        <v>1059</v>
      </c>
      <c r="DD4608" s="127">
        <v>2</v>
      </c>
      <c r="DE4608" s="127">
        <v>2</v>
      </c>
      <c r="DG4608" s="405" t="s">
        <v>27</v>
      </c>
      <c r="DH4608" s="406" t="s">
        <v>1059</v>
      </c>
      <c r="DI4608" s="406" t="str">
        <f t="shared" si="103"/>
        <v>SC, Pinhalzinho</v>
      </c>
      <c r="DJ4608" s="406">
        <v>-26.847999999999999</v>
      </c>
      <c r="DK4608" s="80">
        <v>-52.991999999999997</v>
      </c>
      <c r="DL4608" s="80">
        <v>515</v>
      </c>
      <c r="DM4608" s="64">
        <v>2</v>
      </c>
      <c r="DN4608" s="406" t="s">
        <v>7844</v>
      </c>
      <c r="DO4608" s="406">
        <v>-26.41</v>
      </c>
      <c r="DP4608" s="80">
        <v>960</v>
      </c>
    </row>
    <row r="4609" spans="29:120" x14ac:dyDescent="0.25">
      <c r="AC4609" s="122" t="s">
        <v>328</v>
      </c>
      <c r="AD4609" s="122" t="s">
        <v>3189</v>
      </c>
      <c r="AE4609" s="127">
        <v>7</v>
      </c>
      <c r="DA4609" s="122" t="s">
        <v>27</v>
      </c>
      <c r="DB4609" s="122" t="s">
        <v>8619</v>
      </c>
      <c r="DC4609" s="122" t="s">
        <v>1476</v>
      </c>
      <c r="DD4609" s="127">
        <v>2</v>
      </c>
      <c r="DE4609" s="127">
        <v>2</v>
      </c>
      <c r="DG4609" s="405" t="s">
        <v>27</v>
      </c>
      <c r="DH4609" s="406" t="s">
        <v>1476</v>
      </c>
      <c r="DI4609" s="406" t="str">
        <f t="shared" si="103"/>
        <v>SC, Pinheiro Preto</v>
      </c>
      <c r="DJ4609" s="406">
        <v>-27.050999999999998</v>
      </c>
      <c r="DK4609" s="80">
        <v>-51.231000000000002</v>
      </c>
      <c r="DL4609" s="80">
        <v>696</v>
      </c>
      <c r="DM4609" s="64">
        <v>2</v>
      </c>
      <c r="DN4609" s="406" t="s">
        <v>8250</v>
      </c>
      <c r="DO4609" s="406">
        <v>-27.17</v>
      </c>
      <c r="DP4609" s="80">
        <v>776</v>
      </c>
    </row>
    <row r="4610" spans="29:120" x14ac:dyDescent="0.25">
      <c r="AC4610" s="122" t="s">
        <v>328</v>
      </c>
      <c r="AD4610" s="122" t="s">
        <v>4846</v>
      </c>
      <c r="AE4610" s="127">
        <v>8</v>
      </c>
      <c r="DA4610" s="122" t="s">
        <v>27</v>
      </c>
      <c r="DB4610" s="122" t="s">
        <v>503</v>
      </c>
      <c r="DC4610" s="122" t="s">
        <v>503</v>
      </c>
      <c r="DD4610" s="127">
        <v>2</v>
      </c>
      <c r="DE4610" s="127">
        <v>2</v>
      </c>
      <c r="DG4610" s="405" t="s">
        <v>27</v>
      </c>
      <c r="DH4610" s="406" t="s">
        <v>503</v>
      </c>
      <c r="DI4610" s="406" t="str">
        <f t="shared" si="103"/>
        <v>SC, Piratuba</v>
      </c>
      <c r="DJ4610" s="406">
        <v>-27.42</v>
      </c>
      <c r="DK4610" s="80">
        <v>-51.771999999999998</v>
      </c>
      <c r="DL4610" s="80">
        <v>430</v>
      </c>
      <c r="DM4610" s="64">
        <v>2</v>
      </c>
      <c r="DN4610" s="406" t="s">
        <v>8250</v>
      </c>
      <c r="DO4610" s="406">
        <v>-27.17</v>
      </c>
      <c r="DP4610" s="80">
        <v>776</v>
      </c>
    </row>
    <row r="4611" spans="29:120" x14ac:dyDescent="0.25">
      <c r="AC4611" s="122" t="s">
        <v>328</v>
      </c>
      <c r="AD4611" s="122" t="s">
        <v>4847</v>
      </c>
      <c r="AE4611" s="127">
        <v>8</v>
      </c>
      <c r="DA4611" s="122" t="s">
        <v>27</v>
      </c>
      <c r="DB4611" s="122" t="s">
        <v>8620</v>
      </c>
      <c r="DC4611" s="122" t="s">
        <v>1570</v>
      </c>
      <c r="DD4611" s="127">
        <v>3</v>
      </c>
      <c r="DE4611" s="127">
        <v>3</v>
      </c>
      <c r="DG4611" s="405" t="s">
        <v>27</v>
      </c>
      <c r="DH4611" s="406" t="s">
        <v>1570</v>
      </c>
      <c r="DI4611" s="406" t="str">
        <f t="shared" ref="DI4611:DI4674" si="104">CONCATENATE(DG4611,", ",DH4611)</f>
        <v>SC, Planalto Alegre</v>
      </c>
      <c r="DJ4611" s="406">
        <v>-27.07</v>
      </c>
      <c r="DK4611" s="80">
        <v>-52.866</v>
      </c>
      <c r="DL4611" s="80">
        <v>495</v>
      </c>
      <c r="DM4611" s="64">
        <v>3</v>
      </c>
      <c r="DN4611" s="406" t="s">
        <v>8534</v>
      </c>
      <c r="DO4611" s="406">
        <v>-26.94</v>
      </c>
      <c r="DP4611" s="80">
        <v>889</v>
      </c>
    </row>
    <row r="4612" spans="29:120" x14ac:dyDescent="0.25">
      <c r="AC4612" s="122" t="s">
        <v>393</v>
      </c>
      <c r="AD4612" s="122" t="s">
        <v>4848</v>
      </c>
      <c r="AE4612" s="127">
        <v>7</v>
      </c>
      <c r="DA4612" s="122" t="s">
        <v>27</v>
      </c>
      <c r="DB4612" s="122" t="s">
        <v>471</v>
      </c>
      <c r="DC4612" s="122" t="s">
        <v>471</v>
      </c>
      <c r="DD4612" s="127">
        <v>3</v>
      </c>
      <c r="DE4612" s="127">
        <v>3</v>
      </c>
      <c r="DG4612" s="405" t="s">
        <v>27</v>
      </c>
      <c r="DH4612" s="406" t="s">
        <v>471</v>
      </c>
      <c r="DI4612" s="406" t="str">
        <f t="shared" si="104"/>
        <v>SC, Pomerode</v>
      </c>
      <c r="DJ4612" s="406">
        <v>-26.741</v>
      </c>
      <c r="DK4612" s="80">
        <v>-49.177</v>
      </c>
      <c r="DL4612" s="80">
        <v>85</v>
      </c>
      <c r="DM4612" s="64">
        <v>3</v>
      </c>
      <c r="DN4612" s="406" t="s">
        <v>8542</v>
      </c>
      <c r="DO4612" s="406">
        <v>-26.92</v>
      </c>
      <c r="DP4612" s="80">
        <v>86</v>
      </c>
    </row>
    <row r="4613" spans="29:120" x14ac:dyDescent="0.25">
      <c r="AC4613" s="122" t="s">
        <v>328</v>
      </c>
      <c r="AD4613" s="122" t="s">
        <v>4849</v>
      </c>
      <c r="AE4613" s="127">
        <v>8</v>
      </c>
      <c r="DA4613" s="122" t="s">
        <v>27</v>
      </c>
      <c r="DB4613" s="122" t="s">
        <v>8621</v>
      </c>
      <c r="DC4613" s="122" t="s">
        <v>1157</v>
      </c>
      <c r="DD4613" s="127">
        <v>1</v>
      </c>
      <c r="DE4613" s="127">
        <v>1</v>
      </c>
      <c r="DG4613" s="405" t="s">
        <v>27</v>
      </c>
      <c r="DH4613" s="406" t="s">
        <v>1157</v>
      </c>
      <c r="DI4613" s="406" t="str">
        <f t="shared" si="104"/>
        <v>SC, Ponte Alta</v>
      </c>
      <c r="DJ4613" s="406">
        <v>-27.484000000000002</v>
      </c>
      <c r="DK4613" s="80">
        <v>-50.38</v>
      </c>
      <c r="DL4613" s="80">
        <v>856</v>
      </c>
      <c r="DM4613" s="64">
        <v>1</v>
      </c>
      <c r="DN4613" s="406" t="s">
        <v>8528</v>
      </c>
      <c r="DO4613" s="406">
        <v>-27.29</v>
      </c>
      <c r="DP4613" s="80">
        <v>982</v>
      </c>
    </row>
    <row r="4614" spans="29:120" x14ac:dyDescent="0.25">
      <c r="AC4614" s="122" t="s">
        <v>357</v>
      </c>
      <c r="AD4614" s="122" t="s">
        <v>4850</v>
      </c>
      <c r="AE4614" s="127">
        <v>7</v>
      </c>
      <c r="DA4614" s="122" t="s">
        <v>27</v>
      </c>
      <c r="DB4614" s="122" t="s">
        <v>8622</v>
      </c>
      <c r="DC4614" s="122" t="s">
        <v>1257</v>
      </c>
      <c r="DD4614" s="127">
        <v>2</v>
      </c>
      <c r="DE4614" s="127">
        <v>2</v>
      </c>
      <c r="DG4614" s="405" t="s">
        <v>27</v>
      </c>
      <c r="DH4614" s="406" t="s">
        <v>1257</v>
      </c>
      <c r="DI4614" s="406" t="str">
        <f t="shared" si="104"/>
        <v>SC, Ponte Alta do Norte</v>
      </c>
      <c r="DJ4614" s="406">
        <v>-27.158000000000001</v>
      </c>
      <c r="DK4614" s="80">
        <v>-50.463999999999999</v>
      </c>
      <c r="DL4614" s="80">
        <v>962</v>
      </c>
      <c r="DM4614" s="64">
        <v>2</v>
      </c>
      <c r="DN4614" s="406" t="s">
        <v>8528</v>
      </c>
      <c r="DO4614" s="406">
        <v>-27.29</v>
      </c>
      <c r="DP4614" s="80">
        <v>982</v>
      </c>
    </row>
    <row r="4615" spans="29:120" x14ac:dyDescent="0.25">
      <c r="AC4615" s="122" t="s">
        <v>328</v>
      </c>
      <c r="AD4615" s="122" t="s">
        <v>4851</v>
      </c>
      <c r="AE4615" s="127">
        <v>8</v>
      </c>
      <c r="DA4615" s="122" t="s">
        <v>27</v>
      </c>
      <c r="DB4615" s="122" t="s">
        <v>8623</v>
      </c>
      <c r="DC4615" s="122" t="s">
        <v>819</v>
      </c>
      <c r="DD4615" s="127">
        <v>2</v>
      </c>
      <c r="DE4615" s="127">
        <v>2</v>
      </c>
      <c r="DG4615" s="405" t="s">
        <v>27</v>
      </c>
      <c r="DH4615" s="406" t="s">
        <v>819</v>
      </c>
      <c r="DI4615" s="406" t="str">
        <f t="shared" si="104"/>
        <v>SC, Ponte Serrada</v>
      </c>
      <c r="DJ4615" s="406">
        <v>-26.872</v>
      </c>
      <c r="DK4615" s="80">
        <v>-52.015999999999998</v>
      </c>
      <c r="DL4615" s="80">
        <v>798</v>
      </c>
      <c r="DM4615" s="64">
        <v>2</v>
      </c>
      <c r="DN4615" s="406" t="s">
        <v>8534</v>
      </c>
      <c r="DO4615" s="406">
        <v>-26.94</v>
      </c>
      <c r="DP4615" s="80">
        <v>889</v>
      </c>
    </row>
    <row r="4616" spans="29:120" x14ac:dyDescent="0.25">
      <c r="AC4616" s="122" t="s">
        <v>340</v>
      </c>
      <c r="AD4616" s="122" t="s">
        <v>4852</v>
      </c>
      <c r="AE4616" s="127">
        <v>7</v>
      </c>
      <c r="DA4616" s="122" t="s">
        <v>27</v>
      </c>
      <c r="DB4616" s="122" t="s">
        <v>8624</v>
      </c>
      <c r="DC4616" s="122" t="s">
        <v>1348</v>
      </c>
      <c r="DD4616" s="127">
        <v>3</v>
      </c>
      <c r="DE4616" s="127">
        <v>3</v>
      </c>
      <c r="DG4616" s="405" t="s">
        <v>27</v>
      </c>
      <c r="DH4616" s="406" t="s">
        <v>1348</v>
      </c>
      <c r="DI4616" s="406" t="str">
        <f t="shared" si="104"/>
        <v>SC, Porto Belo</v>
      </c>
      <c r="DJ4616" s="406">
        <v>-27.158000000000001</v>
      </c>
      <c r="DK4616" s="80">
        <v>-48.552999999999997</v>
      </c>
      <c r="DL4616" s="80">
        <v>1</v>
      </c>
      <c r="DM4616" s="64">
        <v>3</v>
      </c>
      <c r="DN4616" s="406" t="s">
        <v>8536</v>
      </c>
      <c r="DO4616" s="406">
        <v>-27.6</v>
      </c>
      <c r="DP4616" s="80">
        <v>2</v>
      </c>
    </row>
    <row r="4617" spans="29:120" x14ac:dyDescent="0.25">
      <c r="AC4617" s="122" t="s">
        <v>340</v>
      </c>
      <c r="AD4617" s="122" t="s">
        <v>4853</v>
      </c>
      <c r="AE4617" s="127">
        <v>8</v>
      </c>
      <c r="DA4617" s="122" t="s">
        <v>27</v>
      </c>
      <c r="DB4617" s="122" t="s">
        <v>8625</v>
      </c>
      <c r="DC4617" s="122" t="s">
        <v>1489</v>
      </c>
      <c r="DD4617" s="127">
        <v>2</v>
      </c>
      <c r="DE4617" s="127">
        <v>2</v>
      </c>
      <c r="DG4617" s="405" t="s">
        <v>27</v>
      </c>
      <c r="DH4617" s="406" t="s">
        <v>1489</v>
      </c>
      <c r="DI4617" s="406" t="str">
        <f t="shared" si="104"/>
        <v>SC, Porto União</v>
      </c>
      <c r="DJ4617" s="406">
        <v>-26.238</v>
      </c>
      <c r="DK4617" s="80">
        <v>-51.078000000000003</v>
      </c>
      <c r="DL4617" s="80">
        <v>795</v>
      </c>
      <c r="DM4617" s="64">
        <v>2</v>
      </c>
      <c r="DN4617" s="406" t="s">
        <v>7836</v>
      </c>
      <c r="DO4617" s="406">
        <v>-26.4</v>
      </c>
      <c r="DP4617" s="80">
        <v>1018</v>
      </c>
    </row>
    <row r="4618" spans="29:120" x14ac:dyDescent="0.25">
      <c r="AC4618" s="122" t="s">
        <v>328</v>
      </c>
      <c r="AD4618" s="122" t="s">
        <v>4854</v>
      </c>
      <c r="AE4618" s="127">
        <v>7</v>
      </c>
      <c r="DA4618" s="122" t="s">
        <v>27</v>
      </c>
      <c r="DB4618" s="122" t="s">
        <v>8626</v>
      </c>
      <c r="DC4618" s="122" t="s">
        <v>1212</v>
      </c>
      <c r="DD4618" s="127">
        <v>2</v>
      </c>
      <c r="DE4618" s="127">
        <v>2</v>
      </c>
      <c r="DG4618" s="405" t="s">
        <v>27</v>
      </c>
      <c r="DH4618" s="406" t="s">
        <v>1212</v>
      </c>
      <c r="DI4618" s="406" t="str">
        <f t="shared" si="104"/>
        <v>SC, Pouso Redondo</v>
      </c>
      <c r="DJ4618" s="406">
        <v>-27.257999999999999</v>
      </c>
      <c r="DK4618" s="80">
        <v>-49.933999999999997</v>
      </c>
      <c r="DL4618" s="80">
        <v>354</v>
      </c>
      <c r="DM4618" s="64">
        <v>2</v>
      </c>
      <c r="DN4618" s="406" t="s">
        <v>8530</v>
      </c>
      <c r="DO4618" s="406">
        <v>-27.42</v>
      </c>
      <c r="DP4618" s="80">
        <v>484</v>
      </c>
    </row>
    <row r="4619" spans="29:120" x14ac:dyDescent="0.25">
      <c r="AC4619" s="122" t="s">
        <v>357</v>
      </c>
      <c r="AD4619" s="122" t="s">
        <v>4855</v>
      </c>
      <c r="AE4619" s="127">
        <v>7</v>
      </c>
      <c r="DA4619" s="122" t="s">
        <v>27</v>
      </c>
      <c r="DB4619" s="122" t="s">
        <v>8627</v>
      </c>
      <c r="DC4619" s="122" t="s">
        <v>1284</v>
      </c>
      <c r="DD4619" s="127">
        <v>2</v>
      </c>
      <c r="DE4619" s="127">
        <v>2</v>
      </c>
      <c r="DG4619" s="405" t="s">
        <v>27</v>
      </c>
      <c r="DH4619" s="406" t="s">
        <v>1284</v>
      </c>
      <c r="DI4619" s="406" t="str">
        <f t="shared" si="104"/>
        <v>SC, Praia Grande</v>
      </c>
      <c r="DJ4619" s="406">
        <v>-29.196999999999999</v>
      </c>
      <c r="DK4619" s="80">
        <v>-49.95</v>
      </c>
      <c r="DL4619" s="80">
        <v>45</v>
      </c>
      <c r="DM4619" s="64">
        <v>2</v>
      </c>
      <c r="DN4619" s="406" t="s">
        <v>8233</v>
      </c>
      <c r="DO4619" s="406">
        <v>-29.33</v>
      </c>
      <c r="DP4619" s="80">
        <v>5</v>
      </c>
    </row>
    <row r="4620" spans="29:120" x14ac:dyDescent="0.25">
      <c r="AC4620" s="122" t="s">
        <v>328</v>
      </c>
      <c r="AD4620" s="122" t="s">
        <v>4856</v>
      </c>
      <c r="AE4620" s="127">
        <v>8</v>
      </c>
      <c r="DA4620" s="122" t="s">
        <v>27</v>
      </c>
      <c r="DB4620" s="122" t="s">
        <v>7946</v>
      </c>
      <c r="DC4620" s="122" t="s">
        <v>301</v>
      </c>
      <c r="DD4620" s="127">
        <v>2</v>
      </c>
      <c r="DE4620" s="127">
        <v>2</v>
      </c>
      <c r="DG4620" s="405" t="s">
        <v>27</v>
      </c>
      <c r="DH4620" s="406" t="s">
        <v>5770</v>
      </c>
      <c r="DI4620" s="406" t="str">
        <f t="shared" si="104"/>
        <v>SC, Presidente Castello Branco</v>
      </c>
      <c r="DJ4620" s="406">
        <v>-27.222999999999999</v>
      </c>
      <c r="DK4620" s="80">
        <v>-51.807000000000002</v>
      </c>
      <c r="DL4620" s="80">
        <v>650</v>
      </c>
      <c r="DM4620" s="64">
        <v>2</v>
      </c>
      <c r="DN4620" s="406" t="s">
        <v>8250</v>
      </c>
      <c r="DO4620" s="406">
        <v>-27.17</v>
      </c>
      <c r="DP4620" s="80">
        <v>776</v>
      </c>
    </row>
    <row r="4621" spans="29:120" x14ac:dyDescent="0.25">
      <c r="AC4621" s="122" t="s">
        <v>340</v>
      </c>
      <c r="AD4621" s="122" t="s">
        <v>4857</v>
      </c>
      <c r="AE4621" s="127">
        <v>7</v>
      </c>
      <c r="DA4621" s="122" t="s">
        <v>27</v>
      </c>
      <c r="DB4621" s="122" t="s">
        <v>8628</v>
      </c>
      <c r="DC4621" s="122" t="s">
        <v>1270</v>
      </c>
      <c r="DD4621" s="127">
        <v>3</v>
      </c>
      <c r="DE4621" s="127">
        <v>3</v>
      </c>
      <c r="DG4621" s="405" t="s">
        <v>27</v>
      </c>
      <c r="DH4621" s="406" t="s">
        <v>1270</v>
      </c>
      <c r="DI4621" s="406" t="str">
        <f t="shared" si="104"/>
        <v>SC, Presidente Getúlio</v>
      </c>
      <c r="DJ4621" s="406">
        <v>-27.050999999999998</v>
      </c>
      <c r="DK4621" s="80">
        <v>-49.622999999999998</v>
      </c>
      <c r="DL4621" s="80">
        <v>255</v>
      </c>
      <c r="DM4621" s="64">
        <v>3</v>
      </c>
      <c r="DN4621" s="406" t="s">
        <v>8530</v>
      </c>
      <c r="DO4621" s="406">
        <v>-27.42</v>
      </c>
      <c r="DP4621" s="80">
        <v>484</v>
      </c>
    </row>
    <row r="4622" spans="29:120" x14ac:dyDescent="0.25">
      <c r="AC4622" s="122" t="s">
        <v>357</v>
      </c>
      <c r="AD4622" s="122" t="s">
        <v>4858</v>
      </c>
      <c r="AE4622" s="127">
        <v>7</v>
      </c>
      <c r="DA4622" s="122" t="s">
        <v>27</v>
      </c>
      <c r="DB4622" s="122" t="s">
        <v>8629</v>
      </c>
      <c r="DC4622" s="122" t="s">
        <v>1278</v>
      </c>
      <c r="DD4622" s="127">
        <v>3</v>
      </c>
      <c r="DE4622" s="127">
        <v>3</v>
      </c>
      <c r="DG4622" s="405" t="s">
        <v>27</v>
      </c>
      <c r="DH4622" s="406" t="s">
        <v>1278</v>
      </c>
      <c r="DI4622" s="406" t="str">
        <f t="shared" si="104"/>
        <v>SC, Presidente Nereu</v>
      </c>
      <c r="DJ4622" s="406">
        <v>-27.277000000000001</v>
      </c>
      <c r="DK4622" s="80">
        <v>-49.39</v>
      </c>
      <c r="DL4622" s="80">
        <v>390</v>
      </c>
      <c r="DM4622" s="64">
        <v>3</v>
      </c>
      <c r="DN4622" s="406" t="s">
        <v>8530</v>
      </c>
      <c r="DO4622" s="406">
        <v>-27.42</v>
      </c>
      <c r="DP4622" s="80">
        <v>484</v>
      </c>
    </row>
    <row r="4623" spans="29:120" x14ac:dyDescent="0.25">
      <c r="AC4623" s="122" t="s">
        <v>340</v>
      </c>
      <c r="AD4623" s="122" t="s">
        <v>4859</v>
      </c>
      <c r="AE4623" s="127">
        <v>7</v>
      </c>
      <c r="DA4623" s="122" t="s">
        <v>27</v>
      </c>
      <c r="DB4623" s="122" t="s">
        <v>1321</v>
      </c>
      <c r="DC4623" s="122" t="s">
        <v>1321</v>
      </c>
      <c r="DD4623" s="127">
        <v>2</v>
      </c>
      <c r="DE4623" s="127">
        <v>2</v>
      </c>
      <c r="DG4623" s="405" t="s">
        <v>27</v>
      </c>
      <c r="DH4623" s="406" t="s">
        <v>1321</v>
      </c>
      <c r="DI4623" s="406" t="str">
        <f t="shared" si="104"/>
        <v>SC, Princesa</v>
      </c>
      <c r="DJ4623" s="406">
        <v>-26.442</v>
      </c>
      <c r="DK4623" s="80">
        <v>-53.597999999999999</v>
      </c>
      <c r="DL4623" s="80">
        <v>588</v>
      </c>
      <c r="DM4623" s="64">
        <v>2</v>
      </c>
      <c r="DN4623" s="406" t="s">
        <v>7833</v>
      </c>
      <c r="DO4623" s="406">
        <v>-26.29</v>
      </c>
      <c r="DP4623" s="80">
        <v>810</v>
      </c>
    </row>
    <row r="4624" spans="29:120" x14ac:dyDescent="0.25">
      <c r="AC4624" s="122" t="s">
        <v>328</v>
      </c>
      <c r="AD4624" s="122" t="s">
        <v>4860</v>
      </c>
      <c r="AE4624" s="127">
        <v>8</v>
      </c>
      <c r="DA4624" s="122" t="s">
        <v>27</v>
      </c>
      <c r="DB4624" s="122" t="s">
        <v>1133</v>
      </c>
      <c r="DC4624" s="122" t="s">
        <v>1133</v>
      </c>
      <c r="DD4624" s="127">
        <v>2</v>
      </c>
      <c r="DE4624" s="127">
        <v>2</v>
      </c>
      <c r="DG4624" s="405" t="s">
        <v>27</v>
      </c>
      <c r="DH4624" s="406" t="s">
        <v>1133</v>
      </c>
      <c r="DI4624" s="406" t="str">
        <f t="shared" si="104"/>
        <v>SC, Quilombo</v>
      </c>
      <c r="DJ4624" s="406">
        <v>-26.725999999999999</v>
      </c>
      <c r="DK4624" s="80">
        <v>-52.720999999999997</v>
      </c>
      <c r="DL4624" s="80">
        <v>425</v>
      </c>
      <c r="DM4624" s="64">
        <v>2</v>
      </c>
      <c r="DN4624" s="406" t="s">
        <v>7844</v>
      </c>
      <c r="DO4624" s="406">
        <v>-26.41</v>
      </c>
      <c r="DP4624" s="80">
        <v>960</v>
      </c>
    </row>
    <row r="4625" spans="29:120" x14ac:dyDescent="0.25">
      <c r="AC4625" s="122" t="s">
        <v>372</v>
      </c>
      <c r="AD4625" s="122" t="s">
        <v>4861</v>
      </c>
      <c r="AE4625" s="127">
        <v>8</v>
      </c>
      <c r="DA4625" s="122" t="s">
        <v>27</v>
      </c>
      <c r="DB4625" s="122" t="s">
        <v>8630</v>
      </c>
      <c r="DC4625" s="122" t="s">
        <v>1170</v>
      </c>
      <c r="DD4625" s="127">
        <v>3</v>
      </c>
      <c r="DE4625" s="127">
        <v>3</v>
      </c>
      <c r="DG4625" s="405" t="s">
        <v>27</v>
      </c>
      <c r="DH4625" s="406" t="s">
        <v>1170</v>
      </c>
      <c r="DI4625" s="406" t="str">
        <f t="shared" si="104"/>
        <v>SC, Rancho Queimado</v>
      </c>
      <c r="DJ4625" s="406">
        <v>-27.672999999999998</v>
      </c>
      <c r="DK4625" s="80">
        <v>-49.021999999999998</v>
      </c>
      <c r="DL4625" s="80">
        <v>810</v>
      </c>
      <c r="DM4625" s="64">
        <v>3</v>
      </c>
      <c r="DN4625" s="406" t="s">
        <v>8536</v>
      </c>
      <c r="DO4625" s="406">
        <v>-27.6</v>
      </c>
      <c r="DP4625" s="80">
        <v>2</v>
      </c>
    </row>
    <row r="4626" spans="29:120" x14ac:dyDescent="0.25">
      <c r="AC4626" s="122" t="s">
        <v>328</v>
      </c>
      <c r="AD4626" s="122" t="s">
        <v>4862</v>
      </c>
      <c r="AE4626" s="127">
        <v>8</v>
      </c>
      <c r="DA4626" s="122" t="s">
        <v>27</v>
      </c>
      <c r="DB4626" s="122" t="s">
        <v>8631</v>
      </c>
      <c r="DC4626" s="122" t="s">
        <v>1518</v>
      </c>
      <c r="DD4626" s="127">
        <v>2</v>
      </c>
      <c r="DE4626" s="127">
        <v>2</v>
      </c>
      <c r="DG4626" s="405" t="s">
        <v>27</v>
      </c>
      <c r="DH4626" s="406" t="s">
        <v>1518</v>
      </c>
      <c r="DI4626" s="406" t="str">
        <f t="shared" si="104"/>
        <v>SC, Rio das Antas</v>
      </c>
      <c r="DJ4626" s="406">
        <v>-26.899000000000001</v>
      </c>
      <c r="DK4626" s="80">
        <v>-51.073999999999998</v>
      </c>
      <c r="DL4626" s="80">
        <v>830</v>
      </c>
      <c r="DM4626" s="64">
        <v>2</v>
      </c>
      <c r="DN4626" s="406" t="s">
        <v>8561</v>
      </c>
      <c r="DO4626" s="406">
        <v>-26.82</v>
      </c>
      <c r="DP4626" s="80">
        <v>952</v>
      </c>
    </row>
    <row r="4627" spans="29:120" x14ac:dyDescent="0.25">
      <c r="AC4627" s="122" t="s">
        <v>328</v>
      </c>
      <c r="AD4627" s="122" t="s">
        <v>4863</v>
      </c>
      <c r="AE4627" s="127">
        <v>8</v>
      </c>
      <c r="DA4627" s="122" t="s">
        <v>27</v>
      </c>
      <c r="DB4627" s="122" t="s">
        <v>8632</v>
      </c>
      <c r="DC4627" s="122" t="s">
        <v>1538</v>
      </c>
      <c r="DD4627" s="127">
        <v>2</v>
      </c>
      <c r="DE4627" s="127">
        <v>2</v>
      </c>
      <c r="DG4627" s="405" t="s">
        <v>27</v>
      </c>
      <c r="DH4627" s="406" t="s">
        <v>1538</v>
      </c>
      <c r="DI4627" s="406" t="str">
        <f t="shared" si="104"/>
        <v>SC, Rio do Campo</v>
      </c>
      <c r="DJ4627" s="406">
        <v>-26.949000000000002</v>
      </c>
      <c r="DK4627" s="80">
        <v>-50.140999999999998</v>
      </c>
      <c r="DL4627" s="80">
        <v>570</v>
      </c>
      <c r="DM4627" s="64">
        <v>2</v>
      </c>
      <c r="DN4627" s="406" t="s">
        <v>8528</v>
      </c>
      <c r="DO4627" s="406">
        <v>-27.29</v>
      </c>
      <c r="DP4627" s="80">
        <v>982</v>
      </c>
    </row>
    <row r="4628" spans="29:120" x14ac:dyDescent="0.25">
      <c r="AC4628" s="122" t="s">
        <v>328</v>
      </c>
      <c r="AD4628" s="122" t="s">
        <v>4864</v>
      </c>
      <c r="AE4628" s="127">
        <v>8</v>
      </c>
      <c r="DA4628" s="122" t="s">
        <v>27</v>
      </c>
      <c r="DB4628" s="122" t="s">
        <v>8633</v>
      </c>
      <c r="DC4628" s="122" t="s">
        <v>1238</v>
      </c>
      <c r="DD4628" s="127">
        <v>2</v>
      </c>
      <c r="DE4628" s="127">
        <v>2</v>
      </c>
      <c r="DG4628" s="405" t="s">
        <v>27</v>
      </c>
      <c r="DH4628" s="406" t="s">
        <v>1238</v>
      </c>
      <c r="DI4628" s="406" t="str">
        <f t="shared" si="104"/>
        <v>SC, Rio do Oeste</v>
      </c>
      <c r="DJ4628" s="406">
        <v>-27.193000000000001</v>
      </c>
      <c r="DK4628" s="80">
        <v>-49.796999999999997</v>
      </c>
      <c r="DL4628" s="80">
        <v>350</v>
      </c>
      <c r="DM4628" s="64">
        <v>2</v>
      </c>
      <c r="DN4628" s="406" t="s">
        <v>8530</v>
      </c>
      <c r="DO4628" s="406">
        <v>-27.42</v>
      </c>
      <c r="DP4628" s="80">
        <v>484</v>
      </c>
    </row>
    <row r="4629" spans="29:120" x14ac:dyDescent="0.25">
      <c r="AC4629" s="122" t="s">
        <v>328</v>
      </c>
      <c r="AD4629" s="122" t="s">
        <v>4865</v>
      </c>
      <c r="AE4629" s="127">
        <v>8</v>
      </c>
      <c r="DA4629" s="122" t="s">
        <v>27</v>
      </c>
      <c r="DB4629" s="122" t="s">
        <v>8634</v>
      </c>
      <c r="DC4629" s="122" t="s">
        <v>1281</v>
      </c>
      <c r="DD4629" s="127">
        <v>2</v>
      </c>
      <c r="DE4629" s="127">
        <v>2</v>
      </c>
      <c r="DG4629" s="405" t="s">
        <v>27</v>
      </c>
      <c r="DH4629" s="406" t="s">
        <v>1281</v>
      </c>
      <c r="DI4629" s="406" t="str">
        <f t="shared" si="104"/>
        <v>SC, Rio do Sul</v>
      </c>
      <c r="DJ4629" s="406">
        <v>-27.213999999999999</v>
      </c>
      <c r="DK4629" s="80">
        <v>-49.643000000000001</v>
      </c>
      <c r="DL4629" s="80">
        <v>341</v>
      </c>
      <c r="DM4629" s="64">
        <v>2</v>
      </c>
      <c r="DN4629" s="406" t="s">
        <v>8530</v>
      </c>
      <c r="DO4629" s="406">
        <v>-27.42</v>
      </c>
      <c r="DP4629" s="80">
        <v>484</v>
      </c>
    </row>
    <row r="4630" spans="29:120" x14ac:dyDescent="0.25">
      <c r="AC4630" s="122" t="s">
        <v>328</v>
      </c>
      <c r="AD4630" s="122" t="s">
        <v>4866</v>
      </c>
      <c r="AE4630" s="127">
        <v>8</v>
      </c>
      <c r="DA4630" s="122" t="s">
        <v>27</v>
      </c>
      <c r="DB4630" s="122" t="s">
        <v>8635</v>
      </c>
      <c r="DC4630" s="122" t="s">
        <v>539</v>
      </c>
      <c r="DD4630" s="127">
        <v>3</v>
      </c>
      <c r="DE4630" s="127">
        <v>3</v>
      </c>
      <c r="DG4630" s="405" t="s">
        <v>27</v>
      </c>
      <c r="DH4630" s="406" t="s">
        <v>539</v>
      </c>
      <c r="DI4630" s="406" t="str">
        <f t="shared" si="104"/>
        <v>SC, Rio dos Cedros</v>
      </c>
      <c r="DJ4630" s="406">
        <v>-26.738</v>
      </c>
      <c r="DK4630" s="80">
        <v>-49.274000000000001</v>
      </c>
      <c r="DL4630" s="80">
        <v>85</v>
      </c>
      <c r="DM4630" s="64">
        <v>3</v>
      </c>
      <c r="DN4630" s="406" t="s">
        <v>8542</v>
      </c>
      <c r="DO4630" s="406">
        <v>-26.92</v>
      </c>
      <c r="DP4630" s="80">
        <v>86</v>
      </c>
    </row>
    <row r="4631" spans="29:120" x14ac:dyDescent="0.25">
      <c r="AC4631" s="122" t="s">
        <v>340</v>
      </c>
      <c r="AD4631" s="122" t="s">
        <v>4867</v>
      </c>
      <c r="AE4631" s="127">
        <v>8</v>
      </c>
      <c r="DA4631" s="122" t="s">
        <v>27</v>
      </c>
      <c r="DB4631" s="122" t="s">
        <v>8636</v>
      </c>
      <c r="DC4631" s="122" t="s">
        <v>1098</v>
      </c>
      <c r="DD4631" s="127">
        <v>2</v>
      </c>
      <c r="DE4631" s="127">
        <v>2</v>
      </c>
      <c r="DG4631" s="405" t="s">
        <v>27</v>
      </c>
      <c r="DH4631" s="406" t="s">
        <v>1098</v>
      </c>
      <c r="DI4631" s="406" t="str">
        <f t="shared" si="104"/>
        <v>SC, Rio Fortuna</v>
      </c>
      <c r="DJ4631" s="406">
        <v>-28.131</v>
      </c>
      <c r="DK4631" s="80">
        <v>-49.104999999999997</v>
      </c>
      <c r="DL4631" s="80">
        <v>130</v>
      </c>
      <c r="DM4631" s="64">
        <v>2</v>
      </c>
      <c r="DN4631" s="406" t="s">
        <v>8541</v>
      </c>
      <c r="DO4631" s="406">
        <v>-28.13</v>
      </c>
      <c r="DP4631" s="80">
        <v>1810</v>
      </c>
    </row>
    <row r="4632" spans="29:120" x14ac:dyDescent="0.25">
      <c r="AC4632" s="122" t="s">
        <v>393</v>
      </c>
      <c r="AD4632" s="122" t="s">
        <v>4868</v>
      </c>
      <c r="AE4632" s="127">
        <v>8</v>
      </c>
      <c r="DA4632" s="122" t="s">
        <v>27</v>
      </c>
      <c r="DB4632" s="122" t="s">
        <v>8637</v>
      </c>
      <c r="DC4632" s="122" t="s">
        <v>1418</v>
      </c>
      <c r="DD4632" s="127">
        <v>3</v>
      </c>
      <c r="DE4632" s="127">
        <v>3</v>
      </c>
      <c r="DG4632" s="405" t="s">
        <v>27</v>
      </c>
      <c r="DH4632" s="406" t="s">
        <v>1418</v>
      </c>
      <c r="DI4632" s="406" t="str">
        <f t="shared" si="104"/>
        <v>SC, Rio Negrinho</v>
      </c>
      <c r="DJ4632" s="406">
        <v>-26.254000000000001</v>
      </c>
      <c r="DK4632" s="80">
        <v>-49.518000000000001</v>
      </c>
      <c r="DL4632" s="80">
        <v>790</v>
      </c>
      <c r="DM4632" s="64">
        <v>3</v>
      </c>
      <c r="DN4632" s="406" t="s">
        <v>7809</v>
      </c>
      <c r="DO4632" s="406">
        <v>-26.25</v>
      </c>
      <c r="DP4632" s="80">
        <v>869</v>
      </c>
    </row>
    <row r="4633" spans="29:120" x14ac:dyDescent="0.25">
      <c r="AC4633" s="122" t="s">
        <v>393</v>
      </c>
      <c r="AD4633" s="122" t="s">
        <v>4869</v>
      </c>
      <c r="AE4633" s="127">
        <v>8</v>
      </c>
      <c r="DA4633" s="122" t="s">
        <v>27</v>
      </c>
      <c r="DB4633" s="122" t="s">
        <v>8638</v>
      </c>
      <c r="DC4633" s="122" t="s">
        <v>1163</v>
      </c>
      <c r="DD4633" s="127">
        <v>1</v>
      </c>
      <c r="DE4633" s="127">
        <v>1</v>
      </c>
      <c r="DG4633" s="405" t="s">
        <v>27</v>
      </c>
      <c r="DH4633" s="406" t="s">
        <v>1163</v>
      </c>
      <c r="DI4633" s="406" t="str">
        <f t="shared" si="104"/>
        <v>SC, Rio Rufino</v>
      </c>
      <c r="DJ4633" s="406">
        <v>-27.861000000000001</v>
      </c>
      <c r="DK4633" s="80">
        <v>-49.779000000000003</v>
      </c>
      <c r="DL4633" s="80">
        <v>860</v>
      </c>
      <c r="DM4633" s="64">
        <v>1</v>
      </c>
      <c r="DN4633" s="406" t="s">
        <v>8541</v>
      </c>
      <c r="DO4633" s="406">
        <v>-28.13</v>
      </c>
      <c r="DP4633" s="80">
        <v>1810</v>
      </c>
    </row>
    <row r="4634" spans="29:120" x14ac:dyDescent="0.25">
      <c r="AC4634" s="122" t="s">
        <v>328</v>
      </c>
      <c r="AD4634" s="122" t="s">
        <v>4870</v>
      </c>
      <c r="AE4634" s="127">
        <v>7</v>
      </c>
      <c r="DA4634" s="122" t="s">
        <v>27</v>
      </c>
      <c r="DB4634" s="122" t="s">
        <v>1617</v>
      </c>
      <c r="DC4634" s="122" t="s">
        <v>1617</v>
      </c>
      <c r="DD4634" s="127">
        <v>2</v>
      </c>
      <c r="DE4634" s="127">
        <v>2</v>
      </c>
      <c r="DG4634" s="405" t="s">
        <v>27</v>
      </c>
      <c r="DH4634" s="406" t="s">
        <v>1617</v>
      </c>
      <c r="DI4634" s="406" t="str">
        <f t="shared" si="104"/>
        <v>SC, Riqueza</v>
      </c>
      <c r="DJ4634" s="406">
        <v>-27.067</v>
      </c>
      <c r="DK4634" s="80">
        <v>-53.322000000000003</v>
      </c>
      <c r="DL4634" s="80">
        <v>236</v>
      </c>
      <c r="DM4634" s="64">
        <v>2</v>
      </c>
      <c r="DN4634" s="406" t="s">
        <v>8539</v>
      </c>
      <c r="DO4634" s="406">
        <v>-26.78</v>
      </c>
      <c r="DP4634" s="80">
        <v>665</v>
      </c>
    </row>
    <row r="4635" spans="29:120" x14ac:dyDescent="0.25">
      <c r="AC4635" s="122" t="s">
        <v>357</v>
      </c>
      <c r="AD4635" s="122" t="s">
        <v>4871</v>
      </c>
      <c r="AE4635" s="127">
        <v>7</v>
      </c>
      <c r="DA4635" s="122" t="s">
        <v>27</v>
      </c>
      <c r="DB4635" s="122" t="s">
        <v>1395</v>
      </c>
      <c r="DC4635" s="122" t="s">
        <v>1395</v>
      </c>
      <c r="DD4635" s="127">
        <v>3</v>
      </c>
      <c r="DE4635" s="127">
        <v>3</v>
      </c>
      <c r="DG4635" s="405" t="s">
        <v>27</v>
      </c>
      <c r="DH4635" s="406" t="s">
        <v>1395</v>
      </c>
      <c r="DI4635" s="406" t="str">
        <f t="shared" si="104"/>
        <v>SC, Rodeio</v>
      </c>
      <c r="DJ4635" s="406">
        <v>-26.922999999999998</v>
      </c>
      <c r="DK4635" s="80">
        <v>-49.366</v>
      </c>
      <c r="DL4635" s="80">
        <v>106</v>
      </c>
      <c r="DM4635" s="64">
        <v>3</v>
      </c>
      <c r="DN4635" s="406" t="s">
        <v>8542</v>
      </c>
      <c r="DO4635" s="406">
        <v>-26.92</v>
      </c>
      <c r="DP4635" s="80">
        <v>86</v>
      </c>
    </row>
    <row r="4636" spans="29:120" x14ac:dyDescent="0.25">
      <c r="AC4636" s="122" t="s">
        <v>234</v>
      </c>
      <c r="AD4636" s="122" t="s">
        <v>4872</v>
      </c>
      <c r="AE4636" s="127">
        <v>8</v>
      </c>
      <c r="DA4636" s="122" t="s">
        <v>27</v>
      </c>
      <c r="DB4636" s="122" t="s">
        <v>1309</v>
      </c>
      <c r="DC4636" s="122" t="s">
        <v>1309</v>
      </c>
      <c r="DD4636" s="127">
        <v>2</v>
      </c>
      <c r="DE4636" s="127">
        <v>2</v>
      </c>
      <c r="DG4636" s="405" t="s">
        <v>27</v>
      </c>
      <c r="DH4636" s="406" t="s">
        <v>1309</v>
      </c>
      <c r="DI4636" s="406" t="str">
        <f t="shared" si="104"/>
        <v>SC, Romelândia</v>
      </c>
      <c r="DJ4636" s="406">
        <v>-26.675999999999998</v>
      </c>
      <c r="DK4636" s="80">
        <v>-53.314</v>
      </c>
      <c r="DL4636" s="80">
        <v>425</v>
      </c>
      <c r="DM4636" s="64">
        <v>2</v>
      </c>
      <c r="DN4636" s="406" t="s">
        <v>8539</v>
      </c>
      <c r="DO4636" s="406">
        <v>-26.78</v>
      </c>
      <c r="DP4636" s="80">
        <v>665</v>
      </c>
    </row>
    <row r="4637" spans="29:120" x14ac:dyDescent="0.25">
      <c r="AC4637" s="122" t="s">
        <v>372</v>
      </c>
      <c r="AD4637" s="122" t="s">
        <v>4873</v>
      </c>
      <c r="AE4637" s="127">
        <v>8</v>
      </c>
      <c r="DA4637" s="122" t="s">
        <v>27</v>
      </c>
      <c r="DB4637" s="122" t="s">
        <v>1473</v>
      </c>
      <c r="DC4637" s="122" t="s">
        <v>1473</v>
      </c>
      <c r="DD4637" s="127">
        <v>2</v>
      </c>
      <c r="DE4637" s="127">
        <v>2</v>
      </c>
      <c r="DG4637" s="405" t="s">
        <v>27</v>
      </c>
      <c r="DH4637" s="406" t="s">
        <v>1473</v>
      </c>
      <c r="DI4637" s="406" t="str">
        <f t="shared" si="104"/>
        <v>SC, Salete</v>
      </c>
      <c r="DJ4637" s="406">
        <v>-26.98</v>
      </c>
      <c r="DK4637" s="80">
        <v>-50</v>
      </c>
      <c r="DL4637" s="80">
        <v>500</v>
      </c>
      <c r="DM4637" s="64">
        <v>2</v>
      </c>
      <c r="DN4637" s="406" t="s">
        <v>8530</v>
      </c>
      <c r="DO4637" s="406">
        <v>-27.42</v>
      </c>
      <c r="DP4637" s="80">
        <v>484</v>
      </c>
    </row>
    <row r="4638" spans="29:120" x14ac:dyDescent="0.25">
      <c r="AC4638" s="122" t="s">
        <v>393</v>
      </c>
      <c r="AD4638" s="122" t="s">
        <v>4874</v>
      </c>
      <c r="AE4638" s="127">
        <v>8</v>
      </c>
      <c r="DA4638" s="122" t="s">
        <v>27</v>
      </c>
      <c r="DB4638" s="122" t="s">
        <v>1102</v>
      </c>
      <c r="DC4638" s="122" t="s">
        <v>1102</v>
      </c>
      <c r="DD4638" s="127">
        <v>2</v>
      </c>
      <c r="DE4638" s="127">
        <v>2</v>
      </c>
      <c r="DG4638" s="405" t="s">
        <v>27</v>
      </c>
      <c r="DH4638" s="406" t="s">
        <v>1102</v>
      </c>
      <c r="DI4638" s="406" t="str">
        <f t="shared" si="104"/>
        <v>SC, Saltinho</v>
      </c>
      <c r="DJ4638" s="406">
        <v>-26.609000000000002</v>
      </c>
      <c r="DK4638" s="80">
        <v>-53.055999999999997</v>
      </c>
      <c r="DL4638" s="80">
        <v>620</v>
      </c>
      <c r="DM4638" s="64">
        <v>2</v>
      </c>
      <c r="DN4638" s="406" t="s">
        <v>7844</v>
      </c>
      <c r="DO4638" s="406">
        <v>-26.41</v>
      </c>
      <c r="DP4638" s="80">
        <v>960</v>
      </c>
    </row>
    <row r="4639" spans="29:120" x14ac:dyDescent="0.25">
      <c r="AC4639" s="122" t="s">
        <v>328</v>
      </c>
      <c r="AD4639" s="122" t="s">
        <v>4875</v>
      </c>
      <c r="AE4639" s="127">
        <v>8</v>
      </c>
      <c r="DA4639" s="122" t="s">
        <v>27</v>
      </c>
      <c r="DB4639" s="122" t="s">
        <v>8639</v>
      </c>
      <c r="DC4639" s="122" t="s">
        <v>1520</v>
      </c>
      <c r="DD4639" s="127">
        <v>2</v>
      </c>
      <c r="DE4639" s="127">
        <v>2</v>
      </c>
      <c r="DG4639" s="405" t="s">
        <v>27</v>
      </c>
      <c r="DH4639" s="406" t="s">
        <v>1520</v>
      </c>
      <c r="DI4639" s="406" t="str">
        <f t="shared" si="104"/>
        <v>SC, Salto Veloso</v>
      </c>
      <c r="DJ4639" s="406">
        <v>-26.905000000000001</v>
      </c>
      <c r="DK4639" s="80">
        <v>-51.405999999999999</v>
      </c>
      <c r="DL4639" s="80">
        <v>820</v>
      </c>
      <c r="DM4639" s="64">
        <v>2</v>
      </c>
      <c r="DN4639" s="406" t="s">
        <v>8250</v>
      </c>
      <c r="DO4639" s="406">
        <v>-27.17</v>
      </c>
      <c r="DP4639" s="80">
        <v>776</v>
      </c>
    </row>
    <row r="4640" spans="29:120" x14ac:dyDescent="0.25">
      <c r="AC4640" s="122" t="s">
        <v>328</v>
      </c>
      <c r="AD4640" s="122" t="s">
        <v>4876</v>
      </c>
      <c r="AE4640" s="127">
        <v>7</v>
      </c>
      <c r="DA4640" s="122" t="s">
        <v>27</v>
      </c>
      <c r="DB4640" s="122" t="s">
        <v>1345</v>
      </c>
      <c r="DC4640" s="122" t="s">
        <v>1345</v>
      </c>
      <c r="DD4640" s="127">
        <v>2</v>
      </c>
      <c r="DE4640" s="127">
        <v>2</v>
      </c>
      <c r="DG4640" s="405" t="s">
        <v>27</v>
      </c>
      <c r="DH4640" s="406" t="s">
        <v>1345</v>
      </c>
      <c r="DI4640" s="406" t="str">
        <f t="shared" si="104"/>
        <v>SC, Sangão</v>
      </c>
      <c r="DJ4640" s="406">
        <v>-28.638000000000002</v>
      </c>
      <c r="DK4640" s="80">
        <v>-49.128999999999998</v>
      </c>
      <c r="DL4640" s="80">
        <v>50</v>
      </c>
      <c r="DM4640" s="64">
        <v>2</v>
      </c>
      <c r="DN4640" s="406" t="s">
        <v>8544</v>
      </c>
      <c r="DO4640" s="406">
        <v>-28.53</v>
      </c>
      <c r="DP4640" s="80">
        <v>48</v>
      </c>
    </row>
    <row r="4641" spans="29:120" x14ac:dyDescent="0.25">
      <c r="AC4641" s="122" t="s">
        <v>344</v>
      </c>
      <c r="AD4641" s="122" t="s">
        <v>4877</v>
      </c>
      <c r="AE4641" s="127">
        <v>8</v>
      </c>
      <c r="DA4641" s="122" t="s">
        <v>27</v>
      </c>
      <c r="DB4641" s="122" t="s">
        <v>7554</v>
      </c>
      <c r="DC4641" s="122" t="s">
        <v>1565</v>
      </c>
      <c r="DD4641" s="127">
        <v>2</v>
      </c>
      <c r="DE4641" s="127">
        <v>2</v>
      </c>
      <c r="DG4641" s="405" t="s">
        <v>27</v>
      </c>
      <c r="DH4641" s="406" t="s">
        <v>1565</v>
      </c>
      <c r="DI4641" s="406" t="str">
        <f t="shared" si="104"/>
        <v>SC, Santa Cecília</v>
      </c>
      <c r="DJ4641" s="406">
        <v>-26.960999999999999</v>
      </c>
      <c r="DK4641" s="80">
        <v>-50.427</v>
      </c>
      <c r="DL4641" s="80">
        <v>1100</v>
      </c>
      <c r="DM4641" s="64">
        <v>2</v>
      </c>
      <c r="DN4641" s="406" t="s">
        <v>8528</v>
      </c>
      <c r="DO4641" s="406">
        <v>-27.29</v>
      </c>
      <c r="DP4641" s="80">
        <v>982</v>
      </c>
    </row>
    <row r="4642" spans="29:120" x14ac:dyDescent="0.25">
      <c r="AC4642" s="122" t="s">
        <v>340</v>
      </c>
      <c r="AD4642" s="122" t="s">
        <v>4878</v>
      </c>
      <c r="AE4642" s="127">
        <v>7</v>
      </c>
      <c r="DA4642" s="122" t="s">
        <v>27</v>
      </c>
      <c r="DB4642" s="122" t="s">
        <v>6748</v>
      </c>
      <c r="DC4642" s="122" t="s">
        <v>1704</v>
      </c>
      <c r="DD4642" s="127">
        <v>2</v>
      </c>
      <c r="DE4642" s="127">
        <v>2</v>
      </c>
      <c r="DG4642" s="405" t="s">
        <v>27</v>
      </c>
      <c r="DH4642" s="406" t="s">
        <v>1704</v>
      </c>
      <c r="DI4642" s="406" t="str">
        <f t="shared" si="104"/>
        <v>SC, Santa Helena</v>
      </c>
      <c r="DJ4642" s="406">
        <v>-26.937999999999999</v>
      </c>
      <c r="DK4642" s="80">
        <v>-53.619</v>
      </c>
      <c r="DL4642" s="80">
        <v>530</v>
      </c>
      <c r="DM4642" s="64">
        <v>2</v>
      </c>
      <c r="DN4642" s="406" t="s">
        <v>8539</v>
      </c>
      <c r="DO4642" s="406">
        <v>-26.78</v>
      </c>
      <c r="DP4642" s="80">
        <v>665</v>
      </c>
    </row>
    <row r="4643" spans="29:120" x14ac:dyDescent="0.25">
      <c r="AC4643" s="122" t="s">
        <v>340</v>
      </c>
      <c r="AD4643" s="122" t="s">
        <v>4879</v>
      </c>
      <c r="AE4643" s="127">
        <v>8</v>
      </c>
      <c r="DA4643" s="122" t="s">
        <v>27</v>
      </c>
      <c r="DB4643" s="122" t="s">
        <v>8640</v>
      </c>
      <c r="DC4643" s="122" t="s">
        <v>1099</v>
      </c>
      <c r="DD4643" s="127">
        <v>2</v>
      </c>
      <c r="DE4643" s="127">
        <v>2</v>
      </c>
      <c r="DG4643" s="405" t="s">
        <v>27</v>
      </c>
      <c r="DH4643" s="406" t="s">
        <v>1099</v>
      </c>
      <c r="DI4643" s="406" t="str">
        <f t="shared" si="104"/>
        <v>SC, Santa Rosa de Lima</v>
      </c>
      <c r="DJ4643" s="406">
        <v>-28.039000000000001</v>
      </c>
      <c r="DK4643" s="80">
        <v>-49.128</v>
      </c>
      <c r="DL4643" s="80">
        <v>240</v>
      </c>
      <c r="DM4643" s="64">
        <v>2</v>
      </c>
      <c r="DN4643" s="406" t="s">
        <v>8541</v>
      </c>
      <c r="DO4643" s="406">
        <v>-28.13</v>
      </c>
      <c r="DP4643" s="80">
        <v>1810</v>
      </c>
    </row>
    <row r="4644" spans="29:120" x14ac:dyDescent="0.25">
      <c r="AC4644" s="122" t="s">
        <v>328</v>
      </c>
      <c r="AD4644" s="122" t="s">
        <v>4880</v>
      </c>
      <c r="AE4644" s="127">
        <v>8</v>
      </c>
      <c r="DA4644" s="122" t="s">
        <v>27</v>
      </c>
      <c r="DB4644" s="122" t="s">
        <v>8641</v>
      </c>
      <c r="DC4644" s="122" t="s">
        <v>1403</v>
      </c>
      <c r="DD4644" s="127">
        <v>3</v>
      </c>
      <c r="DE4644" s="127">
        <v>3</v>
      </c>
      <c r="DG4644" s="405" t="s">
        <v>27</v>
      </c>
      <c r="DH4644" s="406" t="s">
        <v>1403</v>
      </c>
      <c r="DI4644" s="406" t="str">
        <f t="shared" si="104"/>
        <v>SC, Santa Rosa do Sul</v>
      </c>
      <c r="DJ4644" s="406">
        <v>-29.135999999999999</v>
      </c>
      <c r="DK4644" s="80">
        <v>-49.7</v>
      </c>
      <c r="DL4644" s="80">
        <v>30</v>
      </c>
      <c r="DM4644" s="64">
        <v>3</v>
      </c>
      <c r="DN4644" s="406" t="s">
        <v>8233</v>
      </c>
      <c r="DO4644" s="406">
        <v>-29.33</v>
      </c>
      <c r="DP4644" s="80">
        <v>5</v>
      </c>
    </row>
    <row r="4645" spans="29:120" x14ac:dyDescent="0.25">
      <c r="AC4645" s="122" t="s">
        <v>340</v>
      </c>
      <c r="AD4645" s="122" t="s">
        <v>4881</v>
      </c>
      <c r="AE4645" s="127">
        <v>7</v>
      </c>
      <c r="DA4645" s="122" t="s">
        <v>27</v>
      </c>
      <c r="DB4645" s="122" t="s">
        <v>7392</v>
      </c>
      <c r="DC4645" s="122" t="s">
        <v>1488</v>
      </c>
      <c r="DD4645" s="127">
        <v>2</v>
      </c>
      <c r="DE4645" s="127">
        <v>2</v>
      </c>
      <c r="DG4645" s="405" t="s">
        <v>27</v>
      </c>
      <c r="DH4645" s="406" t="s">
        <v>1488</v>
      </c>
      <c r="DI4645" s="406" t="str">
        <f t="shared" si="104"/>
        <v>SC, Santa Terezinha</v>
      </c>
      <c r="DJ4645" s="406">
        <v>-26.779</v>
      </c>
      <c r="DK4645" s="80">
        <v>-50.008000000000003</v>
      </c>
      <c r="DL4645" s="80">
        <v>610</v>
      </c>
      <c r="DM4645" s="64">
        <v>2</v>
      </c>
      <c r="DN4645" s="406" t="s">
        <v>7825</v>
      </c>
      <c r="DO4645" s="406">
        <v>-26.4</v>
      </c>
      <c r="DP4645" s="80">
        <v>808</v>
      </c>
    </row>
    <row r="4646" spans="29:120" x14ac:dyDescent="0.25">
      <c r="AC4646" s="122" t="s">
        <v>344</v>
      </c>
      <c r="AD4646" s="122" t="s">
        <v>4882</v>
      </c>
      <c r="AE4646" s="127">
        <v>8</v>
      </c>
      <c r="DA4646" s="122" t="s">
        <v>27</v>
      </c>
      <c r="DB4646" s="122" t="s">
        <v>8642</v>
      </c>
      <c r="DC4646" s="122" t="s">
        <v>1196</v>
      </c>
      <c r="DD4646" s="127">
        <v>2</v>
      </c>
      <c r="DE4646" s="127">
        <v>2</v>
      </c>
      <c r="DG4646" s="405" t="s">
        <v>27</v>
      </c>
      <c r="DH4646" s="406" t="s">
        <v>1196</v>
      </c>
      <c r="DI4646" s="406" t="str">
        <f t="shared" si="104"/>
        <v>SC, Santa Terezinha do Progresso</v>
      </c>
      <c r="DJ4646" s="406">
        <v>-26.619</v>
      </c>
      <c r="DK4646" s="80">
        <v>-53.201999999999998</v>
      </c>
      <c r="DL4646" s="80">
        <v>400</v>
      </c>
      <c r="DM4646" s="64">
        <v>2</v>
      </c>
      <c r="DN4646" s="406" t="s">
        <v>8539</v>
      </c>
      <c r="DO4646" s="406">
        <v>-26.78</v>
      </c>
      <c r="DP4646" s="80">
        <v>665</v>
      </c>
    </row>
    <row r="4647" spans="29:120" x14ac:dyDescent="0.25">
      <c r="AC4647" s="122" t="s">
        <v>328</v>
      </c>
      <c r="AD4647" s="122" t="s">
        <v>4883</v>
      </c>
      <c r="AE4647" s="127">
        <v>7</v>
      </c>
      <c r="DA4647" s="122" t="s">
        <v>27</v>
      </c>
      <c r="DB4647" s="122" t="s">
        <v>8643</v>
      </c>
      <c r="DC4647" s="122" t="s">
        <v>1116</v>
      </c>
      <c r="DD4647" s="127">
        <v>2</v>
      </c>
      <c r="DE4647" s="127">
        <v>2</v>
      </c>
      <c r="DG4647" s="405" t="s">
        <v>27</v>
      </c>
      <c r="DH4647" s="406" t="s">
        <v>1116</v>
      </c>
      <c r="DI4647" s="406" t="str">
        <f t="shared" si="104"/>
        <v>SC, Santiago do Sul</v>
      </c>
      <c r="DJ4647" s="406">
        <v>-26.638999999999999</v>
      </c>
      <c r="DK4647" s="80">
        <v>-52.685000000000002</v>
      </c>
      <c r="DL4647" s="80">
        <v>450</v>
      </c>
      <c r="DM4647" s="64">
        <v>2</v>
      </c>
      <c r="DN4647" s="406" t="s">
        <v>7844</v>
      </c>
      <c r="DO4647" s="406">
        <v>-26.41</v>
      </c>
      <c r="DP4647" s="80">
        <v>960</v>
      </c>
    </row>
    <row r="4648" spans="29:120" x14ac:dyDescent="0.25">
      <c r="AC4648" s="122" t="s">
        <v>328</v>
      </c>
      <c r="AD4648" s="122" t="s">
        <v>4884</v>
      </c>
      <c r="AE4648" s="127">
        <v>7</v>
      </c>
      <c r="DA4648" s="122" t="s">
        <v>27</v>
      </c>
      <c r="DB4648" s="122" t="s">
        <v>8644</v>
      </c>
      <c r="DC4648" s="122" t="s">
        <v>1245</v>
      </c>
      <c r="DD4648" s="127">
        <v>3</v>
      </c>
      <c r="DE4648" s="127">
        <v>3</v>
      </c>
      <c r="DG4648" s="405" t="s">
        <v>27</v>
      </c>
      <c r="DH4648" s="406" t="s">
        <v>1245</v>
      </c>
      <c r="DI4648" s="406" t="str">
        <f t="shared" si="104"/>
        <v>SC, Santo Amaro da Imperatriz</v>
      </c>
      <c r="DJ4648" s="406">
        <v>-27.687999999999999</v>
      </c>
      <c r="DK4648" s="80">
        <v>-48.779000000000003</v>
      </c>
      <c r="DL4648" s="80">
        <v>18</v>
      </c>
      <c r="DM4648" s="64">
        <v>3</v>
      </c>
      <c r="DN4648" s="406" t="s">
        <v>8536</v>
      </c>
      <c r="DO4648" s="406">
        <v>-27.6</v>
      </c>
      <c r="DP4648" s="80">
        <v>2</v>
      </c>
    </row>
    <row r="4649" spans="29:120" x14ac:dyDescent="0.25">
      <c r="AC4649" s="122" t="s">
        <v>340</v>
      </c>
      <c r="AD4649" s="122" t="s">
        <v>4885</v>
      </c>
      <c r="AE4649" s="127">
        <v>8</v>
      </c>
      <c r="DA4649" s="122" t="s">
        <v>27</v>
      </c>
      <c r="DB4649" s="122" t="s">
        <v>8645</v>
      </c>
      <c r="DC4649" s="122" t="s">
        <v>725</v>
      </c>
      <c r="DD4649" s="127">
        <v>3</v>
      </c>
      <c r="DE4649" s="127">
        <v>3</v>
      </c>
      <c r="DG4649" s="405" t="s">
        <v>27</v>
      </c>
      <c r="DH4649" s="406" t="s">
        <v>725</v>
      </c>
      <c r="DI4649" s="406" t="str">
        <f t="shared" si="104"/>
        <v>SC, São Bento do Sul</v>
      </c>
      <c r="DJ4649" s="406">
        <v>-26.25</v>
      </c>
      <c r="DK4649" s="80">
        <v>-49.378999999999998</v>
      </c>
      <c r="DL4649" s="80">
        <v>838</v>
      </c>
      <c r="DM4649" s="64">
        <v>3</v>
      </c>
      <c r="DN4649" s="406" t="s">
        <v>7809</v>
      </c>
      <c r="DO4649" s="406">
        <v>-26.25</v>
      </c>
      <c r="DP4649" s="80">
        <v>869</v>
      </c>
    </row>
    <row r="4650" spans="29:120" x14ac:dyDescent="0.25">
      <c r="AC4650" s="122" t="s">
        <v>328</v>
      </c>
      <c r="AD4650" s="122" t="s">
        <v>4886</v>
      </c>
      <c r="AE4650" s="127">
        <v>7</v>
      </c>
      <c r="DA4650" s="122" t="s">
        <v>27</v>
      </c>
      <c r="DB4650" s="122" t="s">
        <v>8646</v>
      </c>
      <c r="DC4650" s="122" t="s">
        <v>1092</v>
      </c>
      <c r="DD4650" s="127">
        <v>2</v>
      </c>
      <c r="DE4650" s="127">
        <v>2</v>
      </c>
      <c r="DG4650" s="405" t="s">
        <v>27</v>
      </c>
      <c r="DH4650" s="406" t="s">
        <v>1092</v>
      </c>
      <c r="DI4650" s="406" t="str">
        <f t="shared" si="104"/>
        <v>SC, São Bernardino</v>
      </c>
      <c r="DJ4650" s="406">
        <v>-26.475000000000001</v>
      </c>
      <c r="DK4650" s="80">
        <v>-52.963999999999999</v>
      </c>
      <c r="DL4650" s="80">
        <v>540</v>
      </c>
      <c r="DM4650" s="64">
        <v>2</v>
      </c>
      <c r="DN4650" s="406" t="s">
        <v>7844</v>
      </c>
      <c r="DO4650" s="406">
        <v>-26.41</v>
      </c>
      <c r="DP4650" s="80">
        <v>960</v>
      </c>
    </row>
    <row r="4651" spans="29:120" x14ac:dyDescent="0.25">
      <c r="AC4651" s="122" t="s">
        <v>372</v>
      </c>
      <c r="AD4651" s="122" t="s">
        <v>4887</v>
      </c>
      <c r="AE4651" s="127">
        <v>8</v>
      </c>
      <c r="DA4651" s="122" t="s">
        <v>27</v>
      </c>
      <c r="DB4651" s="122" t="s">
        <v>8647</v>
      </c>
      <c r="DC4651" s="122" t="s">
        <v>1113</v>
      </c>
      <c r="DD4651" s="127">
        <v>2</v>
      </c>
      <c r="DE4651" s="127">
        <v>2</v>
      </c>
      <c r="DG4651" s="405" t="s">
        <v>27</v>
      </c>
      <c r="DH4651" s="406" t="s">
        <v>1113</v>
      </c>
      <c r="DI4651" s="406" t="str">
        <f t="shared" si="104"/>
        <v>SC, São Bonifácio</v>
      </c>
      <c r="DJ4651" s="406">
        <v>-27.901</v>
      </c>
      <c r="DK4651" s="80">
        <v>-48.929000000000002</v>
      </c>
      <c r="DL4651" s="80">
        <v>410</v>
      </c>
      <c r="DM4651" s="64">
        <v>2</v>
      </c>
      <c r="DN4651" s="406" t="s">
        <v>8536</v>
      </c>
      <c r="DO4651" s="406">
        <v>-27.6</v>
      </c>
      <c r="DP4651" s="80">
        <v>2</v>
      </c>
    </row>
    <row r="4652" spans="29:120" x14ac:dyDescent="0.25">
      <c r="AC4652" s="122" t="s">
        <v>393</v>
      </c>
      <c r="AD4652" s="122" t="s">
        <v>4888</v>
      </c>
      <c r="AE4652" s="127">
        <v>7</v>
      </c>
      <c r="DA4652" s="122" t="s">
        <v>27</v>
      </c>
      <c r="DB4652" s="122" t="s">
        <v>8648</v>
      </c>
      <c r="DC4652" s="122" t="s">
        <v>737</v>
      </c>
      <c r="DD4652" s="127">
        <v>2</v>
      </c>
      <c r="DE4652" s="127">
        <v>2</v>
      </c>
      <c r="DG4652" s="405" t="s">
        <v>27</v>
      </c>
      <c r="DH4652" s="406" t="s">
        <v>737</v>
      </c>
      <c r="DI4652" s="406" t="str">
        <f t="shared" si="104"/>
        <v>SC, São Carlos</v>
      </c>
      <c r="DJ4652" s="406">
        <v>-27.077999999999999</v>
      </c>
      <c r="DK4652" s="80">
        <v>-53.003999999999998</v>
      </c>
      <c r="DL4652" s="80">
        <v>264</v>
      </c>
      <c r="DM4652" s="64">
        <v>2</v>
      </c>
      <c r="DN4652" s="406" t="s">
        <v>8215</v>
      </c>
      <c r="DO4652" s="406">
        <v>-27.4</v>
      </c>
      <c r="DP4652" s="80">
        <v>490</v>
      </c>
    </row>
    <row r="4653" spans="29:120" x14ac:dyDescent="0.25">
      <c r="AC4653" s="122" t="s">
        <v>340</v>
      </c>
      <c r="AD4653" s="122" t="s">
        <v>2075</v>
      </c>
      <c r="AE4653" s="127">
        <v>6</v>
      </c>
      <c r="DA4653" s="122" t="s">
        <v>27</v>
      </c>
      <c r="DB4653" s="122" t="s">
        <v>8649</v>
      </c>
      <c r="DC4653" s="122" t="s">
        <v>1272</v>
      </c>
      <c r="DD4653" s="127">
        <v>2</v>
      </c>
      <c r="DE4653" s="127">
        <v>2</v>
      </c>
      <c r="DG4653" s="405" t="s">
        <v>27</v>
      </c>
      <c r="DH4653" s="406" t="s">
        <v>1272</v>
      </c>
      <c r="DI4653" s="406" t="str">
        <f t="shared" si="104"/>
        <v>SC, São Cristovão do Sul</v>
      </c>
      <c r="DJ4653" s="406">
        <v>-27.266999999999999</v>
      </c>
      <c r="DK4653" s="80">
        <v>-50.441000000000003</v>
      </c>
      <c r="DL4653" s="80">
        <v>1025</v>
      </c>
      <c r="DM4653" s="64">
        <v>2</v>
      </c>
      <c r="DN4653" s="406" t="s">
        <v>8528</v>
      </c>
      <c r="DO4653" s="406">
        <v>-27.29</v>
      </c>
      <c r="DP4653" s="80">
        <v>982</v>
      </c>
    </row>
    <row r="4654" spans="29:120" x14ac:dyDescent="0.25">
      <c r="AC4654" s="122" t="s">
        <v>328</v>
      </c>
      <c r="AD4654" s="122" t="s">
        <v>4889</v>
      </c>
      <c r="AE4654" s="127">
        <v>8</v>
      </c>
      <c r="DA4654" s="122" t="s">
        <v>27</v>
      </c>
      <c r="DB4654" s="122" t="s">
        <v>6368</v>
      </c>
      <c r="DC4654" s="122" t="s">
        <v>1486</v>
      </c>
      <c r="DD4654" s="127">
        <v>2</v>
      </c>
      <c r="DE4654" s="127">
        <v>2</v>
      </c>
      <c r="DG4654" s="405" t="s">
        <v>27</v>
      </c>
      <c r="DH4654" s="406" t="s">
        <v>1486</v>
      </c>
      <c r="DI4654" s="406" t="str">
        <f t="shared" si="104"/>
        <v>SC, São Domingos</v>
      </c>
      <c r="DJ4654" s="406">
        <v>-26.558</v>
      </c>
      <c r="DK4654" s="80">
        <v>-52.531999999999996</v>
      </c>
      <c r="DL4654" s="80">
        <v>635</v>
      </c>
      <c r="DM4654" s="64">
        <v>2</v>
      </c>
      <c r="DN4654" s="406" t="s">
        <v>7856</v>
      </c>
      <c r="DO4654" s="406">
        <v>-26.42</v>
      </c>
      <c r="DP4654" s="80">
        <v>980</v>
      </c>
    </row>
    <row r="4655" spans="29:120" x14ac:dyDescent="0.25">
      <c r="AC4655" s="122" t="s">
        <v>328</v>
      </c>
      <c r="AD4655" s="122" t="s">
        <v>4890</v>
      </c>
      <c r="AE4655" s="127">
        <v>7</v>
      </c>
      <c r="DA4655" s="122" t="s">
        <v>27</v>
      </c>
      <c r="DB4655" s="122" t="s">
        <v>8650</v>
      </c>
      <c r="DC4655" s="122" t="s">
        <v>1210</v>
      </c>
      <c r="DD4655" s="127">
        <v>5</v>
      </c>
      <c r="DE4655" s="127">
        <v>5</v>
      </c>
      <c r="DG4655" s="405" t="s">
        <v>27</v>
      </c>
      <c r="DH4655" s="406" t="s">
        <v>1210</v>
      </c>
      <c r="DI4655" s="406" t="str">
        <f t="shared" si="104"/>
        <v>SC, São Francisco do Sul</v>
      </c>
      <c r="DJ4655" s="406">
        <v>-26.242999999999999</v>
      </c>
      <c r="DK4655" s="80">
        <v>-48.637999999999998</v>
      </c>
      <c r="DL4655" s="80">
        <v>9</v>
      </c>
      <c r="DM4655" s="64">
        <v>5</v>
      </c>
      <c r="DN4655" s="406" t="s">
        <v>7896</v>
      </c>
      <c r="DO4655" s="406">
        <v>-26.12</v>
      </c>
      <c r="DP4655" s="80">
        <v>2</v>
      </c>
    </row>
    <row r="4656" spans="29:120" x14ac:dyDescent="0.25">
      <c r="AC4656" s="122" t="s">
        <v>328</v>
      </c>
      <c r="AD4656" s="122" t="s">
        <v>4891</v>
      </c>
      <c r="AE4656" s="127">
        <v>7</v>
      </c>
      <c r="DA4656" s="122" t="s">
        <v>27</v>
      </c>
      <c r="DB4656" s="122" t="s">
        <v>6763</v>
      </c>
      <c r="DC4656" s="122" t="s">
        <v>1280</v>
      </c>
      <c r="DD4656" s="127">
        <v>3</v>
      </c>
      <c r="DE4656" s="127">
        <v>3</v>
      </c>
      <c r="DG4656" s="405" t="s">
        <v>27</v>
      </c>
      <c r="DH4656" s="406" t="s">
        <v>1280</v>
      </c>
      <c r="DI4656" s="406" t="str">
        <f t="shared" si="104"/>
        <v>SC, São João Batista</v>
      </c>
      <c r="DJ4656" s="406">
        <v>-27.276</v>
      </c>
      <c r="DK4656" s="80">
        <v>-48.848999999999997</v>
      </c>
      <c r="DL4656" s="80">
        <v>30</v>
      </c>
      <c r="DM4656" s="64">
        <v>3</v>
      </c>
      <c r="DN4656" s="406" t="s">
        <v>8536</v>
      </c>
      <c r="DO4656" s="406">
        <v>-27.6</v>
      </c>
      <c r="DP4656" s="80">
        <v>2</v>
      </c>
    </row>
    <row r="4657" spans="29:120" x14ac:dyDescent="0.25">
      <c r="AC4657" s="122" t="s">
        <v>393</v>
      </c>
      <c r="AD4657" s="122" t="s">
        <v>4594</v>
      </c>
      <c r="AE4657" s="127">
        <v>8</v>
      </c>
      <c r="DA4657" s="122" t="s">
        <v>27</v>
      </c>
      <c r="DB4657" s="122" t="s">
        <v>8651</v>
      </c>
      <c r="DC4657" s="122" t="s">
        <v>3077</v>
      </c>
      <c r="DD4657" s="127">
        <v>3</v>
      </c>
      <c r="DE4657" s="127">
        <v>3</v>
      </c>
      <c r="DG4657" s="405" t="s">
        <v>27</v>
      </c>
      <c r="DH4657" s="406" t="s">
        <v>3077</v>
      </c>
      <c r="DI4657" s="406" t="str">
        <f t="shared" si="104"/>
        <v>SC, São João do Itaperiú</v>
      </c>
      <c r="DJ4657" s="406">
        <v>-26.617999999999999</v>
      </c>
      <c r="DK4657" s="80">
        <v>-48.768000000000001</v>
      </c>
      <c r="DL4657" s="80">
        <v>33</v>
      </c>
      <c r="DM4657" s="64">
        <v>3</v>
      </c>
      <c r="DN4657" s="406" t="s">
        <v>8542</v>
      </c>
      <c r="DO4657" s="406">
        <v>-26.92</v>
      </c>
      <c r="DP4657" s="80">
        <v>86</v>
      </c>
    </row>
    <row r="4658" spans="29:120" x14ac:dyDescent="0.25">
      <c r="AC4658" s="122" t="s">
        <v>340</v>
      </c>
      <c r="AD4658" s="122" t="s">
        <v>4892</v>
      </c>
      <c r="AE4658" s="127">
        <v>8</v>
      </c>
      <c r="DA4658" s="122" t="s">
        <v>27</v>
      </c>
      <c r="DB4658" s="122" t="s">
        <v>8652</v>
      </c>
      <c r="DC4658" s="122" t="s">
        <v>3605</v>
      </c>
      <c r="DD4658" s="127">
        <v>2</v>
      </c>
      <c r="DE4658" s="127">
        <v>2</v>
      </c>
      <c r="DG4658" s="405" t="s">
        <v>27</v>
      </c>
      <c r="DH4658" s="406" t="s">
        <v>3605</v>
      </c>
      <c r="DI4658" s="406" t="str">
        <f t="shared" si="104"/>
        <v>SC, São João do Oeste</v>
      </c>
      <c r="DJ4658" s="406">
        <v>-27.097999999999999</v>
      </c>
      <c r="DK4658" s="80">
        <v>-53.594000000000001</v>
      </c>
      <c r="DL4658" s="80">
        <v>320</v>
      </c>
      <c r="DM4658" s="64">
        <v>2</v>
      </c>
      <c r="DN4658" s="406" t="s">
        <v>8539</v>
      </c>
      <c r="DO4658" s="406">
        <v>-26.78</v>
      </c>
      <c r="DP4658" s="80">
        <v>665</v>
      </c>
    </row>
    <row r="4659" spans="29:120" x14ac:dyDescent="0.25">
      <c r="AC4659" s="122" t="s">
        <v>340</v>
      </c>
      <c r="AD4659" s="122" t="s">
        <v>4893</v>
      </c>
      <c r="AE4659" s="127">
        <v>7</v>
      </c>
      <c r="DA4659" s="122" t="s">
        <v>27</v>
      </c>
      <c r="DB4659" s="122" t="s">
        <v>8653</v>
      </c>
      <c r="DC4659" s="122" t="s">
        <v>1364</v>
      </c>
      <c r="DD4659" s="127">
        <v>3</v>
      </c>
      <c r="DE4659" s="127">
        <v>3</v>
      </c>
      <c r="DG4659" s="405" t="s">
        <v>27</v>
      </c>
      <c r="DH4659" s="406" t="s">
        <v>1364</v>
      </c>
      <c r="DI4659" s="406" t="str">
        <f t="shared" si="104"/>
        <v>SC, São João do Sul</v>
      </c>
      <c r="DJ4659" s="406">
        <v>-29.222999999999999</v>
      </c>
      <c r="DK4659" s="80">
        <v>-49.81</v>
      </c>
      <c r="DL4659" s="80">
        <v>15</v>
      </c>
      <c r="DM4659" s="64">
        <v>3</v>
      </c>
      <c r="DN4659" s="406" t="s">
        <v>8233</v>
      </c>
      <c r="DO4659" s="406">
        <v>-29.33</v>
      </c>
      <c r="DP4659" s="80">
        <v>5</v>
      </c>
    </row>
    <row r="4660" spans="29:120" x14ac:dyDescent="0.25">
      <c r="AC4660" s="122" t="s">
        <v>322</v>
      </c>
      <c r="AD4660" s="122" t="s">
        <v>870</v>
      </c>
      <c r="AE4660" s="127">
        <v>6</v>
      </c>
      <c r="DA4660" s="122" t="s">
        <v>27</v>
      </c>
      <c r="DB4660" s="122" t="s">
        <v>8654</v>
      </c>
      <c r="DC4660" s="122" t="s">
        <v>511</v>
      </c>
      <c r="DD4660" s="127">
        <v>1</v>
      </c>
      <c r="DE4660" s="127">
        <v>1</v>
      </c>
      <c r="DG4660" s="405" t="s">
        <v>27</v>
      </c>
      <c r="DH4660" s="406" t="s">
        <v>511</v>
      </c>
      <c r="DI4660" s="406" t="str">
        <f t="shared" si="104"/>
        <v>SC, São Joaquim</v>
      </c>
      <c r="DJ4660" s="406">
        <v>-28.294</v>
      </c>
      <c r="DK4660" s="80">
        <v>-49.932000000000002</v>
      </c>
      <c r="DL4660" s="80">
        <v>1353</v>
      </c>
      <c r="DM4660" s="64">
        <v>1</v>
      </c>
      <c r="DN4660" s="406" t="s">
        <v>8566</v>
      </c>
      <c r="DO4660" s="406">
        <v>-28.28</v>
      </c>
      <c r="DP4660" s="80">
        <v>1410</v>
      </c>
    </row>
    <row r="4661" spans="29:120" x14ac:dyDescent="0.25">
      <c r="AC4661" s="122" t="s">
        <v>393</v>
      </c>
      <c r="AD4661" s="122" t="s">
        <v>4894</v>
      </c>
      <c r="AE4661" s="127">
        <v>8</v>
      </c>
      <c r="DA4661" s="122" t="s">
        <v>27</v>
      </c>
      <c r="DB4661" s="122" t="s">
        <v>8655</v>
      </c>
      <c r="DC4661" s="122" t="s">
        <v>493</v>
      </c>
      <c r="DD4661" s="127">
        <v>3</v>
      </c>
      <c r="DE4661" s="127">
        <v>3</v>
      </c>
      <c r="DG4661" s="405" t="s">
        <v>27</v>
      </c>
      <c r="DH4661" s="406" t="s">
        <v>493</v>
      </c>
      <c r="DI4661" s="406" t="str">
        <f t="shared" si="104"/>
        <v>SC, São José</v>
      </c>
      <c r="DJ4661" s="406">
        <v>-27.614999999999998</v>
      </c>
      <c r="DK4661" s="80">
        <v>-48.628</v>
      </c>
      <c r="DL4661" s="80">
        <v>8</v>
      </c>
      <c r="DM4661" s="64">
        <v>3</v>
      </c>
      <c r="DN4661" s="406" t="s">
        <v>8536</v>
      </c>
      <c r="DO4661" s="406">
        <v>-27.6</v>
      </c>
      <c r="DP4661" s="80">
        <v>2</v>
      </c>
    </row>
    <row r="4662" spans="29:120" x14ac:dyDescent="0.25">
      <c r="AC4662" s="122" t="s">
        <v>328</v>
      </c>
      <c r="AD4662" s="122" t="s">
        <v>4895</v>
      </c>
      <c r="AE4662" s="127">
        <v>8</v>
      </c>
      <c r="DA4662" s="122" t="s">
        <v>27</v>
      </c>
      <c r="DB4662" s="122" t="s">
        <v>8656</v>
      </c>
      <c r="DC4662" s="122" t="s">
        <v>1296</v>
      </c>
      <c r="DD4662" s="127">
        <v>2</v>
      </c>
      <c r="DE4662" s="127">
        <v>2</v>
      </c>
      <c r="DG4662" s="405" t="s">
        <v>27</v>
      </c>
      <c r="DH4662" s="406" t="s">
        <v>1296</v>
      </c>
      <c r="DI4662" s="406" t="str">
        <f t="shared" si="104"/>
        <v>SC, São José do Cedro</v>
      </c>
      <c r="DJ4662" s="406">
        <v>-26.454999999999998</v>
      </c>
      <c r="DK4662" s="80">
        <v>-53.494</v>
      </c>
      <c r="DL4662" s="80">
        <v>731</v>
      </c>
      <c r="DM4662" s="64">
        <v>2</v>
      </c>
      <c r="DN4662" s="406" t="s">
        <v>7833</v>
      </c>
      <c r="DO4662" s="406">
        <v>-26.29</v>
      </c>
      <c r="DP4662" s="80">
        <v>810</v>
      </c>
    </row>
    <row r="4663" spans="29:120" x14ac:dyDescent="0.25">
      <c r="AC4663" s="122" t="s">
        <v>340</v>
      </c>
      <c r="AD4663" s="122" t="s">
        <v>4896</v>
      </c>
      <c r="AE4663" s="127">
        <v>8</v>
      </c>
      <c r="DA4663" s="122" t="s">
        <v>27</v>
      </c>
      <c r="DB4663" s="122" t="s">
        <v>8657</v>
      </c>
      <c r="DC4663" s="122" t="s">
        <v>1127</v>
      </c>
      <c r="DD4663" s="127">
        <v>2</v>
      </c>
      <c r="DE4663" s="127">
        <v>2</v>
      </c>
      <c r="DG4663" s="405" t="s">
        <v>27</v>
      </c>
      <c r="DH4663" s="406" t="s">
        <v>1127</v>
      </c>
      <c r="DI4663" s="406" t="str">
        <f t="shared" si="104"/>
        <v>SC, São José do Cerrito</v>
      </c>
      <c r="DJ4663" s="406">
        <v>-27.663</v>
      </c>
      <c r="DK4663" s="80">
        <v>-50.58</v>
      </c>
      <c r="DL4663" s="80">
        <v>879</v>
      </c>
      <c r="DM4663" s="64">
        <v>2</v>
      </c>
      <c r="DN4663" s="406" t="s">
        <v>8528</v>
      </c>
      <c r="DO4663" s="406">
        <v>-27.29</v>
      </c>
      <c r="DP4663" s="80">
        <v>982</v>
      </c>
    </row>
    <row r="4664" spans="29:120" x14ac:dyDescent="0.25">
      <c r="AC4664" s="122" t="s">
        <v>328</v>
      </c>
      <c r="AD4664" s="122" t="s">
        <v>1940</v>
      </c>
      <c r="AE4664" s="127">
        <v>7</v>
      </c>
      <c r="DA4664" s="122" t="s">
        <v>27</v>
      </c>
      <c r="DB4664" s="122" t="s">
        <v>8658</v>
      </c>
      <c r="DC4664" s="122" t="s">
        <v>1117</v>
      </c>
      <c r="DD4664" s="127">
        <v>2</v>
      </c>
      <c r="DE4664" s="127">
        <v>2</v>
      </c>
      <c r="DG4664" s="405" t="s">
        <v>27</v>
      </c>
      <c r="DH4664" s="406" t="s">
        <v>1117</v>
      </c>
      <c r="DI4664" s="406" t="str">
        <f t="shared" si="104"/>
        <v>SC, São Lourenço do Oeste</v>
      </c>
      <c r="DJ4664" s="406">
        <v>-26.359000000000002</v>
      </c>
      <c r="DK4664" s="80">
        <v>-52.850999999999999</v>
      </c>
      <c r="DL4664" s="80">
        <v>893</v>
      </c>
      <c r="DM4664" s="64">
        <v>2</v>
      </c>
      <c r="DN4664" s="406" t="s">
        <v>7844</v>
      </c>
      <c r="DO4664" s="406">
        <v>-26.41</v>
      </c>
      <c r="DP4664" s="80">
        <v>960</v>
      </c>
    </row>
    <row r="4665" spans="29:120" x14ac:dyDescent="0.25">
      <c r="AC4665" s="122" t="s">
        <v>340</v>
      </c>
      <c r="AD4665" s="122" t="s">
        <v>4897</v>
      </c>
      <c r="AE4665" s="127">
        <v>7</v>
      </c>
      <c r="DA4665" s="122" t="s">
        <v>27</v>
      </c>
      <c r="DB4665" s="122" t="s">
        <v>8659</v>
      </c>
      <c r="DC4665" s="122" t="s">
        <v>1555</v>
      </c>
      <c r="DD4665" s="127">
        <v>2</v>
      </c>
      <c r="DE4665" s="127">
        <v>2</v>
      </c>
      <c r="DG4665" s="405" t="s">
        <v>27</v>
      </c>
      <c r="DH4665" s="406" t="s">
        <v>1555</v>
      </c>
      <c r="DI4665" s="406" t="str">
        <f t="shared" si="104"/>
        <v>SC, São Ludgero</v>
      </c>
      <c r="DJ4665" s="406">
        <v>-28.326000000000001</v>
      </c>
      <c r="DK4665" s="80">
        <v>-49.177</v>
      </c>
      <c r="DL4665" s="80">
        <v>50</v>
      </c>
      <c r="DM4665" s="64">
        <v>2</v>
      </c>
      <c r="DN4665" s="406" t="s">
        <v>8544</v>
      </c>
      <c r="DO4665" s="406">
        <v>-28.53</v>
      </c>
      <c r="DP4665" s="80">
        <v>48</v>
      </c>
    </row>
    <row r="4666" spans="29:120" x14ac:dyDescent="0.25">
      <c r="AC4666" s="122" t="s">
        <v>268</v>
      </c>
      <c r="AD4666" s="122" t="s">
        <v>4898</v>
      </c>
      <c r="AE4666" s="127">
        <v>8</v>
      </c>
      <c r="DA4666" s="122" t="s">
        <v>27</v>
      </c>
      <c r="DB4666" s="122" t="s">
        <v>8472</v>
      </c>
      <c r="DC4666" s="122" t="s">
        <v>1104</v>
      </c>
      <c r="DD4666" s="127">
        <v>2</v>
      </c>
      <c r="DE4666" s="127">
        <v>2</v>
      </c>
      <c r="DG4666" s="405" t="s">
        <v>27</v>
      </c>
      <c r="DH4666" s="406" t="s">
        <v>1104</v>
      </c>
      <c r="DI4666" s="406" t="str">
        <f t="shared" si="104"/>
        <v>SC, São Martinho</v>
      </c>
      <c r="DJ4666" s="406">
        <v>-28.164999999999999</v>
      </c>
      <c r="DK4666" s="80">
        <v>-48.978999999999999</v>
      </c>
      <c r="DL4666" s="80">
        <v>38</v>
      </c>
      <c r="DM4666" s="64">
        <v>2</v>
      </c>
      <c r="DN4666" s="406" t="s">
        <v>8568</v>
      </c>
      <c r="DO4666" s="406">
        <v>-28.6</v>
      </c>
      <c r="DP4666" s="80">
        <v>52</v>
      </c>
    </row>
    <row r="4667" spans="29:120" x14ac:dyDescent="0.25">
      <c r="AC4667" s="122" t="s">
        <v>393</v>
      </c>
      <c r="AD4667" s="122" t="s">
        <v>4899</v>
      </c>
      <c r="AE4667" s="127">
        <v>8</v>
      </c>
      <c r="DA4667" s="122" t="s">
        <v>27</v>
      </c>
      <c r="DB4667" s="122" t="s">
        <v>8660</v>
      </c>
      <c r="DC4667" s="122" t="s">
        <v>1251</v>
      </c>
      <c r="DD4667" s="127">
        <v>2</v>
      </c>
      <c r="DE4667" s="127">
        <v>2</v>
      </c>
      <c r="DG4667" s="405" t="s">
        <v>27</v>
      </c>
      <c r="DH4667" s="406" t="s">
        <v>1251</v>
      </c>
      <c r="DI4667" s="406" t="str">
        <f t="shared" si="104"/>
        <v>SC, São Miguel da Boa Vista</v>
      </c>
      <c r="DJ4667" s="406">
        <v>-26.69</v>
      </c>
      <c r="DK4667" s="80">
        <v>-53.250999999999998</v>
      </c>
      <c r="DL4667" s="80">
        <v>468</v>
      </c>
      <c r="DM4667" s="64">
        <v>2</v>
      </c>
      <c r="DN4667" s="406" t="s">
        <v>8539</v>
      </c>
      <c r="DO4667" s="406">
        <v>-26.78</v>
      </c>
      <c r="DP4667" s="80">
        <v>665</v>
      </c>
    </row>
    <row r="4668" spans="29:120" x14ac:dyDescent="0.25">
      <c r="AC4668" s="122" t="s">
        <v>393</v>
      </c>
      <c r="AD4668" s="122" t="s">
        <v>4900</v>
      </c>
      <c r="AE4668" s="127">
        <v>7</v>
      </c>
      <c r="DA4668" s="122" t="s">
        <v>27</v>
      </c>
      <c r="DB4668" s="122" t="s">
        <v>8661</v>
      </c>
      <c r="DC4668" s="122" t="s">
        <v>1393</v>
      </c>
      <c r="DD4668" s="127">
        <v>2</v>
      </c>
      <c r="DE4668" s="127">
        <v>2</v>
      </c>
      <c r="DG4668" s="405" t="s">
        <v>27</v>
      </c>
      <c r="DH4668" s="406" t="s">
        <v>5779</v>
      </c>
      <c r="DI4668" s="406" t="str">
        <f t="shared" si="104"/>
        <v>SC, São Miguel do Oeste</v>
      </c>
      <c r="DJ4668" s="406">
        <v>-26.725000000000001</v>
      </c>
      <c r="DK4668" s="80">
        <v>-53.518000000000001</v>
      </c>
      <c r="DL4668" s="80">
        <v>645</v>
      </c>
      <c r="DM4668" s="64">
        <v>2</v>
      </c>
      <c r="DN4668" s="406" t="s">
        <v>8539</v>
      </c>
      <c r="DO4668" s="406">
        <v>-26.78</v>
      </c>
      <c r="DP4668" s="80">
        <v>665</v>
      </c>
    </row>
    <row r="4669" spans="29:120" x14ac:dyDescent="0.25">
      <c r="AC4669" s="122" t="s">
        <v>340</v>
      </c>
      <c r="AD4669" s="122" t="s">
        <v>4901</v>
      </c>
      <c r="AE4669" s="127">
        <v>8</v>
      </c>
      <c r="DA4669" s="122" t="s">
        <v>27</v>
      </c>
      <c r="DB4669" s="122" t="s">
        <v>8662</v>
      </c>
      <c r="DC4669" s="122" t="s">
        <v>1252</v>
      </c>
      <c r="DD4669" s="127">
        <v>3</v>
      </c>
      <c r="DE4669" s="127">
        <v>3</v>
      </c>
      <c r="DG4669" s="405" t="s">
        <v>27</v>
      </c>
      <c r="DH4669" s="406" t="s">
        <v>1252</v>
      </c>
      <c r="DI4669" s="406" t="str">
        <f t="shared" si="104"/>
        <v>SC, São Pedro de Alcântara</v>
      </c>
      <c r="DJ4669" s="406">
        <v>-27.565999999999999</v>
      </c>
      <c r="DK4669" s="80">
        <v>-48.805</v>
      </c>
      <c r="DL4669" s="80">
        <v>230</v>
      </c>
      <c r="DM4669" s="64">
        <v>3</v>
      </c>
      <c r="DN4669" s="406" t="s">
        <v>8536</v>
      </c>
      <c r="DO4669" s="406">
        <v>-27.6</v>
      </c>
      <c r="DP4669" s="80">
        <v>2</v>
      </c>
    </row>
    <row r="4670" spans="29:120" x14ac:dyDescent="0.25">
      <c r="AC4670" s="122" t="s">
        <v>340</v>
      </c>
      <c r="AD4670" s="122" t="s">
        <v>4902</v>
      </c>
      <c r="AE4670" s="127">
        <v>8</v>
      </c>
      <c r="DA4670" s="122" t="s">
        <v>27</v>
      </c>
      <c r="DB4670" s="122" t="s">
        <v>1549</v>
      </c>
      <c r="DC4670" s="122" t="s">
        <v>1549</v>
      </c>
      <c r="DD4670" s="127">
        <v>2</v>
      </c>
      <c r="DE4670" s="127">
        <v>2</v>
      </c>
      <c r="DG4670" s="405" t="s">
        <v>27</v>
      </c>
      <c r="DH4670" s="406" t="s">
        <v>1549</v>
      </c>
      <c r="DI4670" s="406" t="str">
        <f t="shared" si="104"/>
        <v>SC, Saudades</v>
      </c>
      <c r="DJ4670" s="406">
        <v>-26.923999999999999</v>
      </c>
      <c r="DK4670" s="80">
        <v>-53.003</v>
      </c>
      <c r="DL4670" s="80">
        <v>280</v>
      </c>
      <c r="DM4670" s="64">
        <v>2</v>
      </c>
      <c r="DN4670" s="406" t="s">
        <v>8539</v>
      </c>
      <c r="DO4670" s="406">
        <v>-26.78</v>
      </c>
      <c r="DP4670" s="80">
        <v>665</v>
      </c>
    </row>
    <row r="4671" spans="29:120" x14ac:dyDescent="0.25">
      <c r="AC4671" s="122" t="s">
        <v>328</v>
      </c>
      <c r="AD4671" s="122" t="s">
        <v>4903</v>
      </c>
      <c r="AE4671" s="127">
        <v>8</v>
      </c>
      <c r="DA4671" s="122" t="s">
        <v>27</v>
      </c>
      <c r="DB4671" s="122" t="s">
        <v>475</v>
      </c>
      <c r="DC4671" s="122" t="s">
        <v>475</v>
      </c>
      <c r="DD4671" s="127">
        <v>3</v>
      </c>
      <c r="DE4671" s="127">
        <v>3</v>
      </c>
      <c r="DG4671" s="405" t="s">
        <v>27</v>
      </c>
      <c r="DH4671" s="406" t="s">
        <v>475</v>
      </c>
      <c r="DI4671" s="406" t="str">
        <f t="shared" si="104"/>
        <v>SC, Schroeder</v>
      </c>
      <c r="DJ4671" s="406">
        <v>-26.413</v>
      </c>
      <c r="DK4671" s="80">
        <v>-49.073</v>
      </c>
      <c r="DL4671" s="80">
        <v>38</v>
      </c>
      <c r="DM4671" s="64">
        <v>3</v>
      </c>
      <c r="DN4671" s="406" t="s">
        <v>7809</v>
      </c>
      <c r="DO4671" s="406">
        <v>-26.25</v>
      </c>
      <c r="DP4671" s="80">
        <v>869</v>
      </c>
    </row>
    <row r="4672" spans="29:120" x14ac:dyDescent="0.25">
      <c r="AC4672" s="122" t="s">
        <v>328</v>
      </c>
      <c r="AD4672" s="122" t="s">
        <v>4904</v>
      </c>
      <c r="AE4672" s="127">
        <v>8</v>
      </c>
      <c r="DA4672" s="122" t="s">
        <v>27</v>
      </c>
      <c r="DB4672" s="122" t="s">
        <v>3100</v>
      </c>
      <c r="DC4672" s="122" t="s">
        <v>3100</v>
      </c>
      <c r="DD4672" s="127">
        <v>2</v>
      </c>
      <c r="DE4672" s="127">
        <v>2</v>
      </c>
      <c r="DG4672" s="405" t="s">
        <v>27</v>
      </c>
      <c r="DH4672" s="406" t="s">
        <v>3100</v>
      </c>
      <c r="DI4672" s="406" t="str">
        <f t="shared" si="104"/>
        <v>SC, Seara</v>
      </c>
      <c r="DJ4672" s="406">
        <v>-27.149000000000001</v>
      </c>
      <c r="DK4672" s="80">
        <v>-52.311</v>
      </c>
      <c r="DL4672" s="80">
        <v>550</v>
      </c>
      <c r="DM4672" s="64">
        <v>2</v>
      </c>
      <c r="DN4672" s="406" t="s">
        <v>8534</v>
      </c>
      <c r="DO4672" s="406">
        <v>-26.94</v>
      </c>
      <c r="DP4672" s="80">
        <v>889</v>
      </c>
    </row>
    <row r="4673" spans="29:120" x14ac:dyDescent="0.25">
      <c r="AC4673" s="122" t="s">
        <v>340</v>
      </c>
      <c r="AD4673" s="122" t="s">
        <v>4905</v>
      </c>
      <c r="AE4673" s="127">
        <v>7</v>
      </c>
      <c r="DA4673" s="122" t="s">
        <v>27</v>
      </c>
      <c r="DB4673" s="122" t="s">
        <v>8663</v>
      </c>
      <c r="DC4673" s="122" t="s">
        <v>1154</v>
      </c>
      <c r="DD4673" s="127">
        <v>2</v>
      </c>
      <c r="DE4673" s="127">
        <v>2</v>
      </c>
      <c r="DG4673" s="405" t="s">
        <v>27</v>
      </c>
      <c r="DH4673" s="406" t="s">
        <v>1154</v>
      </c>
      <c r="DI4673" s="406" t="str">
        <f t="shared" si="104"/>
        <v>SC, Serra Alta</v>
      </c>
      <c r="DJ4673" s="406">
        <v>-26.728999999999999</v>
      </c>
      <c r="DK4673" s="80">
        <v>-53.042000000000002</v>
      </c>
      <c r="DL4673" s="80">
        <v>648</v>
      </c>
      <c r="DM4673" s="64">
        <v>2</v>
      </c>
      <c r="DN4673" s="406" t="s">
        <v>7844</v>
      </c>
      <c r="DO4673" s="406">
        <v>-26.41</v>
      </c>
      <c r="DP4673" s="80">
        <v>960</v>
      </c>
    </row>
    <row r="4674" spans="29:120" x14ac:dyDescent="0.25">
      <c r="AC4674" s="122" t="s">
        <v>393</v>
      </c>
      <c r="AD4674" s="122" t="s">
        <v>4906</v>
      </c>
      <c r="AE4674" s="127">
        <v>7</v>
      </c>
      <c r="DA4674" s="122" t="s">
        <v>27</v>
      </c>
      <c r="DB4674" s="122" t="s">
        <v>515</v>
      </c>
      <c r="DC4674" s="122" t="s">
        <v>515</v>
      </c>
      <c r="DD4674" s="127">
        <v>2</v>
      </c>
      <c r="DE4674" s="127">
        <v>2</v>
      </c>
      <c r="DG4674" s="405" t="s">
        <v>27</v>
      </c>
      <c r="DH4674" s="406" t="s">
        <v>515</v>
      </c>
      <c r="DI4674" s="406" t="str">
        <f t="shared" si="104"/>
        <v>SC, Siderópolis</v>
      </c>
      <c r="DJ4674" s="406">
        <v>-28.597999999999999</v>
      </c>
      <c r="DK4674" s="80">
        <v>-49.423999999999999</v>
      </c>
      <c r="DL4674" s="80">
        <v>147</v>
      </c>
      <c r="DM4674" s="64">
        <v>2</v>
      </c>
      <c r="DN4674" s="406" t="s">
        <v>8544</v>
      </c>
      <c r="DO4674" s="406">
        <v>-28.53</v>
      </c>
      <c r="DP4674" s="80">
        <v>48</v>
      </c>
    </row>
    <row r="4675" spans="29:120" x14ac:dyDescent="0.25">
      <c r="AC4675" s="122" t="s">
        <v>328</v>
      </c>
      <c r="AD4675" s="122" t="s">
        <v>4907</v>
      </c>
      <c r="AE4675" s="127">
        <v>7</v>
      </c>
      <c r="DA4675" s="122" t="s">
        <v>27</v>
      </c>
      <c r="DB4675" s="122" t="s">
        <v>1417</v>
      </c>
      <c r="DC4675" s="122" t="s">
        <v>1417</v>
      </c>
      <c r="DD4675" s="127">
        <v>2</v>
      </c>
      <c r="DE4675" s="127">
        <v>2</v>
      </c>
      <c r="DG4675" s="405" t="s">
        <v>27</v>
      </c>
      <c r="DH4675" s="406" t="s">
        <v>1417</v>
      </c>
      <c r="DI4675" s="406" t="str">
        <f t="shared" ref="DI4675:DI4738" si="105">CONCATENATE(DG4675,", ",DH4675)</f>
        <v>SC, Sombrio</v>
      </c>
      <c r="DJ4675" s="406">
        <v>-29.103999999999999</v>
      </c>
      <c r="DK4675" s="80">
        <v>-49.628999999999998</v>
      </c>
      <c r="DL4675" s="80">
        <v>15</v>
      </c>
      <c r="DM4675" s="64">
        <v>2</v>
      </c>
      <c r="DN4675" s="406" t="s">
        <v>8543</v>
      </c>
      <c r="DO4675" s="406">
        <v>-28.93</v>
      </c>
      <c r="DP4675" s="80">
        <v>12</v>
      </c>
    </row>
    <row r="4676" spans="29:120" x14ac:dyDescent="0.25">
      <c r="AC4676" s="122" t="s">
        <v>393</v>
      </c>
      <c r="AD4676" s="122" t="s">
        <v>4908</v>
      </c>
      <c r="AE4676" s="127">
        <v>8</v>
      </c>
      <c r="DA4676" s="122" t="s">
        <v>27</v>
      </c>
      <c r="DB4676" s="122" t="s">
        <v>8664</v>
      </c>
      <c r="DC4676" s="122" t="s">
        <v>1132</v>
      </c>
      <c r="DD4676" s="127">
        <v>2</v>
      </c>
      <c r="DE4676" s="127">
        <v>2</v>
      </c>
      <c r="DG4676" s="405" t="s">
        <v>27</v>
      </c>
      <c r="DH4676" s="406" t="s">
        <v>1132</v>
      </c>
      <c r="DI4676" s="406" t="str">
        <f t="shared" si="105"/>
        <v>SC, Sul Brasil</v>
      </c>
      <c r="DJ4676" s="406">
        <v>-26.736000000000001</v>
      </c>
      <c r="DK4676" s="80">
        <v>-52.965000000000003</v>
      </c>
      <c r="DL4676" s="80">
        <v>418</v>
      </c>
      <c r="DM4676" s="64">
        <v>2</v>
      </c>
      <c r="DN4676" s="406" t="s">
        <v>7844</v>
      </c>
      <c r="DO4676" s="406">
        <v>-26.41</v>
      </c>
      <c r="DP4676" s="80">
        <v>960</v>
      </c>
    </row>
    <row r="4677" spans="29:120" x14ac:dyDescent="0.25">
      <c r="AC4677" s="122" t="s">
        <v>328</v>
      </c>
      <c r="AD4677" s="122" t="s">
        <v>2581</v>
      </c>
      <c r="AE4677" s="127">
        <v>8</v>
      </c>
      <c r="DA4677" s="122" t="s">
        <v>27</v>
      </c>
      <c r="DB4677" s="122" t="s">
        <v>1144</v>
      </c>
      <c r="DC4677" s="122" t="s">
        <v>1144</v>
      </c>
      <c r="DD4677" s="127">
        <v>2</v>
      </c>
      <c r="DE4677" s="127">
        <v>2</v>
      </c>
      <c r="DG4677" s="405" t="s">
        <v>27</v>
      </c>
      <c r="DH4677" s="406" t="s">
        <v>1144</v>
      </c>
      <c r="DI4677" s="406" t="str">
        <f t="shared" si="105"/>
        <v>SC, Taió</v>
      </c>
      <c r="DJ4677" s="406">
        <v>-27.116</v>
      </c>
      <c r="DK4677" s="80">
        <v>-49.997999999999998</v>
      </c>
      <c r="DL4677" s="80">
        <v>359</v>
      </c>
      <c r="DM4677" s="64">
        <v>2</v>
      </c>
      <c r="DN4677" s="406" t="s">
        <v>8530</v>
      </c>
      <c r="DO4677" s="406">
        <v>-27.42</v>
      </c>
      <c r="DP4677" s="80">
        <v>484</v>
      </c>
    </row>
    <row r="4678" spans="29:120" x14ac:dyDescent="0.25">
      <c r="AC4678" s="122" t="s">
        <v>328</v>
      </c>
      <c r="AD4678" s="122" t="s">
        <v>4909</v>
      </c>
      <c r="AE4678" s="127">
        <v>8</v>
      </c>
      <c r="DA4678" s="122" t="s">
        <v>27</v>
      </c>
      <c r="DB4678" s="122" t="s">
        <v>1460</v>
      </c>
      <c r="DC4678" s="122" t="s">
        <v>1460</v>
      </c>
      <c r="DD4678" s="127">
        <v>2</v>
      </c>
      <c r="DE4678" s="127">
        <v>2</v>
      </c>
      <c r="DG4678" s="405" t="s">
        <v>27</v>
      </c>
      <c r="DH4678" s="406" t="s">
        <v>1460</v>
      </c>
      <c r="DI4678" s="406" t="str">
        <f t="shared" si="105"/>
        <v>SC, Tangará</v>
      </c>
      <c r="DJ4678" s="406">
        <v>-27.105</v>
      </c>
      <c r="DK4678" s="80">
        <v>-51.247</v>
      </c>
      <c r="DL4678" s="80">
        <v>641</v>
      </c>
      <c r="DM4678" s="64">
        <v>2</v>
      </c>
      <c r="DN4678" s="406" t="s">
        <v>8250</v>
      </c>
      <c r="DO4678" s="406">
        <v>-27.17</v>
      </c>
      <c r="DP4678" s="80">
        <v>776</v>
      </c>
    </row>
    <row r="4679" spans="29:120" x14ac:dyDescent="0.25">
      <c r="AC4679" s="122" t="s">
        <v>328</v>
      </c>
      <c r="AD4679" s="122" t="s">
        <v>4910</v>
      </c>
      <c r="AE4679" s="127">
        <v>7</v>
      </c>
      <c r="DA4679" s="122" t="s">
        <v>27</v>
      </c>
      <c r="DB4679" s="122" t="s">
        <v>1178</v>
      </c>
      <c r="DC4679" s="122" t="s">
        <v>1178</v>
      </c>
      <c r="DD4679" s="127">
        <v>2</v>
      </c>
      <c r="DE4679" s="127">
        <v>2</v>
      </c>
      <c r="DG4679" s="405" t="s">
        <v>27</v>
      </c>
      <c r="DH4679" s="406" t="s">
        <v>1178</v>
      </c>
      <c r="DI4679" s="406" t="str">
        <f t="shared" si="105"/>
        <v>SC, Tigrinhos</v>
      </c>
      <c r="DJ4679" s="406">
        <v>-26.687999999999999</v>
      </c>
      <c r="DK4679" s="80">
        <v>-53.158000000000001</v>
      </c>
      <c r="DL4679" s="80">
        <v>732</v>
      </c>
      <c r="DM4679" s="64">
        <v>2</v>
      </c>
      <c r="DN4679" s="406" t="s">
        <v>8539</v>
      </c>
      <c r="DO4679" s="406">
        <v>-26.78</v>
      </c>
      <c r="DP4679" s="80">
        <v>665</v>
      </c>
    </row>
    <row r="4680" spans="29:120" x14ac:dyDescent="0.25">
      <c r="AC4680" s="122" t="s">
        <v>268</v>
      </c>
      <c r="AD4680" s="122" t="s">
        <v>4911</v>
      </c>
      <c r="AE4680" s="127">
        <v>8</v>
      </c>
      <c r="DA4680" s="122" t="s">
        <v>27</v>
      </c>
      <c r="DB4680" s="122" t="s">
        <v>1328</v>
      </c>
      <c r="DC4680" s="122" t="s">
        <v>1328</v>
      </c>
      <c r="DD4680" s="127">
        <v>3</v>
      </c>
      <c r="DE4680" s="127">
        <v>3</v>
      </c>
      <c r="DG4680" s="405" t="s">
        <v>27</v>
      </c>
      <c r="DH4680" s="406" t="s">
        <v>1328</v>
      </c>
      <c r="DI4680" s="406" t="str">
        <f t="shared" si="105"/>
        <v>SC, Tijucas</v>
      </c>
      <c r="DJ4680" s="406">
        <v>-27.241</v>
      </c>
      <c r="DK4680" s="80">
        <v>-48.634</v>
      </c>
      <c r="DL4680" s="80">
        <v>2</v>
      </c>
      <c r="DM4680" s="64">
        <v>3</v>
      </c>
      <c r="DN4680" s="406" t="s">
        <v>8536</v>
      </c>
      <c r="DO4680" s="406">
        <v>-27.6</v>
      </c>
      <c r="DP4680" s="80">
        <v>2</v>
      </c>
    </row>
    <row r="4681" spans="29:120" x14ac:dyDescent="0.25">
      <c r="AC4681" s="122" t="s">
        <v>328</v>
      </c>
      <c r="AD4681" s="122" t="s">
        <v>4912</v>
      </c>
      <c r="AE4681" s="127">
        <v>7</v>
      </c>
      <c r="DA4681" s="122" t="s">
        <v>27</v>
      </c>
      <c r="DB4681" s="122" t="s">
        <v>8665</v>
      </c>
      <c r="DC4681" s="122" t="s">
        <v>523</v>
      </c>
      <c r="DD4681" s="127">
        <v>2</v>
      </c>
      <c r="DE4681" s="127">
        <v>2</v>
      </c>
      <c r="DG4681" s="405" t="s">
        <v>27</v>
      </c>
      <c r="DH4681" s="406" t="s">
        <v>523</v>
      </c>
      <c r="DI4681" s="406" t="str">
        <f t="shared" si="105"/>
        <v>SC, Timbé do Sul</v>
      </c>
      <c r="DJ4681" s="406">
        <v>-28.83</v>
      </c>
      <c r="DK4681" s="80">
        <v>-49.847000000000001</v>
      </c>
      <c r="DL4681" s="80">
        <v>123</v>
      </c>
      <c r="DM4681" s="64">
        <v>2</v>
      </c>
      <c r="DN4681" s="406" t="s">
        <v>8259</v>
      </c>
      <c r="DO4681" s="406">
        <v>-28.75</v>
      </c>
      <c r="DP4681" s="80">
        <v>1244</v>
      </c>
    </row>
    <row r="4682" spans="29:120" x14ac:dyDescent="0.25">
      <c r="AC4682" s="122" t="s">
        <v>344</v>
      </c>
      <c r="AD4682" s="122" t="s">
        <v>4913</v>
      </c>
      <c r="AE4682" s="127">
        <v>8</v>
      </c>
      <c r="DA4682" s="122" t="s">
        <v>27</v>
      </c>
      <c r="DB4682" s="122" t="s">
        <v>1384</v>
      </c>
      <c r="DC4682" s="122" t="s">
        <v>1384</v>
      </c>
      <c r="DD4682" s="127">
        <v>3</v>
      </c>
      <c r="DE4682" s="127">
        <v>3</v>
      </c>
      <c r="DG4682" s="405" t="s">
        <v>27</v>
      </c>
      <c r="DH4682" s="406" t="s">
        <v>1384</v>
      </c>
      <c r="DI4682" s="406" t="str">
        <f t="shared" si="105"/>
        <v>SC, Timbó</v>
      </c>
      <c r="DJ4682" s="406">
        <v>-26.823</v>
      </c>
      <c r="DK4682" s="80">
        <v>-49.271999999999998</v>
      </c>
      <c r="DL4682" s="80">
        <v>68</v>
      </c>
      <c r="DM4682" s="64">
        <v>3</v>
      </c>
      <c r="DN4682" s="406" t="s">
        <v>8542</v>
      </c>
      <c r="DO4682" s="406">
        <v>-26.92</v>
      </c>
      <c r="DP4682" s="80">
        <v>86</v>
      </c>
    </row>
    <row r="4683" spans="29:120" x14ac:dyDescent="0.25">
      <c r="AC4683" s="122" t="s">
        <v>393</v>
      </c>
      <c r="AD4683" s="122" t="s">
        <v>4914</v>
      </c>
      <c r="AE4683" s="127">
        <v>8</v>
      </c>
      <c r="DA4683" s="122" t="s">
        <v>27</v>
      </c>
      <c r="DB4683" s="122" t="s">
        <v>8666</v>
      </c>
      <c r="DC4683" s="122" t="s">
        <v>1666</v>
      </c>
      <c r="DD4683" s="127">
        <v>2</v>
      </c>
      <c r="DE4683" s="127">
        <v>2</v>
      </c>
      <c r="DG4683" s="405" t="s">
        <v>27</v>
      </c>
      <c r="DH4683" s="406" t="s">
        <v>1666</v>
      </c>
      <c r="DI4683" s="406" t="str">
        <f t="shared" si="105"/>
        <v>SC, Timbó Grande</v>
      </c>
      <c r="DJ4683" s="406">
        <v>-26.614999999999998</v>
      </c>
      <c r="DK4683" s="80">
        <v>-50.673999999999999</v>
      </c>
      <c r="DL4683" s="80">
        <v>925</v>
      </c>
      <c r="DM4683" s="64">
        <v>2</v>
      </c>
      <c r="DN4683" s="406" t="s">
        <v>8561</v>
      </c>
      <c r="DO4683" s="406">
        <v>-26.82</v>
      </c>
      <c r="DP4683" s="80">
        <v>952</v>
      </c>
    </row>
    <row r="4684" spans="29:120" x14ac:dyDescent="0.25">
      <c r="AC4684" s="122" t="s">
        <v>357</v>
      </c>
      <c r="AD4684" s="122" t="s">
        <v>4737</v>
      </c>
      <c r="AE4684" s="127">
        <v>8</v>
      </c>
      <c r="DA4684" s="122" t="s">
        <v>27</v>
      </c>
      <c r="DB4684" s="122" t="s">
        <v>8667</v>
      </c>
      <c r="DC4684" s="122" t="s">
        <v>1655</v>
      </c>
      <c r="DD4684" s="127">
        <v>2</v>
      </c>
      <c r="DE4684" s="127">
        <v>2</v>
      </c>
      <c r="DG4684" s="405" t="s">
        <v>27</v>
      </c>
      <c r="DH4684" s="406" t="s">
        <v>1655</v>
      </c>
      <c r="DI4684" s="406" t="str">
        <f t="shared" si="105"/>
        <v>SC, Três Barras</v>
      </c>
      <c r="DJ4684" s="406">
        <v>-26.106000000000002</v>
      </c>
      <c r="DK4684" s="80">
        <v>-50.322000000000003</v>
      </c>
      <c r="DL4684" s="80">
        <v>802</v>
      </c>
      <c r="DM4684" s="64">
        <v>2</v>
      </c>
      <c r="DN4684" s="406" t="s">
        <v>7825</v>
      </c>
      <c r="DO4684" s="406">
        <v>-26.4</v>
      </c>
      <c r="DP4684" s="80">
        <v>808</v>
      </c>
    </row>
    <row r="4685" spans="29:120" x14ac:dyDescent="0.25">
      <c r="AC4685" s="122" t="s">
        <v>393</v>
      </c>
      <c r="AD4685" s="122" t="s">
        <v>4915</v>
      </c>
      <c r="AE4685" s="127">
        <v>7</v>
      </c>
      <c r="DA4685" s="122" t="s">
        <v>27</v>
      </c>
      <c r="DB4685" s="122" t="s">
        <v>491</v>
      </c>
      <c r="DC4685" s="122" t="s">
        <v>491</v>
      </c>
      <c r="DD4685" s="127">
        <v>2</v>
      </c>
      <c r="DE4685" s="127">
        <v>2</v>
      </c>
      <c r="DG4685" s="405" t="s">
        <v>27</v>
      </c>
      <c r="DH4685" s="406" t="s">
        <v>491</v>
      </c>
      <c r="DI4685" s="406" t="str">
        <f t="shared" si="105"/>
        <v>SC, Treviso</v>
      </c>
      <c r="DJ4685" s="406">
        <v>-28.515999999999998</v>
      </c>
      <c r="DK4685" s="80">
        <v>-49.457999999999998</v>
      </c>
      <c r="DL4685" s="80">
        <v>147</v>
      </c>
      <c r="DM4685" s="64">
        <v>2</v>
      </c>
      <c r="DN4685" s="406" t="s">
        <v>8544</v>
      </c>
      <c r="DO4685" s="406">
        <v>-28.53</v>
      </c>
      <c r="DP4685" s="80">
        <v>48</v>
      </c>
    </row>
    <row r="4686" spans="29:120" x14ac:dyDescent="0.25">
      <c r="AC4686" s="122" t="s">
        <v>393</v>
      </c>
      <c r="AD4686" s="122" t="s">
        <v>4916</v>
      </c>
      <c r="AE4686" s="127">
        <v>7</v>
      </c>
      <c r="DA4686" s="122" t="s">
        <v>27</v>
      </c>
      <c r="DB4686" s="122" t="s">
        <v>8668</v>
      </c>
      <c r="DC4686" s="122" t="s">
        <v>1377</v>
      </c>
      <c r="DD4686" s="127">
        <v>2</v>
      </c>
      <c r="DE4686" s="127">
        <v>2</v>
      </c>
      <c r="DG4686" s="405" t="s">
        <v>27</v>
      </c>
      <c r="DH4686" s="406" t="s">
        <v>1377</v>
      </c>
      <c r="DI4686" s="406" t="str">
        <f t="shared" si="105"/>
        <v>SC, Treze de Maio</v>
      </c>
      <c r="DJ4686" s="406">
        <v>-28.559000000000001</v>
      </c>
      <c r="DK4686" s="80">
        <v>-49.148000000000003</v>
      </c>
      <c r="DL4686" s="80">
        <v>190</v>
      </c>
      <c r="DM4686" s="64">
        <v>2</v>
      </c>
      <c r="DN4686" s="406" t="s">
        <v>8544</v>
      </c>
      <c r="DO4686" s="406">
        <v>-28.53</v>
      </c>
      <c r="DP4686" s="80">
        <v>48</v>
      </c>
    </row>
    <row r="4687" spans="29:120" x14ac:dyDescent="0.25">
      <c r="AC4687" s="122" t="s">
        <v>372</v>
      </c>
      <c r="AD4687" s="122" t="s">
        <v>4917</v>
      </c>
      <c r="AE4687" s="127">
        <v>8</v>
      </c>
      <c r="DA4687" s="122" t="s">
        <v>27</v>
      </c>
      <c r="DB4687" s="122" t="s">
        <v>8669</v>
      </c>
      <c r="DC4687" s="122" t="s">
        <v>1500</v>
      </c>
      <c r="DD4687" s="127">
        <v>2</v>
      </c>
      <c r="DE4687" s="127">
        <v>2</v>
      </c>
      <c r="DG4687" s="405" t="s">
        <v>27</v>
      </c>
      <c r="DH4687" s="406" t="s">
        <v>1500</v>
      </c>
      <c r="DI4687" s="406" t="str">
        <f t="shared" si="105"/>
        <v>SC, Treze Tílias</v>
      </c>
      <c r="DJ4687" s="406">
        <v>-27.001999999999999</v>
      </c>
      <c r="DK4687" s="80">
        <v>-51.405999999999999</v>
      </c>
      <c r="DL4687" s="80">
        <v>796</v>
      </c>
      <c r="DM4687" s="64">
        <v>2</v>
      </c>
      <c r="DN4687" s="406" t="s">
        <v>8250</v>
      </c>
      <c r="DO4687" s="406">
        <v>-27.17</v>
      </c>
      <c r="DP4687" s="80">
        <v>776</v>
      </c>
    </row>
    <row r="4688" spans="29:120" x14ac:dyDescent="0.25">
      <c r="AC4688" s="122" t="s">
        <v>393</v>
      </c>
      <c r="AD4688" s="122" t="s">
        <v>3510</v>
      </c>
      <c r="AE4688" s="127">
        <v>7</v>
      </c>
      <c r="DA4688" s="122" t="s">
        <v>27</v>
      </c>
      <c r="DB4688" s="122" t="s">
        <v>8670</v>
      </c>
      <c r="DC4688" s="122" t="s">
        <v>1291</v>
      </c>
      <c r="DD4688" s="127">
        <v>2</v>
      </c>
      <c r="DE4688" s="127">
        <v>2</v>
      </c>
      <c r="DG4688" s="405" t="s">
        <v>27</v>
      </c>
      <c r="DH4688" s="406" t="s">
        <v>1291</v>
      </c>
      <c r="DI4688" s="406" t="str">
        <f t="shared" si="105"/>
        <v>SC, Trombudo Central</v>
      </c>
      <c r="DJ4688" s="406">
        <v>-27.298999999999999</v>
      </c>
      <c r="DK4688" s="80">
        <v>-49.79</v>
      </c>
      <c r="DL4688" s="80">
        <v>350</v>
      </c>
      <c r="DM4688" s="64">
        <v>2</v>
      </c>
      <c r="DN4688" s="406" t="s">
        <v>8530</v>
      </c>
      <c r="DO4688" s="406">
        <v>-27.42</v>
      </c>
      <c r="DP4688" s="80">
        <v>484</v>
      </c>
    </row>
    <row r="4689" spans="29:120" x14ac:dyDescent="0.25">
      <c r="AC4689" s="122" t="s">
        <v>393</v>
      </c>
      <c r="AD4689" s="122" t="s">
        <v>4918</v>
      </c>
      <c r="AE4689" s="127">
        <v>7</v>
      </c>
      <c r="DA4689" s="122" t="s">
        <v>27</v>
      </c>
      <c r="DB4689" s="122" t="s">
        <v>1179</v>
      </c>
      <c r="DC4689" s="122" t="s">
        <v>1179</v>
      </c>
      <c r="DD4689" s="127">
        <v>2</v>
      </c>
      <c r="DE4689" s="127">
        <v>2</v>
      </c>
      <c r="DG4689" s="405" t="s">
        <v>27</v>
      </c>
      <c r="DH4689" s="406" t="s">
        <v>1179</v>
      </c>
      <c r="DI4689" s="406" t="str">
        <f t="shared" si="105"/>
        <v>SC, Tubarão</v>
      </c>
      <c r="DJ4689" s="406">
        <v>-28.466999999999999</v>
      </c>
      <c r="DK4689" s="80">
        <v>-49.006999999999998</v>
      </c>
      <c r="DL4689" s="80">
        <v>9</v>
      </c>
      <c r="DM4689" s="64">
        <v>2</v>
      </c>
      <c r="DN4689" s="406" t="s">
        <v>8568</v>
      </c>
      <c r="DO4689" s="406">
        <v>-28.6</v>
      </c>
      <c r="DP4689" s="80">
        <v>52</v>
      </c>
    </row>
    <row r="4690" spans="29:120" x14ac:dyDescent="0.25">
      <c r="AC4690" s="122" t="s">
        <v>328</v>
      </c>
      <c r="AD4690" s="122" t="s">
        <v>4919</v>
      </c>
      <c r="AE4690" s="127">
        <v>7</v>
      </c>
      <c r="DA4690" s="122" t="s">
        <v>27</v>
      </c>
      <c r="DB4690" s="122" t="s">
        <v>3253</v>
      </c>
      <c r="DC4690" s="122" t="s">
        <v>3253</v>
      </c>
      <c r="DD4690" s="127">
        <v>2</v>
      </c>
      <c r="DE4690" s="127">
        <v>2</v>
      </c>
      <c r="DG4690" s="405" t="s">
        <v>27</v>
      </c>
      <c r="DH4690" s="406" t="s">
        <v>3253</v>
      </c>
      <c r="DI4690" s="406" t="str">
        <f t="shared" si="105"/>
        <v>SC, Tunápolis</v>
      </c>
      <c r="DJ4690" s="406">
        <v>-26.969000000000001</v>
      </c>
      <c r="DK4690" s="80">
        <v>-53.639000000000003</v>
      </c>
      <c r="DL4690" s="80">
        <v>430</v>
      </c>
      <c r="DM4690" s="64">
        <v>2</v>
      </c>
      <c r="DN4690" s="406" t="s">
        <v>8539</v>
      </c>
      <c r="DO4690" s="406">
        <v>-26.78</v>
      </c>
      <c r="DP4690" s="80">
        <v>665</v>
      </c>
    </row>
    <row r="4691" spans="29:120" x14ac:dyDescent="0.25">
      <c r="AC4691" s="122" t="s">
        <v>328</v>
      </c>
      <c r="AD4691" s="122" t="s">
        <v>4920</v>
      </c>
      <c r="AE4691" s="127">
        <v>7</v>
      </c>
      <c r="DA4691" s="122" t="s">
        <v>27</v>
      </c>
      <c r="DB4691" s="122" t="s">
        <v>741</v>
      </c>
      <c r="DC4691" s="122" t="s">
        <v>741</v>
      </c>
      <c r="DD4691" s="127">
        <v>2</v>
      </c>
      <c r="DE4691" s="127">
        <v>2</v>
      </c>
      <c r="DG4691" s="405" t="s">
        <v>27</v>
      </c>
      <c r="DH4691" s="406" t="s">
        <v>741</v>
      </c>
      <c r="DI4691" s="406" t="str">
        <f t="shared" si="105"/>
        <v>SC, Turvo</v>
      </c>
      <c r="DJ4691" s="406">
        <v>-28.925999999999998</v>
      </c>
      <c r="DK4691" s="80">
        <v>-49.679000000000002</v>
      </c>
      <c r="DL4691" s="80">
        <v>38</v>
      </c>
      <c r="DM4691" s="64">
        <v>2</v>
      </c>
      <c r="DN4691" s="406" t="s">
        <v>8543</v>
      </c>
      <c r="DO4691" s="406">
        <v>-28.93</v>
      </c>
      <c r="DP4691" s="80">
        <v>12</v>
      </c>
    </row>
    <row r="4692" spans="29:120" x14ac:dyDescent="0.25">
      <c r="AC4692" s="122" t="s">
        <v>340</v>
      </c>
      <c r="AD4692" s="122" t="s">
        <v>4921</v>
      </c>
      <c r="AE4692" s="127">
        <v>8</v>
      </c>
      <c r="DA4692" s="122" t="s">
        <v>27</v>
      </c>
      <c r="DB4692" s="122" t="s">
        <v>8671</v>
      </c>
      <c r="DC4692" s="122" t="s">
        <v>1124</v>
      </c>
      <c r="DD4692" s="127">
        <v>2</v>
      </c>
      <c r="DE4692" s="127">
        <v>2</v>
      </c>
      <c r="DG4692" s="405" t="s">
        <v>27</v>
      </c>
      <c r="DH4692" s="406" t="s">
        <v>1124</v>
      </c>
      <c r="DI4692" s="406" t="str">
        <f t="shared" si="105"/>
        <v>SC, União do Oeste</v>
      </c>
      <c r="DJ4692" s="406">
        <v>-26.760999999999999</v>
      </c>
      <c r="DK4692" s="80">
        <v>-52.854999999999997</v>
      </c>
      <c r="DL4692" s="80">
        <v>462</v>
      </c>
      <c r="DM4692" s="64">
        <v>2</v>
      </c>
      <c r="DN4692" s="406" t="s">
        <v>7844</v>
      </c>
      <c r="DO4692" s="406">
        <v>-26.41</v>
      </c>
      <c r="DP4692" s="80">
        <v>960</v>
      </c>
    </row>
    <row r="4693" spans="29:120" x14ac:dyDescent="0.25">
      <c r="AC4693" s="122" t="s">
        <v>328</v>
      </c>
      <c r="AD4693" s="122" t="s">
        <v>4922</v>
      </c>
      <c r="AE4693" s="127">
        <v>7</v>
      </c>
      <c r="DA4693" s="122" t="s">
        <v>27</v>
      </c>
      <c r="DB4693" s="122" t="s">
        <v>364</v>
      </c>
      <c r="DC4693" s="122" t="s">
        <v>364</v>
      </c>
      <c r="DD4693" s="127">
        <v>1</v>
      </c>
      <c r="DE4693" s="127">
        <v>1</v>
      </c>
      <c r="DG4693" s="405" t="s">
        <v>27</v>
      </c>
      <c r="DH4693" s="406" t="s">
        <v>364</v>
      </c>
      <c r="DI4693" s="406" t="str">
        <f t="shared" si="105"/>
        <v>SC, Urubici</v>
      </c>
      <c r="DJ4693" s="406">
        <v>-28.015000000000001</v>
      </c>
      <c r="DK4693" s="80">
        <v>-49.591999999999999</v>
      </c>
      <c r="DL4693" s="80">
        <v>915</v>
      </c>
      <c r="DM4693" s="64">
        <v>1</v>
      </c>
      <c r="DN4693" s="406" t="s">
        <v>8541</v>
      </c>
      <c r="DO4693" s="406">
        <v>-28.13</v>
      </c>
      <c r="DP4693" s="80">
        <v>1810</v>
      </c>
    </row>
    <row r="4694" spans="29:120" x14ac:dyDescent="0.25">
      <c r="AC4694" s="122" t="s">
        <v>328</v>
      </c>
      <c r="AD4694" s="122" t="s">
        <v>4923</v>
      </c>
      <c r="AE4694" s="127">
        <v>8</v>
      </c>
      <c r="DA4694" s="122" t="s">
        <v>27</v>
      </c>
      <c r="DB4694" s="122" t="s">
        <v>1176</v>
      </c>
      <c r="DC4694" s="122" t="s">
        <v>1176</v>
      </c>
      <c r="DD4694" s="127">
        <v>1</v>
      </c>
      <c r="DE4694" s="127">
        <v>1</v>
      </c>
      <c r="DG4694" s="405" t="s">
        <v>27</v>
      </c>
      <c r="DH4694" s="406" t="s">
        <v>1176</v>
      </c>
      <c r="DI4694" s="406" t="str">
        <f t="shared" si="105"/>
        <v>SC, Urupema</v>
      </c>
      <c r="DJ4694" s="406">
        <v>-27.952999999999999</v>
      </c>
      <c r="DK4694" s="80">
        <v>-49.872999999999998</v>
      </c>
      <c r="DL4694" s="80">
        <v>1350</v>
      </c>
      <c r="DM4694" s="64">
        <v>1</v>
      </c>
      <c r="DN4694" s="406" t="s">
        <v>8541</v>
      </c>
      <c r="DO4694" s="406">
        <v>-28.13</v>
      </c>
      <c r="DP4694" s="80">
        <v>1810</v>
      </c>
    </row>
    <row r="4695" spans="29:120" x14ac:dyDescent="0.25">
      <c r="AC4695" s="122" t="s">
        <v>234</v>
      </c>
      <c r="AD4695" s="122" t="s">
        <v>4924</v>
      </c>
      <c r="AE4695" s="127">
        <v>8</v>
      </c>
      <c r="DA4695" s="122" t="s">
        <v>27</v>
      </c>
      <c r="DB4695" s="122" t="s">
        <v>1744</v>
      </c>
      <c r="DC4695" s="122" t="s">
        <v>1744</v>
      </c>
      <c r="DD4695" s="127">
        <v>2</v>
      </c>
      <c r="DE4695" s="127">
        <v>2</v>
      </c>
      <c r="DG4695" s="405" t="s">
        <v>27</v>
      </c>
      <c r="DH4695" s="406" t="s">
        <v>1744</v>
      </c>
      <c r="DI4695" s="406" t="str">
        <f t="shared" si="105"/>
        <v>SC, Urussanga</v>
      </c>
      <c r="DJ4695" s="406">
        <v>-28.518000000000001</v>
      </c>
      <c r="DK4695" s="80">
        <v>-49.320999999999998</v>
      </c>
      <c r="DL4695" s="80">
        <v>49</v>
      </c>
      <c r="DM4695" s="64">
        <v>2</v>
      </c>
      <c r="DN4695" s="406" t="s">
        <v>8544</v>
      </c>
      <c r="DO4695" s="406">
        <v>-28.53</v>
      </c>
      <c r="DP4695" s="80">
        <v>48</v>
      </c>
    </row>
    <row r="4696" spans="29:120" x14ac:dyDescent="0.25">
      <c r="AC4696" s="122" t="s">
        <v>340</v>
      </c>
      <c r="AD4696" s="122" t="s">
        <v>2551</v>
      </c>
      <c r="AE4696" s="127">
        <v>6</v>
      </c>
      <c r="DA4696" s="122" t="s">
        <v>27</v>
      </c>
      <c r="DB4696" s="122" t="s">
        <v>389</v>
      </c>
      <c r="DC4696" s="122" t="s">
        <v>389</v>
      </c>
      <c r="DD4696" s="127">
        <v>2</v>
      </c>
      <c r="DE4696" s="127">
        <v>2</v>
      </c>
      <c r="DG4696" s="405" t="s">
        <v>27</v>
      </c>
      <c r="DH4696" s="406" t="s">
        <v>389</v>
      </c>
      <c r="DI4696" s="406" t="str">
        <f t="shared" si="105"/>
        <v>SC, Vargeão</v>
      </c>
      <c r="DJ4696" s="406">
        <v>-26.864000000000001</v>
      </c>
      <c r="DK4696" s="80">
        <v>-52.155000000000001</v>
      </c>
      <c r="DL4696" s="80">
        <v>890</v>
      </c>
      <c r="DM4696" s="64">
        <v>2</v>
      </c>
      <c r="DN4696" s="406" t="s">
        <v>8534</v>
      </c>
      <c r="DO4696" s="406">
        <v>-26.94</v>
      </c>
      <c r="DP4696" s="80">
        <v>889</v>
      </c>
    </row>
    <row r="4697" spans="29:120" x14ac:dyDescent="0.25">
      <c r="AC4697" s="122" t="s">
        <v>328</v>
      </c>
      <c r="AD4697" s="122" t="s">
        <v>4925</v>
      </c>
      <c r="AE4697" s="127">
        <v>8</v>
      </c>
      <c r="DA4697" s="122" t="s">
        <v>27</v>
      </c>
      <c r="DB4697" s="122" t="s">
        <v>1084</v>
      </c>
      <c r="DC4697" s="122" t="s">
        <v>1084</v>
      </c>
      <c r="DD4697" s="127">
        <v>2</v>
      </c>
      <c r="DE4697" s="127">
        <v>2</v>
      </c>
      <c r="DG4697" s="405" t="s">
        <v>27</v>
      </c>
      <c r="DH4697" s="406" t="s">
        <v>1084</v>
      </c>
      <c r="DI4697" s="406" t="str">
        <f t="shared" si="105"/>
        <v>SC, Vargem</v>
      </c>
      <c r="DJ4697" s="406">
        <v>-27.489000000000001</v>
      </c>
      <c r="DK4697" s="80">
        <v>-50.975000000000001</v>
      </c>
      <c r="DL4697" s="80">
        <v>768</v>
      </c>
      <c r="DM4697" s="64">
        <v>2</v>
      </c>
      <c r="DN4697" s="406" t="s">
        <v>8528</v>
      </c>
      <c r="DO4697" s="406">
        <v>-27.29</v>
      </c>
      <c r="DP4697" s="80">
        <v>982</v>
      </c>
    </row>
    <row r="4698" spans="29:120" x14ac:dyDescent="0.25">
      <c r="AC4698" s="122" t="s">
        <v>328</v>
      </c>
      <c r="AD4698" s="122" t="s">
        <v>4926</v>
      </c>
      <c r="AE4698" s="127">
        <v>7</v>
      </c>
      <c r="DA4698" s="122" t="s">
        <v>27</v>
      </c>
      <c r="DB4698" s="122" t="s">
        <v>7244</v>
      </c>
      <c r="DC4698" s="122" t="s">
        <v>765</v>
      </c>
      <c r="DD4698" s="127">
        <v>2</v>
      </c>
      <c r="DE4698" s="127">
        <v>2</v>
      </c>
      <c r="DG4698" s="405" t="s">
        <v>27</v>
      </c>
      <c r="DH4698" s="406" t="s">
        <v>765</v>
      </c>
      <c r="DI4698" s="406" t="str">
        <f t="shared" si="105"/>
        <v>SC, Vargem Bonita</v>
      </c>
      <c r="DJ4698" s="406">
        <v>-27.007000000000001</v>
      </c>
      <c r="DK4698" s="80">
        <v>-51.74</v>
      </c>
      <c r="DL4698" s="80">
        <v>880</v>
      </c>
      <c r="DM4698" s="64">
        <v>2</v>
      </c>
      <c r="DN4698" s="406" t="s">
        <v>8250</v>
      </c>
      <c r="DO4698" s="406">
        <v>-27.17</v>
      </c>
      <c r="DP4698" s="80">
        <v>776</v>
      </c>
    </row>
    <row r="4699" spans="29:120" x14ac:dyDescent="0.25">
      <c r="AC4699" s="122" t="s">
        <v>340</v>
      </c>
      <c r="AD4699" s="122" t="s">
        <v>4927</v>
      </c>
      <c r="AE4699" s="127">
        <v>8</v>
      </c>
      <c r="DA4699" s="122" t="s">
        <v>27</v>
      </c>
      <c r="DB4699" s="122" t="s">
        <v>8672</v>
      </c>
      <c r="DC4699" s="122" t="s">
        <v>1250</v>
      </c>
      <c r="DD4699" s="127">
        <v>3</v>
      </c>
      <c r="DE4699" s="127">
        <v>3</v>
      </c>
      <c r="DG4699" s="405" t="s">
        <v>27</v>
      </c>
      <c r="DH4699" s="406" t="s">
        <v>1250</v>
      </c>
      <c r="DI4699" s="406" t="str">
        <f t="shared" si="105"/>
        <v>SC, Vidal Ramos</v>
      </c>
      <c r="DJ4699" s="406">
        <v>-27.391999999999999</v>
      </c>
      <c r="DK4699" s="80">
        <v>-49.356000000000002</v>
      </c>
      <c r="DL4699" s="80">
        <v>370</v>
      </c>
      <c r="DM4699" s="64">
        <v>3</v>
      </c>
      <c r="DN4699" s="406" t="s">
        <v>8530</v>
      </c>
      <c r="DO4699" s="406">
        <v>-27.42</v>
      </c>
      <c r="DP4699" s="80">
        <v>484</v>
      </c>
    </row>
    <row r="4700" spans="29:120" x14ac:dyDescent="0.25">
      <c r="AC4700" s="122" t="s">
        <v>234</v>
      </c>
      <c r="AD4700" s="122" t="s">
        <v>4928</v>
      </c>
      <c r="AE4700" s="127">
        <v>8</v>
      </c>
      <c r="DA4700" s="122" t="s">
        <v>27</v>
      </c>
      <c r="DB4700" s="122" t="s">
        <v>1537</v>
      </c>
      <c r="DC4700" s="122" t="s">
        <v>1537</v>
      </c>
      <c r="DD4700" s="127">
        <v>2</v>
      </c>
      <c r="DE4700" s="127">
        <v>2</v>
      </c>
      <c r="DG4700" s="405" t="s">
        <v>27</v>
      </c>
      <c r="DH4700" s="406" t="s">
        <v>1537</v>
      </c>
      <c r="DI4700" s="406" t="str">
        <f t="shared" si="105"/>
        <v>SC, Videira</v>
      </c>
      <c r="DJ4700" s="406">
        <v>-27.007999999999999</v>
      </c>
      <c r="DK4700" s="80">
        <v>-51.152000000000001</v>
      </c>
      <c r="DL4700" s="80">
        <v>750</v>
      </c>
      <c r="DM4700" s="64">
        <v>2</v>
      </c>
      <c r="DN4700" s="406" t="s">
        <v>8561</v>
      </c>
      <c r="DO4700" s="406">
        <v>-26.82</v>
      </c>
      <c r="DP4700" s="80">
        <v>952</v>
      </c>
    </row>
    <row r="4701" spans="29:120" x14ac:dyDescent="0.25">
      <c r="AC4701" s="122" t="s">
        <v>328</v>
      </c>
      <c r="AD4701" s="122" t="s">
        <v>4929</v>
      </c>
      <c r="AE4701" s="127">
        <v>8</v>
      </c>
      <c r="DA4701" s="122" t="s">
        <v>27</v>
      </c>
      <c r="DB4701" s="122" t="s">
        <v>8673</v>
      </c>
      <c r="DC4701" s="122" t="s">
        <v>1125</v>
      </c>
      <c r="DD4701" s="127">
        <v>3</v>
      </c>
      <c r="DE4701" s="127">
        <v>3</v>
      </c>
      <c r="DG4701" s="405" t="s">
        <v>27</v>
      </c>
      <c r="DH4701" s="406" t="s">
        <v>1125</v>
      </c>
      <c r="DI4701" s="406" t="str">
        <f t="shared" si="105"/>
        <v>SC, Vitor Meireles</v>
      </c>
      <c r="DJ4701" s="406">
        <v>-26.881</v>
      </c>
      <c r="DK4701" s="80">
        <v>-49.832999999999998</v>
      </c>
      <c r="DL4701" s="80">
        <v>370</v>
      </c>
      <c r="DM4701" s="64">
        <v>3</v>
      </c>
      <c r="DN4701" s="406" t="s">
        <v>8542</v>
      </c>
      <c r="DO4701" s="406">
        <v>-26.92</v>
      </c>
      <c r="DP4701" s="80">
        <v>86</v>
      </c>
    </row>
    <row r="4702" spans="29:120" x14ac:dyDescent="0.25">
      <c r="AC4702" s="122" t="s">
        <v>393</v>
      </c>
      <c r="AD4702" s="122" t="s">
        <v>1206</v>
      </c>
      <c r="AE4702" s="127">
        <v>7</v>
      </c>
      <c r="DA4702" s="122" t="s">
        <v>27</v>
      </c>
      <c r="DB4702" s="122" t="s">
        <v>1155</v>
      </c>
      <c r="DC4702" s="122" t="s">
        <v>1155</v>
      </c>
      <c r="DD4702" s="127">
        <v>3</v>
      </c>
      <c r="DE4702" s="127">
        <v>3</v>
      </c>
      <c r="DG4702" s="405" t="s">
        <v>27</v>
      </c>
      <c r="DH4702" s="406" t="s">
        <v>1155</v>
      </c>
      <c r="DI4702" s="406" t="str">
        <f t="shared" si="105"/>
        <v>SC, Witmarsum</v>
      </c>
      <c r="DJ4702" s="406">
        <v>-26.925999999999998</v>
      </c>
      <c r="DK4702" s="80">
        <v>-49.795999999999999</v>
      </c>
      <c r="DL4702" s="80">
        <v>370</v>
      </c>
      <c r="DM4702" s="64">
        <v>3</v>
      </c>
      <c r="DN4702" s="406" t="s">
        <v>8542</v>
      </c>
      <c r="DO4702" s="406">
        <v>-26.92</v>
      </c>
      <c r="DP4702" s="80">
        <v>86</v>
      </c>
    </row>
    <row r="4703" spans="29:120" x14ac:dyDescent="0.25">
      <c r="AC4703" s="122" t="s">
        <v>393</v>
      </c>
      <c r="AD4703" s="122" t="s">
        <v>1264</v>
      </c>
      <c r="AE4703" s="127">
        <v>8</v>
      </c>
      <c r="DA4703" s="122" t="s">
        <v>27</v>
      </c>
      <c r="DB4703" s="122" t="s">
        <v>1316</v>
      </c>
      <c r="DC4703" s="122" t="s">
        <v>1316</v>
      </c>
      <c r="DD4703" s="127">
        <v>2</v>
      </c>
      <c r="DE4703" s="127">
        <v>2</v>
      </c>
      <c r="DG4703" s="405" t="s">
        <v>27</v>
      </c>
      <c r="DH4703" s="406" t="s">
        <v>1316</v>
      </c>
      <c r="DI4703" s="406" t="str">
        <f t="shared" si="105"/>
        <v>SC, Xanxerê</v>
      </c>
      <c r="DJ4703" s="406">
        <v>-26.876999999999999</v>
      </c>
      <c r="DK4703" s="80">
        <v>-52.404000000000003</v>
      </c>
      <c r="DL4703" s="80">
        <v>800</v>
      </c>
      <c r="DM4703" s="64">
        <v>2</v>
      </c>
      <c r="DN4703" s="406" t="s">
        <v>8534</v>
      </c>
      <c r="DO4703" s="406">
        <v>-26.94</v>
      </c>
      <c r="DP4703" s="80">
        <v>889</v>
      </c>
    </row>
    <row r="4704" spans="29:120" x14ac:dyDescent="0.25">
      <c r="AC4704" s="122" t="s">
        <v>328</v>
      </c>
      <c r="AD4704" s="122" t="s">
        <v>4930</v>
      </c>
      <c r="AE4704" s="127">
        <v>7</v>
      </c>
      <c r="DA4704" s="122" t="s">
        <v>27</v>
      </c>
      <c r="DB4704" s="122" t="s">
        <v>429</v>
      </c>
      <c r="DC4704" s="122" t="s">
        <v>429</v>
      </c>
      <c r="DD4704" s="127">
        <v>2</v>
      </c>
      <c r="DE4704" s="127">
        <v>2</v>
      </c>
      <c r="DG4704" s="405" t="s">
        <v>27</v>
      </c>
      <c r="DH4704" s="406" t="s">
        <v>429</v>
      </c>
      <c r="DI4704" s="406" t="str">
        <f t="shared" si="105"/>
        <v>SC, Xavantina</v>
      </c>
      <c r="DJ4704" s="406">
        <v>-27.068999999999999</v>
      </c>
      <c r="DK4704" s="80">
        <v>-52.341999999999999</v>
      </c>
      <c r="DL4704" s="80">
        <v>545</v>
      </c>
      <c r="DM4704" s="64">
        <v>2</v>
      </c>
      <c r="DN4704" s="406" t="s">
        <v>8534</v>
      </c>
      <c r="DO4704" s="406">
        <v>-26.94</v>
      </c>
      <c r="DP4704" s="80">
        <v>889</v>
      </c>
    </row>
    <row r="4705" spans="29:120" x14ac:dyDescent="0.25">
      <c r="AC4705" s="122" t="s">
        <v>340</v>
      </c>
      <c r="AD4705" s="122" t="s">
        <v>4931</v>
      </c>
      <c r="AE4705" s="127">
        <v>7</v>
      </c>
      <c r="DA4705" s="122" t="s">
        <v>27</v>
      </c>
      <c r="DB4705" s="122" t="s">
        <v>1254</v>
      </c>
      <c r="DC4705" s="122" t="s">
        <v>1254</v>
      </c>
      <c r="DD4705" s="127">
        <v>2</v>
      </c>
      <c r="DE4705" s="127">
        <v>2</v>
      </c>
      <c r="DG4705" s="405" t="s">
        <v>27</v>
      </c>
      <c r="DH4705" s="406" t="s">
        <v>1254</v>
      </c>
      <c r="DI4705" s="406" t="str">
        <f t="shared" si="105"/>
        <v>SC, Xaxim</v>
      </c>
      <c r="DJ4705" s="406">
        <v>-26.962</v>
      </c>
      <c r="DK4705" s="80">
        <v>-52.534999999999997</v>
      </c>
      <c r="DL4705" s="80">
        <v>770</v>
      </c>
      <c r="DM4705" s="64">
        <v>2</v>
      </c>
      <c r="DN4705" s="406" t="s">
        <v>8534</v>
      </c>
      <c r="DO4705" s="406">
        <v>-26.94</v>
      </c>
      <c r="DP4705" s="80">
        <v>889</v>
      </c>
    </row>
    <row r="4706" spans="29:120" x14ac:dyDescent="0.25">
      <c r="AC4706" s="122" t="s">
        <v>393</v>
      </c>
      <c r="AD4706" s="122" t="s">
        <v>4932</v>
      </c>
      <c r="AE4706" s="127">
        <v>7</v>
      </c>
      <c r="DA4706" s="122" t="s">
        <v>27</v>
      </c>
      <c r="DB4706" s="122" t="s">
        <v>415</v>
      </c>
      <c r="DC4706" s="122" t="s">
        <v>415</v>
      </c>
      <c r="DD4706" s="127">
        <v>2</v>
      </c>
      <c r="DE4706" s="127">
        <v>2</v>
      </c>
      <c r="DG4706" s="405" t="s">
        <v>27</v>
      </c>
      <c r="DH4706" s="406" t="s">
        <v>415</v>
      </c>
      <c r="DI4706" s="406" t="str">
        <f t="shared" si="105"/>
        <v>SC, Zortéa</v>
      </c>
      <c r="DJ4706" s="406">
        <v>-27.451000000000001</v>
      </c>
      <c r="DK4706" s="80">
        <v>-51.555</v>
      </c>
      <c r="DL4706" s="80">
        <v>680</v>
      </c>
      <c r="DM4706" s="64">
        <v>2</v>
      </c>
      <c r="DN4706" s="406" t="s">
        <v>8250</v>
      </c>
      <c r="DO4706" s="406">
        <v>-27.17</v>
      </c>
      <c r="DP4706" s="80">
        <v>776</v>
      </c>
    </row>
    <row r="4707" spans="29:120" x14ac:dyDescent="0.25">
      <c r="AC4707" s="122" t="s">
        <v>328</v>
      </c>
      <c r="AD4707" s="122" t="s">
        <v>4933</v>
      </c>
      <c r="AE4707" s="127">
        <v>7</v>
      </c>
      <c r="DA4707" s="122" t="s">
        <v>298</v>
      </c>
      <c r="DB4707" s="122" t="s">
        <v>8674</v>
      </c>
      <c r="DC4707" s="122" t="s">
        <v>5038</v>
      </c>
      <c r="DD4707" s="127">
        <v>8</v>
      </c>
      <c r="DE4707" s="127">
        <v>8</v>
      </c>
      <c r="DG4707" s="405" t="s">
        <v>298</v>
      </c>
      <c r="DH4707" s="406" t="s">
        <v>5038</v>
      </c>
      <c r="DI4707" s="406" t="str">
        <f t="shared" si="105"/>
        <v>SE, Amparo de São Francisco</v>
      </c>
      <c r="DJ4707" s="406">
        <v>-10.134</v>
      </c>
      <c r="DK4707" s="80">
        <v>-36.93</v>
      </c>
      <c r="DL4707" s="80">
        <v>12</v>
      </c>
      <c r="DM4707" s="64">
        <v>8</v>
      </c>
      <c r="DN4707" s="406" t="s">
        <v>6088</v>
      </c>
      <c r="DO4707" s="406">
        <v>-9.8000000000000007</v>
      </c>
      <c r="DP4707" s="80">
        <v>241</v>
      </c>
    </row>
    <row r="4708" spans="29:120" x14ac:dyDescent="0.25">
      <c r="AC4708" s="122" t="s">
        <v>393</v>
      </c>
      <c r="AD4708" s="122" t="s">
        <v>2345</v>
      </c>
      <c r="AE4708" s="127">
        <v>7</v>
      </c>
      <c r="DA4708" s="122" t="s">
        <v>298</v>
      </c>
      <c r="DB4708" s="122" t="s">
        <v>5343</v>
      </c>
      <c r="DC4708" s="122" t="s">
        <v>5343</v>
      </c>
      <c r="DD4708" s="127">
        <v>8</v>
      </c>
      <c r="DE4708" s="127">
        <v>8</v>
      </c>
      <c r="DG4708" s="405" t="s">
        <v>298</v>
      </c>
      <c r="DH4708" s="406" t="s">
        <v>5343</v>
      </c>
      <c r="DI4708" s="406" t="str">
        <f t="shared" si="105"/>
        <v>SE, Aquidabã</v>
      </c>
      <c r="DJ4708" s="406">
        <v>-10.281000000000001</v>
      </c>
      <c r="DK4708" s="80">
        <v>-37.018999999999998</v>
      </c>
      <c r="DL4708" s="80">
        <v>216</v>
      </c>
      <c r="DM4708" s="64">
        <v>8</v>
      </c>
      <c r="DN4708" s="406" t="s">
        <v>6133</v>
      </c>
      <c r="DO4708" s="406">
        <v>-10.47</v>
      </c>
      <c r="DP4708" s="80">
        <v>10</v>
      </c>
    </row>
    <row r="4709" spans="29:120" x14ac:dyDescent="0.25">
      <c r="AC4709" s="122" t="s">
        <v>340</v>
      </c>
      <c r="AD4709" s="122" t="s">
        <v>4934</v>
      </c>
      <c r="AE4709" s="127">
        <v>7</v>
      </c>
      <c r="DA4709" s="122" t="s">
        <v>298</v>
      </c>
      <c r="DB4709" s="122" t="s">
        <v>5046</v>
      </c>
      <c r="DC4709" s="122" t="s">
        <v>5046</v>
      </c>
      <c r="DD4709" s="127">
        <v>8</v>
      </c>
      <c r="DE4709" s="127">
        <v>8</v>
      </c>
      <c r="DG4709" s="405" t="s">
        <v>298</v>
      </c>
      <c r="DH4709" s="406" t="s">
        <v>5046</v>
      </c>
      <c r="DI4709" s="406" t="str">
        <f t="shared" si="105"/>
        <v>SE, Aracaju</v>
      </c>
      <c r="DJ4709" s="406">
        <v>-10.911</v>
      </c>
      <c r="DK4709" s="80">
        <v>-37.072000000000003</v>
      </c>
      <c r="DL4709" s="80">
        <v>4</v>
      </c>
      <c r="DM4709" s="64">
        <v>8</v>
      </c>
      <c r="DN4709" s="406" t="s">
        <v>8675</v>
      </c>
      <c r="DO4709" s="406">
        <v>-10.91</v>
      </c>
      <c r="DP4709" s="80">
        <v>5</v>
      </c>
    </row>
    <row r="4710" spans="29:120" x14ac:dyDescent="0.25">
      <c r="AC4710" s="122" t="s">
        <v>340</v>
      </c>
      <c r="AD4710" s="122" t="s">
        <v>4935</v>
      </c>
      <c r="AE4710" s="127">
        <v>6</v>
      </c>
      <c r="DA4710" s="122" t="s">
        <v>298</v>
      </c>
      <c r="DB4710" s="122" t="s">
        <v>2516</v>
      </c>
      <c r="DC4710" s="122" t="s">
        <v>2516</v>
      </c>
      <c r="DD4710" s="127">
        <v>8</v>
      </c>
      <c r="DE4710" s="127">
        <v>8</v>
      </c>
      <c r="DG4710" s="405" t="s">
        <v>298</v>
      </c>
      <c r="DH4710" s="406" t="s">
        <v>2516</v>
      </c>
      <c r="DI4710" s="406" t="str">
        <f t="shared" si="105"/>
        <v>SE, Arauá</v>
      </c>
      <c r="DJ4710" s="406">
        <v>-11.262</v>
      </c>
      <c r="DK4710" s="80">
        <v>-37.619999999999997</v>
      </c>
      <c r="DL4710" s="80">
        <v>109</v>
      </c>
      <c r="DM4710" s="64">
        <v>8</v>
      </c>
      <c r="DN4710" s="406" t="s">
        <v>6212</v>
      </c>
      <c r="DO4710" s="406">
        <v>-11.27</v>
      </c>
      <c r="DP4710" s="80">
        <v>208</v>
      </c>
    </row>
    <row r="4711" spans="29:120" x14ac:dyDescent="0.25">
      <c r="AC4711" s="122" t="s">
        <v>372</v>
      </c>
      <c r="AD4711" s="122" t="s">
        <v>4936</v>
      </c>
      <c r="AE4711" s="127">
        <v>8</v>
      </c>
      <c r="DA4711" s="122" t="s">
        <v>298</v>
      </c>
      <c r="DB4711" s="122" t="s">
        <v>8082</v>
      </c>
      <c r="DC4711" s="122" t="s">
        <v>4259</v>
      </c>
      <c r="DD4711" s="127">
        <v>8</v>
      </c>
      <c r="DE4711" s="127">
        <v>8</v>
      </c>
      <c r="DG4711" s="405" t="s">
        <v>298</v>
      </c>
      <c r="DH4711" s="406" t="s">
        <v>4259</v>
      </c>
      <c r="DI4711" s="406" t="str">
        <f t="shared" si="105"/>
        <v>SE, Areia Branca</v>
      </c>
      <c r="DJ4711" s="406">
        <v>-10.757999999999999</v>
      </c>
      <c r="DK4711" s="80">
        <v>-37.314999999999998</v>
      </c>
      <c r="DL4711" s="80">
        <v>160</v>
      </c>
      <c r="DM4711" s="64">
        <v>8</v>
      </c>
      <c r="DN4711" s="406" t="s">
        <v>8675</v>
      </c>
      <c r="DO4711" s="406">
        <v>-10.91</v>
      </c>
      <c r="DP4711" s="80">
        <v>5</v>
      </c>
    </row>
    <row r="4712" spans="29:120" x14ac:dyDescent="0.25">
      <c r="AC4712" s="122" t="s">
        <v>340</v>
      </c>
      <c r="AD4712" s="122" t="s">
        <v>4937</v>
      </c>
      <c r="AE4712" s="127">
        <v>8</v>
      </c>
      <c r="DA4712" s="122" t="s">
        <v>298</v>
      </c>
      <c r="DB4712" s="122" t="s">
        <v>8676</v>
      </c>
      <c r="DC4712" s="122" t="s">
        <v>5047</v>
      </c>
      <c r="DD4712" s="127">
        <v>8</v>
      </c>
      <c r="DE4712" s="127">
        <v>8</v>
      </c>
      <c r="DG4712" s="405" t="s">
        <v>298</v>
      </c>
      <c r="DH4712" s="406" t="s">
        <v>5047</v>
      </c>
      <c r="DI4712" s="406" t="str">
        <f t="shared" si="105"/>
        <v>SE, Barra dos Coqueiros</v>
      </c>
      <c r="DJ4712" s="406">
        <v>-10.909000000000001</v>
      </c>
      <c r="DK4712" s="80">
        <v>-37.039000000000001</v>
      </c>
      <c r="DL4712" s="80">
        <v>8</v>
      </c>
      <c r="DM4712" s="64">
        <v>8</v>
      </c>
      <c r="DN4712" s="406" t="s">
        <v>8675</v>
      </c>
      <c r="DO4712" s="406">
        <v>-10.91</v>
      </c>
      <c r="DP4712" s="80">
        <v>5</v>
      </c>
    </row>
    <row r="4713" spans="29:120" x14ac:dyDescent="0.25">
      <c r="AC4713" s="122" t="s">
        <v>340</v>
      </c>
      <c r="AD4713" s="122" t="s">
        <v>4938</v>
      </c>
      <c r="AE4713" s="127">
        <v>8</v>
      </c>
      <c r="DA4713" s="122" t="s">
        <v>298</v>
      </c>
      <c r="DB4713" s="122" t="s">
        <v>5363</v>
      </c>
      <c r="DC4713" s="122" t="s">
        <v>5363</v>
      </c>
      <c r="DD4713" s="127">
        <v>8</v>
      </c>
      <c r="DE4713" s="127">
        <v>8</v>
      </c>
      <c r="DG4713" s="405" t="s">
        <v>298</v>
      </c>
      <c r="DH4713" s="406" t="s">
        <v>5363</v>
      </c>
      <c r="DI4713" s="406" t="str">
        <f t="shared" si="105"/>
        <v>SE, Boquim</v>
      </c>
      <c r="DJ4713" s="406">
        <v>-11.147</v>
      </c>
      <c r="DK4713" s="80">
        <v>-37.621000000000002</v>
      </c>
      <c r="DL4713" s="80">
        <v>165</v>
      </c>
      <c r="DM4713" s="64">
        <v>8</v>
      </c>
      <c r="DN4713" s="406" t="s">
        <v>6212</v>
      </c>
      <c r="DO4713" s="406">
        <v>-11.27</v>
      </c>
      <c r="DP4713" s="80">
        <v>208</v>
      </c>
    </row>
    <row r="4714" spans="29:120" x14ac:dyDescent="0.25">
      <c r="AC4714" s="122" t="s">
        <v>357</v>
      </c>
      <c r="AD4714" s="122" t="s">
        <v>4939</v>
      </c>
      <c r="AE4714" s="127">
        <v>8</v>
      </c>
      <c r="DA4714" s="122" t="s">
        <v>298</v>
      </c>
      <c r="DB4714" s="122" t="s">
        <v>8677</v>
      </c>
      <c r="DC4714" s="122" t="s">
        <v>5057</v>
      </c>
      <c r="DD4714" s="127">
        <v>8</v>
      </c>
      <c r="DE4714" s="127">
        <v>8</v>
      </c>
      <c r="DG4714" s="405" t="s">
        <v>298</v>
      </c>
      <c r="DH4714" s="406" t="s">
        <v>5057</v>
      </c>
      <c r="DI4714" s="406" t="str">
        <f t="shared" si="105"/>
        <v>SE, Brejo Grande</v>
      </c>
      <c r="DJ4714" s="406">
        <v>-10.429</v>
      </c>
      <c r="DK4714" s="80">
        <v>-36.466000000000001</v>
      </c>
      <c r="DL4714" s="80">
        <v>30</v>
      </c>
      <c r="DM4714" s="64">
        <v>8</v>
      </c>
      <c r="DN4714" s="406" t="s">
        <v>6133</v>
      </c>
      <c r="DO4714" s="406">
        <v>-10.47</v>
      </c>
      <c r="DP4714" s="80">
        <v>10</v>
      </c>
    </row>
    <row r="4715" spans="29:120" x14ac:dyDescent="0.25">
      <c r="AC4715" s="122" t="s">
        <v>357</v>
      </c>
      <c r="AD4715" s="122" t="s">
        <v>4940</v>
      </c>
      <c r="AE4715" s="127">
        <v>7</v>
      </c>
      <c r="DA4715" s="122" t="s">
        <v>298</v>
      </c>
      <c r="DB4715" s="122" t="s">
        <v>8678</v>
      </c>
      <c r="DC4715" s="122" t="s">
        <v>2483</v>
      </c>
      <c r="DD4715" s="127">
        <v>8</v>
      </c>
      <c r="DE4715" s="127">
        <v>8</v>
      </c>
      <c r="DG4715" s="405" t="s">
        <v>298</v>
      </c>
      <c r="DH4715" s="406" t="s">
        <v>2483</v>
      </c>
      <c r="DI4715" s="406" t="str">
        <f t="shared" si="105"/>
        <v>SE, Campo do Brito</v>
      </c>
      <c r="DJ4715" s="406">
        <v>-10.733000000000001</v>
      </c>
      <c r="DK4715" s="80">
        <v>-37.493000000000002</v>
      </c>
      <c r="DL4715" s="80">
        <v>208</v>
      </c>
      <c r="DM4715" s="64">
        <v>8</v>
      </c>
      <c r="DN4715" s="406" t="s">
        <v>6270</v>
      </c>
      <c r="DO4715" s="406">
        <v>-10.4</v>
      </c>
      <c r="DP4715" s="80">
        <v>308</v>
      </c>
    </row>
    <row r="4716" spans="29:120" x14ac:dyDescent="0.25">
      <c r="AC4716" s="122" t="s">
        <v>372</v>
      </c>
      <c r="AD4716" s="122" t="s">
        <v>4941</v>
      </c>
      <c r="AE4716" s="127">
        <v>8</v>
      </c>
      <c r="DA4716" s="122" t="s">
        <v>298</v>
      </c>
      <c r="DB4716" s="122" t="s">
        <v>5358</v>
      </c>
      <c r="DC4716" s="122" t="s">
        <v>5358</v>
      </c>
      <c r="DD4716" s="127">
        <v>8</v>
      </c>
      <c r="DE4716" s="127">
        <v>8</v>
      </c>
      <c r="DG4716" s="405" t="s">
        <v>298</v>
      </c>
      <c r="DH4716" s="406" t="s">
        <v>5358</v>
      </c>
      <c r="DI4716" s="406" t="str">
        <f t="shared" si="105"/>
        <v>SE, Canhoba</v>
      </c>
      <c r="DJ4716" s="406">
        <v>-10.138</v>
      </c>
      <c r="DK4716" s="80">
        <v>-36.984999999999999</v>
      </c>
      <c r="DL4716" s="80">
        <v>20</v>
      </c>
      <c r="DM4716" s="64">
        <v>8</v>
      </c>
      <c r="DN4716" s="406" t="s">
        <v>6088</v>
      </c>
      <c r="DO4716" s="406">
        <v>-9.8000000000000007</v>
      </c>
      <c r="DP4716" s="80">
        <v>241</v>
      </c>
    </row>
    <row r="4717" spans="29:120" x14ac:dyDescent="0.25">
      <c r="AC4717" s="122" t="s">
        <v>328</v>
      </c>
      <c r="AD4717" s="122" t="s">
        <v>4942</v>
      </c>
      <c r="AE4717" s="127">
        <v>7</v>
      </c>
      <c r="DA4717" s="122" t="s">
        <v>298</v>
      </c>
      <c r="DB4717" s="122" t="s">
        <v>8679</v>
      </c>
      <c r="DC4717" s="122" t="s">
        <v>5397</v>
      </c>
      <c r="DD4717" s="127">
        <v>8</v>
      </c>
      <c r="DE4717" s="127">
        <v>8</v>
      </c>
      <c r="DG4717" s="405" t="s">
        <v>298</v>
      </c>
      <c r="DH4717" s="406" t="s">
        <v>5397</v>
      </c>
      <c r="DI4717" s="406" t="str">
        <f t="shared" si="105"/>
        <v>SE, Canindé de São Francisco</v>
      </c>
      <c r="DJ4717" s="406">
        <v>-9.6419999999999995</v>
      </c>
      <c r="DK4717" s="80">
        <v>-37.787999999999997</v>
      </c>
      <c r="DL4717" s="80">
        <v>38</v>
      </c>
      <c r="DM4717" s="64">
        <v>8</v>
      </c>
      <c r="DN4717" s="406" t="s">
        <v>6093</v>
      </c>
      <c r="DO4717" s="406">
        <v>-9.75</v>
      </c>
      <c r="DP4717" s="80">
        <v>19</v>
      </c>
    </row>
    <row r="4718" spans="29:120" x14ac:dyDescent="0.25">
      <c r="AC4718" s="122" t="s">
        <v>328</v>
      </c>
      <c r="AD4718" s="122" t="s">
        <v>4943</v>
      </c>
      <c r="AE4718" s="127">
        <v>7</v>
      </c>
      <c r="DA4718" s="122" t="s">
        <v>298</v>
      </c>
      <c r="DB4718" s="122" t="s">
        <v>2503</v>
      </c>
      <c r="DC4718" s="122" t="s">
        <v>2503</v>
      </c>
      <c r="DD4718" s="127">
        <v>8</v>
      </c>
      <c r="DE4718" s="127">
        <v>8</v>
      </c>
      <c r="DG4718" s="405" t="s">
        <v>298</v>
      </c>
      <c r="DH4718" s="406" t="s">
        <v>2503</v>
      </c>
      <c r="DI4718" s="406" t="str">
        <f t="shared" si="105"/>
        <v>SE, Capela</v>
      </c>
      <c r="DJ4718" s="406">
        <v>-10.503</v>
      </c>
      <c r="DK4718" s="80">
        <v>-37.052999999999997</v>
      </c>
      <c r="DL4718" s="80">
        <v>162</v>
      </c>
      <c r="DM4718" s="64">
        <v>8</v>
      </c>
      <c r="DN4718" s="406" t="s">
        <v>8675</v>
      </c>
      <c r="DO4718" s="406">
        <v>-10.91</v>
      </c>
      <c r="DP4718" s="80">
        <v>5</v>
      </c>
    </row>
    <row r="4719" spans="29:120" x14ac:dyDescent="0.25">
      <c r="AC4719" s="122" t="s">
        <v>393</v>
      </c>
      <c r="AD4719" s="122" t="s">
        <v>4944</v>
      </c>
      <c r="AE4719" s="127">
        <v>7</v>
      </c>
      <c r="DA4719" s="122" t="s">
        <v>298</v>
      </c>
      <c r="DB4719" s="122" t="s">
        <v>3519</v>
      </c>
      <c r="DC4719" s="122" t="s">
        <v>3519</v>
      </c>
      <c r="DD4719" s="127">
        <v>8</v>
      </c>
      <c r="DE4719" s="127">
        <v>8</v>
      </c>
      <c r="DG4719" s="405" t="s">
        <v>298</v>
      </c>
      <c r="DH4719" s="406" t="s">
        <v>3519</v>
      </c>
      <c r="DI4719" s="406" t="str">
        <f t="shared" si="105"/>
        <v>SE, Carira</v>
      </c>
      <c r="DJ4719" s="406">
        <v>-10.361000000000001</v>
      </c>
      <c r="DK4719" s="80">
        <v>-37.701000000000001</v>
      </c>
      <c r="DL4719" s="80">
        <v>351</v>
      </c>
      <c r="DM4719" s="64">
        <v>8</v>
      </c>
      <c r="DN4719" s="406" t="s">
        <v>6270</v>
      </c>
      <c r="DO4719" s="406">
        <v>-10.4</v>
      </c>
      <c r="DP4719" s="80">
        <v>308</v>
      </c>
    </row>
    <row r="4720" spans="29:120" x14ac:dyDescent="0.25">
      <c r="AC4720" s="122" t="s">
        <v>393</v>
      </c>
      <c r="AD4720" s="122" t="s">
        <v>4945</v>
      </c>
      <c r="AE4720" s="127">
        <v>8</v>
      </c>
      <c r="DA4720" s="122" t="s">
        <v>298</v>
      </c>
      <c r="DB4720" s="122" t="s">
        <v>5359</v>
      </c>
      <c r="DC4720" s="122" t="s">
        <v>5359</v>
      </c>
      <c r="DD4720" s="127">
        <v>8</v>
      </c>
      <c r="DE4720" s="127">
        <v>8</v>
      </c>
      <c r="DG4720" s="405" t="s">
        <v>298</v>
      </c>
      <c r="DH4720" s="406" t="s">
        <v>5359</v>
      </c>
      <c r="DI4720" s="406" t="str">
        <f t="shared" si="105"/>
        <v>SE, Carmópolis</v>
      </c>
      <c r="DJ4720" s="406">
        <v>-10.648</v>
      </c>
      <c r="DK4720" s="80">
        <v>-36.988999999999997</v>
      </c>
      <c r="DL4720" s="80">
        <v>13</v>
      </c>
      <c r="DM4720" s="64">
        <v>8</v>
      </c>
      <c r="DN4720" s="406" t="s">
        <v>8675</v>
      </c>
      <c r="DO4720" s="406">
        <v>-10.91</v>
      </c>
      <c r="DP4720" s="80">
        <v>5</v>
      </c>
    </row>
    <row r="4721" spans="29:120" x14ac:dyDescent="0.25">
      <c r="AC4721" s="122" t="s">
        <v>328</v>
      </c>
      <c r="AD4721" s="122" t="s">
        <v>4946</v>
      </c>
      <c r="AE4721" s="127">
        <v>8</v>
      </c>
      <c r="DA4721" s="122" t="s">
        <v>298</v>
      </c>
      <c r="DB4721" s="122" t="s">
        <v>8680</v>
      </c>
      <c r="DC4721" s="122" t="s">
        <v>5083</v>
      </c>
      <c r="DD4721" s="127">
        <v>8</v>
      </c>
      <c r="DE4721" s="127">
        <v>8</v>
      </c>
      <c r="DG4721" s="405" t="s">
        <v>298</v>
      </c>
      <c r="DH4721" s="406" t="s">
        <v>5083</v>
      </c>
      <c r="DI4721" s="406" t="str">
        <f t="shared" si="105"/>
        <v>SE, Cedro de São João</v>
      </c>
      <c r="DJ4721" s="406">
        <v>-10.252000000000001</v>
      </c>
      <c r="DK4721" s="80">
        <v>-36.884</v>
      </c>
      <c r="DL4721" s="80">
        <v>32</v>
      </c>
      <c r="DM4721" s="64">
        <v>8</v>
      </c>
      <c r="DN4721" s="406" t="s">
        <v>6133</v>
      </c>
      <c r="DO4721" s="406">
        <v>-10.47</v>
      </c>
      <c r="DP4721" s="80">
        <v>10</v>
      </c>
    </row>
    <row r="4722" spans="29:120" x14ac:dyDescent="0.25">
      <c r="AC4722" s="122" t="s">
        <v>328</v>
      </c>
      <c r="AD4722" s="122" t="s">
        <v>4947</v>
      </c>
      <c r="AE4722" s="127">
        <v>7</v>
      </c>
      <c r="DA4722" s="122" t="s">
        <v>298</v>
      </c>
      <c r="DB4722" s="122" t="s">
        <v>2504</v>
      </c>
      <c r="DC4722" s="122" t="s">
        <v>2504</v>
      </c>
      <c r="DD4722" s="127">
        <v>8</v>
      </c>
      <c r="DE4722" s="127">
        <v>8</v>
      </c>
      <c r="DG4722" s="405" t="s">
        <v>298</v>
      </c>
      <c r="DH4722" s="406" t="s">
        <v>2504</v>
      </c>
      <c r="DI4722" s="406" t="str">
        <f t="shared" si="105"/>
        <v>SE, Cristinápolis</v>
      </c>
      <c r="DJ4722" s="406">
        <v>-11.476000000000001</v>
      </c>
      <c r="DK4722" s="80">
        <v>-37.755000000000003</v>
      </c>
      <c r="DL4722" s="80">
        <v>145</v>
      </c>
      <c r="DM4722" s="64">
        <v>8</v>
      </c>
      <c r="DN4722" s="406" t="s">
        <v>6212</v>
      </c>
      <c r="DO4722" s="406">
        <v>-11.27</v>
      </c>
      <c r="DP4722" s="80">
        <v>208</v>
      </c>
    </row>
    <row r="4723" spans="29:120" x14ac:dyDescent="0.25">
      <c r="AC4723" s="122" t="s">
        <v>328</v>
      </c>
      <c r="AD4723" s="122" t="s">
        <v>1438</v>
      </c>
      <c r="AE4723" s="127">
        <v>7</v>
      </c>
      <c r="DA4723" s="122" t="s">
        <v>298</v>
      </c>
      <c r="DB4723" s="122" t="s">
        <v>2563</v>
      </c>
      <c r="DC4723" s="122" t="s">
        <v>2563</v>
      </c>
      <c r="DD4723" s="127">
        <v>8</v>
      </c>
      <c r="DE4723" s="127">
        <v>8</v>
      </c>
      <c r="DG4723" s="405" t="s">
        <v>298</v>
      </c>
      <c r="DH4723" s="406" t="s">
        <v>2563</v>
      </c>
      <c r="DI4723" s="406" t="str">
        <f t="shared" si="105"/>
        <v>SE, Cumbe</v>
      </c>
      <c r="DJ4723" s="406">
        <v>-10.355</v>
      </c>
      <c r="DK4723" s="80">
        <v>-37.183</v>
      </c>
      <c r="DL4723" s="80">
        <v>187</v>
      </c>
      <c r="DM4723" s="64">
        <v>8</v>
      </c>
      <c r="DN4723" s="406" t="s">
        <v>6270</v>
      </c>
      <c r="DO4723" s="406">
        <v>-10.4</v>
      </c>
      <c r="DP4723" s="80">
        <v>308</v>
      </c>
    </row>
    <row r="4724" spans="29:120" x14ac:dyDescent="0.25">
      <c r="AC4724" s="122" t="s">
        <v>328</v>
      </c>
      <c r="AD4724" s="122" t="s">
        <v>2595</v>
      </c>
      <c r="AE4724" s="127">
        <v>8</v>
      </c>
      <c r="DA4724" s="122" t="s">
        <v>298</v>
      </c>
      <c r="DB4724" s="122" t="s">
        <v>8681</v>
      </c>
      <c r="DC4724" s="122" t="s">
        <v>5354</v>
      </c>
      <c r="DD4724" s="127">
        <v>8</v>
      </c>
      <c r="DE4724" s="127">
        <v>8</v>
      </c>
      <c r="DG4724" s="405" t="s">
        <v>298</v>
      </c>
      <c r="DH4724" s="406" t="s">
        <v>5354</v>
      </c>
      <c r="DI4724" s="406" t="str">
        <f t="shared" si="105"/>
        <v>SE, Divina Pastora</v>
      </c>
      <c r="DJ4724" s="406">
        <v>-10.689</v>
      </c>
      <c r="DK4724" s="80">
        <v>-37.148000000000003</v>
      </c>
      <c r="DL4724" s="80">
        <v>78</v>
      </c>
      <c r="DM4724" s="64">
        <v>8</v>
      </c>
      <c r="DN4724" s="406" t="s">
        <v>8675</v>
      </c>
      <c r="DO4724" s="406">
        <v>-10.91</v>
      </c>
      <c r="DP4724" s="80">
        <v>5</v>
      </c>
    </row>
    <row r="4725" spans="29:120" x14ac:dyDescent="0.25">
      <c r="AC4725" s="122" t="s">
        <v>393</v>
      </c>
      <c r="AD4725" s="122" t="s">
        <v>4948</v>
      </c>
      <c r="AE4725" s="127">
        <v>7</v>
      </c>
      <c r="DA4725" s="122" t="s">
        <v>298</v>
      </c>
      <c r="DB4725" s="122" t="s">
        <v>5420</v>
      </c>
      <c r="DC4725" s="122" t="s">
        <v>5420</v>
      </c>
      <c r="DD4725" s="127">
        <v>8</v>
      </c>
      <c r="DE4725" s="127">
        <v>8</v>
      </c>
      <c r="DG4725" s="405" t="s">
        <v>298</v>
      </c>
      <c r="DH4725" s="406" t="s">
        <v>5420</v>
      </c>
      <c r="DI4725" s="406" t="str">
        <f t="shared" si="105"/>
        <v>SE, Estância</v>
      </c>
      <c r="DJ4725" s="406">
        <v>-11.268000000000001</v>
      </c>
      <c r="DK4725" s="80">
        <v>-37.438000000000002</v>
      </c>
      <c r="DL4725" s="80">
        <v>53</v>
      </c>
      <c r="DM4725" s="64">
        <v>8</v>
      </c>
      <c r="DN4725" s="406" t="s">
        <v>6212</v>
      </c>
      <c r="DO4725" s="406">
        <v>-11.27</v>
      </c>
      <c r="DP4725" s="80">
        <v>208</v>
      </c>
    </row>
    <row r="4726" spans="29:120" x14ac:dyDescent="0.25">
      <c r="AC4726" s="122" t="s">
        <v>340</v>
      </c>
      <c r="AD4726" s="122" t="s">
        <v>4949</v>
      </c>
      <c r="AE4726" s="127">
        <v>5</v>
      </c>
      <c r="DA4726" s="122" t="s">
        <v>298</v>
      </c>
      <c r="DB4726" s="122" t="s">
        <v>7604</v>
      </c>
      <c r="DC4726" s="122" t="s">
        <v>2546</v>
      </c>
      <c r="DD4726" s="127">
        <v>8</v>
      </c>
      <c r="DE4726" s="127">
        <v>8</v>
      </c>
      <c r="DG4726" s="405" t="s">
        <v>298</v>
      </c>
      <c r="DH4726" s="406" t="s">
        <v>2546</v>
      </c>
      <c r="DI4726" s="406" t="str">
        <f t="shared" si="105"/>
        <v>SE, Feira Nova</v>
      </c>
      <c r="DJ4726" s="406">
        <v>-10.263999999999999</v>
      </c>
      <c r="DK4726" s="80">
        <v>-37.313000000000002</v>
      </c>
      <c r="DL4726" s="80">
        <v>241</v>
      </c>
      <c r="DM4726" s="64">
        <v>8</v>
      </c>
      <c r="DN4726" s="406" t="s">
        <v>6270</v>
      </c>
      <c r="DO4726" s="406">
        <v>-10.4</v>
      </c>
      <c r="DP4726" s="80">
        <v>308</v>
      </c>
    </row>
    <row r="4727" spans="29:120" x14ac:dyDescent="0.25">
      <c r="AC4727" s="122" t="s">
        <v>328</v>
      </c>
      <c r="AD4727" s="122" t="s">
        <v>4950</v>
      </c>
      <c r="AE4727" s="127">
        <v>7</v>
      </c>
      <c r="DA4727" s="122" t="s">
        <v>298</v>
      </c>
      <c r="DB4727" s="122" t="s">
        <v>8682</v>
      </c>
      <c r="DC4727" s="122" t="s">
        <v>2476</v>
      </c>
      <c r="DD4727" s="127">
        <v>8</v>
      </c>
      <c r="DE4727" s="127">
        <v>8</v>
      </c>
      <c r="DG4727" s="405" t="s">
        <v>298</v>
      </c>
      <c r="DH4727" s="406" t="s">
        <v>2476</v>
      </c>
      <c r="DI4727" s="406" t="str">
        <f t="shared" si="105"/>
        <v>SE, Frei Paulo</v>
      </c>
      <c r="DJ4727" s="406">
        <v>-10.548999999999999</v>
      </c>
      <c r="DK4727" s="80">
        <v>-37.533999999999999</v>
      </c>
      <c r="DL4727" s="80">
        <v>272</v>
      </c>
      <c r="DM4727" s="64">
        <v>8</v>
      </c>
      <c r="DN4727" s="406" t="s">
        <v>6270</v>
      </c>
      <c r="DO4727" s="406">
        <v>-10.4</v>
      </c>
      <c r="DP4727" s="80">
        <v>308</v>
      </c>
    </row>
    <row r="4728" spans="29:120" x14ac:dyDescent="0.25">
      <c r="AC4728" s="122" t="s">
        <v>393</v>
      </c>
      <c r="AD4728" s="122" t="s">
        <v>4951</v>
      </c>
      <c r="AE4728" s="127">
        <v>7</v>
      </c>
      <c r="DA4728" s="122" t="s">
        <v>298</v>
      </c>
      <c r="DB4728" s="122" t="s">
        <v>5375</v>
      </c>
      <c r="DC4728" s="122" t="s">
        <v>5375</v>
      </c>
      <c r="DD4728" s="127">
        <v>8</v>
      </c>
      <c r="DE4728" s="127">
        <v>8</v>
      </c>
      <c r="DG4728" s="405" t="s">
        <v>298</v>
      </c>
      <c r="DH4728" s="406" t="s">
        <v>5375</v>
      </c>
      <c r="DI4728" s="406" t="str">
        <f t="shared" si="105"/>
        <v>SE, Gararu</v>
      </c>
      <c r="DJ4728" s="406">
        <v>-9.968</v>
      </c>
      <c r="DK4728" s="80">
        <v>-37.082999999999998</v>
      </c>
      <c r="DL4728" s="80">
        <v>16</v>
      </c>
      <c r="DM4728" s="64">
        <v>8</v>
      </c>
      <c r="DN4728" s="406" t="s">
        <v>6093</v>
      </c>
      <c r="DO4728" s="406">
        <v>-9.75</v>
      </c>
      <c r="DP4728" s="80">
        <v>19</v>
      </c>
    </row>
    <row r="4729" spans="29:120" x14ac:dyDescent="0.25">
      <c r="AC4729" s="122" t="s">
        <v>328</v>
      </c>
      <c r="AD4729" s="122" t="s">
        <v>4952</v>
      </c>
      <c r="AE4729" s="127">
        <v>7</v>
      </c>
      <c r="DA4729" s="122" t="s">
        <v>298</v>
      </c>
      <c r="DB4729" s="122" t="s">
        <v>8683</v>
      </c>
      <c r="DC4729" s="122" t="s">
        <v>5360</v>
      </c>
      <c r="DD4729" s="127">
        <v>8</v>
      </c>
      <c r="DE4729" s="127">
        <v>8</v>
      </c>
      <c r="DG4729" s="405" t="s">
        <v>298</v>
      </c>
      <c r="DH4729" s="406" t="s">
        <v>5360</v>
      </c>
      <c r="DI4729" s="406" t="str">
        <f t="shared" si="105"/>
        <v>SE, General Maynard</v>
      </c>
      <c r="DJ4729" s="406">
        <v>-10.689</v>
      </c>
      <c r="DK4729" s="80">
        <v>-36.984000000000002</v>
      </c>
      <c r="DL4729" s="80">
        <v>38</v>
      </c>
      <c r="DM4729" s="64">
        <v>8</v>
      </c>
      <c r="DN4729" s="406" t="s">
        <v>8675</v>
      </c>
      <c r="DO4729" s="406">
        <v>-10.91</v>
      </c>
      <c r="DP4729" s="80">
        <v>5</v>
      </c>
    </row>
    <row r="4730" spans="29:120" x14ac:dyDescent="0.25">
      <c r="AC4730" s="122" t="s">
        <v>328</v>
      </c>
      <c r="AD4730" s="122" t="s">
        <v>4953</v>
      </c>
      <c r="AE4730" s="127">
        <v>7</v>
      </c>
      <c r="DA4730" s="122" t="s">
        <v>298</v>
      </c>
      <c r="DB4730" s="122" t="s">
        <v>8684</v>
      </c>
      <c r="DC4730" s="122" t="s">
        <v>2554</v>
      </c>
      <c r="DD4730" s="127">
        <v>8</v>
      </c>
      <c r="DE4730" s="127">
        <v>8</v>
      </c>
      <c r="DG4730" s="405" t="s">
        <v>298</v>
      </c>
      <c r="DH4730" s="406" t="s">
        <v>2554</v>
      </c>
      <c r="DI4730" s="406" t="str">
        <f t="shared" si="105"/>
        <v>SE, Gracho Cardoso</v>
      </c>
      <c r="DJ4730" s="406">
        <v>-10.227</v>
      </c>
      <c r="DK4730" s="80">
        <v>-37.198</v>
      </c>
      <c r="DL4730" s="80">
        <v>242</v>
      </c>
      <c r="DM4730" s="64">
        <v>8</v>
      </c>
      <c r="DN4730" s="406" t="s">
        <v>6270</v>
      </c>
      <c r="DO4730" s="406">
        <v>-10.4</v>
      </c>
      <c r="DP4730" s="80">
        <v>308</v>
      </c>
    </row>
    <row r="4731" spans="29:120" x14ac:dyDescent="0.25">
      <c r="AC4731" s="122" t="s">
        <v>393</v>
      </c>
      <c r="AD4731" s="122" t="s">
        <v>4954</v>
      </c>
      <c r="AE4731" s="127">
        <v>7</v>
      </c>
      <c r="DA4731" s="122" t="s">
        <v>298</v>
      </c>
      <c r="DB4731" s="122" t="s">
        <v>8685</v>
      </c>
      <c r="DC4731" s="122" t="s">
        <v>5121</v>
      </c>
      <c r="DD4731" s="127">
        <v>8</v>
      </c>
      <c r="DE4731" s="127">
        <v>8</v>
      </c>
      <c r="DG4731" s="405" t="s">
        <v>298</v>
      </c>
      <c r="DH4731" s="406" t="s">
        <v>5121</v>
      </c>
      <c r="DI4731" s="406" t="str">
        <f t="shared" si="105"/>
        <v>SE, Ilha das Flores</v>
      </c>
      <c r="DJ4731" s="406">
        <v>-10.436</v>
      </c>
      <c r="DK4731" s="80">
        <v>-36.54</v>
      </c>
      <c r="DL4731" s="80">
        <v>3</v>
      </c>
      <c r="DM4731" s="64">
        <v>8</v>
      </c>
      <c r="DN4731" s="406" t="s">
        <v>6133</v>
      </c>
      <c r="DO4731" s="406">
        <v>-10.47</v>
      </c>
      <c r="DP4731" s="80">
        <v>10</v>
      </c>
    </row>
    <row r="4732" spans="29:120" x14ac:dyDescent="0.25">
      <c r="AC4732" s="122" t="s">
        <v>328</v>
      </c>
      <c r="AD4732" s="122" t="s">
        <v>4955</v>
      </c>
      <c r="AE4732" s="127">
        <v>8</v>
      </c>
      <c r="DA4732" s="122" t="s">
        <v>298</v>
      </c>
      <c r="DB4732" s="122" t="s">
        <v>5370</v>
      </c>
      <c r="DC4732" s="122" t="s">
        <v>5370</v>
      </c>
      <c r="DD4732" s="127">
        <v>8</v>
      </c>
      <c r="DE4732" s="127">
        <v>8</v>
      </c>
      <c r="DG4732" s="405" t="s">
        <v>298</v>
      </c>
      <c r="DH4732" s="406" t="s">
        <v>5370</v>
      </c>
      <c r="DI4732" s="406" t="str">
        <f t="shared" si="105"/>
        <v>SE, Indiaroba</v>
      </c>
      <c r="DJ4732" s="406">
        <v>-11.519</v>
      </c>
      <c r="DK4732" s="80">
        <v>-37.512</v>
      </c>
      <c r="DL4732" s="80">
        <v>26</v>
      </c>
      <c r="DM4732" s="64">
        <v>8</v>
      </c>
      <c r="DN4732" s="406" t="s">
        <v>6195</v>
      </c>
      <c r="DO4732" s="406">
        <v>-11.81</v>
      </c>
      <c r="DP4732" s="80">
        <v>14</v>
      </c>
    </row>
    <row r="4733" spans="29:120" x14ac:dyDescent="0.25">
      <c r="AC4733" s="122" t="s">
        <v>393</v>
      </c>
      <c r="AD4733" s="122" t="s">
        <v>4956</v>
      </c>
      <c r="AE4733" s="127">
        <v>7</v>
      </c>
      <c r="DA4733" s="122" t="s">
        <v>298</v>
      </c>
      <c r="DB4733" s="122" t="s">
        <v>5027</v>
      </c>
      <c r="DC4733" s="122" t="s">
        <v>5027</v>
      </c>
      <c r="DD4733" s="127">
        <v>8</v>
      </c>
      <c r="DE4733" s="127">
        <v>8</v>
      </c>
      <c r="DG4733" s="405" t="s">
        <v>298</v>
      </c>
      <c r="DH4733" s="406" t="s">
        <v>5027</v>
      </c>
      <c r="DI4733" s="406" t="str">
        <f t="shared" si="105"/>
        <v>SE, Itabaiana</v>
      </c>
      <c r="DJ4733" s="406">
        <v>-10.685</v>
      </c>
      <c r="DK4733" s="80">
        <v>-37.424999999999997</v>
      </c>
      <c r="DL4733" s="80">
        <v>188</v>
      </c>
      <c r="DM4733" s="64">
        <v>8</v>
      </c>
      <c r="DN4733" s="406" t="s">
        <v>6270</v>
      </c>
      <c r="DO4733" s="406">
        <v>-10.4</v>
      </c>
      <c r="DP4733" s="80">
        <v>308</v>
      </c>
    </row>
    <row r="4734" spans="29:120" x14ac:dyDescent="0.25">
      <c r="AC4734" s="122" t="s">
        <v>328</v>
      </c>
      <c r="AD4734" s="122" t="s">
        <v>4957</v>
      </c>
      <c r="AE4734" s="127">
        <v>7</v>
      </c>
      <c r="DA4734" s="122" t="s">
        <v>298</v>
      </c>
      <c r="DB4734" s="122" t="s">
        <v>5155</v>
      </c>
      <c r="DC4734" s="122" t="s">
        <v>5155</v>
      </c>
      <c r="DD4734" s="127">
        <v>8</v>
      </c>
      <c r="DE4734" s="127">
        <v>8</v>
      </c>
      <c r="DG4734" s="405" t="s">
        <v>298</v>
      </c>
      <c r="DH4734" s="406" t="s">
        <v>5155</v>
      </c>
      <c r="DI4734" s="406" t="str">
        <f t="shared" si="105"/>
        <v>SE, Itabaianinha</v>
      </c>
      <c r="DJ4734" s="406">
        <v>-11.273999999999999</v>
      </c>
      <c r="DK4734" s="80">
        <v>-37.79</v>
      </c>
      <c r="DL4734" s="80">
        <v>223</v>
      </c>
      <c r="DM4734" s="64">
        <v>8</v>
      </c>
      <c r="DN4734" s="406" t="s">
        <v>6212</v>
      </c>
      <c r="DO4734" s="406">
        <v>-11.27</v>
      </c>
      <c r="DP4734" s="80">
        <v>208</v>
      </c>
    </row>
    <row r="4735" spans="29:120" x14ac:dyDescent="0.25">
      <c r="AC4735" s="122" t="s">
        <v>234</v>
      </c>
      <c r="AD4735" s="122" t="s">
        <v>4958</v>
      </c>
      <c r="AE4735" s="127">
        <v>8</v>
      </c>
      <c r="DA4735" s="122" t="s">
        <v>298</v>
      </c>
      <c r="DB4735" s="122" t="s">
        <v>5368</v>
      </c>
      <c r="DC4735" s="122" t="s">
        <v>5368</v>
      </c>
      <c r="DD4735" s="127">
        <v>8</v>
      </c>
      <c r="DE4735" s="127">
        <v>8</v>
      </c>
      <c r="DG4735" s="405" t="s">
        <v>298</v>
      </c>
      <c r="DH4735" s="406" t="s">
        <v>5368</v>
      </c>
      <c r="DI4735" s="406" t="str">
        <f t="shared" si="105"/>
        <v>SE, Itabi</v>
      </c>
      <c r="DJ4735" s="406">
        <v>-10.125999999999999</v>
      </c>
      <c r="DK4735" s="80">
        <v>-37.103000000000002</v>
      </c>
      <c r="DL4735" s="80">
        <v>172</v>
      </c>
      <c r="DM4735" s="64">
        <v>8</v>
      </c>
      <c r="DN4735" s="406" t="s">
        <v>6093</v>
      </c>
      <c r="DO4735" s="406">
        <v>-9.75</v>
      </c>
      <c r="DP4735" s="80">
        <v>19</v>
      </c>
    </row>
    <row r="4736" spans="29:120" x14ac:dyDescent="0.25">
      <c r="AC4736" s="122" t="s">
        <v>300</v>
      </c>
      <c r="AD4736" s="122" t="s">
        <v>4959</v>
      </c>
      <c r="AE4736" s="127">
        <v>8</v>
      </c>
      <c r="DA4736" s="122" t="s">
        <v>298</v>
      </c>
      <c r="DB4736" s="122" t="s">
        <v>8686</v>
      </c>
      <c r="DC4736" s="122" t="s">
        <v>5426</v>
      </c>
      <c r="DD4736" s="127">
        <v>8</v>
      </c>
      <c r="DE4736" s="127">
        <v>8</v>
      </c>
      <c r="DG4736" s="405" t="s">
        <v>298</v>
      </c>
      <c r="DH4736" s="406" t="s">
        <v>5426</v>
      </c>
      <c r="DI4736" s="406" t="str">
        <f t="shared" si="105"/>
        <v>SE, Itaporanga d'Ajuda</v>
      </c>
      <c r="DJ4736" s="406">
        <v>-10.997999999999999</v>
      </c>
      <c r="DK4736" s="80">
        <v>-37.311</v>
      </c>
      <c r="DL4736" s="80">
        <v>9</v>
      </c>
      <c r="DM4736" s="64">
        <v>8</v>
      </c>
      <c r="DN4736" s="406" t="s">
        <v>8675</v>
      </c>
      <c r="DO4736" s="406">
        <v>-10.91</v>
      </c>
      <c r="DP4736" s="80">
        <v>5</v>
      </c>
    </row>
    <row r="4737" spans="29:120" x14ac:dyDescent="0.25">
      <c r="AC4737" s="122" t="s">
        <v>328</v>
      </c>
      <c r="AD4737" s="122" t="s">
        <v>4960</v>
      </c>
      <c r="AE4737" s="127">
        <v>7</v>
      </c>
      <c r="DA4737" s="122" t="s">
        <v>298</v>
      </c>
      <c r="DB4737" s="122" t="s">
        <v>5382</v>
      </c>
      <c r="DC4737" s="122" t="s">
        <v>5382</v>
      </c>
      <c r="DD4737" s="127">
        <v>8</v>
      </c>
      <c r="DE4737" s="127">
        <v>8</v>
      </c>
      <c r="DG4737" s="405" t="s">
        <v>298</v>
      </c>
      <c r="DH4737" s="406" t="s">
        <v>5382</v>
      </c>
      <c r="DI4737" s="406" t="str">
        <f t="shared" si="105"/>
        <v>SE, Japaratuba</v>
      </c>
      <c r="DJ4737" s="406">
        <v>-10.593</v>
      </c>
      <c r="DK4737" s="80">
        <v>-36.94</v>
      </c>
      <c r="DL4737" s="80">
        <v>79</v>
      </c>
      <c r="DM4737" s="64">
        <v>8</v>
      </c>
      <c r="DN4737" s="406" t="s">
        <v>8675</v>
      </c>
      <c r="DO4737" s="406">
        <v>-10.91</v>
      </c>
      <c r="DP4737" s="80">
        <v>5</v>
      </c>
    </row>
    <row r="4738" spans="29:120" x14ac:dyDescent="0.25">
      <c r="AC4738" s="122" t="s">
        <v>393</v>
      </c>
      <c r="AD4738" s="122" t="s">
        <v>4961</v>
      </c>
      <c r="AE4738" s="127">
        <v>7</v>
      </c>
      <c r="DA4738" s="122" t="s">
        <v>298</v>
      </c>
      <c r="DB4738" s="122" t="s">
        <v>5051</v>
      </c>
      <c r="DC4738" s="122" t="s">
        <v>5051</v>
      </c>
      <c r="DD4738" s="127">
        <v>8</v>
      </c>
      <c r="DE4738" s="127">
        <v>8</v>
      </c>
      <c r="DG4738" s="405" t="s">
        <v>298</v>
      </c>
      <c r="DH4738" s="406" t="s">
        <v>5051</v>
      </c>
      <c r="DI4738" s="406" t="str">
        <f t="shared" si="105"/>
        <v>SE, Japoatã</v>
      </c>
      <c r="DJ4738" s="406">
        <v>-10.347</v>
      </c>
      <c r="DK4738" s="80">
        <v>-36.801000000000002</v>
      </c>
      <c r="DL4738" s="80">
        <v>91</v>
      </c>
      <c r="DM4738" s="64">
        <v>8</v>
      </c>
      <c r="DN4738" s="406" t="s">
        <v>6133</v>
      </c>
      <c r="DO4738" s="406">
        <v>-10.47</v>
      </c>
      <c r="DP4738" s="80">
        <v>10</v>
      </c>
    </row>
    <row r="4739" spans="29:120" x14ac:dyDescent="0.25">
      <c r="AC4739" s="122" t="s">
        <v>328</v>
      </c>
      <c r="AD4739" s="122" t="s">
        <v>4962</v>
      </c>
      <c r="AE4739" s="127">
        <v>8</v>
      </c>
      <c r="DA4739" s="122" t="s">
        <v>298</v>
      </c>
      <c r="DB4739" s="122" t="s">
        <v>5342</v>
      </c>
      <c r="DC4739" s="122" t="s">
        <v>5342</v>
      </c>
      <c r="DD4739" s="127">
        <v>8</v>
      </c>
      <c r="DE4739" s="127">
        <v>8</v>
      </c>
      <c r="DG4739" s="405" t="s">
        <v>298</v>
      </c>
      <c r="DH4739" s="406" t="s">
        <v>5342</v>
      </c>
      <c r="DI4739" s="406" t="str">
        <f t="shared" ref="DI4739:DI4802" si="106">CONCATENATE(DG4739,", ",DH4739)</f>
        <v>SE, Lagarto</v>
      </c>
      <c r="DJ4739" s="406">
        <v>-10.917</v>
      </c>
      <c r="DK4739" s="80">
        <v>-37.65</v>
      </c>
      <c r="DL4739" s="80">
        <v>183</v>
      </c>
      <c r="DM4739" s="64">
        <v>8</v>
      </c>
      <c r="DN4739" s="406" t="s">
        <v>6212</v>
      </c>
      <c r="DO4739" s="406">
        <v>-11.27</v>
      </c>
      <c r="DP4739" s="80">
        <v>208</v>
      </c>
    </row>
    <row r="4740" spans="29:120" x14ac:dyDescent="0.25">
      <c r="AC4740" s="122" t="s">
        <v>372</v>
      </c>
      <c r="AD4740" s="122" t="s">
        <v>4963</v>
      </c>
      <c r="AE4740" s="127">
        <v>8</v>
      </c>
      <c r="DA4740" s="122" t="s">
        <v>298</v>
      </c>
      <c r="DB4740" s="122" t="s">
        <v>5381</v>
      </c>
      <c r="DC4740" s="122" t="s">
        <v>5381</v>
      </c>
      <c r="DD4740" s="127">
        <v>8</v>
      </c>
      <c r="DE4740" s="127">
        <v>8</v>
      </c>
      <c r="DG4740" s="405" t="s">
        <v>298</v>
      </c>
      <c r="DH4740" s="406" t="s">
        <v>5381</v>
      </c>
      <c r="DI4740" s="406" t="str">
        <f t="shared" si="106"/>
        <v>SE, Laranjeiras</v>
      </c>
      <c r="DJ4740" s="406">
        <v>-10.805999999999999</v>
      </c>
      <c r="DK4740" s="80">
        <v>-37.17</v>
      </c>
      <c r="DL4740" s="80">
        <v>9</v>
      </c>
      <c r="DM4740" s="64">
        <v>8</v>
      </c>
      <c r="DN4740" s="406" t="s">
        <v>8675</v>
      </c>
      <c r="DO4740" s="406">
        <v>-10.91</v>
      </c>
      <c r="DP4740" s="80">
        <v>5</v>
      </c>
    </row>
    <row r="4741" spans="29:120" x14ac:dyDescent="0.25">
      <c r="AC4741" s="122" t="s">
        <v>393</v>
      </c>
      <c r="AD4741" s="122" t="s">
        <v>4964</v>
      </c>
      <c r="AE4741" s="127">
        <v>7</v>
      </c>
      <c r="DA4741" s="122" t="s">
        <v>298</v>
      </c>
      <c r="DB4741" s="122" t="s">
        <v>2498</v>
      </c>
      <c r="DC4741" s="122" t="s">
        <v>2498</v>
      </c>
      <c r="DD4741" s="127">
        <v>8</v>
      </c>
      <c r="DE4741" s="127">
        <v>8</v>
      </c>
      <c r="DG4741" s="405" t="s">
        <v>298</v>
      </c>
      <c r="DH4741" s="406" t="s">
        <v>2498</v>
      </c>
      <c r="DI4741" s="406" t="str">
        <f t="shared" si="106"/>
        <v>SE, Macambira</v>
      </c>
      <c r="DJ4741" s="406">
        <v>-10.666</v>
      </c>
      <c r="DK4741" s="80">
        <v>-37.540999999999997</v>
      </c>
      <c r="DL4741" s="80">
        <v>282</v>
      </c>
      <c r="DM4741" s="64">
        <v>8</v>
      </c>
      <c r="DN4741" s="406" t="s">
        <v>6270</v>
      </c>
      <c r="DO4741" s="406">
        <v>-10.4</v>
      </c>
      <c r="DP4741" s="80">
        <v>308</v>
      </c>
    </row>
    <row r="4742" spans="29:120" x14ac:dyDescent="0.25">
      <c r="AC4742" s="122" t="s">
        <v>328</v>
      </c>
      <c r="AD4742" s="122" t="s">
        <v>4965</v>
      </c>
      <c r="AE4742" s="127">
        <v>7</v>
      </c>
      <c r="DA4742" s="122" t="s">
        <v>298</v>
      </c>
      <c r="DB4742" s="122" t="s">
        <v>8687</v>
      </c>
      <c r="DC4742" s="122" t="s">
        <v>5028</v>
      </c>
      <c r="DD4742" s="127">
        <v>8</v>
      </c>
      <c r="DE4742" s="127">
        <v>8</v>
      </c>
      <c r="DG4742" s="405" t="s">
        <v>298</v>
      </c>
      <c r="DH4742" s="406" t="s">
        <v>5028</v>
      </c>
      <c r="DI4742" s="406" t="str">
        <f t="shared" si="106"/>
        <v>SE, Malhada dos Bois</v>
      </c>
      <c r="DJ4742" s="406">
        <v>-10.349</v>
      </c>
      <c r="DK4742" s="80">
        <v>-36.923999999999999</v>
      </c>
      <c r="DL4742" s="80">
        <v>120</v>
      </c>
      <c r="DM4742" s="64">
        <v>8</v>
      </c>
      <c r="DN4742" s="406" t="s">
        <v>6133</v>
      </c>
      <c r="DO4742" s="406">
        <v>-10.47</v>
      </c>
      <c r="DP4742" s="80">
        <v>10</v>
      </c>
    </row>
    <row r="4743" spans="29:120" x14ac:dyDescent="0.25">
      <c r="AC4743" s="122" t="s">
        <v>393</v>
      </c>
      <c r="AD4743" s="122" t="s">
        <v>4629</v>
      </c>
      <c r="AE4743" s="127">
        <v>7</v>
      </c>
      <c r="DA4743" s="122" t="s">
        <v>298</v>
      </c>
      <c r="DB4743" s="122" t="s">
        <v>5352</v>
      </c>
      <c r="DC4743" s="122" t="s">
        <v>5352</v>
      </c>
      <c r="DD4743" s="127">
        <v>8</v>
      </c>
      <c r="DE4743" s="127">
        <v>8</v>
      </c>
      <c r="DG4743" s="405" t="s">
        <v>298</v>
      </c>
      <c r="DH4743" s="406" t="s">
        <v>5352</v>
      </c>
      <c r="DI4743" s="406" t="str">
        <f t="shared" si="106"/>
        <v>SE, Malhador</v>
      </c>
      <c r="DJ4743" s="406">
        <v>-10.657999999999999</v>
      </c>
      <c r="DK4743" s="80">
        <v>-37.305</v>
      </c>
      <c r="DL4743" s="80">
        <v>251</v>
      </c>
      <c r="DM4743" s="64">
        <v>8</v>
      </c>
      <c r="DN4743" s="406" t="s">
        <v>8675</v>
      </c>
      <c r="DO4743" s="406">
        <v>-10.91</v>
      </c>
      <c r="DP4743" s="80">
        <v>5</v>
      </c>
    </row>
    <row r="4744" spans="29:120" x14ac:dyDescent="0.25">
      <c r="AC4744" s="122" t="s">
        <v>393</v>
      </c>
      <c r="AD4744" s="122" t="s">
        <v>4966</v>
      </c>
      <c r="AE4744" s="127">
        <v>8</v>
      </c>
      <c r="DA4744" s="122" t="s">
        <v>298</v>
      </c>
      <c r="DB4744" s="122" t="s">
        <v>5346</v>
      </c>
      <c r="DC4744" s="122" t="s">
        <v>5346</v>
      </c>
      <c r="DD4744" s="127">
        <v>8</v>
      </c>
      <c r="DE4744" s="127">
        <v>8</v>
      </c>
      <c r="DG4744" s="405" t="s">
        <v>298</v>
      </c>
      <c r="DH4744" s="406" t="s">
        <v>5346</v>
      </c>
      <c r="DI4744" s="406" t="str">
        <f t="shared" si="106"/>
        <v>SE, Maruim</v>
      </c>
      <c r="DJ4744" s="406">
        <v>-10.738</v>
      </c>
      <c r="DK4744" s="80">
        <v>-37.082000000000001</v>
      </c>
      <c r="DL4744" s="80">
        <v>10</v>
      </c>
      <c r="DM4744" s="64">
        <v>8</v>
      </c>
      <c r="DN4744" s="406" t="s">
        <v>8675</v>
      </c>
      <c r="DO4744" s="406">
        <v>-10.91</v>
      </c>
      <c r="DP4744" s="80">
        <v>5</v>
      </c>
    </row>
    <row r="4745" spans="29:120" x14ac:dyDescent="0.25">
      <c r="AC4745" s="122" t="s">
        <v>393</v>
      </c>
      <c r="AD4745" s="122" t="s">
        <v>4415</v>
      </c>
      <c r="AE4745" s="127">
        <v>7</v>
      </c>
      <c r="DA4745" s="122" t="s">
        <v>298</v>
      </c>
      <c r="DB4745" s="122" t="s">
        <v>8688</v>
      </c>
      <c r="DC4745" s="122" t="s">
        <v>2509</v>
      </c>
      <c r="DD4745" s="127">
        <v>8</v>
      </c>
      <c r="DE4745" s="127">
        <v>8</v>
      </c>
      <c r="DG4745" s="405" t="s">
        <v>298</v>
      </c>
      <c r="DH4745" s="406" t="s">
        <v>2509</v>
      </c>
      <c r="DI4745" s="406" t="str">
        <f t="shared" si="106"/>
        <v>SE, Moita Bonita</v>
      </c>
      <c r="DJ4745" s="406">
        <v>-10.577999999999999</v>
      </c>
      <c r="DK4745" s="80">
        <v>-37.343000000000004</v>
      </c>
      <c r="DL4745" s="80">
        <v>212</v>
      </c>
      <c r="DM4745" s="64">
        <v>8</v>
      </c>
      <c r="DN4745" s="406" t="s">
        <v>6270</v>
      </c>
      <c r="DO4745" s="406">
        <v>-10.4</v>
      </c>
      <c r="DP4745" s="80">
        <v>308</v>
      </c>
    </row>
    <row r="4746" spans="29:120" x14ac:dyDescent="0.25">
      <c r="AC4746" s="122" t="s">
        <v>393</v>
      </c>
      <c r="AD4746" s="122" t="s">
        <v>4967</v>
      </c>
      <c r="AE4746" s="127">
        <v>7</v>
      </c>
      <c r="DA4746" s="122" t="s">
        <v>298</v>
      </c>
      <c r="DB4746" s="122" t="s">
        <v>8689</v>
      </c>
      <c r="DC4746" s="122" t="s">
        <v>2527</v>
      </c>
      <c r="DD4746" s="127">
        <v>8</v>
      </c>
      <c r="DE4746" s="127">
        <v>8</v>
      </c>
      <c r="DG4746" s="405" t="s">
        <v>298</v>
      </c>
      <c r="DH4746" s="406" t="s">
        <v>2527</v>
      </c>
      <c r="DI4746" s="406" t="str">
        <f t="shared" si="106"/>
        <v>SE, Monte Alegre de Sergipe</v>
      </c>
      <c r="DJ4746" s="406">
        <v>-10.026999999999999</v>
      </c>
      <c r="DK4746" s="80">
        <v>-37.561999999999998</v>
      </c>
      <c r="DL4746" s="80">
        <v>265</v>
      </c>
      <c r="DM4746" s="64">
        <v>8</v>
      </c>
      <c r="DN4746" s="406" t="s">
        <v>6093</v>
      </c>
      <c r="DO4746" s="406">
        <v>-9.75</v>
      </c>
      <c r="DP4746" s="80">
        <v>19</v>
      </c>
    </row>
    <row r="4747" spans="29:120" x14ac:dyDescent="0.25">
      <c r="AC4747" s="122" t="s">
        <v>393</v>
      </c>
      <c r="AD4747" s="122" t="s">
        <v>4968</v>
      </c>
      <c r="AE4747" s="127">
        <v>7</v>
      </c>
      <c r="DA4747" s="122" t="s">
        <v>298</v>
      </c>
      <c r="DB4747" s="122" t="s">
        <v>5049</v>
      </c>
      <c r="DC4747" s="122" t="s">
        <v>5049</v>
      </c>
      <c r="DD4747" s="127">
        <v>8</v>
      </c>
      <c r="DE4747" s="127">
        <v>8</v>
      </c>
      <c r="DG4747" s="405" t="s">
        <v>298</v>
      </c>
      <c r="DH4747" s="406" t="s">
        <v>5049</v>
      </c>
      <c r="DI4747" s="406" t="str">
        <f t="shared" si="106"/>
        <v>SE, Muribeca</v>
      </c>
      <c r="DJ4747" s="406">
        <v>-10.427</v>
      </c>
      <c r="DK4747" s="80">
        <v>-36.959000000000003</v>
      </c>
      <c r="DL4747" s="80">
        <v>151</v>
      </c>
      <c r="DM4747" s="64">
        <v>8</v>
      </c>
      <c r="DN4747" s="406" t="s">
        <v>6133</v>
      </c>
      <c r="DO4747" s="406">
        <v>-10.47</v>
      </c>
      <c r="DP4747" s="80">
        <v>10</v>
      </c>
    </row>
    <row r="4748" spans="29:120" x14ac:dyDescent="0.25">
      <c r="AC4748" s="122" t="s">
        <v>340</v>
      </c>
      <c r="AD4748" s="122" t="s">
        <v>4969</v>
      </c>
      <c r="AE4748" s="127">
        <v>6</v>
      </c>
      <c r="DA4748" s="122" t="s">
        <v>298</v>
      </c>
      <c r="DB4748" s="122" t="s">
        <v>5344</v>
      </c>
      <c r="DC4748" s="122" t="s">
        <v>5344</v>
      </c>
      <c r="DD4748" s="127">
        <v>8</v>
      </c>
      <c r="DE4748" s="127">
        <v>8</v>
      </c>
      <c r="DG4748" s="405" t="s">
        <v>298</v>
      </c>
      <c r="DH4748" s="406" t="s">
        <v>5344</v>
      </c>
      <c r="DI4748" s="406" t="str">
        <f t="shared" si="106"/>
        <v>SE, Neópolis</v>
      </c>
      <c r="DJ4748" s="406">
        <v>-10.32</v>
      </c>
      <c r="DK4748" s="80">
        <v>-36.579000000000001</v>
      </c>
      <c r="DL4748" s="80">
        <v>30</v>
      </c>
      <c r="DM4748" s="64">
        <v>8</v>
      </c>
      <c r="DN4748" s="406" t="s">
        <v>6133</v>
      </c>
      <c r="DO4748" s="406">
        <v>-10.47</v>
      </c>
      <c r="DP4748" s="80">
        <v>10</v>
      </c>
    </row>
    <row r="4749" spans="29:120" x14ac:dyDescent="0.25">
      <c r="AC4749" s="122" t="s">
        <v>328</v>
      </c>
      <c r="AD4749" s="122" t="s">
        <v>4970</v>
      </c>
      <c r="AE4749" s="127">
        <v>8</v>
      </c>
      <c r="DA4749" s="122" t="s">
        <v>298</v>
      </c>
      <c r="DB4749" s="122" t="s">
        <v>8690</v>
      </c>
      <c r="DC4749" s="122" t="s">
        <v>2505</v>
      </c>
      <c r="DD4749" s="127">
        <v>8</v>
      </c>
      <c r="DE4749" s="127">
        <v>8</v>
      </c>
      <c r="DG4749" s="405" t="s">
        <v>298</v>
      </c>
      <c r="DH4749" s="406" t="s">
        <v>2505</v>
      </c>
      <c r="DI4749" s="406" t="str">
        <f t="shared" si="106"/>
        <v>SE, Nossa Senhora Aparecida</v>
      </c>
      <c r="DJ4749" s="406">
        <v>-10.443</v>
      </c>
      <c r="DK4749" s="80">
        <v>-37.488999999999997</v>
      </c>
      <c r="DL4749" s="80">
        <v>248</v>
      </c>
      <c r="DM4749" s="64">
        <v>8</v>
      </c>
      <c r="DN4749" s="406" t="s">
        <v>6270</v>
      </c>
      <c r="DO4749" s="406">
        <v>-10.4</v>
      </c>
      <c r="DP4749" s="80">
        <v>308</v>
      </c>
    </row>
    <row r="4750" spans="29:120" x14ac:dyDescent="0.25">
      <c r="AC4750" s="122" t="s">
        <v>393</v>
      </c>
      <c r="AD4750" s="122" t="s">
        <v>4971</v>
      </c>
      <c r="AE4750" s="127">
        <v>8</v>
      </c>
      <c r="DA4750" s="122" t="s">
        <v>298</v>
      </c>
      <c r="DB4750" s="122" t="s">
        <v>8691</v>
      </c>
      <c r="DC4750" s="122" t="s">
        <v>2489</v>
      </c>
      <c r="DD4750" s="127">
        <v>8</v>
      </c>
      <c r="DE4750" s="127">
        <v>8</v>
      </c>
      <c r="DG4750" s="405" t="s">
        <v>298</v>
      </c>
      <c r="DH4750" s="406" t="s">
        <v>2489</v>
      </c>
      <c r="DI4750" s="406" t="str">
        <f t="shared" si="106"/>
        <v>SE, Nossa Senhora da Glória</v>
      </c>
      <c r="DJ4750" s="406">
        <v>-10.218</v>
      </c>
      <c r="DK4750" s="80">
        <v>-37.42</v>
      </c>
      <c r="DL4750" s="80">
        <v>291</v>
      </c>
      <c r="DM4750" s="64">
        <v>8</v>
      </c>
      <c r="DN4750" s="406" t="s">
        <v>6270</v>
      </c>
      <c r="DO4750" s="406">
        <v>-10.4</v>
      </c>
      <c r="DP4750" s="80">
        <v>308</v>
      </c>
    </row>
    <row r="4751" spans="29:120" x14ac:dyDescent="0.25">
      <c r="AC4751" s="122" t="s">
        <v>357</v>
      </c>
      <c r="AD4751" s="122" t="s">
        <v>4972</v>
      </c>
      <c r="AE4751" s="127">
        <v>7</v>
      </c>
      <c r="DA4751" s="122" t="s">
        <v>298</v>
      </c>
      <c r="DB4751" s="122" t="s">
        <v>8692</v>
      </c>
      <c r="DC4751" s="122" t="s">
        <v>2547</v>
      </c>
      <c r="DD4751" s="127">
        <v>8</v>
      </c>
      <c r="DE4751" s="127">
        <v>8</v>
      </c>
      <c r="DG4751" s="405" t="s">
        <v>298</v>
      </c>
      <c r="DH4751" s="406" t="s">
        <v>2547</v>
      </c>
      <c r="DI4751" s="406" t="str">
        <f t="shared" si="106"/>
        <v>SE, Nossa Senhora das Dores</v>
      </c>
      <c r="DJ4751" s="406">
        <v>-10.492000000000001</v>
      </c>
      <c r="DK4751" s="80">
        <v>-37.192999999999998</v>
      </c>
      <c r="DL4751" s="80">
        <v>204</v>
      </c>
      <c r="DM4751" s="64">
        <v>8</v>
      </c>
      <c r="DN4751" s="406" t="s">
        <v>8675</v>
      </c>
      <c r="DO4751" s="406">
        <v>-10.91</v>
      </c>
      <c r="DP4751" s="80">
        <v>5</v>
      </c>
    </row>
    <row r="4752" spans="29:120" x14ac:dyDescent="0.25">
      <c r="AC4752" s="122" t="s">
        <v>340</v>
      </c>
      <c r="AD4752" s="122" t="s">
        <v>4973</v>
      </c>
      <c r="AE4752" s="127">
        <v>5</v>
      </c>
      <c r="DA4752" s="122" t="s">
        <v>298</v>
      </c>
      <c r="DB4752" s="122" t="s">
        <v>8693</v>
      </c>
      <c r="DC4752" s="122" t="s">
        <v>2510</v>
      </c>
      <c r="DD4752" s="127">
        <v>8</v>
      </c>
      <c r="DE4752" s="127">
        <v>8</v>
      </c>
      <c r="DG4752" s="405" t="s">
        <v>298</v>
      </c>
      <c r="DH4752" s="406" t="s">
        <v>2510</v>
      </c>
      <c r="DI4752" s="406" t="str">
        <f t="shared" si="106"/>
        <v>SE, Nossa Senhora de Lourdes</v>
      </c>
      <c r="DJ4752" s="406">
        <v>-10.079000000000001</v>
      </c>
      <c r="DK4752" s="80">
        <v>-37.058</v>
      </c>
      <c r="DL4752" s="80">
        <v>222</v>
      </c>
      <c r="DM4752" s="64">
        <v>8</v>
      </c>
      <c r="DN4752" s="406" t="s">
        <v>6088</v>
      </c>
      <c r="DO4752" s="406">
        <v>-9.8000000000000007</v>
      </c>
      <c r="DP4752" s="80">
        <v>241</v>
      </c>
    </row>
    <row r="4753" spans="29:120" x14ac:dyDescent="0.25">
      <c r="AC4753" s="122" t="s">
        <v>340</v>
      </c>
      <c r="AD4753" s="122" t="s">
        <v>4974</v>
      </c>
      <c r="AE4753" s="127">
        <v>5</v>
      </c>
      <c r="DA4753" s="122" t="s">
        <v>298</v>
      </c>
      <c r="DB4753" s="122" t="s">
        <v>8694</v>
      </c>
      <c r="DC4753" s="122" t="s">
        <v>5356</v>
      </c>
      <c r="DD4753" s="127">
        <v>8</v>
      </c>
      <c r="DE4753" s="127">
        <v>8</v>
      </c>
      <c r="DG4753" s="405" t="s">
        <v>298</v>
      </c>
      <c r="DH4753" s="406" t="s">
        <v>5356</v>
      </c>
      <c r="DI4753" s="406" t="str">
        <f t="shared" si="106"/>
        <v>SE, Nossa Senhora do Socorro</v>
      </c>
      <c r="DJ4753" s="406">
        <v>-10.855</v>
      </c>
      <c r="DK4753" s="80">
        <v>-37.125999999999998</v>
      </c>
      <c r="DL4753" s="80">
        <v>36</v>
      </c>
      <c r="DM4753" s="64">
        <v>8</v>
      </c>
      <c r="DN4753" s="406" t="s">
        <v>8675</v>
      </c>
      <c r="DO4753" s="406">
        <v>-10.91</v>
      </c>
      <c r="DP4753" s="80">
        <v>5</v>
      </c>
    </row>
    <row r="4754" spans="29:120" x14ac:dyDescent="0.25">
      <c r="AC4754" s="122" t="s">
        <v>393</v>
      </c>
      <c r="AD4754" s="122" t="s">
        <v>4975</v>
      </c>
      <c r="AE4754" s="127">
        <v>8</v>
      </c>
      <c r="DA4754" s="122" t="s">
        <v>298</v>
      </c>
      <c r="DB4754" s="122" t="s">
        <v>4169</v>
      </c>
      <c r="DC4754" s="122" t="s">
        <v>4169</v>
      </c>
      <c r="DD4754" s="127">
        <v>8</v>
      </c>
      <c r="DE4754" s="127">
        <v>8</v>
      </c>
      <c r="DG4754" s="405" t="s">
        <v>298</v>
      </c>
      <c r="DH4754" s="406" t="s">
        <v>4169</v>
      </c>
      <c r="DI4754" s="406" t="str">
        <f t="shared" si="106"/>
        <v>SE, Pacatuba</v>
      </c>
      <c r="DJ4754" s="406">
        <v>-10.452999999999999</v>
      </c>
      <c r="DK4754" s="80">
        <v>-36.651000000000003</v>
      </c>
      <c r="DL4754" s="80">
        <v>87</v>
      </c>
      <c r="DM4754" s="64">
        <v>8</v>
      </c>
      <c r="DN4754" s="406" t="s">
        <v>6133</v>
      </c>
      <c r="DO4754" s="406">
        <v>-10.47</v>
      </c>
      <c r="DP4754" s="80">
        <v>10</v>
      </c>
    </row>
    <row r="4755" spans="29:120" x14ac:dyDescent="0.25">
      <c r="AC4755" s="122" t="s">
        <v>328</v>
      </c>
      <c r="AD4755" s="122" t="s">
        <v>2001</v>
      </c>
      <c r="AE4755" s="127">
        <v>7</v>
      </c>
      <c r="DA4755" s="122" t="s">
        <v>298</v>
      </c>
      <c r="DB4755" s="122" t="s">
        <v>8695</v>
      </c>
      <c r="DC4755" s="122" t="s">
        <v>5366</v>
      </c>
      <c r="DD4755" s="127">
        <v>8</v>
      </c>
      <c r="DE4755" s="127">
        <v>8</v>
      </c>
      <c r="DG4755" s="405" t="s">
        <v>298</v>
      </c>
      <c r="DH4755" s="406" t="s">
        <v>5366</v>
      </c>
      <c r="DI4755" s="406" t="str">
        <f t="shared" si="106"/>
        <v>SE, Pedra Mole</v>
      </c>
      <c r="DJ4755" s="406">
        <v>-10.617000000000001</v>
      </c>
      <c r="DK4755" s="80">
        <v>-37.686999999999998</v>
      </c>
      <c r="DL4755" s="80">
        <v>192</v>
      </c>
      <c r="DM4755" s="64">
        <v>8</v>
      </c>
      <c r="DN4755" s="406" t="s">
        <v>6270</v>
      </c>
      <c r="DO4755" s="406">
        <v>-10.4</v>
      </c>
      <c r="DP4755" s="80">
        <v>308</v>
      </c>
    </row>
    <row r="4756" spans="29:120" x14ac:dyDescent="0.25">
      <c r="AC4756" s="122" t="s">
        <v>340</v>
      </c>
      <c r="AD4756" s="122" t="s">
        <v>4976</v>
      </c>
      <c r="AE4756" s="127">
        <v>8</v>
      </c>
      <c r="DA4756" s="122" t="s">
        <v>298</v>
      </c>
      <c r="DB4756" s="122" t="s">
        <v>2532</v>
      </c>
      <c r="DC4756" s="122" t="s">
        <v>2532</v>
      </c>
      <c r="DD4756" s="127">
        <v>8</v>
      </c>
      <c r="DE4756" s="127">
        <v>8</v>
      </c>
      <c r="DG4756" s="405" t="s">
        <v>298</v>
      </c>
      <c r="DH4756" s="406" t="s">
        <v>2532</v>
      </c>
      <c r="DI4756" s="406" t="str">
        <f t="shared" si="106"/>
        <v>SE, Pedrinhas</v>
      </c>
      <c r="DJ4756" s="406">
        <v>-11.192</v>
      </c>
      <c r="DK4756" s="80">
        <v>-37.673999999999999</v>
      </c>
      <c r="DL4756" s="80">
        <v>165</v>
      </c>
      <c r="DM4756" s="64">
        <v>8</v>
      </c>
      <c r="DN4756" s="406" t="s">
        <v>6212</v>
      </c>
      <c r="DO4756" s="406">
        <v>-11.27</v>
      </c>
      <c r="DP4756" s="80">
        <v>208</v>
      </c>
    </row>
    <row r="4757" spans="29:120" x14ac:dyDescent="0.25">
      <c r="AC4757" s="122" t="s">
        <v>340</v>
      </c>
      <c r="AD4757" s="122" t="s">
        <v>4977</v>
      </c>
      <c r="AE4757" s="127">
        <v>8</v>
      </c>
      <c r="DA4757" s="122" t="s">
        <v>298</v>
      </c>
      <c r="DB4757" s="122" t="s">
        <v>825</v>
      </c>
      <c r="DC4757" s="122" t="s">
        <v>825</v>
      </c>
      <c r="DD4757" s="127">
        <v>8</v>
      </c>
      <c r="DE4757" s="127">
        <v>8</v>
      </c>
      <c r="DG4757" s="405" t="s">
        <v>298</v>
      </c>
      <c r="DH4757" s="406" t="s">
        <v>825</v>
      </c>
      <c r="DI4757" s="406" t="str">
        <f t="shared" si="106"/>
        <v>SE, Pinhão</v>
      </c>
      <c r="DJ4757" s="406">
        <v>-10.567</v>
      </c>
      <c r="DK4757" s="80">
        <v>-37.722999999999999</v>
      </c>
      <c r="DL4757" s="80">
        <v>258</v>
      </c>
      <c r="DM4757" s="64">
        <v>8</v>
      </c>
      <c r="DN4757" s="406" t="s">
        <v>6270</v>
      </c>
      <c r="DO4757" s="406">
        <v>-10.4</v>
      </c>
      <c r="DP4757" s="80">
        <v>308</v>
      </c>
    </row>
    <row r="4758" spans="29:120" x14ac:dyDescent="0.25">
      <c r="AC4758" s="122" t="s">
        <v>393</v>
      </c>
      <c r="AD4758" s="122" t="s">
        <v>4978</v>
      </c>
      <c r="AE4758" s="127">
        <v>7</v>
      </c>
      <c r="DA4758" s="122" t="s">
        <v>298</v>
      </c>
      <c r="DB4758" s="122" t="s">
        <v>5010</v>
      </c>
      <c r="DC4758" s="122" t="s">
        <v>5010</v>
      </c>
      <c r="DD4758" s="127">
        <v>8</v>
      </c>
      <c r="DE4758" s="127">
        <v>8</v>
      </c>
      <c r="DG4758" s="405" t="s">
        <v>298</v>
      </c>
      <c r="DH4758" s="406" t="s">
        <v>5010</v>
      </c>
      <c r="DI4758" s="406" t="str">
        <f t="shared" si="106"/>
        <v>SE, Pirambu</v>
      </c>
      <c r="DJ4758" s="406">
        <v>-10.738</v>
      </c>
      <c r="DK4758" s="80">
        <v>-36.856000000000002</v>
      </c>
      <c r="DL4758" s="80">
        <v>4</v>
      </c>
      <c r="DM4758" s="64">
        <v>8</v>
      </c>
      <c r="DN4758" s="406" t="s">
        <v>8675</v>
      </c>
      <c r="DO4758" s="406">
        <v>-10.91</v>
      </c>
      <c r="DP4758" s="80">
        <v>5</v>
      </c>
    </row>
    <row r="4759" spans="29:120" x14ac:dyDescent="0.25">
      <c r="AC4759" s="122" t="s">
        <v>393</v>
      </c>
      <c r="AD4759" s="122" t="s">
        <v>4979</v>
      </c>
      <c r="AE4759" s="127">
        <v>7</v>
      </c>
      <c r="DA4759" s="122" t="s">
        <v>298</v>
      </c>
      <c r="DB4759" s="122" t="s">
        <v>8696</v>
      </c>
      <c r="DC4759" s="122" t="s">
        <v>2514</v>
      </c>
      <c r="DD4759" s="127">
        <v>8</v>
      </c>
      <c r="DE4759" s="127">
        <v>8</v>
      </c>
      <c r="DG4759" s="405" t="s">
        <v>298</v>
      </c>
      <c r="DH4759" s="406" t="s">
        <v>2514</v>
      </c>
      <c r="DI4759" s="406" t="str">
        <f t="shared" si="106"/>
        <v>SE, Poço Redondo</v>
      </c>
      <c r="DJ4759" s="406">
        <v>-9.8059999999999992</v>
      </c>
      <c r="DK4759" s="80">
        <v>-37.685000000000002</v>
      </c>
      <c r="DL4759" s="80">
        <v>188</v>
      </c>
      <c r="DM4759" s="64">
        <v>8</v>
      </c>
      <c r="DN4759" s="406" t="s">
        <v>6093</v>
      </c>
      <c r="DO4759" s="406">
        <v>-9.75</v>
      </c>
      <c r="DP4759" s="80">
        <v>19</v>
      </c>
    </row>
    <row r="4760" spans="29:120" x14ac:dyDescent="0.25">
      <c r="AC4760" s="122" t="s">
        <v>393</v>
      </c>
      <c r="AD4760" s="122" t="s">
        <v>4980</v>
      </c>
      <c r="AE4760" s="127">
        <v>7</v>
      </c>
      <c r="DA4760" s="122" t="s">
        <v>298</v>
      </c>
      <c r="DB4760" s="122" t="s">
        <v>8697</v>
      </c>
      <c r="DC4760" s="122" t="s">
        <v>3506</v>
      </c>
      <c r="DD4760" s="127">
        <v>8</v>
      </c>
      <c r="DE4760" s="127">
        <v>8</v>
      </c>
      <c r="DG4760" s="405" t="s">
        <v>298</v>
      </c>
      <c r="DH4760" s="406" t="s">
        <v>3506</v>
      </c>
      <c r="DI4760" s="406" t="str">
        <f t="shared" si="106"/>
        <v>SE, Poço Verde</v>
      </c>
      <c r="DJ4760" s="406">
        <v>-10.708</v>
      </c>
      <c r="DK4760" s="80">
        <v>-38.183</v>
      </c>
      <c r="DL4760" s="80">
        <v>268</v>
      </c>
      <c r="DM4760" s="64">
        <v>8</v>
      </c>
      <c r="DN4760" s="406" t="s">
        <v>6196</v>
      </c>
      <c r="DO4760" s="406">
        <v>-10.74</v>
      </c>
      <c r="DP4760" s="80">
        <v>362</v>
      </c>
    </row>
    <row r="4761" spans="29:120" x14ac:dyDescent="0.25">
      <c r="AC4761" s="122" t="s">
        <v>328</v>
      </c>
      <c r="AD4761" s="122" t="s">
        <v>4981</v>
      </c>
      <c r="AE4761" s="127">
        <v>7</v>
      </c>
      <c r="DA4761" s="122" t="s">
        <v>298</v>
      </c>
      <c r="DB4761" s="122" t="s">
        <v>8698</v>
      </c>
      <c r="DC4761" s="122" t="s">
        <v>5345</v>
      </c>
      <c r="DD4761" s="127">
        <v>8</v>
      </c>
      <c r="DE4761" s="127">
        <v>8</v>
      </c>
      <c r="DG4761" s="405" t="s">
        <v>298</v>
      </c>
      <c r="DH4761" s="406" t="s">
        <v>5345</v>
      </c>
      <c r="DI4761" s="406" t="str">
        <f t="shared" si="106"/>
        <v>SE, Porto da Folha</v>
      </c>
      <c r="DJ4761" s="406">
        <v>-9.9169999999999998</v>
      </c>
      <c r="DK4761" s="80">
        <v>-37.277999999999999</v>
      </c>
      <c r="DL4761" s="80">
        <v>38</v>
      </c>
      <c r="DM4761" s="64">
        <v>8</v>
      </c>
      <c r="DN4761" s="406" t="s">
        <v>6093</v>
      </c>
      <c r="DO4761" s="406">
        <v>-9.75</v>
      </c>
      <c r="DP4761" s="80">
        <v>19</v>
      </c>
    </row>
    <row r="4762" spans="29:120" x14ac:dyDescent="0.25">
      <c r="AC4762" s="122" t="s">
        <v>357</v>
      </c>
      <c r="AD4762" s="122" t="s">
        <v>4982</v>
      </c>
      <c r="AE4762" s="127">
        <v>7</v>
      </c>
      <c r="DA4762" s="122" t="s">
        <v>298</v>
      </c>
      <c r="DB4762" s="122" t="s">
        <v>5165</v>
      </c>
      <c r="DC4762" s="122" t="s">
        <v>5165</v>
      </c>
      <c r="DD4762" s="127">
        <v>8</v>
      </c>
      <c r="DE4762" s="127">
        <v>8</v>
      </c>
      <c r="DG4762" s="405" t="s">
        <v>298</v>
      </c>
      <c r="DH4762" s="406" t="s">
        <v>5165</v>
      </c>
      <c r="DI4762" s="406" t="str">
        <f t="shared" si="106"/>
        <v>SE, Propriá</v>
      </c>
      <c r="DJ4762" s="406">
        <v>-10.211</v>
      </c>
      <c r="DK4762" s="80">
        <v>-36.840000000000003</v>
      </c>
      <c r="DL4762" s="80">
        <v>14</v>
      </c>
      <c r="DM4762" s="64">
        <v>8</v>
      </c>
      <c r="DN4762" s="406" t="s">
        <v>6088</v>
      </c>
      <c r="DO4762" s="406">
        <v>-9.8000000000000007</v>
      </c>
      <c r="DP4762" s="80">
        <v>241</v>
      </c>
    </row>
    <row r="4763" spans="29:120" x14ac:dyDescent="0.25">
      <c r="AC4763" s="122" t="s">
        <v>328</v>
      </c>
      <c r="AD4763" s="122" t="s">
        <v>4983</v>
      </c>
      <c r="AE4763" s="127">
        <v>7</v>
      </c>
      <c r="DA4763" s="122" t="s">
        <v>298</v>
      </c>
      <c r="DB4763" s="122" t="s">
        <v>8699</v>
      </c>
      <c r="DC4763" s="122" t="s">
        <v>2541</v>
      </c>
      <c r="DD4763" s="127">
        <v>8</v>
      </c>
      <c r="DE4763" s="127">
        <v>8</v>
      </c>
      <c r="DG4763" s="405" t="s">
        <v>298</v>
      </c>
      <c r="DH4763" s="406" t="s">
        <v>2541</v>
      </c>
      <c r="DI4763" s="406" t="str">
        <f t="shared" si="106"/>
        <v>SE, Riachão do Dantas</v>
      </c>
      <c r="DJ4763" s="406">
        <v>-11.069000000000001</v>
      </c>
      <c r="DK4763" s="80">
        <v>-37.725000000000001</v>
      </c>
      <c r="DL4763" s="80">
        <v>185</v>
      </c>
      <c r="DM4763" s="64">
        <v>8</v>
      </c>
      <c r="DN4763" s="406" t="s">
        <v>6212</v>
      </c>
      <c r="DO4763" s="406">
        <v>-11.27</v>
      </c>
      <c r="DP4763" s="80">
        <v>208</v>
      </c>
    </row>
    <row r="4764" spans="29:120" x14ac:dyDescent="0.25">
      <c r="AC4764" s="122" t="s">
        <v>340</v>
      </c>
      <c r="AD4764" s="122" t="s">
        <v>4984</v>
      </c>
      <c r="AE4764" s="127">
        <v>8</v>
      </c>
      <c r="DA4764" s="122" t="s">
        <v>298</v>
      </c>
      <c r="DB4764" s="122" t="s">
        <v>4159</v>
      </c>
      <c r="DC4764" s="122" t="s">
        <v>4159</v>
      </c>
      <c r="DD4764" s="127">
        <v>8</v>
      </c>
      <c r="DE4764" s="127">
        <v>8</v>
      </c>
      <c r="DG4764" s="405" t="s">
        <v>298</v>
      </c>
      <c r="DH4764" s="406" t="s">
        <v>4159</v>
      </c>
      <c r="DI4764" s="406" t="str">
        <f t="shared" si="106"/>
        <v>SE, Riachuelo</v>
      </c>
      <c r="DJ4764" s="406">
        <v>-10.728</v>
      </c>
      <c r="DK4764" s="80">
        <v>-37.186999999999998</v>
      </c>
      <c r="DL4764" s="80">
        <v>37</v>
      </c>
      <c r="DM4764" s="64">
        <v>8</v>
      </c>
      <c r="DN4764" s="406" t="s">
        <v>8675</v>
      </c>
      <c r="DO4764" s="406">
        <v>-10.91</v>
      </c>
      <c r="DP4764" s="80">
        <v>5</v>
      </c>
    </row>
    <row r="4765" spans="29:120" x14ac:dyDescent="0.25">
      <c r="AC4765" s="122" t="s">
        <v>372</v>
      </c>
      <c r="AD4765" s="122" t="s">
        <v>4985</v>
      </c>
      <c r="AE4765" s="127">
        <v>8</v>
      </c>
      <c r="DA4765" s="122" t="s">
        <v>298</v>
      </c>
      <c r="DB4765" s="122" t="s">
        <v>2507</v>
      </c>
      <c r="DC4765" s="122" t="s">
        <v>2507</v>
      </c>
      <c r="DD4765" s="127">
        <v>8</v>
      </c>
      <c r="DE4765" s="127">
        <v>8</v>
      </c>
      <c r="DG4765" s="405" t="s">
        <v>298</v>
      </c>
      <c r="DH4765" s="406" t="s">
        <v>2507</v>
      </c>
      <c r="DI4765" s="406" t="str">
        <f t="shared" si="106"/>
        <v>SE, Ribeirópolis</v>
      </c>
      <c r="DJ4765" s="406">
        <v>-10.539</v>
      </c>
      <c r="DK4765" s="80">
        <v>-37.417000000000002</v>
      </c>
      <c r="DL4765" s="80">
        <v>293</v>
      </c>
      <c r="DM4765" s="64">
        <v>8</v>
      </c>
      <c r="DN4765" s="406" t="s">
        <v>6270</v>
      </c>
      <c r="DO4765" s="406">
        <v>-10.4</v>
      </c>
      <c r="DP4765" s="80">
        <v>308</v>
      </c>
    </row>
    <row r="4766" spans="29:120" x14ac:dyDescent="0.25">
      <c r="AC4766" s="122" t="s">
        <v>393</v>
      </c>
      <c r="AD4766" s="122" t="s">
        <v>2050</v>
      </c>
      <c r="AE4766" s="127">
        <v>7</v>
      </c>
      <c r="DA4766" s="122" t="s">
        <v>298</v>
      </c>
      <c r="DB4766" s="122" t="s">
        <v>8700</v>
      </c>
      <c r="DC4766" s="122" t="s">
        <v>5347</v>
      </c>
      <c r="DD4766" s="127">
        <v>8</v>
      </c>
      <c r="DE4766" s="127">
        <v>8</v>
      </c>
      <c r="DG4766" s="405" t="s">
        <v>298</v>
      </c>
      <c r="DH4766" s="406" t="s">
        <v>5347</v>
      </c>
      <c r="DI4766" s="406" t="str">
        <f t="shared" si="106"/>
        <v>SE, Rosário do Catete</v>
      </c>
      <c r="DJ4766" s="406">
        <v>-10.696</v>
      </c>
      <c r="DK4766" s="80">
        <v>-37.030999999999999</v>
      </c>
      <c r="DL4766" s="80">
        <v>22</v>
      </c>
      <c r="DM4766" s="64">
        <v>8</v>
      </c>
      <c r="DN4766" s="406" t="s">
        <v>8675</v>
      </c>
      <c r="DO4766" s="406">
        <v>-10.91</v>
      </c>
      <c r="DP4766" s="80">
        <v>5</v>
      </c>
    </row>
    <row r="4767" spans="29:120" x14ac:dyDescent="0.25">
      <c r="AC4767" s="122" t="s">
        <v>340</v>
      </c>
      <c r="AD4767" s="122" t="s">
        <v>4986</v>
      </c>
      <c r="AE4767" s="127">
        <v>8</v>
      </c>
      <c r="DA4767" s="122" t="s">
        <v>298</v>
      </c>
      <c r="DB4767" s="122" t="s">
        <v>2501</v>
      </c>
      <c r="DC4767" s="122" t="s">
        <v>2501</v>
      </c>
      <c r="DD4767" s="127">
        <v>8</v>
      </c>
      <c r="DE4767" s="127">
        <v>8</v>
      </c>
      <c r="DG4767" s="405" t="s">
        <v>298</v>
      </c>
      <c r="DH4767" s="406" t="s">
        <v>2501</v>
      </c>
      <c r="DI4767" s="406" t="str">
        <f t="shared" si="106"/>
        <v>SE, Salgado</v>
      </c>
      <c r="DJ4767" s="406">
        <v>-11.032</v>
      </c>
      <c r="DK4767" s="80">
        <v>-37.475000000000001</v>
      </c>
      <c r="DL4767" s="80">
        <v>100</v>
      </c>
      <c r="DM4767" s="64">
        <v>8</v>
      </c>
      <c r="DN4767" s="406" t="s">
        <v>6212</v>
      </c>
      <c r="DO4767" s="406">
        <v>-11.27</v>
      </c>
      <c r="DP4767" s="80">
        <v>208</v>
      </c>
    </row>
    <row r="4768" spans="29:120" x14ac:dyDescent="0.25">
      <c r="AC4768" s="122" t="s">
        <v>393</v>
      </c>
      <c r="AD4768" s="122" t="s">
        <v>4987</v>
      </c>
      <c r="AE4768" s="127">
        <v>7</v>
      </c>
      <c r="DA4768" s="122" t="s">
        <v>298</v>
      </c>
      <c r="DB4768" s="122" t="s">
        <v>8701</v>
      </c>
      <c r="DC4768" s="122" t="s">
        <v>5394</v>
      </c>
      <c r="DD4768" s="127">
        <v>8</v>
      </c>
      <c r="DE4768" s="127">
        <v>8</v>
      </c>
      <c r="DG4768" s="405" t="s">
        <v>298</v>
      </c>
      <c r="DH4768" s="406" t="s">
        <v>5394</v>
      </c>
      <c r="DI4768" s="406" t="str">
        <f t="shared" si="106"/>
        <v>SE, Santa Luzia do Itanhy</v>
      </c>
      <c r="DJ4768" s="406">
        <v>-11.351000000000001</v>
      </c>
      <c r="DK4768" s="80">
        <v>-37.448</v>
      </c>
      <c r="DL4768" s="80">
        <v>37</v>
      </c>
      <c r="DM4768" s="64">
        <v>8</v>
      </c>
      <c r="DN4768" s="406" t="s">
        <v>6212</v>
      </c>
      <c r="DO4768" s="406">
        <v>-11.27</v>
      </c>
      <c r="DP4768" s="80">
        <v>208</v>
      </c>
    </row>
    <row r="4769" spans="29:120" x14ac:dyDescent="0.25">
      <c r="AC4769" s="122" t="s">
        <v>340</v>
      </c>
      <c r="AD4769" s="122" t="s">
        <v>4988</v>
      </c>
      <c r="AE4769" s="127">
        <v>8</v>
      </c>
      <c r="DA4769" s="122" t="s">
        <v>298</v>
      </c>
      <c r="DB4769" s="122" t="s">
        <v>8640</v>
      </c>
      <c r="DC4769" s="122" t="s">
        <v>1099</v>
      </c>
      <c r="DD4769" s="127">
        <v>8</v>
      </c>
      <c r="DE4769" s="127">
        <v>8</v>
      </c>
      <c r="DG4769" s="405" t="s">
        <v>298</v>
      </c>
      <c r="DH4769" s="406" t="s">
        <v>1099</v>
      </c>
      <c r="DI4769" s="406" t="str">
        <f t="shared" si="106"/>
        <v>SE, Santa Rosa de Lima</v>
      </c>
      <c r="DJ4769" s="406">
        <v>-10.646000000000001</v>
      </c>
      <c r="DK4769" s="80">
        <v>-37.194000000000003</v>
      </c>
      <c r="DL4769" s="80">
        <v>39</v>
      </c>
      <c r="DM4769" s="64">
        <v>8</v>
      </c>
      <c r="DN4769" s="406" t="s">
        <v>8675</v>
      </c>
      <c r="DO4769" s="406">
        <v>-10.91</v>
      </c>
      <c r="DP4769" s="80">
        <v>5</v>
      </c>
    </row>
    <row r="4770" spans="29:120" x14ac:dyDescent="0.25">
      <c r="AC4770" s="122" t="s">
        <v>268</v>
      </c>
      <c r="AD4770" s="122" t="s">
        <v>4989</v>
      </c>
      <c r="AE4770" s="127">
        <v>8</v>
      </c>
      <c r="DA4770" s="122" t="s">
        <v>298</v>
      </c>
      <c r="DB4770" s="122" t="s">
        <v>8702</v>
      </c>
      <c r="DC4770" s="122" t="s">
        <v>5340</v>
      </c>
      <c r="DD4770" s="127">
        <v>8</v>
      </c>
      <c r="DE4770" s="127">
        <v>8</v>
      </c>
      <c r="DG4770" s="405" t="s">
        <v>298</v>
      </c>
      <c r="DH4770" s="406" t="s">
        <v>5340</v>
      </c>
      <c r="DI4770" s="406" t="str">
        <f t="shared" si="106"/>
        <v>SE, Santana do São Francisco</v>
      </c>
      <c r="DJ4770" s="406">
        <v>-10.291</v>
      </c>
      <c r="DK4770" s="80">
        <v>-36.607999999999997</v>
      </c>
      <c r="DL4770" s="80">
        <v>5</v>
      </c>
      <c r="DM4770" s="64">
        <v>8</v>
      </c>
      <c r="DN4770" s="406" t="s">
        <v>6133</v>
      </c>
      <c r="DO4770" s="406">
        <v>-10.47</v>
      </c>
      <c r="DP4770" s="80">
        <v>10</v>
      </c>
    </row>
    <row r="4771" spans="29:120" x14ac:dyDescent="0.25">
      <c r="AC4771" s="122" t="s">
        <v>393</v>
      </c>
      <c r="AD4771" s="122" t="s">
        <v>4990</v>
      </c>
      <c r="AE4771" s="127">
        <v>7</v>
      </c>
      <c r="DA4771" s="122" t="s">
        <v>298</v>
      </c>
      <c r="DB4771" s="122" t="s">
        <v>8703</v>
      </c>
      <c r="DC4771" s="122" t="s">
        <v>5364</v>
      </c>
      <c r="DD4771" s="127">
        <v>8</v>
      </c>
      <c r="DE4771" s="127">
        <v>8</v>
      </c>
      <c r="DG4771" s="405" t="s">
        <v>298</v>
      </c>
      <c r="DH4771" s="406" t="s">
        <v>5364</v>
      </c>
      <c r="DI4771" s="406" t="str">
        <f t="shared" si="106"/>
        <v>SE, Santo Amaro das Brotas</v>
      </c>
      <c r="DJ4771" s="406">
        <v>-10.789</v>
      </c>
      <c r="DK4771" s="80">
        <v>-37.054000000000002</v>
      </c>
      <c r="DL4771" s="80">
        <v>55</v>
      </c>
      <c r="DM4771" s="64">
        <v>8</v>
      </c>
      <c r="DN4771" s="406" t="s">
        <v>8675</v>
      </c>
      <c r="DO4771" s="406">
        <v>-10.91</v>
      </c>
      <c r="DP4771" s="80">
        <v>5</v>
      </c>
    </row>
    <row r="4772" spans="29:120" x14ac:dyDescent="0.25">
      <c r="AC4772" s="122" t="s">
        <v>393</v>
      </c>
      <c r="AD4772" s="122" t="s">
        <v>4991</v>
      </c>
      <c r="AE4772" s="127">
        <v>7</v>
      </c>
      <c r="DA4772" s="122" t="s">
        <v>298</v>
      </c>
      <c r="DB4772" s="122" t="s">
        <v>8704</v>
      </c>
      <c r="DC4772" s="122" t="s">
        <v>5389</v>
      </c>
      <c r="DD4772" s="127">
        <v>8</v>
      </c>
      <c r="DE4772" s="127">
        <v>8</v>
      </c>
      <c r="DG4772" s="405" t="s">
        <v>298</v>
      </c>
      <c r="DH4772" s="406" t="s">
        <v>5389</v>
      </c>
      <c r="DI4772" s="406" t="str">
        <f t="shared" si="106"/>
        <v>SE, São Cristóvão</v>
      </c>
      <c r="DJ4772" s="406">
        <v>-11.015000000000001</v>
      </c>
      <c r="DK4772" s="80">
        <v>-37.206000000000003</v>
      </c>
      <c r="DL4772" s="80">
        <v>47</v>
      </c>
      <c r="DM4772" s="64">
        <v>8</v>
      </c>
      <c r="DN4772" s="406" t="s">
        <v>8675</v>
      </c>
      <c r="DO4772" s="406">
        <v>-10.91</v>
      </c>
      <c r="DP4772" s="80">
        <v>5</v>
      </c>
    </row>
    <row r="4773" spans="29:120" x14ac:dyDescent="0.25">
      <c r="AC4773" s="122" t="s">
        <v>393</v>
      </c>
      <c r="AD4773" s="122" t="s">
        <v>4992</v>
      </c>
      <c r="AE4773" s="127">
        <v>7</v>
      </c>
      <c r="DA4773" s="122" t="s">
        <v>298</v>
      </c>
      <c r="DB4773" s="122" t="s">
        <v>6368</v>
      </c>
      <c r="DC4773" s="122" t="s">
        <v>1486</v>
      </c>
      <c r="DD4773" s="127">
        <v>8</v>
      </c>
      <c r="DE4773" s="127">
        <v>8</v>
      </c>
      <c r="DG4773" s="405" t="s">
        <v>298</v>
      </c>
      <c r="DH4773" s="406" t="s">
        <v>1486</v>
      </c>
      <c r="DI4773" s="406" t="str">
        <f t="shared" si="106"/>
        <v>SE, São Domingos</v>
      </c>
      <c r="DJ4773" s="406">
        <v>-10.791</v>
      </c>
      <c r="DK4773" s="80">
        <v>-37.567999999999998</v>
      </c>
      <c r="DL4773" s="80">
        <v>200</v>
      </c>
      <c r="DM4773" s="64">
        <v>8</v>
      </c>
      <c r="DN4773" s="406" t="s">
        <v>6270</v>
      </c>
      <c r="DO4773" s="406">
        <v>-10.4</v>
      </c>
      <c r="DP4773" s="80">
        <v>308</v>
      </c>
    </row>
    <row r="4774" spans="29:120" x14ac:dyDescent="0.25">
      <c r="AC4774" s="122" t="s">
        <v>340</v>
      </c>
      <c r="AD4774" s="122" t="s">
        <v>4993</v>
      </c>
      <c r="AE4774" s="127">
        <v>8</v>
      </c>
      <c r="DA4774" s="122" t="s">
        <v>298</v>
      </c>
      <c r="DB4774" s="122" t="s">
        <v>7165</v>
      </c>
      <c r="DC4774" s="122" t="s">
        <v>2937</v>
      </c>
      <c r="DD4774" s="127">
        <v>8</v>
      </c>
      <c r="DE4774" s="127">
        <v>8</v>
      </c>
      <c r="DG4774" s="405" t="s">
        <v>298</v>
      </c>
      <c r="DH4774" s="406" t="s">
        <v>2937</v>
      </c>
      <c r="DI4774" s="406" t="str">
        <f t="shared" si="106"/>
        <v>SE, São Francisco</v>
      </c>
      <c r="DJ4774" s="406">
        <v>-10.333</v>
      </c>
      <c r="DK4774" s="80">
        <v>-36.887999999999998</v>
      </c>
      <c r="DL4774" s="80">
        <v>121</v>
      </c>
      <c r="DM4774" s="64">
        <v>8</v>
      </c>
      <c r="DN4774" s="406" t="s">
        <v>6133</v>
      </c>
      <c r="DO4774" s="406">
        <v>-10.47</v>
      </c>
      <c r="DP4774" s="80">
        <v>10</v>
      </c>
    </row>
    <row r="4775" spans="29:120" x14ac:dyDescent="0.25">
      <c r="AC4775" s="122" t="s">
        <v>393</v>
      </c>
      <c r="AD4775" s="122" t="s">
        <v>4994</v>
      </c>
      <c r="AE4775" s="127">
        <v>7</v>
      </c>
      <c r="DA4775" s="122" t="s">
        <v>298</v>
      </c>
      <c r="DB4775" s="122" t="s">
        <v>8705</v>
      </c>
      <c r="DC4775" s="122" t="s">
        <v>5361</v>
      </c>
      <c r="DD4775" s="127">
        <v>8</v>
      </c>
      <c r="DE4775" s="127">
        <v>8</v>
      </c>
      <c r="DG4775" s="405" t="s">
        <v>298</v>
      </c>
      <c r="DH4775" s="406" t="s">
        <v>5361</v>
      </c>
      <c r="DI4775" s="406" t="str">
        <f t="shared" si="106"/>
        <v>SE, São Miguel do Aleixo</v>
      </c>
      <c r="DJ4775" s="406">
        <v>-10.388</v>
      </c>
      <c r="DK4775" s="80">
        <v>-37.381</v>
      </c>
      <c r="DL4775" s="80">
        <v>197</v>
      </c>
      <c r="DM4775" s="64">
        <v>8</v>
      </c>
      <c r="DN4775" s="406" t="s">
        <v>6270</v>
      </c>
      <c r="DO4775" s="406">
        <v>-10.4</v>
      </c>
      <c r="DP4775" s="80">
        <v>308</v>
      </c>
    </row>
    <row r="4776" spans="29:120" x14ac:dyDescent="0.25">
      <c r="AC4776" s="122" t="s">
        <v>340</v>
      </c>
      <c r="AD4776" s="122" t="s">
        <v>4995</v>
      </c>
      <c r="AE4776" s="127">
        <v>8</v>
      </c>
      <c r="DA4776" s="122" t="s">
        <v>298</v>
      </c>
      <c r="DB4776" s="122" t="s">
        <v>8706</v>
      </c>
      <c r="DC4776" s="122" t="s">
        <v>2571</v>
      </c>
      <c r="DD4776" s="127">
        <v>8</v>
      </c>
      <c r="DE4776" s="127">
        <v>8</v>
      </c>
      <c r="DG4776" s="405" t="s">
        <v>298</v>
      </c>
      <c r="DH4776" s="406" t="s">
        <v>2571</v>
      </c>
      <c r="DI4776" s="406" t="str">
        <f t="shared" si="106"/>
        <v>SE, Simão Dias</v>
      </c>
      <c r="DJ4776" s="406">
        <v>-10.738</v>
      </c>
      <c r="DK4776" s="80">
        <v>-37.811</v>
      </c>
      <c r="DL4776" s="80">
        <v>263</v>
      </c>
      <c r="DM4776" s="64">
        <v>8</v>
      </c>
      <c r="DN4776" s="406" t="s">
        <v>6270</v>
      </c>
      <c r="DO4776" s="406">
        <v>-10.4</v>
      </c>
      <c r="DP4776" s="80">
        <v>308</v>
      </c>
    </row>
    <row r="4777" spans="29:120" x14ac:dyDescent="0.25">
      <c r="AC4777" s="122" t="s">
        <v>393</v>
      </c>
      <c r="AD4777" s="122" t="s">
        <v>4996</v>
      </c>
      <c r="AE4777" s="127">
        <v>7</v>
      </c>
      <c r="DA4777" s="122" t="s">
        <v>298</v>
      </c>
      <c r="DB4777" s="122" t="s">
        <v>5365</v>
      </c>
      <c r="DC4777" s="122" t="s">
        <v>5365</v>
      </c>
      <c r="DD4777" s="127">
        <v>8</v>
      </c>
      <c r="DE4777" s="127">
        <v>8</v>
      </c>
      <c r="DG4777" s="405" t="s">
        <v>298</v>
      </c>
      <c r="DH4777" s="406" t="s">
        <v>5365</v>
      </c>
      <c r="DI4777" s="406" t="str">
        <f t="shared" si="106"/>
        <v>SE, Siriri</v>
      </c>
      <c r="DJ4777" s="406">
        <v>-10.603999999999999</v>
      </c>
      <c r="DK4777" s="80">
        <v>-37.113</v>
      </c>
      <c r="DL4777" s="80">
        <v>38</v>
      </c>
      <c r="DM4777" s="64">
        <v>8</v>
      </c>
      <c r="DN4777" s="406" t="s">
        <v>8675</v>
      </c>
      <c r="DO4777" s="406">
        <v>-10.91</v>
      </c>
      <c r="DP4777" s="80">
        <v>5</v>
      </c>
    </row>
    <row r="4778" spans="29:120" x14ac:dyDescent="0.25">
      <c r="AC4778" s="122" t="s">
        <v>393</v>
      </c>
      <c r="AD4778" s="122" t="s">
        <v>4997</v>
      </c>
      <c r="AE4778" s="127">
        <v>7</v>
      </c>
      <c r="DA4778" s="122" t="s">
        <v>298</v>
      </c>
      <c r="DB4778" s="122" t="s">
        <v>5111</v>
      </c>
      <c r="DC4778" s="122" t="s">
        <v>5111</v>
      </c>
      <c r="DD4778" s="127">
        <v>8</v>
      </c>
      <c r="DE4778" s="127">
        <v>8</v>
      </c>
      <c r="DG4778" s="405" t="s">
        <v>298</v>
      </c>
      <c r="DH4778" s="406" t="s">
        <v>5111</v>
      </c>
      <c r="DI4778" s="406" t="str">
        <f t="shared" si="106"/>
        <v>SE, Telha</v>
      </c>
      <c r="DJ4778" s="406">
        <v>-10.208</v>
      </c>
      <c r="DK4778" s="80">
        <v>-36.884</v>
      </c>
      <c r="DL4778" s="80">
        <v>23</v>
      </c>
      <c r="DM4778" s="64">
        <v>8</v>
      </c>
      <c r="DN4778" s="406" t="s">
        <v>6088</v>
      </c>
      <c r="DO4778" s="406">
        <v>-9.8000000000000007</v>
      </c>
      <c r="DP4778" s="80">
        <v>241</v>
      </c>
    </row>
    <row r="4779" spans="29:120" x14ac:dyDescent="0.25">
      <c r="AC4779" s="122" t="s">
        <v>393</v>
      </c>
      <c r="AD4779" s="122" t="s">
        <v>4998</v>
      </c>
      <c r="AE4779" s="127">
        <v>7</v>
      </c>
      <c r="DA4779" s="122" t="s">
        <v>298</v>
      </c>
      <c r="DB4779" s="122" t="s">
        <v>8707</v>
      </c>
      <c r="DC4779" s="122" t="s">
        <v>1859</v>
      </c>
      <c r="DD4779" s="127">
        <v>8</v>
      </c>
      <c r="DE4779" s="127">
        <v>8</v>
      </c>
      <c r="DG4779" s="405" t="s">
        <v>298</v>
      </c>
      <c r="DH4779" s="406" t="s">
        <v>1859</v>
      </c>
      <c r="DI4779" s="406" t="str">
        <f t="shared" si="106"/>
        <v>SE, Tobias Barreto</v>
      </c>
      <c r="DJ4779" s="406">
        <v>-11.183999999999999</v>
      </c>
      <c r="DK4779" s="80">
        <v>-37.997999999999998</v>
      </c>
      <c r="DL4779" s="80">
        <v>158</v>
      </c>
      <c r="DM4779" s="64">
        <v>8</v>
      </c>
      <c r="DN4779" s="406" t="s">
        <v>6212</v>
      </c>
      <c r="DO4779" s="406">
        <v>-11.27</v>
      </c>
      <c r="DP4779" s="80">
        <v>208</v>
      </c>
    </row>
    <row r="4780" spans="29:120" x14ac:dyDescent="0.25">
      <c r="AC4780" s="122" t="s">
        <v>340</v>
      </c>
      <c r="AD4780" s="122" t="s">
        <v>4999</v>
      </c>
      <c r="AE4780" s="127">
        <v>8</v>
      </c>
      <c r="DA4780" s="122" t="s">
        <v>298</v>
      </c>
      <c r="DB4780" s="122" t="s">
        <v>8708</v>
      </c>
      <c r="DC4780" s="122" t="s">
        <v>2506</v>
      </c>
      <c r="DD4780" s="127">
        <v>8</v>
      </c>
      <c r="DE4780" s="127">
        <v>8</v>
      </c>
      <c r="DG4780" s="405" t="s">
        <v>298</v>
      </c>
      <c r="DH4780" s="406" t="s">
        <v>2506</v>
      </c>
      <c r="DI4780" s="406" t="str">
        <f t="shared" si="106"/>
        <v>SE, Tomar do Geru</v>
      </c>
      <c r="DJ4780" s="406">
        <v>-11.372999999999999</v>
      </c>
      <c r="DK4780" s="80">
        <v>-37.841000000000001</v>
      </c>
      <c r="DL4780" s="80">
        <v>170</v>
      </c>
      <c r="DM4780" s="64">
        <v>8</v>
      </c>
      <c r="DN4780" s="406" t="s">
        <v>6212</v>
      </c>
      <c r="DO4780" s="406">
        <v>-11.27</v>
      </c>
      <c r="DP4780" s="80">
        <v>208</v>
      </c>
    </row>
    <row r="4781" spans="29:120" x14ac:dyDescent="0.25">
      <c r="AC4781" s="122" t="s">
        <v>328</v>
      </c>
      <c r="AD4781" s="122" t="s">
        <v>5000</v>
      </c>
      <c r="AE4781" s="127">
        <v>7</v>
      </c>
      <c r="DA4781" s="122" t="s">
        <v>298</v>
      </c>
      <c r="DB4781" s="122" t="s">
        <v>2550</v>
      </c>
      <c r="DC4781" s="122" t="s">
        <v>2550</v>
      </c>
      <c r="DD4781" s="127">
        <v>8</v>
      </c>
      <c r="DE4781" s="127">
        <v>8</v>
      </c>
      <c r="DG4781" s="405" t="s">
        <v>298</v>
      </c>
      <c r="DH4781" s="406" t="s">
        <v>2550</v>
      </c>
      <c r="DI4781" s="406" t="str">
        <f t="shared" si="106"/>
        <v>SE, Umbaúba</v>
      </c>
      <c r="DJ4781" s="406">
        <v>-11.382999999999999</v>
      </c>
      <c r="DK4781" s="80">
        <v>-37.658000000000001</v>
      </c>
      <c r="DL4781" s="80">
        <v>130</v>
      </c>
      <c r="DM4781" s="64">
        <v>8</v>
      </c>
      <c r="DN4781" s="406" t="s">
        <v>6212</v>
      </c>
      <c r="DO4781" s="406">
        <v>-11.27</v>
      </c>
      <c r="DP4781" s="80">
        <v>208</v>
      </c>
    </row>
    <row r="4782" spans="29:120" x14ac:dyDescent="0.25">
      <c r="AC4782" s="122" t="s">
        <v>393</v>
      </c>
      <c r="AD4782" s="122" t="s">
        <v>5001</v>
      </c>
      <c r="AE4782" s="127">
        <v>7</v>
      </c>
      <c r="DA4782" s="122" t="s">
        <v>376</v>
      </c>
      <c r="DB4782" s="122" t="s">
        <v>4033</v>
      </c>
      <c r="DC4782" s="122" t="s">
        <v>4033</v>
      </c>
      <c r="DD4782" s="127">
        <v>6</v>
      </c>
      <c r="DE4782" s="127">
        <v>6</v>
      </c>
      <c r="DG4782" s="405" t="s">
        <v>376</v>
      </c>
      <c r="DH4782" s="406" t="s">
        <v>4033</v>
      </c>
      <c r="DI4782" s="406" t="str">
        <f t="shared" si="106"/>
        <v>SP, Adamantina</v>
      </c>
      <c r="DJ4782" s="406">
        <v>-21.684999999999999</v>
      </c>
      <c r="DK4782" s="80">
        <v>-51.073</v>
      </c>
      <c r="DL4782" s="80">
        <v>401</v>
      </c>
      <c r="DM4782" s="64">
        <v>6</v>
      </c>
      <c r="DN4782" s="406" t="s">
        <v>8709</v>
      </c>
      <c r="DO4782" s="406">
        <v>-21.32</v>
      </c>
      <c r="DP4782" s="80">
        <v>374</v>
      </c>
    </row>
    <row r="4783" spans="29:120" x14ac:dyDescent="0.25">
      <c r="AC4783" s="122" t="s">
        <v>340</v>
      </c>
      <c r="AD4783" s="122" t="s">
        <v>5002</v>
      </c>
      <c r="AE4783" s="127">
        <v>8</v>
      </c>
      <c r="DA4783" s="122" t="s">
        <v>376</v>
      </c>
      <c r="DB4783" s="122" t="s">
        <v>3566</v>
      </c>
      <c r="DC4783" s="122" t="s">
        <v>3566</v>
      </c>
      <c r="DD4783" s="127">
        <v>3</v>
      </c>
      <c r="DE4783" s="127">
        <v>3</v>
      </c>
      <c r="DG4783" s="405" t="s">
        <v>376</v>
      </c>
      <c r="DH4783" s="406" t="s">
        <v>3566</v>
      </c>
      <c r="DI4783" s="406" t="str">
        <f t="shared" si="106"/>
        <v>SP, Adolfo</v>
      </c>
      <c r="DJ4783" s="406">
        <v>-21.234999999999999</v>
      </c>
      <c r="DK4783" s="80">
        <v>-49.643999999999998</v>
      </c>
      <c r="DL4783" s="80">
        <v>443</v>
      </c>
      <c r="DM4783" s="64">
        <v>3</v>
      </c>
      <c r="DN4783" s="406" t="s">
        <v>8710</v>
      </c>
      <c r="DO4783" s="406">
        <v>-21.1</v>
      </c>
      <c r="DP4783" s="80">
        <v>405</v>
      </c>
    </row>
    <row r="4784" spans="29:120" x14ac:dyDescent="0.25">
      <c r="AC4784" s="122" t="s">
        <v>340</v>
      </c>
      <c r="AD4784" s="122" t="s">
        <v>5003</v>
      </c>
      <c r="AE4784" s="127">
        <v>8</v>
      </c>
      <c r="DA4784" s="122" t="s">
        <v>376</v>
      </c>
      <c r="DB4784" s="122" t="s">
        <v>3731</v>
      </c>
      <c r="DC4784" s="122" t="s">
        <v>3731</v>
      </c>
      <c r="DD4784" s="127">
        <v>4</v>
      </c>
      <c r="DE4784" s="127">
        <v>4</v>
      </c>
      <c r="DG4784" s="405" t="s">
        <v>376</v>
      </c>
      <c r="DH4784" s="406" t="s">
        <v>3731</v>
      </c>
      <c r="DI4784" s="406" t="str">
        <f t="shared" si="106"/>
        <v>SP, Aguaí</v>
      </c>
      <c r="DJ4784" s="406">
        <v>-22.059000000000001</v>
      </c>
      <c r="DK4784" s="80">
        <v>-46.978999999999999</v>
      </c>
      <c r="DL4784" s="80">
        <v>660</v>
      </c>
      <c r="DM4784" s="64">
        <v>4</v>
      </c>
      <c r="DN4784" s="406" t="s">
        <v>6833</v>
      </c>
      <c r="DO4784" s="406">
        <v>-21.77</v>
      </c>
      <c r="DP4784" s="80">
        <v>730</v>
      </c>
    </row>
    <row r="4785" spans="29:120" x14ac:dyDescent="0.25">
      <c r="AC4785" s="122" t="s">
        <v>340</v>
      </c>
      <c r="AD4785" s="122" t="s">
        <v>5004</v>
      </c>
      <c r="AE4785" s="127">
        <v>8</v>
      </c>
      <c r="DA4785" s="122" t="s">
        <v>376</v>
      </c>
      <c r="DB4785" s="122" t="s">
        <v>8711</v>
      </c>
      <c r="DC4785" s="122" t="s">
        <v>919</v>
      </c>
      <c r="DD4785" s="127">
        <v>3</v>
      </c>
      <c r="DE4785" s="127">
        <v>3</v>
      </c>
      <c r="DG4785" s="405" t="s">
        <v>376</v>
      </c>
      <c r="DH4785" s="406" t="s">
        <v>919</v>
      </c>
      <c r="DI4785" s="406" t="str">
        <f t="shared" si="106"/>
        <v>SP, Águas da Prata</v>
      </c>
      <c r="DJ4785" s="406">
        <v>-21.937000000000001</v>
      </c>
      <c r="DK4785" s="80">
        <v>-46.716999999999999</v>
      </c>
      <c r="DL4785" s="80">
        <v>842</v>
      </c>
      <c r="DM4785" s="64">
        <v>3</v>
      </c>
      <c r="DN4785" s="406" t="s">
        <v>6823</v>
      </c>
      <c r="DO4785" s="406">
        <v>-21.92</v>
      </c>
      <c r="DP4785" s="80">
        <v>1150</v>
      </c>
    </row>
    <row r="4786" spans="29:120" x14ac:dyDescent="0.25">
      <c r="AC4786" s="122" t="s">
        <v>340</v>
      </c>
      <c r="AD4786" s="122" t="s">
        <v>5005</v>
      </c>
      <c r="AE4786" s="127">
        <v>8</v>
      </c>
      <c r="DA4786" s="122" t="s">
        <v>376</v>
      </c>
      <c r="DB4786" s="122" t="s">
        <v>8712</v>
      </c>
      <c r="DC4786" s="122" t="s">
        <v>976</v>
      </c>
      <c r="DD4786" s="127">
        <v>3</v>
      </c>
      <c r="DE4786" s="127">
        <v>3</v>
      </c>
      <c r="DG4786" s="405" t="s">
        <v>376</v>
      </c>
      <c r="DH4786" s="406" t="s">
        <v>976</v>
      </c>
      <c r="DI4786" s="406" t="str">
        <f t="shared" si="106"/>
        <v>SP, Águas de Lindóia</v>
      </c>
      <c r="DJ4786" s="406">
        <v>-22.475999999999999</v>
      </c>
      <c r="DK4786" s="80">
        <v>-46.633000000000003</v>
      </c>
      <c r="DL4786" s="80">
        <v>904</v>
      </c>
      <c r="DM4786" s="64">
        <v>3</v>
      </c>
      <c r="DN4786" s="406" t="s">
        <v>6808</v>
      </c>
      <c r="DO4786" s="406">
        <v>-22.42</v>
      </c>
      <c r="DP4786" s="80">
        <v>633</v>
      </c>
    </row>
    <row r="4787" spans="29:120" x14ac:dyDescent="0.25">
      <c r="AC4787" s="122" t="s">
        <v>393</v>
      </c>
      <c r="AD4787" s="122" t="s">
        <v>5006</v>
      </c>
      <c r="AE4787" s="127">
        <v>7</v>
      </c>
      <c r="DA4787" s="122" t="s">
        <v>376</v>
      </c>
      <c r="DB4787" s="122" t="s">
        <v>8713</v>
      </c>
      <c r="DC4787" s="122" t="s">
        <v>1780</v>
      </c>
      <c r="DD4787" s="127">
        <v>3</v>
      </c>
      <c r="DE4787" s="127">
        <v>3</v>
      </c>
      <c r="DG4787" s="405" t="s">
        <v>376</v>
      </c>
      <c r="DH4787" s="406" t="s">
        <v>1780</v>
      </c>
      <c r="DI4787" s="406" t="str">
        <f t="shared" si="106"/>
        <v>SP, Águas de Santa Bárbara</v>
      </c>
      <c r="DJ4787" s="406">
        <v>-22.881</v>
      </c>
      <c r="DK4787" s="80">
        <v>-49.238999999999997</v>
      </c>
      <c r="DL4787" s="80">
        <v>644</v>
      </c>
      <c r="DM4787" s="64">
        <v>3</v>
      </c>
      <c r="DN4787" s="406" t="s">
        <v>8714</v>
      </c>
      <c r="DO4787" s="406">
        <v>-23.1</v>
      </c>
      <c r="DP4787" s="80">
        <v>654</v>
      </c>
    </row>
    <row r="4788" spans="29:120" x14ac:dyDescent="0.25">
      <c r="AC4788" s="122" t="s">
        <v>393</v>
      </c>
      <c r="AD4788" s="122" t="s">
        <v>5007</v>
      </c>
      <c r="AE4788" s="127">
        <v>7</v>
      </c>
      <c r="DA4788" s="122" t="s">
        <v>376</v>
      </c>
      <c r="DB4788" s="122" t="s">
        <v>8715</v>
      </c>
      <c r="DC4788" s="122" t="s">
        <v>1077</v>
      </c>
      <c r="DD4788" s="127">
        <v>2</v>
      </c>
      <c r="DE4788" s="127">
        <v>2</v>
      </c>
      <c r="DG4788" s="405" t="s">
        <v>376</v>
      </c>
      <c r="DH4788" s="406" t="s">
        <v>1077</v>
      </c>
      <c r="DI4788" s="406" t="str">
        <f t="shared" si="106"/>
        <v>SP, Águas de São Pedro</v>
      </c>
      <c r="DJ4788" s="406">
        <v>-22.599</v>
      </c>
      <c r="DK4788" s="80">
        <v>-47.875999999999998</v>
      </c>
      <c r="DL4788" s="80">
        <v>470</v>
      </c>
      <c r="DM4788" s="64">
        <v>2</v>
      </c>
      <c r="DN4788" s="406" t="s">
        <v>8716</v>
      </c>
      <c r="DO4788" s="406">
        <v>-22.73</v>
      </c>
      <c r="DP4788" s="80">
        <v>573</v>
      </c>
    </row>
    <row r="4789" spans="29:120" x14ac:dyDescent="0.25">
      <c r="AC4789" s="122" t="s">
        <v>393</v>
      </c>
      <c r="AD4789" s="122" t="s">
        <v>5008</v>
      </c>
      <c r="AE4789" s="127">
        <v>6</v>
      </c>
      <c r="DA4789" s="122" t="s">
        <v>376</v>
      </c>
      <c r="DB4789" s="122" t="s">
        <v>3555</v>
      </c>
      <c r="DC4789" s="122" t="s">
        <v>3555</v>
      </c>
      <c r="DD4789" s="127">
        <v>3</v>
      </c>
      <c r="DE4789" s="127">
        <v>3</v>
      </c>
      <c r="DG4789" s="405" t="s">
        <v>376</v>
      </c>
      <c r="DH4789" s="406" t="s">
        <v>3555</v>
      </c>
      <c r="DI4789" s="406" t="str">
        <f t="shared" si="106"/>
        <v>SP, Agudos</v>
      </c>
      <c r="DJ4789" s="406">
        <v>-22.469000000000001</v>
      </c>
      <c r="DK4789" s="80">
        <v>-48.988</v>
      </c>
      <c r="DL4789" s="80">
        <v>580</v>
      </c>
      <c r="DM4789" s="64">
        <v>3</v>
      </c>
      <c r="DN4789" s="406" t="s">
        <v>8717</v>
      </c>
      <c r="DO4789" s="406">
        <v>-22.32</v>
      </c>
      <c r="DP4789" s="80">
        <v>550</v>
      </c>
    </row>
    <row r="4790" spans="29:120" x14ac:dyDescent="0.25">
      <c r="AC4790" s="122" t="s">
        <v>247</v>
      </c>
      <c r="AD4790" s="122" t="s">
        <v>5009</v>
      </c>
      <c r="AE4790" s="127">
        <v>8</v>
      </c>
      <c r="DA4790" s="122" t="s">
        <v>376</v>
      </c>
      <c r="DB4790" s="122" t="s">
        <v>1761</v>
      </c>
      <c r="DC4790" s="122" t="s">
        <v>1761</v>
      </c>
      <c r="DD4790" s="127">
        <v>3</v>
      </c>
      <c r="DE4790" s="127">
        <v>3</v>
      </c>
      <c r="DG4790" s="405" t="s">
        <v>376</v>
      </c>
      <c r="DH4790" s="406" t="s">
        <v>1761</v>
      </c>
      <c r="DI4790" s="406" t="str">
        <f t="shared" si="106"/>
        <v>SP, Alambari</v>
      </c>
      <c r="DJ4790" s="406">
        <v>-23.550999999999998</v>
      </c>
      <c r="DK4790" s="80">
        <v>-47.899000000000001</v>
      </c>
      <c r="DL4790" s="80">
        <v>585</v>
      </c>
      <c r="DM4790" s="64">
        <v>3</v>
      </c>
      <c r="DN4790" s="406" t="s">
        <v>8718</v>
      </c>
      <c r="DO4790" s="406">
        <v>-23.5</v>
      </c>
      <c r="DP4790" s="80">
        <v>609</v>
      </c>
    </row>
    <row r="4791" spans="29:120" x14ac:dyDescent="0.25">
      <c r="AC4791" s="122" t="s">
        <v>298</v>
      </c>
      <c r="AD4791" s="122" t="s">
        <v>5010</v>
      </c>
      <c r="AE4791" s="127">
        <v>8</v>
      </c>
      <c r="DA4791" s="122" t="s">
        <v>376</v>
      </c>
      <c r="DB4791" s="122" t="s">
        <v>8719</v>
      </c>
      <c r="DC4791" s="122" t="s">
        <v>3547</v>
      </c>
      <c r="DD4791" s="127">
        <v>6</v>
      </c>
      <c r="DE4791" s="127">
        <v>6</v>
      </c>
      <c r="DG4791" s="405" t="s">
        <v>376</v>
      </c>
      <c r="DH4791" s="406" t="s">
        <v>3547</v>
      </c>
      <c r="DI4791" s="406" t="str">
        <f t="shared" si="106"/>
        <v>SP, Alfredo Marcondes</v>
      </c>
      <c r="DJ4791" s="406">
        <v>-21.954999999999998</v>
      </c>
      <c r="DK4791" s="80">
        <v>-51.412999999999997</v>
      </c>
      <c r="DL4791" s="80">
        <v>448</v>
      </c>
      <c r="DM4791" s="64">
        <v>6</v>
      </c>
      <c r="DN4791" s="406" t="s">
        <v>8720</v>
      </c>
      <c r="DO4791" s="406">
        <v>-22.13</v>
      </c>
      <c r="DP4791" s="80">
        <v>436</v>
      </c>
    </row>
    <row r="4792" spans="29:120" x14ac:dyDescent="0.25">
      <c r="AC4792" s="122" t="s">
        <v>348</v>
      </c>
      <c r="AD4792" s="122" t="s">
        <v>5011</v>
      </c>
      <c r="AE4792" s="127">
        <v>8</v>
      </c>
      <c r="DA4792" s="122" t="s">
        <v>376</v>
      </c>
      <c r="DB4792" s="122" t="s">
        <v>2841</v>
      </c>
      <c r="DC4792" s="122" t="s">
        <v>2841</v>
      </c>
      <c r="DD4792" s="127">
        <v>6</v>
      </c>
      <c r="DE4792" s="127">
        <v>6</v>
      </c>
      <c r="DG4792" s="405" t="s">
        <v>376</v>
      </c>
      <c r="DH4792" s="406" t="s">
        <v>2841</v>
      </c>
      <c r="DI4792" s="406" t="str">
        <f t="shared" si="106"/>
        <v>SP, Altair</v>
      </c>
      <c r="DJ4792" s="406">
        <v>-20.524000000000001</v>
      </c>
      <c r="DK4792" s="80">
        <v>-49.058999999999997</v>
      </c>
      <c r="DL4792" s="80">
        <v>557</v>
      </c>
      <c r="DM4792" s="64">
        <v>6</v>
      </c>
      <c r="DN4792" s="406" t="s">
        <v>8721</v>
      </c>
      <c r="DO4792" s="406">
        <v>-21.13</v>
      </c>
      <c r="DP4792" s="80">
        <v>525</v>
      </c>
    </row>
    <row r="4793" spans="29:120" x14ac:dyDescent="0.25">
      <c r="AC4793" s="122" t="s">
        <v>323</v>
      </c>
      <c r="AD4793" s="122" t="s">
        <v>5012</v>
      </c>
      <c r="AE4793" s="127">
        <v>8</v>
      </c>
      <c r="DA4793" s="122" t="s">
        <v>376</v>
      </c>
      <c r="DB4793" s="122" t="s">
        <v>3907</v>
      </c>
      <c r="DC4793" s="122" t="s">
        <v>3907</v>
      </c>
      <c r="DD4793" s="127">
        <v>4</v>
      </c>
      <c r="DE4793" s="127">
        <v>4</v>
      </c>
      <c r="DG4793" s="405" t="s">
        <v>376</v>
      </c>
      <c r="DH4793" s="406" t="s">
        <v>3907</v>
      </c>
      <c r="DI4793" s="406" t="str">
        <f t="shared" si="106"/>
        <v>SP, Altinópolis</v>
      </c>
      <c r="DJ4793" s="406">
        <v>-21.026</v>
      </c>
      <c r="DK4793" s="80">
        <v>-47.374000000000002</v>
      </c>
      <c r="DL4793" s="80">
        <v>889</v>
      </c>
      <c r="DM4793" s="64">
        <v>4</v>
      </c>
      <c r="DN4793" s="406" t="s">
        <v>6892</v>
      </c>
      <c r="DO4793" s="406">
        <v>-20.54</v>
      </c>
      <c r="DP4793" s="80">
        <v>1026</v>
      </c>
    </row>
    <row r="4794" spans="29:120" x14ac:dyDescent="0.25">
      <c r="AC4794" s="122" t="s">
        <v>348</v>
      </c>
      <c r="AD4794" s="122" t="s">
        <v>5013</v>
      </c>
      <c r="AE4794" s="127">
        <v>8</v>
      </c>
      <c r="DA4794" s="122" t="s">
        <v>376</v>
      </c>
      <c r="DB4794" s="122" t="s">
        <v>8202</v>
      </c>
      <c r="DC4794" s="122" t="s">
        <v>1557</v>
      </c>
      <c r="DD4794" s="127">
        <v>3</v>
      </c>
      <c r="DE4794" s="127">
        <v>3</v>
      </c>
      <c r="DG4794" s="405" t="s">
        <v>376</v>
      </c>
      <c r="DH4794" s="406" t="s">
        <v>1557</v>
      </c>
      <c r="DI4794" s="406" t="str">
        <f t="shared" si="106"/>
        <v>SP, Alto Alegre</v>
      </c>
      <c r="DJ4794" s="406">
        <v>-21.581</v>
      </c>
      <c r="DK4794" s="80">
        <v>-50.164000000000001</v>
      </c>
      <c r="DL4794" s="80">
        <v>521</v>
      </c>
      <c r="DM4794" s="64">
        <v>3</v>
      </c>
      <c r="DN4794" s="406" t="s">
        <v>8722</v>
      </c>
      <c r="DO4794" s="406">
        <v>-21.68</v>
      </c>
      <c r="DP4794" s="80">
        <v>459</v>
      </c>
    </row>
    <row r="4795" spans="29:120" x14ac:dyDescent="0.25">
      <c r="AC4795" s="122" t="s">
        <v>348</v>
      </c>
      <c r="AD4795" s="122" t="s">
        <v>5014</v>
      </c>
      <c r="AE4795" s="127">
        <v>8</v>
      </c>
      <c r="DA4795" s="122" t="s">
        <v>376</v>
      </c>
      <c r="DB4795" s="122" t="s">
        <v>1030</v>
      </c>
      <c r="DC4795" s="122" t="s">
        <v>1030</v>
      </c>
      <c r="DD4795" s="127">
        <v>3</v>
      </c>
      <c r="DE4795" s="127">
        <v>3</v>
      </c>
      <c r="DG4795" s="405" t="s">
        <v>376</v>
      </c>
      <c r="DH4795" s="406" t="s">
        <v>1030</v>
      </c>
      <c r="DI4795" s="406" t="str">
        <f t="shared" si="106"/>
        <v>SP, Alumínio</v>
      </c>
      <c r="DJ4795" s="406">
        <v>-23.535</v>
      </c>
      <c r="DK4795" s="80">
        <v>-47.262</v>
      </c>
      <c r="DL4795" s="80">
        <v>790</v>
      </c>
      <c r="DM4795" s="64">
        <v>3</v>
      </c>
      <c r="DN4795" s="406" t="s">
        <v>8718</v>
      </c>
      <c r="DO4795" s="406">
        <v>-23.5</v>
      </c>
      <c r="DP4795" s="80">
        <v>609</v>
      </c>
    </row>
    <row r="4796" spans="29:120" x14ac:dyDescent="0.25">
      <c r="AC4796" s="122" t="s">
        <v>323</v>
      </c>
      <c r="AD4796" s="122" t="s">
        <v>4507</v>
      </c>
      <c r="AE4796" s="127">
        <v>8</v>
      </c>
      <c r="DA4796" s="122" t="s">
        <v>376</v>
      </c>
      <c r="DB4796" s="122" t="s">
        <v>8723</v>
      </c>
      <c r="DC4796" s="122" t="s">
        <v>2998</v>
      </c>
      <c r="DD4796" s="127">
        <v>6</v>
      </c>
      <c r="DE4796" s="127">
        <v>6</v>
      </c>
      <c r="DG4796" s="405" t="s">
        <v>376</v>
      </c>
      <c r="DH4796" s="406" t="s">
        <v>2998</v>
      </c>
      <c r="DI4796" s="406" t="str">
        <f t="shared" si="106"/>
        <v>SP, Álvares Florence</v>
      </c>
      <c r="DJ4796" s="406">
        <v>-20.321000000000002</v>
      </c>
      <c r="DK4796" s="80">
        <v>-49.911000000000001</v>
      </c>
      <c r="DL4796" s="80">
        <v>452</v>
      </c>
      <c r="DM4796" s="64">
        <v>6</v>
      </c>
      <c r="DN4796" s="406" t="s">
        <v>6984</v>
      </c>
      <c r="DO4796" s="406">
        <v>-20.420000000000002</v>
      </c>
      <c r="DP4796" s="80">
        <v>486</v>
      </c>
    </row>
    <row r="4797" spans="29:120" x14ac:dyDescent="0.25">
      <c r="AC4797" s="122" t="s">
        <v>348</v>
      </c>
      <c r="AD4797" s="122" t="s">
        <v>5015</v>
      </c>
      <c r="AE4797" s="127">
        <v>8</v>
      </c>
      <c r="DA4797" s="122" t="s">
        <v>376</v>
      </c>
      <c r="DB4797" s="122" t="s">
        <v>8724</v>
      </c>
      <c r="DC4797" s="122" t="s">
        <v>3507</v>
      </c>
      <c r="DD4797" s="127">
        <v>6</v>
      </c>
      <c r="DE4797" s="127">
        <v>6</v>
      </c>
      <c r="DG4797" s="405" t="s">
        <v>376</v>
      </c>
      <c r="DH4797" s="406" t="s">
        <v>3507</v>
      </c>
      <c r="DI4797" s="406" t="str">
        <f t="shared" si="106"/>
        <v>SP, Álvares Machado</v>
      </c>
      <c r="DJ4797" s="406">
        <v>-22.079000000000001</v>
      </c>
      <c r="DK4797" s="80">
        <v>-51.472000000000001</v>
      </c>
      <c r="DL4797" s="80">
        <v>475</v>
      </c>
      <c r="DM4797" s="64">
        <v>6</v>
      </c>
      <c r="DN4797" s="406" t="s">
        <v>8720</v>
      </c>
      <c r="DO4797" s="406">
        <v>-22.13</v>
      </c>
      <c r="DP4797" s="80">
        <v>436</v>
      </c>
    </row>
    <row r="4798" spans="29:120" x14ac:dyDescent="0.25">
      <c r="AC4798" s="122" t="s">
        <v>323</v>
      </c>
      <c r="AD4798" s="122" t="s">
        <v>5016</v>
      </c>
      <c r="AE4798" s="127">
        <v>8</v>
      </c>
      <c r="DA4798" s="122" t="s">
        <v>376</v>
      </c>
      <c r="DB4798" s="122" t="s">
        <v>8725</v>
      </c>
      <c r="DC4798" s="122" t="s">
        <v>2936</v>
      </c>
      <c r="DD4798" s="127">
        <v>3</v>
      </c>
      <c r="DE4798" s="127">
        <v>3</v>
      </c>
      <c r="DG4798" s="405" t="s">
        <v>376</v>
      </c>
      <c r="DH4798" s="406" t="s">
        <v>2936</v>
      </c>
      <c r="DI4798" s="406" t="str">
        <f t="shared" si="106"/>
        <v>SP, Álvaro de Carvalho</v>
      </c>
      <c r="DJ4798" s="406">
        <v>-22.088999999999999</v>
      </c>
      <c r="DK4798" s="80">
        <v>-49.719000000000001</v>
      </c>
      <c r="DL4798" s="80">
        <v>627</v>
      </c>
      <c r="DM4798" s="64">
        <v>3</v>
      </c>
      <c r="DN4798" s="406" t="s">
        <v>8722</v>
      </c>
      <c r="DO4798" s="406">
        <v>-21.68</v>
      </c>
      <c r="DP4798" s="80">
        <v>459</v>
      </c>
    </row>
    <row r="4799" spans="29:120" x14ac:dyDescent="0.25">
      <c r="AC4799" s="122" t="s">
        <v>323</v>
      </c>
      <c r="AD4799" s="122" t="s">
        <v>5017</v>
      </c>
      <c r="AE4799" s="127">
        <v>8</v>
      </c>
      <c r="DA4799" s="122" t="s">
        <v>376</v>
      </c>
      <c r="DB4799" s="122" t="s">
        <v>3692</v>
      </c>
      <c r="DC4799" s="122" t="s">
        <v>3692</v>
      </c>
      <c r="DD4799" s="127">
        <v>3</v>
      </c>
      <c r="DE4799" s="127">
        <v>3</v>
      </c>
      <c r="DG4799" s="405" t="s">
        <v>376</v>
      </c>
      <c r="DH4799" s="406" t="s">
        <v>3692</v>
      </c>
      <c r="DI4799" s="406" t="str">
        <f t="shared" si="106"/>
        <v>SP, Alvinlândia</v>
      </c>
      <c r="DJ4799" s="406">
        <v>-22.443999999999999</v>
      </c>
      <c r="DK4799" s="80">
        <v>-49.762999999999998</v>
      </c>
      <c r="DL4799" s="80">
        <v>658</v>
      </c>
      <c r="DM4799" s="64">
        <v>3</v>
      </c>
      <c r="DN4799" s="406" t="s">
        <v>7822</v>
      </c>
      <c r="DO4799" s="406">
        <v>-22.98</v>
      </c>
      <c r="DP4799" s="80">
        <v>448</v>
      </c>
    </row>
    <row r="4800" spans="29:120" x14ac:dyDescent="0.25">
      <c r="AC4800" s="122" t="s">
        <v>323</v>
      </c>
      <c r="AD4800" s="122" t="s">
        <v>5018</v>
      </c>
      <c r="AE4800" s="127">
        <v>8</v>
      </c>
      <c r="DA4800" s="122" t="s">
        <v>376</v>
      </c>
      <c r="DB4800" s="122" t="s">
        <v>3901</v>
      </c>
      <c r="DC4800" s="122" t="s">
        <v>3901</v>
      </c>
      <c r="DD4800" s="127">
        <v>3</v>
      </c>
      <c r="DE4800" s="127">
        <v>3</v>
      </c>
      <c r="DG4800" s="405" t="s">
        <v>376</v>
      </c>
      <c r="DH4800" s="406" t="s">
        <v>3901</v>
      </c>
      <c r="DI4800" s="406" t="str">
        <f t="shared" si="106"/>
        <v>SP, Americana</v>
      </c>
      <c r="DJ4800" s="406">
        <v>-22.739000000000001</v>
      </c>
      <c r="DK4800" s="80">
        <v>-47.331000000000003</v>
      </c>
      <c r="DL4800" s="80">
        <v>545</v>
      </c>
      <c r="DM4800" s="64">
        <v>3</v>
      </c>
      <c r="DN4800" s="406" t="s">
        <v>8726</v>
      </c>
      <c r="DO4800" s="406">
        <v>-22.82</v>
      </c>
      <c r="DP4800" s="80">
        <v>640</v>
      </c>
    </row>
    <row r="4801" spans="29:120" x14ac:dyDescent="0.25">
      <c r="AC4801" s="122" t="s">
        <v>323</v>
      </c>
      <c r="AD4801" s="122" t="s">
        <v>5019</v>
      </c>
      <c r="AE4801" s="127">
        <v>8</v>
      </c>
      <c r="DA4801" s="122" t="s">
        <v>376</v>
      </c>
      <c r="DB4801" s="122" t="s">
        <v>8727</v>
      </c>
      <c r="DC4801" s="122" t="s">
        <v>3754</v>
      </c>
      <c r="DD4801" s="127">
        <v>4</v>
      </c>
      <c r="DE4801" s="127">
        <v>4</v>
      </c>
      <c r="DG4801" s="405" t="s">
        <v>376</v>
      </c>
      <c r="DH4801" s="406" t="s">
        <v>3754</v>
      </c>
      <c r="DI4801" s="406" t="str">
        <f t="shared" si="106"/>
        <v>SP, Américo Brasiliense</v>
      </c>
      <c r="DJ4801" s="406">
        <v>-21.724</v>
      </c>
      <c r="DK4801" s="80">
        <v>-48.101999999999997</v>
      </c>
      <c r="DL4801" s="80">
        <v>715</v>
      </c>
      <c r="DM4801" s="64">
        <v>4</v>
      </c>
      <c r="DN4801" s="406" t="s">
        <v>8728</v>
      </c>
      <c r="DO4801" s="406">
        <v>-22.02</v>
      </c>
      <c r="DP4801" s="80">
        <v>863</v>
      </c>
    </row>
    <row r="4802" spans="29:120" x14ac:dyDescent="0.25">
      <c r="AC4802" s="122" t="s">
        <v>247</v>
      </c>
      <c r="AD4802" s="122" t="s">
        <v>5020</v>
      </c>
      <c r="AE4802" s="127">
        <v>8</v>
      </c>
      <c r="DA4802" s="122" t="s">
        <v>376</v>
      </c>
      <c r="DB4802" s="122" t="s">
        <v>8729</v>
      </c>
      <c r="DC4802" s="122" t="s">
        <v>3567</v>
      </c>
      <c r="DD4802" s="127">
        <v>6</v>
      </c>
      <c r="DE4802" s="127">
        <v>6</v>
      </c>
      <c r="DG4802" s="405" t="s">
        <v>376</v>
      </c>
      <c r="DH4802" s="406" t="s">
        <v>3567</v>
      </c>
      <c r="DI4802" s="406" t="str">
        <f t="shared" si="106"/>
        <v>SP, Américo de Campos</v>
      </c>
      <c r="DJ4802" s="406">
        <v>-20.298999999999999</v>
      </c>
      <c r="DK4802" s="80">
        <v>-49.731999999999999</v>
      </c>
      <c r="DL4802" s="80">
        <v>471</v>
      </c>
      <c r="DM4802" s="64">
        <v>6</v>
      </c>
      <c r="DN4802" s="406" t="s">
        <v>6984</v>
      </c>
      <c r="DO4802" s="406">
        <v>-20.420000000000002</v>
      </c>
      <c r="DP4802" s="80">
        <v>486</v>
      </c>
    </row>
    <row r="4803" spans="29:120" x14ac:dyDescent="0.25">
      <c r="AC4803" s="122" t="s">
        <v>323</v>
      </c>
      <c r="AD4803" s="122" t="s">
        <v>5021</v>
      </c>
      <c r="AE4803" s="127">
        <v>8</v>
      </c>
      <c r="DA4803" s="122" t="s">
        <v>376</v>
      </c>
      <c r="DB4803" s="122" t="s">
        <v>1083</v>
      </c>
      <c r="DC4803" s="122" t="s">
        <v>1083</v>
      </c>
      <c r="DD4803" s="127">
        <v>3</v>
      </c>
      <c r="DE4803" s="127">
        <v>3</v>
      </c>
      <c r="DG4803" s="405" t="s">
        <v>376</v>
      </c>
      <c r="DH4803" s="406" t="s">
        <v>1083</v>
      </c>
      <c r="DI4803" s="406" t="str">
        <f t="shared" ref="DI4803:DI4866" si="107">CONCATENATE(DG4803,", ",DH4803)</f>
        <v>SP, Amparo</v>
      </c>
      <c r="DJ4803" s="406">
        <v>-22.701000000000001</v>
      </c>
      <c r="DK4803" s="80">
        <v>-46.764000000000003</v>
      </c>
      <c r="DL4803" s="80">
        <v>674</v>
      </c>
      <c r="DM4803" s="64">
        <v>3</v>
      </c>
      <c r="DN4803" s="406" t="s">
        <v>6808</v>
      </c>
      <c r="DO4803" s="406">
        <v>-22.42</v>
      </c>
      <c r="DP4803" s="80">
        <v>633</v>
      </c>
    </row>
    <row r="4804" spans="29:120" x14ac:dyDescent="0.25">
      <c r="AC4804" s="122" t="s">
        <v>328</v>
      </c>
      <c r="AD4804" s="122" t="s">
        <v>5022</v>
      </c>
      <c r="AE4804" s="127">
        <v>8</v>
      </c>
      <c r="DA4804" s="122" t="s">
        <v>376</v>
      </c>
      <c r="DB4804" s="122" t="s">
        <v>958</v>
      </c>
      <c r="DC4804" s="122" t="s">
        <v>958</v>
      </c>
      <c r="DD4804" s="127">
        <v>4</v>
      </c>
      <c r="DE4804" s="127">
        <v>4</v>
      </c>
      <c r="DG4804" s="405" t="s">
        <v>376</v>
      </c>
      <c r="DH4804" s="406" t="s">
        <v>958</v>
      </c>
      <c r="DI4804" s="406" t="str">
        <f t="shared" si="107"/>
        <v>SP, Analândia</v>
      </c>
      <c r="DJ4804" s="406">
        <v>-22.126000000000001</v>
      </c>
      <c r="DK4804" s="80">
        <v>-47.662999999999997</v>
      </c>
      <c r="DL4804" s="80">
        <v>675</v>
      </c>
      <c r="DM4804" s="64">
        <v>4</v>
      </c>
      <c r="DN4804" s="406" t="s">
        <v>8728</v>
      </c>
      <c r="DO4804" s="406">
        <v>-22.02</v>
      </c>
      <c r="DP4804" s="80">
        <v>863</v>
      </c>
    </row>
    <row r="4805" spans="29:120" x14ac:dyDescent="0.25">
      <c r="AC4805" s="122" t="s">
        <v>323</v>
      </c>
      <c r="AD4805" s="122" t="s">
        <v>5023</v>
      </c>
      <c r="AE4805" s="127">
        <v>8</v>
      </c>
      <c r="DA4805" s="122" t="s">
        <v>376</v>
      </c>
      <c r="DB4805" s="122" t="s">
        <v>4041</v>
      </c>
      <c r="DC4805" s="122" t="s">
        <v>4041</v>
      </c>
      <c r="DD4805" s="127">
        <v>6</v>
      </c>
      <c r="DE4805" s="127">
        <v>6</v>
      </c>
      <c r="DG4805" s="405" t="s">
        <v>376</v>
      </c>
      <c r="DH4805" s="406" t="s">
        <v>4041</v>
      </c>
      <c r="DI4805" s="406" t="str">
        <f t="shared" si="107"/>
        <v>SP, Andradina</v>
      </c>
      <c r="DJ4805" s="406">
        <v>-20.896000000000001</v>
      </c>
      <c r="DK4805" s="80">
        <v>-51.378999999999998</v>
      </c>
      <c r="DL4805" s="80">
        <v>405</v>
      </c>
      <c r="DM4805" s="64">
        <v>6</v>
      </c>
      <c r="DN4805" s="406" t="s">
        <v>7254</v>
      </c>
      <c r="DO4805" s="406">
        <v>-20.75</v>
      </c>
      <c r="DP4805" s="80">
        <v>313</v>
      </c>
    </row>
    <row r="4806" spans="29:120" x14ac:dyDescent="0.25">
      <c r="AC4806" s="122" t="s">
        <v>348</v>
      </c>
      <c r="AD4806" s="122" t="s">
        <v>5024</v>
      </c>
      <c r="AE4806" s="127">
        <v>8</v>
      </c>
      <c r="DA4806" s="122" t="s">
        <v>376</v>
      </c>
      <c r="DB4806" s="122" t="s">
        <v>1021</v>
      </c>
      <c r="DC4806" s="122" t="s">
        <v>1021</v>
      </c>
      <c r="DD4806" s="127">
        <v>3</v>
      </c>
      <c r="DE4806" s="127">
        <v>3</v>
      </c>
      <c r="DG4806" s="405" t="s">
        <v>376</v>
      </c>
      <c r="DH4806" s="406" t="s">
        <v>1021</v>
      </c>
      <c r="DI4806" s="406" t="str">
        <f t="shared" si="107"/>
        <v>SP, Angatuba</v>
      </c>
      <c r="DJ4806" s="406">
        <v>-23.49</v>
      </c>
      <c r="DK4806" s="80">
        <v>-48.412999999999997</v>
      </c>
      <c r="DL4806" s="80">
        <v>624</v>
      </c>
      <c r="DM4806" s="64">
        <v>3</v>
      </c>
      <c r="DN4806" s="406" t="s">
        <v>8714</v>
      </c>
      <c r="DO4806" s="406">
        <v>-23.1</v>
      </c>
      <c r="DP4806" s="80">
        <v>654</v>
      </c>
    </row>
    <row r="4807" spans="29:120" x14ac:dyDescent="0.25">
      <c r="AC4807" s="122" t="s">
        <v>247</v>
      </c>
      <c r="AD4807" s="122" t="s">
        <v>5025</v>
      </c>
      <c r="AE4807" s="127">
        <v>8</v>
      </c>
      <c r="DA4807" s="122" t="s">
        <v>376</v>
      </c>
      <c r="DB4807" s="122" t="s">
        <v>987</v>
      </c>
      <c r="DC4807" s="122" t="s">
        <v>987</v>
      </c>
      <c r="DD4807" s="127">
        <v>3</v>
      </c>
      <c r="DE4807" s="127">
        <v>3</v>
      </c>
      <c r="DG4807" s="405" t="s">
        <v>376</v>
      </c>
      <c r="DH4807" s="406" t="s">
        <v>987</v>
      </c>
      <c r="DI4807" s="406" t="str">
        <f t="shared" si="107"/>
        <v>SP, Anhembi</v>
      </c>
      <c r="DJ4807" s="406">
        <v>-22.789000000000001</v>
      </c>
      <c r="DK4807" s="80">
        <v>-48.127000000000002</v>
      </c>
      <c r="DL4807" s="80">
        <v>472</v>
      </c>
      <c r="DM4807" s="64">
        <v>3</v>
      </c>
      <c r="DN4807" s="406" t="s">
        <v>8716</v>
      </c>
      <c r="DO4807" s="406">
        <v>-22.73</v>
      </c>
      <c r="DP4807" s="80">
        <v>573</v>
      </c>
    </row>
    <row r="4808" spans="29:120" x14ac:dyDescent="0.25">
      <c r="AC4808" s="122" t="s">
        <v>323</v>
      </c>
      <c r="AD4808" s="122" t="s">
        <v>5026</v>
      </c>
      <c r="AE4808" s="127">
        <v>8</v>
      </c>
      <c r="DA4808" s="122" t="s">
        <v>376</v>
      </c>
      <c r="DB4808" s="122" t="s">
        <v>3655</v>
      </c>
      <c r="DC4808" s="122" t="s">
        <v>3655</v>
      </c>
      <c r="DD4808" s="127">
        <v>6</v>
      </c>
      <c r="DE4808" s="127">
        <v>6</v>
      </c>
      <c r="DG4808" s="405" t="s">
        <v>376</v>
      </c>
      <c r="DH4808" s="406" t="s">
        <v>3655</v>
      </c>
      <c r="DI4808" s="406" t="str">
        <f t="shared" si="107"/>
        <v>SP, Anhumas</v>
      </c>
      <c r="DJ4808" s="406">
        <v>-22.295000000000002</v>
      </c>
      <c r="DK4808" s="80">
        <v>-51.387</v>
      </c>
      <c r="DL4808" s="80">
        <v>422</v>
      </c>
      <c r="DM4808" s="64">
        <v>6</v>
      </c>
      <c r="DN4808" s="406" t="s">
        <v>8720</v>
      </c>
      <c r="DO4808" s="406">
        <v>-22.13</v>
      </c>
      <c r="DP4808" s="80">
        <v>436</v>
      </c>
    </row>
    <row r="4809" spans="29:120" x14ac:dyDescent="0.25">
      <c r="AC4809" s="122" t="s">
        <v>348</v>
      </c>
      <c r="AD4809" s="122" t="s">
        <v>5027</v>
      </c>
      <c r="AE4809" s="127">
        <v>8</v>
      </c>
      <c r="DA4809" s="122" t="s">
        <v>376</v>
      </c>
      <c r="DB4809" s="122" t="s">
        <v>3664</v>
      </c>
      <c r="DC4809" s="122" t="s">
        <v>3664</v>
      </c>
      <c r="DD4809" s="127">
        <v>3</v>
      </c>
      <c r="DE4809" s="127">
        <v>3</v>
      </c>
      <c r="DG4809" s="405" t="s">
        <v>376</v>
      </c>
      <c r="DH4809" s="406" t="s">
        <v>3664</v>
      </c>
      <c r="DI4809" s="406" t="str">
        <f t="shared" si="107"/>
        <v>SP, Aparecida</v>
      </c>
      <c r="DJ4809" s="406">
        <v>-22.847000000000001</v>
      </c>
      <c r="DK4809" s="80">
        <v>-45.23</v>
      </c>
      <c r="DL4809" s="80">
        <v>542</v>
      </c>
      <c r="DM4809" s="64">
        <v>3</v>
      </c>
      <c r="DN4809" s="406" t="s">
        <v>6873</v>
      </c>
      <c r="DO4809" s="406">
        <v>-22.74</v>
      </c>
      <c r="DP4809" s="80">
        <v>1642</v>
      </c>
    </row>
    <row r="4810" spans="29:120" x14ac:dyDescent="0.25">
      <c r="AC4810" s="122" t="s">
        <v>298</v>
      </c>
      <c r="AD4810" s="122" t="s">
        <v>5028</v>
      </c>
      <c r="AE4810" s="127">
        <v>8</v>
      </c>
      <c r="DA4810" s="122" t="s">
        <v>376</v>
      </c>
      <c r="DB4810" s="122" t="s">
        <v>8730</v>
      </c>
      <c r="DC4810" s="122" t="s">
        <v>3803</v>
      </c>
      <c r="DD4810" s="127">
        <v>6</v>
      </c>
      <c r="DE4810" s="127">
        <v>6</v>
      </c>
      <c r="DG4810" s="405" t="s">
        <v>376</v>
      </c>
      <c r="DH4810" s="406" t="s">
        <v>3803</v>
      </c>
      <c r="DI4810" s="406" t="str">
        <f t="shared" si="107"/>
        <v>SP, Aparecida d'Oeste</v>
      </c>
      <c r="DJ4810" s="406">
        <v>-20.449000000000002</v>
      </c>
      <c r="DK4810" s="80">
        <v>-50.88</v>
      </c>
      <c r="DL4810" s="80">
        <v>413</v>
      </c>
      <c r="DM4810" s="64">
        <v>6</v>
      </c>
      <c r="DN4810" s="406" t="s">
        <v>6904</v>
      </c>
      <c r="DO4810" s="406">
        <v>-20.27</v>
      </c>
      <c r="DP4810" s="80">
        <v>457</v>
      </c>
    </row>
    <row r="4811" spans="29:120" x14ac:dyDescent="0.25">
      <c r="AC4811" s="122" t="s">
        <v>298</v>
      </c>
      <c r="AD4811" s="122" t="s">
        <v>4169</v>
      </c>
      <c r="AE4811" s="127">
        <v>8</v>
      </c>
      <c r="DA4811" s="122" t="s">
        <v>376</v>
      </c>
      <c r="DB4811" s="122" t="s">
        <v>1788</v>
      </c>
      <c r="DC4811" s="122" t="s">
        <v>1788</v>
      </c>
      <c r="DD4811" s="127">
        <v>3</v>
      </c>
      <c r="DE4811" s="127">
        <v>3</v>
      </c>
      <c r="DG4811" s="405" t="s">
        <v>376</v>
      </c>
      <c r="DH4811" s="406" t="s">
        <v>1788</v>
      </c>
      <c r="DI4811" s="406" t="str">
        <f t="shared" si="107"/>
        <v>SP, Apiaí</v>
      </c>
      <c r="DJ4811" s="406">
        <v>-24.509</v>
      </c>
      <c r="DK4811" s="80">
        <v>-48.843000000000004</v>
      </c>
      <c r="DL4811" s="80">
        <v>925</v>
      </c>
      <c r="DM4811" s="64">
        <v>3</v>
      </c>
      <c r="DN4811" s="406" t="s">
        <v>7807</v>
      </c>
      <c r="DO4811" s="406">
        <v>-23.98</v>
      </c>
      <c r="DP4811" s="80">
        <v>707</v>
      </c>
    </row>
    <row r="4812" spans="29:120" x14ac:dyDescent="0.25">
      <c r="AC4812" s="122" t="s">
        <v>348</v>
      </c>
      <c r="AD4812" s="122" t="s">
        <v>2226</v>
      </c>
      <c r="AE4812" s="127">
        <v>8</v>
      </c>
      <c r="DA4812" s="122" t="s">
        <v>376</v>
      </c>
      <c r="DB4812" s="122" t="s">
        <v>1057</v>
      </c>
      <c r="DC4812" s="122" t="s">
        <v>1057</v>
      </c>
      <c r="DD4812" s="127">
        <v>3</v>
      </c>
      <c r="DE4812" s="127">
        <v>3</v>
      </c>
      <c r="DG4812" s="405" t="s">
        <v>376</v>
      </c>
      <c r="DH4812" s="406" t="s">
        <v>1057</v>
      </c>
      <c r="DI4812" s="406" t="str">
        <f t="shared" si="107"/>
        <v>SP, Araçariguama</v>
      </c>
      <c r="DJ4812" s="406">
        <v>-23.439</v>
      </c>
      <c r="DK4812" s="80">
        <v>-47.061</v>
      </c>
      <c r="DL4812" s="80">
        <v>695</v>
      </c>
      <c r="DM4812" s="64">
        <v>3</v>
      </c>
      <c r="DN4812" s="406" t="s">
        <v>8718</v>
      </c>
      <c r="DO4812" s="406">
        <v>-23.5</v>
      </c>
      <c r="DP4812" s="80">
        <v>609</v>
      </c>
    </row>
    <row r="4813" spans="29:120" x14ac:dyDescent="0.25">
      <c r="AC4813" s="122" t="s">
        <v>323</v>
      </c>
      <c r="AD4813" s="122" t="s">
        <v>5029</v>
      </c>
      <c r="AE4813" s="127">
        <v>8</v>
      </c>
      <c r="DA4813" s="122" t="s">
        <v>376</v>
      </c>
      <c r="DB4813" s="122" t="s">
        <v>3733</v>
      </c>
      <c r="DC4813" s="122" t="s">
        <v>3733</v>
      </c>
      <c r="DD4813" s="127">
        <v>5</v>
      </c>
      <c r="DE4813" s="127">
        <v>5</v>
      </c>
      <c r="DG4813" s="405" t="s">
        <v>376</v>
      </c>
      <c r="DH4813" s="406" t="s">
        <v>3733</v>
      </c>
      <c r="DI4813" s="406" t="str">
        <f t="shared" si="107"/>
        <v>SP, Araçatuba</v>
      </c>
      <c r="DJ4813" s="406">
        <v>-21.209</v>
      </c>
      <c r="DK4813" s="80">
        <v>-50.433</v>
      </c>
      <c r="DL4813" s="80">
        <v>390</v>
      </c>
      <c r="DM4813" s="64">
        <v>5</v>
      </c>
      <c r="DN4813" s="406" t="s">
        <v>8709</v>
      </c>
      <c r="DO4813" s="406">
        <v>-21.32</v>
      </c>
      <c r="DP4813" s="80">
        <v>374</v>
      </c>
    </row>
    <row r="4814" spans="29:120" x14ac:dyDescent="0.25">
      <c r="AC4814" s="122" t="s">
        <v>289</v>
      </c>
      <c r="AD4814" s="122" t="s">
        <v>5030</v>
      </c>
      <c r="AE4814" s="127">
        <v>8</v>
      </c>
      <c r="DA4814" s="122" t="s">
        <v>376</v>
      </c>
      <c r="DB4814" s="122" t="s">
        <v>8731</v>
      </c>
      <c r="DC4814" s="122" t="s">
        <v>900</v>
      </c>
      <c r="DD4814" s="127">
        <v>3</v>
      </c>
      <c r="DE4814" s="127">
        <v>3</v>
      </c>
      <c r="DG4814" s="405" t="s">
        <v>376</v>
      </c>
      <c r="DH4814" s="406" t="s">
        <v>900</v>
      </c>
      <c r="DI4814" s="406" t="str">
        <f t="shared" si="107"/>
        <v>SP, Araçoiaba da Serra</v>
      </c>
      <c r="DJ4814" s="406">
        <v>-23.504999999999999</v>
      </c>
      <c r="DK4814" s="80">
        <v>-47.613999999999997</v>
      </c>
      <c r="DL4814" s="80">
        <v>625</v>
      </c>
      <c r="DM4814" s="64">
        <v>3</v>
      </c>
      <c r="DN4814" s="406" t="s">
        <v>8718</v>
      </c>
      <c r="DO4814" s="406">
        <v>-23.5</v>
      </c>
      <c r="DP4814" s="80">
        <v>609</v>
      </c>
    </row>
    <row r="4815" spans="29:120" x14ac:dyDescent="0.25">
      <c r="AC4815" s="122" t="s">
        <v>289</v>
      </c>
      <c r="AD4815" s="122" t="s">
        <v>5031</v>
      </c>
      <c r="AE4815" s="127">
        <v>8</v>
      </c>
      <c r="DA4815" s="122" t="s">
        <v>376</v>
      </c>
      <c r="DB4815" s="122" t="s">
        <v>3871</v>
      </c>
      <c r="DC4815" s="122" t="s">
        <v>3871</v>
      </c>
      <c r="DD4815" s="127">
        <v>3</v>
      </c>
      <c r="DE4815" s="127">
        <v>3</v>
      </c>
      <c r="DG4815" s="405" t="s">
        <v>376</v>
      </c>
      <c r="DH4815" s="406" t="s">
        <v>3871</v>
      </c>
      <c r="DI4815" s="406" t="str">
        <f t="shared" si="107"/>
        <v>SP, Aramina</v>
      </c>
      <c r="DJ4815" s="406">
        <v>-20.09</v>
      </c>
      <c r="DK4815" s="80">
        <v>-47.786000000000001</v>
      </c>
      <c r="DL4815" s="80">
        <v>614</v>
      </c>
      <c r="DM4815" s="64">
        <v>3</v>
      </c>
      <c r="DN4815" s="406" t="s">
        <v>8732</v>
      </c>
      <c r="DO4815" s="406">
        <v>-20.36</v>
      </c>
      <c r="DP4815" s="80">
        <v>600</v>
      </c>
    </row>
    <row r="4816" spans="29:120" x14ac:dyDescent="0.25">
      <c r="AC4816" s="122" t="s">
        <v>289</v>
      </c>
      <c r="AD4816" s="122" t="s">
        <v>5032</v>
      </c>
      <c r="AE4816" s="127">
        <v>8</v>
      </c>
      <c r="DA4816" s="122" t="s">
        <v>376</v>
      </c>
      <c r="DB4816" s="122" t="s">
        <v>959</v>
      </c>
      <c r="DC4816" s="122" t="s">
        <v>959</v>
      </c>
      <c r="DD4816" s="127">
        <v>3</v>
      </c>
      <c r="DE4816" s="127">
        <v>3</v>
      </c>
      <c r="DG4816" s="405" t="s">
        <v>376</v>
      </c>
      <c r="DH4816" s="406" t="s">
        <v>959</v>
      </c>
      <c r="DI4816" s="406" t="str">
        <f t="shared" si="107"/>
        <v>SP, Arandu</v>
      </c>
      <c r="DJ4816" s="406">
        <v>-23.134</v>
      </c>
      <c r="DK4816" s="80">
        <v>-49.054000000000002</v>
      </c>
      <c r="DL4816" s="80">
        <v>640</v>
      </c>
      <c r="DM4816" s="64">
        <v>3</v>
      </c>
      <c r="DN4816" s="406" t="s">
        <v>8714</v>
      </c>
      <c r="DO4816" s="406">
        <v>-23.1</v>
      </c>
      <c r="DP4816" s="80">
        <v>654</v>
      </c>
    </row>
    <row r="4817" spans="29:120" x14ac:dyDescent="0.25">
      <c r="AC4817" s="122" t="s">
        <v>369</v>
      </c>
      <c r="AD4817" s="122" t="s">
        <v>5033</v>
      </c>
      <c r="AE4817" s="127">
        <v>8</v>
      </c>
      <c r="DA4817" s="122" t="s">
        <v>376</v>
      </c>
      <c r="DB4817" s="122" t="s">
        <v>3636</v>
      </c>
      <c r="DC4817" s="122" t="s">
        <v>3636</v>
      </c>
      <c r="DD4817" s="127">
        <v>3</v>
      </c>
      <c r="DE4817" s="127">
        <v>3</v>
      </c>
      <c r="DG4817" s="405" t="s">
        <v>376</v>
      </c>
      <c r="DH4817" s="406" t="s">
        <v>3636</v>
      </c>
      <c r="DI4817" s="406" t="str">
        <f t="shared" si="107"/>
        <v>SP, Arapeí</v>
      </c>
      <c r="DJ4817" s="406">
        <v>-22.673999999999999</v>
      </c>
      <c r="DK4817" s="80">
        <v>-44.448</v>
      </c>
      <c r="DL4817" s="80">
        <v>510</v>
      </c>
      <c r="DM4817" s="64">
        <v>3</v>
      </c>
      <c r="DN4817" s="406" t="s">
        <v>6807</v>
      </c>
      <c r="DO4817" s="406">
        <v>-22.47</v>
      </c>
      <c r="DP4817" s="80">
        <v>440</v>
      </c>
    </row>
    <row r="4818" spans="29:120" x14ac:dyDescent="0.25">
      <c r="AC4818" s="122" t="s">
        <v>348</v>
      </c>
      <c r="AD4818" s="122" t="s">
        <v>5034</v>
      </c>
      <c r="AE4818" s="127">
        <v>8</v>
      </c>
      <c r="DA4818" s="122" t="s">
        <v>376</v>
      </c>
      <c r="DB4818" s="122" t="s">
        <v>3767</v>
      </c>
      <c r="DC4818" s="122" t="s">
        <v>3767</v>
      </c>
      <c r="DD4818" s="127">
        <v>4</v>
      </c>
      <c r="DE4818" s="127">
        <v>4</v>
      </c>
      <c r="DG4818" s="405" t="s">
        <v>376</v>
      </c>
      <c r="DH4818" s="406" t="s">
        <v>3767</v>
      </c>
      <c r="DI4818" s="406" t="str">
        <f t="shared" si="107"/>
        <v>SP, Araraquara</v>
      </c>
      <c r="DJ4818" s="406">
        <v>-21.794</v>
      </c>
      <c r="DK4818" s="80">
        <v>-48.176000000000002</v>
      </c>
      <c r="DL4818" s="80">
        <v>664</v>
      </c>
      <c r="DM4818" s="64">
        <v>4</v>
      </c>
      <c r="DN4818" s="406" t="s">
        <v>8728</v>
      </c>
      <c r="DO4818" s="406">
        <v>-22.02</v>
      </c>
      <c r="DP4818" s="80">
        <v>863</v>
      </c>
    </row>
    <row r="4819" spans="29:120" x14ac:dyDescent="0.25">
      <c r="AC4819" s="122" t="s">
        <v>247</v>
      </c>
      <c r="AD4819" s="122" t="s">
        <v>5035</v>
      </c>
      <c r="AE4819" s="127">
        <v>8</v>
      </c>
      <c r="DA4819" s="122" t="s">
        <v>376</v>
      </c>
      <c r="DB4819" s="122" t="s">
        <v>3716</v>
      </c>
      <c r="DC4819" s="122" t="s">
        <v>3716</v>
      </c>
      <c r="DD4819" s="127">
        <v>4</v>
      </c>
      <c r="DE4819" s="127">
        <v>4</v>
      </c>
      <c r="DG4819" s="405" t="s">
        <v>376</v>
      </c>
      <c r="DH4819" s="406" t="s">
        <v>3716</v>
      </c>
      <c r="DI4819" s="406" t="str">
        <f t="shared" si="107"/>
        <v>SP, Araras</v>
      </c>
      <c r="DJ4819" s="406">
        <v>-22.356999999999999</v>
      </c>
      <c r="DK4819" s="80">
        <v>-47.384</v>
      </c>
      <c r="DL4819" s="80">
        <v>629</v>
      </c>
      <c r="DM4819" s="64">
        <v>4</v>
      </c>
      <c r="DN4819" s="406" t="s">
        <v>8716</v>
      </c>
      <c r="DO4819" s="406">
        <v>-22.73</v>
      </c>
      <c r="DP4819" s="80">
        <v>573</v>
      </c>
    </row>
    <row r="4820" spans="29:120" x14ac:dyDescent="0.25">
      <c r="AC4820" s="122" t="s">
        <v>369</v>
      </c>
      <c r="AD4820" s="122" t="s">
        <v>5036</v>
      </c>
      <c r="AE4820" s="127">
        <v>8</v>
      </c>
      <c r="DA4820" s="122" t="s">
        <v>376</v>
      </c>
      <c r="DB4820" s="122" t="s">
        <v>4024</v>
      </c>
      <c r="DC4820" s="122" t="s">
        <v>4024</v>
      </c>
      <c r="DD4820" s="127">
        <v>3</v>
      </c>
      <c r="DE4820" s="127">
        <v>3</v>
      </c>
      <c r="DG4820" s="405" t="s">
        <v>376</v>
      </c>
      <c r="DH4820" s="406" t="s">
        <v>4024</v>
      </c>
      <c r="DI4820" s="406" t="str">
        <f t="shared" si="107"/>
        <v>SP, Arco-Íris</v>
      </c>
      <c r="DJ4820" s="406">
        <v>-21.773</v>
      </c>
      <c r="DK4820" s="80">
        <v>-50.465000000000003</v>
      </c>
      <c r="DL4820" s="80">
        <v>419</v>
      </c>
      <c r="DM4820" s="64">
        <v>3</v>
      </c>
      <c r="DN4820" s="406" t="s">
        <v>8709</v>
      </c>
      <c r="DO4820" s="406">
        <v>-21.32</v>
      </c>
      <c r="DP4820" s="80">
        <v>374</v>
      </c>
    </row>
    <row r="4821" spans="29:120" x14ac:dyDescent="0.25">
      <c r="AC4821" s="122" t="s">
        <v>369</v>
      </c>
      <c r="AD4821" s="122" t="s">
        <v>1612</v>
      </c>
      <c r="AE4821" s="127">
        <v>8</v>
      </c>
      <c r="DA4821" s="122" t="s">
        <v>376</v>
      </c>
      <c r="DB4821" s="122" t="s">
        <v>3536</v>
      </c>
      <c r="DC4821" s="122" t="s">
        <v>3536</v>
      </c>
      <c r="DD4821" s="127">
        <v>3</v>
      </c>
      <c r="DE4821" s="127">
        <v>3</v>
      </c>
      <c r="DG4821" s="405" t="s">
        <v>376</v>
      </c>
      <c r="DH4821" s="406" t="s">
        <v>3536</v>
      </c>
      <c r="DI4821" s="406" t="str">
        <f t="shared" si="107"/>
        <v>SP, Arealva</v>
      </c>
      <c r="DJ4821" s="406">
        <v>-22.029</v>
      </c>
      <c r="DK4821" s="80">
        <v>-48.911000000000001</v>
      </c>
      <c r="DL4821" s="80">
        <v>445</v>
      </c>
      <c r="DM4821" s="64">
        <v>3</v>
      </c>
      <c r="DN4821" s="406" t="s">
        <v>8733</v>
      </c>
      <c r="DO4821" s="406">
        <v>-21.86</v>
      </c>
      <c r="DP4821" s="80">
        <v>492</v>
      </c>
    </row>
    <row r="4822" spans="29:120" x14ac:dyDescent="0.25">
      <c r="AC4822" s="122" t="s">
        <v>323</v>
      </c>
      <c r="AD4822" s="122" t="s">
        <v>2546</v>
      </c>
      <c r="AE4822" s="127">
        <v>8</v>
      </c>
      <c r="DA4822" s="122" t="s">
        <v>376</v>
      </c>
      <c r="DB4822" s="122" t="s">
        <v>867</v>
      </c>
      <c r="DC4822" s="122" t="s">
        <v>867</v>
      </c>
      <c r="DD4822" s="127">
        <v>3</v>
      </c>
      <c r="DE4822" s="127">
        <v>3</v>
      </c>
      <c r="DG4822" s="405" t="s">
        <v>376</v>
      </c>
      <c r="DH4822" s="406" t="s">
        <v>867</v>
      </c>
      <c r="DI4822" s="406" t="str">
        <f t="shared" si="107"/>
        <v>SP, Areias</v>
      </c>
      <c r="DJ4822" s="406">
        <v>-22.58</v>
      </c>
      <c r="DK4822" s="80">
        <v>-44.697000000000003</v>
      </c>
      <c r="DL4822" s="80">
        <v>519</v>
      </c>
      <c r="DM4822" s="64">
        <v>3</v>
      </c>
      <c r="DN4822" s="406" t="s">
        <v>6807</v>
      </c>
      <c r="DO4822" s="406">
        <v>-22.47</v>
      </c>
      <c r="DP4822" s="80">
        <v>440</v>
      </c>
    </row>
    <row r="4823" spans="29:120" x14ac:dyDescent="0.25">
      <c r="AC4823" s="122" t="s">
        <v>289</v>
      </c>
      <c r="AD4823" s="122" t="s">
        <v>5037</v>
      </c>
      <c r="AE4823" s="127">
        <v>8</v>
      </c>
      <c r="DA4823" s="122" t="s">
        <v>376</v>
      </c>
      <c r="DB4823" s="122" t="s">
        <v>1019</v>
      </c>
      <c r="DC4823" s="122" t="s">
        <v>1019</v>
      </c>
      <c r="DD4823" s="127">
        <v>3</v>
      </c>
      <c r="DE4823" s="127">
        <v>3</v>
      </c>
      <c r="DG4823" s="405" t="s">
        <v>376</v>
      </c>
      <c r="DH4823" s="406" t="s">
        <v>1019</v>
      </c>
      <c r="DI4823" s="406" t="str">
        <f t="shared" si="107"/>
        <v>SP, Areiópolis</v>
      </c>
      <c r="DJ4823" s="406">
        <v>-22.667999999999999</v>
      </c>
      <c r="DK4823" s="80">
        <v>-48.664999999999999</v>
      </c>
      <c r="DL4823" s="80">
        <v>635</v>
      </c>
      <c r="DM4823" s="64">
        <v>3</v>
      </c>
      <c r="DN4823" s="406" t="s">
        <v>8714</v>
      </c>
      <c r="DO4823" s="406">
        <v>-23.1</v>
      </c>
      <c r="DP4823" s="80">
        <v>654</v>
      </c>
    </row>
    <row r="4824" spans="29:120" x14ac:dyDescent="0.25">
      <c r="AC4824" s="122" t="s">
        <v>298</v>
      </c>
      <c r="AD4824" s="122" t="s">
        <v>5038</v>
      </c>
      <c r="AE4824" s="127">
        <v>8</v>
      </c>
      <c r="DA4824" s="122" t="s">
        <v>376</v>
      </c>
      <c r="DB4824" s="122" t="s">
        <v>3952</v>
      </c>
      <c r="DC4824" s="122" t="s">
        <v>3952</v>
      </c>
      <c r="DD4824" s="127">
        <v>6</v>
      </c>
      <c r="DE4824" s="127">
        <v>6</v>
      </c>
      <c r="DG4824" s="405" t="s">
        <v>376</v>
      </c>
      <c r="DH4824" s="406" t="s">
        <v>3952</v>
      </c>
      <c r="DI4824" s="406" t="str">
        <f t="shared" si="107"/>
        <v>SP, Ariranha</v>
      </c>
      <c r="DJ4824" s="406">
        <v>-21.187999999999999</v>
      </c>
      <c r="DK4824" s="80">
        <v>-48.786999999999999</v>
      </c>
      <c r="DL4824" s="80">
        <v>595</v>
      </c>
      <c r="DM4824" s="64">
        <v>6</v>
      </c>
      <c r="DN4824" s="406" t="s">
        <v>8721</v>
      </c>
      <c r="DO4824" s="406">
        <v>-21.13</v>
      </c>
      <c r="DP4824" s="80">
        <v>525</v>
      </c>
    </row>
    <row r="4825" spans="29:120" x14ac:dyDescent="0.25">
      <c r="AC4825" s="122" t="s">
        <v>298</v>
      </c>
      <c r="AD4825" s="122" t="s">
        <v>2937</v>
      </c>
      <c r="AE4825" s="127">
        <v>8</v>
      </c>
      <c r="DA4825" s="122" t="s">
        <v>376</v>
      </c>
      <c r="DB4825" s="122" t="s">
        <v>8734</v>
      </c>
      <c r="DC4825" s="122" t="s">
        <v>3721</v>
      </c>
      <c r="DD4825" s="127">
        <v>3</v>
      </c>
      <c r="DE4825" s="127">
        <v>3</v>
      </c>
      <c r="DG4825" s="405" t="s">
        <v>376</v>
      </c>
      <c r="DH4825" s="406" t="s">
        <v>3721</v>
      </c>
      <c r="DI4825" s="406" t="str">
        <f t="shared" si="107"/>
        <v>SP, Artur Nogueira</v>
      </c>
      <c r="DJ4825" s="406">
        <v>-22.573</v>
      </c>
      <c r="DK4825" s="80">
        <v>-47.173000000000002</v>
      </c>
      <c r="DL4825" s="80">
        <v>588</v>
      </c>
      <c r="DM4825" s="64">
        <v>3</v>
      </c>
      <c r="DN4825" s="406" t="s">
        <v>8726</v>
      </c>
      <c r="DO4825" s="406">
        <v>-22.82</v>
      </c>
      <c r="DP4825" s="80">
        <v>640</v>
      </c>
    </row>
    <row r="4826" spans="29:120" x14ac:dyDescent="0.25">
      <c r="AC4826" s="122" t="s">
        <v>369</v>
      </c>
      <c r="AD4826" s="122" t="s">
        <v>4193</v>
      </c>
      <c r="AE4826" s="127">
        <v>8</v>
      </c>
      <c r="DA4826" s="122" t="s">
        <v>376</v>
      </c>
      <c r="DB4826" s="122" t="s">
        <v>868</v>
      </c>
      <c r="DC4826" s="122" t="s">
        <v>868</v>
      </c>
      <c r="DD4826" s="127">
        <v>3</v>
      </c>
      <c r="DE4826" s="127">
        <v>3</v>
      </c>
      <c r="DG4826" s="405" t="s">
        <v>376</v>
      </c>
      <c r="DH4826" s="406" t="s">
        <v>868</v>
      </c>
      <c r="DI4826" s="406" t="str">
        <f t="shared" si="107"/>
        <v>SP, Arujá</v>
      </c>
      <c r="DJ4826" s="406">
        <v>-23.396000000000001</v>
      </c>
      <c r="DK4826" s="80">
        <v>-46.320999999999998</v>
      </c>
      <c r="DL4826" s="80">
        <v>775</v>
      </c>
      <c r="DM4826" s="64">
        <v>3</v>
      </c>
      <c r="DN4826" s="406" t="s">
        <v>8735</v>
      </c>
      <c r="DO4826" s="406">
        <v>-23.85</v>
      </c>
      <c r="DP4826" s="80">
        <v>792</v>
      </c>
    </row>
    <row r="4827" spans="29:120" x14ac:dyDescent="0.25">
      <c r="AC4827" s="122" t="s">
        <v>323</v>
      </c>
      <c r="AD4827" s="122" t="s">
        <v>5039</v>
      </c>
      <c r="AE4827" s="127">
        <v>8</v>
      </c>
      <c r="DA4827" s="122" t="s">
        <v>376</v>
      </c>
      <c r="DB4827" s="122" t="s">
        <v>3873</v>
      </c>
      <c r="DC4827" s="122" t="s">
        <v>3873</v>
      </c>
      <c r="DD4827" s="127">
        <v>6</v>
      </c>
      <c r="DE4827" s="127">
        <v>6</v>
      </c>
      <c r="DG4827" s="405" t="s">
        <v>376</v>
      </c>
      <c r="DH4827" s="406" t="s">
        <v>3873</v>
      </c>
      <c r="DI4827" s="406" t="str">
        <f t="shared" si="107"/>
        <v>SP, Aspásia</v>
      </c>
      <c r="DJ4827" s="406">
        <v>-20.158999999999999</v>
      </c>
      <c r="DK4827" s="80">
        <v>-50.732999999999997</v>
      </c>
      <c r="DL4827" s="80">
        <v>403</v>
      </c>
      <c r="DM4827" s="64">
        <v>6</v>
      </c>
      <c r="DN4827" s="406" t="s">
        <v>6904</v>
      </c>
      <c r="DO4827" s="406">
        <v>-20.27</v>
      </c>
      <c r="DP4827" s="80">
        <v>457</v>
      </c>
    </row>
    <row r="4828" spans="29:120" x14ac:dyDescent="0.25">
      <c r="AC4828" s="122" t="s">
        <v>369</v>
      </c>
      <c r="AD4828" s="122" t="s">
        <v>2827</v>
      </c>
      <c r="AE4828" s="127">
        <v>8</v>
      </c>
      <c r="DA4828" s="122" t="s">
        <v>376</v>
      </c>
      <c r="DB4828" s="122" t="s">
        <v>1794</v>
      </c>
      <c r="DC4828" s="122" t="s">
        <v>1794</v>
      </c>
      <c r="DD4828" s="127">
        <v>3</v>
      </c>
      <c r="DE4828" s="127">
        <v>3</v>
      </c>
      <c r="DG4828" s="405" t="s">
        <v>376</v>
      </c>
      <c r="DH4828" s="406" t="s">
        <v>1794</v>
      </c>
      <c r="DI4828" s="406" t="str">
        <f t="shared" si="107"/>
        <v>SP, Assis</v>
      </c>
      <c r="DJ4828" s="406">
        <v>-22.661999999999999</v>
      </c>
      <c r="DK4828" s="80">
        <v>-50.411999999999999</v>
      </c>
      <c r="DL4828" s="80">
        <v>546</v>
      </c>
      <c r="DM4828" s="64">
        <v>3</v>
      </c>
      <c r="DN4828" s="406" t="s">
        <v>7819</v>
      </c>
      <c r="DO4828" s="406">
        <v>-22.37</v>
      </c>
      <c r="DP4828" s="80">
        <v>350</v>
      </c>
    </row>
    <row r="4829" spans="29:120" x14ac:dyDescent="0.25">
      <c r="AC4829" s="122" t="s">
        <v>348</v>
      </c>
      <c r="AD4829" s="122" t="s">
        <v>5040</v>
      </c>
      <c r="AE4829" s="127">
        <v>8</v>
      </c>
      <c r="DA4829" s="122" t="s">
        <v>376</v>
      </c>
      <c r="DB4829" s="122" t="s">
        <v>1075</v>
      </c>
      <c r="DC4829" s="122" t="s">
        <v>1075</v>
      </c>
      <c r="DD4829" s="127">
        <v>3</v>
      </c>
      <c r="DE4829" s="127">
        <v>3</v>
      </c>
      <c r="DG4829" s="405" t="s">
        <v>376</v>
      </c>
      <c r="DH4829" s="406" t="s">
        <v>1075</v>
      </c>
      <c r="DI4829" s="406" t="str">
        <f t="shared" si="107"/>
        <v>SP, Atibaia</v>
      </c>
      <c r="DJ4829" s="406">
        <v>-23.117000000000001</v>
      </c>
      <c r="DK4829" s="80">
        <v>-46.55</v>
      </c>
      <c r="DL4829" s="80">
        <v>803</v>
      </c>
      <c r="DM4829" s="64">
        <v>3</v>
      </c>
      <c r="DN4829" s="406" t="s">
        <v>6861</v>
      </c>
      <c r="DO4829" s="406">
        <v>-22.86</v>
      </c>
      <c r="DP4829" s="80">
        <v>1500</v>
      </c>
    </row>
    <row r="4830" spans="29:120" x14ac:dyDescent="0.25">
      <c r="AC4830" s="122" t="s">
        <v>289</v>
      </c>
      <c r="AD4830" s="122" t="s">
        <v>5041</v>
      </c>
      <c r="AE4830" s="127">
        <v>8</v>
      </c>
      <c r="DA4830" s="122" t="s">
        <v>376</v>
      </c>
      <c r="DB4830" s="122" t="s">
        <v>4014</v>
      </c>
      <c r="DC4830" s="122" t="s">
        <v>4014</v>
      </c>
      <c r="DD4830" s="127">
        <v>6</v>
      </c>
      <c r="DE4830" s="127">
        <v>6</v>
      </c>
      <c r="DG4830" s="405" t="s">
        <v>376</v>
      </c>
      <c r="DH4830" s="406" t="s">
        <v>4014</v>
      </c>
      <c r="DI4830" s="406" t="str">
        <f t="shared" si="107"/>
        <v>SP, Auriflama</v>
      </c>
      <c r="DJ4830" s="406">
        <v>-20.686</v>
      </c>
      <c r="DK4830" s="80">
        <v>-50.555</v>
      </c>
      <c r="DL4830" s="80">
        <v>482</v>
      </c>
      <c r="DM4830" s="64">
        <v>6</v>
      </c>
      <c r="DN4830" s="406" t="s">
        <v>6904</v>
      </c>
      <c r="DO4830" s="406">
        <v>-20.27</v>
      </c>
      <c r="DP4830" s="80">
        <v>457</v>
      </c>
    </row>
    <row r="4831" spans="29:120" x14ac:dyDescent="0.25">
      <c r="AC4831" s="122" t="s">
        <v>369</v>
      </c>
      <c r="AD4831" s="122" t="s">
        <v>5042</v>
      </c>
      <c r="AE4831" s="127">
        <v>8</v>
      </c>
      <c r="DA4831" s="122" t="s">
        <v>376</v>
      </c>
      <c r="DB4831" s="122" t="s">
        <v>3864</v>
      </c>
      <c r="DC4831" s="122" t="s">
        <v>3864</v>
      </c>
      <c r="DD4831" s="127">
        <v>3</v>
      </c>
      <c r="DE4831" s="127">
        <v>3</v>
      </c>
      <c r="DG4831" s="405" t="s">
        <v>376</v>
      </c>
      <c r="DH4831" s="406" t="s">
        <v>3864</v>
      </c>
      <c r="DI4831" s="406" t="str">
        <f t="shared" si="107"/>
        <v>SP, Avaí</v>
      </c>
      <c r="DJ4831" s="406">
        <v>-22.146999999999998</v>
      </c>
      <c r="DK4831" s="80">
        <v>-49.332999999999998</v>
      </c>
      <c r="DL4831" s="80">
        <v>481</v>
      </c>
      <c r="DM4831" s="64">
        <v>3</v>
      </c>
      <c r="DN4831" s="406" t="s">
        <v>8717</v>
      </c>
      <c r="DO4831" s="406">
        <v>-22.32</v>
      </c>
      <c r="DP4831" s="80">
        <v>550</v>
      </c>
    </row>
    <row r="4832" spans="29:120" x14ac:dyDescent="0.25">
      <c r="AC4832" s="122" t="s">
        <v>323</v>
      </c>
      <c r="AD4832" s="122" t="s">
        <v>5043</v>
      </c>
      <c r="AE4832" s="127">
        <v>8</v>
      </c>
      <c r="DA4832" s="122" t="s">
        <v>376</v>
      </c>
      <c r="DB4832" s="122" t="s">
        <v>3939</v>
      </c>
      <c r="DC4832" s="122" t="s">
        <v>3939</v>
      </c>
      <c r="DD4832" s="127">
        <v>3</v>
      </c>
      <c r="DE4832" s="127">
        <v>3</v>
      </c>
      <c r="DG4832" s="405" t="s">
        <v>376</v>
      </c>
      <c r="DH4832" s="406" t="s">
        <v>3939</v>
      </c>
      <c r="DI4832" s="406" t="str">
        <f t="shared" si="107"/>
        <v>SP, Avanhandava</v>
      </c>
      <c r="DJ4832" s="406">
        <v>-21.460999999999999</v>
      </c>
      <c r="DK4832" s="80">
        <v>-49.95</v>
      </c>
      <c r="DL4832" s="80">
        <v>428</v>
      </c>
      <c r="DM4832" s="64">
        <v>3</v>
      </c>
      <c r="DN4832" s="406" t="s">
        <v>8722</v>
      </c>
      <c r="DO4832" s="406">
        <v>-21.68</v>
      </c>
      <c r="DP4832" s="80">
        <v>459</v>
      </c>
    </row>
    <row r="4833" spans="29:120" x14ac:dyDescent="0.25">
      <c r="AC4833" s="122" t="s">
        <v>369</v>
      </c>
      <c r="AD4833" s="122" t="s">
        <v>1750</v>
      </c>
      <c r="AE4833" s="127">
        <v>8</v>
      </c>
      <c r="DA4833" s="122" t="s">
        <v>376</v>
      </c>
      <c r="DB4833" s="122" t="s">
        <v>726</v>
      </c>
      <c r="DC4833" s="122" t="s">
        <v>726</v>
      </c>
      <c r="DD4833" s="127">
        <v>3</v>
      </c>
      <c r="DE4833" s="127">
        <v>3</v>
      </c>
      <c r="DG4833" s="405" t="s">
        <v>376</v>
      </c>
      <c r="DH4833" s="406" t="s">
        <v>726</v>
      </c>
      <c r="DI4833" s="406" t="str">
        <f t="shared" si="107"/>
        <v>SP, Avaré</v>
      </c>
      <c r="DJ4833" s="406">
        <v>-23.099</v>
      </c>
      <c r="DK4833" s="80">
        <v>-48.926000000000002</v>
      </c>
      <c r="DL4833" s="80">
        <v>766</v>
      </c>
      <c r="DM4833" s="64">
        <v>3</v>
      </c>
      <c r="DN4833" s="406" t="s">
        <v>8714</v>
      </c>
      <c r="DO4833" s="406">
        <v>-23.1</v>
      </c>
      <c r="DP4833" s="80">
        <v>654</v>
      </c>
    </row>
    <row r="4834" spans="29:120" x14ac:dyDescent="0.25">
      <c r="AC4834" s="122" t="s">
        <v>348</v>
      </c>
      <c r="AD4834" s="122" t="s">
        <v>5044</v>
      </c>
      <c r="AE4834" s="127">
        <v>8</v>
      </c>
      <c r="DA4834" s="122" t="s">
        <v>376</v>
      </c>
      <c r="DB4834" s="122" t="s">
        <v>8736</v>
      </c>
      <c r="DC4834" s="122" t="s">
        <v>3812</v>
      </c>
      <c r="DD4834" s="127">
        <v>6</v>
      </c>
      <c r="DE4834" s="127">
        <v>6</v>
      </c>
      <c r="DG4834" s="405" t="s">
        <v>376</v>
      </c>
      <c r="DH4834" s="406" t="s">
        <v>3812</v>
      </c>
      <c r="DI4834" s="406" t="str">
        <f t="shared" si="107"/>
        <v>SP, Bady Bassitt</v>
      </c>
      <c r="DJ4834" s="406">
        <v>-20.917999999999999</v>
      </c>
      <c r="DK4834" s="80">
        <v>-49.445</v>
      </c>
      <c r="DL4834" s="80">
        <v>510</v>
      </c>
      <c r="DM4834" s="64">
        <v>6</v>
      </c>
      <c r="DN4834" s="406" t="s">
        <v>8710</v>
      </c>
      <c r="DO4834" s="406">
        <v>-21.1</v>
      </c>
      <c r="DP4834" s="80">
        <v>405</v>
      </c>
    </row>
    <row r="4835" spans="29:120" x14ac:dyDescent="0.25">
      <c r="AC4835" s="122" t="s">
        <v>369</v>
      </c>
      <c r="AD4835" s="122" t="s">
        <v>5045</v>
      </c>
      <c r="AE4835" s="127">
        <v>8</v>
      </c>
      <c r="DA4835" s="122" t="s">
        <v>376</v>
      </c>
      <c r="DB4835" s="122" t="s">
        <v>3558</v>
      </c>
      <c r="DC4835" s="122" t="s">
        <v>3558</v>
      </c>
      <c r="DD4835" s="127">
        <v>3</v>
      </c>
      <c r="DE4835" s="127">
        <v>3</v>
      </c>
      <c r="DG4835" s="405" t="s">
        <v>376</v>
      </c>
      <c r="DH4835" s="406" t="s">
        <v>3558</v>
      </c>
      <c r="DI4835" s="406" t="str">
        <f t="shared" si="107"/>
        <v>SP, Balbinos</v>
      </c>
      <c r="DJ4835" s="406">
        <v>-21.9</v>
      </c>
      <c r="DK4835" s="80">
        <v>-49.356999999999999</v>
      </c>
      <c r="DL4835" s="80">
        <v>460</v>
      </c>
      <c r="DM4835" s="64">
        <v>3</v>
      </c>
      <c r="DN4835" s="406" t="s">
        <v>8722</v>
      </c>
      <c r="DO4835" s="406">
        <v>-21.68</v>
      </c>
      <c r="DP4835" s="80">
        <v>459</v>
      </c>
    </row>
    <row r="4836" spans="29:120" x14ac:dyDescent="0.25">
      <c r="AC4836" s="122" t="s">
        <v>298</v>
      </c>
      <c r="AD4836" s="122" t="s">
        <v>5046</v>
      </c>
      <c r="AE4836" s="127">
        <v>8</v>
      </c>
      <c r="DA4836" s="122" t="s">
        <v>376</v>
      </c>
      <c r="DB4836" s="122" t="s">
        <v>4007</v>
      </c>
      <c r="DC4836" s="122" t="s">
        <v>4007</v>
      </c>
      <c r="DD4836" s="127">
        <v>6</v>
      </c>
      <c r="DE4836" s="127">
        <v>6</v>
      </c>
      <c r="DG4836" s="405" t="s">
        <v>376</v>
      </c>
      <c r="DH4836" s="406" t="s">
        <v>4007</v>
      </c>
      <c r="DI4836" s="406" t="str">
        <f t="shared" si="107"/>
        <v>SP, Bálsamo</v>
      </c>
      <c r="DJ4836" s="406">
        <v>-20.734999999999999</v>
      </c>
      <c r="DK4836" s="80">
        <v>-49.584000000000003</v>
      </c>
      <c r="DL4836" s="80">
        <v>545</v>
      </c>
      <c r="DM4836" s="64">
        <v>6</v>
      </c>
      <c r="DN4836" s="406" t="s">
        <v>8710</v>
      </c>
      <c r="DO4836" s="406">
        <v>-21.1</v>
      </c>
      <c r="DP4836" s="80">
        <v>405</v>
      </c>
    </row>
    <row r="4837" spans="29:120" x14ac:dyDescent="0.25">
      <c r="AC4837" s="122" t="s">
        <v>298</v>
      </c>
      <c r="AD4837" s="122" t="s">
        <v>5047</v>
      </c>
      <c r="AE4837" s="127">
        <v>8</v>
      </c>
      <c r="DA4837" s="122" t="s">
        <v>376</v>
      </c>
      <c r="DB4837" s="122" t="s">
        <v>3702</v>
      </c>
      <c r="DC4837" s="122" t="s">
        <v>3702</v>
      </c>
      <c r="DD4837" s="127">
        <v>3</v>
      </c>
      <c r="DE4837" s="127">
        <v>3</v>
      </c>
      <c r="DG4837" s="405" t="s">
        <v>376</v>
      </c>
      <c r="DH4837" s="406" t="s">
        <v>3702</v>
      </c>
      <c r="DI4837" s="406" t="str">
        <f t="shared" si="107"/>
        <v>SP, Bananal</v>
      </c>
      <c r="DJ4837" s="406">
        <v>-22.684000000000001</v>
      </c>
      <c r="DK4837" s="80">
        <v>-44.323</v>
      </c>
      <c r="DL4837" s="80">
        <v>454</v>
      </c>
      <c r="DM4837" s="64">
        <v>3</v>
      </c>
      <c r="DN4837" s="406" t="s">
        <v>6807</v>
      </c>
      <c r="DO4837" s="406">
        <v>-22.47</v>
      </c>
      <c r="DP4837" s="80">
        <v>440</v>
      </c>
    </row>
    <row r="4838" spans="29:120" x14ac:dyDescent="0.25">
      <c r="AC4838" s="122" t="s">
        <v>369</v>
      </c>
      <c r="AD4838" s="122" t="s">
        <v>5048</v>
      </c>
      <c r="AE4838" s="127">
        <v>8</v>
      </c>
      <c r="DA4838" s="122" t="s">
        <v>376</v>
      </c>
      <c r="DB4838" s="122" t="s">
        <v>8737</v>
      </c>
      <c r="DC4838" s="122" t="s">
        <v>1011</v>
      </c>
      <c r="DD4838" s="127">
        <v>3</v>
      </c>
      <c r="DE4838" s="127">
        <v>3</v>
      </c>
      <c r="DG4838" s="405" t="s">
        <v>376</v>
      </c>
      <c r="DH4838" s="406" t="s">
        <v>1011</v>
      </c>
      <c r="DI4838" s="406" t="str">
        <f t="shared" si="107"/>
        <v>SP, Barão de Antonina</v>
      </c>
      <c r="DJ4838" s="406">
        <v>-23.626999999999999</v>
      </c>
      <c r="DK4838" s="80">
        <v>-49.561</v>
      </c>
      <c r="DL4838" s="80">
        <v>559</v>
      </c>
      <c r="DM4838" s="64">
        <v>3</v>
      </c>
      <c r="DN4838" s="406" t="s">
        <v>7859</v>
      </c>
      <c r="DO4838" s="406">
        <v>-23.5</v>
      </c>
      <c r="DP4838" s="80">
        <v>522</v>
      </c>
    </row>
    <row r="4839" spans="29:120" x14ac:dyDescent="0.25">
      <c r="AC4839" s="122" t="s">
        <v>298</v>
      </c>
      <c r="AD4839" s="122" t="s">
        <v>5049</v>
      </c>
      <c r="AE4839" s="127">
        <v>8</v>
      </c>
      <c r="DA4839" s="122" t="s">
        <v>376</v>
      </c>
      <c r="DB4839" s="122" t="s">
        <v>3878</v>
      </c>
      <c r="DC4839" s="122" t="s">
        <v>3878</v>
      </c>
      <c r="DD4839" s="127">
        <v>6</v>
      </c>
      <c r="DE4839" s="127">
        <v>6</v>
      </c>
      <c r="DG4839" s="405" t="s">
        <v>376</v>
      </c>
      <c r="DH4839" s="406" t="s">
        <v>3878</v>
      </c>
      <c r="DI4839" s="406" t="str">
        <f t="shared" si="107"/>
        <v>SP, Barbosa</v>
      </c>
      <c r="DJ4839" s="406">
        <v>-21.266999999999999</v>
      </c>
      <c r="DK4839" s="80">
        <v>-49.948999999999998</v>
      </c>
      <c r="DL4839" s="80">
        <v>386</v>
      </c>
      <c r="DM4839" s="64">
        <v>6</v>
      </c>
      <c r="DN4839" s="406" t="s">
        <v>8710</v>
      </c>
      <c r="DO4839" s="406">
        <v>-21.1</v>
      </c>
      <c r="DP4839" s="80">
        <v>405</v>
      </c>
    </row>
    <row r="4840" spans="29:120" x14ac:dyDescent="0.25">
      <c r="AC4840" s="122" t="s">
        <v>247</v>
      </c>
      <c r="AD4840" s="122" t="s">
        <v>5050</v>
      </c>
      <c r="AE4840" s="127">
        <v>8</v>
      </c>
      <c r="DA4840" s="122" t="s">
        <v>376</v>
      </c>
      <c r="DB4840" s="122" t="s">
        <v>3529</v>
      </c>
      <c r="DC4840" s="122" t="s">
        <v>3529</v>
      </c>
      <c r="DD4840" s="127">
        <v>3</v>
      </c>
      <c r="DE4840" s="127">
        <v>3</v>
      </c>
      <c r="DG4840" s="405" t="s">
        <v>376</v>
      </c>
      <c r="DH4840" s="406" t="s">
        <v>3529</v>
      </c>
      <c r="DI4840" s="406" t="str">
        <f t="shared" si="107"/>
        <v>SP, Bariri</v>
      </c>
      <c r="DJ4840" s="406">
        <v>-22.074000000000002</v>
      </c>
      <c r="DK4840" s="80">
        <v>-48.74</v>
      </c>
      <c r="DL4840" s="80">
        <v>447</v>
      </c>
      <c r="DM4840" s="64">
        <v>3</v>
      </c>
      <c r="DN4840" s="406" t="s">
        <v>8733</v>
      </c>
      <c r="DO4840" s="406">
        <v>-21.86</v>
      </c>
      <c r="DP4840" s="80">
        <v>492</v>
      </c>
    </row>
    <row r="4841" spans="29:120" x14ac:dyDescent="0.25">
      <c r="AC4841" s="122" t="s">
        <v>298</v>
      </c>
      <c r="AD4841" s="122" t="s">
        <v>5051</v>
      </c>
      <c r="AE4841" s="127">
        <v>8</v>
      </c>
      <c r="DA4841" s="122" t="s">
        <v>376</v>
      </c>
      <c r="DB4841" s="122" t="s">
        <v>8551</v>
      </c>
      <c r="DC4841" s="122" t="s">
        <v>1366</v>
      </c>
      <c r="DD4841" s="127">
        <v>3</v>
      </c>
      <c r="DE4841" s="127">
        <v>3</v>
      </c>
      <c r="DG4841" s="405" t="s">
        <v>376</v>
      </c>
      <c r="DH4841" s="406" t="s">
        <v>1366</v>
      </c>
      <c r="DI4841" s="406" t="str">
        <f t="shared" si="107"/>
        <v>SP, Barra Bonita</v>
      </c>
      <c r="DJ4841" s="406">
        <v>-22.495000000000001</v>
      </c>
      <c r="DK4841" s="80">
        <v>-48.558</v>
      </c>
      <c r="DL4841" s="80">
        <v>457</v>
      </c>
      <c r="DM4841" s="64">
        <v>3</v>
      </c>
      <c r="DN4841" s="406" t="s">
        <v>8717</v>
      </c>
      <c r="DO4841" s="406">
        <v>-22.32</v>
      </c>
      <c r="DP4841" s="80">
        <v>550</v>
      </c>
    </row>
    <row r="4842" spans="29:120" x14ac:dyDescent="0.25">
      <c r="AC4842" s="122" t="s">
        <v>323</v>
      </c>
      <c r="AD4842" s="122" t="s">
        <v>5052</v>
      </c>
      <c r="AE4842" s="127">
        <v>8</v>
      </c>
      <c r="DA4842" s="122" t="s">
        <v>376</v>
      </c>
      <c r="DB4842" s="122" t="s">
        <v>8738</v>
      </c>
      <c r="DC4842" s="122" t="s">
        <v>990</v>
      </c>
      <c r="DD4842" s="127">
        <v>2</v>
      </c>
      <c r="DE4842" s="127">
        <v>2</v>
      </c>
      <c r="DG4842" s="405" t="s">
        <v>376</v>
      </c>
      <c r="DH4842" s="406" t="s">
        <v>990</v>
      </c>
      <c r="DI4842" s="406" t="str">
        <f t="shared" si="107"/>
        <v>SP, Barra do Chapéu</v>
      </c>
      <c r="DJ4842" s="406">
        <v>-24.472999999999999</v>
      </c>
      <c r="DK4842" s="80">
        <v>-49.024999999999999</v>
      </c>
      <c r="DL4842" s="80">
        <v>784</v>
      </c>
      <c r="DM4842" s="64">
        <v>2</v>
      </c>
      <c r="DN4842" s="406" t="s">
        <v>7807</v>
      </c>
      <c r="DO4842" s="406">
        <v>-23.98</v>
      </c>
      <c r="DP4842" s="80">
        <v>707</v>
      </c>
    </row>
    <row r="4843" spans="29:120" x14ac:dyDescent="0.25">
      <c r="AC4843" s="122" t="s">
        <v>247</v>
      </c>
      <c r="AD4843" s="122" t="s">
        <v>5053</v>
      </c>
      <c r="AE4843" s="127">
        <v>8</v>
      </c>
      <c r="DA4843" s="122" t="s">
        <v>376</v>
      </c>
      <c r="DB4843" s="122" t="s">
        <v>8739</v>
      </c>
      <c r="DC4843" s="122" t="s">
        <v>3700</v>
      </c>
      <c r="DD4843" s="127">
        <v>3</v>
      </c>
      <c r="DE4843" s="127">
        <v>3</v>
      </c>
      <c r="DG4843" s="405" t="s">
        <v>376</v>
      </c>
      <c r="DH4843" s="406" t="s">
        <v>3700</v>
      </c>
      <c r="DI4843" s="406" t="str">
        <f t="shared" si="107"/>
        <v>SP, Barra do Turvo</v>
      </c>
      <c r="DJ4843" s="406">
        <v>-24.756</v>
      </c>
      <c r="DK4843" s="80">
        <v>-48.505000000000003</v>
      </c>
      <c r="DL4843" s="80">
        <v>158</v>
      </c>
      <c r="DM4843" s="64">
        <v>3</v>
      </c>
      <c r="DN4843" s="406" t="s">
        <v>7823</v>
      </c>
      <c r="DO4843" s="406">
        <v>-25.57</v>
      </c>
      <c r="DP4843" s="80">
        <v>1</v>
      </c>
    </row>
    <row r="4844" spans="29:120" x14ac:dyDescent="0.25">
      <c r="AC4844" s="122" t="s">
        <v>317</v>
      </c>
      <c r="AD4844" s="122" t="s">
        <v>5054</v>
      </c>
      <c r="AE4844" s="127">
        <v>5</v>
      </c>
      <c r="DA4844" s="122" t="s">
        <v>376</v>
      </c>
      <c r="DB4844" s="122" t="s">
        <v>2782</v>
      </c>
      <c r="DC4844" s="122" t="s">
        <v>2782</v>
      </c>
      <c r="DD4844" s="127">
        <v>6</v>
      </c>
      <c r="DE4844" s="127">
        <v>6</v>
      </c>
      <c r="DG4844" s="405" t="s">
        <v>376</v>
      </c>
      <c r="DH4844" s="406" t="s">
        <v>2782</v>
      </c>
      <c r="DI4844" s="406" t="str">
        <f t="shared" si="107"/>
        <v>SP, Barretos</v>
      </c>
      <c r="DJ4844" s="406">
        <v>-20.556999999999999</v>
      </c>
      <c r="DK4844" s="80">
        <v>-48.567999999999998</v>
      </c>
      <c r="DL4844" s="80">
        <v>530</v>
      </c>
      <c r="DM4844" s="64">
        <v>6</v>
      </c>
      <c r="DN4844" s="406" t="s">
        <v>6802</v>
      </c>
      <c r="DO4844" s="406">
        <v>-19.989999999999998</v>
      </c>
      <c r="DP4844" s="80">
        <v>568</v>
      </c>
    </row>
    <row r="4845" spans="29:120" x14ac:dyDescent="0.25">
      <c r="AC4845" s="122" t="s">
        <v>323</v>
      </c>
      <c r="AD4845" s="122" t="s">
        <v>5055</v>
      </c>
      <c r="AE4845" s="127">
        <v>8</v>
      </c>
      <c r="DA4845" s="122" t="s">
        <v>376</v>
      </c>
      <c r="DB4845" s="122" t="s">
        <v>3745</v>
      </c>
      <c r="DC4845" s="122" t="s">
        <v>3745</v>
      </c>
      <c r="DD4845" s="127">
        <v>4</v>
      </c>
      <c r="DE4845" s="127">
        <v>4</v>
      </c>
      <c r="DG4845" s="405" t="s">
        <v>376</v>
      </c>
      <c r="DH4845" s="406" t="s">
        <v>3745</v>
      </c>
      <c r="DI4845" s="406" t="str">
        <f t="shared" si="107"/>
        <v>SP, Barrinha</v>
      </c>
      <c r="DJ4845" s="406">
        <v>-21.193999999999999</v>
      </c>
      <c r="DK4845" s="80">
        <v>-48.164000000000001</v>
      </c>
      <c r="DL4845" s="80">
        <v>505</v>
      </c>
      <c r="DM4845" s="64">
        <v>4</v>
      </c>
      <c r="DN4845" s="406" t="s">
        <v>8721</v>
      </c>
      <c r="DO4845" s="406">
        <v>-21.13</v>
      </c>
      <c r="DP4845" s="80">
        <v>525</v>
      </c>
    </row>
    <row r="4846" spans="29:120" x14ac:dyDescent="0.25">
      <c r="AC4846" s="122" t="s">
        <v>323</v>
      </c>
      <c r="AD4846" s="122" t="s">
        <v>5056</v>
      </c>
      <c r="AE4846" s="127">
        <v>8</v>
      </c>
      <c r="DA4846" s="122" t="s">
        <v>376</v>
      </c>
      <c r="DB4846" s="122" t="s">
        <v>727</v>
      </c>
      <c r="DC4846" s="122" t="s">
        <v>727</v>
      </c>
      <c r="DD4846" s="127">
        <v>3</v>
      </c>
      <c r="DE4846" s="127">
        <v>3</v>
      </c>
      <c r="DG4846" s="405" t="s">
        <v>376</v>
      </c>
      <c r="DH4846" s="406" t="s">
        <v>727</v>
      </c>
      <c r="DI4846" s="406" t="str">
        <f t="shared" si="107"/>
        <v>SP, Barueri</v>
      </c>
      <c r="DJ4846" s="406">
        <v>-23.510999999999999</v>
      </c>
      <c r="DK4846" s="80">
        <v>-46.875999999999998</v>
      </c>
      <c r="DL4846" s="80">
        <v>719</v>
      </c>
      <c r="DM4846" s="64">
        <v>3</v>
      </c>
      <c r="DN4846" s="406" t="s">
        <v>8735</v>
      </c>
      <c r="DO4846" s="406">
        <v>-23.85</v>
      </c>
      <c r="DP4846" s="80">
        <v>792</v>
      </c>
    </row>
    <row r="4847" spans="29:120" x14ac:dyDescent="0.25">
      <c r="AC4847" s="122" t="s">
        <v>298</v>
      </c>
      <c r="AD4847" s="122" t="s">
        <v>5057</v>
      </c>
      <c r="AE4847" s="127">
        <v>8</v>
      </c>
      <c r="DA4847" s="122" t="s">
        <v>376</v>
      </c>
      <c r="DB4847" s="122" t="s">
        <v>4036</v>
      </c>
      <c r="DC4847" s="122" t="s">
        <v>4036</v>
      </c>
      <c r="DD4847" s="127">
        <v>3</v>
      </c>
      <c r="DE4847" s="127">
        <v>3</v>
      </c>
      <c r="DG4847" s="405" t="s">
        <v>376</v>
      </c>
      <c r="DH4847" s="406" t="s">
        <v>4036</v>
      </c>
      <c r="DI4847" s="406" t="str">
        <f t="shared" si="107"/>
        <v>SP, Bastos</v>
      </c>
      <c r="DJ4847" s="406">
        <v>-21.922000000000001</v>
      </c>
      <c r="DK4847" s="80">
        <v>-50.734000000000002</v>
      </c>
      <c r="DL4847" s="80">
        <v>445</v>
      </c>
      <c r="DM4847" s="64">
        <v>3</v>
      </c>
      <c r="DN4847" s="406" t="s">
        <v>7819</v>
      </c>
      <c r="DO4847" s="406">
        <v>-22.37</v>
      </c>
      <c r="DP4847" s="80">
        <v>350</v>
      </c>
    </row>
    <row r="4848" spans="29:120" x14ac:dyDescent="0.25">
      <c r="AC4848" s="122" t="s">
        <v>348</v>
      </c>
      <c r="AD4848" s="122" t="s">
        <v>5058</v>
      </c>
      <c r="AE4848" s="127">
        <v>8</v>
      </c>
      <c r="DA4848" s="122" t="s">
        <v>376</v>
      </c>
      <c r="DB4848" s="122" t="s">
        <v>3830</v>
      </c>
      <c r="DC4848" s="122" t="s">
        <v>3830</v>
      </c>
      <c r="DD4848" s="127">
        <v>4</v>
      </c>
      <c r="DE4848" s="127">
        <v>4</v>
      </c>
      <c r="DG4848" s="405" t="s">
        <v>376</v>
      </c>
      <c r="DH4848" s="406" t="s">
        <v>3830</v>
      </c>
      <c r="DI4848" s="406" t="str">
        <f t="shared" si="107"/>
        <v>SP, Batatais</v>
      </c>
      <c r="DJ4848" s="406">
        <v>-20.890999999999998</v>
      </c>
      <c r="DK4848" s="80">
        <v>-47.585000000000001</v>
      </c>
      <c r="DL4848" s="80">
        <v>862</v>
      </c>
      <c r="DM4848" s="64">
        <v>4</v>
      </c>
      <c r="DN4848" s="406" t="s">
        <v>6892</v>
      </c>
      <c r="DO4848" s="406">
        <v>-20.54</v>
      </c>
      <c r="DP4848" s="80">
        <v>1026</v>
      </c>
    </row>
    <row r="4849" spans="29:120" x14ac:dyDescent="0.25">
      <c r="AC4849" s="122" t="s">
        <v>247</v>
      </c>
      <c r="AD4849" s="122" t="s">
        <v>2247</v>
      </c>
      <c r="AE4849" s="127">
        <v>8</v>
      </c>
      <c r="DA4849" s="122" t="s">
        <v>376</v>
      </c>
      <c r="DB4849" s="122" t="s">
        <v>2774</v>
      </c>
      <c r="DC4849" s="122" t="s">
        <v>2774</v>
      </c>
      <c r="DD4849" s="127">
        <v>4</v>
      </c>
      <c r="DE4849" s="127">
        <v>4</v>
      </c>
      <c r="DG4849" s="405" t="s">
        <v>376</v>
      </c>
      <c r="DH4849" s="406" t="s">
        <v>2774</v>
      </c>
      <c r="DI4849" s="406" t="str">
        <f t="shared" si="107"/>
        <v>SP, Bauru</v>
      </c>
      <c r="DJ4849" s="406">
        <v>-22.315000000000001</v>
      </c>
      <c r="DK4849" s="80">
        <v>-49.061</v>
      </c>
      <c r="DL4849" s="80">
        <v>526</v>
      </c>
      <c r="DM4849" s="64">
        <v>4</v>
      </c>
      <c r="DN4849" s="406" t="s">
        <v>8717</v>
      </c>
      <c r="DO4849" s="406">
        <v>-22.32</v>
      </c>
      <c r="DP4849" s="80">
        <v>550</v>
      </c>
    </row>
    <row r="4850" spans="29:120" x14ac:dyDescent="0.25">
      <c r="AC4850" s="122" t="s">
        <v>348</v>
      </c>
      <c r="AD4850" s="122" t="s">
        <v>5059</v>
      </c>
      <c r="AE4850" s="127">
        <v>8</v>
      </c>
      <c r="DA4850" s="122" t="s">
        <v>376</v>
      </c>
      <c r="DB4850" s="122" t="s">
        <v>3994</v>
      </c>
      <c r="DC4850" s="122" t="s">
        <v>3994</v>
      </c>
      <c r="DD4850" s="127">
        <v>4</v>
      </c>
      <c r="DE4850" s="127">
        <v>4</v>
      </c>
      <c r="DG4850" s="405" t="s">
        <v>376</v>
      </c>
      <c r="DH4850" s="406" t="s">
        <v>3994</v>
      </c>
      <c r="DI4850" s="406" t="str">
        <f t="shared" si="107"/>
        <v>SP, Bebedouro</v>
      </c>
      <c r="DJ4850" s="406">
        <v>-20.949000000000002</v>
      </c>
      <c r="DK4850" s="80">
        <v>-48.478999999999999</v>
      </c>
      <c r="DL4850" s="80">
        <v>573</v>
      </c>
      <c r="DM4850" s="64">
        <v>4</v>
      </c>
      <c r="DN4850" s="406" t="s">
        <v>8721</v>
      </c>
      <c r="DO4850" s="406">
        <v>-21.13</v>
      </c>
      <c r="DP4850" s="80">
        <v>525</v>
      </c>
    </row>
    <row r="4851" spans="29:120" x14ac:dyDescent="0.25">
      <c r="AC4851" s="122" t="s">
        <v>289</v>
      </c>
      <c r="AD4851" s="122" t="s">
        <v>5060</v>
      </c>
      <c r="AE4851" s="127">
        <v>8</v>
      </c>
      <c r="DA4851" s="122" t="s">
        <v>376</v>
      </c>
      <c r="DB4851" s="122" t="s">
        <v>8740</v>
      </c>
      <c r="DC4851" s="122" t="s">
        <v>3834</v>
      </c>
      <c r="DD4851" s="127">
        <v>6</v>
      </c>
      <c r="DE4851" s="127">
        <v>6</v>
      </c>
      <c r="DG4851" s="405" t="s">
        <v>376</v>
      </c>
      <c r="DH4851" s="406" t="s">
        <v>3834</v>
      </c>
      <c r="DI4851" s="406" t="str">
        <f t="shared" si="107"/>
        <v>SP, Bento de Abreu</v>
      </c>
      <c r="DJ4851" s="406">
        <v>-21.271000000000001</v>
      </c>
      <c r="DK4851" s="80">
        <v>-50.811999999999998</v>
      </c>
      <c r="DL4851" s="80">
        <v>431</v>
      </c>
      <c r="DM4851" s="64">
        <v>6</v>
      </c>
      <c r="DN4851" s="406" t="s">
        <v>8709</v>
      </c>
      <c r="DO4851" s="406">
        <v>-21.32</v>
      </c>
      <c r="DP4851" s="80">
        <v>374</v>
      </c>
    </row>
    <row r="4852" spans="29:120" x14ac:dyDescent="0.25">
      <c r="AC4852" s="122" t="s">
        <v>333</v>
      </c>
      <c r="AD4852" s="122" t="s">
        <v>5061</v>
      </c>
      <c r="AE4852" s="127">
        <v>5</v>
      </c>
      <c r="DA4852" s="122" t="s">
        <v>376</v>
      </c>
      <c r="DB4852" s="122" t="s">
        <v>8741</v>
      </c>
      <c r="DC4852" s="122" t="s">
        <v>1783</v>
      </c>
      <c r="DD4852" s="127">
        <v>3</v>
      </c>
      <c r="DE4852" s="127">
        <v>3</v>
      </c>
      <c r="DG4852" s="405" t="s">
        <v>376</v>
      </c>
      <c r="DH4852" s="406" t="s">
        <v>1783</v>
      </c>
      <c r="DI4852" s="406" t="str">
        <f t="shared" si="107"/>
        <v>SP, Bernardino de Campos</v>
      </c>
      <c r="DJ4852" s="406">
        <v>-23.013000000000002</v>
      </c>
      <c r="DK4852" s="80">
        <v>-49.473999999999997</v>
      </c>
      <c r="DL4852" s="80">
        <v>695</v>
      </c>
      <c r="DM4852" s="64">
        <v>3</v>
      </c>
      <c r="DN4852" s="406" t="s">
        <v>7822</v>
      </c>
      <c r="DO4852" s="406">
        <v>-22.98</v>
      </c>
      <c r="DP4852" s="80">
        <v>448</v>
      </c>
    </row>
    <row r="4853" spans="29:120" x14ac:dyDescent="0.25">
      <c r="AC4853" s="122" t="s">
        <v>369</v>
      </c>
      <c r="AD4853" s="122" t="s">
        <v>2701</v>
      </c>
      <c r="AE4853" s="127">
        <v>8</v>
      </c>
      <c r="DA4853" s="122" t="s">
        <v>376</v>
      </c>
      <c r="DB4853" s="122" t="s">
        <v>3240</v>
      </c>
      <c r="DC4853" s="122" t="s">
        <v>3240</v>
      </c>
      <c r="DD4853" s="127">
        <v>3</v>
      </c>
      <c r="DE4853" s="127">
        <v>3</v>
      </c>
      <c r="DG4853" s="405" t="s">
        <v>376</v>
      </c>
      <c r="DH4853" s="406" t="s">
        <v>3240</v>
      </c>
      <c r="DI4853" s="406" t="str">
        <f t="shared" si="107"/>
        <v>SP, Bertioga</v>
      </c>
      <c r="DJ4853" s="406">
        <v>-23.853999999999999</v>
      </c>
      <c r="DK4853" s="80">
        <v>-46.139000000000003</v>
      </c>
      <c r="DL4853" s="80">
        <v>8</v>
      </c>
      <c r="DM4853" s="64">
        <v>3</v>
      </c>
      <c r="DN4853" s="406" t="s">
        <v>8735</v>
      </c>
      <c r="DO4853" s="406">
        <v>-23.85</v>
      </c>
      <c r="DP4853" s="80">
        <v>792</v>
      </c>
    </row>
    <row r="4854" spans="29:120" x14ac:dyDescent="0.25">
      <c r="AC4854" s="122" t="s">
        <v>289</v>
      </c>
      <c r="AD4854" s="122" t="s">
        <v>2353</v>
      </c>
      <c r="AE4854" s="127">
        <v>8</v>
      </c>
      <c r="DA4854" s="122" t="s">
        <v>376</v>
      </c>
      <c r="DB4854" s="122" t="s">
        <v>3905</v>
      </c>
      <c r="DC4854" s="122" t="s">
        <v>3905</v>
      </c>
      <c r="DD4854" s="127">
        <v>5</v>
      </c>
      <c r="DE4854" s="127">
        <v>5</v>
      </c>
      <c r="DG4854" s="405" t="s">
        <v>376</v>
      </c>
      <c r="DH4854" s="406" t="s">
        <v>3905</v>
      </c>
      <c r="DI4854" s="406" t="str">
        <f t="shared" si="107"/>
        <v>SP, Bilac</v>
      </c>
      <c r="DJ4854" s="406">
        <v>-21.402999999999999</v>
      </c>
      <c r="DK4854" s="80">
        <v>-50.470999999999997</v>
      </c>
      <c r="DL4854" s="80">
        <v>431</v>
      </c>
      <c r="DM4854" s="64">
        <v>5</v>
      </c>
      <c r="DN4854" s="406" t="s">
        <v>8709</v>
      </c>
      <c r="DO4854" s="406">
        <v>-21.32</v>
      </c>
      <c r="DP4854" s="80">
        <v>374</v>
      </c>
    </row>
    <row r="4855" spans="29:120" x14ac:dyDescent="0.25">
      <c r="AC4855" s="122" t="s">
        <v>289</v>
      </c>
      <c r="AD4855" s="122" t="s">
        <v>5062</v>
      </c>
      <c r="AE4855" s="127">
        <v>8</v>
      </c>
      <c r="DA4855" s="122" t="s">
        <v>376</v>
      </c>
      <c r="DB4855" s="122" t="s">
        <v>3870</v>
      </c>
      <c r="DC4855" s="122" t="s">
        <v>3870</v>
      </c>
      <c r="DD4855" s="127">
        <v>5</v>
      </c>
      <c r="DE4855" s="127">
        <v>5</v>
      </c>
      <c r="DG4855" s="405" t="s">
        <v>376</v>
      </c>
      <c r="DH4855" s="406" t="s">
        <v>3870</v>
      </c>
      <c r="DI4855" s="406" t="str">
        <f t="shared" si="107"/>
        <v>SP, Birigui</v>
      </c>
      <c r="DJ4855" s="406">
        <v>-21.289000000000001</v>
      </c>
      <c r="DK4855" s="80">
        <v>-50.34</v>
      </c>
      <c r="DL4855" s="80">
        <v>406</v>
      </c>
      <c r="DM4855" s="64">
        <v>5</v>
      </c>
      <c r="DN4855" s="406" t="s">
        <v>8709</v>
      </c>
      <c r="DO4855" s="406">
        <v>-21.32</v>
      </c>
      <c r="DP4855" s="80">
        <v>374</v>
      </c>
    </row>
    <row r="4856" spans="29:120" x14ac:dyDescent="0.25">
      <c r="AC4856" s="122" t="s">
        <v>289</v>
      </c>
      <c r="AD4856" s="122" t="s">
        <v>5063</v>
      </c>
      <c r="AE4856" s="127">
        <v>8</v>
      </c>
      <c r="DA4856" s="122" t="s">
        <v>376</v>
      </c>
      <c r="DB4856" s="122" t="s">
        <v>816</v>
      </c>
      <c r="DC4856" s="122" t="s">
        <v>816</v>
      </c>
      <c r="DD4856" s="127">
        <v>2</v>
      </c>
      <c r="DE4856" s="127">
        <v>2</v>
      </c>
      <c r="DG4856" s="405" t="s">
        <v>376</v>
      </c>
      <c r="DH4856" s="406" t="s">
        <v>816</v>
      </c>
      <c r="DI4856" s="406" t="str">
        <f t="shared" si="107"/>
        <v>SP, Biritiba-Mirim</v>
      </c>
      <c r="DJ4856" s="406">
        <v>-23.573</v>
      </c>
      <c r="DK4856" s="80">
        <v>-46.039000000000001</v>
      </c>
      <c r="DL4856" s="80">
        <v>780</v>
      </c>
      <c r="DM4856" s="64">
        <v>2</v>
      </c>
      <c r="DN4856" s="406" t="s">
        <v>8735</v>
      </c>
      <c r="DO4856" s="406">
        <v>-23.85</v>
      </c>
      <c r="DP4856" s="80">
        <v>792</v>
      </c>
    </row>
    <row r="4857" spans="29:120" x14ac:dyDescent="0.25">
      <c r="AC4857" s="122" t="s">
        <v>323</v>
      </c>
      <c r="AD4857" s="122" t="s">
        <v>5064</v>
      </c>
      <c r="AE4857" s="127">
        <v>8</v>
      </c>
      <c r="DA4857" s="122" t="s">
        <v>376</v>
      </c>
      <c r="DB4857" s="122" t="s">
        <v>8742</v>
      </c>
      <c r="DC4857" s="122" t="s">
        <v>3747</v>
      </c>
      <c r="DD4857" s="127">
        <v>4</v>
      </c>
      <c r="DE4857" s="127">
        <v>4</v>
      </c>
      <c r="DG4857" s="405" t="s">
        <v>376</v>
      </c>
      <c r="DH4857" s="406" t="s">
        <v>3747</v>
      </c>
      <c r="DI4857" s="406" t="str">
        <f t="shared" si="107"/>
        <v>SP, Boa Esperança do Sul</v>
      </c>
      <c r="DJ4857" s="406">
        <v>-21.992999999999999</v>
      </c>
      <c r="DK4857" s="80">
        <v>-48.390999999999998</v>
      </c>
      <c r="DL4857" s="80">
        <v>490</v>
      </c>
      <c r="DM4857" s="64">
        <v>4</v>
      </c>
      <c r="DN4857" s="406" t="s">
        <v>8733</v>
      </c>
      <c r="DO4857" s="406">
        <v>-21.86</v>
      </c>
      <c r="DP4857" s="80">
        <v>492</v>
      </c>
    </row>
    <row r="4858" spans="29:120" x14ac:dyDescent="0.25">
      <c r="AC4858" s="122" t="s">
        <v>348</v>
      </c>
      <c r="AD4858" s="122" t="s">
        <v>5065</v>
      </c>
      <c r="AE4858" s="127">
        <v>8</v>
      </c>
      <c r="DA4858" s="122" t="s">
        <v>376</v>
      </c>
      <c r="DB4858" s="122" t="s">
        <v>3708</v>
      </c>
      <c r="DC4858" s="122" t="s">
        <v>3708</v>
      </c>
      <c r="DD4858" s="127">
        <v>4</v>
      </c>
      <c r="DE4858" s="127">
        <v>4</v>
      </c>
      <c r="DG4858" s="405" t="s">
        <v>376</v>
      </c>
      <c r="DH4858" s="406" t="s">
        <v>3708</v>
      </c>
      <c r="DI4858" s="406" t="str">
        <f t="shared" si="107"/>
        <v>SP, Bocaina</v>
      </c>
      <c r="DJ4858" s="406">
        <v>-22.135999999999999</v>
      </c>
      <c r="DK4858" s="80">
        <v>-48.518000000000001</v>
      </c>
      <c r="DL4858" s="80">
        <v>580</v>
      </c>
      <c r="DM4858" s="64">
        <v>4</v>
      </c>
      <c r="DN4858" s="406" t="s">
        <v>8733</v>
      </c>
      <c r="DO4858" s="406">
        <v>-21.86</v>
      </c>
      <c r="DP4858" s="80">
        <v>492</v>
      </c>
    </row>
    <row r="4859" spans="29:120" x14ac:dyDescent="0.25">
      <c r="AC4859" s="122" t="s">
        <v>369</v>
      </c>
      <c r="AD4859" s="122" t="s">
        <v>5066</v>
      </c>
      <c r="AE4859" s="127">
        <v>8</v>
      </c>
      <c r="DA4859" s="122" t="s">
        <v>376</v>
      </c>
      <c r="DB4859" s="122" t="s">
        <v>863</v>
      </c>
      <c r="DC4859" s="122" t="s">
        <v>863</v>
      </c>
      <c r="DD4859" s="127">
        <v>3</v>
      </c>
      <c r="DE4859" s="127">
        <v>3</v>
      </c>
      <c r="DG4859" s="405" t="s">
        <v>376</v>
      </c>
      <c r="DH4859" s="406" t="s">
        <v>863</v>
      </c>
      <c r="DI4859" s="406" t="str">
        <f t="shared" si="107"/>
        <v>SP, Bofete</v>
      </c>
      <c r="DJ4859" s="406">
        <v>-23.102</v>
      </c>
      <c r="DK4859" s="80">
        <v>-48.258000000000003</v>
      </c>
      <c r="DL4859" s="80">
        <v>576</v>
      </c>
      <c r="DM4859" s="64">
        <v>3</v>
      </c>
      <c r="DN4859" s="406" t="s">
        <v>8714</v>
      </c>
      <c r="DO4859" s="406">
        <v>-23.1</v>
      </c>
      <c r="DP4859" s="80">
        <v>654</v>
      </c>
    </row>
    <row r="4860" spans="29:120" x14ac:dyDescent="0.25">
      <c r="AC4860" s="122" t="s">
        <v>348</v>
      </c>
      <c r="AD4860" s="122" t="s">
        <v>5067</v>
      </c>
      <c r="AE4860" s="127">
        <v>8</v>
      </c>
      <c r="DA4860" s="122" t="s">
        <v>376</v>
      </c>
      <c r="DB4860" s="122" t="s">
        <v>1764</v>
      </c>
      <c r="DC4860" s="122" t="s">
        <v>1764</v>
      </c>
      <c r="DD4860" s="127">
        <v>3</v>
      </c>
      <c r="DE4860" s="127">
        <v>3</v>
      </c>
      <c r="DG4860" s="405" t="s">
        <v>376</v>
      </c>
      <c r="DH4860" s="406" t="s">
        <v>1764</v>
      </c>
      <c r="DI4860" s="406" t="str">
        <f t="shared" si="107"/>
        <v>SP, Boituva</v>
      </c>
      <c r="DJ4860" s="406">
        <v>-23.283000000000001</v>
      </c>
      <c r="DK4860" s="80">
        <v>-47.671999999999997</v>
      </c>
      <c r="DL4860" s="80">
        <v>637</v>
      </c>
      <c r="DM4860" s="64">
        <v>3</v>
      </c>
      <c r="DN4860" s="406" t="s">
        <v>8718</v>
      </c>
      <c r="DO4860" s="406">
        <v>-23.5</v>
      </c>
      <c r="DP4860" s="80">
        <v>609</v>
      </c>
    </row>
    <row r="4861" spans="29:120" x14ac:dyDescent="0.25">
      <c r="AC4861" s="122" t="s">
        <v>323</v>
      </c>
      <c r="AD4861" s="122" t="s">
        <v>5068</v>
      </c>
      <c r="AE4861" s="127">
        <v>8</v>
      </c>
      <c r="DA4861" s="122" t="s">
        <v>376</v>
      </c>
      <c r="DB4861" s="122" t="s">
        <v>8743</v>
      </c>
      <c r="DC4861" s="122" t="s">
        <v>1055</v>
      </c>
      <c r="DD4861" s="127">
        <v>3</v>
      </c>
      <c r="DE4861" s="127">
        <v>3</v>
      </c>
      <c r="DG4861" s="405" t="s">
        <v>376</v>
      </c>
      <c r="DH4861" s="406" t="s">
        <v>1055</v>
      </c>
      <c r="DI4861" s="406" t="str">
        <f t="shared" si="107"/>
        <v>SP, Bom Jesus dos Perdões</v>
      </c>
      <c r="DJ4861" s="406">
        <v>-23.135000000000002</v>
      </c>
      <c r="DK4861" s="80">
        <v>-46.465000000000003</v>
      </c>
      <c r="DL4861" s="80">
        <v>770</v>
      </c>
      <c r="DM4861" s="64">
        <v>3</v>
      </c>
      <c r="DN4861" s="406" t="s">
        <v>6861</v>
      </c>
      <c r="DO4861" s="406">
        <v>-22.86</v>
      </c>
      <c r="DP4861" s="80">
        <v>1500</v>
      </c>
    </row>
    <row r="4862" spans="29:120" x14ac:dyDescent="0.25">
      <c r="AC4862" s="122" t="s">
        <v>323</v>
      </c>
      <c r="AD4862" s="122" t="s">
        <v>5069</v>
      </c>
      <c r="AE4862" s="127">
        <v>8</v>
      </c>
      <c r="DA4862" s="122" t="s">
        <v>376</v>
      </c>
      <c r="DB4862" s="122" t="s">
        <v>8744</v>
      </c>
      <c r="DC4862" s="122" t="s">
        <v>910</v>
      </c>
      <c r="DD4862" s="127">
        <v>2</v>
      </c>
      <c r="DE4862" s="127">
        <v>2</v>
      </c>
      <c r="DG4862" s="405" t="s">
        <v>376</v>
      </c>
      <c r="DH4862" s="406" t="s">
        <v>910</v>
      </c>
      <c r="DI4862" s="406" t="str">
        <f t="shared" si="107"/>
        <v>SP, Bom Sucesso de Itararé</v>
      </c>
      <c r="DJ4862" s="406">
        <v>-24.318000000000001</v>
      </c>
      <c r="DK4862" s="80">
        <v>-49.143999999999998</v>
      </c>
      <c r="DL4862" s="80">
        <v>950</v>
      </c>
      <c r="DM4862" s="64">
        <v>2</v>
      </c>
      <c r="DN4862" s="406" t="s">
        <v>7807</v>
      </c>
      <c r="DO4862" s="406">
        <v>-23.98</v>
      </c>
      <c r="DP4862" s="80">
        <v>707</v>
      </c>
    </row>
    <row r="4863" spans="29:120" x14ac:dyDescent="0.25">
      <c r="AC4863" s="122" t="s">
        <v>348</v>
      </c>
      <c r="AD4863" s="122" t="s">
        <v>5070</v>
      </c>
      <c r="AE4863" s="127">
        <v>8</v>
      </c>
      <c r="DA4863" s="122" t="s">
        <v>376</v>
      </c>
      <c r="DB4863" s="122" t="s">
        <v>4044</v>
      </c>
      <c r="DC4863" s="122" t="s">
        <v>4044</v>
      </c>
      <c r="DD4863" s="127">
        <v>3</v>
      </c>
      <c r="DE4863" s="127">
        <v>3</v>
      </c>
      <c r="DG4863" s="405" t="s">
        <v>376</v>
      </c>
      <c r="DH4863" s="406" t="s">
        <v>4044</v>
      </c>
      <c r="DI4863" s="406" t="str">
        <f t="shared" si="107"/>
        <v>SP, Borá</v>
      </c>
      <c r="DJ4863" s="406">
        <v>-22.27</v>
      </c>
      <c r="DK4863" s="80">
        <v>-50.533999999999999</v>
      </c>
      <c r="DL4863" s="80">
        <v>582</v>
      </c>
      <c r="DM4863" s="64">
        <v>3</v>
      </c>
      <c r="DN4863" s="406" t="s">
        <v>7819</v>
      </c>
      <c r="DO4863" s="406">
        <v>-22.37</v>
      </c>
      <c r="DP4863" s="80">
        <v>350</v>
      </c>
    </row>
    <row r="4864" spans="29:120" x14ac:dyDescent="0.25">
      <c r="AC4864" s="122" t="s">
        <v>317</v>
      </c>
      <c r="AD4864" s="122" t="s">
        <v>5071</v>
      </c>
      <c r="AE4864" s="127">
        <v>5</v>
      </c>
      <c r="DA4864" s="122" t="s">
        <v>376</v>
      </c>
      <c r="DB4864" s="122" t="s">
        <v>3509</v>
      </c>
      <c r="DC4864" s="122" t="s">
        <v>3509</v>
      </c>
      <c r="DD4864" s="127">
        <v>4</v>
      </c>
      <c r="DE4864" s="127">
        <v>4</v>
      </c>
      <c r="DG4864" s="405" t="s">
        <v>376</v>
      </c>
      <c r="DH4864" s="406" t="s">
        <v>3509</v>
      </c>
      <c r="DI4864" s="406" t="str">
        <f t="shared" si="107"/>
        <v>SP, Boracéia</v>
      </c>
      <c r="DJ4864" s="406">
        <v>-22.193000000000001</v>
      </c>
      <c r="DK4864" s="80">
        <v>-48.779000000000003</v>
      </c>
      <c r="DL4864" s="80">
        <v>480</v>
      </c>
      <c r="DM4864" s="64">
        <v>4</v>
      </c>
      <c r="DN4864" s="406" t="s">
        <v>8717</v>
      </c>
      <c r="DO4864" s="406">
        <v>-22.32</v>
      </c>
      <c r="DP4864" s="80">
        <v>550</v>
      </c>
    </row>
    <row r="4865" spans="29:120" x14ac:dyDescent="0.25">
      <c r="AC4865" s="122" t="s">
        <v>289</v>
      </c>
      <c r="AD4865" s="122" t="s">
        <v>5072</v>
      </c>
      <c r="AE4865" s="127">
        <v>8</v>
      </c>
      <c r="DA4865" s="122" t="s">
        <v>376</v>
      </c>
      <c r="DB4865" s="122" t="s">
        <v>2276</v>
      </c>
      <c r="DC4865" s="122" t="s">
        <v>2276</v>
      </c>
      <c r="DD4865" s="127">
        <v>3</v>
      </c>
      <c r="DE4865" s="127">
        <v>3</v>
      </c>
      <c r="DG4865" s="405" t="s">
        <v>376</v>
      </c>
      <c r="DH4865" s="406" t="s">
        <v>2276</v>
      </c>
      <c r="DI4865" s="406" t="str">
        <f t="shared" si="107"/>
        <v>SP, Borborema</v>
      </c>
      <c r="DJ4865" s="406">
        <v>-21.62</v>
      </c>
      <c r="DK4865" s="80">
        <v>-49.073999999999998</v>
      </c>
      <c r="DL4865" s="80">
        <v>429</v>
      </c>
      <c r="DM4865" s="64">
        <v>3</v>
      </c>
      <c r="DN4865" s="406" t="s">
        <v>8733</v>
      </c>
      <c r="DO4865" s="406">
        <v>-21.86</v>
      </c>
      <c r="DP4865" s="80">
        <v>492</v>
      </c>
    </row>
    <row r="4866" spans="29:120" x14ac:dyDescent="0.25">
      <c r="AC4866" s="122" t="s">
        <v>323</v>
      </c>
      <c r="AD4866" s="122" t="s">
        <v>5073</v>
      </c>
      <c r="AE4866" s="127">
        <v>8</v>
      </c>
      <c r="DA4866" s="122" t="s">
        <v>376</v>
      </c>
      <c r="DB4866" s="122" t="s">
        <v>1014</v>
      </c>
      <c r="DC4866" s="122" t="s">
        <v>1014</v>
      </c>
      <c r="DD4866" s="127">
        <v>3</v>
      </c>
      <c r="DE4866" s="127">
        <v>3</v>
      </c>
      <c r="DG4866" s="405" t="s">
        <v>376</v>
      </c>
      <c r="DH4866" s="406" t="s">
        <v>1014</v>
      </c>
      <c r="DI4866" s="406" t="str">
        <f t="shared" si="107"/>
        <v>SP, Borebi</v>
      </c>
      <c r="DJ4866" s="406">
        <v>-22.568999999999999</v>
      </c>
      <c r="DK4866" s="80">
        <v>-48.970999999999997</v>
      </c>
      <c r="DL4866" s="80">
        <v>590</v>
      </c>
      <c r="DM4866" s="64">
        <v>3</v>
      </c>
      <c r="DN4866" s="406" t="s">
        <v>8717</v>
      </c>
      <c r="DO4866" s="406">
        <v>-22.32</v>
      </c>
      <c r="DP4866" s="80">
        <v>550</v>
      </c>
    </row>
    <row r="4867" spans="29:120" x14ac:dyDescent="0.25">
      <c r="AC4867" s="122" t="s">
        <v>323</v>
      </c>
      <c r="AD4867" s="122" t="s">
        <v>5074</v>
      </c>
      <c r="AE4867" s="127">
        <v>8</v>
      </c>
      <c r="DA4867" s="122" t="s">
        <v>376</v>
      </c>
      <c r="DB4867" s="122" t="s">
        <v>2733</v>
      </c>
      <c r="DC4867" s="122" t="s">
        <v>2733</v>
      </c>
      <c r="DD4867" s="127">
        <v>3</v>
      </c>
      <c r="DE4867" s="127">
        <v>3</v>
      </c>
      <c r="DG4867" s="405" t="s">
        <v>376</v>
      </c>
      <c r="DH4867" s="406" t="s">
        <v>2733</v>
      </c>
      <c r="DI4867" s="406" t="str">
        <f t="shared" ref="DI4867:DI4930" si="108">CONCATENATE(DG4867,", ",DH4867)</f>
        <v>SP, Botucatu</v>
      </c>
      <c r="DJ4867" s="406">
        <v>-22.885999999999999</v>
      </c>
      <c r="DK4867" s="80">
        <v>-48.445</v>
      </c>
      <c r="DL4867" s="80">
        <v>804</v>
      </c>
      <c r="DM4867" s="64">
        <v>3</v>
      </c>
      <c r="DN4867" s="406" t="s">
        <v>8714</v>
      </c>
      <c r="DO4867" s="406">
        <v>-23.1</v>
      </c>
      <c r="DP4867" s="80">
        <v>654</v>
      </c>
    </row>
    <row r="4868" spans="29:120" x14ac:dyDescent="0.25">
      <c r="AC4868" s="122" t="s">
        <v>323</v>
      </c>
      <c r="AD4868" s="122" t="s">
        <v>5075</v>
      </c>
      <c r="AE4868" s="127">
        <v>8</v>
      </c>
      <c r="DA4868" s="122" t="s">
        <v>376</v>
      </c>
      <c r="DB4868" s="122" t="s">
        <v>8745</v>
      </c>
      <c r="DC4868" s="122" t="s">
        <v>1065</v>
      </c>
      <c r="DD4868" s="127">
        <v>3</v>
      </c>
      <c r="DE4868" s="127">
        <v>3</v>
      </c>
      <c r="DG4868" s="405" t="s">
        <v>376</v>
      </c>
      <c r="DH4868" s="406" t="s">
        <v>1065</v>
      </c>
      <c r="DI4868" s="406" t="str">
        <f t="shared" si="108"/>
        <v>SP, Bragança Paulista</v>
      </c>
      <c r="DJ4868" s="406">
        <v>-22.952000000000002</v>
      </c>
      <c r="DK4868" s="80">
        <v>-46.542000000000002</v>
      </c>
      <c r="DL4868" s="80">
        <v>817</v>
      </c>
      <c r="DM4868" s="64">
        <v>3</v>
      </c>
      <c r="DN4868" s="406" t="s">
        <v>6861</v>
      </c>
      <c r="DO4868" s="406">
        <v>-22.86</v>
      </c>
      <c r="DP4868" s="80">
        <v>1500</v>
      </c>
    </row>
    <row r="4869" spans="29:120" x14ac:dyDescent="0.25">
      <c r="AC4869" s="122" t="s">
        <v>357</v>
      </c>
      <c r="AD4869" s="122" t="s">
        <v>5076</v>
      </c>
      <c r="AE4869" s="127">
        <v>7</v>
      </c>
      <c r="DA4869" s="122" t="s">
        <v>376</v>
      </c>
      <c r="DB4869" s="122" t="s">
        <v>3965</v>
      </c>
      <c r="DC4869" s="122" t="s">
        <v>3965</v>
      </c>
      <c r="DD4869" s="127">
        <v>3</v>
      </c>
      <c r="DE4869" s="127">
        <v>3</v>
      </c>
      <c r="DG4869" s="405" t="s">
        <v>376</v>
      </c>
      <c r="DH4869" s="406" t="s">
        <v>3965</v>
      </c>
      <c r="DI4869" s="406" t="str">
        <f t="shared" si="108"/>
        <v>SP, Braúna</v>
      </c>
      <c r="DJ4869" s="406">
        <v>-21.498999999999999</v>
      </c>
      <c r="DK4869" s="80">
        <v>-50.316000000000003</v>
      </c>
      <c r="DL4869" s="80">
        <v>401</v>
      </c>
      <c r="DM4869" s="64">
        <v>3</v>
      </c>
      <c r="DN4869" s="406" t="s">
        <v>8709</v>
      </c>
      <c r="DO4869" s="406">
        <v>-21.32</v>
      </c>
      <c r="DP4869" s="80">
        <v>374</v>
      </c>
    </row>
    <row r="4870" spans="29:120" x14ac:dyDescent="0.25">
      <c r="AC4870" s="122" t="s">
        <v>247</v>
      </c>
      <c r="AD4870" s="122" t="s">
        <v>5077</v>
      </c>
      <c r="AE4870" s="127">
        <v>8</v>
      </c>
      <c r="DA4870" s="122" t="s">
        <v>376</v>
      </c>
      <c r="DB4870" s="122" t="s">
        <v>8746</v>
      </c>
      <c r="DC4870" s="122" t="s">
        <v>3950</v>
      </c>
      <c r="DD4870" s="127">
        <v>6</v>
      </c>
      <c r="DE4870" s="127">
        <v>6</v>
      </c>
      <c r="DG4870" s="405" t="s">
        <v>376</v>
      </c>
      <c r="DH4870" s="406" t="s">
        <v>3950</v>
      </c>
      <c r="DI4870" s="406" t="str">
        <f t="shared" si="108"/>
        <v>SP, Brejo Alegre</v>
      </c>
      <c r="DJ4870" s="406">
        <v>-21.166</v>
      </c>
      <c r="DK4870" s="80">
        <v>-50.185000000000002</v>
      </c>
      <c r="DL4870" s="80">
        <v>390</v>
      </c>
      <c r="DM4870" s="64">
        <v>6</v>
      </c>
      <c r="DN4870" s="406" t="s">
        <v>8710</v>
      </c>
      <c r="DO4870" s="406">
        <v>-21.1</v>
      </c>
      <c r="DP4870" s="80">
        <v>405</v>
      </c>
    </row>
    <row r="4871" spans="29:120" x14ac:dyDescent="0.25">
      <c r="AC4871" s="122" t="s">
        <v>289</v>
      </c>
      <c r="AD4871" s="122" t="s">
        <v>5078</v>
      </c>
      <c r="AE4871" s="127">
        <v>8</v>
      </c>
      <c r="DA4871" s="122" t="s">
        <v>376</v>
      </c>
      <c r="DB4871" s="122" t="s">
        <v>3827</v>
      </c>
      <c r="DC4871" s="122" t="s">
        <v>3827</v>
      </c>
      <c r="DD4871" s="127">
        <v>4</v>
      </c>
      <c r="DE4871" s="127">
        <v>4</v>
      </c>
      <c r="DG4871" s="405" t="s">
        <v>376</v>
      </c>
      <c r="DH4871" s="406" t="s">
        <v>3827</v>
      </c>
      <c r="DI4871" s="406" t="str">
        <f t="shared" si="108"/>
        <v>SP, Brodowski</v>
      </c>
      <c r="DJ4871" s="406">
        <v>-20.991</v>
      </c>
      <c r="DK4871" s="80">
        <v>-47.658999999999999</v>
      </c>
      <c r="DL4871" s="80">
        <v>861</v>
      </c>
      <c r="DM4871" s="64">
        <v>4</v>
      </c>
      <c r="DN4871" s="406" t="s">
        <v>6892</v>
      </c>
      <c r="DO4871" s="406">
        <v>-20.54</v>
      </c>
      <c r="DP4871" s="80">
        <v>1026</v>
      </c>
    </row>
    <row r="4872" spans="29:120" x14ac:dyDescent="0.25">
      <c r="AC4872" s="122" t="s">
        <v>369</v>
      </c>
      <c r="AD4872" s="122" t="s">
        <v>5079</v>
      </c>
      <c r="AE4872" s="127">
        <v>8</v>
      </c>
      <c r="DA4872" s="122" t="s">
        <v>376</v>
      </c>
      <c r="DB4872" s="122" t="s">
        <v>3821</v>
      </c>
      <c r="DC4872" s="122" t="s">
        <v>3821</v>
      </c>
      <c r="DD4872" s="127">
        <v>4</v>
      </c>
      <c r="DE4872" s="127">
        <v>4</v>
      </c>
      <c r="DG4872" s="405" t="s">
        <v>376</v>
      </c>
      <c r="DH4872" s="406" t="s">
        <v>3821</v>
      </c>
      <c r="DI4872" s="406" t="str">
        <f t="shared" si="108"/>
        <v>SP, Brotas</v>
      </c>
      <c r="DJ4872" s="406">
        <v>-22.283999999999999</v>
      </c>
      <c r="DK4872" s="80">
        <v>-48.127000000000002</v>
      </c>
      <c r="DL4872" s="80">
        <v>647</v>
      </c>
      <c r="DM4872" s="64">
        <v>4</v>
      </c>
      <c r="DN4872" s="406" t="s">
        <v>8728</v>
      </c>
      <c r="DO4872" s="406">
        <v>-22.02</v>
      </c>
      <c r="DP4872" s="80">
        <v>863</v>
      </c>
    </row>
    <row r="4873" spans="29:120" x14ac:dyDescent="0.25">
      <c r="AC4873" s="122" t="s">
        <v>323</v>
      </c>
      <c r="AD4873" s="122" t="s">
        <v>4494</v>
      </c>
      <c r="AE4873" s="127">
        <v>8</v>
      </c>
      <c r="DA4873" s="122" t="s">
        <v>376</v>
      </c>
      <c r="DB4873" s="122" t="s">
        <v>995</v>
      </c>
      <c r="DC4873" s="122" t="s">
        <v>995</v>
      </c>
      <c r="DD4873" s="127">
        <v>3</v>
      </c>
      <c r="DE4873" s="127">
        <v>3</v>
      </c>
      <c r="DG4873" s="405" t="s">
        <v>376</v>
      </c>
      <c r="DH4873" s="406" t="s">
        <v>995</v>
      </c>
      <c r="DI4873" s="406" t="str">
        <f t="shared" si="108"/>
        <v>SP, Buri</v>
      </c>
      <c r="DJ4873" s="406">
        <v>-23.797999999999998</v>
      </c>
      <c r="DK4873" s="80">
        <v>-48.593000000000004</v>
      </c>
      <c r="DL4873" s="80">
        <v>590</v>
      </c>
      <c r="DM4873" s="64">
        <v>3</v>
      </c>
      <c r="DN4873" s="406" t="s">
        <v>7807</v>
      </c>
      <c r="DO4873" s="406">
        <v>-23.98</v>
      </c>
      <c r="DP4873" s="80">
        <v>707</v>
      </c>
    </row>
    <row r="4874" spans="29:120" x14ac:dyDescent="0.25">
      <c r="AC4874" s="122" t="s">
        <v>333</v>
      </c>
      <c r="AD4874" s="122" t="s">
        <v>5080</v>
      </c>
      <c r="AE4874" s="127">
        <v>5</v>
      </c>
      <c r="DA4874" s="122" t="s">
        <v>376</v>
      </c>
      <c r="DB4874" s="122" t="s">
        <v>4015</v>
      </c>
      <c r="DC4874" s="122" t="s">
        <v>4015</v>
      </c>
      <c r="DD4874" s="127">
        <v>6</v>
      </c>
      <c r="DE4874" s="127">
        <v>6</v>
      </c>
      <c r="DG4874" s="405" t="s">
        <v>376</v>
      </c>
      <c r="DH4874" s="406" t="s">
        <v>4015</v>
      </c>
      <c r="DI4874" s="406" t="str">
        <f t="shared" si="108"/>
        <v>SP, Buritama</v>
      </c>
      <c r="DJ4874" s="406">
        <v>-21.065999999999999</v>
      </c>
      <c r="DK4874" s="80">
        <v>-50.146999999999998</v>
      </c>
      <c r="DL4874" s="80">
        <v>391</v>
      </c>
      <c r="DM4874" s="64">
        <v>6</v>
      </c>
      <c r="DN4874" s="406" t="s">
        <v>8710</v>
      </c>
      <c r="DO4874" s="406">
        <v>-21.1</v>
      </c>
      <c r="DP4874" s="80">
        <v>405</v>
      </c>
    </row>
    <row r="4875" spans="29:120" x14ac:dyDescent="0.25">
      <c r="AC4875" s="122" t="s">
        <v>247</v>
      </c>
      <c r="AD4875" s="122" t="s">
        <v>5081</v>
      </c>
      <c r="AE4875" s="127">
        <v>8</v>
      </c>
      <c r="DA4875" s="122" t="s">
        <v>376</v>
      </c>
      <c r="DB4875" s="122" t="s">
        <v>3930</v>
      </c>
      <c r="DC4875" s="122" t="s">
        <v>3930</v>
      </c>
      <c r="DD4875" s="127">
        <v>4</v>
      </c>
      <c r="DE4875" s="127">
        <v>4</v>
      </c>
      <c r="DG4875" s="405" t="s">
        <v>376</v>
      </c>
      <c r="DH4875" s="406" t="s">
        <v>3930</v>
      </c>
      <c r="DI4875" s="406" t="str">
        <f t="shared" si="108"/>
        <v>SP, Buritizal</v>
      </c>
      <c r="DJ4875" s="406">
        <v>-20.190999999999999</v>
      </c>
      <c r="DK4875" s="80">
        <v>-47.707999999999998</v>
      </c>
      <c r="DL4875" s="80">
        <v>855</v>
      </c>
      <c r="DM4875" s="64">
        <v>4</v>
      </c>
      <c r="DN4875" s="406" t="s">
        <v>8732</v>
      </c>
      <c r="DO4875" s="406">
        <v>-20.36</v>
      </c>
      <c r="DP4875" s="80">
        <v>600</v>
      </c>
    </row>
    <row r="4876" spans="29:120" x14ac:dyDescent="0.25">
      <c r="AC4876" s="122" t="s">
        <v>333</v>
      </c>
      <c r="AD4876" s="122" t="s">
        <v>5082</v>
      </c>
      <c r="AE4876" s="127">
        <v>5</v>
      </c>
      <c r="DA4876" s="122" t="s">
        <v>376</v>
      </c>
      <c r="DB4876" s="122" t="s">
        <v>8747</v>
      </c>
      <c r="DC4876" s="122" t="s">
        <v>3943</v>
      </c>
      <c r="DD4876" s="127">
        <v>3</v>
      </c>
      <c r="DE4876" s="127">
        <v>3</v>
      </c>
      <c r="DG4876" s="405" t="s">
        <v>376</v>
      </c>
      <c r="DH4876" s="406" t="s">
        <v>3943</v>
      </c>
      <c r="DI4876" s="406" t="str">
        <f t="shared" si="108"/>
        <v>SP, Cabrália Paulista</v>
      </c>
      <c r="DJ4876" s="406">
        <v>-22.456</v>
      </c>
      <c r="DK4876" s="80">
        <v>-49.338000000000001</v>
      </c>
      <c r="DL4876" s="80">
        <v>539</v>
      </c>
      <c r="DM4876" s="64">
        <v>3</v>
      </c>
      <c r="DN4876" s="406" t="s">
        <v>8717</v>
      </c>
      <c r="DO4876" s="406">
        <v>-22.32</v>
      </c>
      <c r="DP4876" s="80">
        <v>550</v>
      </c>
    </row>
    <row r="4877" spans="29:120" x14ac:dyDescent="0.25">
      <c r="AC4877" s="122" t="s">
        <v>298</v>
      </c>
      <c r="AD4877" s="122" t="s">
        <v>5083</v>
      </c>
      <c r="AE4877" s="127">
        <v>8</v>
      </c>
      <c r="DA4877" s="122" t="s">
        <v>376</v>
      </c>
      <c r="DB4877" s="122" t="s">
        <v>1052</v>
      </c>
      <c r="DC4877" s="122" t="s">
        <v>1052</v>
      </c>
      <c r="DD4877" s="127">
        <v>3</v>
      </c>
      <c r="DE4877" s="127">
        <v>3</v>
      </c>
      <c r="DG4877" s="405" t="s">
        <v>376</v>
      </c>
      <c r="DH4877" s="406" t="s">
        <v>1052</v>
      </c>
      <c r="DI4877" s="406" t="str">
        <f t="shared" si="108"/>
        <v>SP, Cabreúva</v>
      </c>
      <c r="DJ4877" s="406">
        <v>-23.308</v>
      </c>
      <c r="DK4877" s="80">
        <v>-47.133000000000003</v>
      </c>
      <c r="DL4877" s="80">
        <v>650</v>
      </c>
      <c r="DM4877" s="64">
        <v>3</v>
      </c>
      <c r="DN4877" s="406" t="s">
        <v>8718</v>
      </c>
      <c r="DO4877" s="406">
        <v>-23.5</v>
      </c>
      <c r="DP4877" s="80">
        <v>609</v>
      </c>
    </row>
    <row r="4878" spans="29:120" x14ac:dyDescent="0.25">
      <c r="AC4878" s="122" t="s">
        <v>369</v>
      </c>
      <c r="AD4878" s="122" t="s">
        <v>3504</v>
      </c>
      <c r="AE4878" s="127">
        <v>8</v>
      </c>
      <c r="DA4878" s="122" t="s">
        <v>376</v>
      </c>
      <c r="DB4878" s="122" t="s">
        <v>914</v>
      </c>
      <c r="DC4878" s="122" t="s">
        <v>914</v>
      </c>
      <c r="DD4878" s="127">
        <v>3</v>
      </c>
      <c r="DE4878" s="127">
        <v>3</v>
      </c>
      <c r="DG4878" s="405" t="s">
        <v>376</v>
      </c>
      <c r="DH4878" s="406" t="s">
        <v>914</v>
      </c>
      <c r="DI4878" s="406" t="str">
        <f t="shared" si="108"/>
        <v>SP, Caçapava</v>
      </c>
      <c r="DJ4878" s="406">
        <v>-23.100999999999999</v>
      </c>
      <c r="DK4878" s="80">
        <v>-45.707000000000001</v>
      </c>
      <c r="DL4878" s="80">
        <v>560</v>
      </c>
      <c r="DM4878" s="64">
        <v>3</v>
      </c>
      <c r="DN4878" s="406" t="s">
        <v>8748</v>
      </c>
      <c r="DO4878" s="406">
        <v>-23.03</v>
      </c>
      <c r="DP4878" s="80">
        <v>571</v>
      </c>
    </row>
    <row r="4879" spans="29:120" x14ac:dyDescent="0.25">
      <c r="AC4879" s="122" t="s">
        <v>344</v>
      </c>
      <c r="AD4879" s="122" t="s">
        <v>5084</v>
      </c>
      <c r="AE4879" s="127">
        <v>8</v>
      </c>
      <c r="DA4879" s="122" t="s">
        <v>376</v>
      </c>
      <c r="DB4879" s="122" t="s">
        <v>8749</v>
      </c>
      <c r="DC4879" s="122" t="s">
        <v>3650</v>
      </c>
      <c r="DD4879" s="127">
        <v>2</v>
      </c>
      <c r="DE4879" s="127">
        <v>2</v>
      </c>
      <c r="DG4879" s="405" t="s">
        <v>376</v>
      </c>
      <c r="DH4879" s="406" t="s">
        <v>3650</v>
      </c>
      <c r="DI4879" s="406" t="str">
        <f t="shared" si="108"/>
        <v>SP, Cachoeira Paulista</v>
      </c>
      <c r="DJ4879" s="406">
        <v>-22.664999999999999</v>
      </c>
      <c r="DK4879" s="80">
        <v>-45.009</v>
      </c>
      <c r="DL4879" s="80">
        <v>521</v>
      </c>
      <c r="DM4879" s="64">
        <v>2</v>
      </c>
      <c r="DN4879" s="406" t="s">
        <v>6837</v>
      </c>
      <c r="DO4879" s="406">
        <v>-22.39</v>
      </c>
      <c r="DP4879" s="80">
        <v>1040</v>
      </c>
    </row>
    <row r="4880" spans="29:120" x14ac:dyDescent="0.25">
      <c r="AC4880" s="122" t="s">
        <v>247</v>
      </c>
      <c r="AD4880" s="122" t="s">
        <v>5085</v>
      </c>
      <c r="AE4880" s="127">
        <v>8</v>
      </c>
      <c r="DA4880" s="122" t="s">
        <v>376</v>
      </c>
      <c r="DB4880" s="122" t="s">
        <v>936</v>
      </c>
      <c r="DC4880" s="122" t="s">
        <v>936</v>
      </c>
      <c r="DD4880" s="127">
        <v>3</v>
      </c>
      <c r="DE4880" s="127">
        <v>3</v>
      </c>
      <c r="DG4880" s="405" t="s">
        <v>376</v>
      </c>
      <c r="DH4880" s="406" t="s">
        <v>936</v>
      </c>
      <c r="DI4880" s="406" t="str">
        <f t="shared" si="108"/>
        <v>SP, Caconde</v>
      </c>
      <c r="DJ4880" s="406">
        <v>-21.529</v>
      </c>
      <c r="DK4880" s="80">
        <v>-46.643999999999998</v>
      </c>
      <c r="DL4880" s="80">
        <v>780</v>
      </c>
      <c r="DM4880" s="64">
        <v>3</v>
      </c>
      <c r="DN4880" s="406" t="s">
        <v>6823</v>
      </c>
      <c r="DO4880" s="406">
        <v>-21.92</v>
      </c>
      <c r="DP4880" s="80">
        <v>1150</v>
      </c>
    </row>
    <row r="4881" spans="29:120" x14ac:dyDescent="0.25">
      <c r="AC4881" s="122" t="s">
        <v>289</v>
      </c>
      <c r="AD4881" s="122" t="s">
        <v>5013</v>
      </c>
      <c r="AE4881" s="127">
        <v>8</v>
      </c>
      <c r="DA4881" s="122" t="s">
        <v>376</v>
      </c>
      <c r="DB4881" s="122" t="s">
        <v>3175</v>
      </c>
      <c r="DC4881" s="122" t="s">
        <v>3175</v>
      </c>
      <c r="DD4881" s="127">
        <v>3</v>
      </c>
      <c r="DE4881" s="127">
        <v>3</v>
      </c>
      <c r="DG4881" s="405" t="s">
        <v>376</v>
      </c>
      <c r="DH4881" s="406" t="s">
        <v>3175</v>
      </c>
      <c r="DI4881" s="406" t="str">
        <f t="shared" si="108"/>
        <v>SP, Cafelândia</v>
      </c>
      <c r="DJ4881" s="406">
        <v>-21.803000000000001</v>
      </c>
      <c r="DK4881" s="80">
        <v>-49.61</v>
      </c>
      <c r="DL4881" s="80">
        <v>445</v>
      </c>
      <c r="DM4881" s="64">
        <v>3</v>
      </c>
      <c r="DN4881" s="406" t="s">
        <v>8722</v>
      </c>
      <c r="DO4881" s="406">
        <v>-21.68</v>
      </c>
      <c r="DP4881" s="80">
        <v>459</v>
      </c>
    </row>
    <row r="4882" spans="29:120" x14ac:dyDescent="0.25">
      <c r="AC4882" s="122" t="s">
        <v>369</v>
      </c>
      <c r="AD4882" s="122" t="s">
        <v>5086</v>
      </c>
      <c r="AE4882" s="127">
        <v>8</v>
      </c>
      <c r="DA4882" s="122" t="s">
        <v>376</v>
      </c>
      <c r="DB4882" s="122" t="s">
        <v>3820</v>
      </c>
      <c r="DC4882" s="122" t="s">
        <v>3820</v>
      </c>
      <c r="DD4882" s="127">
        <v>6</v>
      </c>
      <c r="DE4882" s="127">
        <v>6</v>
      </c>
      <c r="DG4882" s="405" t="s">
        <v>376</v>
      </c>
      <c r="DH4882" s="406" t="s">
        <v>3820</v>
      </c>
      <c r="DI4882" s="406" t="str">
        <f t="shared" si="108"/>
        <v>SP, Caiabu</v>
      </c>
      <c r="DJ4882" s="406">
        <v>-22.012</v>
      </c>
      <c r="DK4882" s="80">
        <v>-51.235999999999997</v>
      </c>
      <c r="DL4882" s="80">
        <v>520</v>
      </c>
      <c r="DM4882" s="64">
        <v>6</v>
      </c>
      <c r="DN4882" s="406" t="s">
        <v>8720</v>
      </c>
      <c r="DO4882" s="406">
        <v>-22.13</v>
      </c>
      <c r="DP4882" s="80">
        <v>436</v>
      </c>
    </row>
    <row r="4883" spans="29:120" x14ac:dyDescent="0.25">
      <c r="AC4883" s="122" t="s">
        <v>375</v>
      </c>
      <c r="AD4883" s="122" t="s">
        <v>560</v>
      </c>
      <c r="AE4883" s="127">
        <v>8</v>
      </c>
      <c r="DA4883" s="122" t="s">
        <v>376</v>
      </c>
      <c r="DB4883" s="122" t="s">
        <v>728</v>
      </c>
      <c r="DC4883" s="122" t="s">
        <v>728</v>
      </c>
      <c r="DD4883" s="127">
        <v>3</v>
      </c>
      <c r="DE4883" s="127">
        <v>3</v>
      </c>
      <c r="DG4883" s="405" t="s">
        <v>376</v>
      </c>
      <c r="DH4883" s="406" t="s">
        <v>728</v>
      </c>
      <c r="DI4883" s="406" t="str">
        <f t="shared" si="108"/>
        <v>SP, Caieiras</v>
      </c>
      <c r="DJ4883" s="406">
        <v>-23.364000000000001</v>
      </c>
      <c r="DK4883" s="80">
        <v>-46.741</v>
      </c>
      <c r="DL4883" s="80">
        <v>785</v>
      </c>
      <c r="DM4883" s="64">
        <v>3</v>
      </c>
      <c r="DN4883" s="406" t="s">
        <v>8735</v>
      </c>
      <c r="DO4883" s="406">
        <v>-23.85</v>
      </c>
      <c r="DP4883" s="80">
        <v>792</v>
      </c>
    </row>
    <row r="4884" spans="29:120" x14ac:dyDescent="0.25">
      <c r="AC4884" s="122" t="s">
        <v>344</v>
      </c>
      <c r="AD4884" s="122" t="s">
        <v>5087</v>
      </c>
      <c r="AE4884" s="127">
        <v>8</v>
      </c>
      <c r="DA4884" s="122" t="s">
        <v>376</v>
      </c>
      <c r="DB4884" s="122" t="s">
        <v>3911</v>
      </c>
      <c r="DC4884" s="122" t="s">
        <v>3911</v>
      </c>
      <c r="DD4884" s="127">
        <v>4</v>
      </c>
      <c r="DE4884" s="127">
        <v>4</v>
      </c>
      <c r="DG4884" s="405" t="s">
        <v>376</v>
      </c>
      <c r="DH4884" s="406" t="s">
        <v>3911</v>
      </c>
      <c r="DI4884" s="406" t="str">
        <f t="shared" si="108"/>
        <v>SP, Caiuá</v>
      </c>
      <c r="DJ4884" s="406">
        <v>-21.832000000000001</v>
      </c>
      <c r="DK4884" s="80">
        <v>-51.997999999999998</v>
      </c>
      <c r="DL4884" s="80">
        <v>375</v>
      </c>
      <c r="DM4884" s="64">
        <v>4</v>
      </c>
      <c r="DN4884" s="406" t="s">
        <v>8720</v>
      </c>
      <c r="DO4884" s="406">
        <v>-22.13</v>
      </c>
      <c r="DP4884" s="80">
        <v>436</v>
      </c>
    </row>
    <row r="4885" spans="29:120" x14ac:dyDescent="0.25">
      <c r="AC4885" s="122" t="s">
        <v>323</v>
      </c>
      <c r="AD4885" s="122" t="s">
        <v>5088</v>
      </c>
      <c r="AE4885" s="127">
        <v>8</v>
      </c>
      <c r="DA4885" s="122" t="s">
        <v>376</v>
      </c>
      <c r="DB4885" s="122" t="s">
        <v>1003</v>
      </c>
      <c r="DC4885" s="122" t="s">
        <v>1003</v>
      </c>
      <c r="DD4885" s="127">
        <v>3</v>
      </c>
      <c r="DE4885" s="127">
        <v>3</v>
      </c>
      <c r="DG4885" s="405" t="s">
        <v>376</v>
      </c>
      <c r="DH4885" s="406" t="s">
        <v>1003</v>
      </c>
      <c r="DI4885" s="406" t="str">
        <f t="shared" si="108"/>
        <v>SP, Cajamar</v>
      </c>
      <c r="DJ4885" s="406">
        <v>-23.356000000000002</v>
      </c>
      <c r="DK4885" s="80">
        <v>-46.877000000000002</v>
      </c>
      <c r="DL4885" s="80">
        <v>735</v>
      </c>
      <c r="DM4885" s="64">
        <v>3</v>
      </c>
      <c r="DN4885" s="406" t="s">
        <v>8735</v>
      </c>
      <c r="DO4885" s="406">
        <v>-23.85</v>
      </c>
      <c r="DP4885" s="80">
        <v>792</v>
      </c>
    </row>
    <row r="4886" spans="29:120" x14ac:dyDescent="0.25">
      <c r="AC4886" s="122" t="s">
        <v>289</v>
      </c>
      <c r="AD4886" s="122" t="s">
        <v>5089</v>
      </c>
      <c r="AE4886" s="127">
        <v>8</v>
      </c>
      <c r="DA4886" s="122" t="s">
        <v>376</v>
      </c>
      <c r="DB4886" s="122" t="s">
        <v>3801</v>
      </c>
      <c r="DC4886" s="122" t="s">
        <v>3801</v>
      </c>
      <c r="DD4886" s="127">
        <v>5</v>
      </c>
      <c r="DE4886" s="127">
        <v>5</v>
      </c>
      <c r="DG4886" s="405" t="s">
        <v>376</v>
      </c>
      <c r="DH4886" s="406" t="s">
        <v>3801</v>
      </c>
      <c r="DI4886" s="406" t="str">
        <f t="shared" si="108"/>
        <v>SP, Cajati</v>
      </c>
      <c r="DJ4886" s="406">
        <v>-24.736000000000001</v>
      </c>
      <c r="DK4886" s="80">
        <v>-48.122999999999998</v>
      </c>
      <c r="DL4886" s="80">
        <v>75</v>
      </c>
      <c r="DM4886" s="64">
        <v>5</v>
      </c>
      <c r="DN4886" s="406" t="s">
        <v>8750</v>
      </c>
      <c r="DO4886" s="406">
        <v>-24.71</v>
      </c>
      <c r="DP4886" s="80">
        <v>3</v>
      </c>
    </row>
    <row r="4887" spans="29:120" x14ac:dyDescent="0.25">
      <c r="AC4887" s="122" t="s">
        <v>369</v>
      </c>
      <c r="AD4887" s="122" t="s">
        <v>4498</v>
      </c>
      <c r="AE4887" s="127">
        <v>8</v>
      </c>
      <c r="DA4887" s="122" t="s">
        <v>376</v>
      </c>
      <c r="DB4887" s="122" t="s">
        <v>3831</v>
      </c>
      <c r="DC4887" s="122" t="s">
        <v>3831</v>
      </c>
      <c r="DD4887" s="127">
        <v>4</v>
      </c>
      <c r="DE4887" s="127">
        <v>4</v>
      </c>
      <c r="DG4887" s="405" t="s">
        <v>376</v>
      </c>
      <c r="DH4887" s="406" t="s">
        <v>3831</v>
      </c>
      <c r="DI4887" s="406" t="str">
        <f t="shared" si="108"/>
        <v>SP, Cajobi</v>
      </c>
      <c r="DJ4887" s="406">
        <v>-20.88</v>
      </c>
      <c r="DK4887" s="80">
        <v>-48.808999999999997</v>
      </c>
      <c r="DL4887" s="80">
        <v>565</v>
      </c>
      <c r="DM4887" s="64">
        <v>4</v>
      </c>
      <c r="DN4887" s="406" t="s">
        <v>8721</v>
      </c>
      <c r="DO4887" s="406">
        <v>-21.13</v>
      </c>
      <c r="DP4887" s="80">
        <v>525</v>
      </c>
    </row>
    <row r="4888" spans="29:120" x14ac:dyDescent="0.25">
      <c r="AC4888" s="122" t="s">
        <v>323</v>
      </c>
      <c r="AD4888" s="122" t="s">
        <v>5090</v>
      </c>
      <c r="AE4888" s="127">
        <v>8</v>
      </c>
      <c r="DA4888" s="122" t="s">
        <v>376</v>
      </c>
      <c r="DB4888" s="122" t="s">
        <v>1087</v>
      </c>
      <c r="DC4888" s="122" t="s">
        <v>1087</v>
      </c>
      <c r="DD4888" s="127">
        <v>4</v>
      </c>
      <c r="DE4888" s="127">
        <v>4</v>
      </c>
      <c r="DG4888" s="405" t="s">
        <v>376</v>
      </c>
      <c r="DH4888" s="406" t="s">
        <v>1087</v>
      </c>
      <c r="DI4888" s="406" t="str">
        <f t="shared" si="108"/>
        <v>SP, Cajuru</v>
      </c>
      <c r="DJ4888" s="406">
        <v>-21.274999999999999</v>
      </c>
      <c r="DK4888" s="80">
        <v>-47.304000000000002</v>
      </c>
      <c r="DL4888" s="80">
        <v>775</v>
      </c>
      <c r="DM4888" s="64">
        <v>4</v>
      </c>
      <c r="DN4888" s="406" t="s">
        <v>6833</v>
      </c>
      <c r="DO4888" s="406">
        <v>-21.77</v>
      </c>
      <c r="DP4888" s="80">
        <v>730</v>
      </c>
    </row>
    <row r="4889" spans="29:120" x14ac:dyDescent="0.25">
      <c r="AC4889" s="122" t="s">
        <v>247</v>
      </c>
      <c r="AD4889" s="122" t="s">
        <v>5091</v>
      </c>
      <c r="AE4889" s="127">
        <v>8</v>
      </c>
      <c r="DA4889" s="122" t="s">
        <v>376</v>
      </c>
      <c r="DB4889" s="122" t="s">
        <v>8751</v>
      </c>
      <c r="DC4889" s="122" t="s">
        <v>1033</v>
      </c>
      <c r="DD4889" s="127">
        <v>3</v>
      </c>
      <c r="DE4889" s="127">
        <v>3</v>
      </c>
      <c r="DG4889" s="405" t="s">
        <v>376</v>
      </c>
      <c r="DH4889" s="406" t="s">
        <v>1033</v>
      </c>
      <c r="DI4889" s="406" t="str">
        <f t="shared" si="108"/>
        <v>SP, Campina do Monte Alegre</v>
      </c>
      <c r="DJ4889" s="406">
        <v>-23.591999999999999</v>
      </c>
      <c r="DK4889" s="80">
        <v>-48.476999999999997</v>
      </c>
      <c r="DL4889" s="80">
        <v>612</v>
      </c>
      <c r="DM4889" s="64">
        <v>3</v>
      </c>
      <c r="DN4889" s="406" t="s">
        <v>7807</v>
      </c>
      <c r="DO4889" s="406">
        <v>-23.98</v>
      </c>
      <c r="DP4889" s="80">
        <v>707</v>
      </c>
    </row>
    <row r="4890" spans="29:120" x14ac:dyDescent="0.25">
      <c r="AC4890" s="122" t="s">
        <v>348</v>
      </c>
      <c r="AD4890" s="122" t="s">
        <v>5092</v>
      </c>
      <c r="AE4890" s="127">
        <v>8</v>
      </c>
      <c r="DA4890" s="122" t="s">
        <v>376</v>
      </c>
      <c r="DB4890" s="122" t="s">
        <v>3684</v>
      </c>
      <c r="DC4890" s="122" t="s">
        <v>3684</v>
      </c>
      <c r="DD4890" s="127">
        <v>3</v>
      </c>
      <c r="DE4890" s="127">
        <v>3</v>
      </c>
      <c r="DG4890" s="405" t="s">
        <v>376</v>
      </c>
      <c r="DH4890" s="406" t="s">
        <v>3684</v>
      </c>
      <c r="DI4890" s="406" t="str">
        <f t="shared" si="108"/>
        <v>SP, Campinas</v>
      </c>
      <c r="DJ4890" s="406">
        <v>-22.905999999999999</v>
      </c>
      <c r="DK4890" s="80">
        <v>-47.061</v>
      </c>
      <c r="DL4890" s="80">
        <v>854</v>
      </c>
      <c r="DM4890" s="64">
        <v>3</v>
      </c>
      <c r="DN4890" s="406" t="s">
        <v>8726</v>
      </c>
      <c r="DO4890" s="406">
        <v>-22.82</v>
      </c>
      <c r="DP4890" s="80">
        <v>640</v>
      </c>
    </row>
    <row r="4891" spans="29:120" x14ac:dyDescent="0.25">
      <c r="AC4891" s="122" t="s">
        <v>348</v>
      </c>
      <c r="AD4891" s="122" t="s">
        <v>5093</v>
      </c>
      <c r="AE4891" s="127">
        <v>8</v>
      </c>
      <c r="DA4891" s="122" t="s">
        <v>376</v>
      </c>
      <c r="DB4891" s="122" t="s">
        <v>8752</v>
      </c>
      <c r="DC4891" s="122" t="s">
        <v>1058</v>
      </c>
      <c r="DD4891" s="127">
        <v>3</v>
      </c>
      <c r="DE4891" s="127">
        <v>3</v>
      </c>
      <c r="DG4891" s="405" t="s">
        <v>376</v>
      </c>
      <c r="DH4891" s="406" t="s">
        <v>1058</v>
      </c>
      <c r="DI4891" s="406" t="str">
        <f t="shared" si="108"/>
        <v>SP, Campo Limpo Paulista</v>
      </c>
      <c r="DJ4891" s="406">
        <v>-23.206</v>
      </c>
      <c r="DK4891" s="80">
        <v>-46.783999999999999</v>
      </c>
      <c r="DL4891" s="80">
        <v>745</v>
      </c>
      <c r="DM4891" s="64">
        <v>3</v>
      </c>
      <c r="DN4891" s="406" t="s">
        <v>8726</v>
      </c>
      <c r="DO4891" s="406">
        <v>-22.82</v>
      </c>
      <c r="DP4891" s="80">
        <v>640</v>
      </c>
    </row>
    <row r="4892" spans="29:120" x14ac:dyDescent="0.25">
      <c r="AC4892" s="122" t="s">
        <v>289</v>
      </c>
      <c r="AD4892" s="122" t="s">
        <v>1612</v>
      </c>
      <c r="AE4892" s="127">
        <v>8</v>
      </c>
      <c r="DA4892" s="122" t="s">
        <v>376</v>
      </c>
      <c r="DB4892" s="122" t="s">
        <v>8753</v>
      </c>
      <c r="DC4892" s="122" t="s">
        <v>729</v>
      </c>
      <c r="DD4892" s="127">
        <v>1</v>
      </c>
      <c r="DE4892" s="127">
        <v>1</v>
      </c>
      <c r="DG4892" s="405" t="s">
        <v>376</v>
      </c>
      <c r="DH4892" s="406" t="s">
        <v>729</v>
      </c>
      <c r="DI4892" s="406" t="str">
        <f t="shared" si="108"/>
        <v>SP, Campos do Jordão</v>
      </c>
      <c r="DJ4892" s="406">
        <v>-22.739000000000001</v>
      </c>
      <c r="DK4892" s="80">
        <v>-45.591000000000001</v>
      </c>
      <c r="DL4892" s="80">
        <v>1628</v>
      </c>
      <c r="DM4892" s="64">
        <v>1</v>
      </c>
      <c r="DN4892" s="406" t="s">
        <v>6873</v>
      </c>
      <c r="DO4892" s="406">
        <v>-22.74</v>
      </c>
      <c r="DP4892" s="80">
        <v>1642</v>
      </c>
    </row>
    <row r="4893" spans="29:120" x14ac:dyDescent="0.25">
      <c r="AC4893" s="122" t="s">
        <v>289</v>
      </c>
      <c r="AD4893" s="122" t="s">
        <v>5094</v>
      </c>
      <c r="AE4893" s="127">
        <v>8</v>
      </c>
      <c r="DA4893" s="122" t="s">
        <v>376</v>
      </c>
      <c r="DB4893" s="122" t="s">
        <v>8754</v>
      </c>
      <c r="DC4893" s="122" t="s">
        <v>3807</v>
      </c>
      <c r="DD4893" s="127">
        <v>3</v>
      </c>
      <c r="DE4893" s="127">
        <v>3</v>
      </c>
      <c r="DG4893" s="405" t="s">
        <v>376</v>
      </c>
      <c r="DH4893" s="406" t="s">
        <v>3807</v>
      </c>
      <c r="DI4893" s="406" t="str">
        <f t="shared" si="108"/>
        <v>SP, Campos Novos Paulista</v>
      </c>
      <c r="DJ4893" s="406">
        <v>-22.603000000000002</v>
      </c>
      <c r="DK4893" s="80">
        <v>-50.003</v>
      </c>
      <c r="DL4893" s="80">
        <v>446</v>
      </c>
      <c r="DM4893" s="64">
        <v>3</v>
      </c>
      <c r="DN4893" s="406" t="s">
        <v>7822</v>
      </c>
      <c r="DO4893" s="406">
        <v>-22.98</v>
      </c>
      <c r="DP4893" s="80">
        <v>448</v>
      </c>
    </row>
    <row r="4894" spans="29:120" x14ac:dyDescent="0.25">
      <c r="AC4894" s="122" t="s">
        <v>289</v>
      </c>
      <c r="AD4894" s="122" t="s">
        <v>5095</v>
      </c>
      <c r="AE4894" s="127">
        <v>5</v>
      </c>
      <c r="DA4894" s="122" t="s">
        <v>376</v>
      </c>
      <c r="DB4894" s="122" t="s">
        <v>3895</v>
      </c>
      <c r="DC4894" s="122" t="s">
        <v>3895</v>
      </c>
      <c r="DD4894" s="127">
        <v>5</v>
      </c>
      <c r="DE4894" s="127">
        <v>5</v>
      </c>
      <c r="DG4894" s="405" t="s">
        <v>376</v>
      </c>
      <c r="DH4894" s="406" t="s">
        <v>3895</v>
      </c>
      <c r="DI4894" s="406" t="str">
        <f t="shared" si="108"/>
        <v>SP, Cananéia</v>
      </c>
      <c r="DJ4894" s="406">
        <v>-25.015000000000001</v>
      </c>
      <c r="DK4894" s="80">
        <v>-47.927</v>
      </c>
      <c r="DL4894" s="80">
        <v>8</v>
      </c>
      <c r="DM4894" s="64">
        <v>5</v>
      </c>
      <c r="DN4894" s="406" t="s">
        <v>8750</v>
      </c>
      <c r="DO4894" s="406">
        <v>-24.71</v>
      </c>
      <c r="DP4894" s="80">
        <v>3</v>
      </c>
    </row>
    <row r="4895" spans="29:120" x14ac:dyDescent="0.25">
      <c r="AC4895" s="122" t="s">
        <v>357</v>
      </c>
      <c r="AD4895" s="122" t="s">
        <v>5096</v>
      </c>
      <c r="AE4895" s="127">
        <v>7</v>
      </c>
      <c r="DA4895" s="122" t="s">
        <v>376</v>
      </c>
      <c r="DB4895" s="122" t="s">
        <v>3652</v>
      </c>
      <c r="DC4895" s="122" t="s">
        <v>3652</v>
      </c>
      <c r="DD4895" s="127">
        <v>2</v>
      </c>
      <c r="DE4895" s="127">
        <v>2</v>
      </c>
      <c r="DG4895" s="405" t="s">
        <v>376</v>
      </c>
      <c r="DH4895" s="406" t="s">
        <v>3652</v>
      </c>
      <c r="DI4895" s="406" t="str">
        <f t="shared" si="108"/>
        <v>SP, Canas</v>
      </c>
      <c r="DJ4895" s="406">
        <v>-22.704000000000001</v>
      </c>
      <c r="DK4895" s="80">
        <v>-45.055</v>
      </c>
      <c r="DL4895" s="80">
        <v>530</v>
      </c>
      <c r="DM4895" s="64">
        <v>2</v>
      </c>
      <c r="DN4895" s="406" t="s">
        <v>6837</v>
      </c>
      <c r="DO4895" s="406">
        <v>-22.39</v>
      </c>
      <c r="DP4895" s="80">
        <v>1040</v>
      </c>
    </row>
    <row r="4896" spans="29:120" x14ac:dyDescent="0.25">
      <c r="AC4896" s="122" t="s">
        <v>369</v>
      </c>
      <c r="AD4896" s="122" t="s">
        <v>5097</v>
      </c>
      <c r="AE4896" s="127">
        <v>8</v>
      </c>
      <c r="DA4896" s="122" t="s">
        <v>376</v>
      </c>
      <c r="DB4896" s="122" t="s">
        <v>8755</v>
      </c>
      <c r="DC4896" s="122" t="s">
        <v>3647</v>
      </c>
      <c r="DD4896" s="127">
        <v>3</v>
      </c>
      <c r="DE4896" s="127">
        <v>3</v>
      </c>
      <c r="DG4896" s="405" t="s">
        <v>376</v>
      </c>
      <c r="DH4896" s="406" t="s">
        <v>3647</v>
      </c>
      <c r="DI4896" s="406" t="str">
        <f t="shared" si="108"/>
        <v>SP, Cândido Mota</v>
      </c>
      <c r="DJ4896" s="406">
        <v>-22.745999999999999</v>
      </c>
      <c r="DK4896" s="80">
        <v>-50.387</v>
      </c>
      <c r="DL4896" s="80">
        <v>479</v>
      </c>
      <c r="DM4896" s="64">
        <v>3</v>
      </c>
      <c r="DN4896" s="406" t="s">
        <v>7822</v>
      </c>
      <c r="DO4896" s="406">
        <v>-22.98</v>
      </c>
      <c r="DP4896" s="80">
        <v>448</v>
      </c>
    </row>
    <row r="4897" spans="29:120" x14ac:dyDescent="0.25">
      <c r="AC4897" s="122" t="s">
        <v>323</v>
      </c>
      <c r="AD4897" s="122" t="s">
        <v>5098</v>
      </c>
      <c r="AE4897" s="127">
        <v>8</v>
      </c>
      <c r="DA4897" s="122" t="s">
        <v>376</v>
      </c>
      <c r="DB4897" s="122" t="s">
        <v>8756</v>
      </c>
      <c r="DC4897" s="122" t="s">
        <v>3848</v>
      </c>
      <c r="DD4897" s="127">
        <v>6</v>
      </c>
      <c r="DE4897" s="127">
        <v>6</v>
      </c>
      <c r="DG4897" s="405" t="s">
        <v>376</v>
      </c>
      <c r="DH4897" s="406" t="s">
        <v>3848</v>
      </c>
      <c r="DI4897" s="406" t="str">
        <f t="shared" si="108"/>
        <v>SP, Cândido Rodrigues</v>
      </c>
      <c r="DJ4897" s="406">
        <v>-21.324999999999999</v>
      </c>
      <c r="DK4897" s="80">
        <v>-48.631</v>
      </c>
      <c r="DL4897" s="80">
        <v>610</v>
      </c>
      <c r="DM4897" s="64">
        <v>6</v>
      </c>
      <c r="DN4897" s="406" t="s">
        <v>8721</v>
      </c>
      <c r="DO4897" s="406">
        <v>-21.13</v>
      </c>
      <c r="DP4897" s="80">
        <v>525</v>
      </c>
    </row>
    <row r="4898" spans="29:120" x14ac:dyDescent="0.25">
      <c r="AC4898" s="122" t="s">
        <v>348</v>
      </c>
      <c r="AD4898" s="122" t="s">
        <v>5099</v>
      </c>
      <c r="AE4898" s="127">
        <v>8</v>
      </c>
      <c r="DA4898" s="122" t="s">
        <v>376</v>
      </c>
      <c r="DB4898" s="122" t="s">
        <v>3769</v>
      </c>
      <c r="DC4898" s="122" t="s">
        <v>3769</v>
      </c>
      <c r="DD4898" s="127">
        <v>3</v>
      </c>
      <c r="DE4898" s="127">
        <v>3</v>
      </c>
      <c r="DG4898" s="405" t="s">
        <v>376</v>
      </c>
      <c r="DH4898" s="406" t="s">
        <v>3769</v>
      </c>
      <c r="DI4898" s="406" t="str">
        <f t="shared" si="108"/>
        <v>SP, Canitar</v>
      </c>
      <c r="DJ4898" s="406">
        <v>-23.006</v>
      </c>
      <c r="DK4898" s="80">
        <v>-49.783000000000001</v>
      </c>
      <c r="DL4898" s="80">
        <v>508</v>
      </c>
      <c r="DM4898" s="64">
        <v>3</v>
      </c>
      <c r="DN4898" s="406" t="s">
        <v>7822</v>
      </c>
      <c r="DO4898" s="406">
        <v>-22.98</v>
      </c>
      <c r="DP4898" s="80">
        <v>448</v>
      </c>
    </row>
    <row r="4899" spans="29:120" x14ac:dyDescent="0.25">
      <c r="AC4899" s="122" t="s">
        <v>369</v>
      </c>
      <c r="AD4899" s="122" t="s">
        <v>5100</v>
      </c>
      <c r="AE4899" s="127">
        <v>8</v>
      </c>
      <c r="DA4899" s="122" t="s">
        <v>376</v>
      </c>
      <c r="DB4899" s="122" t="s">
        <v>8757</v>
      </c>
      <c r="DC4899" s="122" t="s">
        <v>1032</v>
      </c>
      <c r="DD4899" s="127">
        <v>3</v>
      </c>
      <c r="DE4899" s="127">
        <v>3</v>
      </c>
      <c r="DG4899" s="405" t="s">
        <v>376</v>
      </c>
      <c r="DH4899" s="406" t="s">
        <v>1032</v>
      </c>
      <c r="DI4899" s="406" t="str">
        <f t="shared" si="108"/>
        <v>SP, Capão Bonito</v>
      </c>
      <c r="DJ4899" s="406">
        <v>-24.006</v>
      </c>
      <c r="DK4899" s="80">
        <v>-48.348999999999997</v>
      </c>
      <c r="DL4899" s="80">
        <v>705</v>
      </c>
      <c r="DM4899" s="64">
        <v>3</v>
      </c>
      <c r="DN4899" s="406" t="s">
        <v>7807</v>
      </c>
      <c r="DO4899" s="406">
        <v>-23.98</v>
      </c>
      <c r="DP4899" s="80">
        <v>707</v>
      </c>
    </row>
    <row r="4900" spans="29:120" x14ac:dyDescent="0.25">
      <c r="AC4900" s="122" t="s">
        <v>369</v>
      </c>
      <c r="AD4900" s="122" t="s">
        <v>2250</v>
      </c>
      <c r="AE4900" s="127">
        <v>8</v>
      </c>
      <c r="DA4900" s="122" t="s">
        <v>376</v>
      </c>
      <c r="DB4900" s="122" t="s">
        <v>8758</v>
      </c>
      <c r="DC4900" s="122" t="s">
        <v>1756</v>
      </c>
      <c r="DD4900" s="127">
        <v>3</v>
      </c>
      <c r="DE4900" s="127">
        <v>3</v>
      </c>
      <c r="DG4900" s="405" t="s">
        <v>376</v>
      </c>
      <c r="DH4900" s="406" t="s">
        <v>1756</v>
      </c>
      <c r="DI4900" s="406" t="str">
        <f t="shared" si="108"/>
        <v>SP, Capela do Alto</v>
      </c>
      <c r="DJ4900" s="406">
        <v>-23.471</v>
      </c>
      <c r="DK4900" s="80">
        <v>-47.734999999999999</v>
      </c>
      <c r="DL4900" s="80">
        <v>625</v>
      </c>
      <c r="DM4900" s="64">
        <v>3</v>
      </c>
      <c r="DN4900" s="406" t="s">
        <v>8718</v>
      </c>
      <c r="DO4900" s="406">
        <v>-23.5</v>
      </c>
      <c r="DP4900" s="80">
        <v>609</v>
      </c>
    </row>
    <row r="4901" spans="29:120" x14ac:dyDescent="0.25">
      <c r="AC4901" s="122" t="s">
        <v>348</v>
      </c>
      <c r="AD4901" s="122" t="s">
        <v>5101</v>
      </c>
      <c r="AE4901" s="127">
        <v>8</v>
      </c>
      <c r="DA4901" s="122" t="s">
        <v>376</v>
      </c>
      <c r="DB4901" s="122" t="s">
        <v>3928</v>
      </c>
      <c r="DC4901" s="122" t="s">
        <v>3928</v>
      </c>
      <c r="DD4901" s="127">
        <v>3</v>
      </c>
      <c r="DE4901" s="127">
        <v>3</v>
      </c>
      <c r="DG4901" s="405" t="s">
        <v>376</v>
      </c>
      <c r="DH4901" s="406" t="s">
        <v>3928</v>
      </c>
      <c r="DI4901" s="406" t="str">
        <f t="shared" si="108"/>
        <v>SP, Capivari</v>
      </c>
      <c r="DJ4901" s="406">
        <v>-22.995000000000001</v>
      </c>
      <c r="DK4901" s="80">
        <v>-47.508000000000003</v>
      </c>
      <c r="DL4901" s="80">
        <v>636</v>
      </c>
      <c r="DM4901" s="64">
        <v>3</v>
      </c>
      <c r="DN4901" s="406" t="s">
        <v>8716</v>
      </c>
      <c r="DO4901" s="406">
        <v>-22.73</v>
      </c>
      <c r="DP4901" s="80">
        <v>573</v>
      </c>
    </row>
    <row r="4902" spans="29:120" x14ac:dyDescent="0.25">
      <c r="AC4902" s="122" t="s">
        <v>289</v>
      </c>
      <c r="AD4902" s="122" t="s">
        <v>5102</v>
      </c>
      <c r="AE4902" s="127">
        <v>8</v>
      </c>
      <c r="DA4902" s="122" t="s">
        <v>376</v>
      </c>
      <c r="DB4902" s="122" t="s">
        <v>3623</v>
      </c>
      <c r="DC4902" s="122" t="s">
        <v>3623</v>
      </c>
      <c r="DD4902" s="127">
        <v>3</v>
      </c>
      <c r="DE4902" s="127">
        <v>3</v>
      </c>
      <c r="DG4902" s="405" t="s">
        <v>376</v>
      </c>
      <c r="DH4902" s="406" t="s">
        <v>3623</v>
      </c>
      <c r="DI4902" s="406" t="str">
        <f t="shared" si="108"/>
        <v>SP, Caraguatatuba</v>
      </c>
      <c r="DJ4902" s="406">
        <v>-23.62</v>
      </c>
      <c r="DK4902" s="80">
        <v>-45.412999999999997</v>
      </c>
      <c r="DL4902" s="80">
        <v>2</v>
      </c>
      <c r="DM4902" s="64">
        <v>3</v>
      </c>
      <c r="DN4902" s="406" t="s">
        <v>8759</v>
      </c>
      <c r="DO4902" s="406">
        <v>-23.23</v>
      </c>
      <c r="DP4902" s="80">
        <v>874</v>
      </c>
    </row>
    <row r="4903" spans="29:120" x14ac:dyDescent="0.25">
      <c r="AC4903" s="122" t="s">
        <v>247</v>
      </c>
      <c r="AD4903" s="122" t="s">
        <v>5103</v>
      </c>
      <c r="AE4903" s="127">
        <v>8</v>
      </c>
      <c r="DA4903" s="122" t="s">
        <v>376</v>
      </c>
      <c r="DB4903" s="122" t="s">
        <v>550</v>
      </c>
      <c r="DC4903" s="122" t="s">
        <v>550</v>
      </c>
      <c r="DD4903" s="127">
        <v>3</v>
      </c>
      <c r="DE4903" s="127">
        <v>3</v>
      </c>
      <c r="DG4903" s="405" t="s">
        <v>376</v>
      </c>
      <c r="DH4903" s="406" t="s">
        <v>550</v>
      </c>
      <c r="DI4903" s="406" t="str">
        <f t="shared" si="108"/>
        <v>SP, Carapicuíba</v>
      </c>
      <c r="DJ4903" s="406">
        <v>-23.523</v>
      </c>
      <c r="DK4903" s="80">
        <v>-46.835999999999999</v>
      </c>
      <c r="DL4903" s="80">
        <v>770</v>
      </c>
      <c r="DM4903" s="64">
        <v>3</v>
      </c>
      <c r="DN4903" s="406" t="s">
        <v>8735</v>
      </c>
      <c r="DO4903" s="406">
        <v>-23.85</v>
      </c>
      <c r="DP4903" s="80">
        <v>792</v>
      </c>
    </row>
    <row r="4904" spans="29:120" x14ac:dyDescent="0.25">
      <c r="AC4904" s="122" t="s">
        <v>247</v>
      </c>
      <c r="AD4904" s="122" t="s">
        <v>5104</v>
      </c>
      <c r="AE4904" s="127">
        <v>8</v>
      </c>
      <c r="DA4904" s="122" t="s">
        <v>376</v>
      </c>
      <c r="DB4904" s="122" t="s">
        <v>3574</v>
      </c>
      <c r="DC4904" s="122" t="s">
        <v>3574</v>
      </c>
      <c r="DD4904" s="127">
        <v>6</v>
      </c>
      <c r="DE4904" s="127">
        <v>6</v>
      </c>
      <c r="DG4904" s="405" t="s">
        <v>376</v>
      </c>
      <c r="DH4904" s="406" t="s">
        <v>3574</v>
      </c>
      <c r="DI4904" s="406" t="str">
        <f t="shared" si="108"/>
        <v>SP, Cardoso</v>
      </c>
      <c r="DJ4904" s="406">
        <v>-20.082000000000001</v>
      </c>
      <c r="DK4904" s="80">
        <v>-49.914000000000001</v>
      </c>
      <c r="DL4904" s="80">
        <v>422</v>
      </c>
      <c r="DM4904" s="64">
        <v>6</v>
      </c>
      <c r="DN4904" s="406" t="s">
        <v>6984</v>
      </c>
      <c r="DO4904" s="406">
        <v>-20.420000000000002</v>
      </c>
      <c r="DP4904" s="80">
        <v>486</v>
      </c>
    </row>
    <row r="4905" spans="29:120" x14ac:dyDescent="0.25">
      <c r="AC4905" s="122" t="s">
        <v>369</v>
      </c>
      <c r="AD4905" s="122" t="s">
        <v>4534</v>
      </c>
      <c r="AE4905" s="127">
        <v>8</v>
      </c>
      <c r="DA4905" s="122" t="s">
        <v>376</v>
      </c>
      <c r="DB4905" s="122" t="s">
        <v>8760</v>
      </c>
      <c r="DC4905" s="122" t="s">
        <v>2330</v>
      </c>
      <c r="DD4905" s="127">
        <v>4</v>
      </c>
      <c r="DE4905" s="127">
        <v>4</v>
      </c>
      <c r="DG4905" s="405" t="s">
        <v>376</v>
      </c>
      <c r="DH4905" s="406" t="s">
        <v>2330</v>
      </c>
      <c r="DI4905" s="406" t="str">
        <f t="shared" si="108"/>
        <v>SP, Casa Branca</v>
      </c>
      <c r="DJ4905" s="406">
        <v>-21.774000000000001</v>
      </c>
      <c r="DK4905" s="80">
        <v>-47.085999999999999</v>
      </c>
      <c r="DL4905" s="80">
        <v>684</v>
      </c>
      <c r="DM4905" s="64">
        <v>4</v>
      </c>
      <c r="DN4905" s="406" t="s">
        <v>6833</v>
      </c>
      <c r="DO4905" s="406">
        <v>-21.77</v>
      </c>
      <c r="DP4905" s="80">
        <v>730</v>
      </c>
    </row>
    <row r="4906" spans="29:120" x14ac:dyDescent="0.25">
      <c r="AC4906" s="122" t="s">
        <v>369</v>
      </c>
      <c r="AD4906" s="122" t="s">
        <v>5105</v>
      </c>
      <c r="AE4906" s="127">
        <v>8</v>
      </c>
      <c r="DA4906" s="122" t="s">
        <v>376</v>
      </c>
      <c r="DB4906" s="122" t="s">
        <v>8761</v>
      </c>
      <c r="DC4906" s="122" t="s">
        <v>1082</v>
      </c>
      <c r="DD4906" s="127">
        <v>4</v>
      </c>
      <c r="DE4906" s="127">
        <v>4</v>
      </c>
      <c r="DG4906" s="405" t="s">
        <v>376</v>
      </c>
      <c r="DH4906" s="406" t="s">
        <v>1082</v>
      </c>
      <c r="DI4906" s="406" t="str">
        <f t="shared" si="108"/>
        <v>SP, Cássia dos Coqueiros</v>
      </c>
      <c r="DJ4906" s="406">
        <v>-21.283000000000001</v>
      </c>
      <c r="DK4906" s="80">
        <v>-47.17</v>
      </c>
      <c r="DL4906" s="80">
        <v>890</v>
      </c>
      <c r="DM4906" s="64">
        <v>4</v>
      </c>
      <c r="DN4906" s="406" t="s">
        <v>6833</v>
      </c>
      <c r="DO4906" s="406">
        <v>-21.77</v>
      </c>
      <c r="DP4906" s="80">
        <v>730</v>
      </c>
    </row>
    <row r="4907" spans="29:120" x14ac:dyDescent="0.25">
      <c r="AC4907" s="122" t="s">
        <v>369</v>
      </c>
      <c r="AD4907" s="122" t="s">
        <v>5106</v>
      </c>
      <c r="AE4907" s="127">
        <v>8</v>
      </c>
      <c r="DA4907" s="122" t="s">
        <v>376</v>
      </c>
      <c r="DB4907" s="122" t="s">
        <v>3937</v>
      </c>
      <c r="DC4907" s="122" t="s">
        <v>3937</v>
      </c>
      <c r="DD4907" s="127">
        <v>6</v>
      </c>
      <c r="DE4907" s="127">
        <v>6</v>
      </c>
      <c r="DG4907" s="405" t="s">
        <v>376</v>
      </c>
      <c r="DH4907" s="406" t="s">
        <v>3937</v>
      </c>
      <c r="DI4907" s="406" t="str">
        <f t="shared" si="108"/>
        <v>SP, Castilho</v>
      </c>
      <c r="DJ4907" s="406">
        <v>-20.872</v>
      </c>
      <c r="DK4907" s="80">
        <v>-51.488</v>
      </c>
      <c r="DL4907" s="80">
        <v>365</v>
      </c>
      <c r="DM4907" s="64">
        <v>6</v>
      </c>
      <c r="DN4907" s="406" t="s">
        <v>7254</v>
      </c>
      <c r="DO4907" s="406">
        <v>-20.75</v>
      </c>
      <c r="DP4907" s="80">
        <v>313</v>
      </c>
    </row>
    <row r="4908" spans="29:120" x14ac:dyDescent="0.25">
      <c r="AC4908" s="122" t="s">
        <v>369</v>
      </c>
      <c r="AD4908" s="122" t="s">
        <v>5107</v>
      </c>
      <c r="AE4908" s="127">
        <v>8</v>
      </c>
      <c r="DA4908" s="122" t="s">
        <v>376</v>
      </c>
      <c r="DB4908" s="122" t="s">
        <v>3502</v>
      </c>
      <c r="DC4908" s="122" t="s">
        <v>3502</v>
      </c>
      <c r="DD4908" s="127">
        <v>6</v>
      </c>
      <c r="DE4908" s="127">
        <v>6</v>
      </c>
      <c r="DG4908" s="405" t="s">
        <v>376</v>
      </c>
      <c r="DH4908" s="406" t="s">
        <v>3502</v>
      </c>
      <c r="DI4908" s="406" t="str">
        <f t="shared" si="108"/>
        <v>SP, Catanduva</v>
      </c>
      <c r="DJ4908" s="406">
        <v>-21.138000000000002</v>
      </c>
      <c r="DK4908" s="80">
        <v>-48.972999999999999</v>
      </c>
      <c r="DL4908" s="80">
        <v>503</v>
      </c>
      <c r="DM4908" s="64">
        <v>6</v>
      </c>
      <c r="DN4908" s="406" t="s">
        <v>8721</v>
      </c>
      <c r="DO4908" s="406">
        <v>-21.13</v>
      </c>
      <c r="DP4908" s="80">
        <v>525</v>
      </c>
    </row>
    <row r="4909" spans="29:120" x14ac:dyDescent="0.25">
      <c r="AC4909" s="122" t="s">
        <v>322</v>
      </c>
      <c r="AD4909" s="122" t="s">
        <v>5108</v>
      </c>
      <c r="AE4909" s="127">
        <v>7</v>
      </c>
      <c r="DA4909" s="122" t="s">
        <v>376</v>
      </c>
      <c r="DB4909" s="122" t="s">
        <v>3668</v>
      </c>
      <c r="DC4909" s="122" t="s">
        <v>3668</v>
      </c>
      <c r="DD4909" s="127">
        <v>6</v>
      </c>
      <c r="DE4909" s="127">
        <v>6</v>
      </c>
      <c r="DG4909" s="405" t="s">
        <v>376</v>
      </c>
      <c r="DH4909" s="406" t="s">
        <v>3668</v>
      </c>
      <c r="DI4909" s="406" t="str">
        <f t="shared" si="108"/>
        <v>SP, Catiguá</v>
      </c>
      <c r="DJ4909" s="406">
        <v>-21.048999999999999</v>
      </c>
      <c r="DK4909" s="80">
        <v>-49.058</v>
      </c>
      <c r="DL4909" s="80">
        <v>483</v>
      </c>
      <c r="DM4909" s="64">
        <v>6</v>
      </c>
      <c r="DN4909" s="406" t="s">
        <v>8721</v>
      </c>
      <c r="DO4909" s="406">
        <v>-21.13</v>
      </c>
      <c r="DP4909" s="80">
        <v>525</v>
      </c>
    </row>
    <row r="4910" spans="29:120" x14ac:dyDescent="0.25">
      <c r="AC4910" s="122" t="s">
        <v>289</v>
      </c>
      <c r="AD4910" s="122" t="s">
        <v>5109</v>
      </c>
      <c r="AE4910" s="127">
        <v>8</v>
      </c>
      <c r="DA4910" s="122" t="s">
        <v>376</v>
      </c>
      <c r="DB4910" s="122" t="s">
        <v>3762</v>
      </c>
      <c r="DC4910" s="122" t="s">
        <v>3762</v>
      </c>
      <c r="DD4910" s="127">
        <v>6</v>
      </c>
      <c r="DE4910" s="127">
        <v>6</v>
      </c>
      <c r="DG4910" s="405" t="s">
        <v>376</v>
      </c>
      <c r="DH4910" s="406" t="s">
        <v>3762</v>
      </c>
      <c r="DI4910" s="406" t="str">
        <f t="shared" si="108"/>
        <v>SP, Cedral</v>
      </c>
      <c r="DJ4910" s="406">
        <v>-20.902999999999999</v>
      </c>
      <c r="DK4910" s="80">
        <v>-49.268000000000001</v>
      </c>
      <c r="DL4910" s="80">
        <v>558</v>
      </c>
      <c r="DM4910" s="64">
        <v>6</v>
      </c>
      <c r="DN4910" s="406" t="s">
        <v>8710</v>
      </c>
      <c r="DO4910" s="406">
        <v>-21.1</v>
      </c>
      <c r="DP4910" s="80">
        <v>405</v>
      </c>
    </row>
    <row r="4911" spans="29:120" x14ac:dyDescent="0.25">
      <c r="AC4911" s="122" t="s">
        <v>317</v>
      </c>
      <c r="AD4911" s="122" t="s">
        <v>5110</v>
      </c>
      <c r="AE4911" s="127">
        <v>8</v>
      </c>
      <c r="DA4911" s="122" t="s">
        <v>376</v>
      </c>
      <c r="DB4911" s="122" t="s">
        <v>8762</v>
      </c>
      <c r="DC4911" s="122" t="s">
        <v>1036</v>
      </c>
      <c r="DD4911" s="127">
        <v>3</v>
      </c>
      <c r="DE4911" s="127">
        <v>3</v>
      </c>
      <c r="DG4911" s="405" t="s">
        <v>376</v>
      </c>
      <c r="DH4911" s="406" t="s">
        <v>1036</v>
      </c>
      <c r="DI4911" s="406" t="str">
        <f t="shared" si="108"/>
        <v>SP, Cerqueira César</v>
      </c>
      <c r="DJ4911" s="406">
        <v>-23.036000000000001</v>
      </c>
      <c r="DK4911" s="80">
        <v>-49.165999999999997</v>
      </c>
      <c r="DL4911" s="80">
        <v>737</v>
      </c>
      <c r="DM4911" s="64">
        <v>3</v>
      </c>
      <c r="DN4911" s="406" t="s">
        <v>8714</v>
      </c>
      <c r="DO4911" s="406">
        <v>-23.1</v>
      </c>
      <c r="DP4911" s="80">
        <v>654</v>
      </c>
    </row>
    <row r="4912" spans="29:120" x14ac:dyDescent="0.25">
      <c r="AC4912" s="122" t="s">
        <v>298</v>
      </c>
      <c r="AD4912" s="122" t="s">
        <v>5111</v>
      </c>
      <c r="AE4912" s="127">
        <v>8</v>
      </c>
      <c r="DA4912" s="122" t="s">
        <v>376</v>
      </c>
      <c r="DB4912" s="122" t="s">
        <v>1771</v>
      </c>
      <c r="DC4912" s="122" t="s">
        <v>1771</v>
      </c>
      <c r="DD4912" s="127">
        <v>3</v>
      </c>
      <c r="DE4912" s="127">
        <v>3</v>
      </c>
      <c r="DG4912" s="405" t="s">
        <v>376</v>
      </c>
      <c r="DH4912" s="406" t="s">
        <v>1771</v>
      </c>
      <c r="DI4912" s="406" t="str">
        <f t="shared" si="108"/>
        <v>SP, Cerquilho</v>
      </c>
      <c r="DJ4912" s="406">
        <v>-23.164999999999999</v>
      </c>
      <c r="DK4912" s="80">
        <v>-47.744</v>
      </c>
      <c r="DL4912" s="80">
        <v>595</v>
      </c>
      <c r="DM4912" s="64">
        <v>3</v>
      </c>
      <c r="DN4912" s="406" t="s">
        <v>8718</v>
      </c>
      <c r="DO4912" s="406">
        <v>-23.5</v>
      </c>
      <c r="DP4912" s="80">
        <v>609</v>
      </c>
    </row>
    <row r="4913" spans="29:120" x14ac:dyDescent="0.25">
      <c r="AC4913" s="122" t="s">
        <v>289</v>
      </c>
      <c r="AD4913" s="122" t="s">
        <v>5112</v>
      </c>
      <c r="AE4913" s="127">
        <v>8</v>
      </c>
      <c r="DA4913" s="122" t="s">
        <v>376</v>
      </c>
      <c r="DB4913" s="122" t="s">
        <v>8763</v>
      </c>
      <c r="DC4913" s="122" t="s">
        <v>1759</v>
      </c>
      <c r="DD4913" s="127">
        <v>3</v>
      </c>
      <c r="DE4913" s="127">
        <v>3</v>
      </c>
      <c r="DG4913" s="405" t="s">
        <v>376</v>
      </c>
      <c r="DH4913" s="406" t="s">
        <v>1759</v>
      </c>
      <c r="DI4913" s="406" t="str">
        <f t="shared" si="108"/>
        <v>SP, Cesário Lange</v>
      </c>
      <c r="DJ4913" s="406">
        <v>-23.227</v>
      </c>
      <c r="DK4913" s="80">
        <v>-47.953000000000003</v>
      </c>
      <c r="DL4913" s="80">
        <v>590</v>
      </c>
      <c r="DM4913" s="64">
        <v>3</v>
      </c>
      <c r="DN4913" s="406" t="s">
        <v>8718</v>
      </c>
      <c r="DO4913" s="406">
        <v>-23.5</v>
      </c>
      <c r="DP4913" s="80">
        <v>609</v>
      </c>
    </row>
    <row r="4914" spans="29:120" x14ac:dyDescent="0.25">
      <c r="AC4914" s="122" t="s">
        <v>333</v>
      </c>
      <c r="AD4914" s="122" t="s">
        <v>5113</v>
      </c>
      <c r="AE4914" s="127">
        <v>5</v>
      </c>
      <c r="DA4914" s="122" t="s">
        <v>376</v>
      </c>
      <c r="DB4914" s="122" t="s">
        <v>1048</v>
      </c>
      <c r="DC4914" s="122" t="s">
        <v>1048</v>
      </c>
      <c r="DD4914" s="127">
        <v>2</v>
      </c>
      <c r="DE4914" s="127">
        <v>2</v>
      </c>
      <c r="DG4914" s="405" t="s">
        <v>376</v>
      </c>
      <c r="DH4914" s="406" t="s">
        <v>1048</v>
      </c>
      <c r="DI4914" s="406" t="str">
        <f t="shared" si="108"/>
        <v>SP, Charqueada</v>
      </c>
      <c r="DJ4914" s="406">
        <v>-22.51</v>
      </c>
      <c r="DK4914" s="80">
        <v>-47.777999999999999</v>
      </c>
      <c r="DL4914" s="80">
        <v>610</v>
      </c>
      <c r="DM4914" s="64">
        <v>2</v>
      </c>
      <c r="DN4914" s="406" t="s">
        <v>8716</v>
      </c>
      <c r="DO4914" s="406">
        <v>-22.73</v>
      </c>
      <c r="DP4914" s="80">
        <v>573</v>
      </c>
    </row>
    <row r="4915" spans="29:120" x14ac:dyDescent="0.25">
      <c r="AC4915" s="122" t="s">
        <v>323</v>
      </c>
      <c r="AD4915" s="122" t="s">
        <v>5114</v>
      </c>
      <c r="AE4915" s="127">
        <v>7</v>
      </c>
      <c r="DA4915" s="122" t="s">
        <v>376</v>
      </c>
      <c r="DB4915" s="122" t="s">
        <v>3867</v>
      </c>
      <c r="DC4915" s="122" t="s">
        <v>3867</v>
      </c>
      <c r="DD4915" s="127">
        <v>3</v>
      </c>
      <c r="DE4915" s="127">
        <v>3</v>
      </c>
      <c r="DG4915" s="405" t="s">
        <v>376</v>
      </c>
      <c r="DH4915" s="406" t="s">
        <v>3867</v>
      </c>
      <c r="DI4915" s="406" t="str">
        <f t="shared" si="108"/>
        <v>SP, Chavantes</v>
      </c>
      <c r="DJ4915" s="406">
        <v>-23.039000000000001</v>
      </c>
      <c r="DK4915" s="80">
        <v>-49.709000000000003</v>
      </c>
      <c r="DL4915" s="80">
        <v>563</v>
      </c>
      <c r="DM4915" s="64">
        <v>3</v>
      </c>
      <c r="DN4915" s="406" t="s">
        <v>7822</v>
      </c>
      <c r="DO4915" s="406">
        <v>-22.98</v>
      </c>
      <c r="DP4915" s="80">
        <v>448</v>
      </c>
    </row>
    <row r="4916" spans="29:120" x14ac:dyDescent="0.25">
      <c r="AC4916" s="122" t="s">
        <v>323</v>
      </c>
      <c r="AD4916" s="122" t="s">
        <v>5115</v>
      </c>
      <c r="AE4916" s="127">
        <v>8</v>
      </c>
      <c r="DA4916" s="122" t="s">
        <v>376</v>
      </c>
      <c r="DB4916" s="122" t="s">
        <v>4002</v>
      </c>
      <c r="DC4916" s="122" t="s">
        <v>4002</v>
      </c>
      <c r="DD4916" s="127">
        <v>3</v>
      </c>
      <c r="DE4916" s="127">
        <v>3</v>
      </c>
      <c r="DG4916" s="405" t="s">
        <v>376</v>
      </c>
      <c r="DH4916" s="406" t="s">
        <v>4002</v>
      </c>
      <c r="DI4916" s="406" t="str">
        <f t="shared" si="108"/>
        <v>SP, Clementina</v>
      </c>
      <c r="DJ4916" s="406">
        <v>-21.56</v>
      </c>
      <c r="DK4916" s="80">
        <v>-50.448999999999998</v>
      </c>
      <c r="DL4916" s="80">
        <v>465</v>
      </c>
      <c r="DM4916" s="64">
        <v>3</v>
      </c>
      <c r="DN4916" s="406" t="s">
        <v>8709</v>
      </c>
      <c r="DO4916" s="406">
        <v>-21.32</v>
      </c>
      <c r="DP4916" s="80">
        <v>374</v>
      </c>
    </row>
    <row r="4917" spans="29:120" x14ac:dyDescent="0.25">
      <c r="AC4917" s="122" t="s">
        <v>247</v>
      </c>
      <c r="AD4917" s="122" t="s">
        <v>5116</v>
      </c>
      <c r="AE4917" s="127">
        <v>8</v>
      </c>
      <c r="DA4917" s="122" t="s">
        <v>376</v>
      </c>
      <c r="DB4917" s="122" t="s">
        <v>3759</v>
      </c>
      <c r="DC4917" s="122" t="s">
        <v>3759</v>
      </c>
      <c r="DD4917" s="127">
        <v>4</v>
      </c>
      <c r="DE4917" s="127">
        <v>4</v>
      </c>
      <c r="DG4917" s="405" t="s">
        <v>376</v>
      </c>
      <c r="DH4917" s="406" t="s">
        <v>3759</v>
      </c>
      <c r="DI4917" s="406" t="str">
        <f t="shared" si="108"/>
        <v>SP, Colina</v>
      </c>
      <c r="DJ4917" s="406">
        <v>-20.713000000000001</v>
      </c>
      <c r="DK4917" s="80">
        <v>-48.540999999999997</v>
      </c>
      <c r="DL4917" s="80">
        <v>595</v>
      </c>
      <c r="DM4917" s="64">
        <v>4</v>
      </c>
      <c r="DN4917" s="406" t="s">
        <v>8721</v>
      </c>
      <c r="DO4917" s="406">
        <v>-21.13</v>
      </c>
      <c r="DP4917" s="80">
        <v>525</v>
      </c>
    </row>
    <row r="4918" spans="29:120" x14ac:dyDescent="0.25">
      <c r="AC4918" s="122" t="s">
        <v>323</v>
      </c>
      <c r="AD4918" s="122" t="s">
        <v>5117</v>
      </c>
      <c r="AE4918" s="127">
        <v>8</v>
      </c>
      <c r="DA4918" s="122" t="s">
        <v>376</v>
      </c>
      <c r="DB4918" s="122" t="s">
        <v>2754</v>
      </c>
      <c r="DC4918" s="122" t="s">
        <v>2754</v>
      </c>
      <c r="DD4918" s="127">
        <v>6</v>
      </c>
      <c r="DE4918" s="127">
        <v>6</v>
      </c>
      <c r="DG4918" s="405" t="s">
        <v>376</v>
      </c>
      <c r="DH4918" s="406" t="s">
        <v>2754</v>
      </c>
      <c r="DI4918" s="406" t="str">
        <f t="shared" si="108"/>
        <v>SP, Colômbia</v>
      </c>
      <c r="DJ4918" s="406">
        <v>-20.175999999999998</v>
      </c>
      <c r="DK4918" s="80">
        <v>-48.689</v>
      </c>
      <c r="DL4918" s="80">
        <v>492</v>
      </c>
      <c r="DM4918" s="64">
        <v>6</v>
      </c>
      <c r="DN4918" s="406" t="s">
        <v>6802</v>
      </c>
      <c r="DO4918" s="406">
        <v>-19.989999999999998</v>
      </c>
      <c r="DP4918" s="80">
        <v>568</v>
      </c>
    </row>
    <row r="4919" spans="29:120" x14ac:dyDescent="0.25">
      <c r="AC4919" s="122" t="s">
        <v>247</v>
      </c>
      <c r="AD4919" s="122" t="s">
        <v>5118</v>
      </c>
      <c r="AE4919" s="127">
        <v>8</v>
      </c>
      <c r="DA4919" s="122" t="s">
        <v>376</v>
      </c>
      <c r="DB4919" s="122" t="s">
        <v>3753</v>
      </c>
      <c r="DC4919" s="122" t="s">
        <v>3753</v>
      </c>
      <c r="DD4919" s="127">
        <v>3</v>
      </c>
      <c r="DE4919" s="127">
        <v>3</v>
      </c>
      <c r="DG4919" s="405" t="s">
        <v>376</v>
      </c>
      <c r="DH4919" s="406" t="s">
        <v>3753</v>
      </c>
      <c r="DI4919" s="406" t="str">
        <f t="shared" si="108"/>
        <v>SP, Conchal</v>
      </c>
      <c r="DJ4919" s="406">
        <v>-22.33</v>
      </c>
      <c r="DK4919" s="80">
        <v>-47.173000000000002</v>
      </c>
      <c r="DL4919" s="80">
        <v>591</v>
      </c>
      <c r="DM4919" s="64">
        <v>3</v>
      </c>
      <c r="DN4919" s="406" t="s">
        <v>6808</v>
      </c>
      <c r="DO4919" s="406">
        <v>-22.42</v>
      </c>
      <c r="DP4919" s="80">
        <v>633</v>
      </c>
    </row>
    <row r="4920" spans="29:120" x14ac:dyDescent="0.25">
      <c r="AC4920" s="122" t="s">
        <v>348</v>
      </c>
      <c r="AD4920" s="122" t="s">
        <v>5119</v>
      </c>
      <c r="AE4920" s="127">
        <v>8</v>
      </c>
      <c r="DA4920" s="122" t="s">
        <v>376</v>
      </c>
      <c r="DB4920" s="122" t="s">
        <v>930</v>
      </c>
      <c r="DC4920" s="122" t="s">
        <v>930</v>
      </c>
      <c r="DD4920" s="127">
        <v>3</v>
      </c>
      <c r="DE4920" s="127">
        <v>3</v>
      </c>
      <c r="DG4920" s="405" t="s">
        <v>376</v>
      </c>
      <c r="DH4920" s="406" t="s">
        <v>930</v>
      </c>
      <c r="DI4920" s="406" t="str">
        <f t="shared" si="108"/>
        <v>SP, Conchas</v>
      </c>
      <c r="DJ4920" s="406">
        <v>-23.015000000000001</v>
      </c>
      <c r="DK4920" s="80">
        <v>-48.011000000000003</v>
      </c>
      <c r="DL4920" s="80">
        <v>503</v>
      </c>
      <c r="DM4920" s="64">
        <v>3</v>
      </c>
      <c r="DN4920" s="406" t="s">
        <v>8716</v>
      </c>
      <c r="DO4920" s="406">
        <v>-22.73</v>
      </c>
      <c r="DP4920" s="80">
        <v>573</v>
      </c>
    </row>
    <row r="4921" spans="29:120" x14ac:dyDescent="0.25">
      <c r="AC4921" s="122" t="s">
        <v>289</v>
      </c>
      <c r="AD4921" s="122" t="s">
        <v>5120</v>
      </c>
      <c r="AE4921" s="127">
        <v>8</v>
      </c>
      <c r="DA4921" s="122" t="s">
        <v>376</v>
      </c>
      <c r="DB4921" s="122" t="s">
        <v>3671</v>
      </c>
      <c r="DC4921" s="122" t="s">
        <v>3671</v>
      </c>
      <c r="DD4921" s="127">
        <v>3</v>
      </c>
      <c r="DE4921" s="127">
        <v>3</v>
      </c>
      <c r="DG4921" s="405" t="s">
        <v>376</v>
      </c>
      <c r="DH4921" s="406" t="s">
        <v>3671</v>
      </c>
      <c r="DI4921" s="406" t="str">
        <f t="shared" si="108"/>
        <v>SP, Cordeirópolis</v>
      </c>
      <c r="DJ4921" s="406">
        <v>-22.481999999999999</v>
      </c>
      <c r="DK4921" s="80">
        <v>-47.457000000000001</v>
      </c>
      <c r="DL4921" s="80">
        <v>668</v>
      </c>
      <c r="DM4921" s="64">
        <v>3</v>
      </c>
      <c r="DN4921" s="406" t="s">
        <v>8716</v>
      </c>
      <c r="DO4921" s="406">
        <v>-22.73</v>
      </c>
      <c r="DP4921" s="80">
        <v>573</v>
      </c>
    </row>
    <row r="4922" spans="29:120" x14ac:dyDescent="0.25">
      <c r="AC4922" s="122" t="s">
        <v>298</v>
      </c>
      <c r="AD4922" s="122" t="s">
        <v>5121</v>
      </c>
      <c r="AE4922" s="127">
        <v>8</v>
      </c>
      <c r="DA4922" s="122" t="s">
        <v>376</v>
      </c>
      <c r="DB4922" s="122" t="s">
        <v>3918</v>
      </c>
      <c r="DC4922" s="122" t="s">
        <v>3918</v>
      </c>
      <c r="DD4922" s="127">
        <v>5</v>
      </c>
      <c r="DE4922" s="127">
        <v>5</v>
      </c>
      <c r="DG4922" s="405" t="s">
        <v>376</v>
      </c>
      <c r="DH4922" s="406" t="s">
        <v>3918</v>
      </c>
      <c r="DI4922" s="406" t="str">
        <f t="shared" si="108"/>
        <v>SP, Coroados</v>
      </c>
      <c r="DJ4922" s="406">
        <v>-21.352</v>
      </c>
      <c r="DK4922" s="80">
        <v>-50.280999999999999</v>
      </c>
      <c r="DL4922" s="80">
        <v>409</v>
      </c>
      <c r="DM4922" s="64">
        <v>5</v>
      </c>
      <c r="DN4922" s="406" t="s">
        <v>8709</v>
      </c>
      <c r="DO4922" s="406">
        <v>-21.32</v>
      </c>
      <c r="DP4922" s="80">
        <v>374</v>
      </c>
    </row>
    <row r="4923" spans="29:120" x14ac:dyDescent="0.25">
      <c r="AC4923" s="122" t="s">
        <v>323</v>
      </c>
      <c r="AD4923" s="122" t="s">
        <v>4595</v>
      </c>
      <c r="AE4923" s="127">
        <v>8</v>
      </c>
      <c r="DA4923" s="122" t="s">
        <v>376</v>
      </c>
      <c r="DB4923" s="122" t="s">
        <v>8764</v>
      </c>
      <c r="DC4923" s="122" t="s">
        <v>1772</v>
      </c>
      <c r="DD4923" s="127">
        <v>3</v>
      </c>
      <c r="DE4923" s="127">
        <v>3</v>
      </c>
      <c r="DG4923" s="405" t="s">
        <v>376</v>
      </c>
      <c r="DH4923" s="406" t="s">
        <v>1772</v>
      </c>
      <c r="DI4923" s="406" t="str">
        <f t="shared" si="108"/>
        <v>SP, Coronel Macedo</v>
      </c>
      <c r="DJ4923" s="406">
        <v>-23.631</v>
      </c>
      <c r="DK4923" s="80">
        <v>-49.314</v>
      </c>
      <c r="DL4923" s="80">
        <v>624</v>
      </c>
      <c r="DM4923" s="64">
        <v>3</v>
      </c>
      <c r="DN4923" s="406" t="s">
        <v>7807</v>
      </c>
      <c r="DO4923" s="406">
        <v>-23.98</v>
      </c>
      <c r="DP4923" s="80">
        <v>707</v>
      </c>
    </row>
    <row r="4924" spans="29:120" x14ac:dyDescent="0.25">
      <c r="AC4924" s="122" t="s">
        <v>357</v>
      </c>
      <c r="AD4924" s="122" t="s">
        <v>5122</v>
      </c>
      <c r="AE4924" s="127">
        <v>7</v>
      </c>
      <c r="DA4924" s="122" t="s">
        <v>376</v>
      </c>
      <c r="DB4924" s="122" t="s">
        <v>3751</v>
      </c>
      <c r="DC4924" s="122" t="s">
        <v>3751</v>
      </c>
      <c r="DD4924" s="127">
        <v>4</v>
      </c>
      <c r="DE4924" s="127">
        <v>4</v>
      </c>
      <c r="DG4924" s="405" t="s">
        <v>376</v>
      </c>
      <c r="DH4924" s="406" t="s">
        <v>3751</v>
      </c>
      <c r="DI4924" s="406" t="str">
        <f t="shared" si="108"/>
        <v>SP, Corumbataí</v>
      </c>
      <c r="DJ4924" s="406">
        <v>-22.22</v>
      </c>
      <c r="DK4924" s="80">
        <v>-47.625999999999998</v>
      </c>
      <c r="DL4924" s="80">
        <v>608</v>
      </c>
      <c r="DM4924" s="64">
        <v>4</v>
      </c>
      <c r="DN4924" s="406" t="s">
        <v>8728</v>
      </c>
      <c r="DO4924" s="406">
        <v>-22.02</v>
      </c>
      <c r="DP4924" s="80">
        <v>863</v>
      </c>
    </row>
    <row r="4925" spans="29:120" x14ac:dyDescent="0.25">
      <c r="AC4925" s="122" t="s">
        <v>289</v>
      </c>
      <c r="AD4925" s="122" t="s">
        <v>5123</v>
      </c>
      <c r="AE4925" s="127">
        <v>6</v>
      </c>
      <c r="DA4925" s="122" t="s">
        <v>376</v>
      </c>
      <c r="DB4925" s="122" t="s">
        <v>3743</v>
      </c>
      <c r="DC4925" s="122" t="s">
        <v>3743</v>
      </c>
      <c r="DD4925" s="127">
        <v>3</v>
      </c>
      <c r="DE4925" s="127">
        <v>3</v>
      </c>
      <c r="DG4925" s="405" t="s">
        <v>376</v>
      </c>
      <c r="DH4925" s="406" t="s">
        <v>3743</v>
      </c>
      <c r="DI4925" s="406" t="str">
        <f t="shared" si="108"/>
        <v>SP, Cosmópolis</v>
      </c>
      <c r="DJ4925" s="406">
        <v>-22.646000000000001</v>
      </c>
      <c r="DK4925" s="80">
        <v>-47.195999999999998</v>
      </c>
      <c r="DL4925" s="80">
        <v>652</v>
      </c>
      <c r="DM4925" s="64">
        <v>3</v>
      </c>
      <c r="DN4925" s="406" t="s">
        <v>8726</v>
      </c>
      <c r="DO4925" s="406">
        <v>-22.82</v>
      </c>
      <c r="DP4925" s="80">
        <v>640</v>
      </c>
    </row>
    <row r="4926" spans="29:120" x14ac:dyDescent="0.25">
      <c r="AC4926" s="122" t="s">
        <v>289</v>
      </c>
      <c r="AD4926" s="122" t="s">
        <v>5124</v>
      </c>
      <c r="AE4926" s="127">
        <v>6</v>
      </c>
      <c r="DA4926" s="122" t="s">
        <v>376</v>
      </c>
      <c r="DB4926" s="122" t="s">
        <v>3565</v>
      </c>
      <c r="DC4926" s="122" t="s">
        <v>3565</v>
      </c>
      <c r="DD4926" s="127">
        <v>6</v>
      </c>
      <c r="DE4926" s="127">
        <v>6</v>
      </c>
      <c r="DG4926" s="405" t="s">
        <v>376</v>
      </c>
      <c r="DH4926" s="406" t="s">
        <v>3565</v>
      </c>
      <c r="DI4926" s="406" t="str">
        <f t="shared" si="108"/>
        <v>SP, Cosmorama</v>
      </c>
      <c r="DJ4926" s="406">
        <v>-20.478000000000002</v>
      </c>
      <c r="DK4926" s="80">
        <v>-49.777999999999999</v>
      </c>
      <c r="DL4926" s="80">
        <v>540</v>
      </c>
      <c r="DM4926" s="64">
        <v>6</v>
      </c>
      <c r="DN4926" s="406" t="s">
        <v>6984</v>
      </c>
      <c r="DO4926" s="406">
        <v>-20.420000000000002</v>
      </c>
      <c r="DP4926" s="80">
        <v>486</v>
      </c>
    </row>
    <row r="4927" spans="29:120" x14ac:dyDescent="0.25">
      <c r="AC4927" s="122" t="s">
        <v>289</v>
      </c>
      <c r="AD4927" s="122" t="s">
        <v>5125</v>
      </c>
      <c r="AE4927" s="127">
        <v>8</v>
      </c>
      <c r="DA4927" s="122" t="s">
        <v>376</v>
      </c>
      <c r="DB4927" s="122" t="s">
        <v>860</v>
      </c>
      <c r="DC4927" s="122" t="s">
        <v>860</v>
      </c>
      <c r="DD4927" s="127">
        <v>3</v>
      </c>
      <c r="DE4927" s="127">
        <v>3</v>
      </c>
      <c r="DG4927" s="405" t="s">
        <v>376</v>
      </c>
      <c r="DH4927" s="406" t="s">
        <v>860</v>
      </c>
      <c r="DI4927" s="406" t="str">
        <f t="shared" si="108"/>
        <v>SP, Cotia</v>
      </c>
      <c r="DJ4927" s="406">
        <v>-23.603999999999999</v>
      </c>
      <c r="DK4927" s="80">
        <v>-46.918999999999997</v>
      </c>
      <c r="DL4927" s="80">
        <v>853</v>
      </c>
      <c r="DM4927" s="64">
        <v>3</v>
      </c>
      <c r="DN4927" s="406" t="s">
        <v>8735</v>
      </c>
      <c r="DO4927" s="406">
        <v>-23.85</v>
      </c>
      <c r="DP4927" s="80">
        <v>792</v>
      </c>
    </row>
    <row r="4928" spans="29:120" x14ac:dyDescent="0.25">
      <c r="AC4928" s="122" t="s">
        <v>369</v>
      </c>
      <c r="AD4928" s="122" t="s">
        <v>4870</v>
      </c>
      <c r="AE4928" s="127">
        <v>8</v>
      </c>
      <c r="DA4928" s="122" t="s">
        <v>376</v>
      </c>
      <c r="DB4928" s="122" t="s">
        <v>3791</v>
      </c>
      <c r="DC4928" s="122" t="s">
        <v>3791</v>
      </c>
      <c r="DD4928" s="127">
        <v>4</v>
      </c>
      <c r="DE4928" s="127">
        <v>4</v>
      </c>
      <c r="DG4928" s="405" t="s">
        <v>376</v>
      </c>
      <c r="DH4928" s="406" t="s">
        <v>3791</v>
      </c>
      <c r="DI4928" s="406" t="str">
        <f t="shared" si="108"/>
        <v>SP, Cravinhos</v>
      </c>
      <c r="DJ4928" s="406">
        <v>-21.34</v>
      </c>
      <c r="DK4928" s="80">
        <v>-47.728999999999999</v>
      </c>
      <c r="DL4928" s="80">
        <v>788</v>
      </c>
      <c r="DM4928" s="64">
        <v>4</v>
      </c>
      <c r="DN4928" s="406" t="s">
        <v>8728</v>
      </c>
      <c r="DO4928" s="406">
        <v>-22.02</v>
      </c>
      <c r="DP4928" s="80">
        <v>863</v>
      </c>
    </row>
    <row r="4929" spans="29:120" x14ac:dyDescent="0.25">
      <c r="AC4929" s="122" t="s">
        <v>323</v>
      </c>
      <c r="AD4929" s="122" t="s">
        <v>5126</v>
      </c>
      <c r="AE4929" s="127">
        <v>8</v>
      </c>
      <c r="DA4929" s="122" t="s">
        <v>376</v>
      </c>
      <c r="DB4929" s="122" t="s">
        <v>8765</v>
      </c>
      <c r="DC4929" s="122" t="s">
        <v>1088</v>
      </c>
      <c r="DD4929" s="127">
        <v>4</v>
      </c>
      <c r="DE4929" s="127">
        <v>4</v>
      </c>
      <c r="DG4929" s="405" t="s">
        <v>376</v>
      </c>
      <c r="DH4929" s="406" t="s">
        <v>1088</v>
      </c>
      <c r="DI4929" s="406" t="str">
        <f t="shared" si="108"/>
        <v>SP, Cristais Paulista</v>
      </c>
      <c r="DJ4929" s="406">
        <v>-20.396999999999998</v>
      </c>
      <c r="DK4929" s="80">
        <v>-47.42</v>
      </c>
      <c r="DL4929" s="80">
        <v>996</v>
      </c>
      <c r="DM4929" s="64">
        <v>4</v>
      </c>
      <c r="DN4929" s="406" t="s">
        <v>6892</v>
      </c>
      <c r="DO4929" s="406">
        <v>-20.54</v>
      </c>
      <c r="DP4929" s="80">
        <v>1026</v>
      </c>
    </row>
    <row r="4930" spans="29:120" x14ac:dyDescent="0.25">
      <c r="AC4930" s="122" t="s">
        <v>300</v>
      </c>
      <c r="AD4930" s="122" t="s">
        <v>5127</v>
      </c>
      <c r="AE4930" s="127">
        <v>8</v>
      </c>
      <c r="DA4930" s="122" t="s">
        <v>376</v>
      </c>
      <c r="DB4930" s="122" t="s">
        <v>4046</v>
      </c>
      <c r="DC4930" s="122" t="s">
        <v>4046</v>
      </c>
      <c r="DD4930" s="127">
        <v>3</v>
      </c>
      <c r="DE4930" s="127">
        <v>3</v>
      </c>
      <c r="DG4930" s="405" t="s">
        <v>376</v>
      </c>
      <c r="DH4930" s="406" t="s">
        <v>4046</v>
      </c>
      <c r="DI4930" s="406" t="str">
        <f t="shared" si="108"/>
        <v>SP, Cruzália</v>
      </c>
      <c r="DJ4930" s="406">
        <v>-22.677</v>
      </c>
      <c r="DK4930" s="80">
        <v>-50.793999999999997</v>
      </c>
      <c r="DL4930" s="80">
        <v>318</v>
      </c>
      <c r="DM4930" s="64">
        <v>3</v>
      </c>
      <c r="DN4930" s="406" t="s">
        <v>7819</v>
      </c>
      <c r="DO4930" s="406">
        <v>-22.37</v>
      </c>
      <c r="DP4930" s="80">
        <v>350</v>
      </c>
    </row>
    <row r="4931" spans="29:120" x14ac:dyDescent="0.25">
      <c r="AC4931" s="122" t="s">
        <v>289</v>
      </c>
      <c r="AD4931" s="122" t="s">
        <v>5128</v>
      </c>
      <c r="AE4931" s="127">
        <v>8</v>
      </c>
      <c r="DA4931" s="122" t="s">
        <v>376</v>
      </c>
      <c r="DB4931" s="122" t="s">
        <v>3656</v>
      </c>
      <c r="DC4931" s="122" t="s">
        <v>3656</v>
      </c>
      <c r="DD4931" s="127">
        <v>2</v>
      </c>
      <c r="DE4931" s="127">
        <v>2</v>
      </c>
      <c r="DG4931" s="405" t="s">
        <v>376</v>
      </c>
      <c r="DH4931" s="406" t="s">
        <v>3656</v>
      </c>
      <c r="DI4931" s="406" t="str">
        <f t="shared" ref="DI4931:DI4994" si="109">CONCATENATE(DG4931,", ",DH4931)</f>
        <v>SP, Cruzeiro</v>
      </c>
      <c r="DJ4931" s="406">
        <v>-22.576000000000001</v>
      </c>
      <c r="DK4931" s="80">
        <v>-44.963000000000001</v>
      </c>
      <c r="DL4931" s="80">
        <v>517</v>
      </c>
      <c r="DM4931" s="64">
        <v>2</v>
      </c>
      <c r="DN4931" s="406" t="s">
        <v>6837</v>
      </c>
      <c r="DO4931" s="406">
        <v>-22.39</v>
      </c>
      <c r="DP4931" s="80">
        <v>1040</v>
      </c>
    </row>
    <row r="4932" spans="29:120" x14ac:dyDescent="0.25">
      <c r="AC4932" s="122" t="s">
        <v>289</v>
      </c>
      <c r="AD4932" s="122" t="s">
        <v>5129</v>
      </c>
      <c r="AE4932" s="127">
        <v>8</v>
      </c>
      <c r="DA4932" s="122" t="s">
        <v>376</v>
      </c>
      <c r="DB4932" s="122" t="s">
        <v>3090</v>
      </c>
      <c r="DC4932" s="122" t="s">
        <v>3090</v>
      </c>
      <c r="DD4932" s="127">
        <v>3</v>
      </c>
      <c r="DE4932" s="127">
        <v>3</v>
      </c>
      <c r="DG4932" s="405" t="s">
        <v>376</v>
      </c>
      <c r="DH4932" s="406" t="s">
        <v>3090</v>
      </c>
      <c r="DI4932" s="406" t="str">
        <f t="shared" si="109"/>
        <v>SP, Cubatão</v>
      </c>
      <c r="DJ4932" s="406">
        <v>-23.895</v>
      </c>
      <c r="DK4932" s="80">
        <v>-46.424999999999997</v>
      </c>
      <c r="DL4932" s="80">
        <v>4</v>
      </c>
      <c r="DM4932" s="64">
        <v>3</v>
      </c>
      <c r="DN4932" s="406" t="s">
        <v>8735</v>
      </c>
      <c r="DO4932" s="406">
        <v>-23.85</v>
      </c>
      <c r="DP4932" s="80">
        <v>792</v>
      </c>
    </row>
    <row r="4933" spans="29:120" x14ac:dyDescent="0.25">
      <c r="AC4933" s="122" t="s">
        <v>344</v>
      </c>
      <c r="AD4933" s="122" t="s">
        <v>5130</v>
      </c>
      <c r="AE4933" s="127">
        <v>8</v>
      </c>
      <c r="DA4933" s="122" t="s">
        <v>376</v>
      </c>
      <c r="DB4933" s="122" t="s">
        <v>881</v>
      </c>
      <c r="DC4933" s="122" t="s">
        <v>881</v>
      </c>
      <c r="DD4933" s="127">
        <v>3</v>
      </c>
      <c r="DE4933" s="127">
        <v>3</v>
      </c>
      <c r="DG4933" s="405" t="s">
        <v>376</v>
      </c>
      <c r="DH4933" s="406" t="s">
        <v>881</v>
      </c>
      <c r="DI4933" s="406" t="str">
        <f t="shared" si="109"/>
        <v>SP, Cunha</v>
      </c>
      <c r="DJ4933" s="406">
        <v>-23.074000000000002</v>
      </c>
      <c r="DK4933" s="80">
        <v>-44.96</v>
      </c>
      <c r="DL4933" s="80">
        <v>950</v>
      </c>
      <c r="DM4933" s="64">
        <v>3</v>
      </c>
      <c r="DN4933" s="406" t="s">
        <v>8020</v>
      </c>
      <c r="DO4933" s="406">
        <v>-23.22</v>
      </c>
      <c r="DP4933" s="80">
        <v>4</v>
      </c>
    </row>
    <row r="4934" spans="29:120" x14ac:dyDescent="0.25">
      <c r="AC4934" s="122" t="s">
        <v>357</v>
      </c>
      <c r="AD4934" s="122" t="s">
        <v>5131</v>
      </c>
      <c r="AE4934" s="127">
        <v>7</v>
      </c>
      <c r="DA4934" s="122" t="s">
        <v>376</v>
      </c>
      <c r="DB4934" s="122" t="s">
        <v>1779</v>
      </c>
      <c r="DC4934" s="122" t="s">
        <v>1779</v>
      </c>
      <c r="DD4934" s="127">
        <v>4</v>
      </c>
      <c r="DE4934" s="127">
        <v>4</v>
      </c>
      <c r="DG4934" t="s">
        <v>376</v>
      </c>
      <c r="DH4934" t="s">
        <v>1779</v>
      </c>
      <c r="DI4934" s="406" t="str">
        <f t="shared" si="109"/>
        <v>SP, Descalvado</v>
      </c>
      <c r="DJ4934">
        <v>-21.904</v>
      </c>
      <c r="DK4934">
        <v>-47.619</v>
      </c>
      <c r="DL4934">
        <v>679</v>
      </c>
      <c r="DM4934" s="1">
        <v>4</v>
      </c>
      <c r="DN4934" t="s">
        <v>8728</v>
      </c>
      <c r="DO4934" s="406">
        <v>-22.02</v>
      </c>
      <c r="DP4934" s="80">
        <v>863</v>
      </c>
    </row>
    <row r="4935" spans="29:120" x14ac:dyDescent="0.25">
      <c r="AC4935" s="122" t="s">
        <v>289</v>
      </c>
      <c r="AD4935" s="122" t="s">
        <v>5132</v>
      </c>
      <c r="AE4935" s="127">
        <v>6</v>
      </c>
      <c r="DA4935" s="122" t="s">
        <v>376</v>
      </c>
      <c r="DB4935" s="122" t="s">
        <v>401</v>
      </c>
      <c r="DC4935" s="122" t="s">
        <v>401</v>
      </c>
      <c r="DD4935" s="127">
        <v>3</v>
      </c>
      <c r="DE4935" s="127">
        <v>3</v>
      </c>
      <c r="DG4935" t="s">
        <v>376</v>
      </c>
      <c r="DH4935" t="s">
        <v>401</v>
      </c>
      <c r="DI4935" s="406" t="str">
        <f t="shared" si="109"/>
        <v>SP, Diadema</v>
      </c>
      <c r="DJ4935">
        <v>-23.686</v>
      </c>
      <c r="DK4935">
        <v>-46.622999999999998</v>
      </c>
      <c r="DL4935">
        <v>780</v>
      </c>
      <c r="DM4935" s="1">
        <v>3</v>
      </c>
      <c r="DN4935" t="s">
        <v>8735</v>
      </c>
      <c r="DO4935" s="406">
        <v>-23.85</v>
      </c>
      <c r="DP4935" s="80">
        <v>792</v>
      </c>
    </row>
    <row r="4936" spans="29:120" x14ac:dyDescent="0.25">
      <c r="AC4936" s="122" t="s">
        <v>289</v>
      </c>
      <c r="AD4936" s="122" t="s">
        <v>5133</v>
      </c>
      <c r="AE4936" s="127">
        <v>8</v>
      </c>
      <c r="DA4936" s="122" t="s">
        <v>376</v>
      </c>
      <c r="DB4936" s="122" t="s">
        <v>8766</v>
      </c>
      <c r="DC4936" s="122" t="s">
        <v>3843</v>
      </c>
      <c r="DD4936" s="127">
        <v>6</v>
      </c>
      <c r="DE4936" s="127">
        <v>6</v>
      </c>
      <c r="DG4936" t="s">
        <v>376</v>
      </c>
      <c r="DH4936" t="s">
        <v>3843</v>
      </c>
      <c r="DI4936" s="406" t="str">
        <f t="shared" si="109"/>
        <v>SP, Dirce Reis</v>
      </c>
      <c r="DJ4936">
        <v>-20.466000000000001</v>
      </c>
      <c r="DK4936">
        <v>-50.606000000000002</v>
      </c>
      <c r="DL4936">
        <v>402</v>
      </c>
      <c r="DM4936" s="1">
        <v>6</v>
      </c>
      <c r="DN4936" t="s">
        <v>6904</v>
      </c>
      <c r="DO4936" s="406">
        <v>-20.27</v>
      </c>
      <c r="DP4936" s="80">
        <v>457</v>
      </c>
    </row>
    <row r="4937" spans="29:120" x14ac:dyDescent="0.25">
      <c r="AC4937" s="122" t="s">
        <v>247</v>
      </c>
      <c r="AD4937" s="122" t="s">
        <v>5134</v>
      </c>
      <c r="AE4937" s="127">
        <v>8</v>
      </c>
      <c r="DA4937" s="122" t="s">
        <v>376</v>
      </c>
      <c r="DB4937" s="122" t="s">
        <v>951</v>
      </c>
      <c r="DC4937" s="122" t="s">
        <v>951</v>
      </c>
      <c r="DD4937" s="127">
        <v>3</v>
      </c>
      <c r="DE4937" s="127">
        <v>3</v>
      </c>
      <c r="DG4937" t="s">
        <v>376</v>
      </c>
      <c r="DH4937" t="s">
        <v>951</v>
      </c>
      <c r="DI4937" s="406" t="str">
        <f t="shared" si="109"/>
        <v>SP, Divinolândia</v>
      </c>
      <c r="DJ4937">
        <v>-21.661000000000001</v>
      </c>
      <c r="DK4937">
        <v>-46.738999999999997</v>
      </c>
      <c r="DL4937">
        <v>1040</v>
      </c>
      <c r="DM4937" s="1">
        <v>3</v>
      </c>
      <c r="DN4937" t="s">
        <v>6833</v>
      </c>
      <c r="DO4937" s="406">
        <v>-21.77</v>
      </c>
      <c r="DP4937" s="80">
        <v>730</v>
      </c>
    </row>
    <row r="4938" spans="29:120" x14ac:dyDescent="0.25">
      <c r="AC4938" s="122" t="s">
        <v>247</v>
      </c>
      <c r="AD4938" s="122" t="s">
        <v>5135</v>
      </c>
      <c r="AE4938" s="127">
        <v>8</v>
      </c>
      <c r="DA4938" s="122" t="s">
        <v>376</v>
      </c>
      <c r="DB4938" s="122" t="s">
        <v>3913</v>
      </c>
      <c r="DC4938" s="122" t="s">
        <v>3913</v>
      </c>
      <c r="DD4938" s="127">
        <v>4</v>
      </c>
      <c r="DE4938" s="127">
        <v>4</v>
      </c>
      <c r="DG4938" t="s">
        <v>376</v>
      </c>
      <c r="DH4938" t="s">
        <v>3913</v>
      </c>
      <c r="DI4938" s="406" t="str">
        <f t="shared" si="109"/>
        <v>SP, Dobrada</v>
      </c>
      <c r="DJ4938">
        <v>-21.516999999999999</v>
      </c>
      <c r="DK4938">
        <v>-48.393999999999998</v>
      </c>
      <c r="DL4938">
        <v>575</v>
      </c>
      <c r="DM4938" s="1">
        <v>4</v>
      </c>
      <c r="DN4938" t="s">
        <v>8733</v>
      </c>
      <c r="DO4938" s="406">
        <v>-21.86</v>
      </c>
      <c r="DP4938" s="80">
        <v>492</v>
      </c>
    </row>
    <row r="4939" spans="29:120" x14ac:dyDescent="0.25">
      <c r="AC4939" s="122" t="s">
        <v>348</v>
      </c>
      <c r="AD4939" s="122" t="s">
        <v>2335</v>
      </c>
      <c r="AE4939" s="127">
        <v>8</v>
      </c>
      <c r="DA4939" s="122" t="s">
        <v>376</v>
      </c>
      <c r="DB4939" s="122" t="s">
        <v>8767</v>
      </c>
      <c r="DC4939" s="122" t="s">
        <v>3741</v>
      </c>
      <c r="DD4939" s="127">
        <v>4</v>
      </c>
      <c r="DE4939" s="127">
        <v>4</v>
      </c>
      <c r="DG4939" t="s">
        <v>376</v>
      </c>
      <c r="DH4939" t="s">
        <v>3741</v>
      </c>
      <c r="DI4939" s="406" t="str">
        <f t="shared" si="109"/>
        <v>SP, Dois Córregos</v>
      </c>
      <c r="DJ4939">
        <v>-22.366</v>
      </c>
      <c r="DK4939">
        <v>-48.38</v>
      </c>
      <c r="DL4939">
        <v>673</v>
      </c>
      <c r="DM4939" s="1">
        <v>4</v>
      </c>
      <c r="DN4939" t="s">
        <v>8728</v>
      </c>
      <c r="DO4939" s="406">
        <v>-22.02</v>
      </c>
      <c r="DP4939" s="80">
        <v>863</v>
      </c>
    </row>
    <row r="4940" spans="29:120" x14ac:dyDescent="0.25">
      <c r="AC4940" s="122" t="s">
        <v>289</v>
      </c>
      <c r="AD4940" s="122" t="s">
        <v>5136</v>
      </c>
      <c r="AE4940" s="127">
        <v>8</v>
      </c>
      <c r="DA4940" s="122" t="s">
        <v>376</v>
      </c>
      <c r="DB4940" s="122" t="s">
        <v>3003</v>
      </c>
      <c r="DC4940" s="122" t="s">
        <v>3003</v>
      </c>
      <c r="DD4940" s="127">
        <v>6</v>
      </c>
      <c r="DE4940" s="127">
        <v>6</v>
      </c>
      <c r="DG4940" t="s">
        <v>376</v>
      </c>
      <c r="DH4940" t="s">
        <v>3003</v>
      </c>
      <c r="DI4940" s="406" t="str">
        <f t="shared" si="109"/>
        <v>SP, Dolcinópolis</v>
      </c>
      <c r="DJ4940">
        <v>-20.123000000000001</v>
      </c>
      <c r="DK4940">
        <v>-50.512999999999998</v>
      </c>
      <c r="DL4940">
        <v>463</v>
      </c>
      <c r="DM4940" s="1">
        <v>6</v>
      </c>
      <c r="DN4940" t="s">
        <v>6904</v>
      </c>
      <c r="DO4940" s="406">
        <v>-20.27</v>
      </c>
      <c r="DP4940" s="80">
        <v>457</v>
      </c>
    </row>
    <row r="4941" spans="29:120" x14ac:dyDescent="0.25">
      <c r="AC4941" s="122" t="s">
        <v>289</v>
      </c>
      <c r="AD4941" s="122" t="s">
        <v>5137</v>
      </c>
      <c r="AE4941" s="127">
        <v>8</v>
      </c>
      <c r="DA4941" s="122" t="s">
        <v>376</v>
      </c>
      <c r="DB4941" s="122" t="s">
        <v>3735</v>
      </c>
      <c r="DC4941" s="122" t="s">
        <v>3735</v>
      </c>
      <c r="DD4941" s="127">
        <v>4</v>
      </c>
      <c r="DE4941" s="127">
        <v>4</v>
      </c>
      <c r="DG4941" t="s">
        <v>376</v>
      </c>
      <c r="DH4941" t="s">
        <v>3735</v>
      </c>
      <c r="DI4941" s="406" t="str">
        <f t="shared" si="109"/>
        <v>SP, Dourado</v>
      </c>
      <c r="DJ4941">
        <v>-22.1</v>
      </c>
      <c r="DK4941">
        <v>-48.317999999999998</v>
      </c>
      <c r="DL4941">
        <v>706</v>
      </c>
      <c r="DM4941" s="1">
        <v>4</v>
      </c>
      <c r="DN4941" t="s">
        <v>8728</v>
      </c>
      <c r="DO4941" s="406">
        <v>-22.02</v>
      </c>
      <c r="DP4941" s="80">
        <v>863</v>
      </c>
    </row>
    <row r="4942" spans="29:120" x14ac:dyDescent="0.25">
      <c r="AC4942" s="122" t="s">
        <v>344</v>
      </c>
      <c r="AD4942" s="122" t="s">
        <v>5138</v>
      </c>
      <c r="AE4942" s="127">
        <v>8</v>
      </c>
      <c r="DA4942" s="122" t="s">
        <v>376</v>
      </c>
      <c r="DB4942" s="122" t="s">
        <v>4029</v>
      </c>
      <c r="DC4942" s="122" t="s">
        <v>4029</v>
      </c>
      <c r="DD4942" s="127">
        <v>6</v>
      </c>
      <c r="DE4942" s="127">
        <v>6</v>
      </c>
      <c r="DG4942" t="s">
        <v>376</v>
      </c>
      <c r="DH4942" t="s">
        <v>4029</v>
      </c>
      <c r="DI4942" s="406" t="str">
        <f t="shared" si="109"/>
        <v>SP, Dracena</v>
      </c>
      <c r="DJ4942">
        <v>-21.483000000000001</v>
      </c>
      <c r="DK4942">
        <v>-51.533000000000001</v>
      </c>
      <c r="DL4942">
        <v>421</v>
      </c>
      <c r="DM4942" s="1">
        <v>6</v>
      </c>
      <c r="DN4942" t="s">
        <v>8709</v>
      </c>
      <c r="DO4942" s="406">
        <v>-21.32</v>
      </c>
      <c r="DP4942" s="80">
        <v>374</v>
      </c>
    </row>
    <row r="4943" spans="29:120" x14ac:dyDescent="0.25">
      <c r="AC4943" s="122" t="s">
        <v>369</v>
      </c>
      <c r="AD4943" s="122" t="s">
        <v>3609</v>
      </c>
      <c r="AE4943" s="127">
        <v>8</v>
      </c>
      <c r="DA4943" s="122" t="s">
        <v>376</v>
      </c>
      <c r="DB4943" s="122" t="s">
        <v>3927</v>
      </c>
      <c r="DC4943" s="122" t="s">
        <v>3927</v>
      </c>
      <c r="DD4943" s="127">
        <v>3</v>
      </c>
      <c r="DE4943" s="127">
        <v>3</v>
      </c>
      <c r="DG4943" t="s">
        <v>376</v>
      </c>
      <c r="DH4943" t="s">
        <v>3927</v>
      </c>
      <c r="DI4943" s="406" t="str">
        <f t="shared" si="109"/>
        <v>SP, Duartina</v>
      </c>
      <c r="DJ4943">
        <v>-22.414000000000001</v>
      </c>
      <c r="DK4943">
        <v>-49.404000000000003</v>
      </c>
      <c r="DL4943">
        <v>520</v>
      </c>
      <c r="DM4943" s="1">
        <v>3</v>
      </c>
      <c r="DN4943" t="s">
        <v>8717</v>
      </c>
      <c r="DO4943" s="406">
        <v>-22.32</v>
      </c>
      <c r="DP4943" s="80">
        <v>550</v>
      </c>
    </row>
    <row r="4944" spans="29:120" x14ac:dyDescent="0.25">
      <c r="AC4944" s="122" t="s">
        <v>348</v>
      </c>
      <c r="AD4944" s="122" t="s">
        <v>2029</v>
      </c>
      <c r="AE4944" s="127">
        <v>7</v>
      </c>
      <c r="DA4944" s="122" t="s">
        <v>376</v>
      </c>
      <c r="DB4944" s="122" t="s">
        <v>3763</v>
      </c>
      <c r="DC4944" s="122" t="s">
        <v>3763</v>
      </c>
      <c r="DD4944" s="127">
        <v>4</v>
      </c>
      <c r="DE4944" s="127">
        <v>4</v>
      </c>
      <c r="DG4944" t="s">
        <v>376</v>
      </c>
      <c r="DH4944" t="s">
        <v>3763</v>
      </c>
      <c r="DI4944" s="406" t="str">
        <f t="shared" si="109"/>
        <v>SP, Dumont</v>
      </c>
      <c r="DJ4944">
        <v>-21.236000000000001</v>
      </c>
      <c r="DK4944">
        <v>-47.972999999999999</v>
      </c>
      <c r="DL4944">
        <v>595</v>
      </c>
      <c r="DM4944" s="1">
        <v>4</v>
      </c>
      <c r="DN4944" t="s">
        <v>8721</v>
      </c>
      <c r="DO4944" s="406">
        <v>-21.13</v>
      </c>
      <c r="DP4944" s="80">
        <v>525</v>
      </c>
    </row>
    <row r="4945" spans="29:120" x14ac:dyDescent="0.25">
      <c r="AC4945" s="122" t="s">
        <v>289</v>
      </c>
      <c r="AD4945" s="122" t="s">
        <v>5139</v>
      </c>
      <c r="AE4945" s="127">
        <v>6</v>
      </c>
      <c r="DA4945" s="122" t="s">
        <v>376</v>
      </c>
      <c r="DB4945" s="122" t="s">
        <v>895</v>
      </c>
      <c r="DC4945" s="122" t="s">
        <v>895</v>
      </c>
      <c r="DD4945" s="127">
        <v>3</v>
      </c>
      <c r="DE4945" s="127">
        <v>3</v>
      </c>
      <c r="DG4945" t="s">
        <v>376</v>
      </c>
      <c r="DH4945" t="s">
        <v>895</v>
      </c>
      <c r="DI4945" s="406" t="str">
        <f t="shared" si="109"/>
        <v>SP, Echaporã</v>
      </c>
      <c r="DJ4945">
        <v>-22.428999999999998</v>
      </c>
      <c r="DK4945">
        <v>-50.201000000000001</v>
      </c>
      <c r="DL4945">
        <v>700</v>
      </c>
      <c r="DM4945" s="1">
        <v>3</v>
      </c>
      <c r="DN4945" t="s">
        <v>7822</v>
      </c>
      <c r="DO4945" s="406">
        <v>-22.98</v>
      </c>
      <c r="DP4945" s="80">
        <v>448</v>
      </c>
    </row>
    <row r="4946" spans="29:120" x14ac:dyDescent="0.25">
      <c r="AC4946" s="122" t="s">
        <v>289</v>
      </c>
      <c r="AD4946" s="122" t="s">
        <v>5140</v>
      </c>
      <c r="AE4946" s="127">
        <v>8</v>
      </c>
      <c r="DA4946" s="122" t="s">
        <v>376</v>
      </c>
      <c r="DB4946" s="122" t="s">
        <v>3072</v>
      </c>
      <c r="DC4946" s="122" t="s">
        <v>3072</v>
      </c>
      <c r="DD4946" s="127">
        <v>5</v>
      </c>
      <c r="DE4946" s="127">
        <v>5</v>
      </c>
      <c r="DG4946" t="s">
        <v>376</v>
      </c>
      <c r="DH4946" t="s">
        <v>3072</v>
      </c>
      <c r="DI4946" s="406" t="str">
        <f t="shared" si="109"/>
        <v>SP, Eldorado</v>
      </c>
      <c r="DJ4946">
        <v>-24.52</v>
      </c>
      <c r="DK4946">
        <v>-48.107999999999997</v>
      </c>
      <c r="DL4946">
        <v>62</v>
      </c>
      <c r="DM4946" s="1">
        <v>5</v>
      </c>
      <c r="DN4946" t="s">
        <v>8750</v>
      </c>
      <c r="DO4946" s="406">
        <v>-24.71</v>
      </c>
      <c r="DP4946" s="80">
        <v>3</v>
      </c>
    </row>
    <row r="4947" spans="29:120" x14ac:dyDescent="0.25">
      <c r="AC4947" s="122" t="s">
        <v>348</v>
      </c>
      <c r="AD4947" s="122" t="s">
        <v>5141</v>
      </c>
      <c r="AE4947" s="127">
        <v>7</v>
      </c>
      <c r="DA4947" s="122" t="s">
        <v>376</v>
      </c>
      <c r="DB4947" s="122" t="s">
        <v>8768</v>
      </c>
      <c r="DC4947" s="122" t="s">
        <v>3886</v>
      </c>
      <c r="DD4947" s="127">
        <v>3</v>
      </c>
      <c r="DE4947" s="127">
        <v>3</v>
      </c>
      <c r="DG4947" t="s">
        <v>376</v>
      </c>
      <c r="DH4947" t="s">
        <v>3886</v>
      </c>
      <c r="DI4947" s="406" t="str">
        <f t="shared" si="109"/>
        <v>SP, Elias Fausto</v>
      </c>
      <c r="DJ4947">
        <v>-23.042999999999999</v>
      </c>
      <c r="DK4947">
        <v>-47.374000000000002</v>
      </c>
      <c r="DL4947">
        <v>605</v>
      </c>
      <c r="DM4947" s="1">
        <v>3</v>
      </c>
      <c r="DN4947" t="s">
        <v>8726</v>
      </c>
      <c r="DO4947" s="406">
        <v>-22.82</v>
      </c>
      <c r="DP4947" s="80">
        <v>640</v>
      </c>
    </row>
    <row r="4948" spans="29:120" x14ac:dyDescent="0.25">
      <c r="AC4948" s="122" t="s">
        <v>268</v>
      </c>
      <c r="AD4948" s="122" t="s">
        <v>5142</v>
      </c>
      <c r="AE4948" s="127">
        <v>8</v>
      </c>
      <c r="DA4948" s="122" t="s">
        <v>376</v>
      </c>
      <c r="DB4948" s="122" t="s">
        <v>3750</v>
      </c>
      <c r="DC4948" s="122" t="s">
        <v>3750</v>
      </c>
      <c r="DD4948" s="127">
        <v>6</v>
      </c>
      <c r="DE4948" s="127">
        <v>6</v>
      </c>
      <c r="DG4948" t="s">
        <v>376</v>
      </c>
      <c r="DH4948" t="s">
        <v>3750</v>
      </c>
      <c r="DI4948" s="406" t="str">
        <f t="shared" si="109"/>
        <v>SP, Elisiário</v>
      </c>
      <c r="DJ4948">
        <v>-21.166</v>
      </c>
      <c r="DK4948">
        <v>-49.112000000000002</v>
      </c>
      <c r="DL4948">
        <v>494</v>
      </c>
      <c r="DM4948" s="1">
        <v>6</v>
      </c>
      <c r="DN4948" t="s">
        <v>8721</v>
      </c>
      <c r="DO4948" s="406">
        <v>-21.13</v>
      </c>
      <c r="DP4948" s="80">
        <v>525</v>
      </c>
    </row>
    <row r="4949" spans="29:120" x14ac:dyDescent="0.25">
      <c r="AC4949" s="122" t="s">
        <v>323</v>
      </c>
      <c r="AD4949" s="122" t="s">
        <v>5143</v>
      </c>
      <c r="AE4949" s="127">
        <v>7</v>
      </c>
      <c r="DA4949" s="122" t="s">
        <v>376</v>
      </c>
      <c r="DB4949" s="122" t="s">
        <v>3556</v>
      </c>
      <c r="DC4949" s="122" t="s">
        <v>3556</v>
      </c>
      <c r="DD4949" s="127">
        <v>4</v>
      </c>
      <c r="DE4949" s="127">
        <v>4</v>
      </c>
      <c r="DG4949" t="s">
        <v>376</v>
      </c>
      <c r="DH4949" t="s">
        <v>3556</v>
      </c>
      <c r="DI4949" s="406" t="str">
        <f t="shared" si="109"/>
        <v>SP, Embaúba</v>
      </c>
      <c r="DJ4949">
        <v>-20.983000000000001</v>
      </c>
      <c r="DK4949">
        <v>-48.835999999999999</v>
      </c>
      <c r="DL4949">
        <v>570</v>
      </c>
      <c r="DM4949" s="1">
        <v>4</v>
      </c>
      <c r="DN4949" t="s">
        <v>8721</v>
      </c>
      <c r="DO4949" s="406">
        <v>-21.13</v>
      </c>
      <c r="DP4949" s="80">
        <v>525</v>
      </c>
    </row>
    <row r="4950" spans="29:120" x14ac:dyDescent="0.25">
      <c r="AC4950" s="122" t="s">
        <v>348</v>
      </c>
      <c r="AD4950" s="122" t="s">
        <v>5144</v>
      </c>
      <c r="AE4950" s="127">
        <v>7</v>
      </c>
      <c r="DA4950" s="122" t="s">
        <v>376</v>
      </c>
      <c r="DB4950" s="122" t="s">
        <v>519</v>
      </c>
      <c r="DC4950" s="122" t="s">
        <v>519</v>
      </c>
      <c r="DD4950" s="127">
        <v>3</v>
      </c>
      <c r="DE4950" s="127">
        <v>3</v>
      </c>
      <c r="DG4950" t="s">
        <v>376</v>
      </c>
      <c r="DH4950" t="s">
        <v>519</v>
      </c>
      <c r="DI4950" s="406" t="str">
        <f t="shared" si="109"/>
        <v>SP, Embu</v>
      </c>
      <c r="DJ4950">
        <v>-23.649000000000001</v>
      </c>
      <c r="DK4950">
        <v>-46.851999999999997</v>
      </c>
      <c r="DL4950">
        <v>775</v>
      </c>
      <c r="DM4950" s="1">
        <v>3</v>
      </c>
      <c r="DN4950" t="s">
        <v>8735</v>
      </c>
      <c r="DO4950" s="406">
        <v>-23.85</v>
      </c>
      <c r="DP4950" s="80">
        <v>792</v>
      </c>
    </row>
    <row r="4951" spans="29:120" x14ac:dyDescent="0.25">
      <c r="AC4951" s="122" t="s">
        <v>393</v>
      </c>
      <c r="AD4951" s="122" t="s">
        <v>5145</v>
      </c>
      <c r="AE4951" s="127">
        <v>7</v>
      </c>
      <c r="DA4951" s="122" t="s">
        <v>376</v>
      </c>
      <c r="DB4951" s="122" t="s">
        <v>730</v>
      </c>
      <c r="DC4951" s="122" t="s">
        <v>730</v>
      </c>
      <c r="DD4951" s="127">
        <v>3</v>
      </c>
      <c r="DE4951" s="127">
        <v>3</v>
      </c>
      <c r="DG4951" t="s">
        <v>376</v>
      </c>
      <c r="DH4951" t="s">
        <v>730</v>
      </c>
      <c r="DI4951" s="406" t="str">
        <f t="shared" si="109"/>
        <v>SP, Embu-Guaçu</v>
      </c>
      <c r="DJ4951">
        <v>-23.832000000000001</v>
      </c>
      <c r="DK4951">
        <v>-46.811</v>
      </c>
      <c r="DL4951">
        <v>742</v>
      </c>
      <c r="DM4951" s="1">
        <v>3</v>
      </c>
      <c r="DN4951" t="s">
        <v>8735</v>
      </c>
      <c r="DO4951" s="406">
        <v>-23.85</v>
      </c>
      <c r="DP4951" s="80">
        <v>792</v>
      </c>
    </row>
    <row r="4952" spans="29:120" x14ac:dyDescent="0.25">
      <c r="AC4952" s="122" t="s">
        <v>348</v>
      </c>
      <c r="AD4952" s="122" t="s">
        <v>5146</v>
      </c>
      <c r="AE4952" s="127">
        <v>8</v>
      </c>
      <c r="DA4952" s="122" t="s">
        <v>376</v>
      </c>
      <c r="DB4952" s="122" t="s">
        <v>3829</v>
      </c>
      <c r="DC4952" s="122" t="s">
        <v>3829</v>
      </c>
      <c r="DD4952" s="127">
        <v>6</v>
      </c>
      <c r="DE4952" s="127">
        <v>6</v>
      </c>
      <c r="DG4952" t="s">
        <v>376</v>
      </c>
      <c r="DH4952" t="s">
        <v>3829</v>
      </c>
      <c r="DI4952" s="406" t="str">
        <f t="shared" si="109"/>
        <v>SP, Emilianópolis</v>
      </c>
      <c r="DJ4952">
        <v>-21.832999999999998</v>
      </c>
      <c r="DK4952">
        <v>-51.482999999999997</v>
      </c>
      <c r="DL4952">
        <v>354</v>
      </c>
      <c r="DM4952" s="1">
        <v>6</v>
      </c>
      <c r="DN4952" t="s">
        <v>8720</v>
      </c>
      <c r="DO4952" s="406">
        <v>-22.13</v>
      </c>
      <c r="DP4952" s="80">
        <v>436</v>
      </c>
    </row>
    <row r="4953" spans="29:120" x14ac:dyDescent="0.25">
      <c r="AC4953" s="122" t="s">
        <v>268</v>
      </c>
      <c r="AD4953" s="122" t="s">
        <v>5147</v>
      </c>
      <c r="AE4953" s="127">
        <v>8</v>
      </c>
      <c r="DA4953" s="122" t="s">
        <v>376</v>
      </c>
      <c r="DB4953" s="122" t="s">
        <v>8769</v>
      </c>
      <c r="DC4953" s="122" t="s">
        <v>3705</v>
      </c>
      <c r="DD4953" s="127">
        <v>3</v>
      </c>
      <c r="DE4953" s="127">
        <v>3</v>
      </c>
      <c r="DG4953" t="s">
        <v>376</v>
      </c>
      <c r="DH4953" t="s">
        <v>3705</v>
      </c>
      <c r="DI4953" s="406" t="str">
        <f t="shared" si="109"/>
        <v>SP, Engenheiro Coelho</v>
      </c>
      <c r="DJ4953">
        <v>-22.488</v>
      </c>
      <c r="DK4953">
        <v>-47.215000000000003</v>
      </c>
      <c r="DL4953">
        <v>655</v>
      </c>
      <c r="DM4953" s="1">
        <v>3</v>
      </c>
      <c r="DN4953" t="s">
        <v>8726</v>
      </c>
      <c r="DO4953" s="406">
        <v>-22.82</v>
      </c>
      <c r="DP4953" s="80">
        <v>640</v>
      </c>
    </row>
    <row r="4954" spans="29:120" x14ac:dyDescent="0.25">
      <c r="AC4954" s="122" t="s">
        <v>344</v>
      </c>
      <c r="AD4954" s="122" t="s">
        <v>5148</v>
      </c>
      <c r="AE4954" s="127">
        <v>8</v>
      </c>
      <c r="DA4954" s="122" t="s">
        <v>376</v>
      </c>
      <c r="DB4954" s="122" t="s">
        <v>8770</v>
      </c>
      <c r="DC4954" s="122" t="s">
        <v>1063</v>
      </c>
      <c r="DD4954" s="127">
        <v>3</v>
      </c>
      <c r="DE4954" s="127">
        <v>3</v>
      </c>
      <c r="DG4954" t="s">
        <v>376</v>
      </c>
      <c r="DH4954" t="s">
        <v>1063</v>
      </c>
      <c r="DI4954" s="406" t="str">
        <f t="shared" si="109"/>
        <v>SP, Espírito Santo do Pinhal</v>
      </c>
      <c r="DJ4954">
        <v>-22.190999999999999</v>
      </c>
      <c r="DK4954">
        <v>-46.741</v>
      </c>
      <c r="DL4954">
        <v>870</v>
      </c>
      <c r="DM4954" s="1">
        <v>3</v>
      </c>
      <c r="DN4954" t="s">
        <v>6808</v>
      </c>
      <c r="DO4954" s="406">
        <v>-22.42</v>
      </c>
      <c r="DP4954" s="80">
        <v>633</v>
      </c>
    </row>
    <row r="4955" spans="29:120" x14ac:dyDescent="0.25">
      <c r="AC4955" s="122" t="s">
        <v>247</v>
      </c>
      <c r="AD4955" s="122" t="s">
        <v>5149</v>
      </c>
      <c r="AE4955" s="127">
        <v>8</v>
      </c>
      <c r="DA4955" s="122" t="s">
        <v>376</v>
      </c>
      <c r="DB4955" s="122" t="s">
        <v>8771</v>
      </c>
      <c r="DC4955" s="122" t="s">
        <v>3897</v>
      </c>
      <c r="DD4955" s="127">
        <v>3</v>
      </c>
      <c r="DE4955" s="127">
        <v>3</v>
      </c>
      <c r="DG4955" t="s">
        <v>376</v>
      </c>
      <c r="DH4955" t="s">
        <v>3897</v>
      </c>
      <c r="DI4955" s="406" t="str">
        <f t="shared" si="109"/>
        <v>SP, Espírito Santo do Turvo</v>
      </c>
      <c r="DJ4955">
        <v>-22.692</v>
      </c>
      <c r="DK4955">
        <v>-49.43</v>
      </c>
      <c r="DL4955">
        <v>520</v>
      </c>
      <c r="DM4955" s="1">
        <v>3</v>
      </c>
      <c r="DN4955" t="s">
        <v>7822</v>
      </c>
      <c r="DO4955" s="406">
        <v>-22.98</v>
      </c>
      <c r="DP4955" s="80">
        <v>448</v>
      </c>
    </row>
    <row r="4956" spans="29:120" x14ac:dyDescent="0.25">
      <c r="AC4956" s="122" t="s">
        <v>348</v>
      </c>
      <c r="AD4956" s="122" t="s">
        <v>5150</v>
      </c>
      <c r="AE4956" s="127">
        <v>7</v>
      </c>
      <c r="DA4956" s="122" t="s">
        <v>376</v>
      </c>
      <c r="DB4956" s="122" t="s">
        <v>8772</v>
      </c>
      <c r="DC4956" s="122" t="s">
        <v>3739</v>
      </c>
      <c r="DD4956" s="127">
        <v>3</v>
      </c>
      <c r="DE4956" s="127">
        <v>3</v>
      </c>
      <c r="DG4956" t="s">
        <v>376</v>
      </c>
      <c r="DH4956" t="s">
        <v>3739</v>
      </c>
      <c r="DI4956" s="406" t="str">
        <f t="shared" si="109"/>
        <v>SP, Estiva Gerbi</v>
      </c>
      <c r="DJ4956">
        <v>-22.271000000000001</v>
      </c>
      <c r="DK4956">
        <v>-46.945</v>
      </c>
      <c r="DL4956">
        <v>590</v>
      </c>
      <c r="DM4956" s="1">
        <v>3</v>
      </c>
      <c r="DN4956" t="s">
        <v>6808</v>
      </c>
      <c r="DO4956" s="406">
        <v>-22.42</v>
      </c>
      <c r="DP4956" s="80">
        <v>633</v>
      </c>
    </row>
    <row r="4957" spans="29:120" x14ac:dyDescent="0.25">
      <c r="AC4957" s="122" t="s">
        <v>289</v>
      </c>
      <c r="AD4957" s="122" t="s">
        <v>5151</v>
      </c>
      <c r="AE4957" s="127">
        <v>8</v>
      </c>
      <c r="DA4957" s="122" t="s">
        <v>376</v>
      </c>
      <c r="DB4957" s="122" t="s">
        <v>6561</v>
      </c>
      <c r="DC4957" s="122" t="s">
        <v>2637</v>
      </c>
      <c r="DD4957" s="127">
        <v>3</v>
      </c>
      <c r="DE4957" s="127">
        <v>3</v>
      </c>
      <c r="DG4957" t="s">
        <v>376</v>
      </c>
      <c r="DH4957" t="s">
        <v>2637</v>
      </c>
      <c r="DI4957" s="406" t="str">
        <f t="shared" si="109"/>
        <v>SP, Estrela do Norte</v>
      </c>
      <c r="DJ4957">
        <v>-22.488</v>
      </c>
      <c r="DK4957">
        <v>-51.66</v>
      </c>
      <c r="DL4957">
        <v>409</v>
      </c>
      <c r="DM4957" s="1">
        <v>3</v>
      </c>
      <c r="DN4957" t="s">
        <v>7264</v>
      </c>
      <c r="DO4957" s="406">
        <v>-22.49</v>
      </c>
      <c r="DP4957" s="80">
        <v>311</v>
      </c>
    </row>
    <row r="4958" spans="29:120" x14ac:dyDescent="0.25">
      <c r="AC4958" s="122" t="s">
        <v>268</v>
      </c>
      <c r="AD4958" s="122" t="s">
        <v>5152</v>
      </c>
      <c r="AE4958" s="127">
        <v>8</v>
      </c>
      <c r="DA4958" s="122" t="s">
        <v>376</v>
      </c>
      <c r="DB4958" s="122" t="s">
        <v>8773</v>
      </c>
      <c r="DC4958" s="122" t="s">
        <v>3576</v>
      </c>
      <c r="DD4958" s="127">
        <v>6</v>
      </c>
      <c r="DE4958" s="127">
        <v>6</v>
      </c>
      <c r="DG4958" t="s">
        <v>376</v>
      </c>
      <c r="DH4958" t="s">
        <v>3576</v>
      </c>
      <c r="DI4958" s="406" t="str">
        <f t="shared" si="109"/>
        <v>SP, Estrela d'Oeste</v>
      </c>
      <c r="DJ4958">
        <v>-20.288</v>
      </c>
      <c r="DK4958">
        <v>-50.401000000000003</v>
      </c>
      <c r="DL4958">
        <v>456</v>
      </c>
      <c r="DM4958" s="1">
        <v>6</v>
      </c>
      <c r="DN4958" t="s">
        <v>6904</v>
      </c>
      <c r="DO4958" s="406">
        <v>-20.27</v>
      </c>
      <c r="DP4958" s="80">
        <v>457</v>
      </c>
    </row>
    <row r="4959" spans="29:120" x14ac:dyDescent="0.25">
      <c r="AC4959" s="122" t="s">
        <v>348</v>
      </c>
      <c r="AD4959" s="122" t="s">
        <v>5153</v>
      </c>
      <c r="AE4959" s="127">
        <v>7</v>
      </c>
      <c r="DA4959" s="122" t="s">
        <v>376</v>
      </c>
      <c r="DB4959" s="122" t="s">
        <v>8774</v>
      </c>
      <c r="DC4959" s="122" t="s">
        <v>3442</v>
      </c>
      <c r="DD4959" s="127">
        <v>3</v>
      </c>
      <c r="DE4959" s="127">
        <v>3</v>
      </c>
      <c r="DG4959" t="s">
        <v>376</v>
      </c>
      <c r="DH4959" t="s">
        <v>3442</v>
      </c>
      <c r="DI4959" s="406" t="str">
        <f t="shared" si="109"/>
        <v>SP, Euclides da Cunha Paulista</v>
      </c>
      <c r="DJ4959">
        <v>-22.561</v>
      </c>
      <c r="DK4959">
        <v>-52.59</v>
      </c>
      <c r="DL4959">
        <v>265</v>
      </c>
      <c r="DM4959" s="1">
        <v>3</v>
      </c>
      <c r="DN4959" t="s">
        <v>7257</v>
      </c>
      <c r="DO4959" s="406">
        <v>-22.64</v>
      </c>
      <c r="DP4959" s="80">
        <v>362</v>
      </c>
    </row>
    <row r="4960" spans="29:120" x14ac:dyDescent="0.25">
      <c r="AC4960" s="122" t="s">
        <v>289</v>
      </c>
      <c r="AD4960" s="122" t="s">
        <v>5154</v>
      </c>
      <c r="AE4960" s="127">
        <v>8</v>
      </c>
      <c r="DA4960" s="122" t="s">
        <v>376</v>
      </c>
      <c r="DB4960" s="122" t="s">
        <v>1062</v>
      </c>
      <c r="DC4960" s="122" t="s">
        <v>1062</v>
      </c>
      <c r="DD4960" s="127">
        <v>3</v>
      </c>
      <c r="DE4960" s="127">
        <v>3</v>
      </c>
      <c r="DG4960" t="s">
        <v>376</v>
      </c>
      <c r="DH4960" t="s">
        <v>1062</v>
      </c>
      <c r="DI4960" s="406" t="str">
        <f t="shared" si="109"/>
        <v>SP, Fartura</v>
      </c>
      <c r="DJ4960">
        <v>-23.388000000000002</v>
      </c>
      <c r="DK4960">
        <v>-49.51</v>
      </c>
      <c r="DL4960">
        <v>516</v>
      </c>
      <c r="DM4960" s="1">
        <v>3</v>
      </c>
      <c r="DN4960" t="s">
        <v>7859</v>
      </c>
      <c r="DO4960" s="406">
        <v>-23.5</v>
      </c>
      <c r="DP4960" s="80">
        <v>522</v>
      </c>
    </row>
    <row r="4961" spans="29:120" x14ac:dyDescent="0.25">
      <c r="AC4961" s="122" t="s">
        <v>298</v>
      </c>
      <c r="AD4961" s="122" t="s">
        <v>5155</v>
      </c>
      <c r="AE4961" s="127">
        <v>8</v>
      </c>
      <c r="DA4961" s="122" t="s">
        <v>376</v>
      </c>
      <c r="DB4961" s="122" t="s">
        <v>8775</v>
      </c>
      <c r="DC4961" s="122" t="s">
        <v>3914</v>
      </c>
      <c r="DD4961" s="127">
        <v>6</v>
      </c>
      <c r="DE4961" s="127">
        <v>6</v>
      </c>
      <c r="DG4961" t="s">
        <v>376</v>
      </c>
      <c r="DH4961" t="s">
        <v>3914</v>
      </c>
      <c r="DI4961" s="406" t="str">
        <f t="shared" si="109"/>
        <v>SP, Fernando Prestes</v>
      </c>
      <c r="DJ4961">
        <v>-21.263999999999999</v>
      </c>
      <c r="DK4961">
        <v>-48.685000000000002</v>
      </c>
      <c r="DL4961">
        <v>545</v>
      </c>
      <c r="DM4961" s="1">
        <v>6</v>
      </c>
      <c r="DN4961" t="s">
        <v>8721</v>
      </c>
      <c r="DO4961" s="406">
        <v>-21.13</v>
      </c>
      <c r="DP4961" s="80">
        <v>525</v>
      </c>
    </row>
    <row r="4962" spans="29:120" x14ac:dyDescent="0.25">
      <c r="AC4962" s="122" t="s">
        <v>348</v>
      </c>
      <c r="AD4962" s="122" t="s">
        <v>1675</v>
      </c>
      <c r="AE4962" s="127">
        <v>8</v>
      </c>
      <c r="DA4962" s="122" t="s">
        <v>376</v>
      </c>
      <c r="DB4962" s="122" t="s">
        <v>4045</v>
      </c>
      <c r="DC4962" s="122" t="s">
        <v>4045</v>
      </c>
      <c r="DD4962" s="127">
        <v>6</v>
      </c>
      <c r="DE4962" s="127">
        <v>6</v>
      </c>
      <c r="DG4962" t="s">
        <v>376</v>
      </c>
      <c r="DH4962" t="s">
        <v>4045</v>
      </c>
      <c r="DI4962" s="406" t="str">
        <f t="shared" si="109"/>
        <v>SP, Fernandópolis</v>
      </c>
      <c r="DJ4962">
        <v>-20.283999999999999</v>
      </c>
      <c r="DK4962">
        <v>-50.246000000000002</v>
      </c>
      <c r="DL4962">
        <v>535</v>
      </c>
      <c r="DM4962" s="1">
        <v>6</v>
      </c>
      <c r="DN4962" t="s">
        <v>6904</v>
      </c>
      <c r="DO4962" s="406">
        <v>-20.27</v>
      </c>
      <c r="DP4962" s="80">
        <v>457</v>
      </c>
    </row>
    <row r="4963" spans="29:120" x14ac:dyDescent="0.25">
      <c r="AC4963" s="122" t="s">
        <v>348</v>
      </c>
      <c r="AD4963" s="122" t="s">
        <v>3809</v>
      </c>
      <c r="AE4963" s="127">
        <v>8</v>
      </c>
      <c r="DA4963" s="122" t="s">
        <v>376</v>
      </c>
      <c r="DB4963" s="122" t="s">
        <v>3942</v>
      </c>
      <c r="DC4963" s="122" t="s">
        <v>3942</v>
      </c>
      <c r="DD4963" s="127">
        <v>3</v>
      </c>
      <c r="DE4963" s="127">
        <v>3</v>
      </c>
      <c r="DG4963" t="s">
        <v>376</v>
      </c>
      <c r="DH4963" t="s">
        <v>3942</v>
      </c>
      <c r="DI4963" s="406" t="str">
        <f t="shared" si="109"/>
        <v>SP, Fernão</v>
      </c>
      <c r="DJ4963">
        <v>-22.359000000000002</v>
      </c>
      <c r="DK4963">
        <v>-49.521000000000001</v>
      </c>
      <c r="DL4963">
        <v>558</v>
      </c>
      <c r="DM4963" s="1">
        <v>3</v>
      </c>
      <c r="DN4963" t="s">
        <v>8717</v>
      </c>
      <c r="DO4963" s="406">
        <v>-22.32</v>
      </c>
      <c r="DP4963" s="80">
        <v>550</v>
      </c>
    </row>
    <row r="4964" spans="29:120" x14ac:dyDescent="0.25">
      <c r="AC4964" s="122" t="s">
        <v>348</v>
      </c>
      <c r="AD4964" s="122" t="s">
        <v>5156</v>
      </c>
      <c r="AE4964" s="127">
        <v>8</v>
      </c>
      <c r="DA4964" s="122" t="s">
        <v>376</v>
      </c>
      <c r="DB4964" s="122" t="s">
        <v>8776</v>
      </c>
      <c r="DC4964" s="122" t="s">
        <v>813</v>
      </c>
      <c r="DD4964" s="127">
        <v>3</v>
      </c>
      <c r="DE4964" s="127">
        <v>3</v>
      </c>
      <c r="DG4964" t="s">
        <v>376</v>
      </c>
      <c r="DH4964" t="s">
        <v>813</v>
      </c>
      <c r="DI4964" s="406" t="str">
        <f t="shared" si="109"/>
        <v>SP, Ferraz de Vasconcelos</v>
      </c>
      <c r="DJ4964">
        <v>-23.541</v>
      </c>
      <c r="DK4964">
        <v>-46.369</v>
      </c>
      <c r="DL4964">
        <v>755</v>
      </c>
      <c r="DM4964" s="1">
        <v>3</v>
      </c>
      <c r="DN4964" t="s">
        <v>8735</v>
      </c>
      <c r="DO4964" s="406">
        <v>-23.85</v>
      </c>
      <c r="DP4964" s="80">
        <v>792</v>
      </c>
    </row>
    <row r="4965" spans="29:120" x14ac:dyDescent="0.25">
      <c r="AC4965" s="122" t="s">
        <v>289</v>
      </c>
      <c r="AD4965" s="122" t="s">
        <v>5157</v>
      </c>
      <c r="AE4965" s="127">
        <v>6</v>
      </c>
      <c r="DA4965" s="122" t="s">
        <v>376</v>
      </c>
      <c r="DB4965" s="122" t="s">
        <v>8777</v>
      </c>
      <c r="DC4965" s="122" t="s">
        <v>3851</v>
      </c>
      <c r="DD4965" s="127">
        <v>6</v>
      </c>
      <c r="DE4965" s="127">
        <v>6</v>
      </c>
      <c r="DG4965" t="s">
        <v>376</v>
      </c>
      <c r="DH4965" t="s">
        <v>3851</v>
      </c>
      <c r="DI4965" s="406" t="str">
        <f t="shared" si="109"/>
        <v>SP, Flora Rica</v>
      </c>
      <c r="DJ4965">
        <v>-21.675999999999998</v>
      </c>
      <c r="DK4965">
        <v>-51.384</v>
      </c>
      <c r="DL4965">
        <v>382</v>
      </c>
      <c r="DM4965" s="1">
        <v>6</v>
      </c>
      <c r="DN4965" t="s">
        <v>8720</v>
      </c>
      <c r="DO4965" s="406">
        <v>-22.13</v>
      </c>
      <c r="DP4965" s="80">
        <v>436</v>
      </c>
    </row>
    <row r="4966" spans="29:120" x14ac:dyDescent="0.25">
      <c r="AC4966" s="122" t="s">
        <v>344</v>
      </c>
      <c r="AD4966" s="122" t="s">
        <v>5158</v>
      </c>
      <c r="AE4966" s="127">
        <v>8</v>
      </c>
      <c r="DA4966" s="122" t="s">
        <v>376</v>
      </c>
      <c r="DB4966" s="122" t="s">
        <v>3966</v>
      </c>
      <c r="DC4966" s="122" t="s">
        <v>3966</v>
      </c>
      <c r="DD4966" s="127">
        <v>6</v>
      </c>
      <c r="DE4966" s="127">
        <v>6</v>
      </c>
      <c r="DG4966" t="s">
        <v>376</v>
      </c>
      <c r="DH4966" t="s">
        <v>3966</v>
      </c>
      <c r="DI4966" s="406" t="str">
        <f t="shared" si="109"/>
        <v>SP, Floreal</v>
      </c>
      <c r="DJ4966">
        <v>-20.677</v>
      </c>
      <c r="DK4966">
        <v>-50.145000000000003</v>
      </c>
      <c r="DL4966">
        <v>518</v>
      </c>
      <c r="DM4966" s="1">
        <v>6</v>
      </c>
      <c r="DN4966" t="s">
        <v>6984</v>
      </c>
      <c r="DO4966" s="406">
        <v>-20.420000000000002</v>
      </c>
      <c r="DP4966" s="80">
        <v>486</v>
      </c>
    </row>
    <row r="4967" spans="29:120" x14ac:dyDescent="0.25">
      <c r="AC4967" s="122" t="s">
        <v>369</v>
      </c>
      <c r="AD4967" s="122" t="s">
        <v>5159</v>
      </c>
      <c r="AE4967" s="127">
        <v>7</v>
      </c>
      <c r="DA4967" s="122" t="s">
        <v>376</v>
      </c>
      <c r="DB4967" s="122" t="s">
        <v>8778</v>
      </c>
      <c r="DC4967" s="122" t="s">
        <v>3953</v>
      </c>
      <c r="DD4967" s="127">
        <v>6</v>
      </c>
      <c r="DE4967" s="127">
        <v>6</v>
      </c>
      <c r="DG4967" t="s">
        <v>376</v>
      </c>
      <c r="DH4967" t="s">
        <v>3953</v>
      </c>
      <c r="DI4967" s="406" t="str">
        <f t="shared" si="109"/>
        <v>SP, Flórida Paulista</v>
      </c>
      <c r="DJ4967">
        <v>-21.614999999999998</v>
      </c>
      <c r="DK4967">
        <v>-51.173999999999999</v>
      </c>
      <c r="DL4967">
        <v>410</v>
      </c>
      <c r="DM4967" s="1">
        <v>6</v>
      </c>
      <c r="DN4967" t="s">
        <v>8709</v>
      </c>
      <c r="DO4967" s="406">
        <v>-21.32</v>
      </c>
      <c r="DP4967" s="80">
        <v>374</v>
      </c>
    </row>
    <row r="4968" spans="29:120" x14ac:dyDescent="0.25">
      <c r="AC4968" s="122" t="s">
        <v>369</v>
      </c>
      <c r="AD4968" s="122" t="s">
        <v>5160</v>
      </c>
      <c r="AE4968" s="127">
        <v>7</v>
      </c>
      <c r="DA4968" s="122" t="s">
        <v>376</v>
      </c>
      <c r="DB4968" s="122" t="s">
        <v>3627</v>
      </c>
      <c r="DC4968" s="122" t="s">
        <v>3627</v>
      </c>
      <c r="DD4968" s="127">
        <v>3</v>
      </c>
      <c r="DE4968" s="127">
        <v>3</v>
      </c>
      <c r="DG4968" t="s">
        <v>376</v>
      </c>
      <c r="DH4968" t="s">
        <v>3627</v>
      </c>
      <c r="DI4968" s="406" t="str">
        <f t="shared" si="109"/>
        <v>SP, Florínia</v>
      </c>
      <c r="DJ4968">
        <v>-22.902999999999999</v>
      </c>
      <c r="DK4968">
        <v>-50.738</v>
      </c>
      <c r="DL4968">
        <v>360</v>
      </c>
      <c r="DM4968" s="1">
        <v>3</v>
      </c>
      <c r="DN4968" t="s">
        <v>7806</v>
      </c>
      <c r="DO4968" s="406">
        <v>-23.43</v>
      </c>
      <c r="DP4968" s="80">
        <v>668</v>
      </c>
    </row>
    <row r="4969" spans="29:120" x14ac:dyDescent="0.25">
      <c r="AC4969" s="122" t="s">
        <v>300</v>
      </c>
      <c r="AD4969" s="122" t="s">
        <v>5161</v>
      </c>
      <c r="AE4969" s="127">
        <v>7</v>
      </c>
      <c r="DA4969" s="122" t="s">
        <v>376</v>
      </c>
      <c r="DB4969" s="122" t="s">
        <v>2209</v>
      </c>
      <c r="DC4969" s="122" t="s">
        <v>2209</v>
      </c>
      <c r="DD4969" s="127">
        <v>4</v>
      </c>
      <c r="DE4969" s="127">
        <v>4</v>
      </c>
      <c r="DG4969" t="s">
        <v>376</v>
      </c>
      <c r="DH4969" t="s">
        <v>2209</v>
      </c>
      <c r="DI4969" s="406" t="str">
        <f t="shared" si="109"/>
        <v>SP, Franca</v>
      </c>
      <c r="DJ4969">
        <v>-20.539000000000001</v>
      </c>
      <c r="DK4969">
        <v>-47.401000000000003</v>
      </c>
      <c r="DL4969">
        <v>996</v>
      </c>
      <c r="DM4969" s="1">
        <v>4</v>
      </c>
      <c r="DN4969" t="s">
        <v>6892</v>
      </c>
      <c r="DO4969" s="406">
        <v>-20.54</v>
      </c>
      <c r="DP4969" s="80">
        <v>1026</v>
      </c>
    </row>
    <row r="4970" spans="29:120" x14ac:dyDescent="0.25">
      <c r="AC4970" s="122" t="s">
        <v>348</v>
      </c>
      <c r="AD4970" s="122" t="s">
        <v>1814</v>
      </c>
      <c r="AE4970" s="127">
        <v>7</v>
      </c>
      <c r="DA4970" s="122" t="s">
        <v>376</v>
      </c>
      <c r="DB4970" s="122" t="s">
        <v>8779</v>
      </c>
      <c r="DC4970" s="122" t="s">
        <v>1004</v>
      </c>
      <c r="DD4970" s="127">
        <v>3</v>
      </c>
      <c r="DE4970" s="127">
        <v>3</v>
      </c>
      <c r="DG4970" t="s">
        <v>376</v>
      </c>
      <c r="DH4970" t="s">
        <v>1004</v>
      </c>
      <c r="DI4970" s="406" t="str">
        <f t="shared" si="109"/>
        <v>SP, Francisco Morato</v>
      </c>
      <c r="DJ4970">
        <v>-23.282</v>
      </c>
      <c r="DK4970">
        <v>-46.744999999999997</v>
      </c>
      <c r="DL4970">
        <v>792</v>
      </c>
      <c r="DM4970" s="1">
        <v>3</v>
      </c>
      <c r="DN4970" t="s">
        <v>8726</v>
      </c>
      <c r="DO4970" s="406">
        <v>-22.82</v>
      </c>
      <c r="DP4970" s="80">
        <v>640</v>
      </c>
    </row>
    <row r="4971" spans="29:120" x14ac:dyDescent="0.25">
      <c r="AC4971" s="122" t="s">
        <v>289</v>
      </c>
      <c r="AD4971" s="122" t="s">
        <v>5162</v>
      </c>
      <c r="AE4971" s="127">
        <v>8</v>
      </c>
      <c r="DA4971" s="122" t="s">
        <v>376</v>
      </c>
      <c r="DB4971" s="122" t="s">
        <v>8780</v>
      </c>
      <c r="DC4971" s="122" t="s">
        <v>731</v>
      </c>
      <c r="DD4971" s="127">
        <v>3</v>
      </c>
      <c r="DE4971" s="127">
        <v>3</v>
      </c>
      <c r="DG4971" t="s">
        <v>376</v>
      </c>
      <c r="DH4971" t="s">
        <v>731</v>
      </c>
      <c r="DI4971" s="406" t="str">
        <f t="shared" si="109"/>
        <v>SP, Franco da Rocha</v>
      </c>
      <c r="DJ4971">
        <v>-23.321999999999999</v>
      </c>
      <c r="DK4971">
        <v>-46.726999999999997</v>
      </c>
      <c r="DL4971">
        <v>740</v>
      </c>
      <c r="DM4971" s="1">
        <v>3</v>
      </c>
      <c r="DN4971" t="s">
        <v>8735</v>
      </c>
      <c r="DO4971" s="406">
        <v>-23.85</v>
      </c>
      <c r="DP4971" s="80">
        <v>792</v>
      </c>
    </row>
    <row r="4972" spans="29:120" x14ac:dyDescent="0.25">
      <c r="AC4972" s="122" t="s">
        <v>268</v>
      </c>
      <c r="AD4972" s="122" t="s">
        <v>5163</v>
      </c>
      <c r="AE4972" s="127">
        <v>8</v>
      </c>
      <c r="DA4972" s="122" t="s">
        <v>376</v>
      </c>
      <c r="DB4972" s="122" t="s">
        <v>8781</v>
      </c>
      <c r="DC4972" s="122" t="s">
        <v>4022</v>
      </c>
      <c r="DD4972" s="127">
        <v>6</v>
      </c>
      <c r="DE4972" s="127">
        <v>6</v>
      </c>
      <c r="DG4972" t="s">
        <v>376</v>
      </c>
      <c r="DH4972" t="s">
        <v>4022</v>
      </c>
      <c r="DI4972" s="406" t="str">
        <f t="shared" si="109"/>
        <v>SP, Gabriel Monteiro</v>
      </c>
      <c r="DJ4972">
        <v>-21.530999999999999</v>
      </c>
      <c r="DK4972">
        <v>-50.555</v>
      </c>
      <c r="DL4972">
        <v>436</v>
      </c>
      <c r="DM4972" s="1">
        <v>6</v>
      </c>
      <c r="DN4972" t="s">
        <v>8709</v>
      </c>
      <c r="DO4972" s="406">
        <v>-21.32</v>
      </c>
      <c r="DP4972" s="80">
        <v>374</v>
      </c>
    </row>
    <row r="4973" spans="29:120" x14ac:dyDescent="0.25">
      <c r="AC4973" s="122" t="s">
        <v>300</v>
      </c>
      <c r="AD4973" s="122" t="s">
        <v>2432</v>
      </c>
      <c r="AE4973" s="127">
        <v>7</v>
      </c>
      <c r="DA4973" s="122" t="s">
        <v>376</v>
      </c>
      <c r="DB4973" s="122" t="s">
        <v>1787</v>
      </c>
      <c r="DC4973" s="122" t="s">
        <v>1787</v>
      </c>
      <c r="DD4973" s="127">
        <v>3</v>
      </c>
      <c r="DE4973" s="127">
        <v>3</v>
      </c>
      <c r="DG4973" t="s">
        <v>376</v>
      </c>
      <c r="DH4973" t="s">
        <v>1787</v>
      </c>
      <c r="DI4973" s="406" t="str">
        <f t="shared" si="109"/>
        <v>SP, Gália</v>
      </c>
      <c r="DJ4973">
        <v>-22.291</v>
      </c>
      <c r="DK4973">
        <v>-49.552999999999997</v>
      </c>
      <c r="DL4973">
        <v>561</v>
      </c>
      <c r="DM4973" s="1">
        <v>3</v>
      </c>
      <c r="DN4973" t="s">
        <v>8717</v>
      </c>
      <c r="DO4973" s="406">
        <v>-22.32</v>
      </c>
      <c r="DP4973" s="80">
        <v>550</v>
      </c>
    </row>
    <row r="4974" spans="29:120" x14ac:dyDescent="0.25">
      <c r="AC4974" s="122" t="s">
        <v>289</v>
      </c>
      <c r="AD4974" s="122" t="s">
        <v>5164</v>
      </c>
      <c r="AE4974" s="127">
        <v>5</v>
      </c>
      <c r="DA4974" s="122" t="s">
        <v>376</v>
      </c>
      <c r="DB4974" s="122" t="s">
        <v>1074</v>
      </c>
      <c r="DC4974" s="122" t="s">
        <v>1074</v>
      </c>
      <c r="DD4974" s="127">
        <v>3</v>
      </c>
      <c r="DE4974" s="127">
        <v>3</v>
      </c>
      <c r="DG4974" t="s">
        <v>376</v>
      </c>
      <c r="DH4974" t="s">
        <v>1074</v>
      </c>
      <c r="DI4974" s="406" t="str">
        <f t="shared" si="109"/>
        <v>SP, Garça</v>
      </c>
      <c r="DJ4974">
        <v>-22.210999999999999</v>
      </c>
      <c r="DK4974">
        <v>-49.655999999999999</v>
      </c>
      <c r="DL4974">
        <v>683</v>
      </c>
      <c r="DM4974" s="1">
        <v>3</v>
      </c>
      <c r="DN4974" t="s">
        <v>8722</v>
      </c>
      <c r="DO4974" s="406">
        <v>-21.68</v>
      </c>
      <c r="DP4974" s="80">
        <v>459</v>
      </c>
    </row>
    <row r="4975" spans="29:120" x14ac:dyDescent="0.25">
      <c r="AC4975" s="122" t="s">
        <v>298</v>
      </c>
      <c r="AD4975" s="122" t="s">
        <v>5165</v>
      </c>
      <c r="AE4975" s="127">
        <v>8</v>
      </c>
      <c r="DA4975" s="122" t="s">
        <v>376</v>
      </c>
      <c r="DB4975" s="122" t="s">
        <v>8782</v>
      </c>
      <c r="DC4975" s="122" t="s">
        <v>3975</v>
      </c>
      <c r="DD4975" s="127">
        <v>6</v>
      </c>
      <c r="DE4975" s="127">
        <v>6</v>
      </c>
      <c r="DG4975" t="s">
        <v>376</v>
      </c>
      <c r="DH4975" t="s">
        <v>3975</v>
      </c>
      <c r="DI4975" s="406" t="str">
        <f t="shared" si="109"/>
        <v>SP, Gastão Vidigal</v>
      </c>
      <c r="DJ4975">
        <v>-20.798999999999999</v>
      </c>
      <c r="DK4975">
        <v>-50.186999999999998</v>
      </c>
      <c r="DL4975">
        <v>401</v>
      </c>
      <c r="DM4975" s="1">
        <v>6</v>
      </c>
      <c r="DN4975" t="s">
        <v>6984</v>
      </c>
      <c r="DO4975" s="406">
        <v>-20.420000000000002</v>
      </c>
      <c r="DP4975" s="80">
        <v>486</v>
      </c>
    </row>
    <row r="4976" spans="29:120" x14ac:dyDescent="0.25">
      <c r="AC4976" s="122" t="s">
        <v>333</v>
      </c>
      <c r="AD4976" s="122" t="s">
        <v>5166</v>
      </c>
      <c r="AE4976" s="127">
        <v>5</v>
      </c>
      <c r="DA4976" s="122" t="s">
        <v>376</v>
      </c>
      <c r="DB4976" s="122" t="s">
        <v>8783</v>
      </c>
      <c r="DC4976" s="122" t="s">
        <v>3808</v>
      </c>
      <c r="DD4976" s="127">
        <v>4</v>
      </c>
      <c r="DE4976" s="127">
        <v>4</v>
      </c>
      <c r="DG4976" t="s">
        <v>376</v>
      </c>
      <c r="DH4976" t="s">
        <v>3808</v>
      </c>
      <c r="DI4976" s="406" t="str">
        <f t="shared" si="109"/>
        <v>SP, Gavião Peixoto</v>
      </c>
      <c r="DJ4976">
        <v>-21.838999999999999</v>
      </c>
      <c r="DK4976">
        <v>-48.494999999999997</v>
      </c>
      <c r="DL4976">
        <v>515</v>
      </c>
      <c r="DM4976" s="1">
        <v>4</v>
      </c>
      <c r="DN4976" t="s">
        <v>8733</v>
      </c>
      <c r="DO4976" s="406">
        <v>-21.86</v>
      </c>
      <c r="DP4976" s="80">
        <v>492</v>
      </c>
    </row>
    <row r="4977" spans="29:120" x14ac:dyDescent="0.25">
      <c r="AC4977" s="122" t="s">
        <v>348</v>
      </c>
      <c r="AD4977" s="122" t="s">
        <v>5167</v>
      </c>
      <c r="AE4977" s="127">
        <v>7</v>
      </c>
      <c r="DA4977" s="122" t="s">
        <v>376</v>
      </c>
      <c r="DB4977" s="122" t="s">
        <v>8784</v>
      </c>
      <c r="DC4977" s="122" t="s">
        <v>3988</v>
      </c>
      <c r="DD4977" s="127">
        <v>6</v>
      </c>
      <c r="DE4977" s="127">
        <v>6</v>
      </c>
      <c r="DG4977" t="s">
        <v>376</v>
      </c>
      <c r="DH4977" t="s">
        <v>3988</v>
      </c>
      <c r="DI4977" s="406" t="str">
        <f t="shared" si="109"/>
        <v>SP, General Salgado</v>
      </c>
      <c r="DJ4977">
        <v>-20.648</v>
      </c>
      <c r="DK4977">
        <v>-50.360999999999997</v>
      </c>
      <c r="DL4977">
        <v>418</v>
      </c>
      <c r="DM4977" s="1">
        <v>6</v>
      </c>
      <c r="DN4977" t="s">
        <v>6904</v>
      </c>
      <c r="DO4977" s="406">
        <v>-20.27</v>
      </c>
      <c r="DP4977" s="80">
        <v>457</v>
      </c>
    </row>
    <row r="4978" spans="29:120" x14ac:dyDescent="0.25">
      <c r="AC4978" s="122" t="s">
        <v>348</v>
      </c>
      <c r="AD4978" s="122" t="s">
        <v>5168</v>
      </c>
      <c r="AE4978" s="127">
        <v>7</v>
      </c>
      <c r="DA4978" s="122" t="s">
        <v>376</v>
      </c>
      <c r="DB4978" s="122" t="s">
        <v>3853</v>
      </c>
      <c r="DC4978" s="122" t="s">
        <v>3853</v>
      </c>
      <c r="DD4978" s="127">
        <v>3</v>
      </c>
      <c r="DE4978" s="127">
        <v>3</v>
      </c>
      <c r="DG4978" t="s">
        <v>376</v>
      </c>
      <c r="DH4978" t="s">
        <v>3853</v>
      </c>
      <c r="DI4978" s="406" t="str">
        <f t="shared" si="109"/>
        <v>SP, Getulina</v>
      </c>
      <c r="DJ4978">
        <v>-21.798999999999999</v>
      </c>
      <c r="DK4978">
        <v>-49.929000000000002</v>
      </c>
      <c r="DL4978">
        <v>487</v>
      </c>
      <c r="DM4978" s="1">
        <v>3</v>
      </c>
      <c r="DN4978" t="s">
        <v>8722</v>
      </c>
      <c r="DO4978" s="406">
        <v>-21.68</v>
      </c>
      <c r="DP4978" s="80">
        <v>459</v>
      </c>
    </row>
    <row r="4979" spans="29:120" x14ac:dyDescent="0.25">
      <c r="AC4979" s="122" t="s">
        <v>369</v>
      </c>
      <c r="AD4979" s="122" t="s">
        <v>5169</v>
      </c>
      <c r="AE4979" s="127">
        <v>8</v>
      </c>
      <c r="DA4979" s="122" t="s">
        <v>376</v>
      </c>
      <c r="DB4979" s="122" t="s">
        <v>3941</v>
      </c>
      <c r="DC4979" s="122" t="s">
        <v>3941</v>
      </c>
      <c r="DD4979" s="127">
        <v>6</v>
      </c>
      <c r="DE4979" s="127">
        <v>6</v>
      </c>
      <c r="DG4979" t="s">
        <v>376</v>
      </c>
      <c r="DH4979" t="s">
        <v>3941</v>
      </c>
      <c r="DI4979" s="406" t="str">
        <f t="shared" si="109"/>
        <v>SP, Glicério</v>
      </c>
      <c r="DJ4979">
        <v>-21.384</v>
      </c>
      <c r="DK4979">
        <v>-50.210999999999999</v>
      </c>
      <c r="DL4979">
        <v>400</v>
      </c>
      <c r="DM4979" s="1">
        <v>6</v>
      </c>
      <c r="DN4979" t="s">
        <v>8722</v>
      </c>
      <c r="DO4979" s="406">
        <v>-21.68</v>
      </c>
      <c r="DP4979" s="80">
        <v>459</v>
      </c>
    </row>
    <row r="4980" spans="29:120" x14ac:dyDescent="0.25">
      <c r="AC4980" s="122" t="s">
        <v>300</v>
      </c>
      <c r="AD4980" s="122" t="s">
        <v>5170</v>
      </c>
      <c r="AE4980" s="127">
        <v>7</v>
      </c>
      <c r="DA4980" s="122" t="s">
        <v>376</v>
      </c>
      <c r="DB4980" s="122" t="s">
        <v>3562</v>
      </c>
      <c r="DC4980" s="122" t="s">
        <v>3562</v>
      </c>
      <c r="DD4980" s="127">
        <v>3</v>
      </c>
      <c r="DE4980" s="127">
        <v>3</v>
      </c>
      <c r="DG4980" t="s">
        <v>376</v>
      </c>
      <c r="DH4980" t="s">
        <v>3562</v>
      </c>
      <c r="DI4980" s="406" t="str">
        <f t="shared" si="109"/>
        <v>SP, Guaiçara</v>
      </c>
      <c r="DJ4980">
        <v>-21.622</v>
      </c>
      <c r="DK4980">
        <v>-49.798999999999999</v>
      </c>
      <c r="DL4980">
        <v>461</v>
      </c>
      <c r="DM4980" s="1">
        <v>3</v>
      </c>
      <c r="DN4980" t="s">
        <v>8722</v>
      </c>
      <c r="DO4980" s="406">
        <v>-21.68</v>
      </c>
      <c r="DP4980" s="80">
        <v>459</v>
      </c>
    </row>
    <row r="4981" spans="29:120" x14ac:dyDescent="0.25">
      <c r="AC4981" s="122" t="s">
        <v>268</v>
      </c>
      <c r="AD4981" s="122" t="s">
        <v>5171</v>
      </c>
      <c r="AE4981" s="127">
        <v>8</v>
      </c>
      <c r="DA4981" s="122" t="s">
        <v>376</v>
      </c>
      <c r="DB4981" s="122" t="s">
        <v>3742</v>
      </c>
      <c r="DC4981" s="122" t="s">
        <v>3742</v>
      </c>
      <c r="DD4981" s="127">
        <v>3</v>
      </c>
      <c r="DE4981" s="127">
        <v>3</v>
      </c>
      <c r="DG4981" t="s">
        <v>376</v>
      </c>
      <c r="DH4981" t="s">
        <v>3742</v>
      </c>
      <c r="DI4981" s="406" t="str">
        <f t="shared" si="109"/>
        <v>SP, Guaimbê</v>
      </c>
      <c r="DJ4981">
        <v>-21.91</v>
      </c>
      <c r="DK4981">
        <v>-49.896999999999998</v>
      </c>
      <c r="DL4981">
        <v>469</v>
      </c>
      <c r="DM4981" s="1">
        <v>3</v>
      </c>
      <c r="DN4981" t="s">
        <v>8722</v>
      </c>
      <c r="DO4981" s="406">
        <v>-21.68</v>
      </c>
      <c r="DP4981" s="80">
        <v>459</v>
      </c>
    </row>
    <row r="4982" spans="29:120" x14ac:dyDescent="0.25">
      <c r="AC4982" s="122" t="s">
        <v>369</v>
      </c>
      <c r="AD4982" s="122" t="s">
        <v>5172</v>
      </c>
      <c r="AE4982" s="127">
        <v>8</v>
      </c>
      <c r="DA4982" s="122" t="s">
        <v>376</v>
      </c>
      <c r="DB4982" s="122" t="s">
        <v>3103</v>
      </c>
      <c r="DC4982" s="122" t="s">
        <v>3103</v>
      </c>
      <c r="DD4982" s="127">
        <v>4</v>
      </c>
      <c r="DE4982" s="127">
        <v>4</v>
      </c>
      <c r="DG4982" t="s">
        <v>376</v>
      </c>
      <c r="DH4982" t="s">
        <v>3103</v>
      </c>
      <c r="DI4982" s="406" t="str">
        <f t="shared" si="109"/>
        <v>SP, Guaíra</v>
      </c>
      <c r="DJ4982">
        <v>-20.318000000000001</v>
      </c>
      <c r="DK4982">
        <v>-48.311</v>
      </c>
      <c r="DL4982">
        <v>517</v>
      </c>
      <c r="DM4982" s="1">
        <v>4</v>
      </c>
      <c r="DN4982" t="s">
        <v>6802</v>
      </c>
      <c r="DO4982" s="406">
        <v>-19.989999999999998</v>
      </c>
      <c r="DP4982" s="80">
        <v>568</v>
      </c>
    </row>
    <row r="4983" spans="29:120" x14ac:dyDescent="0.25">
      <c r="AC4983" s="122" t="s">
        <v>369</v>
      </c>
      <c r="AD4983" s="122" t="s">
        <v>5173</v>
      </c>
      <c r="AE4983" s="127">
        <v>7</v>
      </c>
      <c r="DA4983" s="122" t="s">
        <v>376</v>
      </c>
      <c r="DB4983" s="122" t="s">
        <v>3755</v>
      </c>
      <c r="DC4983" s="122" t="s">
        <v>3755</v>
      </c>
      <c r="DD4983" s="127">
        <v>6</v>
      </c>
      <c r="DE4983" s="127">
        <v>6</v>
      </c>
      <c r="DG4983" t="s">
        <v>376</v>
      </c>
      <c r="DH4983" t="s">
        <v>3755</v>
      </c>
      <c r="DI4983" s="406" t="str">
        <f t="shared" si="109"/>
        <v>SP, Guapiaçu</v>
      </c>
      <c r="DJ4983">
        <v>-20.795000000000002</v>
      </c>
      <c r="DK4983">
        <v>-49.22</v>
      </c>
      <c r="DL4983">
        <v>505</v>
      </c>
      <c r="DM4983" s="1">
        <v>6</v>
      </c>
      <c r="DN4983" t="s">
        <v>8721</v>
      </c>
      <c r="DO4983" s="406">
        <v>-21.13</v>
      </c>
      <c r="DP4983" s="80">
        <v>525</v>
      </c>
    </row>
    <row r="4984" spans="29:120" x14ac:dyDescent="0.25">
      <c r="AC4984" s="122" t="s">
        <v>289</v>
      </c>
      <c r="AD4984" s="122" t="s">
        <v>5174</v>
      </c>
      <c r="AE4984" s="127">
        <v>8</v>
      </c>
      <c r="DA4984" s="122" t="s">
        <v>376</v>
      </c>
      <c r="DB4984" s="122" t="s">
        <v>960</v>
      </c>
      <c r="DC4984" s="122" t="s">
        <v>960</v>
      </c>
      <c r="DD4984" s="127">
        <v>3</v>
      </c>
      <c r="DE4984" s="127">
        <v>3</v>
      </c>
      <c r="DG4984" t="s">
        <v>376</v>
      </c>
      <c r="DH4984" t="s">
        <v>960</v>
      </c>
      <c r="DI4984" s="406" t="str">
        <f t="shared" si="109"/>
        <v>SP, Guapiara</v>
      </c>
      <c r="DJ4984">
        <v>-24.184999999999999</v>
      </c>
      <c r="DK4984">
        <v>-48.533000000000001</v>
      </c>
      <c r="DL4984">
        <v>750</v>
      </c>
      <c r="DM4984" s="1">
        <v>3</v>
      </c>
      <c r="DN4984" t="s">
        <v>7807</v>
      </c>
      <c r="DO4984" s="406">
        <v>-23.98</v>
      </c>
      <c r="DP4984" s="80">
        <v>707</v>
      </c>
    </row>
    <row r="4985" spans="29:120" x14ac:dyDescent="0.25">
      <c r="AC4985" s="122" t="s">
        <v>348</v>
      </c>
      <c r="AD4985" s="122" t="s">
        <v>5175</v>
      </c>
      <c r="AE4985" s="127">
        <v>7</v>
      </c>
      <c r="DA4985" s="122" t="s">
        <v>376</v>
      </c>
      <c r="DB4985" s="122" t="s">
        <v>3875</v>
      </c>
      <c r="DC4985" s="122" t="s">
        <v>3875</v>
      </c>
      <c r="DD4985" s="127">
        <v>4</v>
      </c>
      <c r="DE4985" s="127">
        <v>4</v>
      </c>
      <c r="DG4985" t="s">
        <v>376</v>
      </c>
      <c r="DH4985" t="s">
        <v>3875</v>
      </c>
      <c r="DI4985" s="406" t="str">
        <f t="shared" si="109"/>
        <v>SP, Guará</v>
      </c>
      <c r="DJ4985">
        <v>-20.428000000000001</v>
      </c>
      <c r="DK4985">
        <v>-47.823999999999998</v>
      </c>
      <c r="DL4985">
        <v>573</v>
      </c>
      <c r="DM4985" s="1">
        <v>4</v>
      </c>
      <c r="DN4985" t="s">
        <v>8732</v>
      </c>
      <c r="DO4985" s="406">
        <v>-20.36</v>
      </c>
      <c r="DP4985" s="80">
        <v>600</v>
      </c>
    </row>
    <row r="4986" spans="29:120" x14ac:dyDescent="0.25">
      <c r="AC4986" s="122" t="s">
        <v>289</v>
      </c>
      <c r="AD4986" s="122" t="s">
        <v>5176</v>
      </c>
      <c r="AE4986" s="127">
        <v>8</v>
      </c>
      <c r="DA4986" s="122" t="s">
        <v>376</v>
      </c>
      <c r="DB4986" s="122" t="s">
        <v>3992</v>
      </c>
      <c r="DC4986" s="122" t="s">
        <v>3992</v>
      </c>
      <c r="DD4986" s="127">
        <v>6</v>
      </c>
      <c r="DE4986" s="127">
        <v>6</v>
      </c>
      <c r="DG4986" t="s">
        <v>376</v>
      </c>
      <c r="DH4986" t="s">
        <v>3992</v>
      </c>
      <c r="DI4986" s="406" t="str">
        <f t="shared" si="109"/>
        <v>SP, Guaraçaí</v>
      </c>
      <c r="DJ4986">
        <v>-21.027999999999999</v>
      </c>
      <c r="DK4986">
        <v>-51.207000000000001</v>
      </c>
      <c r="DL4986">
        <v>440</v>
      </c>
      <c r="DM4986" s="1">
        <v>6</v>
      </c>
      <c r="DN4986" t="s">
        <v>8709</v>
      </c>
      <c r="DO4986" s="406">
        <v>-21.32</v>
      </c>
      <c r="DP4986" s="80">
        <v>374</v>
      </c>
    </row>
    <row r="4987" spans="29:120" x14ac:dyDescent="0.25">
      <c r="AC4987" s="122" t="s">
        <v>348</v>
      </c>
      <c r="AD4987" s="122" t="s">
        <v>5177</v>
      </c>
      <c r="AE4987" s="127">
        <v>8</v>
      </c>
      <c r="DA4987" s="122" t="s">
        <v>376</v>
      </c>
      <c r="DB4987" s="122" t="s">
        <v>2876</v>
      </c>
      <c r="DC4987" s="122" t="s">
        <v>2876</v>
      </c>
      <c r="DD4987" s="127">
        <v>6</v>
      </c>
      <c r="DE4987" s="127">
        <v>6</v>
      </c>
      <c r="DG4987" t="s">
        <v>376</v>
      </c>
      <c r="DH4987" t="s">
        <v>2876</v>
      </c>
      <c r="DI4987" s="406" t="str">
        <f t="shared" si="109"/>
        <v>SP, Guaraci</v>
      </c>
      <c r="DJ4987">
        <v>-20.498999999999999</v>
      </c>
      <c r="DK4987">
        <v>-48.945</v>
      </c>
      <c r="DL4987">
        <v>481</v>
      </c>
      <c r="DM4987" s="1">
        <v>6</v>
      </c>
      <c r="DN4987" t="s">
        <v>8721</v>
      </c>
      <c r="DO4987" s="406">
        <v>-21.13</v>
      </c>
      <c r="DP4987" s="80">
        <v>525</v>
      </c>
    </row>
    <row r="4988" spans="29:120" x14ac:dyDescent="0.25">
      <c r="AC4988" s="122" t="s">
        <v>289</v>
      </c>
      <c r="AD4988" s="122" t="s">
        <v>5178</v>
      </c>
      <c r="AE4988" s="127">
        <v>8</v>
      </c>
      <c r="DA4988" s="122" t="s">
        <v>376</v>
      </c>
      <c r="DB4988" s="122" t="s">
        <v>8785</v>
      </c>
      <c r="DC4988" s="122" t="s">
        <v>3578</v>
      </c>
      <c r="DD4988" s="127">
        <v>6</v>
      </c>
      <c r="DE4988" s="127">
        <v>6</v>
      </c>
      <c r="DG4988" t="s">
        <v>376</v>
      </c>
      <c r="DH4988" t="s">
        <v>3578</v>
      </c>
      <c r="DI4988" s="406" t="str">
        <f t="shared" si="109"/>
        <v>SP, Guarani d'Oeste</v>
      </c>
      <c r="DJ4988">
        <v>-20.074999999999999</v>
      </c>
      <c r="DK4988">
        <v>-50.338999999999999</v>
      </c>
      <c r="DL4988">
        <v>499</v>
      </c>
      <c r="DM4988" s="1">
        <v>6</v>
      </c>
      <c r="DN4988" t="s">
        <v>6904</v>
      </c>
      <c r="DO4988" s="406">
        <v>-20.27</v>
      </c>
      <c r="DP4988" s="80">
        <v>457</v>
      </c>
    </row>
    <row r="4989" spans="29:120" x14ac:dyDescent="0.25">
      <c r="AC4989" s="122" t="s">
        <v>300</v>
      </c>
      <c r="AD4989" s="122" t="s">
        <v>5179</v>
      </c>
      <c r="AE4989" s="127">
        <v>7</v>
      </c>
      <c r="DA4989" s="122" t="s">
        <v>376</v>
      </c>
      <c r="DB4989" s="122" t="s">
        <v>3752</v>
      </c>
      <c r="DC4989" s="122" t="s">
        <v>3752</v>
      </c>
      <c r="DD4989" s="127">
        <v>3</v>
      </c>
      <c r="DE4989" s="127">
        <v>3</v>
      </c>
      <c r="DG4989" t="s">
        <v>376</v>
      </c>
      <c r="DH4989" t="s">
        <v>3752</v>
      </c>
      <c r="DI4989" s="406" t="str">
        <f t="shared" si="109"/>
        <v>SP, Guarantã</v>
      </c>
      <c r="DJ4989">
        <v>-21.895</v>
      </c>
      <c r="DK4989">
        <v>-49.59</v>
      </c>
      <c r="DL4989">
        <v>505</v>
      </c>
      <c r="DM4989" s="1">
        <v>3</v>
      </c>
      <c r="DN4989" t="s">
        <v>8722</v>
      </c>
      <c r="DO4989" s="406">
        <v>-21.68</v>
      </c>
      <c r="DP4989" s="80">
        <v>459</v>
      </c>
    </row>
    <row r="4990" spans="29:120" x14ac:dyDescent="0.25">
      <c r="AC4990" s="122" t="s">
        <v>300</v>
      </c>
      <c r="AD4990" s="122" t="s">
        <v>5180</v>
      </c>
      <c r="AE4990" s="127">
        <v>7</v>
      </c>
      <c r="DA4990" s="122" t="s">
        <v>376</v>
      </c>
      <c r="DB4990" s="122" t="s">
        <v>3842</v>
      </c>
      <c r="DC4990" s="122" t="s">
        <v>3842</v>
      </c>
      <c r="DD4990" s="127">
        <v>6</v>
      </c>
      <c r="DE4990" s="127">
        <v>6</v>
      </c>
      <c r="DG4990" t="s">
        <v>376</v>
      </c>
      <c r="DH4990" t="s">
        <v>3842</v>
      </c>
      <c r="DI4990" s="406" t="str">
        <f t="shared" si="109"/>
        <v>SP, Guararapes</v>
      </c>
      <c r="DJ4990">
        <v>-21.260999999999999</v>
      </c>
      <c r="DK4990">
        <v>-50.643000000000001</v>
      </c>
      <c r="DL4990">
        <v>415</v>
      </c>
      <c r="DM4990" s="1">
        <v>6</v>
      </c>
      <c r="DN4990" t="s">
        <v>8709</v>
      </c>
      <c r="DO4990" s="406">
        <v>-21.32</v>
      </c>
      <c r="DP4990" s="80">
        <v>374</v>
      </c>
    </row>
    <row r="4991" spans="29:120" x14ac:dyDescent="0.25">
      <c r="AC4991" s="122" t="s">
        <v>289</v>
      </c>
      <c r="AD4991" s="122" t="s">
        <v>5181</v>
      </c>
      <c r="AE4991" s="127">
        <v>8</v>
      </c>
      <c r="DA4991" s="122" t="s">
        <v>376</v>
      </c>
      <c r="DB4991" s="122" t="s">
        <v>829</v>
      </c>
      <c r="DC4991" s="122" t="s">
        <v>829</v>
      </c>
      <c r="DD4991" s="127">
        <v>3</v>
      </c>
      <c r="DE4991" s="127">
        <v>3</v>
      </c>
      <c r="DG4991" t="s">
        <v>376</v>
      </c>
      <c r="DH4991" t="s">
        <v>829</v>
      </c>
      <c r="DI4991" s="406" t="str">
        <f t="shared" si="109"/>
        <v>SP, Guararema</v>
      </c>
      <c r="DJ4991">
        <v>-23.414999999999999</v>
      </c>
      <c r="DK4991">
        <v>-46.034999999999997</v>
      </c>
      <c r="DL4991">
        <v>585</v>
      </c>
      <c r="DM4991" s="1">
        <v>3</v>
      </c>
      <c r="DN4991" t="s">
        <v>6861</v>
      </c>
      <c r="DO4991" s="406">
        <v>-22.86</v>
      </c>
      <c r="DP4991" s="80">
        <v>1500</v>
      </c>
    </row>
    <row r="4992" spans="29:120" x14ac:dyDescent="0.25">
      <c r="AC4992" s="122" t="s">
        <v>300</v>
      </c>
      <c r="AD4992" s="122" t="s">
        <v>5182</v>
      </c>
      <c r="AE4992" s="127">
        <v>7</v>
      </c>
      <c r="DA4992" s="122" t="s">
        <v>376</v>
      </c>
      <c r="DB4992" s="122" t="s">
        <v>3654</v>
      </c>
      <c r="DC4992" s="122" t="s">
        <v>3654</v>
      </c>
      <c r="DD4992" s="127">
        <v>3</v>
      </c>
      <c r="DE4992" s="127">
        <v>3</v>
      </c>
      <c r="DG4992" t="s">
        <v>376</v>
      </c>
      <c r="DH4992" t="s">
        <v>3654</v>
      </c>
      <c r="DI4992" s="406" t="str">
        <f t="shared" si="109"/>
        <v>SP, Guaratinguetá</v>
      </c>
      <c r="DJ4992">
        <v>-22.815999999999999</v>
      </c>
      <c r="DK4992">
        <v>-45.192999999999998</v>
      </c>
      <c r="DL4992">
        <v>539</v>
      </c>
      <c r="DM4992" s="1">
        <v>3</v>
      </c>
      <c r="DN4992" t="s">
        <v>6873</v>
      </c>
      <c r="DO4992" s="406">
        <v>-22.74</v>
      </c>
      <c r="DP4992" s="80">
        <v>1642</v>
      </c>
    </row>
    <row r="4993" spans="29:120" x14ac:dyDescent="0.25">
      <c r="AC4993" s="122" t="s">
        <v>300</v>
      </c>
      <c r="AD4993" s="122" t="s">
        <v>5183</v>
      </c>
      <c r="AE4993" s="127">
        <v>7</v>
      </c>
      <c r="DA4993" s="122" t="s">
        <v>376</v>
      </c>
      <c r="DB4993" s="122" t="s">
        <v>953</v>
      </c>
      <c r="DC4993" s="122" t="s">
        <v>953</v>
      </c>
      <c r="DD4993" s="127">
        <v>3</v>
      </c>
      <c r="DE4993" s="127">
        <v>3</v>
      </c>
      <c r="DG4993" t="s">
        <v>376</v>
      </c>
      <c r="DH4993" t="s">
        <v>953</v>
      </c>
      <c r="DI4993" s="406" t="str">
        <f t="shared" si="109"/>
        <v>SP, Guareí</v>
      </c>
      <c r="DJ4993">
        <v>-23.373000000000001</v>
      </c>
      <c r="DK4993">
        <v>-48.183999999999997</v>
      </c>
      <c r="DL4993">
        <v>635</v>
      </c>
      <c r="DM4993" s="1">
        <v>3</v>
      </c>
      <c r="DN4993" t="s">
        <v>8718</v>
      </c>
      <c r="DO4993" s="406">
        <v>-23.5</v>
      </c>
      <c r="DP4993" s="80">
        <v>609</v>
      </c>
    </row>
    <row r="4994" spans="29:120" x14ac:dyDescent="0.25">
      <c r="AC4994" s="122" t="s">
        <v>372</v>
      </c>
      <c r="AD4994" s="122" t="s">
        <v>5184</v>
      </c>
      <c r="AE4994" s="127">
        <v>8</v>
      </c>
      <c r="DA4994" s="122" t="s">
        <v>376</v>
      </c>
      <c r="DB4994" s="122" t="s">
        <v>3571</v>
      </c>
      <c r="DC4994" s="122" t="s">
        <v>3571</v>
      </c>
      <c r="DD4994" s="127">
        <v>4</v>
      </c>
      <c r="DE4994" s="127">
        <v>4</v>
      </c>
      <c r="DG4994" t="s">
        <v>376</v>
      </c>
      <c r="DH4994" t="s">
        <v>3571</v>
      </c>
      <c r="DI4994" s="406" t="str">
        <f t="shared" si="109"/>
        <v>SP, Guariba</v>
      </c>
      <c r="DJ4994">
        <v>-21.36</v>
      </c>
      <c r="DK4994">
        <v>-48.228000000000002</v>
      </c>
      <c r="DL4994">
        <v>618</v>
      </c>
      <c r="DM4994" s="1">
        <v>4</v>
      </c>
      <c r="DN4994" t="s">
        <v>8721</v>
      </c>
      <c r="DO4994" s="406">
        <v>-21.13</v>
      </c>
      <c r="DP4994" s="80">
        <v>525</v>
      </c>
    </row>
    <row r="4995" spans="29:120" x14ac:dyDescent="0.25">
      <c r="AC4995" s="122" t="s">
        <v>369</v>
      </c>
      <c r="AD4995" s="122" t="s">
        <v>5185</v>
      </c>
      <c r="AE4995" s="127">
        <v>7</v>
      </c>
      <c r="DA4995" s="122" t="s">
        <v>376</v>
      </c>
      <c r="DB4995" s="122" t="s">
        <v>3254</v>
      </c>
      <c r="DC4995" s="122" t="s">
        <v>3254</v>
      </c>
      <c r="DD4995" s="127">
        <v>3</v>
      </c>
      <c r="DE4995" s="127">
        <v>3</v>
      </c>
      <c r="DG4995" t="s">
        <v>376</v>
      </c>
      <c r="DH4995" t="s">
        <v>3254</v>
      </c>
      <c r="DI4995" s="406" t="str">
        <f t="shared" ref="DI4995:DI5058" si="110">CONCATENATE(DG4995,", ",DH4995)</f>
        <v>SP, Guarujá</v>
      </c>
      <c r="DJ4995">
        <v>-23.992999999999999</v>
      </c>
      <c r="DK4995">
        <v>-46.256</v>
      </c>
      <c r="DL4995">
        <v>4</v>
      </c>
      <c r="DM4995" s="1">
        <v>3</v>
      </c>
      <c r="DN4995" t="s">
        <v>8735</v>
      </c>
      <c r="DO4995" s="406">
        <v>-23.85</v>
      </c>
      <c r="DP4995" s="80">
        <v>792</v>
      </c>
    </row>
    <row r="4996" spans="29:120" x14ac:dyDescent="0.25">
      <c r="AC4996" s="122" t="s">
        <v>393</v>
      </c>
      <c r="AD4996" s="122" t="s">
        <v>5186</v>
      </c>
      <c r="AE4996" s="127">
        <v>7</v>
      </c>
      <c r="DA4996" s="122" t="s">
        <v>376</v>
      </c>
      <c r="DB4996" s="122" t="s">
        <v>538</v>
      </c>
      <c r="DC4996" s="122" t="s">
        <v>538</v>
      </c>
      <c r="DD4996" s="127">
        <v>3</v>
      </c>
      <c r="DE4996" s="127">
        <v>3</v>
      </c>
      <c r="DG4996" t="s">
        <v>376</v>
      </c>
      <c r="DH4996" t="s">
        <v>538</v>
      </c>
      <c r="DI4996" s="406" t="str">
        <f t="shared" si="110"/>
        <v>SP, Guarulhos</v>
      </c>
      <c r="DJ4996">
        <v>-23.463000000000001</v>
      </c>
      <c r="DK4996">
        <v>-46.533000000000001</v>
      </c>
      <c r="DL4996">
        <v>759</v>
      </c>
      <c r="DM4996" s="1">
        <v>3</v>
      </c>
      <c r="DN4996" t="s">
        <v>8735</v>
      </c>
      <c r="DO4996" s="406">
        <v>-23.85</v>
      </c>
      <c r="DP4996" s="80">
        <v>792</v>
      </c>
    </row>
    <row r="4997" spans="29:120" x14ac:dyDescent="0.25">
      <c r="AC4997" s="122" t="s">
        <v>357</v>
      </c>
      <c r="AD4997" s="122" t="s">
        <v>5187</v>
      </c>
      <c r="AE4997" s="127">
        <v>7</v>
      </c>
      <c r="DA4997" s="122" t="s">
        <v>376</v>
      </c>
      <c r="DB4997" s="122" t="s">
        <v>3707</v>
      </c>
      <c r="DC4997" s="122" t="s">
        <v>3707</v>
      </c>
      <c r="DD4997" s="127">
        <v>4</v>
      </c>
      <c r="DE4997" s="127">
        <v>4</v>
      </c>
      <c r="DG4997" t="s">
        <v>376</v>
      </c>
      <c r="DH4997" t="s">
        <v>3707</v>
      </c>
      <c r="DI4997" s="406" t="str">
        <f t="shared" si="110"/>
        <v>SP, Guatapará</v>
      </c>
      <c r="DJ4997">
        <v>-21.497</v>
      </c>
      <c r="DK4997">
        <v>-48.037999999999997</v>
      </c>
      <c r="DL4997">
        <v>512</v>
      </c>
      <c r="DM4997" s="1">
        <v>4</v>
      </c>
      <c r="DN4997" t="s">
        <v>8728</v>
      </c>
      <c r="DO4997" s="406">
        <v>-22.02</v>
      </c>
      <c r="DP4997" s="80">
        <v>863</v>
      </c>
    </row>
    <row r="4998" spans="29:120" x14ac:dyDescent="0.25">
      <c r="AC4998" s="122" t="s">
        <v>357</v>
      </c>
      <c r="AD4998" s="122" t="s">
        <v>5188</v>
      </c>
      <c r="AE4998" s="127">
        <v>7</v>
      </c>
      <c r="DA4998" s="122" t="s">
        <v>376</v>
      </c>
      <c r="DB4998" s="122" t="s">
        <v>3949</v>
      </c>
      <c r="DC4998" s="122" t="s">
        <v>3949</v>
      </c>
      <c r="DD4998" s="127">
        <v>6</v>
      </c>
      <c r="DE4998" s="127">
        <v>6</v>
      </c>
      <c r="DG4998" t="s">
        <v>376</v>
      </c>
      <c r="DH4998" t="s">
        <v>3949</v>
      </c>
      <c r="DI4998" s="406" t="str">
        <f t="shared" si="110"/>
        <v>SP, Guzolândia</v>
      </c>
      <c r="DJ4998">
        <v>-20.65</v>
      </c>
      <c r="DK4998">
        <v>-50.661999999999999</v>
      </c>
      <c r="DL4998">
        <v>465</v>
      </c>
      <c r="DM4998" s="1">
        <v>6</v>
      </c>
      <c r="DN4998" t="s">
        <v>6904</v>
      </c>
      <c r="DO4998" s="406">
        <v>-20.27</v>
      </c>
      <c r="DP4998" s="80">
        <v>457</v>
      </c>
    </row>
    <row r="4999" spans="29:120" x14ac:dyDescent="0.25">
      <c r="AC4999" s="122" t="s">
        <v>300</v>
      </c>
      <c r="AD4999" s="122" t="s">
        <v>5189</v>
      </c>
      <c r="AE4999" s="127">
        <v>7</v>
      </c>
      <c r="DA4999" s="122" t="s">
        <v>376</v>
      </c>
      <c r="DB4999" s="122" t="s">
        <v>4003</v>
      </c>
      <c r="DC4999" s="122" t="s">
        <v>4003</v>
      </c>
      <c r="DD4999" s="127">
        <v>3</v>
      </c>
      <c r="DE4999" s="127">
        <v>3</v>
      </c>
      <c r="DG4999" t="s">
        <v>376</v>
      </c>
      <c r="DH4999" t="s">
        <v>4003</v>
      </c>
      <c r="DI4999" s="406" t="str">
        <f t="shared" si="110"/>
        <v>SP, Herculândia</v>
      </c>
      <c r="DJ4999">
        <v>-22.004000000000001</v>
      </c>
      <c r="DK4999">
        <v>-50.384999999999998</v>
      </c>
      <c r="DL4999">
        <v>502</v>
      </c>
      <c r="DM4999" s="1">
        <v>3</v>
      </c>
      <c r="DN4999" t="s">
        <v>7819</v>
      </c>
      <c r="DO4999" s="406">
        <v>-22.37</v>
      </c>
      <c r="DP4999" s="80">
        <v>350</v>
      </c>
    </row>
    <row r="5000" spans="29:120" x14ac:dyDescent="0.25">
      <c r="AC5000" s="122" t="s">
        <v>372</v>
      </c>
      <c r="AD5000" s="122" t="s">
        <v>5190</v>
      </c>
      <c r="AE5000" s="127">
        <v>8</v>
      </c>
      <c r="DA5000" s="122" t="s">
        <v>376</v>
      </c>
      <c r="DB5000" s="122" t="s">
        <v>3749</v>
      </c>
      <c r="DC5000" s="122" t="s">
        <v>3749</v>
      </c>
      <c r="DD5000" s="127">
        <v>3</v>
      </c>
      <c r="DE5000" s="127">
        <v>3</v>
      </c>
      <c r="DG5000" t="s">
        <v>376</v>
      </c>
      <c r="DH5000" t="s">
        <v>3749</v>
      </c>
      <c r="DI5000" s="406" t="str">
        <f t="shared" si="110"/>
        <v>SP, Holambra</v>
      </c>
      <c r="DJ5000">
        <v>-22.632999999999999</v>
      </c>
      <c r="DK5000">
        <v>-47.055999999999997</v>
      </c>
      <c r="DL5000">
        <v>635</v>
      </c>
      <c r="DM5000" s="1">
        <v>3</v>
      </c>
      <c r="DN5000" t="s">
        <v>8726</v>
      </c>
      <c r="DO5000" s="406">
        <v>-22.82</v>
      </c>
      <c r="DP5000" s="80">
        <v>640</v>
      </c>
    </row>
    <row r="5001" spans="29:120" x14ac:dyDescent="0.25">
      <c r="AC5001" s="122" t="s">
        <v>300</v>
      </c>
      <c r="AD5001" s="122" t="s">
        <v>5191</v>
      </c>
      <c r="AE5001" s="127">
        <v>7</v>
      </c>
      <c r="DA5001" s="122" t="s">
        <v>376</v>
      </c>
      <c r="DB5001" s="122" t="s">
        <v>3815</v>
      </c>
      <c r="DC5001" s="122" t="s">
        <v>3815</v>
      </c>
      <c r="DD5001" s="127">
        <v>3</v>
      </c>
      <c r="DE5001" s="127">
        <v>3</v>
      </c>
      <c r="DG5001" t="s">
        <v>376</v>
      </c>
      <c r="DH5001" t="s">
        <v>3815</v>
      </c>
      <c r="DI5001" s="406" t="str">
        <f t="shared" si="110"/>
        <v>SP, Hortolândia</v>
      </c>
      <c r="DJ5001">
        <v>-22.858000000000001</v>
      </c>
      <c r="DK5001">
        <v>-47.22</v>
      </c>
      <c r="DL5001">
        <v>587</v>
      </c>
      <c r="DM5001" s="1">
        <v>3</v>
      </c>
      <c r="DN5001" t="s">
        <v>8726</v>
      </c>
      <c r="DO5001" s="406">
        <v>-22.82</v>
      </c>
      <c r="DP5001" s="80">
        <v>640</v>
      </c>
    </row>
    <row r="5002" spans="29:120" x14ac:dyDescent="0.25">
      <c r="AC5002" s="122" t="s">
        <v>348</v>
      </c>
      <c r="AD5002" s="122" t="s">
        <v>5192</v>
      </c>
      <c r="AE5002" s="127">
        <v>8</v>
      </c>
      <c r="DA5002" s="122" t="s">
        <v>376</v>
      </c>
      <c r="DB5002" s="122" t="s">
        <v>3559</v>
      </c>
      <c r="DC5002" s="122" t="s">
        <v>3559</v>
      </c>
      <c r="DD5002" s="127">
        <v>3</v>
      </c>
      <c r="DE5002" s="127">
        <v>3</v>
      </c>
      <c r="DG5002" t="s">
        <v>376</v>
      </c>
      <c r="DH5002" t="s">
        <v>3559</v>
      </c>
      <c r="DI5002" s="406" t="str">
        <f t="shared" si="110"/>
        <v>SP, Iacanga</v>
      </c>
      <c r="DJ5002">
        <v>-21.89</v>
      </c>
      <c r="DK5002">
        <v>-49.024999999999999</v>
      </c>
      <c r="DL5002">
        <v>422</v>
      </c>
      <c r="DM5002" s="1">
        <v>3</v>
      </c>
      <c r="DN5002" t="s">
        <v>8733</v>
      </c>
      <c r="DO5002" s="406">
        <v>-21.86</v>
      </c>
      <c r="DP5002" s="80">
        <v>492</v>
      </c>
    </row>
    <row r="5003" spans="29:120" x14ac:dyDescent="0.25">
      <c r="AC5003" s="122" t="s">
        <v>300</v>
      </c>
      <c r="AD5003" s="122" t="s">
        <v>5193</v>
      </c>
      <c r="AE5003" s="127">
        <v>7</v>
      </c>
      <c r="DA5003" s="122" t="s">
        <v>376</v>
      </c>
      <c r="DB5003" s="122" t="s">
        <v>4040</v>
      </c>
      <c r="DC5003" s="122" t="s">
        <v>4040</v>
      </c>
      <c r="DD5003" s="127">
        <v>3</v>
      </c>
      <c r="DE5003" s="127">
        <v>3</v>
      </c>
      <c r="DG5003" t="s">
        <v>376</v>
      </c>
      <c r="DH5003" t="s">
        <v>4040</v>
      </c>
      <c r="DI5003" s="406" t="str">
        <f t="shared" si="110"/>
        <v>SP, Iacri</v>
      </c>
      <c r="DJ5003">
        <v>-21.858000000000001</v>
      </c>
      <c r="DK5003">
        <v>-50.689</v>
      </c>
      <c r="DL5003">
        <v>499</v>
      </c>
      <c r="DM5003" s="1">
        <v>3</v>
      </c>
      <c r="DN5003" t="s">
        <v>7819</v>
      </c>
      <c r="DO5003" s="406">
        <v>-22.37</v>
      </c>
      <c r="DP5003" s="80">
        <v>350</v>
      </c>
    </row>
    <row r="5004" spans="29:120" x14ac:dyDescent="0.25">
      <c r="AC5004" s="122" t="s">
        <v>336</v>
      </c>
      <c r="AD5004" s="122" t="s">
        <v>5194</v>
      </c>
      <c r="AE5004" s="127">
        <v>6</v>
      </c>
      <c r="DA5004" s="122" t="s">
        <v>376</v>
      </c>
      <c r="DB5004" s="122" t="s">
        <v>1040</v>
      </c>
      <c r="DC5004" s="122" t="s">
        <v>1040</v>
      </c>
      <c r="DD5004" s="127">
        <v>3</v>
      </c>
      <c r="DE5004" s="127">
        <v>3</v>
      </c>
      <c r="DG5004" t="s">
        <v>376</v>
      </c>
      <c r="DH5004" t="s">
        <v>1040</v>
      </c>
      <c r="DI5004" s="406" t="str">
        <f t="shared" si="110"/>
        <v>SP, Iaras</v>
      </c>
      <c r="DJ5004">
        <v>-22.870999999999999</v>
      </c>
      <c r="DK5004">
        <v>-49.162999999999997</v>
      </c>
      <c r="DL5004">
        <v>648</v>
      </c>
      <c r="DM5004" s="1">
        <v>3</v>
      </c>
      <c r="DN5004" t="s">
        <v>8714</v>
      </c>
      <c r="DO5004" s="406">
        <v>-23.1</v>
      </c>
      <c r="DP5004" s="80">
        <v>654</v>
      </c>
    </row>
    <row r="5005" spans="29:120" x14ac:dyDescent="0.25">
      <c r="AC5005" s="122" t="s">
        <v>289</v>
      </c>
      <c r="AD5005" s="122" t="s">
        <v>5195</v>
      </c>
      <c r="AE5005" s="127">
        <v>8</v>
      </c>
      <c r="DA5005" s="122" t="s">
        <v>376</v>
      </c>
      <c r="DB5005" s="122" t="s">
        <v>2740</v>
      </c>
      <c r="DC5005" s="122" t="s">
        <v>2740</v>
      </c>
      <c r="DD5005" s="127">
        <v>4</v>
      </c>
      <c r="DE5005" s="127">
        <v>4</v>
      </c>
      <c r="DG5005" t="s">
        <v>376</v>
      </c>
      <c r="DH5005" t="s">
        <v>2740</v>
      </c>
      <c r="DI5005" s="406" t="str">
        <f t="shared" si="110"/>
        <v>SP, Ibaté</v>
      </c>
      <c r="DJ5005">
        <v>-21.954999999999998</v>
      </c>
      <c r="DK5005">
        <v>-47.997</v>
      </c>
      <c r="DL5005">
        <v>839</v>
      </c>
      <c r="DM5005" s="1">
        <v>4</v>
      </c>
      <c r="DN5005" t="s">
        <v>8728</v>
      </c>
      <c r="DO5005" s="406">
        <v>-22.02</v>
      </c>
      <c r="DP5005" s="80">
        <v>863</v>
      </c>
    </row>
    <row r="5006" spans="29:120" x14ac:dyDescent="0.25">
      <c r="AC5006" s="122" t="s">
        <v>300</v>
      </c>
      <c r="AD5006" s="122" t="s">
        <v>4446</v>
      </c>
      <c r="AE5006" s="127">
        <v>7</v>
      </c>
      <c r="DA5006" s="122" t="s">
        <v>376</v>
      </c>
      <c r="DB5006" s="122" t="s">
        <v>3719</v>
      </c>
      <c r="DC5006" s="122" t="s">
        <v>3719</v>
      </c>
      <c r="DD5006" s="127">
        <v>6</v>
      </c>
      <c r="DE5006" s="127">
        <v>6</v>
      </c>
      <c r="DG5006" t="s">
        <v>376</v>
      </c>
      <c r="DH5006" t="s">
        <v>3719</v>
      </c>
      <c r="DI5006" s="406" t="str">
        <f t="shared" si="110"/>
        <v>SP, Ibirá</v>
      </c>
      <c r="DJ5006">
        <v>-21.08</v>
      </c>
      <c r="DK5006">
        <v>-49.241</v>
      </c>
      <c r="DL5006">
        <v>446</v>
      </c>
      <c r="DM5006" s="1">
        <v>6</v>
      </c>
      <c r="DN5006" t="s">
        <v>8710</v>
      </c>
      <c r="DO5006" s="406">
        <v>-21.1</v>
      </c>
      <c r="DP5006" s="80">
        <v>405</v>
      </c>
    </row>
    <row r="5007" spans="29:120" x14ac:dyDescent="0.25">
      <c r="AC5007" s="122" t="s">
        <v>289</v>
      </c>
      <c r="AD5007" s="122" t="s">
        <v>5196</v>
      </c>
      <c r="AE5007" s="127">
        <v>8</v>
      </c>
      <c r="DA5007" s="122" t="s">
        <v>376</v>
      </c>
      <c r="DB5007" s="122" t="s">
        <v>1789</v>
      </c>
      <c r="DC5007" s="122" t="s">
        <v>1789</v>
      </c>
      <c r="DD5007" s="127">
        <v>3</v>
      </c>
      <c r="DE5007" s="127">
        <v>3</v>
      </c>
      <c r="DG5007" t="s">
        <v>376</v>
      </c>
      <c r="DH5007" t="s">
        <v>1789</v>
      </c>
      <c r="DI5007" s="406" t="str">
        <f t="shared" si="110"/>
        <v>SP, Ibirarema</v>
      </c>
      <c r="DJ5007">
        <v>-22.818000000000001</v>
      </c>
      <c r="DK5007">
        <v>-50.073</v>
      </c>
      <c r="DL5007">
        <v>483</v>
      </c>
      <c r="DM5007" s="1">
        <v>3</v>
      </c>
      <c r="DN5007" t="s">
        <v>7822</v>
      </c>
      <c r="DO5007" s="406">
        <v>-22.98</v>
      </c>
      <c r="DP5007" s="80">
        <v>448</v>
      </c>
    </row>
    <row r="5008" spans="29:120" x14ac:dyDescent="0.25">
      <c r="AC5008" s="122" t="s">
        <v>348</v>
      </c>
      <c r="AD5008" s="122" t="s">
        <v>5197</v>
      </c>
      <c r="AE5008" s="127">
        <v>8</v>
      </c>
      <c r="DA5008" s="122" t="s">
        <v>376</v>
      </c>
      <c r="DB5008" s="122" t="s">
        <v>3881</v>
      </c>
      <c r="DC5008" s="122" t="s">
        <v>3881</v>
      </c>
      <c r="DD5008" s="127">
        <v>3</v>
      </c>
      <c r="DE5008" s="127">
        <v>3</v>
      </c>
      <c r="DG5008" t="s">
        <v>376</v>
      </c>
      <c r="DH5008" t="s">
        <v>3881</v>
      </c>
      <c r="DI5008" s="406" t="str">
        <f t="shared" si="110"/>
        <v>SP, Ibitinga</v>
      </c>
      <c r="DJ5008">
        <v>-21.757999999999999</v>
      </c>
      <c r="DK5008">
        <v>-48.829000000000001</v>
      </c>
      <c r="DL5008">
        <v>491</v>
      </c>
      <c r="DM5008" s="1">
        <v>3</v>
      </c>
      <c r="DN5008" t="s">
        <v>8733</v>
      </c>
      <c r="DO5008" s="406">
        <v>-21.86</v>
      </c>
      <c r="DP5008" s="80">
        <v>492</v>
      </c>
    </row>
    <row r="5009" spans="29:120" x14ac:dyDescent="0.25">
      <c r="AC5009" s="122" t="s">
        <v>289</v>
      </c>
      <c r="AD5009" s="122" t="s">
        <v>5198</v>
      </c>
      <c r="AE5009" s="127">
        <v>8</v>
      </c>
      <c r="DA5009" s="122" t="s">
        <v>376</v>
      </c>
      <c r="DB5009" s="122" t="s">
        <v>1782</v>
      </c>
      <c r="DC5009" s="122" t="s">
        <v>1782</v>
      </c>
      <c r="DD5009" s="127">
        <v>3</v>
      </c>
      <c r="DE5009" s="127">
        <v>3</v>
      </c>
      <c r="DG5009" t="s">
        <v>376</v>
      </c>
      <c r="DH5009" t="s">
        <v>1782</v>
      </c>
      <c r="DI5009" s="406" t="str">
        <f t="shared" si="110"/>
        <v>SP, Ibiúna</v>
      </c>
      <c r="DJ5009">
        <v>-23.655999999999999</v>
      </c>
      <c r="DK5009">
        <v>-47.222999999999999</v>
      </c>
      <c r="DL5009">
        <v>860</v>
      </c>
      <c r="DM5009" s="1">
        <v>3</v>
      </c>
      <c r="DN5009" t="s">
        <v>8718</v>
      </c>
      <c r="DO5009" s="406">
        <v>-23.5</v>
      </c>
      <c r="DP5009" s="80">
        <v>609</v>
      </c>
    </row>
    <row r="5010" spans="29:120" x14ac:dyDescent="0.25">
      <c r="AC5010" s="122" t="s">
        <v>300</v>
      </c>
      <c r="AD5010" s="122" t="s">
        <v>5199</v>
      </c>
      <c r="AE5010" s="127">
        <v>7</v>
      </c>
      <c r="DA5010" s="122" t="s">
        <v>376</v>
      </c>
      <c r="DB5010" s="122" t="s">
        <v>3795</v>
      </c>
      <c r="DC5010" s="122" t="s">
        <v>3795</v>
      </c>
      <c r="DD5010" s="127">
        <v>6</v>
      </c>
      <c r="DE5010" s="127">
        <v>6</v>
      </c>
      <c r="DG5010" t="s">
        <v>376</v>
      </c>
      <c r="DH5010" t="s">
        <v>3795</v>
      </c>
      <c r="DI5010" s="406" t="str">
        <f t="shared" si="110"/>
        <v>SP, Icém</v>
      </c>
      <c r="DJ5010">
        <v>-20.341999999999999</v>
      </c>
      <c r="DK5010">
        <v>-49.195</v>
      </c>
      <c r="DL5010">
        <v>449</v>
      </c>
      <c r="DM5010" s="1">
        <v>6</v>
      </c>
      <c r="DN5010" t="s">
        <v>6984</v>
      </c>
      <c r="DO5010" s="406">
        <v>-20.420000000000002</v>
      </c>
      <c r="DP5010" s="80">
        <v>486</v>
      </c>
    </row>
    <row r="5011" spans="29:120" x14ac:dyDescent="0.25">
      <c r="AC5011" s="122" t="s">
        <v>289</v>
      </c>
      <c r="AD5011" s="122" t="s">
        <v>5200</v>
      </c>
      <c r="AE5011" s="127">
        <v>8</v>
      </c>
      <c r="DA5011" s="122" t="s">
        <v>376</v>
      </c>
      <c r="DB5011" s="122" t="s">
        <v>3960</v>
      </c>
      <c r="DC5011" s="122" t="s">
        <v>3960</v>
      </c>
      <c r="DD5011" s="127">
        <v>3</v>
      </c>
      <c r="DE5011" s="127">
        <v>3</v>
      </c>
      <c r="DG5011" t="s">
        <v>376</v>
      </c>
      <c r="DH5011" t="s">
        <v>3960</v>
      </c>
      <c r="DI5011" s="406" t="str">
        <f t="shared" si="110"/>
        <v>SP, Iepê</v>
      </c>
      <c r="DJ5011">
        <v>-22.661000000000001</v>
      </c>
      <c r="DK5011">
        <v>-51.076000000000001</v>
      </c>
      <c r="DL5011">
        <v>400</v>
      </c>
      <c r="DM5011" s="1">
        <v>3</v>
      </c>
      <c r="DN5011" t="s">
        <v>7819</v>
      </c>
      <c r="DO5011" s="406">
        <v>-22.37</v>
      </c>
      <c r="DP5011" s="80">
        <v>350</v>
      </c>
    </row>
    <row r="5012" spans="29:120" x14ac:dyDescent="0.25">
      <c r="AC5012" s="122" t="s">
        <v>357</v>
      </c>
      <c r="AD5012" s="122" t="s">
        <v>5201</v>
      </c>
      <c r="AE5012" s="127">
        <v>7</v>
      </c>
      <c r="DA5012" s="122" t="s">
        <v>376</v>
      </c>
      <c r="DB5012" s="122" t="s">
        <v>8786</v>
      </c>
      <c r="DC5012" s="122" t="s">
        <v>3659</v>
      </c>
      <c r="DD5012" s="127">
        <v>3</v>
      </c>
      <c r="DE5012" s="127">
        <v>3</v>
      </c>
      <c r="DG5012" t="s">
        <v>376</v>
      </c>
      <c r="DH5012" t="s">
        <v>3659</v>
      </c>
      <c r="DI5012" s="406" t="str">
        <f t="shared" si="110"/>
        <v>SP, Igaraçu do Tietê</v>
      </c>
      <c r="DJ5012">
        <v>-22.509</v>
      </c>
      <c r="DK5012">
        <v>-48.558</v>
      </c>
      <c r="DL5012">
        <v>498</v>
      </c>
      <c r="DM5012" s="1">
        <v>3</v>
      </c>
      <c r="DN5012" t="s">
        <v>8717</v>
      </c>
      <c r="DO5012" s="406">
        <v>-22.32</v>
      </c>
      <c r="DP5012" s="80">
        <v>550</v>
      </c>
    </row>
    <row r="5013" spans="29:120" x14ac:dyDescent="0.25">
      <c r="AC5013" s="122" t="s">
        <v>289</v>
      </c>
      <c r="AD5013" s="122" t="s">
        <v>5202</v>
      </c>
      <c r="AE5013" s="127">
        <v>8</v>
      </c>
      <c r="DA5013" s="122" t="s">
        <v>376</v>
      </c>
      <c r="DB5013" s="122" t="s">
        <v>3855</v>
      </c>
      <c r="DC5013" s="122" t="s">
        <v>3855</v>
      </c>
      <c r="DD5013" s="127">
        <v>3</v>
      </c>
      <c r="DE5013" s="127">
        <v>3</v>
      </c>
      <c r="DG5013" t="s">
        <v>376</v>
      </c>
      <c r="DH5013" t="s">
        <v>3855</v>
      </c>
      <c r="DI5013" s="406" t="str">
        <f t="shared" si="110"/>
        <v>SP, Igarapava</v>
      </c>
      <c r="DJ5013">
        <v>-20.038</v>
      </c>
      <c r="DK5013">
        <v>-47.747</v>
      </c>
      <c r="DL5013">
        <v>576</v>
      </c>
      <c r="DM5013" s="1">
        <v>3</v>
      </c>
      <c r="DN5013" t="s">
        <v>8732</v>
      </c>
      <c r="DO5013" s="406">
        <v>-20.36</v>
      </c>
      <c r="DP5013" s="80">
        <v>600</v>
      </c>
    </row>
    <row r="5014" spans="29:120" x14ac:dyDescent="0.25">
      <c r="AC5014" s="122" t="s">
        <v>289</v>
      </c>
      <c r="AD5014" s="122" t="s">
        <v>5203</v>
      </c>
      <c r="AE5014" s="127">
        <v>8</v>
      </c>
      <c r="DA5014" s="122" t="s">
        <v>376</v>
      </c>
      <c r="DB5014" s="122" t="s">
        <v>909</v>
      </c>
      <c r="DC5014" s="122" t="s">
        <v>909</v>
      </c>
      <c r="DD5014" s="127">
        <v>3</v>
      </c>
      <c r="DE5014" s="127">
        <v>3</v>
      </c>
      <c r="DG5014" t="s">
        <v>376</v>
      </c>
      <c r="DH5014" t="s">
        <v>909</v>
      </c>
      <c r="DI5014" s="406" t="str">
        <f t="shared" si="110"/>
        <v>SP, Igaratá</v>
      </c>
      <c r="DJ5014">
        <v>-23.204000000000001</v>
      </c>
      <c r="DK5014">
        <v>-46.155999999999999</v>
      </c>
      <c r="DL5014">
        <v>745</v>
      </c>
      <c r="DM5014" s="1">
        <v>3</v>
      </c>
      <c r="DN5014" t="s">
        <v>6861</v>
      </c>
      <c r="DO5014" s="406">
        <v>-22.86</v>
      </c>
      <c r="DP5014" s="80">
        <v>1500</v>
      </c>
    </row>
    <row r="5015" spans="29:120" x14ac:dyDescent="0.25">
      <c r="AC5015" s="122" t="s">
        <v>300</v>
      </c>
      <c r="AD5015" s="122" t="s">
        <v>5204</v>
      </c>
      <c r="AE5015" s="127">
        <v>7</v>
      </c>
      <c r="DA5015" s="122" t="s">
        <v>376</v>
      </c>
      <c r="DB5015" s="122" t="s">
        <v>3472</v>
      </c>
      <c r="DC5015" s="122" t="s">
        <v>3472</v>
      </c>
      <c r="DD5015" s="127">
        <v>5</v>
      </c>
      <c r="DE5015" s="127">
        <v>5</v>
      </c>
      <c r="DG5015" t="s">
        <v>376</v>
      </c>
      <c r="DH5015" t="s">
        <v>3472</v>
      </c>
      <c r="DI5015" s="406" t="str">
        <f t="shared" si="110"/>
        <v>SP, Iguape</v>
      </c>
      <c r="DJ5015">
        <v>-24.707999999999998</v>
      </c>
      <c r="DK5015">
        <v>-47.555</v>
      </c>
      <c r="DL5015">
        <v>3</v>
      </c>
      <c r="DM5015" s="1">
        <v>5</v>
      </c>
      <c r="DN5015" t="s">
        <v>8750</v>
      </c>
      <c r="DO5015" s="406">
        <v>-24.71</v>
      </c>
      <c r="DP5015" s="80">
        <v>3</v>
      </c>
    </row>
    <row r="5016" spans="29:120" x14ac:dyDescent="0.25">
      <c r="AC5016" s="122" t="s">
        <v>289</v>
      </c>
      <c r="AD5016" s="122" t="s">
        <v>5205</v>
      </c>
      <c r="AE5016" s="127">
        <v>7</v>
      </c>
      <c r="DA5016" s="122" t="s">
        <v>376</v>
      </c>
      <c r="DB5016" s="122" t="s">
        <v>8787</v>
      </c>
      <c r="DC5016" s="122" t="s">
        <v>3473</v>
      </c>
      <c r="DD5016" s="127">
        <v>5</v>
      </c>
      <c r="DE5016" s="127">
        <v>5</v>
      </c>
      <c r="DG5016" t="s">
        <v>376</v>
      </c>
      <c r="DH5016" t="s">
        <v>3473</v>
      </c>
      <c r="DI5016" s="406" t="str">
        <f t="shared" si="110"/>
        <v>SP, Ilha Comprida</v>
      </c>
      <c r="DJ5016">
        <v>-24.741</v>
      </c>
      <c r="DK5016">
        <v>-47.54</v>
      </c>
      <c r="DL5016">
        <v>6</v>
      </c>
      <c r="DM5016" s="1">
        <v>5</v>
      </c>
      <c r="DN5016" t="s">
        <v>8750</v>
      </c>
      <c r="DO5016" s="406">
        <v>-24.71</v>
      </c>
      <c r="DP5016" s="80">
        <v>3</v>
      </c>
    </row>
    <row r="5017" spans="29:120" x14ac:dyDescent="0.25">
      <c r="AC5017" s="122" t="s">
        <v>323</v>
      </c>
      <c r="AD5017" s="122" t="s">
        <v>5206</v>
      </c>
      <c r="AE5017" s="127">
        <v>7</v>
      </c>
      <c r="DA5017" s="122" t="s">
        <v>376</v>
      </c>
      <c r="DB5017" s="122" t="s">
        <v>8788</v>
      </c>
      <c r="DC5017" s="122" t="s">
        <v>3826</v>
      </c>
      <c r="DD5017" s="127">
        <v>6</v>
      </c>
      <c r="DE5017" s="127">
        <v>6</v>
      </c>
      <c r="DG5017" t="s">
        <v>376</v>
      </c>
      <c r="DH5017" t="s">
        <v>3826</v>
      </c>
      <c r="DI5017" s="406" t="str">
        <f t="shared" si="110"/>
        <v>SP, Ilha Solteira</v>
      </c>
      <c r="DJ5017">
        <v>-20.433</v>
      </c>
      <c r="DK5017">
        <v>-51.343000000000004</v>
      </c>
      <c r="DL5017">
        <v>349</v>
      </c>
      <c r="DM5017" s="1">
        <v>6</v>
      </c>
      <c r="DN5017" t="s">
        <v>7254</v>
      </c>
      <c r="DO5017" s="406">
        <v>-20.75</v>
      </c>
      <c r="DP5017" s="80">
        <v>313</v>
      </c>
    </row>
    <row r="5018" spans="29:120" x14ac:dyDescent="0.25">
      <c r="AC5018" s="122" t="s">
        <v>357</v>
      </c>
      <c r="AD5018" s="122" t="s">
        <v>5207</v>
      </c>
      <c r="AE5018" s="127">
        <v>8</v>
      </c>
      <c r="DA5018" s="122" t="s">
        <v>376</v>
      </c>
      <c r="DB5018" s="122" t="s">
        <v>3014</v>
      </c>
      <c r="DC5018" s="122" t="s">
        <v>3014</v>
      </c>
      <c r="DD5018" s="127">
        <v>3</v>
      </c>
      <c r="DE5018" s="127">
        <v>3</v>
      </c>
      <c r="DG5018" t="s">
        <v>376</v>
      </c>
      <c r="DH5018" t="s">
        <v>3014</v>
      </c>
      <c r="DI5018" s="406" t="str">
        <f t="shared" si="110"/>
        <v>SP, Ilhabela</v>
      </c>
      <c r="DJ5018">
        <v>-23.777999999999999</v>
      </c>
      <c r="DK5018">
        <v>-45.357999999999997</v>
      </c>
      <c r="DL5018">
        <v>4</v>
      </c>
      <c r="DM5018" s="1">
        <v>3</v>
      </c>
      <c r="DN5018" t="s">
        <v>8759</v>
      </c>
      <c r="DO5018" s="406">
        <v>-23.23</v>
      </c>
      <c r="DP5018" s="80">
        <v>874</v>
      </c>
    </row>
    <row r="5019" spans="29:120" x14ac:dyDescent="0.25">
      <c r="AC5019" s="122" t="s">
        <v>369</v>
      </c>
      <c r="AD5019" s="122" t="s">
        <v>2492</v>
      </c>
      <c r="AE5019" s="127">
        <v>8</v>
      </c>
      <c r="DA5019" s="122" t="s">
        <v>376</v>
      </c>
      <c r="DB5019" s="122" t="s">
        <v>1042</v>
      </c>
      <c r="DC5019" s="122" t="s">
        <v>1042</v>
      </c>
      <c r="DD5019" s="127">
        <v>3</v>
      </c>
      <c r="DE5019" s="127">
        <v>3</v>
      </c>
      <c r="DG5019" t="s">
        <v>376</v>
      </c>
      <c r="DH5019" t="s">
        <v>1042</v>
      </c>
      <c r="DI5019" s="406" t="str">
        <f t="shared" si="110"/>
        <v>SP, Indaiatuba</v>
      </c>
      <c r="DJ5019">
        <v>-23.09</v>
      </c>
      <c r="DK5019">
        <v>-47.218000000000004</v>
      </c>
      <c r="DL5019">
        <v>624</v>
      </c>
      <c r="DM5019" s="1">
        <v>3</v>
      </c>
      <c r="DN5019" t="s">
        <v>8726</v>
      </c>
      <c r="DO5019" s="406">
        <v>-22.82</v>
      </c>
      <c r="DP5019" s="80">
        <v>640</v>
      </c>
    </row>
    <row r="5020" spans="29:120" x14ac:dyDescent="0.25">
      <c r="AC5020" s="122" t="s">
        <v>300</v>
      </c>
      <c r="AD5020" s="122" t="s">
        <v>5208</v>
      </c>
      <c r="AE5020" s="127">
        <v>7</v>
      </c>
      <c r="DA5020" s="122" t="s">
        <v>376</v>
      </c>
      <c r="DB5020" s="122" t="s">
        <v>3522</v>
      </c>
      <c r="DC5020" s="122" t="s">
        <v>3522</v>
      </c>
      <c r="DD5020" s="127">
        <v>6</v>
      </c>
      <c r="DE5020" s="127">
        <v>6</v>
      </c>
      <c r="DG5020" t="s">
        <v>376</v>
      </c>
      <c r="DH5020" t="s">
        <v>3522</v>
      </c>
      <c r="DI5020" s="406" t="str">
        <f t="shared" si="110"/>
        <v>SP, Indiana</v>
      </c>
      <c r="DJ5020">
        <v>-22.173999999999999</v>
      </c>
      <c r="DK5020">
        <v>-51.252000000000002</v>
      </c>
      <c r="DL5020">
        <v>479</v>
      </c>
      <c r="DM5020" s="1">
        <v>6</v>
      </c>
      <c r="DN5020" t="s">
        <v>8720</v>
      </c>
      <c r="DO5020" s="406">
        <v>-22.13</v>
      </c>
      <c r="DP5020" s="80">
        <v>436</v>
      </c>
    </row>
    <row r="5021" spans="29:120" x14ac:dyDescent="0.25">
      <c r="AC5021" s="122" t="s">
        <v>393</v>
      </c>
      <c r="AD5021" s="122" t="s">
        <v>5209</v>
      </c>
      <c r="AE5021" s="127">
        <v>7</v>
      </c>
      <c r="DA5021" s="122" t="s">
        <v>376</v>
      </c>
      <c r="DB5021" s="122" t="s">
        <v>3577</v>
      </c>
      <c r="DC5021" s="122" t="s">
        <v>3577</v>
      </c>
      <c r="DD5021" s="127">
        <v>6</v>
      </c>
      <c r="DE5021" s="127">
        <v>6</v>
      </c>
      <c r="DG5021" t="s">
        <v>376</v>
      </c>
      <c r="DH5021" t="s">
        <v>3577</v>
      </c>
      <c r="DI5021" s="406" t="str">
        <f t="shared" si="110"/>
        <v>SP, Indiaporã</v>
      </c>
      <c r="DJ5021">
        <v>-19.98</v>
      </c>
      <c r="DK5021">
        <v>-50.29</v>
      </c>
      <c r="DL5021">
        <v>440</v>
      </c>
      <c r="DM5021" s="1">
        <v>6</v>
      </c>
      <c r="DN5021" t="s">
        <v>6904</v>
      </c>
      <c r="DO5021" s="406">
        <v>-20.27</v>
      </c>
      <c r="DP5021" s="80">
        <v>457</v>
      </c>
    </row>
    <row r="5022" spans="29:120" x14ac:dyDescent="0.25">
      <c r="AC5022" s="122" t="s">
        <v>289</v>
      </c>
      <c r="AD5022" s="122" t="s">
        <v>5210</v>
      </c>
      <c r="AE5022" s="127">
        <v>8</v>
      </c>
      <c r="DA5022" s="122" t="s">
        <v>376</v>
      </c>
      <c r="DB5022" s="122" t="s">
        <v>8789</v>
      </c>
      <c r="DC5022" s="122" t="s">
        <v>4027</v>
      </c>
      <c r="DD5022" s="127">
        <v>6</v>
      </c>
      <c r="DE5022" s="127">
        <v>6</v>
      </c>
      <c r="DG5022" t="s">
        <v>376</v>
      </c>
      <c r="DH5022" t="s">
        <v>4027</v>
      </c>
      <c r="DI5022" s="406" t="str">
        <f t="shared" si="110"/>
        <v>SP, Inúbia Paulista</v>
      </c>
      <c r="DJ5022">
        <v>-21.77</v>
      </c>
      <c r="DK5022">
        <v>-50.962000000000003</v>
      </c>
      <c r="DL5022">
        <v>467</v>
      </c>
      <c r="DM5022" s="1">
        <v>6</v>
      </c>
      <c r="DN5022" t="s">
        <v>8709</v>
      </c>
      <c r="DO5022" s="406">
        <v>-21.32</v>
      </c>
      <c r="DP5022" s="80">
        <v>374</v>
      </c>
    </row>
    <row r="5023" spans="29:120" x14ac:dyDescent="0.25">
      <c r="AC5023" s="122" t="s">
        <v>344</v>
      </c>
      <c r="AD5023" s="122" t="s">
        <v>5211</v>
      </c>
      <c r="AE5023" s="127">
        <v>8</v>
      </c>
      <c r="DA5023" s="122" t="s">
        <v>376</v>
      </c>
      <c r="DB5023" s="122" t="s">
        <v>1792</v>
      </c>
      <c r="DC5023" s="122" t="s">
        <v>1792</v>
      </c>
      <c r="DD5023" s="127">
        <v>3</v>
      </c>
      <c r="DE5023" s="127">
        <v>3</v>
      </c>
      <c r="DG5023" t="s">
        <v>376</v>
      </c>
      <c r="DH5023" t="s">
        <v>5777</v>
      </c>
      <c r="DI5023" s="406" t="str">
        <f t="shared" si="110"/>
        <v>SP, Ipaussu</v>
      </c>
      <c r="DJ5023">
        <v>-23.056999999999999</v>
      </c>
      <c r="DK5023">
        <v>-49.625999999999998</v>
      </c>
      <c r="DL5023">
        <v>568</v>
      </c>
      <c r="DM5023" s="1">
        <v>3</v>
      </c>
      <c r="DN5023" t="s">
        <v>7822</v>
      </c>
      <c r="DO5023" s="406">
        <v>-22.98</v>
      </c>
      <c r="DP5023" s="80">
        <v>448</v>
      </c>
    </row>
    <row r="5024" spans="29:120" x14ac:dyDescent="0.25">
      <c r="AC5024" s="122" t="s">
        <v>279</v>
      </c>
      <c r="AD5024" s="122" t="s">
        <v>5212</v>
      </c>
      <c r="AE5024" s="127">
        <v>8</v>
      </c>
      <c r="DA5024" s="122" t="s">
        <v>376</v>
      </c>
      <c r="DB5024" s="122" t="s">
        <v>1758</v>
      </c>
      <c r="DC5024" s="122" t="s">
        <v>1758</v>
      </c>
      <c r="DD5024" s="127">
        <v>3</v>
      </c>
      <c r="DE5024" s="127">
        <v>3</v>
      </c>
      <c r="DG5024" t="s">
        <v>376</v>
      </c>
      <c r="DH5024" t="s">
        <v>1758</v>
      </c>
      <c r="DI5024" s="406" t="str">
        <f t="shared" si="110"/>
        <v>SP, Iperó</v>
      </c>
      <c r="DJ5024">
        <v>-23.35</v>
      </c>
      <c r="DK5024">
        <v>-47.689</v>
      </c>
      <c r="DL5024">
        <v>590</v>
      </c>
      <c r="DM5024" s="1">
        <v>3</v>
      </c>
      <c r="DN5024" t="s">
        <v>8718</v>
      </c>
      <c r="DO5024" s="406">
        <v>-23.5</v>
      </c>
      <c r="DP5024" s="80">
        <v>609</v>
      </c>
    </row>
    <row r="5025" spans="29:120" x14ac:dyDescent="0.25">
      <c r="AC5025" s="122" t="s">
        <v>268</v>
      </c>
      <c r="AD5025" s="122" t="s">
        <v>5213</v>
      </c>
      <c r="AE5025" s="127">
        <v>8</v>
      </c>
      <c r="DA5025" s="122" t="s">
        <v>376</v>
      </c>
      <c r="DB5025" s="122" t="s">
        <v>997</v>
      </c>
      <c r="DC5025" s="122" t="s">
        <v>997</v>
      </c>
      <c r="DD5025" s="127">
        <v>4</v>
      </c>
      <c r="DE5025" s="127">
        <v>4</v>
      </c>
      <c r="DG5025" t="s">
        <v>376</v>
      </c>
      <c r="DH5025" t="s">
        <v>997</v>
      </c>
      <c r="DI5025" s="406" t="str">
        <f t="shared" si="110"/>
        <v>SP, Ipeúna</v>
      </c>
      <c r="DJ5025">
        <v>-22.436</v>
      </c>
      <c r="DK5025">
        <v>-47.719000000000001</v>
      </c>
      <c r="DL5025">
        <v>635</v>
      </c>
      <c r="DM5025" s="1">
        <v>4</v>
      </c>
      <c r="DN5025" t="s">
        <v>8716</v>
      </c>
      <c r="DO5025" s="406">
        <v>-22.73</v>
      </c>
      <c r="DP5025" s="80">
        <v>573</v>
      </c>
    </row>
    <row r="5026" spans="29:120" x14ac:dyDescent="0.25">
      <c r="AC5026" s="122" t="s">
        <v>393</v>
      </c>
      <c r="AD5026" s="122" t="s">
        <v>5214</v>
      </c>
      <c r="AE5026" s="127">
        <v>7</v>
      </c>
      <c r="DA5026" s="122" t="s">
        <v>376</v>
      </c>
      <c r="DB5026" s="122" t="s">
        <v>3860</v>
      </c>
      <c r="DC5026" s="122" t="s">
        <v>3860</v>
      </c>
      <c r="DD5026" s="127">
        <v>6</v>
      </c>
      <c r="DE5026" s="127">
        <v>6</v>
      </c>
      <c r="DG5026" t="s">
        <v>376</v>
      </c>
      <c r="DH5026" t="s">
        <v>3860</v>
      </c>
      <c r="DI5026" s="406" t="str">
        <f t="shared" si="110"/>
        <v>SP, Ipiguá</v>
      </c>
      <c r="DJ5026">
        <v>-20.657</v>
      </c>
      <c r="DK5026">
        <v>-49.387</v>
      </c>
      <c r="DL5026">
        <v>508</v>
      </c>
      <c r="DM5026" s="1">
        <v>6</v>
      </c>
      <c r="DN5026" t="s">
        <v>8710</v>
      </c>
      <c r="DO5026" s="406">
        <v>-21.1</v>
      </c>
      <c r="DP5026" s="80">
        <v>405</v>
      </c>
    </row>
    <row r="5027" spans="29:120" x14ac:dyDescent="0.25">
      <c r="AC5027" s="122" t="s">
        <v>289</v>
      </c>
      <c r="AD5027" s="122" t="s">
        <v>5215</v>
      </c>
      <c r="AE5027" s="127">
        <v>6</v>
      </c>
      <c r="DA5027" s="122" t="s">
        <v>376</v>
      </c>
      <c r="DB5027" s="122" t="s">
        <v>3775</v>
      </c>
      <c r="DC5027" s="122" t="s">
        <v>3775</v>
      </c>
      <c r="DD5027" s="127">
        <v>3</v>
      </c>
      <c r="DE5027" s="127">
        <v>3</v>
      </c>
      <c r="DG5027" t="s">
        <v>376</v>
      </c>
      <c r="DH5027" t="s">
        <v>3775</v>
      </c>
      <c r="DI5027" s="406" t="str">
        <f t="shared" si="110"/>
        <v>SP, Iporanga</v>
      </c>
      <c r="DJ5027">
        <v>-24.585999999999999</v>
      </c>
      <c r="DK5027">
        <v>-48.593000000000004</v>
      </c>
      <c r="DL5027">
        <v>81</v>
      </c>
      <c r="DM5027" s="1">
        <v>3</v>
      </c>
      <c r="DN5027" t="s">
        <v>7807</v>
      </c>
      <c r="DO5027" s="406">
        <v>-23.98</v>
      </c>
      <c r="DP5027" s="80">
        <v>707</v>
      </c>
    </row>
    <row r="5028" spans="29:120" x14ac:dyDescent="0.25">
      <c r="AC5028" s="122" t="s">
        <v>300</v>
      </c>
      <c r="AD5028" s="122" t="s">
        <v>5216</v>
      </c>
      <c r="AE5028" s="127">
        <v>7</v>
      </c>
      <c r="DA5028" s="122" t="s">
        <v>376</v>
      </c>
      <c r="DB5028" s="122" t="s">
        <v>3859</v>
      </c>
      <c r="DC5028" s="122" t="s">
        <v>3859</v>
      </c>
      <c r="DD5028" s="127">
        <v>4</v>
      </c>
      <c r="DE5028" s="127">
        <v>4</v>
      </c>
      <c r="DG5028" t="s">
        <v>376</v>
      </c>
      <c r="DH5028" t="s">
        <v>3859</v>
      </c>
      <c r="DI5028" s="406" t="str">
        <f t="shared" si="110"/>
        <v>SP, Ipuã</v>
      </c>
      <c r="DJ5028">
        <v>-20.437999999999999</v>
      </c>
      <c r="DK5028">
        <v>-48.012</v>
      </c>
      <c r="DL5028">
        <v>555</v>
      </c>
      <c r="DM5028" s="1">
        <v>4</v>
      </c>
      <c r="DN5028" t="s">
        <v>8732</v>
      </c>
      <c r="DO5028" s="406">
        <v>-20.36</v>
      </c>
      <c r="DP5028" s="80">
        <v>600</v>
      </c>
    </row>
    <row r="5029" spans="29:120" x14ac:dyDescent="0.25">
      <c r="AC5029" s="122" t="s">
        <v>344</v>
      </c>
      <c r="AD5029" s="122" t="s">
        <v>720</v>
      </c>
      <c r="AE5029" s="127">
        <v>8</v>
      </c>
      <c r="DA5029" s="122" t="s">
        <v>376</v>
      </c>
      <c r="DB5029" s="122" t="s">
        <v>3699</v>
      </c>
      <c r="DC5029" s="122" t="s">
        <v>3699</v>
      </c>
      <c r="DD5029" s="127">
        <v>3</v>
      </c>
      <c r="DE5029" s="127">
        <v>3</v>
      </c>
      <c r="DG5029" t="s">
        <v>376</v>
      </c>
      <c r="DH5029" t="s">
        <v>3699</v>
      </c>
      <c r="DI5029" s="406" t="str">
        <f t="shared" si="110"/>
        <v>SP, Iracemápolis</v>
      </c>
      <c r="DJ5029">
        <v>-22.581</v>
      </c>
      <c r="DK5029">
        <v>-47.518999999999998</v>
      </c>
      <c r="DL5029">
        <v>608</v>
      </c>
      <c r="DM5029" s="1">
        <v>3</v>
      </c>
      <c r="DN5029" t="s">
        <v>8716</v>
      </c>
      <c r="DO5029" s="406">
        <v>-22.73</v>
      </c>
      <c r="DP5029" s="80">
        <v>573</v>
      </c>
    </row>
    <row r="5030" spans="29:120" x14ac:dyDescent="0.25">
      <c r="AC5030" s="122" t="s">
        <v>357</v>
      </c>
      <c r="AD5030" s="122" t="s">
        <v>5217</v>
      </c>
      <c r="AE5030" s="127">
        <v>7</v>
      </c>
      <c r="DA5030" s="122" t="s">
        <v>376</v>
      </c>
      <c r="DB5030" s="122" t="s">
        <v>3760</v>
      </c>
      <c r="DC5030" s="122" t="s">
        <v>3760</v>
      </c>
      <c r="DD5030" s="127">
        <v>6</v>
      </c>
      <c r="DE5030" s="127">
        <v>6</v>
      </c>
      <c r="DG5030" t="s">
        <v>376</v>
      </c>
      <c r="DH5030" t="s">
        <v>3760</v>
      </c>
      <c r="DI5030" s="406" t="str">
        <f t="shared" si="110"/>
        <v>SP, Irapuã</v>
      </c>
      <c r="DJ5030">
        <v>-21.279</v>
      </c>
      <c r="DK5030">
        <v>-49.408999999999999</v>
      </c>
      <c r="DL5030">
        <v>428</v>
      </c>
      <c r="DM5030" s="1">
        <v>6</v>
      </c>
      <c r="DN5030" t="s">
        <v>8710</v>
      </c>
      <c r="DO5030" s="406">
        <v>-21.1</v>
      </c>
      <c r="DP5030" s="80">
        <v>405</v>
      </c>
    </row>
    <row r="5031" spans="29:120" x14ac:dyDescent="0.25">
      <c r="AC5031" s="122" t="s">
        <v>289</v>
      </c>
      <c r="AD5031" s="122" t="s">
        <v>5218</v>
      </c>
      <c r="AE5031" s="127">
        <v>7</v>
      </c>
      <c r="DA5031" s="122" t="s">
        <v>376</v>
      </c>
      <c r="DB5031" s="122" t="s">
        <v>3799</v>
      </c>
      <c r="DC5031" s="122" t="s">
        <v>3799</v>
      </c>
      <c r="DD5031" s="127">
        <v>6</v>
      </c>
      <c r="DE5031" s="127">
        <v>6</v>
      </c>
      <c r="DG5031" t="s">
        <v>376</v>
      </c>
      <c r="DH5031" t="s">
        <v>3799</v>
      </c>
      <c r="DI5031" s="406" t="str">
        <f t="shared" si="110"/>
        <v>SP, Irapuru</v>
      </c>
      <c r="DJ5031">
        <v>-21.571000000000002</v>
      </c>
      <c r="DK5031">
        <v>-51.344999999999999</v>
      </c>
      <c r="DL5031">
        <v>436</v>
      </c>
      <c r="DM5031" s="1">
        <v>6</v>
      </c>
      <c r="DN5031" t="s">
        <v>8709</v>
      </c>
      <c r="DO5031" s="406">
        <v>-21.32</v>
      </c>
      <c r="DP5031" s="80">
        <v>374</v>
      </c>
    </row>
    <row r="5032" spans="29:120" x14ac:dyDescent="0.25">
      <c r="AC5032" s="122" t="s">
        <v>300</v>
      </c>
      <c r="AD5032" s="122" t="s">
        <v>5219</v>
      </c>
      <c r="AE5032" s="127">
        <v>7</v>
      </c>
      <c r="DA5032" s="122" t="s">
        <v>376</v>
      </c>
      <c r="DB5032" s="122" t="s">
        <v>1773</v>
      </c>
      <c r="DC5032" s="122" t="s">
        <v>1773</v>
      </c>
      <c r="DD5032" s="127">
        <v>2</v>
      </c>
      <c r="DE5032" s="127">
        <v>2</v>
      </c>
      <c r="DG5032" t="s">
        <v>376</v>
      </c>
      <c r="DH5032" t="s">
        <v>1773</v>
      </c>
      <c r="DI5032" s="406" t="str">
        <f t="shared" si="110"/>
        <v>SP, Itaberá</v>
      </c>
      <c r="DJ5032">
        <v>-23.861999999999998</v>
      </c>
      <c r="DK5032">
        <v>-49.137</v>
      </c>
      <c r="DL5032">
        <v>651</v>
      </c>
      <c r="DM5032" s="1">
        <v>2</v>
      </c>
      <c r="DN5032" t="s">
        <v>7807</v>
      </c>
      <c r="DO5032" s="406">
        <v>-23.98</v>
      </c>
      <c r="DP5032" s="80">
        <v>707</v>
      </c>
    </row>
    <row r="5033" spans="29:120" x14ac:dyDescent="0.25">
      <c r="AC5033" s="122" t="s">
        <v>340</v>
      </c>
      <c r="AD5033" s="122" t="s">
        <v>1488</v>
      </c>
      <c r="AE5033" s="127">
        <v>7</v>
      </c>
      <c r="DA5033" s="122" t="s">
        <v>376</v>
      </c>
      <c r="DB5033" s="122" t="s">
        <v>1041</v>
      </c>
      <c r="DC5033" s="122" t="s">
        <v>1041</v>
      </c>
      <c r="DD5033" s="127">
        <v>3</v>
      </c>
      <c r="DE5033" s="127">
        <v>3</v>
      </c>
      <c r="DG5033" t="s">
        <v>376</v>
      </c>
      <c r="DH5033" t="s">
        <v>1041</v>
      </c>
      <c r="DI5033" s="406" t="str">
        <f t="shared" si="110"/>
        <v>SP, Itaí</v>
      </c>
      <c r="DJ5033">
        <v>-23.417999999999999</v>
      </c>
      <c r="DK5033">
        <v>-49.091000000000001</v>
      </c>
      <c r="DL5033">
        <v>614</v>
      </c>
      <c r="DM5033" s="1">
        <v>3</v>
      </c>
      <c r="DN5033" t="s">
        <v>8714</v>
      </c>
      <c r="DO5033" s="406">
        <v>-23.1</v>
      </c>
      <c r="DP5033" s="80">
        <v>654</v>
      </c>
    </row>
    <row r="5034" spans="29:120" x14ac:dyDescent="0.25">
      <c r="AC5034" s="122" t="s">
        <v>300</v>
      </c>
      <c r="AD5034" s="122" t="s">
        <v>5220</v>
      </c>
      <c r="AE5034" s="127">
        <v>7</v>
      </c>
      <c r="DA5034" s="122" t="s">
        <v>376</v>
      </c>
      <c r="DB5034" s="122" t="s">
        <v>3933</v>
      </c>
      <c r="DC5034" s="122" t="s">
        <v>3933</v>
      </c>
      <c r="DD5034" s="127">
        <v>6</v>
      </c>
      <c r="DE5034" s="127">
        <v>6</v>
      </c>
      <c r="DG5034" t="s">
        <v>376</v>
      </c>
      <c r="DH5034" t="s">
        <v>3933</v>
      </c>
      <c r="DI5034" s="406" t="str">
        <f t="shared" si="110"/>
        <v>SP, Itajobi</v>
      </c>
      <c r="DJ5034">
        <v>-21.318000000000001</v>
      </c>
      <c r="DK5034">
        <v>-49.054000000000002</v>
      </c>
      <c r="DL5034">
        <v>453</v>
      </c>
      <c r="DM5034" s="1">
        <v>6</v>
      </c>
      <c r="DN5034" t="s">
        <v>8721</v>
      </c>
      <c r="DO5034" s="406">
        <v>-21.13</v>
      </c>
      <c r="DP5034" s="80">
        <v>525</v>
      </c>
    </row>
    <row r="5035" spans="29:120" x14ac:dyDescent="0.25">
      <c r="AC5035" s="122" t="s">
        <v>393</v>
      </c>
      <c r="AD5035" s="122" t="s">
        <v>5221</v>
      </c>
      <c r="AE5035" s="127">
        <v>7</v>
      </c>
      <c r="DA5035" s="122" t="s">
        <v>376</v>
      </c>
      <c r="DB5035" s="122" t="s">
        <v>3538</v>
      </c>
      <c r="DC5035" s="122" t="s">
        <v>3538</v>
      </c>
      <c r="DD5035" s="127">
        <v>3</v>
      </c>
      <c r="DE5035" s="127">
        <v>3</v>
      </c>
      <c r="DG5035" t="s">
        <v>376</v>
      </c>
      <c r="DH5035" t="s">
        <v>3538</v>
      </c>
      <c r="DI5035" s="406" t="str">
        <f t="shared" si="110"/>
        <v>SP, Itaju</v>
      </c>
      <c r="DJ5035">
        <v>-21.981000000000002</v>
      </c>
      <c r="DK5035">
        <v>-48.805</v>
      </c>
      <c r="DL5035">
        <v>498</v>
      </c>
      <c r="DM5035" s="1">
        <v>3</v>
      </c>
      <c r="DN5035" t="s">
        <v>8733</v>
      </c>
      <c r="DO5035" s="406">
        <v>-21.86</v>
      </c>
      <c r="DP5035" s="80">
        <v>492</v>
      </c>
    </row>
    <row r="5036" spans="29:120" x14ac:dyDescent="0.25">
      <c r="AC5036" s="122" t="s">
        <v>323</v>
      </c>
      <c r="AD5036" s="122" t="s">
        <v>5222</v>
      </c>
      <c r="AE5036" s="127">
        <v>8</v>
      </c>
      <c r="DA5036" s="122" t="s">
        <v>376</v>
      </c>
      <c r="DB5036" s="122" t="s">
        <v>3503</v>
      </c>
      <c r="DC5036" s="122" t="s">
        <v>3503</v>
      </c>
      <c r="DD5036" s="127">
        <v>3</v>
      </c>
      <c r="DE5036" s="127">
        <v>3</v>
      </c>
      <c r="DG5036" t="s">
        <v>376</v>
      </c>
      <c r="DH5036" t="s">
        <v>3503</v>
      </c>
      <c r="DI5036" s="406" t="str">
        <f t="shared" si="110"/>
        <v>SP, Itanhaém</v>
      </c>
      <c r="DJ5036">
        <v>-24.183</v>
      </c>
      <c r="DK5036">
        <v>-46.789000000000001</v>
      </c>
      <c r="DL5036">
        <v>5</v>
      </c>
      <c r="DM5036" s="1">
        <v>3</v>
      </c>
      <c r="DN5036" t="s">
        <v>8735</v>
      </c>
      <c r="DO5036" s="406">
        <v>-23.85</v>
      </c>
      <c r="DP5036" s="80">
        <v>792</v>
      </c>
    </row>
    <row r="5037" spans="29:120" x14ac:dyDescent="0.25">
      <c r="AC5037" s="122" t="s">
        <v>344</v>
      </c>
      <c r="AD5037" s="122" t="s">
        <v>5223</v>
      </c>
      <c r="AE5037" s="127">
        <v>8</v>
      </c>
      <c r="DA5037" s="122" t="s">
        <v>376</v>
      </c>
      <c r="DB5037" s="122" t="s">
        <v>3917</v>
      </c>
      <c r="DC5037" s="122" t="s">
        <v>3917</v>
      </c>
      <c r="DD5037" s="127">
        <v>3</v>
      </c>
      <c r="DE5037" s="127">
        <v>3</v>
      </c>
      <c r="DG5037" t="s">
        <v>376</v>
      </c>
      <c r="DH5037" t="s">
        <v>3917</v>
      </c>
      <c r="DI5037" s="406" t="str">
        <f t="shared" si="110"/>
        <v>SP, Itaóca</v>
      </c>
      <c r="DJ5037">
        <v>-24.64</v>
      </c>
      <c r="DK5037">
        <v>-48.843000000000004</v>
      </c>
      <c r="DL5037">
        <v>155</v>
      </c>
      <c r="DM5037" s="1">
        <v>3</v>
      </c>
      <c r="DN5037" t="s">
        <v>7807</v>
      </c>
      <c r="DO5037" s="406">
        <v>-23.98</v>
      </c>
      <c r="DP5037" s="80">
        <v>707</v>
      </c>
    </row>
    <row r="5038" spans="29:120" x14ac:dyDescent="0.25">
      <c r="AC5038" s="122" t="s">
        <v>393</v>
      </c>
      <c r="AD5038" s="122" t="s">
        <v>5224</v>
      </c>
      <c r="AE5038" s="127">
        <v>7</v>
      </c>
      <c r="DA5038" s="122" t="s">
        <v>376</v>
      </c>
      <c r="DB5038" s="122" t="s">
        <v>8790</v>
      </c>
      <c r="DC5038" s="122" t="s">
        <v>732</v>
      </c>
      <c r="DD5038" s="127">
        <v>3</v>
      </c>
      <c r="DE5038" s="127">
        <v>3</v>
      </c>
      <c r="DG5038" t="s">
        <v>376</v>
      </c>
      <c r="DH5038" t="s">
        <v>732</v>
      </c>
      <c r="DI5038" s="406" t="str">
        <f t="shared" si="110"/>
        <v>SP, Itapecerica da Serra</v>
      </c>
      <c r="DJ5038">
        <v>-23.716999999999999</v>
      </c>
      <c r="DK5038">
        <v>-46.848999999999997</v>
      </c>
      <c r="DL5038">
        <v>906</v>
      </c>
      <c r="DM5038" s="1">
        <v>3</v>
      </c>
      <c r="DN5038" t="s">
        <v>8735</v>
      </c>
      <c r="DO5038" s="406">
        <v>-23.85</v>
      </c>
      <c r="DP5038" s="80">
        <v>792</v>
      </c>
    </row>
    <row r="5039" spans="29:120" x14ac:dyDescent="0.25">
      <c r="AC5039" s="122" t="s">
        <v>289</v>
      </c>
      <c r="AD5039" s="122" t="s">
        <v>5225</v>
      </c>
      <c r="AE5039" s="127">
        <v>7</v>
      </c>
      <c r="DA5039" s="122" t="s">
        <v>376</v>
      </c>
      <c r="DB5039" s="122" t="s">
        <v>1777</v>
      </c>
      <c r="DC5039" s="122" t="s">
        <v>1777</v>
      </c>
      <c r="DD5039" s="127">
        <v>3</v>
      </c>
      <c r="DE5039" s="127">
        <v>3</v>
      </c>
      <c r="DG5039" t="s">
        <v>376</v>
      </c>
      <c r="DH5039" t="s">
        <v>1777</v>
      </c>
      <c r="DI5039" s="406" t="str">
        <f t="shared" si="110"/>
        <v>SP, Itapetininga</v>
      </c>
      <c r="DJ5039">
        <v>-23.591999999999999</v>
      </c>
      <c r="DK5039">
        <v>-48.052999999999997</v>
      </c>
      <c r="DL5039">
        <v>656</v>
      </c>
      <c r="DM5039" s="1">
        <v>3</v>
      </c>
      <c r="DN5039" t="s">
        <v>8718</v>
      </c>
      <c r="DO5039" s="406">
        <v>-23.5</v>
      </c>
      <c r="DP5039" s="80">
        <v>609</v>
      </c>
    </row>
    <row r="5040" spans="29:120" x14ac:dyDescent="0.25">
      <c r="AC5040" s="122" t="s">
        <v>344</v>
      </c>
      <c r="AD5040" s="122" t="s">
        <v>5226</v>
      </c>
      <c r="AE5040" s="127">
        <v>8</v>
      </c>
      <c r="DA5040" s="122" t="s">
        <v>376</v>
      </c>
      <c r="DB5040" s="122" t="s">
        <v>733</v>
      </c>
      <c r="DC5040" s="122" t="s">
        <v>733</v>
      </c>
      <c r="DD5040" s="127">
        <v>2</v>
      </c>
      <c r="DE5040" s="127">
        <v>2</v>
      </c>
      <c r="DG5040" t="s">
        <v>376</v>
      </c>
      <c r="DH5040" t="s">
        <v>733</v>
      </c>
      <c r="DI5040" s="406" t="str">
        <f t="shared" si="110"/>
        <v>SP, Itapeva</v>
      </c>
      <c r="DJ5040">
        <v>-23.981999999999999</v>
      </c>
      <c r="DK5040">
        <v>-48.875999999999998</v>
      </c>
      <c r="DL5040">
        <v>684</v>
      </c>
      <c r="DM5040" s="1">
        <v>2</v>
      </c>
      <c r="DN5040" t="s">
        <v>7807</v>
      </c>
      <c r="DO5040" s="406">
        <v>-23.98</v>
      </c>
      <c r="DP5040" s="80">
        <v>707</v>
      </c>
    </row>
    <row r="5041" spans="29:120" x14ac:dyDescent="0.25">
      <c r="AC5041" s="122" t="s">
        <v>340</v>
      </c>
      <c r="AD5041" s="122" t="s">
        <v>5227</v>
      </c>
      <c r="AE5041" s="127">
        <v>7</v>
      </c>
      <c r="DA5041" s="122" t="s">
        <v>376</v>
      </c>
      <c r="DB5041" s="122" t="s">
        <v>864</v>
      </c>
      <c r="DC5041" s="122" t="s">
        <v>864</v>
      </c>
      <c r="DD5041" s="127">
        <v>3</v>
      </c>
      <c r="DE5041" s="127">
        <v>3</v>
      </c>
      <c r="DG5041" t="s">
        <v>376</v>
      </c>
      <c r="DH5041" t="s">
        <v>864</v>
      </c>
      <c r="DI5041" s="406" t="str">
        <f t="shared" si="110"/>
        <v>SP, Itapevi</v>
      </c>
      <c r="DJ5041">
        <v>-23.548999999999999</v>
      </c>
      <c r="DK5041">
        <v>-46.933999999999997</v>
      </c>
      <c r="DL5041">
        <v>770</v>
      </c>
      <c r="DM5041" s="1">
        <v>3</v>
      </c>
      <c r="DN5041" t="s">
        <v>8735</v>
      </c>
      <c r="DO5041" s="406">
        <v>-23.85</v>
      </c>
      <c r="DP5041" s="80">
        <v>792</v>
      </c>
    </row>
    <row r="5042" spans="29:120" x14ac:dyDescent="0.25">
      <c r="AC5042" s="122" t="s">
        <v>344</v>
      </c>
      <c r="AD5042" s="122" t="s">
        <v>5228</v>
      </c>
      <c r="AE5042" s="127">
        <v>8</v>
      </c>
      <c r="DA5042" s="122" t="s">
        <v>376</v>
      </c>
      <c r="DB5042" s="122" t="s">
        <v>3542</v>
      </c>
      <c r="DC5042" s="122" t="s">
        <v>3542</v>
      </c>
      <c r="DD5042" s="127">
        <v>3</v>
      </c>
      <c r="DE5042" s="127">
        <v>3</v>
      </c>
      <c r="DG5042" t="s">
        <v>376</v>
      </c>
      <c r="DH5042" t="s">
        <v>3542</v>
      </c>
      <c r="DI5042" s="406" t="str">
        <f t="shared" si="110"/>
        <v>SP, Itapira</v>
      </c>
      <c r="DJ5042">
        <v>-22.436</v>
      </c>
      <c r="DK5042">
        <v>-46.822000000000003</v>
      </c>
      <c r="DL5042">
        <v>643</v>
      </c>
      <c r="DM5042" s="1">
        <v>3</v>
      </c>
      <c r="DN5042" t="s">
        <v>6808</v>
      </c>
      <c r="DO5042" s="406">
        <v>-22.42</v>
      </c>
      <c r="DP5042" s="80">
        <v>633</v>
      </c>
    </row>
    <row r="5043" spans="29:120" x14ac:dyDescent="0.25">
      <c r="AC5043" s="122" t="s">
        <v>328</v>
      </c>
      <c r="AD5043" s="122" t="s">
        <v>5229</v>
      </c>
      <c r="AE5043" s="127">
        <v>7</v>
      </c>
      <c r="DA5043" s="122" t="s">
        <v>376</v>
      </c>
      <c r="DB5043" s="122" t="s">
        <v>8791</v>
      </c>
      <c r="DC5043" s="122" t="s">
        <v>940</v>
      </c>
      <c r="DD5043" s="127">
        <v>2</v>
      </c>
      <c r="DE5043" s="127">
        <v>2</v>
      </c>
      <c r="DG5043" t="s">
        <v>376</v>
      </c>
      <c r="DH5043" t="s">
        <v>940</v>
      </c>
      <c r="DI5043" s="406" t="str">
        <f t="shared" si="110"/>
        <v>SP, Itapirapuã Paulista</v>
      </c>
      <c r="DJ5043">
        <v>-24.574000000000002</v>
      </c>
      <c r="DK5043">
        <v>-49.167999999999999</v>
      </c>
      <c r="DL5043">
        <v>589</v>
      </c>
      <c r="DM5043" s="1">
        <v>2</v>
      </c>
      <c r="DN5043" t="s">
        <v>7807</v>
      </c>
      <c r="DO5043" s="406">
        <v>-23.98</v>
      </c>
      <c r="DP5043" s="80">
        <v>707</v>
      </c>
    </row>
    <row r="5044" spans="29:120" x14ac:dyDescent="0.25">
      <c r="AC5044" s="122" t="s">
        <v>357</v>
      </c>
      <c r="AD5044" s="122" t="s">
        <v>5230</v>
      </c>
      <c r="AE5044" s="127">
        <v>7</v>
      </c>
      <c r="DA5044" s="122" t="s">
        <v>376</v>
      </c>
      <c r="DB5044" s="122" t="s">
        <v>3940</v>
      </c>
      <c r="DC5044" s="122" t="s">
        <v>3940</v>
      </c>
      <c r="DD5044" s="127">
        <v>4</v>
      </c>
      <c r="DE5044" s="127">
        <v>4</v>
      </c>
      <c r="DG5044" t="s">
        <v>376</v>
      </c>
      <c r="DH5044" t="s">
        <v>3940</v>
      </c>
      <c r="DI5044" s="406" t="str">
        <f t="shared" si="110"/>
        <v>SP, Itápolis</v>
      </c>
      <c r="DJ5044">
        <v>-21.596</v>
      </c>
      <c r="DK5044">
        <v>-48.813000000000002</v>
      </c>
      <c r="DL5044">
        <v>481</v>
      </c>
      <c r="DM5044" s="1">
        <v>4</v>
      </c>
      <c r="DN5044" t="s">
        <v>8733</v>
      </c>
      <c r="DO5044" s="406">
        <v>-21.86</v>
      </c>
      <c r="DP5044" s="80">
        <v>492</v>
      </c>
    </row>
    <row r="5045" spans="29:120" x14ac:dyDescent="0.25">
      <c r="AC5045" s="122" t="s">
        <v>289</v>
      </c>
      <c r="AD5045" s="122" t="s">
        <v>5231</v>
      </c>
      <c r="AE5045" s="127">
        <v>8</v>
      </c>
      <c r="DA5045" s="122" t="s">
        <v>376</v>
      </c>
      <c r="DB5045" s="122" t="s">
        <v>1766</v>
      </c>
      <c r="DC5045" s="122" t="s">
        <v>1766</v>
      </c>
      <c r="DD5045" s="127">
        <v>3</v>
      </c>
      <c r="DE5045" s="127">
        <v>3</v>
      </c>
      <c r="DG5045" t="s">
        <v>376</v>
      </c>
      <c r="DH5045" t="s">
        <v>1766</v>
      </c>
      <c r="DI5045" s="406" t="str">
        <f t="shared" si="110"/>
        <v>SP, Itaporanga</v>
      </c>
      <c r="DJ5045">
        <v>-23.707999999999998</v>
      </c>
      <c r="DK5045">
        <v>-49.49</v>
      </c>
      <c r="DL5045">
        <v>589</v>
      </c>
      <c r="DM5045" s="1">
        <v>3</v>
      </c>
      <c r="DN5045" t="s">
        <v>7859</v>
      </c>
      <c r="DO5045" s="406">
        <v>-23.5</v>
      </c>
      <c r="DP5045" s="80">
        <v>522</v>
      </c>
    </row>
    <row r="5046" spans="29:120" x14ac:dyDescent="0.25">
      <c r="AC5046" s="122" t="s">
        <v>289</v>
      </c>
      <c r="AD5046" s="122" t="s">
        <v>5232</v>
      </c>
      <c r="AE5046" s="127">
        <v>6</v>
      </c>
      <c r="DA5046" s="122" t="s">
        <v>376</v>
      </c>
      <c r="DB5046" s="122" t="s">
        <v>3492</v>
      </c>
      <c r="DC5046" s="122" t="s">
        <v>3492</v>
      </c>
      <c r="DD5046" s="127">
        <v>4</v>
      </c>
      <c r="DE5046" s="127">
        <v>4</v>
      </c>
      <c r="DG5046" t="s">
        <v>376</v>
      </c>
      <c r="DH5046" t="s">
        <v>3492</v>
      </c>
      <c r="DI5046" s="406" t="str">
        <f t="shared" si="110"/>
        <v>SP, Itapuí</v>
      </c>
      <c r="DJ5046">
        <v>-22.233000000000001</v>
      </c>
      <c r="DK5046">
        <v>-48.719000000000001</v>
      </c>
      <c r="DL5046">
        <v>456</v>
      </c>
      <c r="DM5046" s="1">
        <v>4</v>
      </c>
      <c r="DN5046" t="s">
        <v>8717</v>
      </c>
      <c r="DO5046" s="406">
        <v>-22.32</v>
      </c>
      <c r="DP5046" s="80">
        <v>550</v>
      </c>
    </row>
    <row r="5047" spans="29:120" x14ac:dyDescent="0.25">
      <c r="AC5047" s="122" t="s">
        <v>289</v>
      </c>
      <c r="AD5047" s="122" t="s">
        <v>5233</v>
      </c>
      <c r="AE5047" s="127">
        <v>8</v>
      </c>
      <c r="DA5047" s="122" t="s">
        <v>376</v>
      </c>
      <c r="DB5047" s="122" t="s">
        <v>3537</v>
      </c>
      <c r="DC5047" s="122" t="s">
        <v>3537</v>
      </c>
      <c r="DD5047" s="127">
        <v>6</v>
      </c>
      <c r="DE5047" s="127">
        <v>6</v>
      </c>
      <c r="DG5047" t="s">
        <v>376</v>
      </c>
      <c r="DH5047" t="s">
        <v>3537</v>
      </c>
      <c r="DI5047" s="406" t="str">
        <f t="shared" si="110"/>
        <v>SP, Itapura</v>
      </c>
      <c r="DJ5047">
        <v>-20.646000000000001</v>
      </c>
      <c r="DK5047">
        <v>-51.509</v>
      </c>
      <c r="DL5047">
        <v>318</v>
      </c>
      <c r="DM5047" s="1">
        <v>6</v>
      </c>
      <c r="DN5047" t="s">
        <v>7254</v>
      </c>
      <c r="DO5047" s="406">
        <v>-20.75</v>
      </c>
      <c r="DP5047" s="80">
        <v>313</v>
      </c>
    </row>
    <row r="5048" spans="29:120" x14ac:dyDescent="0.25">
      <c r="AC5048" s="122" t="s">
        <v>289</v>
      </c>
      <c r="AD5048" s="122" t="s">
        <v>5234</v>
      </c>
      <c r="AE5048" s="127">
        <v>6</v>
      </c>
      <c r="DA5048" s="122" t="s">
        <v>376</v>
      </c>
      <c r="DB5048" s="122" t="s">
        <v>823</v>
      </c>
      <c r="DC5048" s="122" t="s">
        <v>823</v>
      </c>
      <c r="DD5048" s="127">
        <v>3</v>
      </c>
      <c r="DE5048" s="127">
        <v>3</v>
      </c>
      <c r="DG5048" t="s">
        <v>376</v>
      </c>
      <c r="DH5048" t="s">
        <v>823</v>
      </c>
      <c r="DI5048" s="406" t="str">
        <f t="shared" si="110"/>
        <v>SP, Itaquaquecetuba</v>
      </c>
      <c r="DJ5048">
        <v>-23.486000000000001</v>
      </c>
      <c r="DK5048">
        <v>-46.347999999999999</v>
      </c>
      <c r="DL5048">
        <v>790</v>
      </c>
      <c r="DM5048" s="1">
        <v>3</v>
      </c>
      <c r="DN5048" t="s">
        <v>8735</v>
      </c>
      <c r="DO5048" s="406">
        <v>-23.85</v>
      </c>
      <c r="DP5048" s="80">
        <v>792</v>
      </c>
    </row>
    <row r="5049" spans="29:120" x14ac:dyDescent="0.25">
      <c r="AC5049" s="122" t="s">
        <v>357</v>
      </c>
      <c r="AD5049" s="122" t="s">
        <v>5235</v>
      </c>
      <c r="AE5049" s="127">
        <v>7</v>
      </c>
      <c r="DA5049" s="122" t="s">
        <v>376</v>
      </c>
      <c r="DB5049" s="122" t="s">
        <v>859</v>
      </c>
      <c r="DC5049" s="122" t="s">
        <v>859</v>
      </c>
      <c r="DD5049" s="127">
        <v>2</v>
      </c>
      <c r="DE5049" s="127">
        <v>2</v>
      </c>
      <c r="DG5049" t="s">
        <v>376</v>
      </c>
      <c r="DH5049" t="s">
        <v>859</v>
      </c>
      <c r="DI5049" s="406" t="str">
        <f t="shared" si="110"/>
        <v>SP, Itararé</v>
      </c>
      <c r="DJ5049">
        <v>-24.114999999999998</v>
      </c>
      <c r="DK5049">
        <v>-49.341000000000001</v>
      </c>
      <c r="DL5049">
        <v>740</v>
      </c>
      <c r="DM5049" s="1">
        <v>2</v>
      </c>
      <c r="DN5049" t="s">
        <v>7807</v>
      </c>
      <c r="DO5049" s="406">
        <v>-23.98</v>
      </c>
      <c r="DP5049" s="80">
        <v>707</v>
      </c>
    </row>
    <row r="5050" spans="29:120" x14ac:dyDescent="0.25">
      <c r="AC5050" s="122" t="s">
        <v>344</v>
      </c>
      <c r="AD5050" s="122" t="s">
        <v>5236</v>
      </c>
      <c r="AE5050" s="127">
        <v>8</v>
      </c>
      <c r="DA5050" s="122" t="s">
        <v>376</v>
      </c>
      <c r="DB5050" s="122" t="s">
        <v>3845</v>
      </c>
      <c r="DC5050" s="122" t="s">
        <v>3845</v>
      </c>
      <c r="DD5050" s="127">
        <v>3</v>
      </c>
      <c r="DE5050" s="127">
        <v>3</v>
      </c>
      <c r="DG5050" t="s">
        <v>376</v>
      </c>
      <c r="DH5050" t="s">
        <v>3845</v>
      </c>
      <c r="DI5050" s="406" t="str">
        <f t="shared" si="110"/>
        <v>SP, Itariri</v>
      </c>
      <c r="DJ5050">
        <v>-24.289000000000001</v>
      </c>
      <c r="DK5050">
        <v>-47.173999999999999</v>
      </c>
      <c r="DL5050">
        <v>55</v>
      </c>
      <c r="DM5050" s="1">
        <v>3</v>
      </c>
      <c r="DN5050" t="s">
        <v>8750</v>
      </c>
      <c r="DO5050" s="406">
        <v>-24.71</v>
      </c>
      <c r="DP5050" s="80">
        <v>3</v>
      </c>
    </row>
    <row r="5051" spans="29:120" x14ac:dyDescent="0.25">
      <c r="AC5051" s="122" t="s">
        <v>300</v>
      </c>
      <c r="AD5051" s="122" t="s">
        <v>5237</v>
      </c>
      <c r="AE5051" s="127">
        <v>7</v>
      </c>
      <c r="DA5051" s="122" t="s">
        <v>376</v>
      </c>
      <c r="DB5051" s="122" t="s">
        <v>1073</v>
      </c>
      <c r="DC5051" s="122" t="s">
        <v>1073</v>
      </c>
      <c r="DD5051" s="127">
        <v>3</v>
      </c>
      <c r="DE5051" s="127">
        <v>3</v>
      </c>
      <c r="DG5051" t="s">
        <v>376</v>
      </c>
      <c r="DH5051" t="s">
        <v>1073</v>
      </c>
      <c r="DI5051" s="406" t="str">
        <f t="shared" si="110"/>
        <v>SP, Itatiba</v>
      </c>
      <c r="DJ5051">
        <v>-23.006</v>
      </c>
      <c r="DK5051">
        <v>-46.838999999999999</v>
      </c>
      <c r="DL5051">
        <v>750</v>
      </c>
      <c r="DM5051" s="1">
        <v>3</v>
      </c>
      <c r="DN5051" t="s">
        <v>8726</v>
      </c>
      <c r="DO5051" s="406">
        <v>-22.82</v>
      </c>
      <c r="DP5051" s="80">
        <v>640</v>
      </c>
    </row>
    <row r="5052" spans="29:120" x14ac:dyDescent="0.25">
      <c r="AC5052" s="122" t="s">
        <v>393</v>
      </c>
      <c r="AD5052" s="122" t="s">
        <v>5238</v>
      </c>
      <c r="AE5052" s="127">
        <v>7</v>
      </c>
      <c r="DA5052" s="122" t="s">
        <v>376</v>
      </c>
      <c r="DB5052" s="122" t="s">
        <v>1029</v>
      </c>
      <c r="DC5052" s="122" t="s">
        <v>1029</v>
      </c>
      <c r="DD5052" s="127">
        <v>3</v>
      </c>
      <c r="DE5052" s="127">
        <v>3</v>
      </c>
      <c r="DG5052" t="s">
        <v>376</v>
      </c>
      <c r="DH5052" t="s">
        <v>1029</v>
      </c>
      <c r="DI5052" s="406" t="str">
        <f t="shared" si="110"/>
        <v>SP, Itatinga</v>
      </c>
      <c r="DJ5052">
        <v>-23.102</v>
      </c>
      <c r="DK5052">
        <v>-48.616</v>
      </c>
      <c r="DL5052">
        <v>845</v>
      </c>
      <c r="DM5052" s="1">
        <v>3</v>
      </c>
      <c r="DN5052" t="s">
        <v>8714</v>
      </c>
      <c r="DO5052" s="406">
        <v>-23.1</v>
      </c>
      <c r="DP5052" s="80">
        <v>654</v>
      </c>
    </row>
    <row r="5053" spans="29:120" x14ac:dyDescent="0.25">
      <c r="AC5053" s="122" t="s">
        <v>393</v>
      </c>
      <c r="AD5053" s="122" t="s">
        <v>5239</v>
      </c>
      <c r="AE5053" s="127">
        <v>7</v>
      </c>
      <c r="DA5053" s="122" t="s">
        <v>376</v>
      </c>
      <c r="DB5053" s="122" t="s">
        <v>983</v>
      </c>
      <c r="DC5053" s="122" t="s">
        <v>983</v>
      </c>
      <c r="DD5053" s="127">
        <v>4</v>
      </c>
      <c r="DE5053" s="127">
        <v>4</v>
      </c>
      <c r="DG5053" t="s">
        <v>376</v>
      </c>
      <c r="DH5053" t="s">
        <v>983</v>
      </c>
      <c r="DI5053" s="406" t="str">
        <f t="shared" si="110"/>
        <v>SP, Itirapina</v>
      </c>
      <c r="DJ5053">
        <v>-22.253</v>
      </c>
      <c r="DK5053">
        <v>-47.823</v>
      </c>
      <c r="DL5053">
        <v>770</v>
      </c>
      <c r="DM5053" s="1">
        <v>4</v>
      </c>
      <c r="DN5053" t="s">
        <v>8728</v>
      </c>
      <c r="DO5053" s="406">
        <v>-22.02</v>
      </c>
      <c r="DP5053" s="80">
        <v>863</v>
      </c>
    </row>
    <row r="5054" spans="29:120" x14ac:dyDescent="0.25">
      <c r="AC5054" s="122" t="s">
        <v>344</v>
      </c>
      <c r="AD5054" s="122" t="s">
        <v>5240</v>
      </c>
      <c r="AE5054" s="127">
        <v>8</v>
      </c>
      <c r="DA5054" s="122" t="s">
        <v>376</v>
      </c>
      <c r="DB5054" s="122" t="s">
        <v>2812</v>
      </c>
      <c r="DC5054" s="122" t="s">
        <v>2812</v>
      </c>
      <c r="DD5054" s="127">
        <v>4</v>
      </c>
      <c r="DE5054" s="127">
        <v>4</v>
      </c>
      <c r="DG5054" t="s">
        <v>376</v>
      </c>
      <c r="DH5054" t="s">
        <v>2812</v>
      </c>
      <c r="DI5054" s="406" t="str">
        <f t="shared" si="110"/>
        <v>SP, Itirapuã</v>
      </c>
      <c r="DJ5054">
        <v>-20.640999999999998</v>
      </c>
      <c r="DK5054">
        <v>-47.219000000000001</v>
      </c>
      <c r="DL5054">
        <v>865</v>
      </c>
      <c r="DM5054" s="1">
        <v>4</v>
      </c>
      <c r="DN5054" t="s">
        <v>6892</v>
      </c>
      <c r="DO5054" s="406">
        <v>-20.54</v>
      </c>
      <c r="DP5054" s="80">
        <v>1026</v>
      </c>
    </row>
    <row r="5055" spans="29:120" x14ac:dyDescent="0.25">
      <c r="AC5055" s="122" t="s">
        <v>289</v>
      </c>
      <c r="AD5055" s="122" t="s">
        <v>5241</v>
      </c>
      <c r="AE5055" s="127">
        <v>7</v>
      </c>
      <c r="DA5055" s="122" t="s">
        <v>376</v>
      </c>
      <c r="DB5055" s="122" t="s">
        <v>3776</v>
      </c>
      <c r="DC5055" s="122" t="s">
        <v>3776</v>
      </c>
      <c r="DD5055" s="127">
        <v>4</v>
      </c>
      <c r="DE5055" s="127">
        <v>4</v>
      </c>
      <c r="DG5055" t="s">
        <v>376</v>
      </c>
      <c r="DH5055" t="s">
        <v>3776</v>
      </c>
      <c r="DI5055" s="406" t="str">
        <f t="shared" si="110"/>
        <v>SP, Itobi</v>
      </c>
      <c r="DJ5055">
        <v>-21.736999999999998</v>
      </c>
      <c r="DK5055">
        <v>-46.975000000000001</v>
      </c>
      <c r="DL5055">
        <v>658</v>
      </c>
      <c r="DM5055" s="1">
        <v>4</v>
      </c>
      <c r="DN5055" t="s">
        <v>6833</v>
      </c>
      <c r="DO5055" s="406">
        <v>-21.77</v>
      </c>
      <c r="DP5055" s="80">
        <v>730</v>
      </c>
    </row>
    <row r="5056" spans="29:120" x14ac:dyDescent="0.25">
      <c r="AC5056" s="122" t="s">
        <v>268</v>
      </c>
      <c r="AD5056" s="122" t="s">
        <v>5242</v>
      </c>
      <c r="AE5056" s="127">
        <v>8</v>
      </c>
      <c r="DA5056" s="122" t="s">
        <v>376</v>
      </c>
      <c r="DB5056" s="122" t="s">
        <v>1026</v>
      </c>
      <c r="DC5056" s="122" t="s">
        <v>1026</v>
      </c>
      <c r="DD5056" s="127">
        <v>3</v>
      </c>
      <c r="DE5056" s="127">
        <v>3</v>
      </c>
      <c r="DG5056" t="s">
        <v>376</v>
      </c>
      <c r="DH5056" t="s">
        <v>1026</v>
      </c>
      <c r="DI5056" s="406" t="str">
        <f t="shared" si="110"/>
        <v>SP, Itu</v>
      </c>
      <c r="DJ5056">
        <v>-23.263999999999999</v>
      </c>
      <c r="DK5056">
        <v>-47.298999999999999</v>
      </c>
      <c r="DL5056">
        <v>583</v>
      </c>
      <c r="DM5056" s="1">
        <v>3</v>
      </c>
      <c r="DN5056" t="s">
        <v>8718</v>
      </c>
      <c r="DO5056" s="406">
        <v>-23.5</v>
      </c>
      <c r="DP5056" s="80">
        <v>609</v>
      </c>
    </row>
    <row r="5057" spans="29:120" x14ac:dyDescent="0.25">
      <c r="AC5057" s="122" t="s">
        <v>300</v>
      </c>
      <c r="AD5057" s="122" t="s">
        <v>5243</v>
      </c>
      <c r="AE5057" s="127">
        <v>7</v>
      </c>
      <c r="DA5057" s="122" t="s">
        <v>376</v>
      </c>
      <c r="DB5057" s="122" t="s">
        <v>1034</v>
      </c>
      <c r="DC5057" s="122" t="s">
        <v>1034</v>
      </c>
      <c r="DD5057" s="127">
        <v>3</v>
      </c>
      <c r="DE5057" s="127">
        <v>3</v>
      </c>
      <c r="DG5057" t="s">
        <v>376</v>
      </c>
      <c r="DH5057" t="s">
        <v>1034</v>
      </c>
      <c r="DI5057" s="406" t="str">
        <f t="shared" si="110"/>
        <v>SP, Itupeva</v>
      </c>
      <c r="DJ5057">
        <v>-23.152999999999999</v>
      </c>
      <c r="DK5057">
        <v>-47.058</v>
      </c>
      <c r="DL5057">
        <v>675</v>
      </c>
      <c r="DM5057" s="1">
        <v>3</v>
      </c>
      <c r="DN5057" t="s">
        <v>8726</v>
      </c>
      <c r="DO5057" s="406">
        <v>-22.82</v>
      </c>
      <c r="DP5057" s="80">
        <v>640</v>
      </c>
    </row>
    <row r="5058" spans="29:120" x14ac:dyDescent="0.25">
      <c r="AC5058" s="122" t="s">
        <v>323</v>
      </c>
      <c r="AD5058" s="122" t="s">
        <v>5244</v>
      </c>
      <c r="AE5058" s="127">
        <v>7</v>
      </c>
      <c r="DA5058" s="122" t="s">
        <v>376</v>
      </c>
      <c r="DB5058" s="122" t="s">
        <v>3964</v>
      </c>
      <c r="DC5058" s="122" t="s">
        <v>3964</v>
      </c>
      <c r="DD5058" s="127">
        <v>4</v>
      </c>
      <c r="DE5058" s="127">
        <v>4</v>
      </c>
      <c r="DG5058" t="s">
        <v>376</v>
      </c>
      <c r="DH5058" t="s">
        <v>3964</v>
      </c>
      <c r="DI5058" s="406" t="str">
        <f t="shared" si="110"/>
        <v>SP, Ituverava</v>
      </c>
      <c r="DJ5058">
        <v>-20.338999999999999</v>
      </c>
      <c r="DK5058">
        <v>-47.780999999999999</v>
      </c>
      <c r="DL5058">
        <v>605</v>
      </c>
      <c r="DM5058" s="1">
        <v>4</v>
      </c>
      <c r="DN5058" t="s">
        <v>8732</v>
      </c>
      <c r="DO5058" s="406">
        <v>-20.36</v>
      </c>
      <c r="DP5058" s="80">
        <v>600</v>
      </c>
    </row>
    <row r="5059" spans="29:120" x14ac:dyDescent="0.25">
      <c r="AC5059" s="122" t="s">
        <v>300</v>
      </c>
      <c r="AD5059" s="122" t="s">
        <v>5245</v>
      </c>
      <c r="AE5059" s="127">
        <v>7</v>
      </c>
      <c r="DA5059" s="122" t="s">
        <v>376</v>
      </c>
      <c r="DB5059" s="122" t="s">
        <v>2955</v>
      </c>
      <c r="DC5059" s="122" t="s">
        <v>2955</v>
      </c>
      <c r="DD5059" s="127">
        <v>4</v>
      </c>
      <c r="DE5059" s="127">
        <v>4</v>
      </c>
      <c r="DG5059" t="s">
        <v>376</v>
      </c>
      <c r="DH5059" t="s">
        <v>2955</v>
      </c>
      <c r="DI5059" s="406" t="str">
        <f t="shared" ref="DI5059:DI5122" si="111">CONCATENATE(DG5059,", ",DH5059)</f>
        <v>SP, Jaborandi</v>
      </c>
      <c r="DJ5059">
        <v>-20.687999999999999</v>
      </c>
      <c r="DK5059">
        <v>-48.412999999999997</v>
      </c>
      <c r="DL5059">
        <v>493</v>
      </c>
      <c r="DM5059" s="1">
        <v>4</v>
      </c>
      <c r="DN5059" t="s">
        <v>8721</v>
      </c>
      <c r="DO5059" s="406">
        <v>-21.13</v>
      </c>
      <c r="DP5059" s="80">
        <v>525</v>
      </c>
    </row>
    <row r="5060" spans="29:120" x14ac:dyDescent="0.25">
      <c r="AC5060" s="122" t="s">
        <v>372</v>
      </c>
      <c r="AD5060" s="122" t="s">
        <v>5246</v>
      </c>
      <c r="AE5060" s="127">
        <v>8</v>
      </c>
      <c r="DA5060" s="122" t="s">
        <v>376</v>
      </c>
      <c r="DB5060" s="122" t="s">
        <v>3738</v>
      </c>
      <c r="DC5060" s="122" t="s">
        <v>3738</v>
      </c>
      <c r="DD5060" s="127">
        <v>4</v>
      </c>
      <c r="DE5060" s="127">
        <v>4</v>
      </c>
      <c r="DG5060" t="s">
        <v>376</v>
      </c>
      <c r="DH5060" t="s">
        <v>3738</v>
      </c>
      <c r="DI5060" s="406" t="str">
        <f t="shared" si="111"/>
        <v>SP, Jaboticabal</v>
      </c>
      <c r="DJ5060">
        <v>-21.254999999999999</v>
      </c>
      <c r="DK5060">
        <v>-48.322000000000003</v>
      </c>
      <c r="DL5060">
        <v>605</v>
      </c>
      <c r="DM5060" s="1">
        <v>4</v>
      </c>
      <c r="DN5060" t="s">
        <v>8721</v>
      </c>
      <c r="DO5060" s="406">
        <v>-21.13</v>
      </c>
      <c r="DP5060" s="80">
        <v>525</v>
      </c>
    </row>
    <row r="5061" spans="29:120" x14ac:dyDescent="0.25">
      <c r="AC5061" s="122" t="s">
        <v>289</v>
      </c>
      <c r="AD5061" s="122" t="s">
        <v>5247</v>
      </c>
      <c r="AE5061" s="127">
        <v>6</v>
      </c>
      <c r="DA5061" s="122" t="s">
        <v>376</v>
      </c>
      <c r="DB5061" s="122" t="s">
        <v>832</v>
      </c>
      <c r="DC5061" s="122" t="s">
        <v>832</v>
      </c>
      <c r="DD5061" s="127">
        <v>3</v>
      </c>
      <c r="DE5061" s="127">
        <v>3</v>
      </c>
      <c r="DG5061" t="s">
        <v>376</v>
      </c>
      <c r="DH5061" t="s">
        <v>832</v>
      </c>
      <c r="DI5061" s="406" t="str">
        <f t="shared" si="111"/>
        <v>SP, Jacareí</v>
      </c>
      <c r="DJ5061">
        <v>-23.305</v>
      </c>
      <c r="DK5061">
        <v>-45.966000000000001</v>
      </c>
      <c r="DL5061">
        <v>567</v>
      </c>
      <c r="DM5061" s="1">
        <v>3</v>
      </c>
      <c r="DN5061" t="s">
        <v>8748</v>
      </c>
      <c r="DO5061" s="406">
        <v>-23.03</v>
      </c>
      <c r="DP5061" s="80">
        <v>571</v>
      </c>
    </row>
    <row r="5062" spans="29:120" x14ac:dyDescent="0.25">
      <c r="AC5062" s="122" t="s">
        <v>268</v>
      </c>
      <c r="AD5062" s="122" t="s">
        <v>5248</v>
      </c>
      <c r="AE5062" s="127">
        <v>8</v>
      </c>
      <c r="DA5062" s="122" t="s">
        <v>376</v>
      </c>
      <c r="DB5062" s="122" t="s">
        <v>3956</v>
      </c>
      <c r="DC5062" s="122" t="s">
        <v>3956</v>
      </c>
      <c r="DD5062" s="127">
        <v>6</v>
      </c>
      <c r="DE5062" s="127">
        <v>6</v>
      </c>
      <c r="DG5062" t="s">
        <v>376</v>
      </c>
      <c r="DH5062" t="s">
        <v>3956</v>
      </c>
      <c r="DI5062" s="406" t="str">
        <f t="shared" si="111"/>
        <v>SP, Jaci</v>
      </c>
      <c r="DJ5062">
        <v>-20.882000000000001</v>
      </c>
      <c r="DK5062">
        <v>-49.57</v>
      </c>
      <c r="DL5062">
        <v>545</v>
      </c>
      <c r="DM5062" s="1">
        <v>6</v>
      </c>
      <c r="DN5062" t="s">
        <v>8710</v>
      </c>
      <c r="DO5062" s="406">
        <v>-21.1</v>
      </c>
      <c r="DP5062" s="80">
        <v>405</v>
      </c>
    </row>
    <row r="5063" spans="29:120" x14ac:dyDescent="0.25">
      <c r="AC5063" s="122" t="s">
        <v>323</v>
      </c>
      <c r="AD5063" s="122" t="s">
        <v>3303</v>
      </c>
      <c r="AE5063" s="127">
        <v>7</v>
      </c>
      <c r="DA5063" s="122" t="s">
        <v>376</v>
      </c>
      <c r="DB5063" s="122" t="s">
        <v>3681</v>
      </c>
      <c r="DC5063" s="122" t="s">
        <v>3681</v>
      </c>
      <c r="DD5063" s="127">
        <v>5</v>
      </c>
      <c r="DE5063" s="127">
        <v>5</v>
      </c>
      <c r="DG5063" t="s">
        <v>376</v>
      </c>
      <c r="DH5063" t="s">
        <v>3681</v>
      </c>
      <c r="DI5063" s="406" t="str">
        <f t="shared" si="111"/>
        <v>SP, Jacupiranga</v>
      </c>
      <c r="DJ5063">
        <v>-24.693000000000001</v>
      </c>
      <c r="DK5063">
        <v>-48.002000000000002</v>
      </c>
      <c r="DL5063">
        <v>33</v>
      </c>
      <c r="DM5063" s="1">
        <v>5</v>
      </c>
      <c r="DN5063" t="s">
        <v>8750</v>
      </c>
      <c r="DO5063" s="406">
        <v>-24.71</v>
      </c>
      <c r="DP5063" s="80">
        <v>3</v>
      </c>
    </row>
    <row r="5064" spans="29:120" x14ac:dyDescent="0.25">
      <c r="AC5064" s="122" t="s">
        <v>393</v>
      </c>
      <c r="AD5064" s="122" t="s">
        <v>5249</v>
      </c>
      <c r="AE5064" s="127">
        <v>8</v>
      </c>
      <c r="DA5064" s="122" t="s">
        <v>376</v>
      </c>
      <c r="DB5064" s="122" t="s">
        <v>1769</v>
      </c>
      <c r="DC5064" s="122" t="s">
        <v>1769</v>
      </c>
      <c r="DD5064" s="127">
        <v>3</v>
      </c>
      <c r="DE5064" s="127">
        <v>3</v>
      </c>
      <c r="DG5064" t="s">
        <v>376</v>
      </c>
      <c r="DH5064" t="s">
        <v>1769</v>
      </c>
      <c r="DI5064" s="406" t="str">
        <f t="shared" si="111"/>
        <v>SP, Jaguariúna</v>
      </c>
      <c r="DJ5064">
        <v>-22.706</v>
      </c>
      <c r="DK5064">
        <v>-46.985999999999997</v>
      </c>
      <c r="DL5064">
        <v>584</v>
      </c>
      <c r="DM5064" s="1">
        <v>3</v>
      </c>
      <c r="DN5064" t="s">
        <v>8726</v>
      </c>
      <c r="DO5064" s="406">
        <v>-22.82</v>
      </c>
      <c r="DP5064" s="80">
        <v>640</v>
      </c>
    </row>
    <row r="5065" spans="29:120" x14ac:dyDescent="0.25">
      <c r="AC5065" s="122" t="s">
        <v>357</v>
      </c>
      <c r="AD5065" s="122" t="s">
        <v>5250</v>
      </c>
      <c r="AE5065" s="127">
        <v>7</v>
      </c>
      <c r="DA5065" s="122" t="s">
        <v>376</v>
      </c>
      <c r="DB5065" s="122" t="s">
        <v>2372</v>
      </c>
      <c r="DC5065" s="122" t="s">
        <v>2372</v>
      </c>
      <c r="DD5065" s="127">
        <v>6</v>
      </c>
      <c r="DE5065" s="127">
        <v>6</v>
      </c>
      <c r="DG5065" t="s">
        <v>376</v>
      </c>
      <c r="DH5065" t="s">
        <v>2372</v>
      </c>
      <c r="DI5065" s="406" t="str">
        <f t="shared" si="111"/>
        <v>SP, Jales</v>
      </c>
      <c r="DJ5065">
        <v>-20.268999999999998</v>
      </c>
      <c r="DK5065">
        <v>-50.545999999999999</v>
      </c>
      <c r="DL5065">
        <v>478</v>
      </c>
      <c r="DM5065" s="1">
        <v>6</v>
      </c>
      <c r="DN5065" t="s">
        <v>6904</v>
      </c>
      <c r="DO5065" s="406">
        <v>-20.27</v>
      </c>
      <c r="DP5065" s="80">
        <v>457</v>
      </c>
    </row>
    <row r="5066" spans="29:120" x14ac:dyDescent="0.25">
      <c r="AC5066" s="122" t="s">
        <v>393</v>
      </c>
      <c r="AD5066" s="122" t="s">
        <v>5251</v>
      </c>
      <c r="AE5066" s="127">
        <v>7</v>
      </c>
      <c r="DA5066" s="122" t="s">
        <v>376</v>
      </c>
      <c r="DB5066" s="122" t="s">
        <v>896</v>
      </c>
      <c r="DC5066" s="122" t="s">
        <v>896</v>
      </c>
      <c r="DD5066" s="127">
        <v>3</v>
      </c>
      <c r="DE5066" s="127">
        <v>3</v>
      </c>
      <c r="DG5066" t="s">
        <v>376</v>
      </c>
      <c r="DH5066" t="s">
        <v>896</v>
      </c>
      <c r="DI5066" s="406" t="str">
        <f t="shared" si="111"/>
        <v>SP, Jambeiro</v>
      </c>
      <c r="DJ5066">
        <v>-23.254000000000001</v>
      </c>
      <c r="DK5066">
        <v>-45.688000000000002</v>
      </c>
      <c r="DL5066">
        <v>695</v>
      </c>
      <c r="DM5066" s="1">
        <v>3</v>
      </c>
      <c r="DN5066" t="s">
        <v>8748</v>
      </c>
      <c r="DO5066" s="406">
        <v>-23.03</v>
      </c>
      <c r="DP5066" s="80">
        <v>571</v>
      </c>
    </row>
    <row r="5067" spans="29:120" x14ac:dyDescent="0.25">
      <c r="AC5067" s="122" t="s">
        <v>300</v>
      </c>
      <c r="AD5067" s="122" t="s">
        <v>5252</v>
      </c>
      <c r="AE5067" s="127">
        <v>7</v>
      </c>
      <c r="DA5067" s="122" t="s">
        <v>376</v>
      </c>
      <c r="DB5067" s="122" t="s">
        <v>481</v>
      </c>
      <c r="DC5067" s="122" t="s">
        <v>481</v>
      </c>
      <c r="DD5067" s="127">
        <v>3</v>
      </c>
      <c r="DE5067" s="127">
        <v>3</v>
      </c>
      <c r="DG5067" t="s">
        <v>376</v>
      </c>
      <c r="DH5067" t="s">
        <v>481</v>
      </c>
      <c r="DI5067" s="406" t="str">
        <f t="shared" si="111"/>
        <v>SP, Jandira</v>
      </c>
      <c r="DJ5067">
        <v>-23.527999999999999</v>
      </c>
      <c r="DK5067">
        <v>-46.902999999999999</v>
      </c>
      <c r="DL5067">
        <v>720</v>
      </c>
      <c r="DM5067" s="1">
        <v>3</v>
      </c>
      <c r="DN5067" t="s">
        <v>8735</v>
      </c>
      <c r="DO5067" s="406">
        <v>-23.85</v>
      </c>
      <c r="DP5067" s="80">
        <v>792</v>
      </c>
    </row>
    <row r="5068" spans="29:120" x14ac:dyDescent="0.25">
      <c r="AC5068" s="122" t="s">
        <v>300</v>
      </c>
      <c r="AD5068" s="122" t="s">
        <v>5253</v>
      </c>
      <c r="AE5068" s="127">
        <v>7</v>
      </c>
      <c r="DA5068" s="122" t="s">
        <v>376</v>
      </c>
      <c r="DB5068" s="122" t="s">
        <v>1119</v>
      </c>
      <c r="DC5068" s="122" t="s">
        <v>1119</v>
      </c>
      <c r="DD5068" s="127">
        <v>4</v>
      </c>
      <c r="DE5068" s="127">
        <v>4</v>
      </c>
      <c r="DG5068" t="s">
        <v>376</v>
      </c>
      <c r="DH5068" t="s">
        <v>1119</v>
      </c>
      <c r="DI5068" s="406" t="str">
        <f t="shared" si="111"/>
        <v>SP, Jardinópolis</v>
      </c>
      <c r="DJ5068">
        <v>-21.018000000000001</v>
      </c>
      <c r="DK5068">
        <v>-47.764000000000003</v>
      </c>
      <c r="DL5068">
        <v>590</v>
      </c>
      <c r="DM5068" s="1">
        <v>4</v>
      </c>
      <c r="DN5068" t="s">
        <v>6892</v>
      </c>
      <c r="DO5068" s="406">
        <v>-20.54</v>
      </c>
      <c r="DP5068" s="80">
        <v>1026</v>
      </c>
    </row>
    <row r="5069" spans="29:120" x14ac:dyDescent="0.25">
      <c r="AC5069" s="122" t="s">
        <v>344</v>
      </c>
      <c r="AD5069" s="122" t="s">
        <v>5254</v>
      </c>
      <c r="AE5069" s="127">
        <v>8</v>
      </c>
      <c r="DA5069" s="122" t="s">
        <v>376</v>
      </c>
      <c r="DB5069" s="122" t="s">
        <v>1046</v>
      </c>
      <c r="DC5069" s="122" t="s">
        <v>1046</v>
      </c>
      <c r="DD5069" s="127">
        <v>3</v>
      </c>
      <c r="DE5069" s="127">
        <v>3</v>
      </c>
      <c r="DG5069" t="s">
        <v>376</v>
      </c>
      <c r="DH5069" t="s">
        <v>1046</v>
      </c>
      <c r="DI5069" s="406" t="str">
        <f t="shared" si="111"/>
        <v>SP, Jarinu</v>
      </c>
      <c r="DJ5069">
        <v>-23.100999999999999</v>
      </c>
      <c r="DK5069">
        <v>-46.728000000000002</v>
      </c>
      <c r="DL5069">
        <v>755</v>
      </c>
      <c r="DM5069" s="1">
        <v>3</v>
      </c>
      <c r="DN5069" t="s">
        <v>8726</v>
      </c>
      <c r="DO5069" s="406">
        <v>-22.82</v>
      </c>
      <c r="DP5069" s="80">
        <v>640</v>
      </c>
    </row>
    <row r="5070" spans="29:120" x14ac:dyDescent="0.25">
      <c r="AC5070" s="122" t="s">
        <v>289</v>
      </c>
      <c r="AD5070" s="122" t="s">
        <v>2123</v>
      </c>
      <c r="AE5070" s="127">
        <v>8</v>
      </c>
      <c r="DA5070" s="122" t="s">
        <v>376</v>
      </c>
      <c r="DB5070" s="122" t="s">
        <v>3670</v>
      </c>
      <c r="DC5070" s="122" t="s">
        <v>3670</v>
      </c>
      <c r="DD5070" s="127">
        <v>4</v>
      </c>
      <c r="DE5070" s="127">
        <v>4</v>
      </c>
      <c r="DG5070" t="s">
        <v>376</v>
      </c>
      <c r="DH5070" t="s">
        <v>3670</v>
      </c>
      <c r="DI5070" s="406" t="str">
        <f t="shared" si="111"/>
        <v>SP, Jaú</v>
      </c>
      <c r="DJ5070">
        <v>-22.295999999999999</v>
      </c>
      <c r="DK5070">
        <v>-48.558</v>
      </c>
      <c r="DL5070">
        <v>522</v>
      </c>
      <c r="DM5070" s="1">
        <v>4</v>
      </c>
      <c r="DN5070" t="s">
        <v>8717</v>
      </c>
      <c r="DO5070" s="406">
        <v>-22.32</v>
      </c>
      <c r="DP5070" s="80">
        <v>550</v>
      </c>
    </row>
    <row r="5071" spans="29:120" x14ac:dyDescent="0.25">
      <c r="AC5071" s="122" t="s">
        <v>393</v>
      </c>
      <c r="AD5071" s="122" t="s">
        <v>5255</v>
      </c>
      <c r="AE5071" s="127">
        <v>8</v>
      </c>
      <c r="DA5071" s="122" t="s">
        <v>376</v>
      </c>
      <c r="DB5071" s="122" t="s">
        <v>4012</v>
      </c>
      <c r="DC5071" s="122" t="s">
        <v>4012</v>
      </c>
      <c r="DD5071" s="127">
        <v>4</v>
      </c>
      <c r="DE5071" s="127">
        <v>4</v>
      </c>
      <c r="DG5071" t="s">
        <v>376</v>
      </c>
      <c r="DH5071" t="s">
        <v>4012</v>
      </c>
      <c r="DI5071" s="406" t="str">
        <f t="shared" si="111"/>
        <v>SP, Jeriquara</v>
      </c>
      <c r="DJ5071">
        <v>-20.311</v>
      </c>
      <c r="DK5071">
        <v>-47.588999999999999</v>
      </c>
      <c r="DL5071">
        <v>860</v>
      </c>
      <c r="DM5071" s="1">
        <v>4</v>
      </c>
      <c r="DN5071" t="s">
        <v>8732</v>
      </c>
      <c r="DO5071" s="406">
        <v>-20.36</v>
      </c>
      <c r="DP5071" s="80">
        <v>600</v>
      </c>
    </row>
    <row r="5072" spans="29:120" x14ac:dyDescent="0.25">
      <c r="AC5072" s="122" t="s">
        <v>300</v>
      </c>
      <c r="AD5072" s="122" t="s">
        <v>3121</v>
      </c>
      <c r="AE5072" s="127">
        <v>7</v>
      </c>
      <c r="DA5072" s="122" t="s">
        <v>376</v>
      </c>
      <c r="DB5072" s="122" t="s">
        <v>1020</v>
      </c>
      <c r="DC5072" s="122" t="s">
        <v>1020</v>
      </c>
      <c r="DD5072" s="127">
        <v>3</v>
      </c>
      <c r="DE5072" s="127">
        <v>3</v>
      </c>
      <c r="DG5072" t="s">
        <v>376</v>
      </c>
      <c r="DH5072" t="s">
        <v>1020</v>
      </c>
      <c r="DI5072" s="406" t="str">
        <f t="shared" si="111"/>
        <v>SP, Joanópolis</v>
      </c>
      <c r="DJ5072">
        <v>-22.93</v>
      </c>
      <c r="DK5072">
        <v>-46.276000000000003</v>
      </c>
      <c r="DL5072">
        <v>906</v>
      </c>
      <c r="DM5072" s="1">
        <v>3</v>
      </c>
      <c r="DN5072" t="s">
        <v>6861</v>
      </c>
      <c r="DO5072" s="406">
        <v>-22.86</v>
      </c>
      <c r="DP5072" s="80">
        <v>1500</v>
      </c>
    </row>
    <row r="5073" spans="29:120" x14ac:dyDescent="0.25">
      <c r="AC5073" s="122" t="s">
        <v>344</v>
      </c>
      <c r="AD5073" s="122" t="s">
        <v>5255</v>
      </c>
      <c r="AE5073" s="127">
        <v>8</v>
      </c>
      <c r="DA5073" s="122" t="s">
        <v>376</v>
      </c>
      <c r="DB5073" s="122" t="s">
        <v>8792</v>
      </c>
      <c r="DC5073" s="122" t="s">
        <v>4021</v>
      </c>
      <c r="DD5073" s="127">
        <v>6</v>
      </c>
      <c r="DE5073" s="127">
        <v>6</v>
      </c>
      <c r="DG5073" t="s">
        <v>376</v>
      </c>
      <c r="DH5073" t="s">
        <v>4021</v>
      </c>
      <c r="DI5073" s="406" t="str">
        <f t="shared" si="111"/>
        <v>SP, João Ramalho</v>
      </c>
      <c r="DJ5073">
        <v>-22.25</v>
      </c>
      <c r="DK5073">
        <v>-50.768000000000001</v>
      </c>
      <c r="DL5073">
        <v>551</v>
      </c>
      <c r="DM5073" s="1">
        <v>6</v>
      </c>
      <c r="DN5073" t="s">
        <v>7819</v>
      </c>
      <c r="DO5073" s="406">
        <v>-22.37</v>
      </c>
      <c r="DP5073" s="80">
        <v>350</v>
      </c>
    </row>
    <row r="5074" spans="29:120" x14ac:dyDescent="0.25">
      <c r="AC5074" s="122" t="s">
        <v>340</v>
      </c>
      <c r="AD5074" s="122" t="s">
        <v>5256</v>
      </c>
      <c r="AE5074" s="127">
        <v>7</v>
      </c>
      <c r="DA5074" s="122" t="s">
        <v>376</v>
      </c>
      <c r="DB5074" s="122" t="s">
        <v>8793</v>
      </c>
      <c r="DC5074" s="122" t="s">
        <v>3884</v>
      </c>
      <c r="DD5074" s="127">
        <v>6</v>
      </c>
      <c r="DE5074" s="127">
        <v>6</v>
      </c>
      <c r="DG5074" t="s">
        <v>376</v>
      </c>
      <c r="DH5074" t="s">
        <v>3884</v>
      </c>
      <c r="DI5074" s="406" t="str">
        <f t="shared" si="111"/>
        <v>SP, José Bonifácio</v>
      </c>
      <c r="DJ5074">
        <v>-21.053000000000001</v>
      </c>
      <c r="DK5074">
        <v>-49.688000000000002</v>
      </c>
      <c r="DL5074">
        <v>458</v>
      </c>
      <c r="DM5074" s="1">
        <v>6</v>
      </c>
      <c r="DN5074" t="s">
        <v>8710</v>
      </c>
      <c r="DO5074" s="406">
        <v>-21.1</v>
      </c>
      <c r="DP5074" s="80">
        <v>405</v>
      </c>
    </row>
    <row r="5075" spans="29:120" x14ac:dyDescent="0.25">
      <c r="AC5075" s="122" t="s">
        <v>344</v>
      </c>
      <c r="AD5075" s="122" t="s">
        <v>5257</v>
      </c>
      <c r="AE5075" s="127">
        <v>8</v>
      </c>
      <c r="DA5075" s="122" t="s">
        <v>376</v>
      </c>
      <c r="DB5075" s="122" t="s">
        <v>8794</v>
      </c>
      <c r="DC5075" s="122" t="s">
        <v>2817</v>
      </c>
      <c r="DD5075" s="127">
        <v>3</v>
      </c>
      <c r="DE5075" s="127">
        <v>3</v>
      </c>
      <c r="DG5075" t="s">
        <v>376</v>
      </c>
      <c r="DH5075" t="s">
        <v>2817</v>
      </c>
      <c r="DI5075" s="406" t="str">
        <f t="shared" si="111"/>
        <v>SP, Júlio Mesquita</v>
      </c>
      <c r="DJ5075">
        <v>-22.009</v>
      </c>
      <c r="DK5075">
        <v>-49.786999999999999</v>
      </c>
      <c r="DL5075">
        <v>520</v>
      </c>
      <c r="DM5075" s="1">
        <v>3</v>
      </c>
      <c r="DN5075" t="s">
        <v>8722</v>
      </c>
      <c r="DO5075" s="406">
        <v>-21.68</v>
      </c>
      <c r="DP5075" s="80">
        <v>459</v>
      </c>
    </row>
    <row r="5076" spans="29:120" x14ac:dyDescent="0.25">
      <c r="AC5076" s="122" t="s">
        <v>393</v>
      </c>
      <c r="AD5076" s="122" t="s">
        <v>5258</v>
      </c>
      <c r="AE5076" s="127">
        <v>8</v>
      </c>
      <c r="DA5076" s="122" t="s">
        <v>376</v>
      </c>
      <c r="DB5076" s="122" t="s">
        <v>1770</v>
      </c>
      <c r="DC5076" s="122" t="s">
        <v>1770</v>
      </c>
      <c r="DD5076" s="127">
        <v>3</v>
      </c>
      <c r="DE5076" s="127">
        <v>3</v>
      </c>
      <c r="DG5076" t="s">
        <v>376</v>
      </c>
      <c r="DH5076" t="s">
        <v>1770</v>
      </c>
      <c r="DI5076" s="406" t="str">
        <f t="shared" si="111"/>
        <v>SP, Jumirim</v>
      </c>
      <c r="DJ5076">
        <v>-23.087</v>
      </c>
      <c r="DK5076">
        <v>-47.783999999999999</v>
      </c>
      <c r="DL5076">
        <v>561</v>
      </c>
      <c r="DM5076" s="1">
        <v>3</v>
      </c>
      <c r="DN5076" t="s">
        <v>8716</v>
      </c>
      <c r="DO5076" s="406">
        <v>-22.73</v>
      </c>
      <c r="DP5076" s="80">
        <v>573</v>
      </c>
    </row>
    <row r="5077" spans="29:120" x14ac:dyDescent="0.25">
      <c r="AC5077" s="122" t="s">
        <v>300</v>
      </c>
      <c r="AD5077" s="122" t="s">
        <v>5259</v>
      </c>
      <c r="AE5077" s="127">
        <v>7</v>
      </c>
      <c r="DA5077" s="122" t="s">
        <v>376</v>
      </c>
      <c r="DB5077" s="122" t="s">
        <v>1068</v>
      </c>
      <c r="DC5077" s="122" t="s">
        <v>1068</v>
      </c>
      <c r="DD5077" s="127">
        <v>3</v>
      </c>
      <c r="DE5077" s="127">
        <v>3</v>
      </c>
      <c r="DG5077" t="s">
        <v>376</v>
      </c>
      <c r="DH5077" t="s">
        <v>1068</v>
      </c>
      <c r="DI5077" s="406" t="str">
        <f t="shared" si="111"/>
        <v>SP, Jundiaí</v>
      </c>
      <c r="DJ5077">
        <v>-23.186</v>
      </c>
      <c r="DK5077">
        <v>-46.884</v>
      </c>
      <c r="DL5077">
        <v>761</v>
      </c>
      <c r="DM5077" s="1">
        <v>3</v>
      </c>
      <c r="DN5077" t="s">
        <v>8726</v>
      </c>
      <c r="DO5077" s="406">
        <v>-22.82</v>
      </c>
      <c r="DP5077" s="80">
        <v>640</v>
      </c>
    </row>
    <row r="5078" spans="29:120" x14ac:dyDescent="0.25">
      <c r="AC5078" s="122" t="s">
        <v>344</v>
      </c>
      <c r="AD5078" s="122" t="s">
        <v>5260</v>
      </c>
      <c r="AE5078" s="127">
        <v>8</v>
      </c>
      <c r="DA5078" s="122" t="s">
        <v>376</v>
      </c>
      <c r="DB5078" s="122" t="s">
        <v>3703</v>
      </c>
      <c r="DC5078" s="122" t="s">
        <v>3703</v>
      </c>
      <c r="DD5078" s="127">
        <v>6</v>
      </c>
      <c r="DE5078" s="127">
        <v>6</v>
      </c>
      <c r="DG5078" t="s">
        <v>376</v>
      </c>
      <c r="DH5078" t="s">
        <v>3703</v>
      </c>
      <c r="DI5078" s="406" t="str">
        <f t="shared" si="111"/>
        <v>SP, Junqueirópolis</v>
      </c>
      <c r="DJ5078">
        <v>-21.515000000000001</v>
      </c>
      <c r="DK5078">
        <v>-51.433999999999997</v>
      </c>
      <c r="DL5078">
        <v>421</v>
      </c>
      <c r="DM5078" s="1">
        <v>6</v>
      </c>
      <c r="DN5078" t="s">
        <v>8709</v>
      </c>
      <c r="DO5078" s="406">
        <v>-21.32</v>
      </c>
      <c r="DP5078" s="80">
        <v>374</v>
      </c>
    </row>
    <row r="5079" spans="29:120" x14ac:dyDescent="0.25">
      <c r="AC5079" s="122" t="s">
        <v>369</v>
      </c>
      <c r="AD5079" s="122" t="s">
        <v>2291</v>
      </c>
      <c r="AE5079" s="127">
        <v>8</v>
      </c>
      <c r="DA5079" s="122" t="s">
        <v>376</v>
      </c>
      <c r="DB5079" s="122" t="s">
        <v>3844</v>
      </c>
      <c r="DC5079" s="122" t="s">
        <v>3844</v>
      </c>
      <c r="DD5079" s="127">
        <v>5</v>
      </c>
      <c r="DE5079" s="127">
        <v>5</v>
      </c>
      <c r="DG5079" t="s">
        <v>376</v>
      </c>
      <c r="DH5079" t="s">
        <v>3844</v>
      </c>
      <c r="DI5079" s="406" t="str">
        <f t="shared" si="111"/>
        <v>SP, Juquiá</v>
      </c>
      <c r="DJ5079">
        <v>-24.321000000000002</v>
      </c>
      <c r="DK5079">
        <v>-47.634999999999998</v>
      </c>
      <c r="DL5079">
        <v>17</v>
      </c>
      <c r="DM5079" s="1">
        <v>5</v>
      </c>
      <c r="DN5079" t="s">
        <v>8750</v>
      </c>
      <c r="DO5079" s="406">
        <v>-24.71</v>
      </c>
      <c r="DP5079" s="80">
        <v>3</v>
      </c>
    </row>
    <row r="5080" spans="29:120" x14ac:dyDescent="0.25">
      <c r="AC5080" s="122" t="s">
        <v>268</v>
      </c>
      <c r="AD5080" s="122" t="s">
        <v>5261</v>
      </c>
      <c r="AE5080" s="127">
        <v>8</v>
      </c>
      <c r="DA5080" s="122" t="s">
        <v>376</v>
      </c>
      <c r="DB5080" s="122" t="s">
        <v>1754</v>
      </c>
      <c r="DC5080" s="122" t="s">
        <v>1754</v>
      </c>
      <c r="DD5080" s="127">
        <v>3</v>
      </c>
      <c r="DE5080" s="127">
        <v>3</v>
      </c>
      <c r="DG5080" t="s">
        <v>376</v>
      </c>
      <c r="DH5080" t="s">
        <v>1754</v>
      </c>
      <c r="DI5080" s="406" t="str">
        <f t="shared" si="111"/>
        <v>SP, Juquitiba</v>
      </c>
      <c r="DJ5080">
        <v>-23.931999999999999</v>
      </c>
      <c r="DK5080">
        <v>-47.067999999999998</v>
      </c>
      <c r="DL5080">
        <v>685</v>
      </c>
      <c r="DM5080" s="1">
        <v>3</v>
      </c>
      <c r="DN5080" t="s">
        <v>8735</v>
      </c>
      <c r="DO5080" s="406">
        <v>-23.85</v>
      </c>
      <c r="DP5080" s="80">
        <v>792</v>
      </c>
    </row>
    <row r="5081" spans="29:120" x14ac:dyDescent="0.25">
      <c r="AC5081" s="122" t="s">
        <v>300</v>
      </c>
      <c r="AD5081" s="122" t="s">
        <v>4207</v>
      </c>
      <c r="AE5081" s="127">
        <v>7</v>
      </c>
      <c r="DA5081" s="122" t="s">
        <v>376</v>
      </c>
      <c r="DB5081" s="122" t="s">
        <v>876</v>
      </c>
      <c r="DC5081" s="122" t="s">
        <v>876</v>
      </c>
      <c r="DD5081" s="127">
        <v>3</v>
      </c>
      <c r="DE5081" s="127">
        <v>3</v>
      </c>
      <c r="DG5081" t="s">
        <v>376</v>
      </c>
      <c r="DH5081" t="s">
        <v>876</v>
      </c>
      <c r="DI5081" s="406" t="str">
        <f t="shared" si="111"/>
        <v>SP, Lagoinha</v>
      </c>
      <c r="DJ5081">
        <v>-23.091000000000001</v>
      </c>
      <c r="DK5081">
        <v>-45.19</v>
      </c>
      <c r="DL5081">
        <v>913</v>
      </c>
      <c r="DM5081" s="1">
        <v>3</v>
      </c>
      <c r="DN5081" t="s">
        <v>8759</v>
      </c>
      <c r="DO5081" s="406">
        <v>-23.23</v>
      </c>
      <c r="DP5081" s="80">
        <v>874</v>
      </c>
    </row>
    <row r="5082" spans="29:120" x14ac:dyDescent="0.25">
      <c r="AC5082" s="122" t="s">
        <v>393</v>
      </c>
      <c r="AD5082" s="122" t="s">
        <v>5262</v>
      </c>
      <c r="AE5082" s="127">
        <v>8</v>
      </c>
      <c r="DA5082" s="122" t="s">
        <v>376</v>
      </c>
      <c r="DB5082" s="122" t="s">
        <v>8795</v>
      </c>
      <c r="DC5082" s="122" t="s">
        <v>991</v>
      </c>
      <c r="DD5082" s="127">
        <v>3</v>
      </c>
      <c r="DE5082" s="127">
        <v>3</v>
      </c>
      <c r="DG5082" t="s">
        <v>376</v>
      </c>
      <c r="DH5082" t="s">
        <v>991</v>
      </c>
      <c r="DI5082" s="406" t="str">
        <f t="shared" si="111"/>
        <v>SP, Laranjal Paulista</v>
      </c>
      <c r="DJ5082">
        <v>-23.05</v>
      </c>
      <c r="DK5082">
        <v>-47.837000000000003</v>
      </c>
      <c r="DL5082">
        <v>536</v>
      </c>
      <c r="DM5082" s="1">
        <v>3</v>
      </c>
      <c r="DN5082" t="s">
        <v>8716</v>
      </c>
      <c r="DO5082" s="406">
        <v>-22.73</v>
      </c>
      <c r="DP5082" s="80">
        <v>573</v>
      </c>
    </row>
    <row r="5083" spans="29:120" x14ac:dyDescent="0.25">
      <c r="AC5083" s="122" t="s">
        <v>289</v>
      </c>
      <c r="AD5083" s="122" t="s">
        <v>5263</v>
      </c>
      <c r="AE5083" s="127">
        <v>8</v>
      </c>
      <c r="DA5083" s="122" t="s">
        <v>376</v>
      </c>
      <c r="DB5083" s="122" t="s">
        <v>3925</v>
      </c>
      <c r="DC5083" s="122" t="s">
        <v>3925</v>
      </c>
      <c r="DD5083" s="127">
        <v>6</v>
      </c>
      <c r="DE5083" s="127">
        <v>6</v>
      </c>
      <c r="DG5083" t="s">
        <v>376</v>
      </c>
      <c r="DH5083" t="s">
        <v>3925</v>
      </c>
      <c r="DI5083" s="406" t="str">
        <f t="shared" si="111"/>
        <v>SP, Lavínia</v>
      </c>
      <c r="DJ5083">
        <v>-21.167999999999999</v>
      </c>
      <c r="DK5083">
        <v>-51.04</v>
      </c>
      <c r="DL5083">
        <v>458</v>
      </c>
      <c r="DM5083" s="1">
        <v>6</v>
      </c>
      <c r="DN5083" t="s">
        <v>8709</v>
      </c>
      <c r="DO5083" s="406">
        <v>-21.32</v>
      </c>
      <c r="DP5083" s="80">
        <v>374</v>
      </c>
    </row>
    <row r="5084" spans="29:120" x14ac:dyDescent="0.25">
      <c r="AC5084" s="122" t="s">
        <v>393</v>
      </c>
      <c r="AD5084" s="122" t="s">
        <v>5264</v>
      </c>
      <c r="AE5084" s="127">
        <v>8</v>
      </c>
      <c r="DA5084" s="122" t="s">
        <v>376</v>
      </c>
      <c r="DB5084" s="122" t="s">
        <v>3641</v>
      </c>
      <c r="DC5084" s="122" t="s">
        <v>3641</v>
      </c>
      <c r="DD5084" s="127">
        <v>2</v>
      </c>
      <c r="DE5084" s="127">
        <v>2</v>
      </c>
      <c r="DG5084" t="s">
        <v>376</v>
      </c>
      <c r="DH5084" t="s">
        <v>3641</v>
      </c>
      <c r="DI5084" s="406" t="str">
        <f t="shared" si="111"/>
        <v>SP, Lavrinhas</v>
      </c>
      <c r="DJ5084">
        <v>-22.571000000000002</v>
      </c>
      <c r="DK5084">
        <v>-44.902000000000001</v>
      </c>
      <c r="DL5084">
        <v>508</v>
      </c>
      <c r="DM5084" s="1">
        <v>2</v>
      </c>
      <c r="DN5084" t="s">
        <v>6837</v>
      </c>
      <c r="DO5084" s="406">
        <v>-22.39</v>
      </c>
      <c r="DP5084" s="80">
        <v>1040</v>
      </c>
    </row>
    <row r="5085" spans="29:120" x14ac:dyDescent="0.25">
      <c r="AC5085" s="122" t="s">
        <v>344</v>
      </c>
      <c r="AD5085" s="122" t="s">
        <v>4289</v>
      </c>
      <c r="AE5085" s="127">
        <v>8</v>
      </c>
      <c r="DA5085" s="122" t="s">
        <v>376</v>
      </c>
      <c r="DB5085" s="122" t="s">
        <v>3781</v>
      </c>
      <c r="DC5085" s="122" t="s">
        <v>3781</v>
      </c>
      <c r="DD5085" s="127">
        <v>4</v>
      </c>
      <c r="DE5085" s="127">
        <v>4</v>
      </c>
      <c r="DG5085" t="s">
        <v>376</v>
      </c>
      <c r="DH5085" t="s">
        <v>3781</v>
      </c>
      <c r="DI5085" s="406" t="str">
        <f t="shared" si="111"/>
        <v>SP, Leme</v>
      </c>
      <c r="DJ5085">
        <v>-22.186</v>
      </c>
      <c r="DK5085">
        <v>-47.39</v>
      </c>
      <c r="DL5085">
        <v>619</v>
      </c>
      <c r="DM5085" s="1">
        <v>4</v>
      </c>
      <c r="DN5085" t="s">
        <v>8728</v>
      </c>
      <c r="DO5085" s="406">
        <v>-22.02</v>
      </c>
      <c r="DP5085" s="80">
        <v>863</v>
      </c>
    </row>
    <row r="5086" spans="29:120" x14ac:dyDescent="0.25">
      <c r="AC5086" s="122" t="s">
        <v>328</v>
      </c>
      <c r="AD5086" s="122" t="s">
        <v>5265</v>
      </c>
      <c r="AE5086" s="127">
        <v>8</v>
      </c>
      <c r="DA5086" s="122" t="s">
        <v>376</v>
      </c>
      <c r="DB5086" s="122" t="s">
        <v>8796</v>
      </c>
      <c r="DC5086" s="122" t="s">
        <v>3553</v>
      </c>
      <c r="DD5086" s="127">
        <v>3</v>
      </c>
      <c r="DE5086" s="127">
        <v>3</v>
      </c>
      <c r="DG5086" t="s">
        <v>376</v>
      </c>
      <c r="DH5086" t="s">
        <v>3553</v>
      </c>
      <c r="DI5086" s="406" t="str">
        <f t="shared" si="111"/>
        <v>SP, Lençóis Paulista</v>
      </c>
      <c r="DJ5086">
        <v>-22.599</v>
      </c>
      <c r="DK5086">
        <v>-48.8</v>
      </c>
      <c r="DL5086">
        <v>550</v>
      </c>
      <c r="DM5086" s="1">
        <v>3</v>
      </c>
      <c r="DN5086" t="s">
        <v>8717</v>
      </c>
      <c r="DO5086" s="406">
        <v>-22.32</v>
      </c>
      <c r="DP5086" s="80">
        <v>550</v>
      </c>
    </row>
    <row r="5087" spans="29:120" x14ac:dyDescent="0.25">
      <c r="AC5087" s="122" t="s">
        <v>393</v>
      </c>
      <c r="AD5087" s="122" t="s">
        <v>5266</v>
      </c>
      <c r="AE5087" s="127">
        <v>8</v>
      </c>
      <c r="DA5087" s="122" t="s">
        <v>376</v>
      </c>
      <c r="DB5087" s="122" t="s">
        <v>3661</v>
      </c>
      <c r="DC5087" s="122" t="s">
        <v>3661</v>
      </c>
      <c r="DD5087" s="127">
        <v>4</v>
      </c>
      <c r="DE5087" s="127">
        <v>4</v>
      </c>
      <c r="DG5087" t="s">
        <v>376</v>
      </c>
      <c r="DH5087" t="s">
        <v>3661</v>
      </c>
      <c r="DI5087" s="406" t="str">
        <f t="shared" si="111"/>
        <v>SP, Limeira</v>
      </c>
      <c r="DJ5087">
        <v>-22.565000000000001</v>
      </c>
      <c r="DK5087">
        <v>-47.402000000000001</v>
      </c>
      <c r="DL5087">
        <v>588</v>
      </c>
      <c r="DM5087" s="1">
        <v>4</v>
      </c>
      <c r="DN5087" t="s">
        <v>8716</v>
      </c>
      <c r="DO5087" s="406">
        <v>-22.73</v>
      </c>
      <c r="DP5087" s="80">
        <v>573</v>
      </c>
    </row>
    <row r="5088" spans="29:120" x14ac:dyDescent="0.25">
      <c r="AC5088" s="122" t="s">
        <v>234</v>
      </c>
      <c r="AD5088" s="122" t="s">
        <v>5267</v>
      </c>
      <c r="AE5088" s="127">
        <v>8</v>
      </c>
      <c r="DA5088" s="122" t="s">
        <v>376</v>
      </c>
      <c r="DB5088" s="122" t="s">
        <v>982</v>
      </c>
      <c r="DC5088" s="122" t="s">
        <v>982</v>
      </c>
      <c r="DD5088" s="127">
        <v>3</v>
      </c>
      <c r="DE5088" s="127">
        <v>3</v>
      </c>
      <c r="DG5088" t="s">
        <v>376</v>
      </c>
      <c r="DH5088" t="s">
        <v>982</v>
      </c>
      <c r="DI5088" s="406" t="str">
        <f t="shared" si="111"/>
        <v>SP, Lindóia</v>
      </c>
      <c r="DJ5088">
        <v>-22.523</v>
      </c>
      <c r="DK5088">
        <v>-46.65</v>
      </c>
      <c r="DL5088">
        <v>677</v>
      </c>
      <c r="DM5088" s="1">
        <v>3</v>
      </c>
      <c r="DN5088" t="s">
        <v>6808</v>
      </c>
      <c r="DO5088" s="406">
        <v>-22.42</v>
      </c>
      <c r="DP5088" s="80">
        <v>633</v>
      </c>
    </row>
    <row r="5089" spans="29:120" x14ac:dyDescent="0.25">
      <c r="AC5089" s="122" t="s">
        <v>300</v>
      </c>
      <c r="AD5089" s="122" t="s">
        <v>5268</v>
      </c>
      <c r="AE5089" s="127">
        <v>7</v>
      </c>
      <c r="DA5089" s="122" t="s">
        <v>376</v>
      </c>
      <c r="DB5089" s="122" t="s">
        <v>2892</v>
      </c>
      <c r="DC5089" s="122" t="s">
        <v>2892</v>
      </c>
      <c r="DD5089" s="127">
        <v>3</v>
      </c>
      <c r="DE5089" s="127">
        <v>3</v>
      </c>
      <c r="DG5089" t="s">
        <v>376</v>
      </c>
      <c r="DH5089" t="s">
        <v>2892</v>
      </c>
      <c r="DI5089" s="406" t="str">
        <f t="shared" si="111"/>
        <v>SP, Lins</v>
      </c>
      <c r="DJ5089">
        <v>-21.678999999999998</v>
      </c>
      <c r="DK5089">
        <v>-49.743000000000002</v>
      </c>
      <c r="DL5089">
        <v>437</v>
      </c>
      <c r="DM5089" s="1">
        <v>3</v>
      </c>
      <c r="DN5089" t="s">
        <v>8722</v>
      </c>
      <c r="DO5089" s="406">
        <v>-21.68</v>
      </c>
      <c r="DP5089" s="80">
        <v>459</v>
      </c>
    </row>
    <row r="5090" spans="29:120" x14ac:dyDescent="0.25">
      <c r="AC5090" s="122" t="s">
        <v>393</v>
      </c>
      <c r="AD5090" s="122" t="s">
        <v>5269</v>
      </c>
      <c r="AE5090" s="127">
        <v>8</v>
      </c>
      <c r="DA5090" s="122" t="s">
        <v>376</v>
      </c>
      <c r="DB5090" s="122" t="s">
        <v>3651</v>
      </c>
      <c r="DC5090" s="122" t="s">
        <v>3651</v>
      </c>
      <c r="DD5090" s="127">
        <v>2</v>
      </c>
      <c r="DE5090" s="127">
        <v>2</v>
      </c>
      <c r="DG5090" t="s">
        <v>376</v>
      </c>
      <c r="DH5090" t="s">
        <v>3651</v>
      </c>
      <c r="DI5090" s="406" t="str">
        <f t="shared" si="111"/>
        <v>SP, Lorena</v>
      </c>
      <c r="DJ5090">
        <v>-22.731000000000002</v>
      </c>
      <c r="DK5090">
        <v>-45.125</v>
      </c>
      <c r="DL5090">
        <v>524</v>
      </c>
      <c r="DM5090" s="1">
        <v>2</v>
      </c>
      <c r="DN5090" t="s">
        <v>6837</v>
      </c>
      <c r="DO5090" s="406">
        <v>-22.39</v>
      </c>
      <c r="DP5090" s="80">
        <v>1040</v>
      </c>
    </row>
    <row r="5091" spans="29:120" x14ac:dyDescent="0.25">
      <c r="AC5091" s="122" t="s">
        <v>328</v>
      </c>
      <c r="AD5091" s="122" t="s">
        <v>5270</v>
      </c>
      <c r="AE5091" s="127">
        <v>7</v>
      </c>
      <c r="DA5091" s="122" t="s">
        <v>376</v>
      </c>
      <c r="DB5091" s="122" t="s">
        <v>3995</v>
      </c>
      <c r="DC5091" s="122" t="s">
        <v>3995</v>
      </c>
      <c r="DD5091" s="127">
        <v>6</v>
      </c>
      <c r="DE5091" s="127">
        <v>6</v>
      </c>
      <c r="DG5091" t="s">
        <v>376</v>
      </c>
      <c r="DH5091" t="s">
        <v>3995</v>
      </c>
      <c r="DI5091" s="406" t="str">
        <f t="shared" si="111"/>
        <v>SP, Lourdes</v>
      </c>
      <c r="DJ5091">
        <v>-20.966999999999999</v>
      </c>
      <c r="DK5091">
        <v>-50.223999999999997</v>
      </c>
      <c r="DL5091">
        <v>403</v>
      </c>
      <c r="DM5091" s="1">
        <v>6</v>
      </c>
      <c r="DN5091" t="s">
        <v>8710</v>
      </c>
      <c r="DO5091" s="406">
        <v>-21.1</v>
      </c>
      <c r="DP5091" s="80">
        <v>405</v>
      </c>
    </row>
    <row r="5092" spans="29:120" x14ac:dyDescent="0.25">
      <c r="AC5092" s="122" t="s">
        <v>357</v>
      </c>
      <c r="AD5092" s="122" t="s">
        <v>5271</v>
      </c>
      <c r="AE5092" s="127">
        <v>7</v>
      </c>
      <c r="DA5092" s="122" t="s">
        <v>376</v>
      </c>
      <c r="DB5092" s="122" t="s">
        <v>1050</v>
      </c>
      <c r="DC5092" s="122" t="s">
        <v>1050</v>
      </c>
      <c r="DD5092" s="127">
        <v>3</v>
      </c>
      <c r="DE5092" s="127">
        <v>3</v>
      </c>
      <c r="DG5092" t="s">
        <v>376</v>
      </c>
      <c r="DH5092" t="s">
        <v>1050</v>
      </c>
      <c r="DI5092" s="406" t="str">
        <f t="shared" si="111"/>
        <v>SP, Louveira</v>
      </c>
      <c r="DJ5092">
        <v>-23.085999999999999</v>
      </c>
      <c r="DK5092">
        <v>-46.951000000000001</v>
      </c>
      <c r="DL5092">
        <v>690</v>
      </c>
      <c r="DM5092" s="1">
        <v>3</v>
      </c>
      <c r="DN5092" t="s">
        <v>8726</v>
      </c>
      <c r="DO5092" s="406">
        <v>-22.82</v>
      </c>
      <c r="DP5092" s="80">
        <v>640</v>
      </c>
    </row>
    <row r="5093" spans="29:120" x14ac:dyDescent="0.25">
      <c r="AC5093" s="122" t="s">
        <v>300</v>
      </c>
      <c r="AD5093" s="122" t="s">
        <v>5272</v>
      </c>
      <c r="AE5093" s="127">
        <v>7</v>
      </c>
      <c r="DA5093" s="122" t="s">
        <v>376</v>
      </c>
      <c r="DB5093" s="122" t="s">
        <v>4028</v>
      </c>
      <c r="DC5093" s="122" t="s">
        <v>4028</v>
      </c>
      <c r="DD5093" s="127">
        <v>6</v>
      </c>
      <c r="DE5093" s="127">
        <v>6</v>
      </c>
      <c r="DG5093" t="s">
        <v>376</v>
      </c>
      <c r="DH5093" t="s">
        <v>4028</v>
      </c>
      <c r="DI5093" s="406" t="str">
        <f t="shared" si="111"/>
        <v>SP, Lucélia</v>
      </c>
      <c r="DJ5093">
        <v>-21.72</v>
      </c>
      <c r="DK5093">
        <v>-51.018999999999998</v>
      </c>
      <c r="DL5093">
        <v>438</v>
      </c>
      <c r="DM5093" s="1">
        <v>6</v>
      </c>
      <c r="DN5093" t="s">
        <v>8709</v>
      </c>
      <c r="DO5093" s="406">
        <v>-21.32</v>
      </c>
      <c r="DP5093" s="80">
        <v>374</v>
      </c>
    </row>
    <row r="5094" spans="29:120" x14ac:dyDescent="0.25">
      <c r="AC5094" s="122" t="s">
        <v>340</v>
      </c>
      <c r="AD5094" s="122" t="s">
        <v>5273</v>
      </c>
      <c r="AE5094" s="127">
        <v>5</v>
      </c>
      <c r="DA5094" s="122" t="s">
        <v>376</v>
      </c>
      <c r="DB5094" s="122" t="s">
        <v>3909</v>
      </c>
      <c r="DC5094" s="122" t="s">
        <v>3909</v>
      </c>
      <c r="DD5094" s="127">
        <v>3</v>
      </c>
      <c r="DE5094" s="127">
        <v>3</v>
      </c>
      <c r="DG5094" t="s">
        <v>376</v>
      </c>
      <c r="DH5094" t="s">
        <v>3909</v>
      </c>
      <c r="DI5094" s="406" t="str">
        <f t="shared" si="111"/>
        <v>SP, Lucianópolis</v>
      </c>
      <c r="DJ5094">
        <v>-22.431000000000001</v>
      </c>
      <c r="DK5094">
        <v>-49.523000000000003</v>
      </c>
      <c r="DL5094">
        <v>561</v>
      </c>
      <c r="DM5094" s="1">
        <v>3</v>
      </c>
      <c r="DN5094" t="s">
        <v>8717</v>
      </c>
      <c r="DO5094" s="406">
        <v>-22.32</v>
      </c>
      <c r="DP5094" s="80">
        <v>550</v>
      </c>
    </row>
    <row r="5095" spans="29:120" x14ac:dyDescent="0.25">
      <c r="AC5095" s="122" t="s">
        <v>357</v>
      </c>
      <c r="AD5095" s="122" t="s">
        <v>5274</v>
      </c>
      <c r="AE5095" s="127">
        <v>7</v>
      </c>
      <c r="DA5095" s="122" t="s">
        <v>376</v>
      </c>
      <c r="DB5095" s="122" t="s">
        <v>8797</v>
      </c>
      <c r="DC5095" s="122" t="s">
        <v>3711</v>
      </c>
      <c r="DD5095" s="127">
        <v>4</v>
      </c>
      <c r="DE5095" s="127">
        <v>4</v>
      </c>
      <c r="DG5095" t="s">
        <v>376</v>
      </c>
      <c r="DH5095" t="s">
        <v>3711</v>
      </c>
      <c r="DI5095" s="406" t="str">
        <f t="shared" si="111"/>
        <v>SP, Luís Antônio</v>
      </c>
      <c r="DJ5095">
        <v>-21.555</v>
      </c>
      <c r="DK5095">
        <v>-47.704000000000001</v>
      </c>
      <c r="DL5095">
        <v>675</v>
      </c>
      <c r="DM5095" s="1">
        <v>4</v>
      </c>
      <c r="DN5095" t="s">
        <v>8728</v>
      </c>
      <c r="DO5095" s="406">
        <v>-22.02</v>
      </c>
      <c r="DP5095" s="80">
        <v>863</v>
      </c>
    </row>
    <row r="5096" spans="29:120" x14ac:dyDescent="0.25">
      <c r="AC5096" s="122" t="s">
        <v>268</v>
      </c>
      <c r="AD5096" s="122" t="s">
        <v>5275</v>
      </c>
      <c r="AE5096" s="127">
        <v>8</v>
      </c>
      <c r="DA5096" s="122" t="s">
        <v>376</v>
      </c>
      <c r="DB5096" s="122" t="s">
        <v>4001</v>
      </c>
      <c r="DC5096" s="122" t="s">
        <v>4001</v>
      </c>
      <c r="DD5096" s="127">
        <v>3</v>
      </c>
      <c r="DE5096" s="127">
        <v>3</v>
      </c>
      <c r="DG5096" t="s">
        <v>376</v>
      </c>
      <c r="DH5096" t="s">
        <v>4001</v>
      </c>
      <c r="DI5096" s="406" t="str">
        <f t="shared" si="111"/>
        <v>SP, Luiziânia</v>
      </c>
      <c r="DJ5096">
        <v>-21.675999999999998</v>
      </c>
      <c r="DK5096">
        <v>-50.326999999999998</v>
      </c>
      <c r="DL5096">
        <v>426</v>
      </c>
      <c r="DM5096" s="1">
        <v>3</v>
      </c>
      <c r="DN5096" t="s">
        <v>8722</v>
      </c>
      <c r="DO5096" s="406">
        <v>-21.68</v>
      </c>
      <c r="DP5096" s="80">
        <v>459</v>
      </c>
    </row>
    <row r="5097" spans="29:120" x14ac:dyDescent="0.25">
      <c r="AC5097" s="122" t="s">
        <v>300</v>
      </c>
      <c r="AD5097" s="122" t="s">
        <v>5276</v>
      </c>
      <c r="AE5097" s="127">
        <v>7</v>
      </c>
      <c r="DA5097" s="122" t="s">
        <v>376</v>
      </c>
      <c r="DB5097" s="122" t="s">
        <v>3637</v>
      </c>
      <c r="DC5097" s="122" t="s">
        <v>3637</v>
      </c>
      <c r="DD5097" s="127">
        <v>3</v>
      </c>
      <c r="DE5097" s="127">
        <v>3</v>
      </c>
      <c r="DG5097" t="s">
        <v>376</v>
      </c>
      <c r="DH5097" t="s">
        <v>3637</v>
      </c>
      <c r="DI5097" s="406" t="str">
        <f t="shared" si="111"/>
        <v>SP, Lupércio</v>
      </c>
      <c r="DJ5097">
        <v>-22.414999999999999</v>
      </c>
      <c r="DK5097">
        <v>-49.817</v>
      </c>
      <c r="DL5097">
        <v>661</v>
      </c>
      <c r="DM5097" s="1">
        <v>3</v>
      </c>
      <c r="DN5097" t="s">
        <v>7822</v>
      </c>
      <c r="DO5097" s="406">
        <v>-22.98</v>
      </c>
      <c r="DP5097" s="80">
        <v>448</v>
      </c>
    </row>
    <row r="5098" spans="29:120" x14ac:dyDescent="0.25">
      <c r="AC5098" s="122" t="s">
        <v>323</v>
      </c>
      <c r="AD5098" s="122" t="s">
        <v>5277</v>
      </c>
      <c r="AE5098" s="127">
        <v>6</v>
      </c>
      <c r="DA5098" s="122" t="s">
        <v>376</v>
      </c>
      <c r="DB5098" s="122" t="s">
        <v>3985</v>
      </c>
      <c r="DC5098" s="122" t="s">
        <v>3985</v>
      </c>
      <c r="DD5098" s="127">
        <v>3</v>
      </c>
      <c r="DE5098" s="127">
        <v>3</v>
      </c>
      <c r="DG5098" t="s">
        <v>376</v>
      </c>
      <c r="DH5098" t="s">
        <v>3985</v>
      </c>
      <c r="DI5098" s="406" t="str">
        <f t="shared" si="111"/>
        <v>SP, Lutécia</v>
      </c>
      <c r="DJ5098">
        <v>-22.34</v>
      </c>
      <c r="DK5098">
        <v>-50.392000000000003</v>
      </c>
      <c r="DL5098">
        <v>581</v>
      </c>
      <c r="DM5098" s="1">
        <v>3</v>
      </c>
      <c r="DN5098" t="s">
        <v>7819</v>
      </c>
      <c r="DO5098" s="406">
        <v>-22.37</v>
      </c>
      <c r="DP5098" s="80">
        <v>350</v>
      </c>
    </row>
    <row r="5099" spans="29:120" x14ac:dyDescent="0.25">
      <c r="AC5099" s="122" t="s">
        <v>300</v>
      </c>
      <c r="AD5099" s="122" t="s">
        <v>5278</v>
      </c>
      <c r="AE5099" s="127">
        <v>7</v>
      </c>
      <c r="DA5099" s="122" t="s">
        <v>376</v>
      </c>
      <c r="DB5099" s="122" t="s">
        <v>3729</v>
      </c>
      <c r="DC5099" s="122" t="s">
        <v>3729</v>
      </c>
      <c r="DD5099" s="127">
        <v>3</v>
      </c>
      <c r="DE5099" s="127">
        <v>3</v>
      </c>
      <c r="DG5099" t="s">
        <v>376</v>
      </c>
      <c r="DH5099" t="s">
        <v>3729</v>
      </c>
      <c r="DI5099" s="406" t="str">
        <f t="shared" si="111"/>
        <v>SP, Macatuba</v>
      </c>
      <c r="DJ5099">
        <v>-22.501999999999999</v>
      </c>
      <c r="DK5099">
        <v>-48.710999999999999</v>
      </c>
      <c r="DL5099">
        <v>515</v>
      </c>
      <c r="DM5099" s="1">
        <v>3</v>
      </c>
      <c r="DN5099" t="s">
        <v>8717</v>
      </c>
      <c r="DO5099" s="406">
        <v>-22.32</v>
      </c>
      <c r="DP5099" s="80">
        <v>550</v>
      </c>
    </row>
    <row r="5100" spans="29:120" x14ac:dyDescent="0.25">
      <c r="AC5100" s="122" t="s">
        <v>340</v>
      </c>
      <c r="AD5100" s="122" t="s">
        <v>5279</v>
      </c>
      <c r="AE5100" s="127">
        <v>5</v>
      </c>
      <c r="DA5100" s="122" t="s">
        <v>376</v>
      </c>
      <c r="DB5100" s="122" t="s">
        <v>3968</v>
      </c>
      <c r="DC5100" s="122" t="s">
        <v>3968</v>
      </c>
      <c r="DD5100" s="127">
        <v>6</v>
      </c>
      <c r="DE5100" s="127">
        <v>6</v>
      </c>
      <c r="DG5100" t="s">
        <v>376</v>
      </c>
      <c r="DH5100" t="s">
        <v>3968</v>
      </c>
      <c r="DI5100" s="406" t="str">
        <f t="shared" si="111"/>
        <v>SP, Macaubal</v>
      </c>
      <c r="DJ5100">
        <v>-20.806000000000001</v>
      </c>
      <c r="DK5100">
        <v>-49.963999999999999</v>
      </c>
      <c r="DL5100">
        <v>516</v>
      </c>
      <c r="DM5100" s="1">
        <v>6</v>
      </c>
      <c r="DN5100" t="s">
        <v>6984</v>
      </c>
      <c r="DO5100" s="406">
        <v>-20.420000000000002</v>
      </c>
      <c r="DP5100" s="80">
        <v>486</v>
      </c>
    </row>
    <row r="5101" spans="29:120" x14ac:dyDescent="0.25">
      <c r="AC5101" s="122" t="s">
        <v>372</v>
      </c>
      <c r="AD5101" s="122" t="s">
        <v>5280</v>
      </c>
      <c r="AE5101" s="127">
        <v>8</v>
      </c>
      <c r="DA5101" s="122" t="s">
        <v>376</v>
      </c>
      <c r="DB5101" s="122" t="s">
        <v>4016</v>
      </c>
      <c r="DC5101" s="122" t="s">
        <v>4016</v>
      </c>
      <c r="DD5101" s="127">
        <v>6</v>
      </c>
      <c r="DE5101" s="127">
        <v>6</v>
      </c>
      <c r="DG5101" t="s">
        <v>376</v>
      </c>
      <c r="DH5101" t="s">
        <v>4016</v>
      </c>
      <c r="DI5101" s="406" t="str">
        <f t="shared" si="111"/>
        <v>SP, Macedônia</v>
      </c>
      <c r="DJ5101">
        <v>-20.146000000000001</v>
      </c>
      <c r="DK5101">
        <v>-50.194000000000003</v>
      </c>
      <c r="DL5101">
        <v>502</v>
      </c>
      <c r="DM5101" s="1">
        <v>6</v>
      </c>
      <c r="DN5101" t="s">
        <v>6984</v>
      </c>
      <c r="DO5101" s="406">
        <v>-20.420000000000002</v>
      </c>
      <c r="DP5101" s="80">
        <v>486</v>
      </c>
    </row>
    <row r="5102" spans="29:120" x14ac:dyDescent="0.25">
      <c r="AC5102" s="122" t="s">
        <v>340</v>
      </c>
      <c r="AD5102" s="122" t="s">
        <v>5281</v>
      </c>
      <c r="AE5102" s="127">
        <v>8</v>
      </c>
      <c r="DA5102" s="122" t="s">
        <v>376</v>
      </c>
      <c r="DB5102" s="122" t="s">
        <v>3971</v>
      </c>
      <c r="DC5102" s="122" t="s">
        <v>3971</v>
      </c>
      <c r="DD5102" s="127">
        <v>6</v>
      </c>
      <c r="DE5102" s="127">
        <v>6</v>
      </c>
      <c r="DG5102" t="s">
        <v>376</v>
      </c>
      <c r="DH5102" t="s">
        <v>3971</v>
      </c>
      <c r="DI5102" s="406" t="str">
        <f t="shared" si="111"/>
        <v>SP, Magda</v>
      </c>
      <c r="DJ5102">
        <v>-20.643999999999998</v>
      </c>
      <c r="DK5102">
        <v>-50.225999999999999</v>
      </c>
      <c r="DL5102">
        <v>526</v>
      </c>
      <c r="DM5102" s="1">
        <v>6</v>
      </c>
      <c r="DN5102" t="s">
        <v>6984</v>
      </c>
      <c r="DO5102" s="406">
        <v>-20.420000000000002</v>
      </c>
      <c r="DP5102" s="80">
        <v>486</v>
      </c>
    </row>
    <row r="5103" spans="29:120" x14ac:dyDescent="0.25">
      <c r="AC5103" s="122" t="s">
        <v>328</v>
      </c>
      <c r="AD5103" s="122" t="s">
        <v>5282</v>
      </c>
      <c r="AE5103" s="127">
        <v>8</v>
      </c>
      <c r="DA5103" s="122" t="s">
        <v>376</v>
      </c>
      <c r="DB5103" s="122" t="s">
        <v>1069</v>
      </c>
      <c r="DC5103" s="122" t="s">
        <v>1069</v>
      </c>
      <c r="DD5103" s="127">
        <v>3</v>
      </c>
      <c r="DE5103" s="127">
        <v>3</v>
      </c>
      <c r="DG5103" t="s">
        <v>376</v>
      </c>
      <c r="DH5103" t="s">
        <v>1069</v>
      </c>
      <c r="DI5103" s="406" t="str">
        <f t="shared" si="111"/>
        <v>SP, Mairinque</v>
      </c>
      <c r="DJ5103">
        <v>-23.545999999999999</v>
      </c>
      <c r="DK5103">
        <v>-47.183</v>
      </c>
      <c r="DL5103">
        <v>850</v>
      </c>
      <c r="DM5103" s="1">
        <v>3</v>
      </c>
      <c r="DN5103" t="s">
        <v>8718</v>
      </c>
      <c r="DO5103" s="406">
        <v>-23.5</v>
      </c>
      <c r="DP5103" s="80">
        <v>609</v>
      </c>
    </row>
    <row r="5104" spans="29:120" x14ac:dyDescent="0.25">
      <c r="AC5104" s="122" t="s">
        <v>300</v>
      </c>
      <c r="AD5104" s="122" t="s">
        <v>5283</v>
      </c>
      <c r="AE5104" s="127">
        <v>7</v>
      </c>
      <c r="DA5104" s="122" t="s">
        <v>376</v>
      </c>
      <c r="DB5104" s="122" t="s">
        <v>916</v>
      </c>
      <c r="DC5104" s="122" t="s">
        <v>916</v>
      </c>
      <c r="DD5104" s="127">
        <v>3</v>
      </c>
      <c r="DE5104" s="127">
        <v>3</v>
      </c>
      <c r="DG5104" t="s">
        <v>376</v>
      </c>
      <c r="DH5104" t="s">
        <v>916</v>
      </c>
      <c r="DI5104" s="406" t="str">
        <f t="shared" si="111"/>
        <v>SP, Mairiporã</v>
      </c>
      <c r="DJ5104">
        <v>-23.318999999999999</v>
      </c>
      <c r="DK5104">
        <v>-46.587000000000003</v>
      </c>
      <c r="DL5104">
        <v>750</v>
      </c>
      <c r="DM5104" s="1">
        <v>3</v>
      </c>
      <c r="DN5104" t="s">
        <v>8735</v>
      </c>
      <c r="DO5104" s="406">
        <v>-23.85</v>
      </c>
      <c r="DP5104" s="80">
        <v>792</v>
      </c>
    </row>
    <row r="5105" spans="29:120" x14ac:dyDescent="0.25">
      <c r="AC5105" s="122" t="s">
        <v>340</v>
      </c>
      <c r="AD5105" s="122" t="s">
        <v>5284</v>
      </c>
      <c r="AE5105" s="127">
        <v>7</v>
      </c>
      <c r="DA5105" s="122" t="s">
        <v>376</v>
      </c>
      <c r="DB5105" s="122" t="s">
        <v>1790</v>
      </c>
      <c r="DC5105" s="122" t="s">
        <v>1790</v>
      </c>
      <c r="DD5105" s="127">
        <v>3</v>
      </c>
      <c r="DE5105" s="127">
        <v>3</v>
      </c>
      <c r="DG5105" t="s">
        <v>376</v>
      </c>
      <c r="DH5105" t="s">
        <v>1790</v>
      </c>
      <c r="DI5105" s="406" t="str">
        <f t="shared" si="111"/>
        <v>SP, Manduri</v>
      </c>
      <c r="DJ5105">
        <v>-23.003</v>
      </c>
      <c r="DK5105">
        <v>-49.322000000000003</v>
      </c>
      <c r="DL5105">
        <v>710</v>
      </c>
      <c r="DM5105" s="1">
        <v>3</v>
      </c>
      <c r="DN5105" t="s">
        <v>8714</v>
      </c>
      <c r="DO5105" s="406">
        <v>-23.1</v>
      </c>
      <c r="DP5105" s="80">
        <v>654</v>
      </c>
    </row>
    <row r="5106" spans="29:120" x14ac:dyDescent="0.25">
      <c r="AC5106" s="122" t="s">
        <v>289</v>
      </c>
      <c r="AD5106" s="122" t="s">
        <v>5285</v>
      </c>
      <c r="AE5106" s="127">
        <v>8</v>
      </c>
      <c r="DA5106" s="122" t="s">
        <v>376</v>
      </c>
      <c r="DB5106" s="122" t="s">
        <v>8798</v>
      </c>
      <c r="DC5106" s="122" t="s">
        <v>3924</v>
      </c>
      <c r="DD5106" s="127">
        <v>4</v>
      </c>
      <c r="DE5106" s="127">
        <v>4</v>
      </c>
      <c r="DG5106" t="s">
        <v>376</v>
      </c>
      <c r="DH5106" t="s">
        <v>3924</v>
      </c>
      <c r="DI5106" s="406" t="str">
        <f t="shared" si="111"/>
        <v>SP, Marabá Paulista</v>
      </c>
      <c r="DJ5106">
        <v>-22.108000000000001</v>
      </c>
      <c r="DK5106">
        <v>-51.963000000000001</v>
      </c>
      <c r="DL5106">
        <v>401</v>
      </c>
      <c r="DM5106" s="1">
        <v>4</v>
      </c>
      <c r="DN5106" t="s">
        <v>7264</v>
      </c>
      <c r="DO5106" s="406">
        <v>-22.49</v>
      </c>
      <c r="DP5106" s="80">
        <v>311</v>
      </c>
    </row>
    <row r="5107" spans="29:120" x14ac:dyDescent="0.25">
      <c r="AC5107" s="122" t="s">
        <v>372</v>
      </c>
      <c r="AD5107" s="122" t="s">
        <v>5286</v>
      </c>
      <c r="AE5107" s="127">
        <v>8</v>
      </c>
      <c r="DA5107" s="122" t="s">
        <v>376</v>
      </c>
      <c r="DB5107" s="122" t="s">
        <v>4048</v>
      </c>
      <c r="DC5107" s="122" t="s">
        <v>4048</v>
      </c>
      <c r="DD5107" s="127">
        <v>3</v>
      </c>
      <c r="DE5107" s="127">
        <v>3</v>
      </c>
      <c r="DG5107" t="s">
        <v>376</v>
      </c>
      <c r="DH5107" t="s">
        <v>4048</v>
      </c>
      <c r="DI5107" s="406" t="str">
        <f t="shared" si="111"/>
        <v>SP, Maracaí</v>
      </c>
      <c r="DJ5107">
        <v>-22.611000000000001</v>
      </c>
      <c r="DK5107">
        <v>-50.667000000000002</v>
      </c>
      <c r="DL5107">
        <v>435</v>
      </c>
      <c r="DM5107" s="1">
        <v>3</v>
      </c>
      <c r="DN5107" t="s">
        <v>7819</v>
      </c>
      <c r="DO5107" s="406">
        <v>-22.37</v>
      </c>
      <c r="DP5107" s="80">
        <v>350</v>
      </c>
    </row>
    <row r="5108" spans="29:120" x14ac:dyDescent="0.25">
      <c r="AC5108" s="122" t="s">
        <v>393</v>
      </c>
      <c r="AD5108" s="122" t="s">
        <v>5287</v>
      </c>
      <c r="AE5108" s="127">
        <v>7</v>
      </c>
      <c r="DA5108" s="122" t="s">
        <v>376</v>
      </c>
      <c r="DB5108" s="122" t="s">
        <v>3872</v>
      </c>
      <c r="DC5108" s="122" t="s">
        <v>3872</v>
      </c>
      <c r="DD5108" s="127">
        <v>6</v>
      </c>
      <c r="DE5108" s="127">
        <v>6</v>
      </c>
      <c r="DG5108" t="s">
        <v>376</v>
      </c>
      <c r="DH5108" t="s">
        <v>3872</v>
      </c>
      <c r="DI5108" s="406" t="str">
        <f t="shared" si="111"/>
        <v>SP, Marapoama</v>
      </c>
      <c r="DJ5108">
        <v>-21.259</v>
      </c>
      <c r="DK5108">
        <v>-49.128999999999998</v>
      </c>
      <c r="DL5108">
        <v>467</v>
      </c>
      <c r="DM5108" s="1">
        <v>6</v>
      </c>
      <c r="DN5108" t="s">
        <v>8721</v>
      </c>
      <c r="DO5108" s="406">
        <v>-21.13</v>
      </c>
      <c r="DP5108" s="80">
        <v>525</v>
      </c>
    </row>
    <row r="5109" spans="29:120" x14ac:dyDescent="0.25">
      <c r="AC5109" s="122" t="s">
        <v>357</v>
      </c>
      <c r="AD5109" s="122" t="s">
        <v>5288</v>
      </c>
      <c r="AE5109" s="127">
        <v>7</v>
      </c>
      <c r="DA5109" s="122" t="s">
        <v>376</v>
      </c>
      <c r="DB5109" s="122" t="s">
        <v>3962</v>
      </c>
      <c r="DC5109" s="122" t="s">
        <v>3962</v>
      </c>
      <c r="DD5109" s="127">
        <v>6</v>
      </c>
      <c r="DE5109" s="127">
        <v>6</v>
      </c>
      <c r="DG5109" t="s">
        <v>376</v>
      </c>
      <c r="DH5109" t="s">
        <v>3962</v>
      </c>
      <c r="DI5109" s="406" t="str">
        <f t="shared" si="111"/>
        <v>SP, Mariápolis</v>
      </c>
      <c r="DJ5109">
        <v>-21.798999999999999</v>
      </c>
      <c r="DK5109">
        <v>-51.180999999999997</v>
      </c>
      <c r="DL5109">
        <v>410</v>
      </c>
      <c r="DM5109" s="1">
        <v>6</v>
      </c>
      <c r="DN5109" t="s">
        <v>8720</v>
      </c>
      <c r="DO5109" s="406">
        <v>-22.13</v>
      </c>
      <c r="DP5109" s="80">
        <v>436</v>
      </c>
    </row>
    <row r="5110" spans="29:120" x14ac:dyDescent="0.25">
      <c r="AC5110" s="122" t="s">
        <v>300</v>
      </c>
      <c r="AD5110" s="122" t="s">
        <v>5289</v>
      </c>
      <c r="AE5110" s="127">
        <v>7</v>
      </c>
      <c r="DA5110" s="122" t="s">
        <v>376</v>
      </c>
      <c r="DB5110" s="122" t="s">
        <v>2437</v>
      </c>
      <c r="DC5110" s="122" t="s">
        <v>2437</v>
      </c>
      <c r="DD5110" s="127">
        <v>3</v>
      </c>
      <c r="DE5110" s="127">
        <v>3</v>
      </c>
      <c r="DG5110" t="s">
        <v>376</v>
      </c>
      <c r="DH5110" t="s">
        <v>2437</v>
      </c>
      <c r="DI5110" s="406" t="str">
        <f t="shared" si="111"/>
        <v>SP, Marília</v>
      </c>
      <c r="DJ5110">
        <v>-22.213999999999999</v>
      </c>
      <c r="DK5110">
        <v>-49.945999999999998</v>
      </c>
      <c r="DL5110">
        <v>675</v>
      </c>
      <c r="DM5110" s="1">
        <v>3</v>
      </c>
      <c r="DN5110" t="s">
        <v>8722</v>
      </c>
      <c r="DO5110" s="406">
        <v>-21.68</v>
      </c>
      <c r="DP5110" s="80">
        <v>459</v>
      </c>
    </row>
    <row r="5111" spans="29:120" x14ac:dyDescent="0.25">
      <c r="AC5111" s="122" t="s">
        <v>300</v>
      </c>
      <c r="AD5111" s="122" t="s">
        <v>5290</v>
      </c>
      <c r="AE5111" s="127">
        <v>7</v>
      </c>
      <c r="DA5111" s="122" t="s">
        <v>376</v>
      </c>
      <c r="DB5111" s="122" t="s">
        <v>2884</v>
      </c>
      <c r="DC5111" s="122" t="s">
        <v>2884</v>
      </c>
      <c r="DD5111" s="127">
        <v>6</v>
      </c>
      <c r="DE5111" s="127">
        <v>6</v>
      </c>
      <c r="DG5111" t="s">
        <v>376</v>
      </c>
      <c r="DH5111" t="s">
        <v>2884</v>
      </c>
      <c r="DI5111" s="406" t="str">
        <f t="shared" si="111"/>
        <v>SP, Marinópolis</v>
      </c>
      <c r="DJ5111">
        <v>-20.440999999999999</v>
      </c>
      <c r="DK5111">
        <v>-50.823</v>
      </c>
      <c r="DL5111">
        <v>408</v>
      </c>
      <c r="DM5111" s="1">
        <v>6</v>
      </c>
      <c r="DN5111" t="s">
        <v>6904</v>
      </c>
      <c r="DO5111" s="406">
        <v>-20.27</v>
      </c>
      <c r="DP5111" s="80">
        <v>457</v>
      </c>
    </row>
    <row r="5112" spans="29:120" x14ac:dyDescent="0.25">
      <c r="AC5112" s="122" t="s">
        <v>348</v>
      </c>
      <c r="AD5112" s="122" t="s">
        <v>5291</v>
      </c>
      <c r="AE5112" s="127">
        <v>7</v>
      </c>
      <c r="DA5112" s="122" t="s">
        <v>376</v>
      </c>
      <c r="DB5112" s="122" t="s">
        <v>3782</v>
      </c>
      <c r="DC5112" s="122" t="s">
        <v>3782</v>
      </c>
      <c r="DD5112" s="127">
        <v>6</v>
      </c>
      <c r="DE5112" s="127">
        <v>6</v>
      </c>
      <c r="DG5112" t="s">
        <v>376</v>
      </c>
      <c r="DH5112" t="s">
        <v>3782</v>
      </c>
      <c r="DI5112" s="406" t="str">
        <f t="shared" si="111"/>
        <v>SP, Martinópolis</v>
      </c>
      <c r="DJ5112">
        <v>-22.146000000000001</v>
      </c>
      <c r="DK5112">
        <v>-51.170999999999999</v>
      </c>
      <c r="DL5112">
        <v>488</v>
      </c>
      <c r="DM5112" s="1">
        <v>6</v>
      </c>
      <c r="DN5112" t="s">
        <v>8720</v>
      </c>
      <c r="DO5112" s="406">
        <v>-22.13</v>
      </c>
      <c r="DP5112" s="80">
        <v>436</v>
      </c>
    </row>
    <row r="5113" spans="29:120" x14ac:dyDescent="0.25">
      <c r="AC5113" s="122" t="s">
        <v>393</v>
      </c>
      <c r="AD5113" s="122" t="s">
        <v>5292</v>
      </c>
      <c r="AE5113" s="127">
        <v>7</v>
      </c>
      <c r="DA5113" s="122" t="s">
        <v>376</v>
      </c>
      <c r="DB5113" s="122" t="s">
        <v>3983</v>
      </c>
      <c r="DC5113" s="122" t="s">
        <v>3983</v>
      </c>
      <c r="DD5113" s="127">
        <v>4</v>
      </c>
      <c r="DE5113" s="127">
        <v>4</v>
      </c>
      <c r="DG5113" t="s">
        <v>376</v>
      </c>
      <c r="DH5113" t="s">
        <v>3983</v>
      </c>
      <c r="DI5113" s="406" t="str">
        <f t="shared" si="111"/>
        <v>SP, Matão</v>
      </c>
      <c r="DJ5113">
        <v>-21.603000000000002</v>
      </c>
      <c r="DK5113">
        <v>-48.366</v>
      </c>
      <c r="DL5113">
        <v>585</v>
      </c>
      <c r="DM5113" s="1">
        <v>4</v>
      </c>
      <c r="DN5113" t="s">
        <v>8733</v>
      </c>
      <c r="DO5113" s="406">
        <v>-21.86</v>
      </c>
      <c r="DP5113" s="80">
        <v>492</v>
      </c>
    </row>
    <row r="5114" spans="29:120" x14ac:dyDescent="0.25">
      <c r="AC5114" s="122" t="s">
        <v>357</v>
      </c>
      <c r="AD5114" s="122" t="s">
        <v>5293</v>
      </c>
      <c r="AE5114" s="127">
        <v>7</v>
      </c>
      <c r="DA5114" s="122" t="s">
        <v>376</v>
      </c>
      <c r="DB5114" s="122" t="s">
        <v>427</v>
      </c>
      <c r="DC5114" s="122" t="s">
        <v>427</v>
      </c>
      <c r="DD5114" s="127">
        <v>3</v>
      </c>
      <c r="DE5114" s="127">
        <v>3</v>
      </c>
      <c r="DG5114" t="s">
        <v>376</v>
      </c>
      <c r="DH5114" t="s">
        <v>427</v>
      </c>
      <c r="DI5114" s="406" t="str">
        <f t="shared" si="111"/>
        <v>SP, Mauá</v>
      </c>
      <c r="DJ5114">
        <v>-23.667999999999999</v>
      </c>
      <c r="DK5114">
        <v>-46.460999999999999</v>
      </c>
      <c r="DL5114">
        <v>764</v>
      </c>
      <c r="DM5114" s="1">
        <v>3</v>
      </c>
      <c r="DN5114" t="s">
        <v>8735</v>
      </c>
      <c r="DO5114" s="406">
        <v>-23.85</v>
      </c>
      <c r="DP5114" s="80">
        <v>792</v>
      </c>
    </row>
    <row r="5115" spans="29:120" x14ac:dyDescent="0.25">
      <c r="AC5115" s="122" t="s">
        <v>372</v>
      </c>
      <c r="AD5115" s="122" t="s">
        <v>5294</v>
      </c>
      <c r="AE5115" s="127">
        <v>8</v>
      </c>
      <c r="DA5115" s="122" t="s">
        <v>376</v>
      </c>
      <c r="DB5115" s="122" t="s">
        <v>3839</v>
      </c>
      <c r="DC5115" s="122" t="s">
        <v>3839</v>
      </c>
      <c r="DD5115" s="127">
        <v>3</v>
      </c>
      <c r="DE5115" s="127">
        <v>3</v>
      </c>
      <c r="DG5115" t="s">
        <v>376</v>
      </c>
      <c r="DH5115" t="s">
        <v>3839</v>
      </c>
      <c r="DI5115" s="406" t="str">
        <f t="shared" si="111"/>
        <v>SP, Mendonça</v>
      </c>
      <c r="DJ5115">
        <v>-21.167000000000002</v>
      </c>
      <c r="DK5115">
        <v>-49.581000000000003</v>
      </c>
      <c r="DL5115">
        <v>484</v>
      </c>
      <c r="DM5115" s="1">
        <v>3</v>
      </c>
      <c r="DN5115" t="s">
        <v>8710</v>
      </c>
      <c r="DO5115" s="406">
        <v>-21.1</v>
      </c>
      <c r="DP5115" s="80">
        <v>405</v>
      </c>
    </row>
    <row r="5116" spans="29:120" x14ac:dyDescent="0.25">
      <c r="AC5116" s="122" t="s">
        <v>289</v>
      </c>
      <c r="AD5116" s="122" t="s">
        <v>5295</v>
      </c>
      <c r="AE5116" s="127">
        <v>8</v>
      </c>
      <c r="DA5116" s="122" t="s">
        <v>376</v>
      </c>
      <c r="DB5116" s="122" t="s">
        <v>4020</v>
      </c>
      <c r="DC5116" s="122" t="s">
        <v>4020</v>
      </c>
      <c r="DD5116" s="127">
        <v>6</v>
      </c>
      <c r="DE5116" s="127">
        <v>6</v>
      </c>
      <c r="DG5116" t="s">
        <v>376</v>
      </c>
      <c r="DH5116" t="s">
        <v>4020</v>
      </c>
      <c r="DI5116" s="406" t="str">
        <f t="shared" si="111"/>
        <v>SP, Meridiano</v>
      </c>
      <c r="DJ5116">
        <v>-20.359000000000002</v>
      </c>
      <c r="DK5116">
        <v>-50.173000000000002</v>
      </c>
      <c r="DL5116">
        <v>529</v>
      </c>
      <c r="DM5116" s="1">
        <v>6</v>
      </c>
      <c r="DN5116" t="s">
        <v>6984</v>
      </c>
      <c r="DO5116" s="406">
        <v>-20.420000000000002</v>
      </c>
      <c r="DP5116" s="80">
        <v>486</v>
      </c>
    </row>
    <row r="5117" spans="29:120" x14ac:dyDescent="0.25">
      <c r="AC5117" s="122" t="s">
        <v>289</v>
      </c>
      <c r="AD5117" s="122" t="s">
        <v>5296</v>
      </c>
      <c r="AE5117" s="127">
        <v>8</v>
      </c>
      <c r="DA5117" s="122" t="s">
        <v>376</v>
      </c>
      <c r="DB5117" s="122" t="s">
        <v>3560</v>
      </c>
      <c r="DC5117" s="122" t="s">
        <v>3560</v>
      </c>
      <c r="DD5117" s="127">
        <v>6</v>
      </c>
      <c r="DE5117" s="127">
        <v>6</v>
      </c>
      <c r="DG5117" t="s">
        <v>376</v>
      </c>
      <c r="DH5117" t="s">
        <v>3560</v>
      </c>
      <c r="DI5117" s="406" t="str">
        <f t="shared" si="111"/>
        <v>SP, Mesópolis</v>
      </c>
      <c r="DJ5117">
        <v>-19.966000000000001</v>
      </c>
      <c r="DK5117">
        <v>-50.637999999999998</v>
      </c>
      <c r="DL5117">
        <v>400</v>
      </c>
      <c r="DM5117" s="1">
        <v>6</v>
      </c>
      <c r="DN5117" t="s">
        <v>6904</v>
      </c>
      <c r="DO5117" s="406">
        <v>-20.27</v>
      </c>
      <c r="DP5117" s="80">
        <v>457</v>
      </c>
    </row>
    <row r="5118" spans="29:120" x14ac:dyDescent="0.25">
      <c r="AC5118" s="122" t="s">
        <v>300</v>
      </c>
      <c r="AD5118" s="122" t="s">
        <v>5297</v>
      </c>
      <c r="AE5118" s="127">
        <v>7</v>
      </c>
      <c r="DA5118" s="122" t="s">
        <v>376</v>
      </c>
      <c r="DB5118" s="122" t="s">
        <v>2911</v>
      </c>
      <c r="DC5118" s="122" t="s">
        <v>2911</v>
      </c>
      <c r="DD5118" s="127">
        <v>4</v>
      </c>
      <c r="DE5118" s="127">
        <v>4</v>
      </c>
      <c r="DG5118" t="s">
        <v>376</v>
      </c>
      <c r="DH5118" t="s">
        <v>2911</v>
      </c>
      <c r="DI5118" s="406" t="str">
        <f t="shared" si="111"/>
        <v>SP, Miguelópolis</v>
      </c>
      <c r="DJ5118">
        <v>-20.178999999999998</v>
      </c>
      <c r="DK5118">
        <v>-48.031999999999996</v>
      </c>
      <c r="DL5118">
        <v>510</v>
      </c>
      <c r="DM5118" s="1">
        <v>4</v>
      </c>
      <c r="DN5118" t="s">
        <v>8732</v>
      </c>
      <c r="DO5118" s="406">
        <v>-20.36</v>
      </c>
      <c r="DP5118" s="80">
        <v>600</v>
      </c>
    </row>
    <row r="5119" spans="29:120" x14ac:dyDescent="0.25">
      <c r="AC5119" s="122" t="s">
        <v>300</v>
      </c>
      <c r="AD5119" s="122" t="s">
        <v>5298</v>
      </c>
      <c r="AE5119" s="127">
        <v>7</v>
      </c>
      <c r="DA5119" s="122" t="s">
        <v>376</v>
      </c>
      <c r="DB5119" s="122" t="s">
        <v>8799</v>
      </c>
      <c r="DC5119" s="122" t="s">
        <v>3704</v>
      </c>
      <c r="DD5119" s="127">
        <v>4</v>
      </c>
      <c r="DE5119" s="127">
        <v>4</v>
      </c>
      <c r="DG5119" t="s">
        <v>376</v>
      </c>
      <c r="DH5119" t="s">
        <v>3704</v>
      </c>
      <c r="DI5119" s="406" t="str">
        <f t="shared" si="111"/>
        <v>SP, Mineiros do Tietê</v>
      </c>
      <c r="DJ5119">
        <v>-22.408999999999999</v>
      </c>
      <c r="DK5119">
        <v>-48.451000000000001</v>
      </c>
      <c r="DL5119">
        <v>669</v>
      </c>
      <c r="DM5119" s="1">
        <v>4</v>
      </c>
      <c r="DN5119" t="s">
        <v>8717</v>
      </c>
      <c r="DO5119" s="406">
        <v>-22.32</v>
      </c>
      <c r="DP5119" s="80">
        <v>550</v>
      </c>
    </row>
    <row r="5120" spans="29:120" x14ac:dyDescent="0.25">
      <c r="AC5120" s="122" t="s">
        <v>340</v>
      </c>
      <c r="AD5120" s="122" t="s">
        <v>5299</v>
      </c>
      <c r="AE5120" s="127">
        <v>8</v>
      </c>
      <c r="DA5120" s="122" t="s">
        <v>376</v>
      </c>
      <c r="DB5120" s="122" t="s">
        <v>8800</v>
      </c>
      <c r="DC5120" s="122" t="s">
        <v>3579</v>
      </c>
      <c r="DD5120" s="127">
        <v>6</v>
      </c>
      <c r="DE5120" s="127">
        <v>6</v>
      </c>
      <c r="DG5120" t="s">
        <v>376</v>
      </c>
      <c r="DH5120" t="s">
        <v>3579</v>
      </c>
      <c r="DI5120" s="406" t="str">
        <f t="shared" si="111"/>
        <v>SP, Mira Estrela</v>
      </c>
      <c r="DJ5120">
        <v>-19.978999999999999</v>
      </c>
      <c r="DK5120">
        <v>-50.137</v>
      </c>
      <c r="DL5120">
        <v>458</v>
      </c>
      <c r="DM5120" s="1">
        <v>6</v>
      </c>
      <c r="DN5120" t="s">
        <v>6984</v>
      </c>
      <c r="DO5120" s="406">
        <v>-20.420000000000002</v>
      </c>
      <c r="DP5120" s="80">
        <v>486</v>
      </c>
    </row>
    <row r="5121" spans="29:120" x14ac:dyDescent="0.25">
      <c r="AC5121" s="122" t="s">
        <v>357</v>
      </c>
      <c r="AD5121" s="122" t="s">
        <v>5300</v>
      </c>
      <c r="AE5121" s="127">
        <v>7</v>
      </c>
      <c r="DA5121" s="122" t="s">
        <v>376</v>
      </c>
      <c r="DB5121" s="122" t="s">
        <v>3847</v>
      </c>
      <c r="DC5121" s="122" t="s">
        <v>3847</v>
      </c>
      <c r="DD5121" s="127">
        <v>5</v>
      </c>
      <c r="DE5121" s="127">
        <v>5</v>
      </c>
      <c r="DG5121" t="s">
        <v>376</v>
      </c>
      <c r="DH5121" t="s">
        <v>3847</v>
      </c>
      <c r="DI5121" s="406" t="str">
        <f t="shared" si="111"/>
        <v>SP, Miracatu</v>
      </c>
      <c r="DJ5121">
        <v>-24.280999999999999</v>
      </c>
      <c r="DK5121">
        <v>-47.46</v>
      </c>
      <c r="DL5121">
        <v>27</v>
      </c>
      <c r="DM5121" s="1">
        <v>5</v>
      </c>
      <c r="DN5121" t="s">
        <v>8750</v>
      </c>
      <c r="DO5121" s="406">
        <v>-24.71</v>
      </c>
      <c r="DP5121" s="80">
        <v>3</v>
      </c>
    </row>
    <row r="5122" spans="29:120" x14ac:dyDescent="0.25">
      <c r="AC5122" s="122" t="s">
        <v>357</v>
      </c>
      <c r="AD5122" s="122" t="s">
        <v>5301</v>
      </c>
      <c r="AE5122" s="127">
        <v>7</v>
      </c>
      <c r="DA5122" s="122" t="s">
        <v>376</v>
      </c>
      <c r="DB5122" s="122" t="s">
        <v>3970</v>
      </c>
      <c r="DC5122" s="122" t="s">
        <v>3970</v>
      </c>
      <c r="DD5122" s="127">
        <v>6</v>
      </c>
      <c r="DE5122" s="127">
        <v>6</v>
      </c>
      <c r="DG5122" t="s">
        <v>376</v>
      </c>
      <c r="DH5122" t="s">
        <v>3970</v>
      </c>
      <c r="DI5122" s="406" t="str">
        <f t="shared" si="111"/>
        <v>SP, Mirandópolis</v>
      </c>
      <c r="DJ5122">
        <v>-21.134</v>
      </c>
      <c r="DK5122">
        <v>-51.101999999999997</v>
      </c>
      <c r="DL5122">
        <v>429</v>
      </c>
      <c r="DM5122" s="1">
        <v>6</v>
      </c>
      <c r="DN5122" t="s">
        <v>8709</v>
      </c>
      <c r="DO5122" s="406">
        <v>-21.32</v>
      </c>
      <c r="DP5122" s="80">
        <v>374</v>
      </c>
    </row>
    <row r="5123" spans="29:120" x14ac:dyDescent="0.25">
      <c r="AC5123" s="122" t="s">
        <v>357</v>
      </c>
      <c r="AD5123" s="122" t="s">
        <v>5302</v>
      </c>
      <c r="AE5123" s="127">
        <v>7</v>
      </c>
      <c r="DA5123" s="122" t="s">
        <v>376</v>
      </c>
      <c r="DB5123" s="122" t="s">
        <v>8801</v>
      </c>
      <c r="DC5123" s="122" t="s">
        <v>3967</v>
      </c>
      <c r="DD5123" s="127">
        <v>4</v>
      </c>
      <c r="DE5123" s="127">
        <v>4</v>
      </c>
      <c r="DG5123" t="s">
        <v>376</v>
      </c>
      <c r="DH5123" t="s">
        <v>3967</v>
      </c>
      <c r="DI5123" s="406" t="str">
        <f t="shared" ref="DI5123:DI5186" si="112">CONCATENATE(DG5123,", ",DH5123)</f>
        <v>SP, Mirante do Paranapanema</v>
      </c>
      <c r="DJ5123">
        <v>-22.292000000000002</v>
      </c>
      <c r="DK5123">
        <v>-51.905999999999999</v>
      </c>
      <c r="DL5123">
        <v>448</v>
      </c>
      <c r="DM5123" s="1">
        <v>4</v>
      </c>
      <c r="DN5123" t="s">
        <v>7264</v>
      </c>
      <c r="DO5123" s="406">
        <v>-22.49</v>
      </c>
      <c r="DP5123" s="80">
        <v>311</v>
      </c>
    </row>
    <row r="5124" spans="29:120" x14ac:dyDescent="0.25">
      <c r="AC5124" s="122" t="s">
        <v>328</v>
      </c>
      <c r="AD5124" s="122" t="s">
        <v>5303</v>
      </c>
      <c r="AE5124" s="127">
        <v>8</v>
      </c>
      <c r="DA5124" s="122" t="s">
        <v>376</v>
      </c>
      <c r="DB5124" s="122" t="s">
        <v>3999</v>
      </c>
      <c r="DC5124" s="122" t="s">
        <v>3999</v>
      </c>
      <c r="DD5124" s="127">
        <v>6</v>
      </c>
      <c r="DE5124" s="127">
        <v>6</v>
      </c>
      <c r="DG5124" t="s">
        <v>376</v>
      </c>
      <c r="DH5124" t="s">
        <v>3999</v>
      </c>
      <c r="DI5124" s="406" t="str">
        <f t="shared" si="112"/>
        <v>SP, Mirassol</v>
      </c>
      <c r="DJ5124">
        <v>-20.818999999999999</v>
      </c>
      <c r="DK5124">
        <v>-49.521000000000001</v>
      </c>
      <c r="DL5124">
        <v>587</v>
      </c>
      <c r="DM5124" s="1">
        <v>6</v>
      </c>
      <c r="DN5124" t="s">
        <v>8710</v>
      </c>
      <c r="DO5124" s="406">
        <v>-21.1</v>
      </c>
      <c r="DP5124" s="80">
        <v>405</v>
      </c>
    </row>
    <row r="5125" spans="29:120" x14ac:dyDescent="0.25">
      <c r="AC5125" s="122" t="s">
        <v>300</v>
      </c>
      <c r="AD5125" s="122" t="s">
        <v>5304</v>
      </c>
      <c r="AE5125" s="127">
        <v>7</v>
      </c>
      <c r="DA5125" s="122" t="s">
        <v>376</v>
      </c>
      <c r="DB5125" s="122" t="s">
        <v>3906</v>
      </c>
      <c r="DC5125" s="122" t="s">
        <v>3906</v>
      </c>
      <c r="DD5125" s="127">
        <v>6</v>
      </c>
      <c r="DE5125" s="127">
        <v>6</v>
      </c>
      <c r="DG5125" t="s">
        <v>376</v>
      </c>
      <c r="DH5125" t="s">
        <v>3906</v>
      </c>
      <c r="DI5125" s="406" t="str">
        <f t="shared" si="112"/>
        <v>SP, Mirassolândia</v>
      </c>
      <c r="DJ5125">
        <v>-20.617000000000001</v>
      </c>
      <c r="DK5125">
        <v>-49.463999999999999</v>
      </c>
      <c r="DL5125">
        <v>524</v>
      </c>
      <c r="DM5125" s="1">
        <v>6</v>
      </c>
      <c r="DN5125" t="s">
        <v>6984</v>
      </c>
      <c r="DO5125" s="406">
        <v>-20.420000000000002</v>
      </c>
      <c r="DP5125" s="80">
        <v>486</v>
      </c>
    </row>
    <row r="5126" spans="29:120" x14ac:dyDescent="0.25">
      <c r="AC5126" s="122" t="s">
        <v>357</v>
      </c>
      <c r="AD5126" s="122" t="s">
        <v>5305</v>
      </c>
      <c r="AE5126" s="127">
        <v>7</v>
      </c>
      <c r="DA5126" s="122" t="s">
        <v>376</v>
      </c>
      <c r="DB5126" s="122" t="s">
        <v>4035</v>
      </c>
      <c r="DC5126" s="122" t="s">
        <v>4035</v>
      </c>
      <c r="DD5126" s="127">
        <v>4</v>
      </c>
      <c r="DE5126" s="127">
        <v>4</v>
      </c>
      <c r="DG5126" t="s">
        <v>376</v>
      </c>
      <c r="DH5126" t="s">
        <v>4035</v>
      </c>
      <c r="DI5126" s="406" t="str">
        <f t="shared" si="112"/>
        <v>SP, Mococa</v>
      </c>
      <c r="DJ5126">
        <v>-21.468</v>
      </c>
      <c r="DK5126">
        <v>-47.005000000000003</v>
      </c>
      <c r="DL5126">
        <v>645</v>
      </c>
      <c r="DM5126" s="1">
        <v>4</v>
      </c>
      <c r="DN5126" t="s">
        <v>6833</v>
      </c>
      <c r="DO5126" s="406">
        <v>-21.77</v>
      </c>
      <c r="DP5126" s="80">
        <v>730</v>
      </c>
    </row>
    <row r="5127" spans="29:120" x14ac:dyDescent="0.25">
      <c r="AC5127" s="122" t="s">
        <v>300</v>
      </c>
      <c r="AD5127" s="122" t="s">
        <v>5306</v>
      </c>
      <c r="AE5127" s="127">
        <v>7</v>
      </c>
      <c r="DA5127" s="122" t="s">
        <v>376</v>
      </c>
      <c r="DB5127" s="122" t="s">
        <v>8802</v>
      </c>
      <c r="DC5127" s="122" t="s">
        <v>3676</v>
      </c>
      <c r="DD5127" s="127">
        <v>3</v>
      </c>
      <c r="DE5127" s="127">
        <v>3</v>
      </c>
      <c r="DG5127" t="s">
        <v>376</v>
      </c>
      <c r="DH5127" t="s">
        <v>5785</v>
      </c>
      <c r="DI5127" s="406" t="str">
        <f t="shared" si="112"/>
        <v>SP, Mogi das Cruzes</v>
      </c>
      <c r="DJ5127">
        <v>-23.523</v>
      </c>
      <c r="DK5127">
        <v>-46.188000000000002</v>
      </c>
      <c r="DL5127">
        <v>742</v>
      </c>
      <c r="DM5127" s="1">
        <v>3</v>
      </c>
      <c r="DN5127" t="s">
        <v>8735</v>
      </c>
      <c r="DO5127" s="406">
        <v>-23.85</v>
      </c>
      <c r="DP5127" s="80">
        <v>792</v>
      </c>
    </row>
    <row r="5128" spans="29:120" x14ac:dyDescent="0.25">
      <c r="AC5128" s="122" t="s">
        <v>369</v>
      </c>
      <c r="AD5128" s="122" t="s">
        <v>5307</v>
      </c>
      <c r="AE5128" s="127">
        <v>8</v>
      </c>
      <c r="DA5128" s="122" t="s">
        <v>376</v>
      </c>
      <c r="DB5128" s="122" t="s">
        <v>8803</v>
      </c>
      <c r="DC5128" s="122" t="s">
        <v>3675</v>
      </c>
      <c r="DD5128" s="127">
        <v>3</v>
      </c>
      <c r="DE5128" s="127">
        <v>3</v>
      </c>
      <c r="DG5128" t="s">
        <v>376</v>
      </c>
      <c r="DH5128" t="s">
        <v>3676</v>
      </c>
      <c r="DI5128" s="406" t="str">
        <f t="shared" si="112"/>
        <v>SP, Mogi Guaçu</v>
      </c>
      <c r="DJ5128">
        <v>-22.372</v>
      </c>
      <c r="DK5128">
        <v>-46.942</v>
      </c>
      <c r="DL5128">
        <v>591</v>
      </c>
      <c r="DM5128" s="1">
        <v>3</v>
      </c>
      <c r="DN5128" t="s">
        <v>6808</v>
      </c>
      <c r="DO5128" s="406">
        <v>-22.42</v>
      </c>
      <c r="DP5128" s="80">
        <v>633</v>
      </c>
    </row>
    <row r="5129" spans="29:120" x14ac:dyDescent="0.25">
      <c r="AC5129" s="122" t="s">
        <v>328</v>
      </c>
      <c r="AD5129" s="122" t="s">
        <v>5308</v>
      </c>
      <c r="AE5129" s="127">
        <v>8</v>
      </c>
      <c r="DA5129" s="122" t="s">
        <v>376</v>
      </c>
      <c r="DB5129" s="122" t="s">
        <v>8804</v>
      </c>
      <c r="DC5129" s="122" t="s">
        <v>815</v>
      </c>
      <c r="DD5129" s="127">
        <v>2</v>
      </c>
      <c r="DE5129" s="127">
        <v>2</v>
      </c>
      <c r="DG5129" t="s">
        <v>376</v>
      </c>
      <c r="DH5129" t="s">
        <v>5786</v>
      </c>
      <c r="DI5129" s="406" t="str">
        <f t="shared" si="112"/>
        <v>SP, Moji Mirim</v>
      </c>
      <c r="DJ5129">
        <v>-22.431999999999999</v>
      </c>
      <c r="DK5129">
        <v>-46.957999999999998</v>
      </c>
      <c r="DL5129">
        <v>632</v>
      </c>
      <c r="DM5129" s="1">
        <v>2</v>
      </c>
      <c r="DN5129" t="s">
        <v>6808</v>
      </c>
      <c r="DO5129" s="406">
        <v>-22.42</v>
      </c>
      <c r="DP5129" s="80">
        <v>633</v>
      </c>
    </row>
    <row r="5130" spans="29:120" x14ac:dyDescent="0.25">
      <c r="AC5130" s="122" t="s">
        <v>234</v>
      </c>
      <c r="AD5130" s="122" t="s">
        <v>5309</v>
      </c>
      <c r="AE5130" s="127">
        <v>8</v>
      </c>
      <c r="DA5130" s="122" t="s">
        <v>376</v>
      </c>
      <c r="DB5130" s="122" t="s">
        <v>3896</v>
      </c>
      <c r="DC5130" s="122" t="s">
        <v>3896</v>
      </c>
      <c r="DD5130" s="127">
        <v>3</v>
      </c>
      <c r="DE5130" s="127">
        <v>3</v>
      </c>
      <c r="DG5130" t="s">
        <v>376</v>
      </c>
      <c r="DH5130" t="s">
        <v>3896</v>
      </c>
      <c r="DI5130" s="406" t="str">
        <f t="shared" si="112"/>
        <v>SP, Mombuca</v>
      </c>
      <c r="DJ5130">
        <v>-22.928999999999998</v>
      </c>
      <c r="DK5130">
        <v>-47.566000000000003</v>
      </c>
      <c r="DL5130">
        <v>550</v>
      </c>
      <c r="DM5130" s="1">
        <v>3</v>
      </c>
      <c r="DN5130" t="s">
        <v>8716</v>
      </c>
      <c r="DO5130" s="406">
        <v>-22.73</v>
      </c>
      <c r="DP5130" s="80">
        <v>573</v>
      </c>
    </row>
    <row r="5131" spans="29:120" x14ac:dyDescent="0.25">
      <c r="AC5131" s="122" t="s">
        <v>300</v>
      </c>
      <c r="AD5131" s="122" t="s">
        <v>5310</v>
      </c>
      <c r="AE5131" s="127">
        <v>7</v>
      </c>
      <c r="DA5131" s="122" t="s">
        <v>376</v>
      </c>
      <c r="DB5131" s="122" t="s">
        <v>3976</v>
      </c>
      <c r="DC5131" s="122" t="s">
        <v>3976</v>
      </c>
      <c r="DD5131" s="127">
        <v>6</v>
      </c>
      <c r="DE5131" s="127">
        <v>6</v>
      </c>
      <c r="DG5131" t="s">
        <v>376</v>
      </c>
      <c r="DH5131" t="s">
        <v>3976</v>
      </c>
      <c r="DI5131" s="406" t="str">
        <f t="shared" si="112"/>
        <v>SP, Monções</v>
      </c>
      <c r="DJ5131">
        <v>-20.85</v>
      </c>
      <c r="DK5131">
        <v>-50.091999999999999</v>
      </c>
      <c r="DL5131">
        <v>406</v>
      </c>
      <c r="DM5131" s="1">
        <v>6</v>
      </c>
      <c r="DN5131" t="s">
        <v>6984</v>
      </c>
      <c r="DO5131" s="406">
        <v>-20.420000000000002</v>
      </c>
      <c r="DP5131" s="80">
        <v>486</v>
      </c>
    </row>
    <row r="5132" spans="29:120" x14ac:dyDescent="0.25">
      <c r="AC5132" s="122" t="s">
        <v>247</v>
      </c>
      <c r="AD5132" s="122" t="s">
        <v>5311</v>
      </c>
      <c r="AE5132" s="127">
        <v>8</v>
      </c>
      <c r="DA5132" s="122" t="s">
        <v>376</v>
      </c>
      <c r="DB5132" s="122" t="s">
        <v>3316</v>
      </c>
      <c r="DC5132" s="122" t="s">
        <v>3316</v>
      </c>
      <c r="DD5132" s="127">
        <v>3</v>
      </c>
      <c r="DE5132" s="127">
        <v>3</v>
      </c>
      <c r="DG5132" t="s">
        <v>376</v>
      </c>
      <c r="DH5132" t="s">
        <v>3316</v>
      </c>
      <c r="DI5132" s="406" t="str">
        <f t="shared" si="112"/>
        <v>SP, Mongaguá</v>
      </c>
      <c r="DJ5132">
        <v>-24.087</v>
      </c>
      <c r="DK5132">
        <v>-46.628999999999998</v>
      </c>
      <c r="DL5132">
        <v>18</v>
      </c>
      <c r="DM5132" s="1">
        <v>3</v>
      </c>
      <c r="DN5132" t="s">
        <v>8735</v>
      </c>
      <c r="DO5132" s="406">
        <v>-23.85</v>
      </c>
      <c r="DP5132" s="80">
        <v>792</v>
      </c>
    </row>
    <row r="5133" spans="29:120" x14ac:dyDescent="0.25">
      <c r="AC5133" s="122" t="s">
        <v>300</v>
      </c>
      <c r="AD5133" s="122" t="s">
        <v>5312</v>
      </c>
      <c r="AE5133" s="127">
        <v>7</v>
      </c>
      <c r="DA5133" s="122" t="s">
        <v>376</v>
      </c>
      <c r="DB5133" s="122" t="s">
        <v>8805</v>
      </c>
      <c r="DC5133" s="122" t="s">
        <v>1044</v>
      </c>
      <c r="DD5133" s="127">
        <v>3</v>
      </c>
      <c r="DE5133" s="127">
        <v>3</v>
      </c>
      <c r="DG5133" t="s">
        <v>376</v>
      </c>
      <c r="DH5133" t="s">
        <v>1044</v>
      </c>
      <c r="DI5133" s="406" t="str">
        <f t="shared" si="112"/>
        <v>SP, Monte Alegre do Sul</v>
      </c>
      <c r="DJ5133">
        <v>-22.681999999999999</v>
      </c>
      <c r="DK5133">
        <v>-46.680999999999997</v>
      </c>
      <c r="DL5133">
        <v>750</v>
      </c>
      <c r="DM5133" s="1">
        <v>3</v>
      </c>
      <c r="DN5133" t="s">
        <v>6808</v>
      </c>
      <c r="DO5133" s="406">
        <v>-22.42</v>
      </c>
      <c r="DP5133" s="80">
        <v>633</v>
      </c>
    </row>
    <row r="5134" spans="29:120" x14ac:dyDescent="0.25">
      <c r="AC5134" s="122" t="s">
        <v>328</v>
      </c>
      <c r="AD5134" s="122" t="s">
        <v>5313</v>
      </c>
      <c r="AE5134" s="127">
        <v>8</v>
      </c>
      <c r="DA5134" s="122" t="s">
        <v>376</v>
      </c>
      <c r="DB5134" s="122" t="s">
        <v>8806</v>
      </c>
      <c r="DC5134" s="122" t="s">
        <v>3786</v>
      </c>
      <c r="DD5134" s="127">
        <v>4</v>
      </c>
      <c r="DE5134" s="127">
        <v>4</v>
      </c>
      <c r="DG5134" t="s">
        <v>376</v>
      </c>
      <c r="DH5134" t="s">
        <v>3786</v>
      </c>
      <c r="DI5134" s="406" t="str">
        <f t="shared" si="112"/>
        <v>SP, Monte Alto</v>
      </c>
      <c r="DJ5134">
        <v>-21.260999999999999</v>
      </c>
      <c r="DK5134">
        <v>-48.496000000000002</v>
      </c>
      <c r="DL5134">
        <v>735</v>
      </c>
      <c r="DM5134" s="1">
        <v>4</v>
      </c>
      <c r="DN5134" t="s">
        <v>8721</v>
      </c>
      <c r="DO5134" s="406">
        <v>-21.13</v>
      </c>
      <c r="DP5134" s="80">
        <v>525</v>
      </c>
    </row>
    <row r="5135" spans="29:120" x14ac:dyDescent="0.25">
      <c r="AC5135" s="122" t="s">
        <v>300</v>
      </c>
      <c r="AD5135" s="122" t="s">
        <v>758</v>
      </c>
      <c r="AE5135" s="127">
        <v>7</v>
      </c>
      <c r="DA5135" s="122" t="s">
        <v>376</v>
      </c>
      <c r="DB5135" s="122" t="s">
        <v>8807</v>
      </c>
      <c r="DC5135" s="122" t="s">
        <v>4039</v>
      </c>
      <c r="DD5135" s="127">
        <v>6</v>
      </c>
      <c r="DE5135" s="127">
        <v>6</v>
      </c>
      <c r="DG5135" t="s">
        <v>376</v>
      </c>
      <c r="DH5135" t="s">
        <v>4039</v>
      </c>
      <c r="DI5135" s="406" t="str">
        <f t="shared" si="112"/>
        <v>SP, Monte Aprazível</v>
      </c>
      <c r="DJ5135">
        <v>-20.773</v>
      </c>
      <c r="DK5135">
        <v>-49.713999999999999</v>
      </c>
      <c r="DL5135">
        <v>475</v>
      </c>
      <c r="DM5135" s="1">
        <v>6</v>
      </c>
      <c r="DN5135" t="s">
        <v>8710</v>
      </c>
      <c r="DO5135" s="406">
        <v>-21.1</v>
      </c>
      <c r="DP5135" s="80">
        <v>405</v>
      </c>
    </row>
    <row r="5136" spans="29:120" x14ac:dyDescent="0.25">
      <c r="AC5136" s="122" t="s">
        <v>300</v>
      </c>
      <c r="AD5136" s="122" t="s">
        <v>5314</v>
      </c>
      <c r="AE5136" s="127">
        <v>7</v>
      </c>
      <c r="DA5136" s="122" t="s">
        <v>376</v>
      </c>
      <c r="DB5136" s="122" t="s">
        <v>8808</v>
      </c>
      <c r="DC5136" s="122" t="s">
        <v>3582</v>
      </c>
      <c r="DD5136" s="127">
        <v>4</v>
      </c>
      <c r="DE5136" s="127">
        <v>4</v>
      </c>
      <c r="DG5136" t="s">
        <v>376</v>
      </c>
      <c r="DH5136" t="s">
        <v>3582</v>
      </c>
      <c r="DI5136" s="406" t="str">
        <f t="shared" si="112"/>
        <v>SP, Monte Azul Paulista</v>
      </c>
      <c r="DJ5136">
        <v>-20.907</v>
      </c>
      <c r="DK5136">
        <v>-48.640999999999998</v>
      </c>
      <c r="DL5136">
        <v>611</v>
      </c>
      <c r="DM5136" s="1">
        <v>4</v>
      </c>
      <c r="DN5136" t="s">
        <v>8721</v>
      </c>
      <c r="DO5136" s="406">
        <v>-21.13</v>
      </c>
      <c r="DP5136" s="80">
        <v>525</v>
      </c>
    </row>
    <row r="5137" spans="29:120" x14ac:dyDescent="0.25">
      <c r="AC5137" s="122" t="s">
        <v>300</v>
      </c>
      <c r="AD5137" s="122" t="s">
        <v>5315</v>
      </c>
      <c r="AE5137" s="127">
        <v>7</v>
      </c>
      <c r="DA5137" s="122" t="s">
        <v>376</v>
      </c>
      <c r="DB5137" s="122" t="s">
        <v>8606</v>
      </c>
      <c r="DC5137" s="122" t="s">
        <v>1374</v>
      </c>
      <c r="DD5137" s="127">
        <v>6</v>
      </c>
      <c r="DE5137" s="127">
        <v>6</v>
      </c>
      <c r="DG5137" t="s">
        <v>376</v>
      </c>
      <c r="DH5137" t="s">
        <v>1374</v>
      </c>
      <c r="DI5137" s="406" t="str">
        <f t="shared" si="112"/>
        <v>SP, Monte Castelo</v>
      </c>
      <c r="DJ5137">
        <v>-21.298999999999999</v>
      </c>
      <c r="DK5137">
        <v>-51.569000000000003</v>
      </c>
      <c r="DL5137">
        <v>375</v>
      </c>
      <c r="DM5137" s="1">
        <v>6</v>
      </c>
      <c r="DN5137" t="s">
        <v>7254</v>
      </c>
      <c r="DO5137" s="406">
        <v>-20.75</v>
      </c>
      <c r="DP5137" s="80">
        <v>313</v>
      </c>
    </row>
    <row r="5138" spans="29:120" x14ac:dyDescent="0.25">
      <c r="AC5138" s="122" t="s">
        <v>369</v>
      </c>
      <c r="AD5138" s="122" t="s">
        <v>5316</v>
      </c>
      <c r="AE5138" s="127">
        <v>8</v>
      </c>
      <c r="DA5138" s="122" t="s">
        <v>376</v>
      </c>
      <c r="DB5138" s="122" t="s">
        <v>8809</v>
      </c>
      <c r="DC5138" s="122" t="s">
        <v>3904</v>
      </c>
      <c r="DD5138" s="127">
        <v>3</v>
      </c>
      <c r="DE5138" s="127">
        <v>3</v>
      </c>
      <c r="DG5138" t="s">
        <v>376</v>
      </c>
      <c r="DH5138" t="s">
        <v>3904</v>
      </c>
      <c r="DI5138" s="406" t="str">
        <f t="shared" si="112"/>
        <v>SP, Monte Mor</v>
      </c>
      <c r="DJ5138">
        <v>-22.946999999999999</v>
      </c>
      <c r="DK5138">
        <v>-47.316000000000003</v>
      </c>
      <c r="DL5138">
        <v>560</v>
      </c>
      <c r="DM5138" s="1">
        <v>3</v>
      </c>
      <c r="DN5138" t="s">
        <v>8726</v>
      </c>
      <c r="DO5138" s="406">
        <v>-22.82</v>
      </c>
      <c r="DP5138" s="80">
        <v>640</v>
      </c>
    </row>
    <row r="5139" spans="29:120" x14ac:dyDescent="0.25">
      <c r="AC5139" s="122" t="s">
        <v>357</v>
      </c>
      <c r="AD5139" s="122" t="s">
        <v>5317</v>
      </c>
      <c r="AE5139" s="127">
        <v>7</v>
      </c>
      <c r="DA5139" s="122" t="s">
        <v>376</v>
      </c>
      <c r="DB5139" s="122" t="s">
        <v>8810</v>
      </c>
      <c r="DC5139" s="122" t="s">
        <v>918</v>
      </c>
      <c r="DD5139" s="127">
        <v>3</v>
      </c>
      <c r="DE5139" s="127">
        <v>3</v>
      </c>
      <c r="DG5139" t="s">
        <v>376</v>
      </c>
      <c r="DH5139" t="s">
        <v>918</v>
      </c>
      <c r="DI5139" s="406" t="str">
        <f t="shared" si="112"/>
        <v>SP, Monteiro Lobato</v>
      </c>
      <c r="DJ5139">
        <v>-22.957000000000001</v>
      </c>
      <c r="DK5139">
        <v>-45.84</v>
      </c>
      <c r="DL5139">
        <v>685</v>
      </c>
      <c r="DM5139" s="1">
        <v>3</v>
      </c>
      <c r="DN5139" t="s">
        <v>8748</v>
      </c>
      <c r="DO5139" s="406">
        <v>-23.03</v>
      </c>
      <c r="DP5139" s="80">
        <v>571</v>
      </c>
    </row>
    <row r="5140" spans="29:120" x14ac:dyDescent="0.25">
      <c r="AC5140" s="122" t="s">
        <v>357</v>
      </c>
      <c r="AD5140" s="122" t="s">
        <v>5318</v>
      </c>
      <c r="AE5140" s="127">
        <v>7</v>
      </c>
      <c r="DA5140" s="122" t="s">
        <v>376</v>
      </c>
      <c r="DB5140" s="122" t="s">
        <v>8811</v>
      </c>
      <c r="DC5140" s="122" t="s">
        <v>3828</v>
      </c>
      <c r="DD5140" s="127">
        <v>4</v>
      </c>
      <c r="DE5140" s="127">
        <v>4</v>
      </c>
      <c r="DG5140" t="s">
        <v>376</v>
      </c>
      <c r="DH5140" t="s">
        <v>3828</v>
      </c>
      <c r="DI5140" s="406" t="str">
        <f t="shared" si="112"/>
        <v>SP, Morro Agudo</v>
      </c>
      <c r="DJ5140">
        <v>-20.731000000000002</v>
      </c>
      <c r="DK5140">
        <v>-48.058</v>
      </c>
      <c r="DL5140">
        <v>546</v>
      </c>
      <c r="DM5140" s="1">
        <v>4</v>
      </c>
      <c r="DN5140" t="s">
        <v>8732</v>
      </c>
      <c r="DO5140" s="406">
        <v>-20.36</v>
      </c>
      <c r="DP5140" s="80">
        <v>600</v>
      </c>
    </row>
    <row r="5141" spans="29:120" x14ac:dyDescent="0.25">
      <c r="AC5141" s="122" t="s">
        <v>340</v>
      </c>
      <c r="AD5141" s="122" t="s">
        <v>5319</v>
      </c>
      <c r="AE5141" s="127">
        <v>6</v>
      </c>
      <c r="DA5141" s="122" t="s">
        <v>376</v>
      </c>
      <c r="DB5141" s="122" t="s">
        <v>1061</v>
      </c>
      <c r="DC5141" s="122" t="s">
        <v>1061</v>
      </c>
      <c r="DD5141" s="127">
        <v>3</v>
      </c>
      <c r="DE5141" s="127">
        <v>3</v>
      </c>
      <c r="DG5141" t="s">
        <v>376</v>
      </c>
      <c r="DH5141" t="s">
        <v>1061</v>
      </c>
      <c r="DI5141" s="406" t="str">
        <f t="shared" si="112"/>
        <v>SP, Morungaba</v>
      </c>
      <c r="DJ5141">
        <v>-22.88</v>
      </c>
      <c r="DK5141">
        <v>-46.792000000000002</v>
      </c>
      <c r="DL5141">
        <v>765</v>
      </c>
      <c r="DM5141" s="1">
        <v>3</v>
      </c>
      <c r="DN5141" t="s">
        <v>8726</v>
      </c>
      <c r="DO5141" s="406">
        <v>-22.82</v>
      </c>
      <c r="DP5141" s="80">
        <v>640</v>
      </c>
    </row>
    <row r="5142" spans="29:120" x14ac:dyDescent="0.25">
      <c r="AC5142" s="122" t="s">
        <v>344</v>
      </c>
      <c r="AD5142" s="122" t="s">
        <v>5320</v>
      </c>
      <c r="AE5142" s="127">
        <v>8</v>
      </c>
      <c r="DA5142" s="122" t="s">
        <v>376</v>
      </c>
      <c r="DB5142" s="122" t="s">
        <v>3813</v>
      </c>
      <c r="DC5142" s="122" t="s">
        <v>3813</v>
      </c>
      <c r="DD5142" s="127">
        <v>4</v>
      </c>
      <c r="DE5142" s="127">
        <v>4</v>
      </c>
      <c r="DG5142" t="s">
        <v>376</v>
      </c>
      <c r="DH5142" t="s">
        <v>3813</v>
      </c>
      <c r="DI5142" s="406" t="str">
        <f t="shared" si="112"/>
        <v>SP, Motuca</v>
      </c>
      <c r="DJ5142">
        <v>-21.507999999999999</v>
      </c>
      <c r="DK5142">
        <v>-48.151000000000003</v>
      </c>
      <c r="DL5142">
        <v>618</v>
      </c>
      <c r="DM5142" s="1">
        <v>4</v>
      </c>
      <c r="DN5142" t="s">
        <v>8728</v>
      </c>
      <c r="DO5142" s="406">
        <v>-22.02</v>
      </c>
      <c r="DP5142" s="80">
        <v>863</v>
      </c>
    </row>
    <row r="5143" spans="29:120" x14ac:dyDescent="0.25">
      <c r="AC5143" s="122" t="s">
        <v>357</v>
      </c>
      <c r="AD5143" s="122" t="s">
        <v>5321</v>
      </c>
      <c r="AE5143" s="127">
        <v>7</v>
      </c>
      <c r="DA5143" s="122" t="s">
        <v>376</v>
      </c>
      <c r="DB5143" s="122" t="s">
        <v>8812</v>
      </c>
      <c r="DC5143" s="122" t="s">
        <v>4010</v>
      </c>
      <c r="DD5143" s="127">
        <v>6</v>
      </c>
      <c r="DE5143" s="127">
        <v>6</v>
      </c>
      <c r="DG5143" t="s">
        <v>376</v>
      </c>
      <c r="DH5143" t="s">
        <v>4010</v>
      </c>
      <c r="DI5143" s="406" t="str">
        <f t="shared" si="112"/>
        <v>SP, Murutinga do Sul</v>
      </c>
      <c r="DJ5143">
        <v>-20.992999999999999</v>
      </c>
      <c r="DK5143">
        <v>-51.277999999999999</v>
      </c>
      <c r="DL5143">
        <v>409</v>
      </c>
      <c r="DM5143" s="1">
        <v>6</v>
      </c>
      <c r="DN5143" t="s">
        <v>7254</v>
      </c>
      <c r="DO5143" s="406">
        <v>-20.75</v>
      </c>
      <c r="DP5143" s="80">
        <v>313</v>
      </c>
    </row>
    <row r="5144" spans="29:120" x14ac:dyDescent="0.25">
      <c r="AC5144" s="122" t="s">
        <v>289</v>
      </c>
      <c r="AD5144" s="122" t="s">
        <v>5322</v>
      </c>
      <c r="AE5144" s="127">
        <v>7</v>
      </c>
      <c r="DA5144" s="122" t="s">
        <v>376</v>
      </c>
      <c r="DB5144" s="122" t="s">
        <v>3794</v>
      </c>
      <c r="DC5144" s="122" t="s">
        <v>3794</v>
      </c>
      <c r="DD5144" s="127">
        <v>3</v>
      </c>
      <c r="DE5144" s="127">
        <v>3</v>
      </c>
      <c r="DG5144" t="s">
        <v>376</v>
      </c>
      <c r="DH5144" t="s">
        <v>3794</v>
      </c>
      <c r="DI5144" s="406" t="str">
        <f t="shared" si="112"/>
        <v>SP, Nantes</v>
      </c>
      <c r="DJ5144">
        <v>-22.620999999999999</v>
      </c>
      <c r="DK5144">
        <v>-51.237000000000002</v>
      </c>
      <c r="DL5144">
        <v>418</v>
      </c>
      <c r="DM5144" s="1">
        <v>3</v>
      </c>
      <c r="DN5144" t="s">
        <v>7819</v>
      </c>
      <c r="DO5144" s="406">
        <v>-22.37</v>
      </c>
      <c r="DP5144" s="80">
        <v>350</v>
      </c>
    </row>
    <row r="5145" spans="29:120" x14ac:dyDescent="0.25">
      <c r="AC5145" s="122" t="s">
        <v>369</v>
      </c>
      <c r="AD5145" s="122" t="s">
        <v>1517</v>
      </c>
      <c r="AE5145" s="127">
        <v>8</v>
      </c>
      <c r="DA5145" s="122" t="s">
        <v>376</v>
      </c>
      <c r="DB5145" s="122" t="s">
        <v>3687</v>
      </c>
      <c r="DC5145" s="122" t="s">
        <v>3687</v>
      </c>
      <c r="DD5145" s="127">
        <v>6</v>
      </c>
      <c r="DE5145" s="127">
        <v>6</v>
      </c>
      <c r="DG5145" t="s">
        <v>376</v>
      </c>
      <c r="DH5145" t="s">
        <v>3687</v>
      </c>
      <c r="DI5145" s="406" t="str">
        <f t="shared" si="112"/>
        <v>SP, Narandiba</v>
      </c>
      <c r="DJ5145">
        <v>-22.407</v>
      </c>
      <c r="DK5145">
        <v>-51.524000000000001</v>
      </c>
      <c r="DL5145">
        <v>419</v>
      </c>
      <c r="DM5145" s="1">
        <v>6</v>
      </c>
      <c r="DN5145" t="s">
        <v>8720</v>
      </c>
      <c r="DO5145" s="406">
        <v>-22.13</v>
      </c>
      <c r="DP5145" s="80">
        <v>436</v>
      </c>
    </row>
    <row r="5146" spans="29:120" x14ac:dyDescent="0.25">
      <c r="AC5146" s="122" t="s">
        <v>317</v>
      </c>
      <c r="AD5146" s="122" t="s">
        <v>5323</v>
      </c>
      <c r="AE5146" s="127">
        <v>8</v>
      </c>
      <c r="DA5146" s="122" t="s">
        <v>376</v>
      </c>
      <c r="DB5146" s="122" t="s">
        <v>8813</v>
      </c>
      <c r="DC5146" s="122" t="s">
        <v>873</v>
      </c>
      <c r="DD5146" s="127">
        <v>3</v>
      </c>
      <c r="DE5146" s="127">
        <v>3</v>
      </c>
      <c r="DG5146" t="s">
        <v>376</v>
      </c>
      <c r="DH5146" t="s">
        <v>873</v>
      </c>
      <c r="DI5146" s="406" t="str">
        <f t="shared" si="112"/>
        <v>SP, Natividade da Serra</v>
      </c>
      <c r="DJ5146">
        <v>-23.376000000000001</v>
      </c>
      <c r="DK5146">
        <v>-45.442</v>
      </c>
      <c r="DL5146">
        <v>720</v>
      </c>
      <c r="DM5146" s="1">
        <v>3</v>
      </c>
      <c r="DN5146" t="s">
        <v>8759</v>
      </c>
      <c r="DO5146" s="406">
        <v>-23.23</v>
      </c>
      <c r="DP5146" s="80">
        <v>874</v>
      </c>
    </row>
    <row r="5147" spans="29:120" x14ac:dyDescent="0.25">
      <c r="AC5147" s="122" t="s">
        <v>328</v>
      </c>
      <c r="AD5147" s="122" t="s">
        <v>5324</v>
      </c>
      <c r="AE5147" s="127">
        <v>8</v>
      </c>
      <c r="DA5147" s="122" t="s">
        <v>376</v>
      </c>
      <c r="DB5147" s="122" t="s">
        <v>8814</v>
      </c>
      <c r="DC5147" s="122" t="s">
        <v>1774</v>
      </c>
      <c r="DD5147" s="127">
        <v>3</v>
      </c>
      <c r="DE5147" s="127">
        <v>3</v>
      </c>
      <c r="DG5147" t="s">
        <v>376</v>
      </c>
      <c r="DH5147" t="s">
        <v>1774</v>
      </c>
      <c r="DI5147" s="406" t="str">
        <f t="shared" si="112"/>
        <v>SP, Nazaré Paulista</v>
      </c>
      <c r="DJ5147">
        <v>-23.181000000000001</v>
      </c>
      <c r="DK5147">
        <v>-46.395000000000003</v>
      </c>
      <c r="DL5147">
        <v>845</v>
      </c>
      <c r="DM5147" s="1">
        <v>3</v>
      </c>
      <c r="DN5147" t="s">
        <v>6861</v>
      </c>
      <c r="DO5147" s="406">
        <v>-22.86</v>
      </c>
      <c r="DP5147" s="80">
        <v>1500</v>
      </c>
    </row>
    <row r="5148" spans="29:120" x14ac:dyDescent="0.25">
      <c r="AC5148" s="122" t="s">
        <v>328</v>
      </c>
      <c r="AD5148" s="122" t="s">
        <v>5325</v>
      </c>
      <c r="AE5148" s="127">
        <v>8</v>
      </c>
      <c r="DA5148" s="122" t="s">
        <v>376</v>
      </c>
      <c r="DB5148" s="122" t="s">
        <v>8815</v>
      </c>
      <c r="DC5148" s="122" t="s">
        <v>4005</v>
      </c>
      <c r="DD5148" s="127">
        <v>6</v>
      </c>
      <c r="DE5148" s="127">
        <v>6</v>
      </c>
      <c r="DG5148" t="s">
        <v>376</v>
      </c>
      <c r="DH5148" t="s">
        <v>4005</v>
      </c>
      <c r="DI5148" s="406" t="str">
        <f t="shared" si="112"/>
        <v>SP, Neves Paulista</v>
      </c>
      <c r="DJ5148">
        <v>-20.846</v>
      </c>
      <c r="DK5148">
        <v>-49.63</v>
      </c>
      <c r="DL5148">
        <v>549</v>
      </c>
      <c r="DM5148" s="1">
        <v>6</v>
      </c>
      <c r="DN5148" t="s">
        <v>8710</v>
      </c>
      <c r="DO5148" s="406">
        <v>-21.1</v>
      </c>
      <c r="DP5148" s="80">
        <v>405</v>
      </c>
    </row>
    <row r="5149" spans="29:120" x14ac:dyDescent="0.25">
      <c r="AC5149" s="122" t="s">
        <v>289</v>
      </c>
      <c r="AD5149" s="122" t="s">
        <v>5326</v>
      </c>
      <c r="AE5149" s="127">
        <v>8</v>
      </c>
      <c r="DA5149" s="122" t="s">
        <v>376</v>
      </c>
      <c r="DB5149" s="122" t="s">
        <v>3948</v>
      </c>
      <c r="DC5149" s="122" t="s">
        <v>3948</v>
      </c>
      <c r="DD5149" s="127">
        <v>6</v>
      </c>
      <c r="DE5149" s="127">
        <v>6</v>
      </c>
      <c r="DG5149" t="s">
        <v>376</v>
      </c>
      <c r="DH5149" t="s">
        <v>3948</v>
      </c>
      <c r="DI5149" s="406" t="str">
        <f t="shared" si="112"/>
        <v>SP, Nhandeara</v>
      </c>
      <c r="DJ5149">
        <v>-20.693999999999999</v>
      </c>
      <c r="DK5149">
        <v>-50.037999999999997</v>
      </c>
      <c r="DL5149">
        <v>525</v>
      </c>
      <c r="DM5149" s="1">
        <v>6</v>
      </c>
      <c r="DN5149" t="s">
        <v>6984</v>
      </c>
      <c r="DO5149" s="406">
        <v>-20.420000000000002</v>
      </c>
      <c r="DP5149" s="80">
        <v>486</v>
      </c>
    </row>
    <row r="5150" spans="29:120" x14ac:dyDescent="0.25">
      <c r="AC5150" s="122" t="s">
        <v>323</v>
      </c>
      <c r="AD5150" s="122" t="s">
        <v>5327</v>
      </c>
      <c r="AE5150" s="127">
        <v>8</v>
      </c>
      <c r="DA5150" s="122" t="s">
        <v>376</v>
      </c>
      <c r="DB5150" s="122" t="s">
        <v>3972</v>
      </c>
      <c r="DC5150" s="122" t="s">
        <v>3972</v>
      </c>
      <c r="DD5150" s="127">
        <v>6</v>
      </c>
      <c r="DE5150" s="127">
        <v>6</v>
      </c>
      <c r="DG5150" t="s">
        <v>376</v>
      </c>
      <c r="DH5150" t="s">
        <v>3972</v>
      </c>
      <c r="DI5150" s="406" t="str">
        <f t="shared" si="112"/>
        <v>SP, Nipoã</v>
      </c>
      <c r="DJ5150">
        <v>-20.913</v>
      </c>
      <c r="DK5150">
        <v>-49.777999999999999</v>
      </c>
      <c r="DL5150">
        <v>439</v>
      </c>
      <c r="DM5150" s="1">
        <v>6</v>
      </c>
      <c r="DN5150" t="s">
        <v>8710</v>
      </c>
      <c r="DO5150" s="406">
        <v>-21.1</v>
      </c>
      <c r="DP5150" s="80">
        <v>405</v>
      </c>
    </row>
    <row r="5151" spans="29:120" x14ac:dyDescent="0.25">
      <c r="AC5151" s="122" t="s">
        <v>323</v>
      </c>
      <c r="AD5151" s="122" t="s">
        <v>5328</v>
      </c>
      <c r="AE5151" s="127">
        <v>8</v>
      </c>
      <c r="DA5151" s="122" t="s">
        <v>376</v>
      </c>
      <c r="DB5151" s="122" t="s">
        <v>8816</v>
      </c>
      <c r="DC5151" s="122" t="s">
        <v>3825</v>
      </c>
      <c r="DD5151" s="127">
        <v>6</v>
      </c>
      <c r="DE5151" s="127">
        <v>6</v>
      </c>
      <c r="DG5151" t="s">
        <v>376</v>
      </c>
      <c r="DH5151" t="s">
        <v>3825</v>
      </c>
      <c r="DI5151" s="406" t="str">
        <f t="shared" si="112"/>
        <v>SP, Nova Aliança</v>
      </c>
      <c r="DJ5151">
        <v>-21.015999999999998</v>
      </c>
      <c r="DK5151">
        <v>-49.496000000000002</v>
      </c>
      <c r="DL5151">
        <v>464</v>
      </c>
      <c r="DM5151" s="1">
        <v>6</v>
      </c>
      <c r="DN5151" t="s">
        <v>8710</v>
      </c>
      <c r="DO5151" s="406">
        <v>-21.1</v>
      </c>
      <c r="DP5151" s="80">
        <v>405</v>
      </c>
    </row>
    <row r="5152" spans="29:120" x14ac:dyDescent="0.25">
      <c r="AC5152" s="122" t="s">
        <v>323</v>
      </c>
      <c r="AD5152" s="122" t="s">
        <v>5329</v>
      </c>
      <c r="AE5152" s="127">
        <v>8</v>
      </c>
      <c r="DA5152" s="122" t="s">
        <v>376</v>
      </c>
      <c r="DB5152" s="122" t="s">
        <v>8817</v>
      </c>
      <c r="DC5152" s="122" t="s">
        <v>734</v>
      </c>
      <c r="DD5152" s="127">
        <v>2</v>
      </c>
      <c r="DE5152" s="127">
        <v>2</v>
      </c>
      <c r="DG5152" t="s">
        <v>376</v>
      </c>
      <c r="DH5152" t="s">
        <v>734</v>
      </c>
      <c r="DI5152" s="406" t="str">
        <f t="shared" si="112"/>
        <v>SP, Nova Campina</v>
      </c>
      <c r="DJ5152">
        <v>-24.120999999999999</v>
      </c>
      <c r="DK5152">
        <v>-48.904000000000003</v>
      </c>
      <c r="DL5152">
        <v>848</v>
      </c>
      <c r="DM5152" s="1">
        <v>2</v>
      </c>
      <c r="DN5152" t="s">
        <v>7807</v>
      </c>
      <c r="DO5152" s="406">
        <v>-23.98</v>
      </c>
      <c r="DP5152" s="80">
        <v>707</v>
      </c>
    </row>
    <row r="5153" spans="29:120" x14ac:dyDescent="0.25">
      <c r="AC5153" s="122" t="s">
        <v>289</v>
      </c>
      <c r="AD5153" s="122" t="s">
        <v>5330</v>
      </c>
      <c r="AE5153" s="127">
        <v>8</v>
      </c>
      <c r="DA5153" s="122" t="s">
        <v>376</v>
      </c>
      <c r="DB5153" s="122" t="s">
        <v>8818</v>
      </c>
      <c r="DC5153" s="122" t="s">
        <v>3899</v>
      </c>
      <c r="DD5153" s="127">
        <v>6</v>
      </c>
      <c r="DE5153" s="127">
        <v>6</v>
      </c>
      <c r="DG5153" t="s">
        <v>376</v>
      </c>
      <c r="DH5153" t="s">
        <v>3899</v>
      </c>
      <c r="DI5153" s="406" t="str">
        <f t="shared" si="112"/>
        <v>SP, Nova Canaã Paulista</v>
      </c>
      <c r="DJ5153">
        <v>-20.385999999999999</v>
      </c>
      <c r="DK5153">
        <v>-50.948999999999998</v>
      </c>
      <c r="DL5153">
        <v>401</v>
      </c>
      <c r="DM5153" s="1">
        <v>6</v>
      </c>
      <c r="DN5153" t="s">
        <v>6904</v>
      </c>
      <c r="DO5153" s="406">
        <v>-20.27</v>
      </c>
      <c r="DP5153" s="80">
        <v>457</v>
      </c>
    </row>
    <row r="5154" spans="29:120" x14ac:dyDescent="0.25">
      <c r="AC5154" s="122" t="s">
        <v>247</v>
      </c>
      <c r="AD5154" s="122" t="s">
        <v>5331</v>
      </c>
      <c r="AE5154" s="127">
        <v>8</v>
      </c>
      <c r="DA5154" s="122" t="s">
        <v>376</v>
      </c>
      <c r="DB5154" s="122" t="s">
        <v>8819</v>
      </c>
      <c r="DC5154" s="122" t="s">
        <v>3989</v>
      </c>
      <c r="DD5154" s="127">
        <v>6</v>
      </c>
      <c r="DE5154" s="127">
        <v>6</v>
      </c>
      <c r="DG5154" t="s">
        <v>376</v>
      </c>
      <c r="DH5154" t="s">
        <v>3989</v>
      </c>
      <c r="DI5154" s="406" t="str">
        <f t="shared" si="112"/>
        <v>SP, Nova Castilho</v>
      </c>
      <c r="DJ5154">
        <v>-20.763000000000002</v>
      </c>
      <c r="DK5154">
        <v>-50.343000000000004</v>
      </c>
      <c r="DL5154">
        <v>420</v>
      </c>
      <c r="DM5154" s="1">
        <v>6</v>
      </c>
      <c r="DN5154" t="s">
        <v>6984</v>
      </c>
      <c r="DO5154" s="406">
        <v>-20.420000000000002</v>
      </c>
      <c r="DP5154" s="80">
        <v>486</v>
      </c>
    </row>
    <row r="5155" spans="29:120" x14ac:dyDescent="0.25">
      <c r="AC5155" s="122" t="s">
        <v>323</v>
      </c>
      <c r="AD5155" s="122" t="s">
        <v>5332</v>
      </c>
      <c r="AE5155" s="127">
        <v>8</v>
      </c>
      <c r="DA5155" s="122" t="s">
        <v>376</v>
      </c>
      <c r="DB5155" s="122" t="s">
        <v>8820</v>
      </c>
      <c r="DC5155" s="122" t="s">
        <v>3816</v>
      </c>
      <c r="DD5155" s="127">
        <v>4</v>
      </c>
      <c r="DE5155" s="127">
        <v>4</v>
      </c>
      <c r="DG5155" t="s">
        <v>376</v>
      </c>
      <c r="DH5155" t="s">
        <v>3816</v>
      </c>
      <c r="DI5155" s="406" t="str">
        <f t="shared" si="112"/>
        <v>SP, Nova Europa</v>
      </c>
      <c r="DJ5155">
        <v>-21.777999999999999</v>
      </c>
      <c r="DK5155">
        <v>-48.561</v>
      </c>
      <c r="DL5155">
        <v>490</v>
      </c>
      <c r="DM5155" s="1">
        <v>4</v>
      </c>
      <c r="DN5155" t="s">
        <v>8733</v>
      </c>
      <c r="DO5155" s="406">
        <v>-21.86</v>
      </c>
      <c r="DP5155" s="80">
        <v>492</v>
      </c>
    </row>
    <row r="5156" spans="29:120" x14ac:dyDescent="0.25">
      <c r="AC5156" s="122" t="s">
        <v>247</v>
      </c>
      <c r="AD5156" s="122" t="s">
        <v>5333</v>
      </c>
      <c r="AE5156" s="127">
        <v>8</v>
      </c>
      <c r="DA5156" s="122" t="s">
        <v>376</v>
      </c>
      <c r="DB5156" s="122" t="s">
        <v>8821</v>
      </c>
      <c r="DC5156" s="122" t="s">
        <v>3832</v>
      </c>
      <c r="DD5156" s="127">
        <v>6</v>
      </c>
      <c r="DE5156" s="127">
        <v>6</v>
      </c>
      <c r="DG5156" t="s">
        <v>376</v>
      </c>
      <c r="DH5156" t="s">
        <v>3832</v>
      </c>
      <c r="DI5156" s="406" t="str">
        <f t="shared" si="112"/>
        <v>SP, Nova Granada</v>
      </c>
      <c r="DJ5156">
        <v>-20.533999999999999</v>
      </c>
      <c r="DK5156">
        <v>-49.314</v>
      </c>
      <c r="DL5156">
        <v>542</v>
      </c>
      <c r="DM5156" s="1">
        <v>6</v>
      </c>
      <c r="DN5156" t="s">
        <v>6984</v>
      </c>
      <c r="DO5156" s="406">
        <v>-20.420000000000002</v>
      </c>
      <c r="DP5156" s="80">
        <v>486</v>
      </c>
    </row>
    <row r="5157" spans="29:120" x14ac:dyDescent="0.25">
      <c r="AC5157" s="122" t="s">
        <v>323</v>
      </c>
      <c r="AD5157" s="122" t="s">
        <v>5334</v>
      </c>
      <c r="AE5157" s="127">
        <v>8</v>
      </c>
      <c r="DA5157" s="122" t="s">
        <v>376</v>
      </c>
      <c r="DB5157" s="122" t="s">
        <v>8822</v>
      </c>
      <c r="DC5157" s="122" t="s">
        <v>4011</v>
      </c>
      <c r="DD5157" s="127">
        <v>6</v>
      </c>
      <c r="DE5157" s="127">
        <v>6</v>
      </c>
      <c r="DG5157" t="s">
        <v>376</v>
      </c>
      <c r="DH5157" t="s">
        <v>4011</v>
      </c>
      <c r="DI5157" s="406" t="str">
        <f t="shared" si="112"/>
        <v>SP, Nova Guataporanga</v>
      </c>
      <c r="DJ5157">
        <v>-21.334</v>
      </c>
      <c r="DK5157">
        <v>-51.643999999999998</v>
      </c>
      <c r="DL5157">
        <v>382</v>
      </c>
      <c r="DM5157" s="1">
        <v>6</v>
      </c>
      <c r="DN5157" t="s">
        <v>7254</v>
      </c>
      <c r="DO5157" s="406">
        <v>-20.75</v>
      </c>
      <c r="DP5157" s="80">
        <v>313</v>
      </c>
    </row>
    <row r="5158" spans="29:120" x14ac:dyDescent="0.25">
      <c r="AC5158" s="122" t="s">
        <v>323</v>
      </c>
      <c r="AD5158" s="122" t="s">
        <v>5335</v>
      </c>
      <c r="AE5158" s="127">
        <v>8</v>
      </c>
      <c r="DA5158" s="122" t="s">
        <v>376</v>
      </c>
      <c r="DB5158" s="122" t="s">
        <v>8823</v>
      </c>
      <c r="DC5158" s="122" t="s">
        <v>3984</v>
      </c>
      <c r="DD5158" s="127">
        <v>6</v>
      </c>
      <c r="DE5158" s="127">
        <v>6</v>
      </c>
      <c r="DG5158" t="s">
        <v>376</v>
      </c>
      <c r="DH5158" t="s">
        <v>3984</v>
      </c>
      <c r="DI5158" s="406" t="str">
        <f t="shared" si="112"/>
        <v>SP, Nova Independência</v>
      </c>
      <c r="DJ5158">
        <v>-21.103999999999999</v>
      </c>
      <c r="DK5158">
        <v>-51.49</v>
      </c>
      <c r="DL5158">
        <v>316</v>
      </c>
      <c r="DM5158" s="1">
        <v>6</v>
      </c>
      <c r="DN5158" t="s">
        <v>7254</v>
      </c>
      <c r="DO5158" s="406">
        <v>-20.75</v>
      </c>
      <c r="DP5158" s="80">
        <v>313</v>
      </c>
    </row>
    <row r="5159" spans="29:120" x14ac:dyDescent="0.25">
      <c r="AC5159" s="122" t="s">
        <v>323</v>
      </c>
      <c r="AD5159" s="122" t="s">
        <v>5336</v>
      </c>
      <c r="AE5159" s="127">
        <v>8</v>
      </c>
      <c r="DA5159" s="122" t="s">
        <v>376</v>
      </c>
      <c r="DB5159" s="122" t="s">
        <v>8824</v>
      </c>
      <c r="DC5159" s="122" t="s">
        <v>3986</v>
      </c>
      <c r="DD5159" s="127">
        <v>6</v>
      </c>
      <c r="DE5159" s="127">
        <v>6</v>
      </c>
      <c r="DG5159" t="s">
        <v>376</v>
      </c>
      <c r="DH5159" t="s">
        <v>3986</v>
      </c>
      <c r="DI5159" s="406" t="str">
        <f t="shared" si="112"/>
        <v>SP, Nova Luzitânia</v>
      </c>
      <c r="DJ5159">
        <v>-20.856000000000002</v>
      </c>
      <c r="DK5159">
        <v>-50.262</v>
      </c>
      <c r="DL5159">
        <v>420</v>
      </c>
      <c r="DM5159" s="1">
        <v>6</v>
      </c>
      <c r="DN5159" t="s">
        <v>6984</v>
      </c>
      <c r="DO5159" s="406">
        <v>-20.420000000000002</v>
      </c>
      <c r="DP5159" s="80">
        <v>486</v>
      </c>
    </row>
    <row r="5160" spans="29:120" x14ac:dyDescent="0.25">
      <c r="AC5160" s="122" t="s">
        <v>247</v>
      </c>
      <c r="AD5160" s="122" t="s">
        <v>5337</v>
      </c>
      <c r="AE5160" s="127">
        <v>8</v>
      </c>
      <c r="DA5160" s="122" t="s">
        <v>376</v>
      </c>
      <c r="DB5160" s="122" t="s">
        <v>8825</v>
      </c>
      <c r="DC5160" s="122" t="s">
        <v>3957</v>
      </c>
      <c r="DD5160" s="127">
        <v>3</v>
      </c>
      <c r="DE5160" s="127">
        <v>3</v>
      </c>
      <c r="DG5160" t="s">
        <v>376</v>
      </c>
      <c r="DH5160" t="s">
        <v>3957</v>
      </c>
      <c r="DI5160" s="406" t="str">
        <f t="shared" si="112"/>
        <v>SP, Nova Odessa</v>
      </c>
      <c r="DJ5160">
        <v>-22.777999999999999</v>
      </c>
      <c r="DK5160">
        <v>-47.295999999999999</v>
      </c>
      <c r="DL5160">
        <v>570</v>
      </c>
      <c r="DM5160" s="1">
        <v>3</v>
      </c>
      <c r="DN5160" t="s">
        <v>8726</v>
      </c>
      <c r="DO5160" s="406">
        <v>-22.82</v>
      </c>
      <c r="DP5160" s="80">
        <v>640</v>
      </c>
    </row>
    <row r="5161" spans="29:120" x14ac:dyDescent="0.25">
      <c r="AC5161" s="122" t="s">
        <v>323</v>
      </c>
      <c r="AD5161" s="122" t="s">
        <v>5338</v>
      </c>
      <c r="AE5161" s="127">
        <v>8</v>
      </c>
      <c r="DA5161" s="122" t="s">
        <v>376</v>
      </c>
      <c r="DB5161" s="122" t="s">
        <v>2814</v>
      </c>
      <c r="DC5161" s="122" t="s">
        <v>2814</v>
      </c>
      <c r="DD5161" s="127">
        <v>6</v>
      </c>
      <c r="DE5161" s="127">
        <v>6</v>
      </c>
      <c r="DG5161" t="s">
        <v>376</v>
      </c>
      <c r="DH5161" t="s">
        <v>2814</v>
      </c>
      <c r="DI5161" s="406" t="str">
        <f t="shared" si="112"/>
        <v>SP, Novais</v>
      </c>
      <c r="DJ5161">
        <v>-20.992000000000001</v>
      </c>
      <c r="DK5161">
        <v>-48.918999999999997</v>
      </c>
      <c r="DL5161">
        <v>555</v>
      </c>
      <c r="DM5161" s="1">
        <v>6</v>
      </c>
      <c r="DN5161" t="s">
        <v>8721</v>
      </c>
      <c r="DO5161" s="406">
        <v>-21.13</v>
      </c>
      <c r="DP5161" s="80">
        <v>525</v>
      </c>
    </row>
    <row r="5162" spans="29:120" x14ac:dyDescent="0.25">
      <c r="AC5162" s="122" t="s">
        <v>247</v>
      </c>
      <c r="AD5162" s="122" t="s">
        <v>5339</v>
      </c>
      <c r="AE5162" s="127">
        <v>8</v>
      </c>
      <c r="DA5162" s="122" t="s">
        <v>376</v>
      </c>
      <c r="DB5162" s="122" t="s">
        <v>6324</v>
      </c>
      <c r="DC5162" s="122" t="s">
        <v>1111</v>
      </c>
      <c r="DD5162" s="127">
        <v>3</v>
      </c>
      <c r="DE5162" s="127">
        <v>3</v>
      </c>
      <c r="DG5162" t="s">
        <v>376</v>
      </c>
      <c r="DH5162" t="s">
        <v>1111</v>
      </c>
      <c r="DI5162" s="406" t="str">
        <f t="shared" si="112"/>
        <v>SP, Novo Horizonte</v>
      </c>
      <c r="DJ5162">
        <v>-21.468</v>
      </c>
      <c r="DK5162">
        <v>-49.220999999999997</v>
      </c>
      <c r="DL5162">
        <v>447</v>
      </c>
      <c r="DM5162" s="1">
        <v>3</v>
      </c>
      <c r="DN5162" t="s">
        <v>8721</v>
      </c>
      <c r="DO5162" s="406">
        <v>-21.13</v>
      </c>
      <c r="DP5162" s="80">
        <v>525</v>
      </c>
    </row>
    <row r="5163" spans="29:120" x14ac:dyDescent="0.25">
      <c r="AC5163" s="122" t="s">
        <v>298</v>
      </c>
      <c r="AD5163" s="122" t="s">
        <v>5340</v>
      </c>
      <c r="AE5163" s="127">
        <v>8</v>
      </c>
      <c r="DA5163" s="122" t="s">
        <v>376</v>
      </c>
      <c r="DB5163" s="122" t="s">
        <v>3766</v>
      </c>
      <c r="DC5163" s="122" t="s">
        <v>3766</v>
      </c>
      <c r="DD5163" s="127">
        <v>4</v>
      </c>
      <c r="DE5163" s="127">
        <v>4</v>
      </c>
      <c r="DG5163" t="s">
        <v>376</v>
      </c>
      <c r="DH5163" t="s">
        <v>3766</v>
      </c>
      <c r="DI5163" s="406" t="str">
        <f t="shared" si="112"/>
        <v>SP, Nuporanga</v>
      </c>
      <c r="DJ5163">
        <v>-20.73</v>
      </c>
      <c r="DK5163">
        <v>-47.749000000000002</v>
      </c>
      <c r="DL5163">
        <v>775</v>
      </c>
      <c r="DM5163" s="1">
        <v>4</v>
      </c>
      <c r="DN5163" t="s">
        <v>8732</v>
      </c>
      <c r="DO5163" s="406">
        <v>-20.36</v>
      </c>
      <c r="DP5163" s="80">
        <v>600</v>
      </c>
    </row>
    <row r="5164" spans="29:120" x14ac:dyDescent="0.25">
      <c r="AC5164" s="122" t="s">
        <v>323</v>
      </c>
      <c r="AD5164" s="122" t="s">
        <v>4216</v>
      </c>
      <c r="AE5164" s="127">
        <v>8</v>
      </c>
      <c r="DA5164" s="122" t="s">
        <v>376</v>
      </c>
      <c r="DB5164" s="122" t="s">
        <v>3631</v>
      </c>
      <c r="DC5164" s="122" t="s">
        <v>3631</v>
      </c>
      <c r="DD5164" s="127">
        <v>3</v>
      </c>
      <c r="DE5164" s="127">
        <v>3</v>
      </c>
      <c r="DG5164" t="s">
        <v>376</v>
      </c>
      <c r="DH5164" t="s">
        <v>3631</v>
      </c>
      <c r="DI5164" s="406" t="str">
        <f t="shared" si="112"/>
        <v>SP, Ocauçu</v>
      </c>
      <c r="DJ5164">
        <v>-22.439</v>
      </c>
      <c r="DK5164">
        <v>-49.923000000000002</v>
      </c>
      <c r="DL5164">
        <v>551</v>
      </c>
      <c r="DM5164" s="1">
        <v>3</v>
      </c>
      <c r="DN5164" t="s">
        <v>7822</v>
      </c>
      <c r="DO5164" s="406">
        <v>-22.98</v>
      </c>
      <c r="DP5164" s="80">
        <v>448</v>
      </c>
    </row>
    <row r="5165" spans="29:120" x14ac:dyDescent="0.25">
      <c r="AC5165" s="122" t="s">
        <v>348</v>
      </c>
      <c r="AD5165" s="122" t="s">
        <v>5341</v>
      </c>
      <c r="AE5165" s="127">
        <v>8</v>
      </c>
      <c r="DA5165" s="122" t="s">
        <v>376</v>
      </c>
      <c r="DB5165" s="122" t="s">
        <v>1785</v>
      </c>
      <c r="DC5165" s="122" t="s">
        <v>1785</v>
      </c>
      <c r="DD5165" s="127">
        <v>3</v>
      </c>
      <c r="DE5165" s="127">
        <v>3</v>
      </c>
      <c r="DG5165" t="s">
        <v>376</v>
      </c>
      <c r="DH5165" t="s">
        <v>1785</v>
      </c>
      <c r="DI5165" s="406" t="str">
        <f t="shared" si="112"/>
        <v>SP, Óleo</v>
      </c>
      <c r="DJ5165">
        <v>-22.940999999999999</v>
      </c>
      <c r="DK5165">
        <v>-49.341999999999999</v>
      </c>
      <c r="DL5165">
        <v>682</v>
      </c>
      <c r="DM5165" s="1">
        <v>3</v>
      </c>
      <c r="DN5165" t="s">
        <v>8714</v>
      </c>
      <c r="DO5165" s="406">
        <v>-23.1</v>
      </c>
      <c r="DP5165" s="80">
        <v>654</v>
      </c>
    </row>
    <row r="5166" spans="29:120" x14ac:dyDescent="0.25">
      <c r="AC5166" s="122" t="s">
        <v>323</v>
      </c>
      <c r="AD5166" s="122" t="s">
        <v>2289</v>
      </c>
      <c r="AE5166" s="127">
        <v>8</v>
      </c>
      <c r="DA5166" s="122" t="s">
        <v>376</v>
      </c>
      <c r="DB5166" s="122" t="s">
        <v>3757</v>
      </c>
      <c r="DC5166" s="122" t="s">
        <v>3757</v>
      </c>
      <c r="DD5166" s="127">
        <v>6</v>
      </c>
      <c r="DE5166" s="127">
        <v>6</v>
      </c>
      <c r="DG5166" t="s">
        <v>376</v>
      </c>
      <c r="DH5166" t="s">
        <v>3757</v>
      </c>
      <c r="DI5166" s="406" t="str">
        <f t="shared" si="112"/>
        <v>SP, Olímpia</v>
      </c>
      <c r="DJ5166">
        <v>-20.736999999999998</v>
      </c>
      <c r="DK5166">
        <v>-48.914999999999999</v>
      </c>
      <c r="DL5166">
        <v>506</v>
      </c>
      <c r="DM5166" s="1">
        <v>6</v>
      </c>
      <c r="DN5166" t="s">
        <v>8721</v>
      </c>
      <c r="DO5166" s="406">
        <v>-21.13</v>
      </c>
      <c r="DP5166" s="80">
        <v>525</v>
      </c>
    </row>
    <row r="5167" spans="29:120" x14ac:dyDescent="0.25">
      <c r="AC5167" s="122" t="s">
        <v>298</v>
      </c>
      <c r="AD5167" s="122" t="s">
        <v>5342</v>
      </c>
      <c r="AE5167" s="127">
        <v>8</v>
      </c>
      <c r="DA5167" s="122" t="s">
        <v>376</v>
      </c>
      <c r="DB5167" s="122" t="s">
        <v>8826</v>
      </c>
      <c r="DC5167" s="122" t="s">
        <v>3797</v>
      </c>
      <c r="DD5167" s="127">
        <v>6</v>
      </c>
      <c r="DE5167" s="127">
        <v>6</v>
      </c>
      <c r="DG5167" t="s">
        <v>376</v>
      </c>
      <c r="DH5167" t="s">
        <v>3797</v>
      </c>
      <c r="DI5167" s="406" t="str">
        <f t="shared" si="112"/>
        <v>SP, Onda Verde</v>
      </c>
      <c r="DJ5167">
        <v>-20.614000000000001</v>
      </c>
      <c r="DK5167">
        <v>-49.298999999999999</v>
      </c>
      <c r="DL5167">
        <v>534</v>
      </c>
      <c r="DM5167" s="1">
        <v>6</v>
      </c>
      <c r="DN5167" t="s">
        <v>8710</v>
      </c>
      <c r="DO5167" s="406">
        <v>-21.1</v>
      </c>
      <c r="DP5167" s="80">
        <v>405</v>
      </c>
    </row>
    <row r="5168" spans="29:120" x14ac:dyDescent="0.25">
      <c r="AC5168" s="122" t="s">
        <v>298</v>
      </c>
      <c r="AD5168" s="122" t="s">
        <v>5343</v>
      </c>
      <c r="AE5168" s="127">
        <v>8</v>
      </c>
      <c r="DA5168" s="122" t="s">
        <v>376</v>
      </c>
      <c r="DB5168" s="122" t="s">
        <v>3688</v>
      </c>
      <c r="DC5168" s="122" t="s">
        <v>3688</v>
      </c>
      <c r="DD5168" s="127">
        <v>3</v>
      </c>
      <c r="DE5168" s="127">
        <v>3</v>
      </c>
      <c r="DG5168" t="s">
        <v>376</v>
      </c>
      <c r="DH5168" t="s">
        <v>3688</v>
      </c>
      <c r="DI5168" s="406" t="str">
        <f t="shared" si="112"/>
        <v>SP, Oriente</v>
      </c>
      <c r="DJ5168">
        <v>-22.152999999999999</v>
      </c>
      <c r="DK5168">
        <v>-50.091000000000001</v>
      </c>
      <c r="DL5168">
        <v>604</v>
      </c>
      <c r="DM5168" s="1">
        <v>3</v>
      </c>
      <c r="DN5168" t="s">
        <v>8722</v>
      </c>
      <c r="DO5168" s="406">
        <v>-21.68</v>
      </c>
      <c r="DP5168" s="80">
        <v>459</v>
      </c>
    </row>
    <row r="5169" spans="29:120" x14ac:dyDescent="0.25">
      <c r="AC5169" s="122" t="s">
        <v>298</v>
      </c>
      <c r="AD5169" s="122" t="s">
        <v>5344</v>
      </c>
      <c r="AE5169" s="127">
        <v>8</v>
      </c>
      <c r="DA5169" s="122" t="s">
        <v>376</v>
      </c>
      <c r="DB5169" s="122" t="s">
        <v>3568</v>
      </c>
      <c r="DC5169" s="122" t="s">
        <v>3568</v>
      </c>
      <c r="DD5169" s="127">
        <v>6</v>
      </c>
      <c r="DE5169" s="127">
        <v>6</v>
      </c>
      <c r="DG5169" t="s">
        <v>376</v>
      </c>
      <c r="DH5169" t="s">
        <v>3568</v>
      </c>
      <c r="DI5169" s="406" t="str">
        <f t="shared" si="112"/>
        <v>SP, Orindiúva</v>
      </c>
      <c r="DJ5169">
        <v>-20.181999999999999</v>
      </c>
      <c r="DK5169">
        <v>-49.350999999999999</v>
      </c>
      <c r="DL5169">
        <v>633</v>
      </c>
      <c r="DM5169" s="1">
        <v>6</v>
      </c>
      <c r="DN5169" t="s">
        <v>6984</v>
      </c>
      <c r="DO5169" s="406">
        <v>-20.420000000000002</v>
      </c>
      <c r="DP5169" s="80">
        <v>486</v>
      </c>
    </row>
    <row r="5170" spans="29:120" x14ac:dyDescent="0.25">
      <c r="AC5170" s="122" t="s">
        <v>298</v>
      </c>
      <c r="AD5170" s="122" t="s">
        <v>5345</v>
      </c>
      <c r="AE5170" s="127">
        <v>8</v>
      </c>
      <c r="DA5170" s="122" t="s">
        <v>376</v>
      </c>
      <c r="DB5170" s="122" t="s">
        <v>3778</v>
      </c>
      <c r="DC5170" s="122" t="s">
        <v>3778</v>
      </c>
      <c r="DD5170" s="127">
        <v>4</v>
      </c>
      <c r="DE5170" s="127">
        <v>4</v>
      </c>
      <c r="DG5170" t="s">
        <v>376</v>
      </c>
      <c r="DH5170" t="s">
        <v>3778</v>
      </c>
      <c r="DI5170" s="406" t="str">
        <f t="shared" si="112"/>
        <v>SP, Orlândia</v>
      </c>
      <c r="DJ5170">
        <v>-20.72</v>
      </c>
      <c r="DK5170">
        <v>-47.887</v>
      </c>
      <c r="DL5170">
        <v>695</v>
      </c>
      <c r="DM5170" s="1">
        <v>4</v>
      </c>
      <c r="DN5170" t="s">
        <v>8732</v>
      </c>
      <c r="DO5170" s="406">
        <v>-20.36</v>
      </c>
      <c r="DP5170" s="80">
        <v>600</v>
      </c>
    </row>
    <row r="5171" spans="29:120" x14ac:dyDescent="0.25">
      <c r="AC5171" s="122" t="s">
        <v>298</v>
      </c>
      <c r="AD5171" s="122" t="s">
        <v>5346</v>
      </c>
      <c r="AE5171" s="127">
        <v>8</v>
      </c>
      <c r="DA5171" s="122" t="s">
        <v>376</v>
      </c>
      <c r="DB5171" s="122" t="s">
        <v>464</v>
      </c>
      <c r="DC5171" s="122" t="s">
        <v>464</v>
      </c>
      <c r="DD5171" s="127">
        <v>3</v>
      </c>
      <c r="DE5171" s="127">
        <v>3</v>
      </c>
      <c r="DG5171" t="s">
        <v>376</v>
      </c>
      <c r="DH5171" t="s">
        <v>464</v>
      </c>
      <c r="DI5171" s="406" t="str">
        <f t="shared" si="112"/>
        <v>SP, Osasco</v>
      </c>
      <c r="DJ5171">
        <v>-23.533000000000001</v>
      </c>
      <c r="DK5171">
        <v>-46.792000000000002</v>
      </c>
      <c r="DL5171">
        <v>745</v>
      </c>
      <c r="DM5171" s="1">
        <v>3</v>
      </c>
      <c r="DN5171" t="s">
        <v>8735</v>
      </c>
      <c r="DO5171" s="406">
        <v>-23.85</v>
      </c>
      <c r="DP5171" s="80">
        <v>792</v>
      </c>
    </row>
    <row r="5172" spans="29:120" x14ac:dyDescent="0.25">
      <c r="AC5172" s="122" t="s">
        <v>298</v>
      </c>
      <c r="AD5172" s="122" t="s">
        <v>5347</v>
      </c>
      <c r="AE5172" s="127">
        <v>8</v>
      </c>
      <c r="DA5172" s="122" t="s">
        <v>376</v>
      </c>
      <c r="DB5172" s="122" t="s">
        <v>8827</v>
      </c>
      <c r="DC5172" s="122" t="s">
        <v>3841</v>
      </c>
      <c r="DD5172" s="127">
        <v>3</v>
      </c>
      <c r="DE5172" s="127">
        <v>3</v>
      </c>
      <c r="DG5172" t="s">
        <v>376</v>
      </c>
      <c r="DH5172" t="s">
        <v>3841</v>
      </c>
      <c r="DI5172" s="406" t="str">
        <f t="shared" si="112"/>
        <v>SP, Oscar Bressane</v>
      </c>
      <c r="DJ5172">
        <v>-22.318000000000001</v>
      </c>
      <c r="DK5172">
        <v>-50.280999999999999</v>
      </c>
      <c r="DL5172">
        <v>481</v>
      </c>
      <c r="DM5172" s="1">
        <v>3</v>
      </c>
      <c r="DN5172" t="s">
        <v>7819</v>
      </c>
      <c r="DO5172" s="406">
        <v>-22.37</v>
      </c>
      <c r="DP5172" s="80">
        <v>350</v>
      </c>
    </row>
    <row r="5173" spans="29:120" x14ac:dyDescent="0.25">
      <c r="AC5173" s="122" t="s">
        <v>323</v>
      </c>
      <c r="AD5173" s="122" t="s">
        <v>5348</v>
      </c>
      <c r="AE5173" s="127">
        <v>8</v>
      </c>
      <c r="DA5173" s="122" t="s">
        <v>376</v>
      </c>
      <c r="DB5173" s="122" t="s">
        <v>8828</v>
      </c>
      <c r="DC5173" s="122" t="s">
        <v>4032</v>
      </c>
      <c r="DD5173" s="127">
        <v>6</v>
      </c>
      <c r="DE5173" s="127">
        <v>6</v>
      </c>
      <c r="DG5173" t="s">
        <v>376</v>
      </c>
      <c r="DH5173" t="s">
        <v>4032</v>
      </c>
      <c r="DI5173" s="406" t="str">
        <f t="shared" si="112"/>
        <v>SP, Osvaldo Cruz</v>
      </c>
      <c r="DJ5173">
        <v>-21.797000000000001</v>
      </c>
      <c r="DK5173">
        <v>-50.89</v>
      </c>
      <c r="DL5173">
        <v>485</v>
      </c>
      <c r="DM5173" s="1">
        <v>6</v>
      </c>
      <c r="DN5173" t="s">
        <v>8709</v>
      </c>
      <c r="DO5173" s="406">
        <v>-21.32</v>
      </c>
      <c r="DP5173" s="80">
        <v>374</v>
      </c>
    </row>
    <row r="5174" spans="29:120" x14ac:dyDescent="0.25">
      <c r="AC5174" s="122" t="s">
        <v>289</v>
      </c>
      <c r="AD5174" s="122" t="s">
        <v>5349</v>
      </c>
      <c r="AE5174" s="127">
        <v>5</v>
      </c>
      <c r="DA5174" s="122" t="s">
        <v>376</v>
      </c>
      <c r="DB5174" s="122" t="s">
        <v>3541</v>
      </c>
      <c r="DC5174" s="122" t="s">
        <v>3541</v>
      </c>
      <c r="DD5174" s="127">
        <v>3</v>
      </c>
      <c r="DE5174" s="127">
        <v>3</v>
      </c>
      <c r="DG5174" t="s">
        <v>376</v>
      </c>
      <c r="DH5174" t="s">
        <v>3541</v>
      </c>
      <c r="DI5174" s="406" t="str">
        <f t="shared" si="112"/>
        <v>SP, Ourinhos</v>
      </c>
      <c r="DJ5174">
        <v>-22.978999999999999</v>
      </c>
      <c r="DK5174">
        <v>-49.871000000000002</v>
      </c>
      <c r="DL5174">
        <v>483</v>
      </c>
      <c r="DM5174" s="1">
        <v>3</v>
      </c>
      <c r="DN5174" t="s">
        <v>7822</v>
      </c>
      <c r="DO5174" s="406">
        <v>-22.98</v>
      </c>
      <c r="DP5174" s="80">
        <v>448</v>
      </c>
    </row>
    <row r="5175" spans="29:120" x14ac:dyDescent="0.25">
      <c r="AC5175" s="122" t="s">
        <v>323</v>
      </c>
      <c r="AD5175" s="122" t="s">
        <v>5350</v>
      </c>
      <c r="AE5175" s="127">
        <v>8</v>
      </c>
      <c r="DA5175" s="122" t="s">
        <v>376</v>
      </c>
      <c r="DB5175" s="122" t="s">
        <v>8613</v>
      </c>
      <c r="DC5175" s="122" t="s">
        <v>1536</v>
      </c>
      <c r="DD5175" s="127">
        <v>6</v>
      </c>
      <c r="DE5175" s="127">
        <v>6</v>
      </c>
      <c r="DG5175" t="s">
        <v>376</v>
      </c>
      <c r="DH5175" t="s">
        <v>1536</v>
      </c>
      <c r="DI5175" s="406" t="str">
        <f t="shared" si="112"/>
        <v>SP, Ouro Verde</v>
      </c>
      <c r="DJ5175">
        <v>-21.489000000000001</v>
      </c>
      <c r="DK5175">
        <v>-51.7</v>
      </c>
      <c r="DL5175">
        <v>350</v>
      </c>
      <c r="DM5175" s="1">
        <v>6</v>
      </c>
      <c r="DN5175" t="s">
        <v>8720</v>
      </c>
      <c r="DO5175" s="406">
        <v>-22.13</v>
      </c>
      <c r="DP5175" s="80">
        <v>436</v>
      </c>
    </row>
    <row r="5176" spans="29:120" x14ac:dyDescent="0.25">
      <c r="AC5176" s="122" t="s">
        <v>247</v>
      </c>
      <c r="AD5176" s="122" t="s">
        <v>5351</v>
      </c>
      <c r="AE5176" s="127">
        <v>8</v>
      </c>
      <c r="DA5176" s="122" t="s">
        <v>376</v>
      </c>
      <c r="DB5176" s="122" t="s">
        <v>3570</v>
      </c>
      <c r="DC5176" s="122" t="s">
        <v>3570</v>
      </c>
      <c r="DD5176" s="127">
        <v>6</v>
      </c>
      <c r="DE5176" s="127">
        <v>6</v>
      </c>
      <c r="DG5176" t="s">
        <v>376</v>
      </c>
      <c r="DH5176" t="s">
        <v>3570</v>
      </c>
      <c r="DI5176" s="406" t="str">
        <f t="shared" si="112"/>
        <v>SP, Ouroeste</v>
      </c>
      <c r="DJ5176">
        <v>-20.001000000000001</v>
      </c>
      <c r="DK5176">
        <v>-50.372</v>
      </c>
      <c r="DL5176">
        <v>500</v>
      </c>
      <c r="DM5176" s="1">
        <v>6</v>
      </c>
      <c r="DN5176" t="s">
        <v>6904</v>
      </c>
      <c r="DO5176" s="406">
        <v>-20.27</v>
      </c>
      <c r="DP5176" s="80">
        <v>457</v>
      </c>
    </row>
    <row r="5177" spans="29:120" x14ac:dyDescent="0.25">
      <c r="AC5177" s="122" t="s">
        <v>298</v>
      </c>
      <c r="AD5177" s="122" t="s">
        <v>5352</v>
      </c>
      <c r="AE5177" s="127">
        <v>8</v>
      </c>
      <c r="DA5177" s="122" t="s">
        <v>376</v>
      </c>
      <c r="DB5177" s="122" t="s">
        <v>3858</v>
      </c>
      <c r="DC5177" s="122" t="s">
        <v>3858</v>
      </c>
      <c r="DD5177" s="127">
        <v>6</v>
      </c>
      <c r="DE5177" s="127">
        <v>6</v>
      </c>
      <c r="DG5177" t="s">
        <v>376</v>
      </c>
      <c r="DH5177" t="s">
        <v>3858</v>
      </c>
      <c r="DI5177" s="406" t="str">
        <f t="shared" si="112"/>
        <v>SP, Pacaembu</v>
      </c>
      <c r="DJ5177">
        <v>-21.562000000000001</v>
      </c>
      <c r="DK5177">
        <v>-51.261000000000003</v>
      </c>
      <c r="DL5177">
        <v>415</v>
      </c>
      <c r="DM5177" s="1">
        <v>6</v>
      </c>
      <c r="DN5177" t="s">
        <v>8709</v>
      </c>
      <c r="DO5177" s="406">
        <v>-21.32</v>
      </c>
      <c r="DP5177" s="80">
        <v>374</v>
      </c>
    </row>
    <row r="5178" spans="29:120" x14ac:dyDescent="0.25">
      <c r="AC5178" s="122" t="s">
        <v>289</v>
      </c>
      <c r="AD5178" s="122" t="s">
        <v>5353</v>
      </c>
      <c r="AE5178" s="127">
        <v>8</v>
      </c>
      <c r="DA5178" s="122" t="s">
        <v>376</v>
      </c>
      <c r="DB5178" s="122" t="s">
        <v>3908</v>
      </c>
      <c r="DC5178" s="122" t="s">
        <v>3908</v>
      </c>
      <c r="DD5178" s="127">
        <v>6</v>
      </c>
      <c r="DE5178" s="127">
        <v>6</v>
      </c>
      <c r="DG5178" t="s">
        <v>376</v>
      </c>
      <c r="DH5178" t="s">
        <v>3908</v>
      </c>
      <c r="DI5178" s="406" t="str">
        <f t="shared" si="112"/>
        <v>SP, Palestina</v>
      </c>
      <c r="DJ5178">
        <v>-20.39</v>
      </c>
      <c r="DK5178">
        <v>-49.433</v>
      </c>
      <c r="DL5178">
        <v>550</v>
      </c>
      <c r="DM5178" s="1">
        <v>6</v>
      </c>
      <c r="DN5178" t="s">
        <v>6984</v>
      </c>
      <c r="DO5178" s="406">
        <v>-20.420000000000002</v>
      </c>
      <c r="DP5178" s="80">
        <v>486</v>
      </c>
    </row>
    <row r="5179" spans="29:120" x14ac:dyDescent="0.25">
      <c r="AC5179" s="122" t="s">
        <v>298</v>
      </c>
      <c r="AD5179" s="122" t="s">
        <v>5027</v>
      </c>
      <c r="AE5179" s="127">
        <v>8</v>
      </c>
      <c r="DA5179" s="122" t="s">
        <v>376</v>
      </c>
      <c r="DB5179" s="122" t="s">
        <v>8829</v>
      </c>
      <c r="DC5179" s="122" t="s">
        <v>3920</v>
      </c>
      <c r="DD5179" s="127">
        <v>4</v>
      </c>
      <c r="DE5179" s="127">
        <v>4</v>
      </c>
      <c r="DG5179" t="s">
        <v>376</v>
      </c>
      <c r="DH5179" t="s">
        <v>3920</v>
      </c>
      <c r="DI5179" s="406" t="str">
        <f t="shared" si="112"/>
        <v>SP, Palmares Paulista</v>
      </c>
      <c r="DJ5179">
        <v>-21.082999999999998</v>
      </c>
      <c r="DK5179">
        <v>-48.801000000000002</v>
      </c>
      <c r="DL5179">
        <v>530</v>
      </c>
      <c r="DM5179" s="1">
        <v>4</v>
      </c>
      <c r="DN5179" t="s">
        <v>8721</v>
      </c>
      <c r="DO5179" s="406">
        <v>-21.13</v>
      </c>
      <c r="DP5179" s="80">
        <v>525</v>
      </c>
    </row>
    <row r="5180" spans="29:120" x14ac:dyDescent="0.25">
      <c r="AC5180" s="122" t="s">
        <v>298</v>
      </c>
      <c r="AD5180" s="122" t="s">
        <v>5354</v>
      </c>
      <c r="AE5180" s="127">
        <v>8</v>
      </c>
      <c r="DA5180" s="122" t="s">
        <v>376</v>
      </c>
      <c r="DB5180" s="122" t="s">
        <v>8830</v>
      </c>
      <c r="DC5180" s="122" t="s">
        <v>3785</v>
      </c>
      <c r="DD5180" s="127">
        <v>6</v>
      </c>
      <c r="DE5180" s="127">
        <v>6</v>
      </c>
      <c r="DG5180" t="s">
        <v>376</v>
      </c>
      <c r="DH5180" t="s">
        <v>3785</v>
      </c>
      <c r="DI5180" s="406" t="str">
        <f t="shared" si="112"/>
        <v>SP, Palmeira d'Oeste</v>
      </c>
      <c r="DJ5180">
        <v>-20.416</v>
      </c>
      <c r="DK5180">
        <v>-50.762</v>
      </c>
      <c r="DL5180">
        <v>433</v>
      </c>
      <c r="DM5180" s="1">
        <v>6</v>
      </c>
      <c r="DN5180" t="s">
        <v>6904</v>
      </c>
      <c r="DO5180" s="406">
        <v>-20.27</v>
      </c>
      <c r="DP5180" s="80">
        <v>457</v>
      </c>
    </row>
    <row r="5181" spans="29:120" x14ac:dyDescent="0.25">
      <c r="AC5181" s="122" t="s">
        <v>298</v>
      </c>
      <c r="AD5181" s="122" t="s">
        <v>1099</v>
      </c>
      <c r="AE5181" s="127">
        <v>8</v>
      </c>
      <c r="DA5181" s="122" t="s">
        <v>376</v>
      </c>
      <c r="DB5181" s="122" t="s">
        <v>513</v>
      </c>
      <c r="DC5181" s="122" t="s">
        <v>513</v>
      </c>
      <c r="DD5181" s="127">
        <v>3</v>
      </c>
      <c r="DE5181" s="127">
        <v>3</v>
      </c>
      <c r="DG5181" t="s">
        <v>376</v>
      </c>
      <c r="DH5181" t="s">
        <v>513</v>
      </c>
      <c r="DI5181" s="406" t="str">
        <f t="shared" si="112"/>
        <v>SP, Palmital</v>
      </c>
      <c r="DJ5181">
        <v>-22.789000000000001</v>
      </c>
      <c r="DK5181">
        <v>-50.218000000000004</v>
      </c>
      <c r="DL5181">
        <v>508</v>
      </c>
      <c r="DM5181" s="1">
        <v>3</v>
      </c>
      <c r="DN5181" t="s">
        <v>7822</v>
      </c>
      <c r="DO5181" s="406">
        <v>-22.98</v>
      </c>
      <c r="DP5181" s="80">
        <v>448</v>
      </c>
    </row>
    <row r="5182" spans="29:120" x14ac:dyDescent="0.25">
      <c r="AC5182" s="122" t="s">
        <v>323</v>
      </c>
      <c r="AD5182" s="122" t="s">
        <v>5355</v>
      </c>
      <c r="AE5182" s="127">
        <v>8</v>
      </c>
      <c r="DA5182" s="122" t="s">
        <v>376</v>
      </c>
      <c r="DB5182" s="122" t="s">
        <v>3973</v>
      </c>
      <c r="DC5182" s="122" t="s">
        <v>3973</v>
      </c>
      <c r="DD5182" s="127">
        <v>6</v>
      </c>
      <c r="DE5182" s="127">
        <v>6</v>
      </c>
      <c r="DG5182" t="s">
        <v>376</v>
      </c>
      <c r="DH5182" t="s">
        <v>3973</v>
      </c>
      <c r="DI5182" s="406" t="str">
        <f t="shared" si="112"/>
        <v>SP, Panorama</v>
      </c>
      <c r="DJ5182">
        <v>-21.356000000000002</v>
      </c>
      <c r="DK5182">
        <v>-51.86</v>
      </c>
      <c r="DL5182">
        <v>276</v>
      </c>
      <c r="DM5182" s="1">
        <v>6</v>
      </c>
      <c r="DN5182" t="s">
        <v>7254</v>
      </c>
      <c r="DO5182" s="406">
        <v>-20.75</v>
      </c>
      <c r="DP5182" s="80">
        <v>313</v>
      </c>
    </row>
    <row r="5183" spans="29:120" x14ac:dyDescent="0.25">
      <c r="AC5183" s="122" t="s">
        <v>247</v>
      </c>
      <c r="AD5183" s="122" t="s">
        <v>3908</v>
      </c>
      <c r="AE5183" s="127">
        <v>8</v>
      </c>
      <c r="DA5183" s="122" t="s">
        <v>376</v>
      </c>
      <c r="DB5183" s="122" t="s">
        <v>8831</v>
      </c>
      <c r="DC5183" s="122" t="s">
        <v>4047</v>
      </c>
      <c r="DD5183" s="127">
        <v>6</v>
      </c>
      <c r="DE5183" s="127">
        <v>6</v>
      </c>
      <c r="DG5183" t="s">
        <v>376</v>
      </c>
      <c r="DH5183" t="s">
        <v>4047</v>
      </c>
      <c r="DI5183" s="406" t="str">
        <f t="shared" si="112"/>
        <v>SP, Paraguaçu Paulista</v>
      </c>
      <c r="DJ5183">
        <v>-22.413</v>
      </c>
      <c r="DK5183">
        <v>-50.576000000000001</v>
      </c>
      <c r="DL5183">
        <v>506</v>
      </c>
      <c r="DM5183" s="1">
        <v>6</v>
      </c>
      <c r="DN5183" t="s">
        <v>7819</v>
      </c>
      <c r="DO5183" s="406">
        <v>-22.37</v>
      </c>
      <c r="DP5183" s="80">
        <v>350</v>
      </c>
    </row>
    <row r="5184" spans="29:120" x14ac:dyDescent="0.25">
      <c r="AC5184" s="122" t="s">
        <v>298</v>
      </c>
      <c r="AD5184" s="122" t="s">
        <v>5356</v>
      </c>
      <c r="AE5184" s="127">
        <v>8</v>
      </c>
      <c r="DA5184" s="122" t="s">
        <v>376</v>
      </c>
      <c r="DB5184" s="122" t="s">
        <v>897</v>
      </c>
      <c r="DC5184" s="122" t="s">
        <v>897</v>
      </c>
      <c r="DD5184" s="127">
        <v>3</v>
      </c>
      <c r="DE5184" s="127">
        <v>3</v>
      </c>
      <c r="DG5184" t="s">
        <v>376</v>
      </c>
      <c r="DH5184" t="s">
        <v>897</v>
      </c>
      <c r="DI5184" s="406" t="str">
        <f t="shared" si="112"/>
        <v>SP, Paraibuna</v>
      </c>
      <c r="DJ5184">
        <v>-23.385999999999999</v>
      </c>
      <c r="DK5184">
        <v>-45.661999999999999</v>
      </c>
      <c r="DL5184">
        <v>635</v>
      </c>
      <c r="DM5184" s="1">
        <v>3</v>
      </c>
      <c r="DN5184" t="s">
        <v>8759</v>
      </c>
      <c r="DO5184" s="406">
        <v>-23.23</v>
      </c>
      <c r="DP5184" s="80">
        <v>874</v>
      </c>
    </row>
    <row r="5185" spans="29:120" x14ac:dyDescent="0.25">
      <c r="AC5185" s="122" t="s">
        <v>323</v>
      </c>
      <c r="AD5185" s="122" t="s">
        <v>5357</v>
      </c>
      <c r="AE5185" s="127">
        <v>8</v>
      </c>
      <c r="DA5185" s="122" t="s">
        <v>376</v>
      </c>
      <c r="DB5185" s="122" t="s">
        <v>1353</v>
      </c>
      <c r="DC5185" s="122" t="s">
        <v>1353</v>
      </c>
      <c r="DD5185" s="127">
        <v>4</v>
      </c>
      <c r="DE5185" s="127">
        <v>4</v>
      </c>
      <c r="DG5185" t="s">
        <v>376</v>
      </c>
      <c r="DH5185" t="s">
        <v>1353</v>
      </c>
      <c r="DI5185" s="406" t="str">
        <f t="shared" si="112"/>
        <v>SP, Paraíso</v>
      </c>
      <c r="DJ5185">
        <v>-21.015999999999998</v>
      </c>
      <c r="DK5185">
        <v>-48.774000000000001</v>
      </c>
      <c r="DL5185">
        <v>598</v>
      </c>
      <c r="DM5185" s="1">
        <v>4</v>
      </c>
      <c r="DN5185" t="s">
        <v>8721</v>
      </c>
      <c r="DO5185" s="406">
        <v>-21.13</v>
      </c>
      <c r="DP5185" s="80">
        <v>525</v>
      </c>
    </row>
    <row r="5186" spans="29:120" x14ac:dyDescent="0.25">
      <c r="AC5186" s="122" t="s">
        <v>298</v>
      </c>
      <c r="AD5186" s="122" t="s">
        <v>5358</v>
      </c>
      <c r="AE5186" s="127">
        <v>8</v>
      </c>
      <c r="DA5186" s="122" t="s">
        <v>376</v>
      </c>
      <c r="DB5186" s="122" t="s">
        <v>1795</v>
      </c>
      <c r="DC5186" s="122" t="s">
        <v>1795</v>
      </c>
      <c r="DD5186" s="127">
        <v>3</v>
      </c>
      <c r="DE5186" s="127">
        <v>3</v>
      </c>
      <c r="DG5186" t="s">
        <v>376</v>
      </c>
      <c r="DH5186" t="s">
        <v>1795</v>
      </c>
      <c r="DI5186" s="406" t="str">
        <f t="shared" si="112"/>
        <v>SP, Paranapanema</v>
      </c>
      <c r="DJ5186">
        <v>-23.388999999999999</v>
      </c>
      <c r="DK5186">
        <v>-48.722999999999999</v>
      </c>
      <c r="DL5186">
        <v>610</v>
      </c>
      <c r="DM5186" s="1">
        <v>3</v>
      </c>
      <c r="DN5186" t="s">
        <v>8714</v>
      </c>
      <c r="DO5186" s="406">
        <v>-23.1</v>
      </c>
      <c r="DP5186" s="80">
        <v>654</v>
      </c>
    </row>
    <row r="5187" spans="29:120" x14ac:dyDescent="0.25">
      <c r="AC5187" s="122" t="s">
        <v>298</v>
      </c>
      <c r="AD5187" s="122" t="s">
        <v>5359</v>
      </c>
      <c r="AE5187" s="127">
        <v>8</v>
      </c>
      <c r="DA5187" s="122" t="s">
        <v>376</v>
      </c>
      <c r="DB5187" s="122" t="s">
        <v>2981</v>
      </c>
      <c r="DC5187" s="122" t="s">
        <v>2981</v>
      </c>
      <c r="DD5187" s="127">
        <v>6</v>
      </c>
      <c r="DE5187" s="127">
        <v>6</v>
      </c>
      <c r="DG5187" t="s">
        <v>376</v>
      </c>
      <c r="DH5187" t="s">
        <v>2981</v>
      </c>
      <c r="DI5187" s="406" t="str">
        <f t="shared" ref="DI5187:DI5250" si="113">CONCATENATE(DG5187,", ",DH5187)</f>
        <v>SP, Paranapuã</v>
      </c>
      <c r="DJ5187">
        <v>-20.103000000000002</v>
      </c>
      <c r="DK5187">
        <v>-50.585999999999999</v>
      </c>
      <c r="DL5187">
        <v>474</v>
      </c>
      <c r="DM5187" s="1">
        <v>6</v>
      </c>
      <c r="DN5187" t="s">
        <v>6904</v>
      </c>
      <c r="DO5187" s="406">
        <v>-20.27</v>
      </c>
      <c r="DP5187" s="80">
        <v>457</v>
      </c>
    </row>
    <row r="5188" spans="29:120" x14ac:dyDescent="0.25">
      <c r="AC5188" s="122" t="s">
        <v>298</v>
      </c>
      <c r="AD5188" s="122" t="s">
        <v>5360</v>
      </c>
      <c r="AE5188" s="127">
        <v>8</v>
      </c>
      <c r="DA5188" s="122" t="s">
        <v>376</v>
      </c>
      <c r="DB5188" s="122" t="s">
        <v>4037</v>
      </c>
      <c r="DC5188" s="122" t="s">
        <v>4037</v>
      </c>
      <c r="DD5188" s="127">
        <v>6</v>
      </c>
      <c r="DE5188" s="127">
        <v>6</v>
      </c>
      <c r="DG5188" t="s">
        <v>376</v>
      </c>
      <c r="DH5188" t="s">
        <v>4037</v>
      </c>
      <c r="DI5188" s="406" t="str">
        <f t="shared" si="113"/>
        <v>SP, Parapuã</v>
      </c>
      <c r="DJ5188">
        <v>-21.783000000000001</v>
      </c>
      <c r="DK5188">
        <v>-50.792999999999999</v>
      </c>
      <c r="DL5188">
        <v>486</v>
      </c>
      <c r="DM5188" s="1">
        <v>6</v>
      </c>
      <c r="DN5188" t="s">
        <v>8709</v>
      </c>
      <c r="DO5188" s="406">
        <v>-21.32</v>
      </c>
      <c r="DP5188" s="80">
        <v>374</v>
      </c>
    </row>
    <row r="5189" spans="29:120" x14ac:dyDescent="0.25">
      <c r="AC5189" s="122" t="s">
        <v>298</v>
      </c>
      <c r="AD5189" s="122" t="s">
        <v>5361</v>
      </c>
      <c r="AE5189" s="127">
        <v>8</v>
      </c>
      <c r="DA5189" s="122" t="s">
        <v>376</v>
      </c>
      <c r="DB5189" s="122" t="s">
        <v>1079</v>
      </c>
      <c r="DC5189" s="122" t="s">
        <v>1079</v>
      </c>
      <c r="DD5189" s="127">
        <v>3</v>
      </c>
      <c r="DE5189" s="127">
        <v>3</v>
      </c>
      <c r="DG5189" t="s">
        <v>376</v>
      </c>
      <c r="DH5189" t="s">
        <v>1079</v>
      </c>
      <c r="DI5189" s="406" t="str">
        <f t="shared" si="113"/>
        <v>SP, Pardinho</v>
      </c>
      <c r="DJ5189">
        <v>-23.081</v>
      </c>
      <c r="DK5189">
        <v>-48.374000000000002</v>
      </c>
      <c r="DL5189">
        <v>898</v>
      </c>
      <c r="DM5189" s="1">
        <v>3</v>
      </c>
      <c r="DN5189" t="s">
        <v>8714</v>
      </c>
      <c r="DO5189" s="406">
        <v>-23.1</v>
      </c>
      <c r="DP5189" s="80">
        <v>654</v>
      </c>
    </row>
    <row r="5190" spans="29:120" x14ac:dyDescent="0.25">
      <c r="AC5190" s="122" t="s">
        <v>268</v>
      </c>
      <c r="AD5190" s="122" t="s">
        <v>5362</v>
      </c>
      <c r="AE5190" s="127">
        <v>8</v>
      </c>
      <c r="DA5190" s="122" t="s">
        <v>376</v>
      </c>
      <c r="DB5190" s="122" t="s">
        <v>3890</v>
      </c>
      <c r="DC5190" s="122" t="s">
        <v>3890</v>
      </c>
      <c r="DD5190" s="127">
        <v>5</v>
      </c>
      <c r="DE5190" s="127">
        <v>5</v>
      </c>
      <c r="DG5190" t="s">
        <v>376</v>
      </c>
      <c r="DH5190" t="s">
        <v>3890</v>
      </c>
      <c r="DI5190" s="406" t="str">
        <f t="shared" si="113"/>
        <v>SP, Pariquera-Açu</v>
      </c>
      <c r="DJ5190">
        <v>-24.715</v>
      </c>
      <c r="DK5190">
        <v>-47.881</v>
      </c>
      <c r="DL5190">
        <v>39</v>
      </c>
      <c r="DM5190" s="1">
        <v>5</v>
      </c>
      <c r="DN5190" t="s">
        <v>8750</v>
      </c>
      <c r="DO5190" s="406">
        <v>-24.71</v>
      </c>
      <c r="DP5190" s="80">
        <v>3</v>
      </c>
    </row>
    <row r="5191" spans="29:120" x14ac:dyDescent="0.25">
      <c r="AC5191" s="122" t="s">
        <v>298</v>
      </c>
      <c r="AD5191" s="122" t="s">
        <v>5363</v>
      </c>
      <c r="AE5191" s="127">
        <v>8</v>
      </c>
      <c r="DA5191" s="122" t="s">
        <v>376</v>
      </c>
      <c r="DB5191" s="122" t="s">
        <v>3573</v>
      </c>
      <c r="DC5191" s="122" t="s">
        <v>3573</v>
      </c>
      <c r="DD5191" s="127">
        <v>6</v>
      </c>
      <c r="DE5191" s="127">
        <v>6</v>
      </c>
      <c r="DG5191" t="s">
        <v>376</v>
      </c>
      <c r="DH5191" t="s">
        <v>3573</v>
      </c>
      <c r="DI5191" s="406" t="str">
        <f t="shared" si="113"/>
        <v>SP, Parisi</v>
      </c>
      <c r="DJ5191">
        <v>-20.303999999999998</v>
      </c>
      <c r="DK5191">
        <v>-50.015000000000001</v>
      </c>
      <c r="DL5191">
        <v>496</v>
      </c>
      <c r="DM5191" s="1">
        <v>6</v>
      </c>
      <c r="DN5191" t="s">
        <v>6984</v>
      </c>
      <c r="DO5191" s="406">
        <v>-20.420000000000002</v>
      </c>
      <c r="DP5191" s="80">
        <v>486</v>
      </c>
    </row>
    <row r="5192" spans="29:120" x14ac:dyDescent="0.25">
      <c r="AC5192" s="122" t="s">
        <v>298</v>
      </c>
      <c r="AD5192" s="122" t="s">
        <v>5364</v>
      </c>
      <c r="AE5192" s="127">
        <v>8</v>
      </c>
      <c r="DA5192" s="122" t="s">
        <v>376</v>
      </c>
      <c r="DB5192" s="122" t="s">
        <v>8832</v>
      </c>
      <c r="DC5192" s="122" t="s">
        <v>2791</v>
      </c>
      <c r="DD5192" s="127">
        <v>4</v>
      </c>
      <c r="DE5192" s="127">
        <v>4</v>
      </c>
      <c r="DG5192" t="s">
        <v>376</v>
      </c>
      <c r="DH5192" t="s">
        <v>2791</v>
      </c>
      <c r="DI5192" s="406" t="str">
        <f t="shared" si="113"/>
        <v>SP, Patrocínio Paulista</v>
      </c>
      <c r="DJ5192">
        <v>-20.638999999999999</v>
      </c>
      <c r="DK5192">
        <v>-47.281999999999996</v>
      </c>
      <c r="DL5192">
        <v>743</v>
      </c>
      <c r="DM5192" s="1">
        <v>4</v>
      </c>
      <c r="DN5192" t="s">
        <v>6892</v>
      </c>
      <c r="DO5192" s="406">
        <v>-20.54</v>
      </c>
      <c r="DP5192" s="80">
        <v>1026</v>
      </c>
    </row>
    <row r="5193" spans="29:120" x14ac:dyDescent="0.25">
      <c r="AC5193" s="122" t="s">
        <v>247</v>
      </c>
      <c r="AD5193" s="122" t="s">
        <v>1000</v>
      </c>
      <c r="AE5193" s="127">
        <v>8</v>
      </c>
      <c r="DA5193" s="122" t="s">
        <v>376</v>
      </c>
      <c r="DB5193" s="122" t="s">
        <v>3974</v>
      </c>
      <c r="DC5193" s="122" t="s">
        <v>3974</v>
      </c>
      <c r="DD5193" s="127">
        <v>6</v>
      </c>
      <c r="DE5193" s="127">
        <v>6</v>
      </c>
      <c r="DG5193" t="s">
        <v>376</v>
      </c>
      <c r="DH5193" t="s">
        <v>3974</v>
      </c>
      <c r="DI5193" s="406" t="str">
        <f t="shared" si="113"/>
        <v>SP, Paulicéia</v>
      </c>
      <c r="DJ5193">
        <v>-21.318000000000001</v>
      </c>
      <c r="DK5193">
        <v>-51.831000000000003</v>
      </c>
      <c r="DL5193">
        <v>328</v>
      </c>
      <c r="DM5193" s="1">
        <v>6</v>
      </c>
      <c r="DN5193" t="s">
        <v>7254</v>
      </c>
      <c r="DO5193" s="406">
        <v>-20.75</v>
      </c>
      <c r="DP5193" s="80">
        <v>313</v>
      </c>
    </row>
    <row r="5194" spans="29:120" x14ac:dyDescent="0.25">
      <c r="AC5194" s="122" t="s">
        <v>298</v>
      </c>
      <c r="AD5194" s="122" t="s">
        <v>5365</v>
      </c>
      <c r="AE5194" s="127">
        <v>8</v>
      </c>
      <c r="DA5194" s="122" t="s">
        <v>376</v>
      </c>
      <c r="DB5194" s="122" t="s">
        <v>3645</v>
      </c>
      <c r="DC5194" s="122" t="s">
        <v>3645</v>
      </c>
      <c r="DD5194" s="127">
        <v>3</v>
      </c>
      <c r="DE5194" s="127">
        <v>3</v>
      </c>
      <c r="DG5194" t="s">
        <v>376</v>
      </c>
      <c r="DH5194" t="s">
        <v>3645</v>
      </c>
      <c r="DI5194" s="406" t="str">
        <f t="shared" si="113"/>
        <v>SP, Paulínia</v>
      </c>
      <c r="DJ5194">
        <v>-22.760999999999999</v>
      </c>
      <c r="DK5194">
        <v>-47.154000000000003</v>
      </c>
      <c r="DL5194">
        <v>590</v>
      </c>
      <c r="DM5194" s="1">
        <v>3</v>
      </c>
      <c r="DN5194" t="s">
        <v>8726</v>
      </c>
      <c r="DO5194" s="406">
        <v>-22.82</v>
      </c>
      <c r="DP5194" s="80">
        <v>640</v>
      </c>
    </row>
    <row r="5195" spans="29:120" x14ac:dyDescent="0.25">
      <c r="AC5195" s="122" t="s">
        <v>298</v>
      </c>
      <c r="AD5195" s="122" t="s">
        <v>5366</v>
      </c>
      <c r="AE5195" s="127">
        <v>8</v>
      </c>
      <c r="DA5195" s="122" t="s">
        <v>376</v>
      </c>
      <c r="DB5195" s="122" t="s">
        <v>3932</v>
      </c>
      <c r="DC5195" s="122" t="s">
        <v>3932</v>
      </c>
      <c r="DD5195" s="127">
        <v>3</v>
      </c>
      <c r="DE5195" s="127">
        <v>3</v>
      </c>
      <c r="DG5195" t="s">
        <v>376</v>
      </c>
      <c r="DH5195" t="s">
        <v>3932</v>
      </c>
      <c r="DI5195" s="406" t="str">
        <f t="shared" si="113"/>
        <v>SP, Paulistânia</v>
      </c>
      <c r="DJ5195">
        <v>-22.577999999999999</v>
      </c>
      <c r="DK5195">
        <v>-49.402999999999999</v>
      </c>
      <c r="DL5195">
        <v>645</v>
      </c>
      <c r="DM5195" s="1">
        <v>3</v>
      </c>
      <c r="DN5195" t="s">
        <v>8717</v>
      </c>
      <c r="DO5195" s="406">
        <v>-22.32</v>
      </c>
      <c r="DP5195" s="80">
        <v>550</v>
      </c>
    </row>
    <row r="5196" spans="29:120" x14ac:dyDescent="0.25">
      <c r="AC5196" s="122" t="s">
        <v>289</v>
      </c>
      <c r="AD5196" s="122" t="s">
        <v>5367</v>
      </c>
      <c r="AE5196" s="127">
        <v>8</v>
      </c>
      <c r="DA5196" s="122" t="s">
        <v>376</v>
      </c>
      <c r="DB5196" s="122" t="s">
        <v>8833</v>
      </c>
      <c r="DC5196" s="122" t="s">
        <v>3581</v>
      </c>
      <c r="DD5196" s="127">
        <v>6</v>
      </c>
      <c r="DE5196" s="127">
        <v>6</v>
      </c>
      <c r="DG5196" t="s">
        <v>376</v>
      </c>
      <c r="DH5196" t="s">
        <v>3581</v>
      </c>
      <c r="DI5196" s="406" t="str">
        <f t="shared" si="113"/>
        <v>SP, Paulo de Faria</v>
      </c>
      <c r="DJ5196">
        <v>-20.030999999999999</v>
      </c>
      <c r="DK5196">
        <v>-49.383000000000003</v>
      </c>
      <c r="DL5196">
        <v>444</v>
      </c>
      <c r="DM5196" s="1">
        <v>6</v>
      </c>
      <c r="DN5196" t="s">
        <v>6984</v>
      </c>
      <c r="DO5196" s="406">
        <v>-20.420000000000002</v>
      </c>
      <c r="DP5196" s="80">
        <v>486</v>
      </c>
    </row>
    <row r="5197" spans="29:120" x14ac:dyDescent="0.25">
      <c r="AC5197" s="122" t="s">
        <v>298</v>
      </c>
      <c r="AD5197" s="122" t="s">
        <v>5368</v>
      </c>
      <c r="AE5197" s="127">
        <v>8</v>
      </c>
      <c r="DA5197" s="122" t="s">
        <v>376</v>
      </c>
      <c r="DB5197" s="122" t="s">
        <v>3498</v>
      </c>
      <c r="DC5197" s="122" t="s">
        <v>3498</v>
      </c>
      <c r="DD5197" s="127">
        <v>4</v>
      </c>
      <c r="DE5197" s="127">
        <v>4</v>
      </c>
      <c r="DG5197" t="s">
        <v>376</v>
      </c>
      <c r="DH5197" t="s">
        <v>3498</v>
      </c>
      <c r="DI5197" s="406" t="str">
        <f t="shared" si="113"/>
        <v>SP, Pederneiras</v>
      </c>
      <c r="DJ5197">
        <v>-22.352</v>
      </c>
      <c r="DK5197">
        <v>-48.774999999999999</v>
      </c>
      <c r="DL5197">
        <v>475</v>
      </c>
      <c r="DM5197" s="1">
        <v>4</v>
      </c>
      <c r="DN5197" t="s">
        <v>8717</v>
      </c>
      <c r="DO5197" s="406">
        <v>-22.32</v>
      </c>
      <c r="DP5197" s="80">
        <v>550</v>
      </c>
    </row>
    <row r="5198" spans="29:120" x14ac:dyDescent="0.25">
      <c r="AC5198" s="122" t="s">
        <v>357</v>
      </c>
      <c r="AD5198" s="122" t="s">
        <v>5369</v>
      </c>
      <c r="AE5198" s="127">
        <v>7</v>
      </c>
      <c r="DA5198" s="122" t="s">
        <v>376</v>
      </c>
      <c r="DB5198" s="122" t="s">
        <v>8834</v>
      </c>
      <c r="DC5198" s="122" t="s">
        <v>1053</v>
      </c>
      <c r="DD5198" s="127">
        <v>3</v>
      </c>
      <c r="DE5198" s="127">
        <v>3</v>
      </c>
      <c r="DG5198" t="s">
        <v>376</v>
      </c>
      <c r="DH5198" t="s">
        <v>1053</v>
      </c>
      <c r="DI5198" s="406" t="str">
        <f t="shared" si="113"/>
        <v>SP, Pedra Bela</v>
      </c>
      <c r="DJ5198">
        <v>-22.792999999999999</v>
      </c>
      <c r="DK5198">
        <v>-46.442999999999998</v>
      </c>
      <c r="DL5198">
        <v>1120</v>
      </c>
      <c r="DM5198" s="1">
        <v>3</v>
      </c>
      <c r="DN5198" t="s">
        <v>6861</v>
      </c>
      <c r="DO5198" s="406">
        <v>-22.86</v>
      </c>
      <c r="DP5198" s="80">
        <v>1500</v>
      </c>
    </row>
    <row r="5199" spans="29:120" x14ac:dyDescent="0.25">
      <c r="AC5199" s="122" t="s">
        <v>298</v>
      </c>
      <c r="AD5199" s="122" t="s">
        <v>5370</v>
      </c>
      <c r="AE5199" s="127">
        <v>8</v>
      </c>
      <c r="DA5199" s="122" t="s">
        <v>376</v>
      </c>
      <c r="DB5199" s="122" t="s">
        <v>4009</v>
      </c>
      <c r="DC5199" s="122" t="s">
        <v>4009</v>
      </c>
      <c r="DD5199" s="127">
        <v>6</v>
      </c>
      <c r="DE5199" s="127">
        <v>6</v>
      </c>
      <c r="DG5199" t="s">
        <v>376</v>
      </c>
      <c r="DH5199" t="s">
        <v>4009</v>
      </c>
      <c r="DI5199" s="406" t="str">
        <f t="shared" si="113"/>
        <v>SP, Pedranópolis</v>
      </c>
      <c r="DJ5199">
        <v>-20.248000000000001</v>
      </c>
      <c r="DK5199">
        <v>-50.11</v>
      </c>
      <c r="DL5199">
        <v>475</v>
      </c>
      <c r="DM5199" s="1">
        <v>6</v>
      </c>
      <c r="DN5199" t="s">
        <v>6984</v>
      </c>
      <c r="DO5199" s="406">
        <v>-20.420000000000002</v>
      </c>
      <c r="DP5199" s="80">
        <v>486</v>
      </c>
    </row>
    <row r="5200" spans="29:120" x14ac:dyDescent="0.25">
      <c r="AC5200" s="122" t="s">
        <v>333</v>
      </c>
      <c r="AD5200" s="122" t="s">
        <v>5371</v>
      </c>
      <c r="AE5200" s="127">
        <v>7</v>
      </c>
      <c r="DA5200" s="122" t="s">
        <v>376</v>
      </c>
      <c r="DB5200" s="122" t="s">
        <v>4034</v>
      </c>
      <c r="DC5200" s="122" t="s">
        <v>4034</v>
      </c>
      <c r="DD5200" s="127">
        <v>4</v>
      </c>
      <c r="DE5200" s="127">
        <v>4</v>
      </c>
      <c r="DG5200" t="s">
        <v>376</v>
      </c>
      <c r="DH5200" t="s">
        <v>4034</v>
      </c>
      <c r="DI5200" s="406" t="str">
        <f t="shared" si="113"/>
        <v>SP, Pedregulho</v>
      </c>
      <c r="DJ5200">
        <v>-20.257000000000001</v>
      </c>
      <c r="DK5200">
        <v>-47.476999999999997</v>
      </c>
      <c r="DL5200">
        <v>1035</v>
      </c>
      <c r="DM5200" s="1">
        <v>4</v>
      </c>
      <c r="DN5200" t="s">
        <v>6892</v>
      </c>
      <c r="DO5200" s="406">
        <v>-20.54</v>
      </c>
      <c r="DP5200" s="80">
        <v>1026</v>
      </c>
    </row>
    <row r="5201" spans="29:120" x14ac:dyDescent="0.25">
      <c r="AC5201" s="122" t="s">
        <v>369</v>
      </c>
      <c r="AD5201" s="122" t="s">
        <v>1086</v>
      </c>
      <c r="AE5201" s="127">
        <v>8</v>
      </c>
      <c r="DA5201" s="122" t="s">
        <v>376</v>
      </c>
      <c r="DB5201" s="122" t="s">
        <v>1051</v>
      </c>
      <c r="DC5201" s="122" t="s">
        <v>1051</v>
      </c>
      <c r="DD5201" s="127">
        <v>3</v>
      </c>
      <c r="DE5201" s="127">
        <v>3</v>
      </c>
      <c r="DG5201" t="s">
        <v>376</v>
      </c>
      <c r="DH5201" t="s">
        <v>1051</v>
      </c>
      <c r="DI5201" s="406" t="str">
        <f t="shared" si="113"/>
        <v>SP, Pedreira</v>
      </c>
      <c r="DJ5201">
        <v>-22.742000000000001</v>
      </c>
      <c r="DK5201">
        <v>-46.901000000000003</v>
      </c>
      <c r="DL5201">
        <v>590</v>
      </c>
      <c r="DM5201" s="1">
        <v>3</v>
      </c>
      <c r="DN5201" t="s">
        <v>8726</v>
      </c>
      <c r="DO5201" s="406">
        <v>-22.82</v>
      </c>
      <c r="DP5201" s="80">
        <v>640</v>
      </c>
    </row>
    <row r="5202" spans="29:120" x14ac:dyDescent="0.25">
      <c r="AC5202" s="122" t="s">
        <v>247</v>
      </c>
      <c r="AD5202" s="122" t="s">
        <v>5372</v>
      </c>
      <c r="AE5202" s="127">
        <v>8</v>
      </c>
      <c r="DA5202" s="122" t="s">
        <v>376</v>
      </c>
      <c r="DB5202" s="122" t="s">
        <v>8835</v>
      </c>
      <c r="DC5202" s="122" t="s">
        <v>3768</v>
      </c>
      <c r="DD5202" s="127">
        <v>3</v>
      </c>
      <c r="DE5202" s="127">
        <v>3</v>
      </c>
      <c r="DG5202" t="s">
        <v>376</v>
      </c>
      <c r="DH5202" t="s">
        <v>3768</v>
      </c>
      <c r="DI5202" s="406" t="str">
        <f t="shared" si="113"/>
        <v>SP, Pedrinhas Paulista</v>
      </c>
      <c r="DJ5202">
        <v>-22.815000000000001</v>
      </c>
      <c r="DK5202">
        <v>-50.793999999999997</v>
      </c>
      <c r="DL5202">
        <v>330</v>
      </c>
      <c r="DM5202" s="1">
        <v>3</v>
      </c>
      <c r="DN5202" t="s">
        <v>7819</v>
      </c>
      <c r="DO5202" s="406">
        <v>-22.37</v>
      </c>
      <c r="DP5202" s="80">
        <v>350</v>
      </c>
    </row>
    <row r="5203" spans="29:120" x14ac:dyDescent="0.25">
      <c r="AC5203" s="122" t="s">
        <v>298</v>
      </c>
      <c r="AD5203" s="122" t="s">
        <v>4159</v>
      </c>
      <c r="AE5203" s="127">
        <v>8</v>
      </c>
      <c r="DA5203" s="122" t="s">
        <v>376</v>
      </c>
      <c r="DB5203" s="122" t="s">
        <v>8836</v>
      </c>
      <c r="DC5203" s="122" t="s">
        <v>3835</v>
      </c>
      <c r="DD5203" s="127">
        <v>5</v>
      </c>
      <c r="DE5203" s="127">
        <v>5</v>
      </c>
      <c r="DG5203" t="s">
        <v>376</v>
      </c>
      <c r="DH5203" t="s">
        <v>3835</v>
      </c>
      <c r="DI5203" s="406" t="str">
        <f t="shared" si="113"/>
        <v>SP, Pedro de Toledo</v>
      </c>
      <c r="DJ5203">
        <v>-24.274999999999999</v>
      </c>
      <c r="DK5203">
        <v>-47.232999999999997</v>
      </c>
      <c r="DL5203">
        <v>45</v>
      </c>
      <c r="DM5203" s="1">
        <v>5</v>
      </c>
      <c r="DN5203" t="s">
        <v>8750</v>
      </c>
      <c r="DO5203" s="406">
        <v>-24.71</v>
      </c>
      <c r="DP5203" s="80">
        <v>3</v>
      </c>
    </row>
    <row r="5204" spans="29:120" x14ac:dyDescent="0.25">
      <c r="AC5204" s="122" t="s">
        <v>323</v>
      </c>
      <c r="AD5204" s="122" t="s">
        <v>5373</v>
      </c>
      <c r="AE5204" s="127">
        <v>7</v>
      </c>
      <c r="DA5204" s="122" t="s">
        <v>376</v>
      </c>
      <c r="DB5204" s="122" t="s">
        <v>4006</v>
      </c>
      <c r="DC5204" s="122" t="s">
        <v>4006</v>
      </c>
      <c r="DD5204" s="127">
        <v>6</v>
      </c>
      <c r="DE5204" s="127">
        <v>6</v>
      </c>
      <c r="DG5204" t="s">
        <v>376</v>
      </c>
      <c r="DH5204" t="s">
        <v>4006</v>
      </c>
      <c r="DI5204" s="406" t="str">
        <f t="shared" si="113"/>
        <v>SP, Penápolis</v>
      </c>
      <c r="DJ5204">
        <v>-21.42</v>
      </c>
      <c r="DK5204">
        <v>-50.078000000000003</v>
      </c>
      <c r="DL5204">
        <v>416</v>
      </c>
      <c r="DM5204" s="1">
        <v>6</v>
      </c>
      <c r="DN5204" t="s">
        <v>8722</v>
      </c>
      <c r="DO5204" s="406">
        <v>-21.68</v>
      </c>
      <c r="DP5204" s="80">
        <v>459</v>
      </c>
    </row>
    <row r="5205" spans="29:120" x14ac:dyDescent="0.25">
      <c r="AC5205" s="122" t="s">
        <v>289</v>
      </c>
      <c r="AD5205" s="122" t="s">
        <v>5374</v>
      </c>
      <c r="AE5205" s="127">
        <v>7</v>
      </c>
      <c r="DA5205" s="122" t="s">
        <v>376</v>
      </c>
      <c r="DB5205" s="122" t="s">
        <v>8837</v>
      </c>
      <c r="DC5205" s="122" t="s">
        <v>3898</v>
      </c>
      <c r="DD5205" s="127">
        <v>6</v>
      </c>
      <c r="DE5205" s="127">
        <v>6</v>
      </c>
      <c r="DG5205" t="s">
        <v>376</v>
      </c>
      <c r="DH5205" t="s">
        <v>3898</v>
      </c>
      <c r="DI5205" s="406" t="str">
        <f t="shared" si="113"/>
        <v>SP, Pereira Barreto</v>
      </c>
      <c r="DJ5205">
        <v>-20.638000000000002</v>
      </c>
      <c r="DK5205">
        <v>-51.109000000000002</v>
      </c>
      <c r="DL5205">
        <v>347</v>
      </c>
      <c r="DM5205" s="1">
        <v>6</v>
      </c>
      <c r="DN5205" t="s">
        <v>7254</v>
      </c>
      <c r="DO5205" s="406">
        <v>-20.75</v>
      </c>
      <c r="DP5205" s="80">
        <v>313</v>
      </c>
    </row>
    <row r="5206" spans="29:120" x14ac:dyDescent="0.25">
      <c r="AC5206" s="122" t="s">
        <v>298</v>
      </c>
      <c r="AD5206" s="122" t="s">
        <v>4259</v>
      </c>
      <c r="AE5206" s="127">
        <v>8</v>
      </c>
      <c r="DA5206" s="122" t="s">
        <v>376</v>
      </c>
      <c r="DB5206" s="122" t="s">
        <v>924</v>
      </c>
      <c r="DC5206" s="122" t="s">
        <v>924</v>
      </c>
      <c r="DD5206" s="127">
        <v>3</v>
      </c>
      <c r="DE5206" s="127">
        <v>3</v>
      </c>
      <c r="DG5206" t="s">
        <v>376</v>
      </c>
      <c r="DH5206" t="s">
        <v>924</v>
      </c>
      <c r="DI5206" s="406" t="str">
        <f t="shared" si="113"/>
        <v>SP, Pereiras</v>
      </c>
      <c r="DJ5206">
        <v>-23.076000000000001</v>
      </c>
      <c r="DK5206">
        <v>-47.975999999999999</v>
      </c>
      <c r="DL5206">
        <v>490</v>
      </c>
      <c r="DM5206" s="1">
        <v>3</v>
      </c>
      <c r="DN5206" t="s">
        <v>8716</v>
      </c>
      <c r="DO5206" s="406">
        <v>-22.73</v>
      </c>
      <c r="DP5206" s="80">
        <v>573</v>
      </c>
    </row>
    <row r="5207" spans="29:120" x14ac:dyDescent="0.25">
      <c r="AC5207" s="122" t="s">
        <v>298</v>
      </c>
      <c r="AD5207" s="122" t="s">
        <v>5375</v>
      </c>
      <c r="AE5207" s="127">
        <v>8</v>
      </c>
      <c r="DA5207" s="122" t="s">
        <v>376</v>
      </c>
      <c r="DB5207" s="122" t="s">
        <v>3846</v>
      </c>
      <c r="DC5207" s="122" t="s">
        <v>3846</v>
      </c>
      <c r="DD5207" s="127">
        <v>3</v>
      </c>
      <c r="DE5207" s="127">
        <v>3</v>
      </c>
      <c r="DG5207" t="s">
        <v>376</v>
      </c>
      <c r="DH5207" t="s">
        <v>3846</v>
      </c>
      <c r="DI5207" s="406" t="str">
        <f t="shared" si="113"/>
        <v>SP, Peruíbe</v>
      </c>
      <c r="DJ5207">
        <v>-24.32</v>
      </c>
      <c r="DK5207">
        <v>-46.997999999999998</v>
      </c>
      <c r="DL5207">
        <v>5</v>
      </c>
      <c r="DM5207" s="1">
        <v>3</v>
      </c>
      <c r="DN5207" t="s">
        <v>8735</v>
      </c>
      <c r="DO5207" s="406">
        <v>-23.85</v>
      </c>
      <c r="DP5207" s="80">
        <v>792</v>
      </c>
    </row>
    <row r="5208" spans="29:120" x14ac:dyDescent="0.25">
      <c r="AC5208" s="122" t="s">
        <v>247</v>
      </c>
      <c r="AD5208" s="122" t="s">
        <v>5376</v>
      </c>
      <c r="AE5208" s="127">
        <v>8</v>
      </c>
      <c r="DA5208" s="122" t="s">
        <v>376</v>
      </c>
      <c r="DB5208" s="122" t="s">
        <v>4042</v>
      </c>
      <c r="DC5208" s="122" t="s">
        <v>4042</v>
      </c>
      <c r="DD5208" s="127">
        <v>6</v>
      </c>
      <c r="DE5208" s="127">
        <v>6</v>
      </c>
      <c r="DG5208" t="s">
        <v>376</v>
      </c>
      <c r="DH5208" t="s">
        <v>4042</v>
      </c>
      <c r="DI5208" s="406" t="str">
        <f t="shared" si="113"/>
        <v>SP, Piacatu</v>
      </c>
      <c r="DJ5208">
        <v>-21.591999999999999</v>
      </c>
      <c r="DK5208">
        <v>-50.598999999999997</v>
      </c>
      <c r="DL5208">
        <v>422</v>
      </c>
      <c r="DM5208" s="1">
        <v>6</v>
      </c>
      <c r="DN5208" t="s">
        <v>8709</v>
      </c>
      <c r="DO5208" s="406">
        <v>-21.32</v>
      </c>
      <c r="DP5208" s="80">
        <v>374</v>
      </c>
    </row>
    <row r="5209" spans="29:120" x14ac:dyDescent="0.25">
      <c r="AC5209" s="122" t="s">
        <v>247</v>
      </c>
      <c r="AD5209" s="122" t="s">
        <v>5377</v>
      </c>
      <c r="AE5209" s="127">
        <v>8</v>
      </c>
      <c r="DA5209" s="122" t="s">
        <v>376</v>
      </c>
      <c r="DB5209" s="122" t="s">
        <v>972</v>
      </c>
      <c r="DC5209" s="122" t="s">
        <v>972</v>
      </c>
      <c r="DD5209" s="127">
        <v>3</v>
      </c>
      <c r="DE5209" s="127">
        <v>3</v>
      </c>
      <c r="DG5209" t="s">
        <v>376</v>
      </c>
      <c r="DH5209" t="s">
        <v>972</v>
      </c>
      <c r="DI5209" s="406" t="str">
        <f t="shared" si="113"/>
        <v>SP, Piedade</v>
      </c>
      <c r="DJ5209">
        <v>-23.712</v>
      </c>
      <c r="DK5209">
        <v>-47.427999999999997</v>
      </c>
      <c r="DL5209">
        <v>781</v>
      </c>
      <c r="DM5209" s="1">
        <v>3</v>
      </c>
      <c r="DN5209" t="s">
        <v>8718</v>
      </c>
      <c r="DO5209" s="406">
        <v>-23.5</v>
      </c>
      <c r="DP5209" s="80">
        <v>609</v>
      </c>
    </row>
    <row r="5210" spans="29:120" x14ac:dyDescent="0.25">
      <c r="AC5210" s="122" t="s">
        <v>268</v>
      </c>
      <c r="AD5210" s="122" t="s">
        <v>5378</v>
      </c>
      <c r="AE5210" s="127">
        <v>8</v>
      </c>
      <c r="DA5210" s="122" t="s">
        <v>376</v>
      </c>
      <c r="DB5210" s="122" t="s">
        <v>8838</v>
      </c>
      <c r="DC5210" s="122" t="s">
        <v>929</v>
      </c>
      <c r="DD5210" s="127">
        <v>3</v>
      </c>
      <c r="DE5210" s="127">
        <v>3</v>
      </c>
      <c r="DG5210" t="s">
        <v>376</v>
      </c>
      <c r="DH5210" t="s">
        <v>929</v>
      </c>
      <c r="DI5210" s="406" t="str">
        <f t="shared" si="113"/>
        <v>SP, Pilar do Sul</v>
      </c>
      <c r="DJ5210">
        <v>-23.812999999999999</v>
      </c>
      <c r="DK5210">
        <v>-47.716000000000001</v>
      </c>
      <c r="DL5210">
        <v>689</v>
      </c>
      <c r="DM5210" s="1">
        <v>3</v>
      </c>
      <c r="DN5210" t="s">
        <v>8718</v>
      </c>
      <c r="DO5210" s="406">
        <v>-23.5</v>
      </c>
      <c r="DP5210" s="80">
        <v>609</v>
      </c>
    </row>
    <row r="5211" spans="29:120" x14ac:dyDescent="0.25">
      <c r="AC5211" s="122" t="s">
        <v>323</v>
      </c>
      <c r="AD5211" s="122" t="s">
        <v>2717</v>
      </c>
      <c r="AE5211" s="127">
        <v>7</v>
      </c>
      <c r="DA5211" s="122" t="s">
        <v>376</v>
      </c>
      <c r="DB5211" s="122" t="s">
        <v>3944</v>
      </c>
      <c r="DC5211" s="122" t="s">
        <v>3944</v>
      </c>
      <c r="DD5211" s="127">
        <v>3</v>
      </c>
      <c r="DE5211" s="127">
        <v>3</v>
      </c>
      <c r="DG5211" t="s">
        <v>376</v>
      </c>
      <c r="DH5211" t="s">
        <v>3944</v>
      </c>
      <c r="DI5211" s="406" t="str">
        <f t="shared" si="113"/>
        <v>SP, Pindamonhangaba</v>
      </c>
      <c r="DJ5211">
        <v>-22.923999999999999</v>
      </c>
      <c r="DK5211">
        <v>-45.462000000000003</v>
      </c>
      <c r="DL5211">
        <v>557</v>
      </c>
      <c r="DM5211" s="1">
        <v>3</v>
      </c>
      <c r="DN5211" t="s">
        <v>8748</v>
      </c>
      <c r="DO5211" s="406">
        <v>-23.03</v>
      </c>
      <c r="DP5211" s="80">
        <v>571</v>
      </c>
    </row>
    <row r="5212" spans="29:120" x14ac:dyDescent="0.25">
      <c r="AC5212" s="122" t="s">
        <v>247</v>
      </c>
      <c r="AD5212" s="122" t="s">
        <v>5379</v>
      </c>
      <c r="AE5212" s="127">
        <v>8</v>
      </c>
      <c r="DA5212" s="122" t="s">
        <v>376</v>
      </c>
      <c r="DB5212" s="122" t="s">
        <v>4008</v>
      </c>
      <c r="DC5212" s="122" t="s">
        <v>4008</v>
      </c>
      <c r="DD5212" s="127">
        <v>6</v>
      </c>
      <c r="DE5212" s="127">
        <v>6</v>
      </c>
      <c r="DG5212" t="s">
        <v>376</v>
      </c>
      <c r="DH5212" t="s">
        <v>4008</v>
      </c>
      <c r="DI5212" s="406" t="str">
        <f t="shared" si="113"/>
        <v>SP, Pindorama</v>
      </c>
      <c r="DJ5212">
        <v>-21.186</v>
      </c>
      <c r="DK5212">
        <v>-48.906999999999996</v>
      </c>
      <c r="DL5212">
        <v>527</v>
      </c>
      <c r="DM5212" s="1">
        <v>6</v>
      </c>
      <c r="DN5212" t="s">
        <v>8721</v>
      </c>
      <c r="DO5212" s="406">
        <v>-21.13</v>
      </c>
      <c r="DP5212" s="80">
        <v>525</v>
      </c>
    </row>
    <row r="5213" spans="29:120" x14ac:dyDescent="0.25">
      <c r="AC5213" s="122" t="s">
        <v>247</v>
      </c>
      <c r="AD5213" s="122" t="s">
        <v>5380</v>
      </c>
      <c r="AE5213" s="127">
        <v>8</v>
      </c>
      <c r="DA5213" s="122" t="s">
        <v>376</v>
      </c>
      <c r="DB5213" s="122" t="s">
        <v>1059</v>
      </c>
      <c r="DC5213" s="122" t="s">
        <v>1059</v>
      </c>
      <c r="DD5213" s="127">
        <v>3</v>
      </c>
      <c r="DE5213" s="127">
        <v>3</v>
      </c>
      <c r="DG5213" t="s">
        <v>376</v>
      </c>
      <c r="DH5213" t="s">
        <v>1059</v>
      </c>
      <c r="DI5213" s="406" t="str">
        <f t="shared" si="113"/>
        <v>SP, Pinhalzinho</v>
      </c>
      <c r="DJ5213">
        <v>-22.779</v>
      </c>
      <c r="DK5213">
        <v>-46.591000000000001</v>
      </c>
      <c r="DL5213">
        <v>910</v>
      </c>
      <c r="DM5213" s="1">
        <v>3</v>
      </c>
      <c r="DN5213" t="s">
        <v>6808</v>
      </c>
      <c r="DO5213" s="406">
        <v>-22.42</v>
      </c>
      <c r="DP5213" s="80">
        <v>633</v>
      </c>
    </row>
    <row r="5214" spans="29:120" x14ac:dyDescent="0.25">
      <c r="AC5214" s="122" t="s">
        <v>298</v>
      </c>
      <c r="AD5214" s="122" t="s">
        <v>5381</v>
      </c>
      <c r="AE5214" s="127">
        <v>8</v>
      </c>
      <c r="DA5214" s="122" t="s">
        <v>376</v>
      </c>
      <c r="DB5214" s="122" t="s">
        <v>3874</v>
      </c>
      <c r="DC5214" s="122" t="s">
        <v>3874</v>
      </c>
      <c r="DD5214" s="127">
        <v>6</v>
      </c>
      <c r="DE5214" s="127">
        <v>6</v>
      </c>
      <c r="DG5214" t="s">
        <v>376</v>
      </c>
      <c r="DH5214" t="s">
        <v>3874</v>
      </c>
      <c r="DI5214" s="406" t="str">
        <f t="shared" si="113"/>
        <v>SP, Piquerobi</v>
      </c>
      <c r="DJ5214">
        <v>-21.867999999999999</v>
      </c>
      <c r="DK5214">
        <v>-51.728999999999999</v>
      </c>
      <c r="DL5214">
        <v>440</v>
      </c>
      <c r="DM5214" s="1">
        <v>6</v>
      </c>
      <c r="DN5214" t="s">
        <v>8720</v>
      </c>
      <c r="DO5214" s="406">
        <v>-22.13</v>
      </c>
      <c r="DP5214" s="80">
        <v>436</v>
      </c>
    </row>
    <row r="5215" spans="29:120" x14ac:dyDescent="0.25">
      <c r="AC5215" s="122" t="s">
        <v>247</v>
      </c>
      <c r="AD5215" s="122" t="s">
        <v>3020</v>
      </c>
      <c r="AE5215" s="127">
        <v>8</v>
      </c>
      <c r="DA5215" s="122" t="s">
        <v>376</v>
      </c>
      <c r="DB5215" s="122" t="s">
        <v>3667</v>
      </c>
      <c r="DC5215" s="122" t="s">
        <v>3667</v>
      </c>
      <c r="DD5215" s="127">
        <v>2</v>
      </c>
      <c r="DE5215" s="127">
        <v>2</v>
      </c>
      <c r="DG5215" t="s">
        <v>376</v>
      </c>
      <c r="DH5215" t="s">
        <v>3667</v>
      </c>
      <c r="DI5215" s="406" t="str">
        <f t="shared" si="113"/>
        <v>SP, Piquete</v>
      </c>
      <c r="DJ5215">
        <v>-22.614000000000001</v>
      </c>
      <c r="DK5215">
        <v>-45.176000000000002</v>
      </c>
      <c r="DL5215">
        <v>645</v>
      </c>
      <c r="DM5215" s="1">
        <v>2</v>
      </c>
      <c r="DN5215" t="s">
        <v>6837</v>
      </c>
      <c r="DO5215" s="406">
        <v>-22.39</v>
      </c>
      <c r="DP5215" s="80">
        <v>1040</v>
      </c>
    </row>
    <row r="5216" spans="29:120" x14ac:dyDescent="0.25">
      <c r="AC5216" s="122" t="s">
        <v>298</v>
      </c>
      <c r="AD5216" s="122" t="s">
        <v>5382</v>
      </c>
      <c r="AE5216" s="127">
        <v>8</v>
      </c>
      <c r="DA5216" s="122" t="s">
        <v>376</v>
      </c>
      <c r="DB5216" s="122" t="s">
        <v>1060</v>
      </c>
      <c r="DC5216" s="122" t="s">
        <v>1060</v>
      </c>
      <c r="DD5216" s="127">
        <v>3</v>
      </c>
      <c r="DE5216" s="127">
        <v>3</v>
      </c>
      <c r="DG5216" t="s">
        <v>376</v>
      </c>
      <c r="DH5216" t="s">
        <v>1060</v>
      </c>
      <c r="DI5216" s="406" t="str">
        <f t="shared" si="113"/>
        <v>SP, Piracaia</v>
      </c>
      <c r="DJ5216">
        <v>-23.053999999999998</v>
      </c>
      <c r="DK5216">
        <v>-46.357999999999997</v>
      </c>
      <c r="DL5216">
        <v>792</v>
      </c>
      <c r="DM5216" s="1">
        <v>3</v>
      </c>
      <c r="DN5216" t="s">
        <v>6861</v>
      </c>
      <c r="DO5216" s="406">
        <v>-22.86</v>
      </c>
      <c r="DP5216" s="80">
        <v>1500</v>
      </c>
    </row>
    <row r="5217" spans="29:120" x14ac:dyDescent="0.25">
      <c r="AC5217" s="122" t="s">
        <v>322</v>
      </c>
      <c r="AD5217" s="122" t="s">
        <v>5383</v>
      </c>
      <c r="AE5217" s="127">
        <v>7</v>
      </c>
      <c r="DA5217" s="122" t="s">
        <v>376</v>
      </c>
      <c r="DB5217" s="122" t="s">
        <v>3552</v>
      </c>
      <c r="DC5217" s="122" t="s">
        <v>3552</v>
      </c>
      <c r="DD5217" s="127">
        <v>2</v>
      </c>
      <c r="DE5217" s="127">
        <v>2</v>
      </c>
      <c r="DG5217" t="s">
        <v>376</v>
      </c>
      <c r="DH5217" t="s">
        <v>3552</v>
      </c>
      <c r="DI5217" s="406" t="str">
        <f t="shared" si="113"/>
        <v>SP, Piracicaba</v>
      </c>
      <c r="DJ5217">
        <v>-22.725000000000001</v>
      </c>
      <c r="DK5217">
        <v>-47.649000000000001</v>
      </c>
      <c r="DL5217">
        <v>547</v>
      </c>
      <c r="DM5217" s="1">
        <v>2</v>
      </c>
      <c r="DN5217" t="s">
        <v>8716</v>
      </c>
      <c r="DO5217" s="406">
        <v>-22.73</v>
      </c>
      <c r="DP5217" s="80">
        <v>573</v>
      </c>
    </row>
    <row r="5218" spans="29:120" x14ac:dyDescent="0.25">
      <c r="AC5218" s="122" t="s">
        <v>247</v>
      </c>
      <c r="AD5218" s="122" t="s">
        <v>5384</v>
      </c>
      <c r="AE5218" s="127">
        <v>8</v>
      </c>
      <c r="DA5218" s="122" t="s">
        <v>376</v>
      </c>
      <c r="DB5218" s="122" t="s">
        <v>1085</v>
      </c>
      <c r="DC5218" s="122" t="s">
        <v>1085</v>
      </c>
      <c r="DD5218" s="127">
        <v>3</v>
      </c>
      <c r="DE5218" s="127">
        <v>3</v>
      </c>
      <c r="DG5218" t="s">
        <v>376</v>
      </c>
      <c r="DH5218" t="s">
        <v>1085</v>
      </c>
      <c r="DI5218" s="406" t="str">
        <f t="shared" si="113"/>
        <v>SP, Piraju</v>
      </c>
      <c r="DJ5218">
        <v>-23.193999999999999</v>
      </c>
      <c r="DK5218">
        <v>-49.384</v>
      </c>
      <c r="DL5218">
        <v>646</v>
      </c>
      <c r="DM5218" s="1">
        <v>3</v>
      </c>
      <c r="DN5218" t="s">
        <v>8714</v>
      </c>
      <c r="DO5218" s="406">
        <v>-23.1</v>
      </c>
      <c r="DP5218" s="80">
        <v>654</v>
      </c>
    </row>
    <row r="5219" spans="29:120" x14ac:dyDescent="0.25">
      <c r="AC5219" s="122" t="s">
        <v>247</v>
      </c>
      <c r="AD5219" s="122" t="s">
        <v>3304</v>
      </c>
      <c r="AE5219" s="127">
        <v>8</v>
      </c>
      <c r="DA5219" s="122" t="s">
        <v>376</v>
      </c>
      <c r="DB5219" s="122" t="s">
        <v>3814</v>
      </c>
      <c r="DC5219" s="122" t="s">
        <v>3814</v>
      </c>
      <c r="DD5219" s="127">
        <v>3</v>
      </c>
      <c r="DE5219" s="127">
        <v>3</v>
      </c>
      <c r="DG5219" t="s">
        <v>376</v>
      </c>
      <c r="DH5219" t="s">
        <v>3814</v>
      </c>
      <c r="DI5219" s="406" t="str">
        <f t="shared" si="113"/>
        <v>SP, Pirajuí</v>
      </c>
      <c r="DJ5219">
        <v>-21.998999999999999</v>
      </c>
      <c r="DK5219">
        <v>-49.457000000000001</v>
      </c>
      <c r="DL5219">
        <v>468</v>
      </c>
      <c r="DM5219" s="1">
        <v>3</v>
      </c>
      <c r="DN5219" t="s">
        <v>8722</v>
      </c>
      <c r="DO5219" s="406">
        <v>-21.68</v>
      </c>
      <c r="DP5219" s="80">
        <v>459</v>
      </c>
    </row>
    <row r="5220" spans="29:120" x14ac:dyDescent="0.25">
      <c r="AC5220" s="122" t="s">
        <v>247</v>
      </c>
      <c r="AD5220" s="122" t="s">
        <v>2503</v>
      </c>
      <c r="AE5220" s="127">
        <v>8</v>
      </c>
      <c r="DA5220" s="122" t="s">
        <v>376</v>
      </c>
      <c r="DB5220" s="122" t="s">
        <v>3938</v>
      </c>
      <c r="DC5220" s="122" t="s">
        <v>3938</v>
      </c>
      <c r="DD5220" s="127">
        <v>4</v>
      </c>
      <c r="DE5220" s="127">
        <v>4</v>
      </c>
      <c r="DG5220" t="s">
        <v>376</v>
      </c>
      <c r="DH5220" t="s">
        <v>3938</v>
      </c>
      <c r="DI5220" s="406" t="str">
        <f t="shared" si="113"/>
        <v>SP, Pirangi</v>
      </c>
      <c r="DJ5220">
        <v>-21.091000000000001</v>
      </c>
      <c r="DK5220">
        <v>-48.658000000000001</v>
      </c>
      <c r="DL5220">
        <v>538</v>
      </c>
      <c r="DM5220" s="1">
        <v>4</v>
      </c>
      <c r="DN5220" t="s">
        <v>8721</v>
      </c>
      <c r="DO5220" s="406">
        <v>-21.13</v>
      </c>
      <c r="DP5220" s="80">
        <v>525</v>
      </c>
    </row>
    <row r="5221" spans="29:120" x14ac:dyDescent="0.25">
      <c r="AC5221" s="122" t="s">
        <v>328</v>
      </c>
      <c r="AD5221" s="122" t="s">
        <v>5385</v>
      </c>
      <c r="AE5221" s="127">
        <v>8</v>
      </c>
      <c r="DA5221" s="122" t="s">
        <v>376</v>
      </c>
      <c r="DB5221" s="122" t="s">
        <v>8839</v>
      </c>
      <c r="DC5221" s="122" t="s">
        <v>1028</v>
      </c>
      <c r="DD5221" s="127">
        <v>3</v>
      </c>
      <c r="DE5221" s="127">
        <v>3</v>
      </c>
      <c r="DG5221" t="s">
        <v>376</v>
      </c>
      <c r="DH5221" t="s">
        <v>1028</v>
      </c>
      <c r="DI5221" s="406" t="str">
        <f t="shared" si="113"/>
        <v>SP, Pirapora do Bom Jesus</v>
      </c>
      <c r="DJ5221">
        <v>-23.396999999999998</v>
      </c>
      <c r="DK5221">
        <v>-47.002000000000002</v>
      </c>
      <c r="DL5221">
        <v>665</v>
      </c>
      <c r="DM5221" s="1">
        <v>3</v>
      </c>
      <c r="DN5221" t="s">
        <v>8718</v>
      </c>
      <c r="DO5221" s="406">
        <v>-23.5</v>
      </c>
      <c r="DP5221" s="80">
        <v>609</v>
      </c>
    </row>
    <row r="5222" spans="29:120" x14ac:dyDescent="0.25">
      <c r="AC5222" s="122" t="s">
        <v>333</v>
      </c>
      <c r="AD5222" s="122" t="s">
        <v>5386</v>
      </c>
      <c r="AE5222" s="127">
        <v>6</v>
      </c>
      <c r="DA5222" s="122" t="s">
        <v>376</v>
      </c>
      <c r="DB5222" s="122" t="s">
        <v>3673</v>
      </c>
      <c r="DC5222" s="122" t="s">
        <v>3673</v>
      </c>
      <c r="DD5222" s="127">
        <v>6</v>
      </c>
      <c r="DE5222" s="127">
        <v>6</v>
      </c>
      <c r="DG5222" t="s">
        <v>376</v>
      </c>
      <c r="DH5222" t="s">
        <v>3673</v>
      </c>
      <c r="DI5222" s="406" t="str">
        <f t="shared" si="113"/>
        <v>SP, Pirapozinho</v>
      </c>
      <c r="DJ5222">
        <v>-22.274999999999999</v>
      </c>
      <c r="DK5222">
        <v>-51.5</v>
      </c>
      <c r="DL5222">
        <v>487</v>
      </c>
      <c r="DM5222" s="1">
        <v>6</v>
      </c>
      <c r="DN5222" t="s">
        <v>8720</v>
      </c>
      <c r="DO5222" s="406">
        <v>-22.13</v>
      </c>
      <c r="DP5222" s="80">
        <v>436</v>
      </c>
    </row>
    <row r="5223" spans="29:120" x14ac:dyDescent="0.25">
      <c r="AC5223" s="122" t="s">
        <v>247</v>
      </c>
      <c r="AD5223" s="122" t="s">
        <v>5079</v>
      </c>
      <c r="AE5223" s="127">
        <v>8</v>
      </c>
      <c r="DA5223" s="122" t="s">
        <v>376</v>
      </c>
      <c r="DB5223" s="122" t="s">
        <v>3840</v>
      </c>
      <c r="DC5223" s="122" t="s">
        <v>3840</v>
      </c>
      <c r="DD5223" s="127">
        <v>4</v>
      </c>
      <c r="DE5223" s="127">
        <v>4</v>
      </c>
      <c r="DG5223" t="s">
        <v>376</v>
      </c>
      <c r="DH5223" t="s">
        <v>3840</v>
      </c>
      <c r="DI5223" s="406" t="str">
        <f t="shared" si="113"/>
        <v>SP, Pirassununga</v>
      </c>
      <c r="DJ5223">
        <v>-21.995999999999999</v>
      </c>
      <c r="DK5223">
        <v>-47.426000000000002</v>
      </c>
      <c r="DL5223">
        <v>627</v>
      </c>
      <c r="DM5223" s="1">
        <v>4</v>
      </c>
      <c r="DN5223" t="s">
        <v>6833</v>
      </c>
      <c r="DO5223" s="406">
        <v>-21.77</v>
      </c>
      <c r="DP5223" s="80">
        <v>730</v>
      </c>
    </row>
    <row r="5224" spans="29:120" x14ac:dyDescent="0.25">
      <c r="AC5224" s="122" t="s">
        <v>333</v>
      </c>
      <c r="AD5224" s="122" t="s">
        <v>5387</v>
      </c>
      <c r="AE5224" s="127">
        <v>6</v>
      </c>
      <c r="DA5224" s="122" t="s">
        <v>376</v>
      </c>
      <c r="DB5224" s="122" t="s">
        <v>1797</v>
      </c>
      <c r="DC5224" s="122" t="s">
        <v>1797</v>
      </c>
      <c r="DD5224" s="127">
        <v>4</v>
      </c>
      <c r="DE5224" s="127">
        <v>4</v>
      </c>
      <c r="DG5224" t="s">
        <v>376</v>
      </c>
      <c r="DH5224" t="s">
        <v>1797</v>
      </c>
      <c r="DI5224" s="406" t="str">
        <f t="shared" si="113"/>
        <v>SP, Piratininga</v>
      </c>
      <c r="DJ5224">
        <v>-22.413</v>
      </c>
      <c r="DK5224">
        <v>-49.134999999999998</v>
      </c>
      <c r="DL5224">
        <v>516</v>
      </c>
      <c r="DM5224" s="1">
        <v>4</v>
      </c>
      <c r="DN5224" t="s">
        <v>8717</v>
      </c>
      <c r="DO5224" s="406">
        <v>-22.32</v>
      </c>
      <c r="DP5224" s="80">
        <v>550</v>
      </c>
    </row>
    <row r="5225" spans="29:120" x14ac:dyDescent="0.25">
      <c r="AC5225" s="122" t="s">
        <v>247</v>
      </c>
      <c r="AD5225" s="122" t="s">
        <v>5388</v>
      </c>
      <c r="AE5225" s="127">
        <v>8</v>
      </c>
      <c r="DA5225" s="122" t="s">
        <v>376</v>
      </c>
      <c r="DB5225" s="122" t="s">
        <v>3643</v>
      </c>
      <c r="DC5225" s="122" t="s">
        <v>3643</v>
      </c>
      <c r="DD5225" s="127">
        <v>4</v>
      </c>
      <c r="DE5225" s="127">
        <v>4</v>
      </c>
      <c r="DG5225" t="s">
        <v>376</v>
      </c>
      <c r="DH5225" t="s">
        <v>3643</v>
      </c>
      <c r="DI5225" s="406" t="str">
        <f t="shared" si="113"/>
        <v>SP, Pitangueiras</v>
      </c>
      <c r="DJ5225">
        <v>-21.009</v>
      </c>
      <c r="DK5225">
        <v>-48.222000000000001</v>
      </c>
      <c r="DL5225">
        <v>512</v>
      </c>
      <c r="DM5225" s="1">
        <v>4</v>
      </c>
      <c r="DN5225" t="s">
        <v>8721</v>
      </c>
      <c r="DO5225" s="406">
        <v>-21.13</v>
      </c>
      <c r="DP5225" s="80">
        <v>525</v>
      </c>
    </row>
    <row r="5226" spans="29:120" x14ac:dyDescent="0.25">
      <c r="AC5226" s="122" t="s">
        <v>298</v>
      </c>
      <c r="AD5226" s="122" t="s">
        <v>5389</v>
      </c>
      <c r="AE5226" s="127">
        <v>8</v>
      </c>
      <c r="DA5226" s="122" t="s">
        <v>376</v>
      </c>
      <c r="DB5226" s="122" t="s">
        <v>1620</v>
      </c>
      <c r="DC5226" s="122" t="s">
        <v>1620</v>
      </c>
      <c r="DD5226" s="127">
        <v>6</v>
      </c>
      <c r="DE5226" s="127">
        <v>6</v>
      </c>
      <c r="DG5226" t="s">
        <v>376</v>
      </c>
      <c r="DH5226" t="s">
        <v>1620</v>
      </c>
      <c r="DI5226" s="406" t="str">
        <f t="shared" si="113"/>
        <v>SP, Planalto</v>
      </c>
      <c r="DJ5226">
        <v>-21.033999999999999</v>
      </c>
      <c r="DK5226">
        <v>-49.929000000000002</v>
      </c>
      <c r="DL5226">
        <v>434</v>
      </c>
      <c r="DM5226" s="1">
        <v>6</v>
      </c>
      <c r="DN5226" t="s">
        <v>8710</v>
      </c>
      <c r="DO5226" s="406">
        <v>-21.1</v>
      </c>
      <c r="DP5226" s="80">
        <v>405</v>
      </c>
    </row>
    <row r="5227" spans="29:120" x14ac:dyDescent="0.25">
      <c r="AC5227" s="122" t="s">
        <v>247</v>
      </c>
      <c r="AD5227" s="122" t="s">
        <v>5390</v>
      </c>
      <c r="AE5227" s="127">
        <v>8</v>
      </c>
      <c r="DA5227" s="122" t="s">
        <v>376</v>
      </c>
      <c r="DB5227" s="122" t="s">
        <v>3882</v>
      </c>
      <c r="DC5227" s="122" t="s">
        <v>3882</v>
      </c>
      <c r="DD5227" s="127">
        <v>3</v>
      </c>
      <c r="DE5227" s="127">
        <v>3</v>
      </c>
      <c r="DG5227" t="s">
        <v>376</v>
      </c>
      <c r="DH5227" t="s">
        <v>3882</v>
      </c>
      <c r="DI5227" s="406" t="str">
        <f t="shared" si="113"/>
        <v>SP, Platina</v>
      </c>
      <c r="DJ5227">
        <v>-22.638000000000002</v>
      </c>
      <c r="DK5227">
        <v>-50.204000000000001</v>
      </c>
      <c r="DL5227">
        <v>466</v>
      </c>
      <c r="DM5227" s="1">
        <v>3</v>
      </c>
      <c r="DN5227" t="s">
        <v>7822</v>
      </c>
      <c r="DO5227" s="406">
        <v>-22.98</v>
      </c>
      <c r="DP5227" s="80">
        <v>448</v>
      </c>
    </row>
    <row r="5228" spans="29:120" x14ac:dyDescent="0.25">
      <c r="AC5228" s="122" t="s">
        <v>247</v>
      </c>
      <c r="AD5228" s="122" t="s">
        <v>5391</v>
      </c>
      <c r="AE5228" s="127">
        <v>8</v>
      </c>
      <c r="DA5228" s="122" t="s">
        <v>376</v>
      </c>
      <c r="DB5228" s="122" t="s">
        <v>806</v>
      </c>
      <c r="DC5228" s="122" t="s">
        <v>806</v>
      </c>
      <c r="DD5228" s="127">
        <v>3</v>
      </c>
      <c r="DE5228" s="127">
        <v>3</v>
      </c>
      <c r="DG5228" t="s">
        <v>376</v>
      </c>
      <c r="DH5228" t="s">
        <v>806</v>
      </c>
      <c r="DI5228" s="406" t="str">
        <f t="shared" si="113"/>
        <v>SP, Poá</v>
      </c>
      <c r="DJ5228">
        <v>-23.527999999999999</v>
      </c>
      <c r="DK5228">
        <v>-46.344999999999999</v>
      </c>
      <c r="DL5228">
        <v>760</v>
      </c>
      <c r="DM5228" s="1">
        <v>3</v>
      </c>
      <c r="DN5228" t="s">
        <v>8735</v>
      </c>
      <c r="DO5228" s="406">
        <v>-23.85</v>
      </c>
      <c r="DP5228" s="80">
        <v>792</v>
      </c>
    </row>
    <row r="5229" spans="29:120" x14ac:dyDescent="0.25">
      <c r="AC5229" s="122" t="s">
        <v>247</v>
      </c>
      <c r="AD5229" s="122" t="s">
        <v>5392</v>
      </c>
      <c r="AE5229" s="127">
        <v>8</v>
      </c>
      <c r="DA5229" s="122" t="s">
        <v>376</v>
      </c>
      <c r="DB5229" s="122" t="s">
        <v>4004</v>
      </c>
      <c r="DC5229" s="122" t="s">
        <v>4004</v>
      </c>
      <c r="DD5229" s="127">
        <v>6</v>
      </c>
      <c r="DE5229" s="127">
        <v>6</v>
      </c>
      <c r="DG5229" t="s">
        <v>376</v>
      </c>
      <c r="DH5229" t="s">
        <v>4004</v>
      </c>
      <c r="DI5229" s="406" t="str">
        <f t="shared" si="113"/>
        <v>SP, Poloni</v>
      </c>
      <c r="DJ5229">
        <v>-20.785</v>
      </c>
      <c r="DK5229">
        <v>-49.823999999999998</v>
      </c>
      <c r="DL5229">
        <v>548</v>
      </c>
      <c r="DM5229" s="1">
        <v>6</v>
      </c>
      <c r="DN5229" t="s">
        <v>8710</v>
      </c>
      <c r="DO5229" s="406">
        <v>-21.1</v>
      </c>
      <c r="DP5229" s="80">
        <v>405</v>
      </c>
    </row>
    <row r="5230" spans="29:120" x14ac:dyDescent="0.25">
      <c r="AC5230" s="122" t="s">
        <v>348</v>
      </c>
      <c r="AD5230" s="122" t="s">
        <v>5393</v>
      </c>
      <c r="AE5230" s="127">
        <v>7</v>
      </c>
      <c r="DA5230" s="122" t="s">
        <v>376</v>
      </c>
      <c r="DB5230" s="122" t="s">
        <v>3784</v>
      </c>
      <c r="DC5230" s="122" t="s">
        <v>3784</v>
      </c>
      <c r="DD5230" s="127">
        <v>3</v>
      </c>
      <c r="DE5230" s="127">
        <v>3</v>
      </c>
      <c r="DG5230" t="s">
        <v>376</v>
      </c>
      <c r="DH5230" t="s">
        <v>3784</v>
      </c>
      <c r="DI5230" s="406" t="str">
        <f t="shared" si="113"/>
        <v>SP, Pompéia</v>
      </c>
      <c r="DJ5230">
        <v>-22.109000000000002</v>
      </c>
      <c r="DK5230">
        <v>-50.171999999999997</v>
      </c>
      <c r="DL5230">
        <v>597</v>
      </c>
      <c r="DM5230" s="1">
        <v>3</v>
      </c>
      <c r="DN5230" t="s">
        <v>8722</v>
      </c>
      <c r="DO5230" s="406">
        <v>-21.68</v>
      </c>
      <c r="DP5230" s="80">
        <v>459</v>
      </c>
    </row>
    <row r="5231" spans="29:120" x14ac:dyDescent="0.25">
      <c r="AC5231" s="122" t="s">
        <v>289</v>
      </c>
      <c r="AD5231" s="122" t="s">
        <v>1610</v>
      </c>
      <c r="AE5231" s="127">
        <v>7</v>
      </c>
      <c r="DA5231" s="122" t="s">
        <v>376</v>
      </c>
      <c r="DB5231" s="122" t="s">
        <v>3557</v>
      </c>
      <c r="DC5231" s="122" t="s">
        <v>3557</v>
      </c>
      <c r="DD5231" s="127">
        <v>3</v>
      </c>
      <c r="DE5231" s="127">
        <v>3</v>
      </c>
      <c r="DG5231" t="s">
        <v>376</v>
      </c>
      <c r="DH5231" t="s">
        <v>3557</v>
      </c>
      <c r="DI5231" s="406" t="str">
        <f t="shared" si="113"/>
        <v>SP, Pongaí</v>
      </c>
      <c r="DJ5231">
        <v>-21.736000000000001</v>
      </c>
      <c r="DK5231">
        <v>-49.366999999999997</v>
      </c>
      <c r="DL5231">
        <v>422</v>
      </c>
      <c r="DM5231" s="1">
        <v>3</v>
      </c>
      <c r="DN5231" t="s">
        <v>8722</v>
      </c>
      <c r="DO5231" s="406">
        <v>-21.68</v>
      </c>
      <c r="DP5231" s="80">
        <v>459</v>
      </c>
    </row>
    <row r="5232" spans="29:120" x14ac:dyDescent="0.25">
      <c r="AC5232" s="122" t="s">
        <v>298</v>
      </c>
      <c r="AD5232" s="122" t="s">
        <v>5394</v>
      </c>
      <c r="AE5232" s="127">
        <v>8</v>
      </c>
      <c r="DA5232" s="122" t="s">
        <v>376</v>
      </c>
      <c r="DB5232" s="122" t="s">
        <v>3817</v>
      </c>
      <c r="DC5232" s="122" t="s">
        <v>3817</v>
      </c>
      <c r="DD5232" s="127">
        <v>4</v>
      </c>
      <c r="DE5232" s="127">
        <v>4</v>
      </c>
      <c r="DG5232" t="s">
        <v>376</v>
      </c>
      <c r="DH5232" t="s">
        <v>3817</v>
      </c>
      <c r="DI5232" s="406" t="str">
        <f t="shared" si="113"/>
        <v>SP, Pontal</v>
      </c>
      <c r="DJ5232">
        <v>-21.023</v>
      </c>
      <c r="DK5232">
        <v>-48.036999999999999</v>
      </c>
      <c r="DL5232">
        <v>515</v>
      </c>
      <c r="DM5232" s="1">
        <v>4</v>
      </c>
      <c r="DN5232" t="s">
        <v>8732</v>
      </c>
      <c r="DO5232" s="406">
        <v>-20.36</v>
      </c>
      <c r="DP5232" s="80">
        <v>600</v>
      </c>
    </row>
    <row r="5233" spans="29:120" x14ac:dyDescent="0.25">
      <c r="AC5233" s="122" t="s">
        <v>348</v>
      </c>
      <c r="AD5233" s="122" t="s">
        <v>5395</v>
      </c>
      <c r="AE5233" s="127">
        <v>7</v>
      </c>
      <c r="DA5233" s="122" t="s">
        <v>376</v>
      </c>
      <c r="DB5233" s="122" t="s">
        <v>3910</v>
      </c>
      <c r="DC5233" s="122" t="s">
        <v>3910</v>
      </c>
      <c r="DD5233" s="127">
        <v>6</v>
      </c>
      <c r="DE5233" s="127">
        <v>6</v>
      </c>
      <c r="DG5233" t="s">
        <v>376</v>
      </c>
      <c r="DH5233" t="s">
        <v>3910</v>
      </c>
      <c r="DI5233" s="406" t="str">
        <f t="shared" si="113"/>
        <v>SP, Pontalinda</v>
      </c>
      <c r="DJ5233">
        <v>-20.440999999999999</v>
      </c>
      <c r="DK5233">
        <v>-50.523000000000003</v>
      </c>
      <c r="DL5233">
        <v>435</v>
      </c>
      <c r="DM5233" s="1">
        <v>6</v>
      </c>
      <c r="DN5233" t="s">
        <v>6904</v>
      </c>
      <c r="DO5233" s="406">
        <v>-20.27</v>
      </c>
      <c r="DP5233" s="80">
        <v>457</v>
      </c>
    </row>
    <row r="5234" spans="29:120" x14ac:dyDescent="0.25">
      <c r="AC5234" s="122" t="s">
        <v>328</v>
      </c>
      <c r="AD5234" s="122" t="s">
        <v>5396</v>
      </c>
      <c r="AE5234" s="127">
        <v>8</v>
      </c>
      <c r="DA5234" s="122" t="s">
        <v>376</v>
      </c>
      <c r="DB5234" s="122" t="s">
        <v>8840</v>
      </c>
      <c r="DC5234" s="122" t="s">
        <v>3572</v>
      </c>
      <c r="DD5234" s="127">
        <v>6</v>
      </c>
      <c r="DE5234" s="127">
        <v>6</v>
      </c>
      <c r="DG5234" t="s">
        <v>376</v>
      </c>
      <c r="DH5234" t="s">
        <v>3572</v>
      </c>
      <c r="DI5234" s="406" t="str">
        <f t="shared" si="113"/>
        <v>SP, Pontes Gestal</v>
      </c>
      <c r="DJ5234">
        <v>-20.167000000000002</v>
      </c>
      <c r="DK5234">
        <v>-49.703000000000003</v>
      </c>
      <c r="DL5234">
        <v>449</v>
      </c>
      <c r="DM5234" s="1">
        <v>6</v>
      </c>
      <c r="DN5234" t="s">
        <v>6984</v>
      </c>
      <c r="DO5234" s="406">
        <v>-20.420000000000002</v>
      </c>
      <c r="DP5234" s="80">
        <v>486</v>
      </c>
    </row>
    <row r="5235" spans="29:120" x14ac:dyDescent="0.25">
      <c r="AC5235" s="122" t="s">
        <v>298</v>
      </c>
      <c r="AD5235" s="122" t="s">
        <v>5397</v>
      </c>
      <c r="AE5235" s="127">
        <v>8</v>
      </c>
      <c r="DA5235" s="122" t="s">
        <v>376</v>
      </c>
      <c r="DB5235" s="122" t="s">
        <v>3010</v>
      </c>
      <c r="DC5235" s="122" t="s">
        <v>3010</v>
      </c>
      <c r="DD5235" s="127">
        <v>6</v>
      </c>
      <c r="DE5235" s="127">
        <v>6</v>
      </c>
      <c r="DG5235" t="s">
        <v>376</v>
      </c>
      <c r="DH5235" t="s">
        <v>3010</v>
      </c>
      <c r="DI5235" s="406" t="str">
        <f t="shared" si="113"/>
        <v>SP, Populina</v>
      </c>
      <c r="DJ5235">
        <v>-19.954000000000001</v>
      </c>
      <c r="DK5235">
        <v>-50.537999999999997</v>
      </c>
      <c r="DL5235">
        <v>443</v>
      </c>
      <c r="DM5235" s="1">
        <v>6</v>
      </c>
      <c r="DN5235" t="s">
        <v>6904</v>
      </c>
      <c r="DO5235" s="406">
        <v>-20.27</v>
      </c>
      <c r="DP5235" s="80">
        <v>457</v>
      </c>
    </row>
    <row r="5236" spans="29:120" x14ac:dyDescent="0.25">
      <c r="AC5236" s="122" t="s">
        <v>348</v>
      </c>
      <c r="AD5236" s="122" t="s">
        <v>5398</v>
      </c>
      <c r="AE5236" s="127">
        <v>7</v>
      </c>
      <c r="DA5236" s="122" t="s">
        <v>376</v>
      </c>
      <c r="DB5236" s="122" t="s">
        <v>872</v>
      </c>
      <c r="DC5236" s="122" t="s">
        <v>872</v>
      </c>
      <c r="DD5236" s="127">
        <v>3</v>
      </c>
      <c r="DE5236" s="127">
        <v>3</v>
      </c>
      <c r="DG5236" t="s">
        <v>376</v>
      </c>
      <c r="DH5236" t="s">
        <v>872</v>
      </c>
      <c r="DI5236" s="406" t="str">
        <f t="shared" si="113"/>
        <v>SP, Porangaba</v>
      </c>
      <c r="DJ5236">
        <v>-23.175999999999998</v>
      </c>
      <c r="DK5236">
        <v>-48.125</v>
      </c>
      <c r="DL5236">
        <v>525</v>
      </c>
      <c r="DM5236" s="1">
        <v>3</v>
      </c>
      <c r="DN5236" t="s">
        <v>8716</v>
      </c>
      <c r="DO5236" s="406">
        <v>-22.73</v>
      </c>
      <c r="DP5236" s="80">
        <v>573</v>
      </c>
    </row>
    <row r="5237" spans="29:120" x14ac:dyDescent="0.25">
      <c r="AC5237" s="122" t="s">
        <v>247</v>
      </c>
      <c r="AD5237" s="122" t="s">
        <v>723</v>
      </c>
      <c r="AE5237" s="127">
        <v>8</v>
      </c>
      <c r="DA5237" s="122" t="s">
        <v>376</v>
      </c>
      <c r="DB5237" s="122" t="s">
        <v>8841</v>
      </c>
      <c r="DC5237" s="122" t="s">
        <v>975</v>
      </c>
      <c r="DD5237" s="127">
        <v>3</v>
      </c>
      <c r="DE5237" s="127">
        <v>3</v>
      </c>
      <c r="DG5237" t="s">
        <v>376</v>
      </c>
      <c r="DH5237" t="s">
        <v>975</v>
      </c>
      <c r="DI5237" s="406" t="str">
        <f t="shared" si="113"/>
        <v>SP, Porto Feliz</v>
      </c>
      <c r="DJ5237">
        <v>-23.215</v>
      </c>
      <c r="DK5237">
        <v>-47.524000000000001</v>
      </c>
      <c r="DL5237">
        <v>523</v>
      </c>
      <c r="DM5237" s="1">
        <v>3</v>
      </c>
      <c r="DN5237" t="s">
        <v>8718</v>
      </c>
      <c r="DO5237" s="406">
        <v>-23.5</v>
      </c>
      <c r="DP5237" s="80">
        <v>609</v>
      </c>
    </row>
    <row r="5238" spans="29:120" x14ac:dyDescent="0.25">
      <c r="AC5238" s="122" t="s">
        <v>323</v>
      </c>
      <c r="AD5238" s="122" t="s">
        <v>5399</v>
      </c>
      <c r="AE5238" s="127">
        <v>6</v>
      </c>
      <c r="DA5238" s="122" t="s">
        <v>376</v>
      </c>
      <c r="DB5238" s="122" t="s">
        <v>8842</v>
      </c>
      <c r="DC5238" s="122" t="s">
        <v>3810</v>
      </c>
      <c r="DD5238" s="127">
        <v>4</v>
      </c>
      <c r="DE5238" s="127">
        <v>4</v>
      </c>
      <c r="DG5238" t="s">
        <v>376</v>
      </c>
      <c r="DH5238" t="s">
        <v>3810</v>
      </c>
      <c r="DI5238" s="406" t="str">
        <f t="shared" si="113"/>
        <v>SP, Porto Ferreira</v>
      </c>
      <c r="DJ5238">
        <v>-21.853999999999999</v>
      </c>
      <c r="DK5238">
        <v>-47.478999999999999</v>
      </c>
      <c r="DL5238">
        <v>558</v>
      </c>
      <c r="DM5238" s="1">
        <v>4</v>
      </c>
      <c r="DN5238" t="s">
        <v>6833</v>
      </c>
      <c r="DO5238" s="406">
        <v>-21.77</v>
      </c>
      <c r="DP5238" s="80">
        <v>730</v>
      </c>
    </row>
    <row r="5239" spans="29:120" x14ac:dyDescent="0.25">
      <c r="AC5239" s="122" t="s">
        <v>357</v>
      </c>
      <c r="AD5239" s="122" t="s">
        <v>5400</v>
      </c>
      <c r="AE5239" s="127">
        <v>7</v>
      </c>
      <c r="DA5239" s="122" t="s">
        <v>376</v>
      </c>
      <c r="DB5239" s="122" t="s">
        <v>3677</v>
      </c>
      <c r="DC5239" s="122" t="s">
        <v>3677</v>
      </c>
      <c r="DD5239" s="127">
        <v>3</v>
      </c>
      <c r="DE5239" s="127">
        <v>3</v>
      </c>
      <c r="DG5239" t="s">
        <v>376</v>
      </c>
      <c r="DH5239" t="s">
        <v>3677</v>
      </c>
      <c r="DI5239" s="406" t="str">
        <f t="shared" si="113"/>
        <v>SP, Potim</v>
      </c>
      <c r="DJ5239">
        <v>-22.843</v>
      </c>
      <c r="DK5239">
        <v>-45.250999999999998</v>
      </c>
      <c r="DL5239">
        <v>535</v>
      </c>
      <c r="DM5239" s="1">
        <v>3</v>
      </c>
      <c r="DN5239" t="s">
        <v>6873</v>
      </c>
      <c r="DO5239" s="406">
        <v>-22.74</v>
      </c>
      <c r="DP5239" s="80">
        <v>1642</v>
      </c>
    </row>
    <row r="5240" spans="29:120" x14ac:dyDescent="0.25">
      <c r="AC5240" s="122" t="s">
        <v>348</v>
      </c>
      <c r="AD5240" s="122" t="s">
        <v>5401</v>
      </c>
      <c r="AE5240" s="127">
        <v>7</v>
      </c>
      <c r="DA5240" s="122" t="s">
        <v>376</v>
      </c>
      <c r="DB5240" s="122" t="s">
        <v>3764</v>
      </c>
      <c r="DC5240" s="122" t="s">
        <v>3764</v>
      </c>
      <c r="DD5240" s="127">
        <v>6</v>
      </c>
      <c r="DE5240" s="127">
        <v>6</v>
      </c>
      <c r="DG5240" t="s">
        <v>376</v>
      </c>
      <c r="DH5240" t="s">
        <v>3764</v>
      </c>
      <c r="DI5240" s="406" t="str">
        <f t="shared" si="113"/>
        <v>SP, Potirendaba</v>
      </c>
      <c r="DJ5240">
        <v>-21.042999999999999</v>
      </c>
      <c r="DK5240">
        <v>-49.377000000000002</v>
      </c>
      <c r="DL5240">
        <v>469</v>
      </c>
      <c r="DM5240" s="1">
        <v>6</v>
      </c>
      <c r="DN5240" t="s">
        <v>8710</v>
      </c>
      <c r="DO5240" s="406">
        <v>-21.1</v>
      </c>
      <c r="DP5240" s="80">
        <v>405</v>
      </c>
    </row>
    <row r="5241" spans="29:120" x14ac:dyDescent="0.25">
      <c r="AC5241" s="122" t="s">
        <v>348</v>
      </c>
      <c r="AD5241" s="122" t="s">
        <v>5199</v>
      </c>
      <c r="AE5241" s="127">
        <v>7</v>
      </c>
      <c r="DA5241" s="122" t="s">
        <v>376</v>
      </c>
      <c r="DB5241" s="122" t="s">
        <v>3981</v>
      </c>
      <c r="DC5241" s="122" t="s">
        <v>3981</v>
      </c>
      <c r="DD5241" s="127">
        <v>6</v>
      </c>
      <c r="DE5241" s="127">
        <v>6</v>
      </c>
      <c r="DG5241" t="s">
        <v>376</v>
      </c>
      <c r="DH5241" t="s">
        <v>3981</v>
      </c>
      <c r="DI5241" s="406" t="str">
        <f t="shared" si="113"/>
        <v>SP, Pracinha</v>
      </c>
      <c r="DJ5241">
        <v>-21.850999999999999</v>
      </c>
      <c r="DK5241">
        <v>-51.087000000000003</v>
      </c>
      <c r="DL5241">
        <v>402</v>
      </c>
      <c r="DM5241" s="1">
        <v>6</v>
      </c>
      <c r="DN5241" t="s">
        <v>8720</v>
      </c>
      <c r="DO5241" s="406">
        <v>-22.13</v>
      </c>
      <c r="DP5241" s="80">
        <v>436</v>
      </c>
    </row>
    <row r="5242" spans="29:120" x14ac:dyDescent="0.25">
      <c r="AC5242" s="122" t="s">
        <v>322</v>
      </c>
      <c r="AD5242" s="122" t="s">
        <v>5402</v>
      </c>
      <c r="AE5242" s="127">
        <v>7</v>
      </c>
      <c r="DA5242" s="122" t="s">
        <v>376</v>
      </c>
      <c r="DB5242" s="122" t="s">
        <v>3712</v>
      </c>
      <c r="DC5242" s="122" t="s">
        <v>3712</v>
      </c>
      <c r="DD5242" s="127">
        <v>4</v>
      </c>
      <c r="DE5242" s="127">
        <v>4</v>
      </c>
      <c r="DG5242" t="s">
        <v>376</v>
      </c>
      <c r="DH5242" t="s">
        <v>3712</v>
      </c>
      <c r="DI5242" s="406" t="str">
        <f t="shared" si="113"/>
        <v>SP, Pradópolis</v>
      </c>
      <c r="DJ5242">
        <v>-21.359000000000002</v>
      </c>
      <c r="DK5242">
        <v>-48.066000000000003</v>
      </c>
      <c r="DL5242">
        <v>538</v>
      </c>
      <c r="DM5242" s="1">
        <v>4</v>
      </c>
      <c r="DN5242" t="s">
        <v>8728</v>
      </c>
      <c r="DO5242" s="406">
        <v>-22.02</v>
      </c>
      <c r="DP5242" s="80">
        <v>863</v>
      </c>
    </row>
    <row r="5243" spans="29:120" x14ac:dyDescent="0.25">
      <c r="AC5243" s="122" t="s">
        <v>333</v>
      </c>
      <c r="AD5243" s="122" t="s">
        <v>5403</v>
      </c>
      <c r="AE5243" s="127">
        <v>5</v>
      </c>
      <c r="DA5243" s="122" t="s">
        <v>376</v>
      </c>
      <c r="DB5243" s="122" t="s">
        <v>8627</v>
      </c>
      <c r="DC5243" s="122" t="s">
        <v>1284</v>
      </c>
      <c r="DD5243" s="127">
        <v>3</v>
      </c>
      <c r="DE5243" s="127">
        <v>3</v>
      </c>
      <c r="DG5243" t="s">
        <v>376</v>
      </c>
      <c r="DH5243" t="s">
        <v>1284</v>
      </c>
      <c r="DI5243" s="406" t="str">
        <f t="shared" si="113"/>
        <v>SP, Praia Grande</v>
      </c>
      <c r="DJ5243">
        <v>-24.006</v>
      </c>
      <c r="DK5243">
        <v>-46.402999999999999</v>
      </c>
      <c r="DL5243">
        <v>3</v>
      </c>
      <c r="DM5243" s="1">
        <v>3</v>
      </c>
      <c r="DN5243" t="s">
        <v>8735</v>
      </c>
      <c r="DO5243" s="406">
        <v>-23.85</v>
      </c>
      <c r="DP5243" s="80">
        <v>792</v>
      </c>
    </row>
    <row r="5244" spans="29:120" x14ac:dyDescent="0.25">
      <c r="AC5244" s="122" t="s">
        <v>357</v>
      </c>
      <c r="AD5244" s="122" t="s">
        <v>5404</v>
      </c>
      <c r="AE5244" s="127">
        <v>7</v>
      </c>
      <c r="DA5244" s="122" t="s">
        <v>376</v>
      </c>
      <c r="DB5244" s="122" t="s">
        <v>1001</v>
      </c>
      <c r="DC5244" s="122" t="s">
        <v>1001</v>
      </c>
      <c r="DD5244" s="127">
        <v>3</v>
      </c>
      <c r="DE5244" s="127">
        <v>3</v>
      </c>
      <c r="DG5244" t="s">
        <v>376</v>
      </c>
      <c r="DH5244" t="s">
        <v>1001</v>
      </c>
      <c r="DI5244" s="406" t="str">
        <f t="shared" si="113"/>
        <v>SP, Pratânia</v>
      </c>
      <c r="DJ5244">
        <v>-22.808</v>
      </c>
      <c r="DK5244">
        <v>-48.665999999999997</v>
      </c>
      <c r="DL5244">
        <v>685</v>
      </c>
      <c r="DM5244" s="1">
        <v>3</v>
      </c>
      <c r="DN5244" t="s">
        <v>8714</v>
      </c>
      <c r="DO5244" s="406">
        <v>-23.1</v>
      </c>
      <c r="DP5244" s="80">
        <v>654</v>
      </c>
    </row>
    <row r="5245" spans="29:120" x14ac:dyDescent="0.25">
      <c r="AC5245" s="122" t="s">
        <v>247</v>
      </c>
      <c r="AD5245" s="122" t="s">
        <v>5405</v>
      </c>
      <c r="AE5245" s="127">
        <v>8</v>
      </c>
      <c r="DA5245" s="122" t="s">
        <v>376</v>
      </c>
      <c r="DB5245" s="122" t="s">
        <v>8843</v>
      </c>
      <c r="DC5245" s="122" t="s">
        <v>3850</v>
      </c>
      <c r="DD5245" s="127">
        <v>3</v>
      </c>
      <c r="DE5245" s="127">
        <v>3</v>
      </c>
      <c r="DG5245" t="s">
        <v>376</v>
      </c>
      <c r="DH5245" t="s">
        <v>3850</v>
      </c>
      <c r="DI5245" s="406" t="str">
        <f t="shared" si="113"/>
        <v>SP, Presidente Alves</v>
      </c>
      <c r="DJ5245">
        <v>-22.1</v>
      </c>
      <c r="DK5245">
        <v>-49.438000000000002</v>
      </c>
      <c r="DL5245">
        <v>576</v>
      </c>
      <c r="DM5245" s="1">
        <v>3</v>
      </c>
      <c r="DN5245" t="s">
        <v>8717</v>
      </c>
      <c r="DO5245" s="406">
        <v>-22.32</v>
      </c>
      <c r="DP5245" s="80">
        <v>550</v>
      </c>
    </row>
    <row r="5246" spans="29:120" x14ac:dyDescent="0.25">
      <c r="AC5246" s="122" t="s">
        <v>348</v>
      </c>
      <c r="AD5246" s="122" t="s">
        <v>5406</v>
      </c>
      <c r="AE5246" s="127">
        <v>7</v>
      </c>
      <c r="DA5246" s="122" t="s">
        <v>376</v>
      </c>
      <c r="DB5246" s="122" t="s">
        <v>7092</v>
      </c>
      <c r="DC5246" s="122" t="s">
        <v>667</v>
      </c>
      <c r="DD5246" s="127">
        <v>6</v>
      </c>
      <c r="DE5246" s="127">
        <v>6</v>
      </c>
      <c r="DG5246" t="s">
        <v>376</v>
      </c>
      <c r="DH5246" t="s">
        <v>667</v>
      </c>
      <c r="DI5246" s="406" t="str">
        <f t="shared" si="113"/>
        <v>SP, Presidente Bernardes</v>
      </c>
      <c r="DJ5246">
        <v>-22.006</v>
      </c>
      <c r="DK5246">
        <v>-51.552999999999997</v>
      </c>
      <c r="DL5246">
        <v>429</v>
      </c>
      <c r="DM5246" s="1">
        <v>6</v>
      </c>
      <c r="DN5246" t="s">
        <v>8720</v>
      </c>
      <c r="DO5246" s="406">
        <v>-22.13</v>
      </c>
      <c r="DP5246" s="80">
        <v>436</v>
      </c>
    </row>
    <row r="5247" spans="29:120" x14ac:dyDescent="0.25">
      <c r="AC5247" s="122" t="s">
        <v>348</v>
      </c>
      <c r="AD5247" s="122" t="s">
        <v>5407</v>
      </c>
      <c r="AE5247" s="127">
        <v>7</v>
      </c>
      <c r="DA5247" s="122" t="s">
        <v>376</v>
      </c>
      <c r="DB5247" s="122" t="s">
        <v>8844</v>
      </c>
      <c r="DC5247" s="122" t="s">
        <v>3903</v>
      </c>
      <c r="DD5247" s="127">
        <v>6</v>
      </c>
      <c r="DE5247" s="127">
        <v>6</v>
      </c>
      <c r="DG5247" t="s">
        <v>376</v>
      </c>
      <c r="DH5247" t="s">
        <v>3903</v>
      </c>
      <c r="DI5247" s="406" t="str">
        <f t="shared" si="113"/>
        <v>SP, Presidente Epitácio</v>
      </c>
      <c r="DJ5247">
        <v>-21.763000000000002</v>
      </c>
      <c r="DK5247">
        <v>-52.116</v>
      </c>
      <c r="DL5247">
        <v>310</v>
      </c>
      <c r="DM5247" s="1">
        <v>6</v>
      </c>
      <c r="DN5247" t="s">
        <v>7264</v>
      </c>
      <c r="DO5247" s="406">
        <v>-22.49</v>
      </c>
      <c r="DP5247" s="80">
        <v>311</v>
      </c>
    </row>
    <row r="5248" spans="29:120" x14ac:dyDescent="0.25">
      <c r="AC5248" s="122" t="s">
        <v>247</v>
      </c>
      <c r="AD5248" s="122" t="s">
        <v>4760</v>
      </c>
      <c r="AE5248" s="127">
        <v>8</v>
      </c>
      <c r="DA5248" s="122" t="s">
        <v>376</v>
      </c>
      <c r="DB5248" s="122" t="s">
        <v>8845</v>
      </c>
      <c r="DC5248" s="122" t="s">
        <v>3453</v>
      </c>
      <c r="DD5248" s="127">
        <v>6</v>
      </c>
      <c r="DE5248" s="127">
        <v>6</v>
      </c>
      <c r="DG5248" t="s">
        <v>376</v>
      </c>
      <c r="DH5248" t="s">
        <v>3453</v>
      </c>
      <c r="DI5248" s="406" t="str">
        <f t="shared" si="113"/>
        <v>SP, Presidente Prudente</v>
      </c>
      <c r="DJ5248">
        <v>-22.126000000000001</v>
      </c>
      <c r="DK5248">
        <v>-51.389000000000003</v>
      </c>
      <c r="DL5248">
        <v>475</v>
      </c>
      <c r="DM5248" s="1">
        <v>6</v>
      </c>
      <c r="DN5248" t="s">
        <v>8720</v>
      </c>
      <c r="DO5248" s="406">
        <v>-22.13</v>
      </c>
      <c r="DP5248" s="80">
        <v>436</v>
      </c>
    </row>
    <row r="5249" spans="29:120" x14ac:dyDescent="0.25">
      <c r="AC5249" s="122" t="s">
        <v>247</v>
      </c>
      <c r="AD5249" s="122" t="s">
        <v>5408</v>
      </c>
      <c r="AE5249" s="127">
        <v>8</v>
      </c>
      <c r="DA5249" s="122" t="s">
        <v>376</v>
      </c>
      <c r="DB5249" s="122" t="s">
        <v>8846</v>
      </c>
      <c r="DC5249" s="122" t="s">
        <v>3902</v>
      </c>
      <c r="DD5249" s="127">
        <v>6</v>
      </c>
      <c r="DE5249" s="127">
        <v>6</v>
      </c>
      <c r="DG5249" t="s">
        <v>376</v>
      </c>
      <c r="DH5249" t="s">
        <v>3902</v>
      </c>
      <c r="DI5249" s="406" t="str">
        <f t="shared" si="113"/>
        <v>SP, Presidente Venceslau</v>
      </c>
      <c r="DJ5249">
        <v>-21.876000000000001</v>
      </c>
      <c r="DK5249">
        <v>-51.844000000000001</v>
      </c>
      <c r="DL5249">
        <v>422</v>
      </c>
      <c r="DM5249" s="1">
        <v>6</v>
      </c>
      <c r="DN5249" t="s">
        <v>8720</v>
      </c>
      <c r="DO5249" s="406">
        <v>-22.13</v>
      </c>
      <c r="DP5249" s="80">
        <v>436</v>
      </c>
    </row>
    <row r="5250" spans="29:120" x14ac:dyDescent="0.25">
      <c r="AC5250" s="122" t="s">
        <v>247</v>
      </c>
      <c r="AD5250" s="122" t="s">
        <v>5409</v>
      </c>
      <c r="AE5250" s="127">
        <v>8</v>
      </c>
      <c r="DA5250" s="122" t="s">
        <v>376</v>
      </c>
      <c r="DB5250" s="122" t="s">
        <v>4013</v>
      </c>
      <c r="DC5250" s="122" t="s">
        <v>4013</v>
      </c>
      <c r="DD5250" s="127">
        <v>3</v>
      </c>
      <c r="DE5250" s="127">
        <v>3</v>
      </c>
      <c r="DG5250" t="s">
        <v>376</v>
      </c>
      <c r="DH5250" t="s">
        <v>4013</v>
      </c>
      <c r="DI5250" s="406" t="str">
        <f t="shared" si="113"/>
        <v>SP, Promissão</v>
      </c>
      <c r="DJ5250">
        <v>-21.536999999999999</v>
      </c>
      <c r="DK5250">
        <v>-49.857999999999997</v>
      </c>
      <c r="DL5250">
        <v>426</v>
      </c>
      <c r="DM5250" s="1">
        <v>3</v>
      </c>
      <c r="DN5250" t="s">
        <v>8722</v>
      </c>
      <c r="DO5250" s="406">
        <v>-21.68</v>
      </c>
      <c r="DP5250" s="80">
        <v>459</v>
      </c>
    </row>
    <row r="5251" spans="29:120" x14ac:dyDescent="0.25">
      <c r="AC5251" s="122" t="s">
        <v>247</v>
      </c>
      <c r="AD5251" s="122" t="s">
        <v>5410</v>
      </c>
      <c r="AE5251" s="127">
        <v>8</v>
      </c>
      <c r="DA5251" s="122" t="s">
        <v>376</v>
      </c>
      <c r="DB5251" s="122" t="s">
        <v>937</v>
      </c>
      <c r="DC5251" s="122" t="s">
        <v>937</v>
      </c>
      <c r="DD5251" s="127">
        <v>3</v>
      </c>
      <c r="DE5251" s="127">
        <v>3</v>
      </c>
      <c r="DG5251" t="s">
        <v>376</v>
      </c>
      <c r="DH5251" t="s">
        <v>937</v>
      </c>
      <c r="DI5251" s="406" t="str">
        <f t="shared" ref="DI5251:DI5314" si="114">CONCATENATE(DG5251,", ",DH5251)</f>
        <v>SP, Quadra</v>
      </c>
      <c r="DJ5251">
        <v>-23.298999999999999</v>
      </c>
      <c r="DK5251">
        <v>-48.055</v>
      </c>
      <c r="DL5251">
        <v>638</v>
      </c>
      <c r="DM5251" s="1">
        <v>3</v>
      </c>
      <c r="DN5251" t="s">
        <v>8718</v>
      </c>
      <c r="DO5251" s="406">
        <v>-23.5</v>
      </c>
      <c r="DP5251" s="80">
        <v>609</v>
      </c>
    </row>
    <row r="5252" spans="29:120" x14ac:dyDescent="0.25">
      <c r="AC5252" s="122" t="s">
        <v>348</v>
      </c>
      <c r="AD5252" s="122" t="s">
        <v>5411</v>
      </c>
      <c r="AE5252" s="127">
        <v>7</v>
      </c>
      <c r="DA5252" s="122" t="s">
        <v>376</v>
      </c>
      <c r="DB5252" s="122" t="s">
        <v>4030</v>
      </c>
      <c r="DC5252" s="122" t="s">
        <v>4030</v>
      </c>
      <c r="DD5252" s="127">
        <v>6</v>
      </c>
      <c r="DE5252" s="127">
        <v>6</v>
      </c>
      <c r="DG5252" t="s">
        <v>376</v>
      </c>
      <c r="DH5252" t="s">
        <v>4030</v>
      </c>
      <c r="DI5252" s="406" t="str">
        <f t="shared" si="114"/>
        <v>SP, Quatá</v>
      </c>
      <c r="DJ5252">
        <v>-22.248000000000001</v>
      </c>
      <c r="DK5252">
        <v>-50.698</v>
      </c>
      <c r="DL5252">
        <v>550</v>
      </c>
      <c r="DM5252" s="1">
        <v>6</v>
      </c>
      <c r="DN5252" t="s">
        <v>7819</v>
      </c>
      <c r="DO5252" s="406">
        <v>-22.37</v>
      </c>
      <c r="DP5252" s="80">
        <v>350</v>
      </c>
    </row>
    <row r="5253" spans="29:120" x14ac:dyDescent="0.25">
      <c r="AC5253" s="122" t="s">
        <v>247</v>
      </c>
      <c r="AD5253" s="122" t="s">
        <v>5412</v>
      </c>
      <c r="AE5253" s="127">
        <v>8</v>
      </c>
      <c r="DA5253" s="122" t="s">
        <v>376</v>
      </c>
      <c r="DB5253" s="122" t="s">
        <v>3961</v>
      </c>
      <c r="DC5253" s="122" t="s">
        <v>3961</v>
      </c>
      <c r="DD5253" s="127">
        <v>3</v>
      </c>
      <c r="DE5253" s="127">
        <v>3</v>
      </c>
      <c r="DG5253" t="s">
        <v>376</v>
      </c>
      <c r="DH5253" t="s">
        <v>3961</v>
      </c>
      <c r="DI5253" s="406" t="str">
        <f t="shared" si="114"/>
        <v>SP, Queiroz</v>
      </c>
      <c r="DJ5253">
        <v>-21.798999999999999</v>
      </c>
      <c r="DK5253">
        <v>-50.24</v>
      </c>
      <c r="DL5253">
        <v>431</v>
      </c>
      <c r="DM5253" s="1">
        <v>3</v>
      </c>
      <c r="DN5253" t="s">
        <v>8722</v>
      </c>
      <c r="DO5253" s="406">
        <v>-21.68</v>
      </c>
      <c r="DP5253" s="80">
        <v>459</v>
      </c>
    </row>
    <row r="5254" spans="29:120" x14ac:dyDescent="0.25">
      <c r="AC5254" s="122" t="s">
        <v>323</v>
      </c>
      <c r="AD5254" s="122" t="s">
        <v>4957</v>
      </c>
      <c r="AE5254" s="127">
        <v>7</v>
      </c>
      <c r="DA5254" s="122" t="s">
        <v>376</v>
      </c>
      <c r="DB5254" s="122" t="s">
        <v>3657</v>
      </c>
      <c r="DC5254" s="122" t="s">
        <v>3657</v>
      </c>
      <c r="DD5254" s="127">
        <v>3</v>
      </c>
      <c r="DE5254" s="127">
        <v>3</v>
      </c>
      <c r="DG5254" t="s">
        <v>376</v>
      </c>
      <c r="DH5254" t="s">
        <v>3657</v>
      </c>
      <c r="DI5254" s="406" t="str">
        <f t="shared" si="114"/>
        <v>SP, Queluz</v>
      </c>
      <c r="DJ5254">
        <v>-22.536999999999999</v>
      </c>
      <c r="DK5254">
        <v>-44.774000000000001</v>
      </c>
      <c r="DL5254">
        <v>497</v>
      </c>
      <c r="DM5254" s="1">
        <v>3</v>
      </c>
      <c r="DN5254" t="s">
        <v>6837</v>
      </c>
      <c r="DO5254" s="406">
        <v>-22.39</v>
      </c>
      <c r="DP5254" s="80">
        <v>1040</v>
      </c>
    </row>
    <row r="5255" spans="29:120" x14ac:dyDescent="0.25">
      <c r="AC5255" s="122" t="s">
        <v>247</v>
      </c>
      <c r="AD5255" s="122" t="s">
        <v>5413</v>
      </c>
      <c r="AE5255" s="127">
        <v>8</v>
      </c>
      <c r="DA5255" s="122" t="s">
        <v>376</v>
      </c>
      <c r="DB5255" s="122" t="s">
        <v>3969</v>
      </c>
      <c r="DC5255" s="122" t="s">
        <v>3969</v>
      </c>
      <c r="DD5255" s="127">
        <v>3</v>
      </c>
      <c r="DE5255" s="127">
        <v>3</v>
      </c>
      <c r="DG5255" t="s">
        <v>376</v>
      </c>
      <c r="DH5255" t="s">
        <v>3969</v>
      </c>
      <c r="DI5255" s="406" t="str">
        <f t="shared" si="114"/>
        <v>SP, Quintana</v>
      </c>
      <c r="DJ5255">
        <v>-22.073</v>
      </c>
      <c r="DK5255">
        <v>-50.308</v>
      </c>
      <c r="DL5255">
        <v>595</v>
      </c>
      <c r="DM5255" s="1">
        <v>3</v>
      </c>
      <c r="DN5255" t="s">
        <v>7819</v>
      </c>
      <c r="DO5255" s="406">
        <v>-22.37</v>
      </c>
      <c r="DP5255" s="80">
        <v>350</v>
      </c>
    </row>
    <row r="5256" spans="29:120" x14ac:dyDescent="0.25">
      <c r="AC5256" s="122" t="s">
        <v>247</v>
      </c>
      <c r="AD5256" s="122" t="s">
        <v>5414</v>
      </c>
      <c r="AE5256" s="127">
        <v>8</v>
      </c>
      <c r="DA5256" s="122" t="s">
        <v>376</v>
      </c>
      <c r="DB5256" s="122" t="s">
        <v>3929</v>
      </c>
      <c r="DC5256" s="122" t="s">
        <v>3929</v>
      </c>
      <c r="DD5256" s="127">
        <v>3</v>
      </c>
      <c r="DE5256" s="127">
        <v>3</v>
      </c>
      <c r="DG5256" t="s">
        <v>376</v>
      </c>
      <c r="DH5256" t="s">
        <v>3929</v>
      </c>
      <c r="DI5256" s="406" t="str">
        <f t="shared" si="114"/>
        <v>SP, Rafard</v>
      </c>
      <c r="DJ5256">
        <v>-23.012</v>
      </c>
      <c r="DK5256">
        <v>-47.527000000000001</v>
      </c>
      <c r="DL5256">
        <v>515</v>
      </c>
      <c r="DM5256" s="1">
        <v>3</v>
      </c>
      <c r="DN5256" t="s">
        <v>8716</v>
      </c>
      <c r="DO5256" s="406">
        <v>-22.73</v>
      </c>
      <c r="DP5256" s="80">
        <v>573</v>
      </c>
    </row>
    <row r="5257" spans="29:120" x14ac:dyDescent="0.25">
      <c r="AC5257" s="122" t="s">
        <v>300</v>
      </c>
      <c r="AD5257" s="122" t="s">
        <v>1326</v>
      </c>
      <c r="AE5257" s="127">
        <v>7</v>
      </c>
      <c r="DA5257" s="122" t="s">
        <v>376</v>
      </c>
      <c r="DB5257" s="122" t="s">
        <v>3977</v>
      </c>
      <c r="DC5257" s="122" t="s">
        <v>3977</v>
      </c>
      <c r="DD5257" s="127">
        <v>6</v>
      </c>
      <c r="DE5257" s="127">
        <v>6</v>
      </c>
      <c r="DG5257" t="s">
        <v>376</v>
      </c>
      <c r="DH5257" t="s">
        <v>3977</v>
      </c>
      <c r="DI5257" s="406" t="str">
        <f t="shared" si="114"/>
        <v>SP, Rancharia</v>
      </c>
      <c r="DJ5257">
        <v>-22.228999999999999</v>
      </c>
      <c r="DK5257">
        <v>-50.893000000000001</v>
      </c>
      <c r="DL5257">
        <v>519</v>
      </c>
      <c r="DM5257" s="1">
        <v>6</v>
      </c>
      <c r="DN5257" t="s">
        <v>7819</v>
      </c>
      <c r="DO5257" s="406">
        <v>-22.37</v>
      </c>
      <c r="DP5257" s="80">
        <v>350</v>
      </c>
    </row>
    <row r="5258" spans="29:120" x14ac:dyDescent="0.25">
      <c r="AC5258" s="122" t="s">
        <v>348</v>
      </c>
      <c r="AD5258" s="122" t="s">
        <v>5415</v>
      </c>
      <c r="AE5258" s="127">
        <v>7</v>
      </c>
      <c r="DA5258" s="122" t="s">
        <v>376</v>
      </c>
      <c r="DB5258" s="122" t="s">
        <v>8847</v>
      </c>
      <c r="DC5258" s="122" t="s">
        <v>907</v>
      </c>
      <c r="DD5258" s="127">
        <v>3</v>
      </c>
      <c r="DE5258" s="127">
        <v>3</v>
      </c>
      <c r="DG5258" t="s">
        <v>376</v>
      </c>
      <c r="DH5258" t="s">
        <v>907</v>
      </c>
      <c r="DI5258" s="406" t="str">
        <f t="shared" si="114"/>
        <v>SP, Redenção da Serra</v>
      </c>
      <c r="DJ5258">
        <v>-23.266999999999999</v>
      </c>
      <c r="DK5258">
        <v>-45.536999999999999</v>
      </c>
      <c r="DL5258">
        <v>730</v>
      </c>
      <c r="DM5258" s="1">
        <v>3</v>
      </c>
      <c r="DN5258" t="s">
        <v>8759</v>
      </c>
      <c r="DO5258" s="406">
        <v>-23.23</v>
      </c>
      <c r="DP5258" s="80">
        <v>874</v>
      </c>
    </row>
    <row r="5259" spans="29:120" x14ac:dyDescent="0.25">
      <c r="AC5259" s="122" t="s">
        <v>247</v>
      </c>
      <c r="AD5259" s="122" t="s">
        <v>5416</v>
      </c>
      <c r="AE5259" s="127">
        <v>8</v>
      </c>
      <c r="DA5259" s="122" t="s">
        <v>376</v>
      </c>
      <c r="DB5259" s="122" t="s">
        <v>8848</v>
      </c>
      <c r="DC5259" s="122" t="s">
        <v>3698</v>
      </c>
      <c r="DD5259" s="127">
        <v>6</v>
      </c>
      <c r="DE5259" s="127">
        <v>6</v>
      </c>
      <c r="DG5259" t="s">
        <v>376</v>
      </c>
      <c r="DH5259" t="s">
        <v>3698</v>
      </c>
      <c r="DI5259" s="406" t="str">
        <f t="shared" si="114"/>
        <v>SP, Regente Feijó</v>
      </c>
      <c r="DJ5259">
        <v>-22.221</v>
      </c>
      <c r="DK5259">
        <v>-51.302999999999997</v>
      </c>
      <c r="DL5259">
        <v>504</v>
      </c>
      <c r="DM5259" s="1">
        <v>6</v>
      </c>
      <c r="DN5259" t="s">
        <v>8720</v>
      </c>
      <c r="DO5259" s="406">
        <v>-22.13</v>
      </c>
      <c r="DP5259" s="80">
        <v>436</v>
      </c>
    </row>
    <row r="5260" spans="29:120" x14ac:dyDescent="0.25">
      <c r="AC5260" s="122" t="s">
        <v>372</v>
      </c>
      <c r="AD5260" s="122" t="s">
        <v>5417</v>
      </c>
      <c r="AE5260" s="127">
        <v>8</v>
      </c>
      <c r="DA5260" s="122" t="s">
        <v>376</v>
      </c>
      <c r="DB5260" s="122" t="s">
        <v>3561</v>
      </c>
      <c r="DC5260" s="122" t="s">
        <v>3561</v>
      </c>
      <c r="DD5260" s="127">
        <v>3</v>
      </c>
      <c r="DE5260" s="127">
        <v>3</v>
      </c>
      <c r="DG5260" t="s">
        <v>376</v>
      </c>
      <c r="DH5260" t="s">
        <v>3561</v>
      </c>
      <c r="DI5260" s="406" t="str">
        <f t="shared" si="114"/>
        <v>SP, Reginópolis</v>
      </c>
      <c r="DJ5260">
        <v>-21.888000000000002</v>
      </c>
      <c r="DK5260">
        <v>-49.225000000000001</v>
      </c>
      <c r="DL5260">
        <v>391</v>
      </c>
      <c r="DM5260" s="1">
        <v>3</v>
      </c>
      <c r="DN5260" t="s">
        <v>8733</v>
      </c>
      <c r="DO5260" s="406">
        <v>-21.86</v>
      </c>
      <c r="DP5260" s="80">
        <v>492</v>
      </c>
    </row>
    <row r="5261" spans="29:120" x14ac:dyDescent="0.25">
      <c r="AC5261" s="122" t="s">
        <v>247</v>
      </c>
      <c r="AD5261" s="122" t="s">
        <v>5418</v>
      </c>
      <c r="AE5261" s="127">
        <v>8</v>
      </c>
      <c r="DA5261" s="122" t="s">
        <v>376</v>
      </c>
      <c r="DB5261" s="122" t="s">
        <v>3945</v>
      </c>
      <c r="DC5261" s="122" t="s">
        <v>3945</v>
      </c>
      <c r="DD5261" s="127">
        <v>5</v>
      </c>
      <c r="DE5261" s="127">
        <v>5</v>
      </c>
      <c r="DG5261" t="s">
        <v>376</v>
      </c>
      <c r="DH5261" t="s">
        <v>3945</v>
      </c>
      <c r="DI5261" s="406" t="str">
        <f t="shared" si="114"/>
        <v>SP, Registro</v>
      </c>
      <c r="DJ5261">
        <v>-24.488</v>
      </c>
      <c r="DK5261">
        <v>-47.844000000000001</v>
      </c>
      <c r="DL5261">
        <v>25</v>
      </c>
      <c r="DM5261" s="1">
        <v>5</v>
      </c>
      <c r="DN5261" t="s">
        <v>8750</v>
      </c>
      <c r="DO5261" s="406">
        <v>-24.71</v>
      </c>
      <c r="DP5261" s="80">
        <v>3</v>
      </c>
    </row>
    <row r="5262" spans="29:120" x14ac:dyDescent="0.25">
      <c r="AC5262" s="122" t="s">
        <v>348</v>
      </c>
      <c r="AD5262" s="122" t="s">
        <v>5419</v>
      </c>
      <c r="AE5262" s="127">
        <v>7</v>
      </c>
      <c r="DA5262" s="122" t="s">
        <v>376</v>
      </c>
      <c r="DB5262" s="122" t="s">
        <v>2844</v>
      </c>
      <c r="DC5262" s="122" t="s">
        <v>2844</v>
      </c>
      <c r="DD5262" s="127">
        <v>4</v>
      </c>
      <c r="DE5262" s="127">
        <v>4</v>
      </c>
      <c r="DG5262" t="s">
        <v>376</v>
      </c>
      <c r="DH5262" t="s">
        <v>2844</v>
      </c>
      <c r="DI5262" s="406" t="str">
        <f t="shared" si="114"/>
        <v>SP, Restinga</v>
      </c>
      <c r="DJ5262">
        <v>-20.603000000000002</v>
      </c>
      <c r="DK5262">
        <v>-47.482999999999997</v>
      </c>
      <c r="DL5262">
        <v>910</v>
      </c>
      <c r="DM5262" s="1">
        <v>4</v>
      </c>
      <c r="DN5262" t="s">
        <v>6892</v>
      </c>
      <c r="DO5262" s="406">
        <v>-20.54</v>
      </c>
      <c r="DP5262" s="80">
        <v>1026</v>
      </c>
    </row>
    <row r="5263" spans="29:120" x14ac:dyDescent="0.25">
      <c r="AC5263" s="122" t="s">
        <v>348</v>
      </c>
      <c r="AD5263" s="122" t="s">
        <v>1766</v>
      </c>
      <c r="AE5263" s="127">
        <v>7</v>
      </c>
      <c r="DA5263" s="122" t="s">
        <v>376</v>
      </c>
      <c r="DB5263" s="122" t="s">
        <v>3877</v>
      </c>
      <c r="DC5263" s="122" t="s">
        <v>3877</v>
      </c>
      <c r="DD5263" s="127">
        <v>2</v>
      </c>
      <c r="DE5263" s="127">
        <v>2</v>
      </c>
      <c r="DG5263" t="s">
        <v>376</v>
      </c>
      <c r="DH5263" t="s">
        <v>3877</v>
      </c>
      <c r="DI5263" s="406" t="str">
        <f t="shared" si="114"/>
        <v>SP, Ribeira</v>
      </c>
      <c r="DJ5263">
        <v>-24.657</v>
      </c>
      <c r="DK5263">
        <v>-49.009</v>
      </c>
      <c r="DL5263">
        <v>167</v>
      </c>
      <c r="DM5263" s="1">
        <v>2</v>
      </c>
      <c r="DN5263" t="s">
        <v>7807</v>
      </c>
      <c r="DO5263" s="406">
        <v>-23.98</v>
      </c>
      <c r="DP5263" s="80">
        <v>707</v>
      </c>
    </row>
    <row r="5264" spans="29:120" x14ac:dyDescent="0.25">
      <c r="AC5264" s="122" t="s">
        <v>298</v>
      </c>
      <c r="AD5264" s="122" t="s">
        <v>5420</v>
      </c>
      <c r="AE5264" s="127">
        <v>8</v>
      </c>
      <c r="DA5264" s="122" t="s">
        <v>376</v>
      </c>
      <c r="DB5264" s="122" t="s">
        <v>8849</v>
      </c>
      <c r="DC5264" s="122" t="s">
        <v>3724</v>
      </c>
      <c r="DD5264" s="127">
        <v>4</v>
      </c>
      <c r="DE5264" s="127">
        <v>4</v>
      </c>
      <c r="DG5264" t="s">
        <v>376</v>
      </c>
      <c r="DH5264" t="s">
        <v>3724</v>
      </c>
      <c r="DI5264" s="406" t="str">
        <f t="shared" si="114"/>
        <v>SP, Ribeirão Bonito</v>
      </c>
      <c r="DJ5264">
        <v>-22.067</v>
      </c>
      <c r="DK5264">
        <v>-48.176000000000002</v>
      </c>
      <c r="DL5264">
        <v>590</v>
      </c>
      <c r="DM5264" s="1">
        <v>4</v>
      </c>
      <c r="DN5264" t="s">
        <v>8728</v>
      </c>
      <c r="DO5264" s="406">
        <v>-22.02</v>
      </c>
      <c r="DP5264" s="80">
        <v>863</v>
      </c>
    </row>
    <row r="5265" spans="29:120" x14ac:dyDescent="0.25">
      <c r="AC5265" s="122" t="s">
        <v>357</v>
      </c>
      <c r="AD5265" s="122" t="s">
        <v>5421</v>
      </c>
      <c r="AE5265" s="127">
        <v>7</v>
      </c>
      <c r="DA5265" s="122" t="s">
        <v>376</v>
      </c>
      <c r="DB5265" s="122" t="s">
        <v>8850</v>
      </c>
      <c r="DC5265" s="122" t="s">
        <v>950</v>
      </c>
      <c r="DD5265" s="127">
        <v>3</v>
      </c>
      <c r="DE5265" s="127">
        <v>3</v>
      </c>
      <c r="DG5265" t="s">
        <v>376</v>
      </c>
      <c r="DH5265" t="s">
        <v>950</v>
      </c>
      <c r="DI5265" s="406" t="str">
        <f t="shared" si="114"/>
        <v>SP, Ribeirão Branco</v>
      </c>
      <c r="DJ5265">
        <v>-24.221</v>
      </c>
      <c r="DK5265">
        <v>-48.765999999999998</v>
      </c>
      <c r="DL5265">
        <v>875</v>
      </c>
      <c r="DM5265" s="1">
        <v>3</v>
      </c>
      <c r="DN5265" t="s">
        <v>7807</v>
      </c>
      <c r="DO5265" s="406">
        <v>-23.98</v>
      </c>
      <c r="DP5265" s="80">
        <v>707</v>
      </c>
    </row>
    <row r="5266" spans="29:120" x14ac:dyDescent="0.25">
      <c r="AC5266" s="122" t="s">
        <v>247</v>
      </c>
      <c r="AD5266" s="122" t="s">
        <v>5422</v>
      </c>
      <c r="AE5266" s="127">
        <v>8</v>
      </c>
      <c r="DA5266" s="122" t="s">
        <v>376</v>
      </c>
      <c r="DB5266" s="122" t="s">
        <v>8851</v>
      </c>
      <c r="DC5266" s="122" t="s">
        <v>3954</v>
      </c>
      <c r="DD5266" s="127">
        <v>4</v>
      </c>
      <c r="DE5266" s="127">
        <v>4</v>
      </c>
      <c r="DG5266" t="s">
        <v>376</v>
      </c>
      <c r="DH5266" t="s">
        <v>3954</v>
      </c>
      <c r="DI5266" s="406" t="str">
        <f t="shared" si="114"/>
        <v>SP, Ribeirão Corrente</v>
      </c>
      <c r="DJ5266">
        <v>-20.457000000000001</v>
      </c>
      <c r="DK5266">
        <v>-47.59</v>
      </c>
      <c r="DL5266">
        <v>855</v>
      </c>
      <c r="DM5266" s="1">
        <v>4</v>
      </c>
      <c r="DN5266" t="s">
        <v>6892</v>
      </c>
      <c r="DO5266" s="406">
        <v>-20.54</v>
      </c>
      <c r="DP5266" s="80">
        <v>1026</v>
      </c>
    </row>
    <row r="5267" spans="29:120" x14ac:dyDescent="0.25">
      <c r="AC5267" s="122" t="s">
        <v>357</v>
      </c>
      <c r="AD5267" s="122" t="s">
        <v>5423</v>
      </c>
      <c r="AE5267" s="127">
        <v>7</v>
      </c>
      <c r="DA5267" s="122" t="s">
        <v>376</v>
      </c>
      <c r="DB5267" s="122" t="s">
        <v>8852</v>
      </c>
      <c r="DC5267" s="122" t="s">
        <v>3865</v>
      </c>
      <c r="DD5267" s="127">
        <v>3</v>
      </c>
      <c r="DE5267" s="127">
        <v>3</v>
      </c>
      <c r="DG5267" t="s">
        <v>376</v>
      </c>
      <c r="DH5267" t="s">
        <v>3865</v>
      </c>
      <c r="DI5267" s="406" t="str">
        <f t="shared" si="114"/>
        <v>SP, Ribeirão do Sul</v>
      </c>
      <c r="DJ5267">
        <v>-22.783999999999999</v>
      </c>
      <c r="DK5267">
        <v>-49.933999999999997</v>
      </c>
      <c r="DL5267">
        <v>479</v>
      </c>
      <c r="DM5267" s="1">
        <v>3</v>
      </c>
      <c r="DN5267" t="s">
        <v>7822</v>
      </c>
      <c r="DO5267" s="406">
        <v>-22.98</v>
      </c>
      <c r="DP5267" s="80">
        <v>448</v>
      </c>
    </row>
    <row r="5268" spans="29:120" x14ac:dyDescent="0.25">
      <c r="AC5268" s="122" t="s">
        <v>247</v>
      </c>
      <c r="AD5268" s="122" t="s">
        <v>5424</v>
      </c>
      <c r="AE5268" s="127">
        <v>8</v>
      </c>
      <c r="DA5268" s="122" t="s">
        <v>376</v>
      </c>
      <c r="DB5268" s="122" t="s">
        <v>8853</v>
      </c>
      <c r="DC5268" s="122" t="s">
        <v>3869</v>
      </c>
      <c r="DD5268" s="127">
        <v>6</v>
      </c>
      <c r="DE5268" s="127">
        <v>6</v>
      </c>
      <c r="DG5268" t="s">
        <v>376</v>
      </c>
      <c r="DH5268" t="s">
        <v>3869</v>
      </c>
      <c r="DI5268" s="406" t="str">
        <f t="shared" si="114"/>
        <v>SP, Ribeirão dos Índios</v>
      </c>
      <c r="DJ5268">
        <v>-21.837</v>
      </c>
      <c r="DK5268">
        <v>-51.603999999999999</v>
      </c>
      <c r="DL5268">
        <v>386</v>
      </c>
      <c r="DM5268" s="1">
        <v>6</v>
      </c>
      <c r="DN5268" t="s">
        <v>8720</v>
      </c>
      <c r="DO5268" s="406">
        <v>-22.13</v>
      </c>
      <c r="DP5268" s="80">
        <v>436</v>
      </c>
    </row>
    <row r="5269" spans="29:120" x14ac:dyDescent="0.25">
      <c r="AC5269" s="122" t="s">
        <v>348</v>
      </c>
      <c r="AD5269" s="122" t="s">
        <v>5425</v>
      </c>
      <c r="AE5269" s="127">
        <v>7</v>
      </c>
      <c r="DA5269" s="122" t="s">
        <v>376</v>
      </c>
      <c r="DB5269" s="122" t="s">
        <v>8854</v>
      </c>
      <c r="DC5269" s="122" t="s">
        <v>993</v>
      </c>
      <c r="DD5269" s="127">
        <v>3</v>
      </c>
      <c r="DE5269" s="127">
        <v>3</v>
      </c>
      <c r="DG5269" t="s">
        <v>376</v>
      </c>
      <c r="DH5269" t="s">
        <v>993</v>
      </c>
      <c r="DI5269" s="406" t="str">
        <f t="shared" si="114"/>
        <v>SP, Ribeirão Grande</v>
      </c>
      <c r="DJ5269">
        <v>-24.099</v>
      </c>
      <c r="DK5269">
        <v>-48.365000000000002</v>
      </c>
      <c r="DL5269">
        <v>690</v>
      </c>
      <c r="DM5269" s="1">
        <v>3</v>
      </c>
      <c r="DN5269" t="s">
        <v>7807</v>
      </c>
      <c r="DO5269" s="406">
        <v>-23.98</v>
      </c>
      <c r="DP5269" s="80">
        <v>707</v>
      </c>
    </row>
    <row r="5270" spans="29:120" x14ac:dyDescent="0.25">
      <c r="AC5270" s="122" t="s">
        <v>298</v>
      </c>
      <c r="AD5270" s="122" t="s">
        <v>5426</v>
      </c>
      <c r="AE5270" s="127">
        <v>8</v>
      </c>
      <c r="DA5270" s="122" t="s">
        <v>376</v>
      </c>
      <c r="DB5270" s="122" t="s">
        <v>8855</v>
      </c>
      <c r="DC5270" s="122" t="s">
        <v>408</v>
      </c>
      <c r="DD5270" s="127">
        <v>3</v>
      </c>
      <c r="DE5270" s="127">
        <v>3</v>
      </c>
      <c r="DG5270" t="s">
        <v>376</v>
      </c>
      <c r="DH5270" t="s">
        <v>408</v>
      </c>
      <c r="DI5270" s="406" t="str">
        <f t="shared" si="114"/>
        <v>SP, Ribeirão Pires</v>
      </c>
      <c r="DJ5270">
        <v>-23.710999999999999</v>
      </c>
      <c r="DK5270">
        <v>-46.412999999999997</v>
      </c>
      <c r="DL5270">
        <v>763</v>
      </c>
      <c r="DM5270" s="1">
        <v>3</v>
      </c>
      <c r="DN5270" t="s">
        <v>8735</v>
      </c>
      <c r="DO5270" s="406">
        <v>-23.85</v>
      </c>
      <c r="DP5270" s="80">
        <v>792</v>
      </c>
    </row>
    <row r="5271" spans="29:120" x14ac:dyDescent="0.25">
      <c r="AC5271" s="122" t="s">
        <v>323</v>
      </c>
      <c r="AD5271" s="122" t="s">
        <v>1329</v>
      </c>
      <c r="AE5271" s="127">
        <v>8</v>
      </c>
      <c r="DA5271" s="122" t="s">
        <v>376</v>
      </c>
      <c r="DB5271" s="122" t="s">
        <v>8856</v>
      </c>
      <c r="DC5271" s="122" t="s">
        <v>3811</v>
      </c>
      <c r="DD5271" s="127">
        <v>4</v>
      </c>
      <c r="DE5271" s="127">
        <v>4</v>
      </c>
      <c r="DG5271" t="s">
        <v>376</v>
      </c>
      <c r="DH5271" t="s">
        <v>3811</v>
      </c>
      <c r="DI5271" s="406" t="str">
        <f t="shared" si="114"/>
        <v>SP, Ribeirão Preto</v>
      </c>
      <c r="DJ5271">
        <v>-21.178000000000001</v>
      </c>
      <c r="DK5271">
        <v>-47.81</v>
      </c>
      <c r="DL5271">
        <v>546</v>
      </c>
      <c r="DM5271" s="1">
        <v>4</v>
      </c>
      <c r="DN5271" t="s">
        <v>6892</v>
      </c>
      <c r="DO5271" s="406">
        <v>-20.54</v>
      </c>
      <c r="DP5271" s="80">
        <v>1026</v>
      </c>
    </row>
    <row r="5272" spans="29:120" x14ac:dyDescent="0.25">
      <c r="AC5272" s="122" t="s">
        <v>348</v>
      </c>
      <c r="AD5272" s="122" t="s">
        <v>5427</v>
      </c>
      <c r="AE5272" s="127">
        <v>7</v>
      </c>
      <c r="DA5272" s="122" t="s">
        <v>376</v>
      </c>
      <c r="DB5272" s="122" t="s">
        <v>3936</v>
      </c>
      <c r="DC5272" s="122" t="s">
        <v>3936</v>
      </c>
      <c r="DD5272" s="127">
        <v>3</v>
      </c>
      <c r="DE5272" s="127">
        <v>3</v>
      </c>
      <c r="DG5272" t="s">
        <v>376</v>
      </c>
      <c r="DH5272" t="s">
        <v>3936</v>
      </c>
      <c r="DI5272" s="406" t="str">
        <f t="shared" si="114"/>
        <v>SP, Rifaina</v>
      </c>
      <c r="DJ5272">
        <v>-20.081</v>
      </c>
      <c r="DK5272">
        <v>-47.420999999999999</v>
      </c>
      <c r="DL5272">
        <v>575</v>
      </c>
      <c r="DM5272" s="1">
        <v>3</v>
      </c>
      <c r="DN5272" t="s">
        <v>6927</v>
      </c>
      <c r="DO5272" s="406">
        <v>-19.86</v>
      </c>
      <c r="DP5272" s="80">
        <v>912</v>
      </c>
    </row>
    <row r="5273" spans="29:120" x14ac:dyDescent="0.25">
      <c r="AC5273" s="122" t="s">
        <v>348</v>
      </c>
      <c r="AD5273" s="122" t="s">
        <v>5428</v>
      </c>
      <c r="AE5273" s="127">
        <v>7</v>
      </c>
      <c r="DA5273" s="122" t="s">
        <v>376</v>
      </c>
      <c r="DB5273" s="122" t="s">
        <v>3734</v>
      </c>
      <c r="DC5273" s="122" t="s">
        <v>3734</v>
      </c>
      <c r="DD5273" s="127">
        <v>4</v>
      </c>
      <c r="DE5273" s="127">
        <v>4</v>
      </c>
      <c r="DG5273" t="s">
        <v>376</v>
      </c>
      <c r="DH5273" t="s">
        <v>3734</v>
      </c>
      <c r="DI5273" s="406" t="str">
        <f t="shared" si="114"/>
        <v>SP, Rincão</v>
      </c>
      <c r="DJ5273">
        <v>-21.587</v>
      </c>
      <c r="DK5273">
        <v>-48.070999999999998</v>
      </c>
      <c r="DL5273">
        <v>530</v>
      </c>
      <c r="DM5273" s="1">
        <v>4</v>
      </c>
      <c r="DN5273" t="s">
        <v>8728</v>
      </c>
      <c r="DO5273" s="406">
        <v>-22.02</v>
      </c>
      <c r="DP5273" s="80">
        <v>863</v>
      </c>
    </row>
    <row r="5274" spans="29:120" x14ac:dyDescent="0.25">
      <c r="AC5274" s="122" t="s">
        <v>348</v>
      </c>
      <c r="AD5274" s="122" t="s">
        <v>4446</v>
      </c>
      <c r="AE5274" s="127">
        <v>6</v>
      </c>
      <c r="DA5274" s="122" t="s">
        <v>376</v>
      </c>
      <c r="DB5274" s="122" t="s">
        <v>4038</v>
      </c>
      <c r="DC5274" s="122" t="s">
        <v>4038</v>
      </c>
      <c r="DD5274" s="127">
        <v>6</v>
      </c>
      <c r="DE5274" s="127">
        <v>6</v>
      </c>
      <c r="DG5274" t="s">
        <v>376</v>
      </c>
      <c r="DH5274" t="s">
        <v>4038</v>
      </c>
      <c r="DI5274" s="406" t="str">
        <f t="shared" si="114"/>
        <v>SP, Rinópolis</v>
      </c>
      <c r="DJ5274">
        <v>-21.725999999999999</v>
      </c>
      <c r="DK5274">
        <v>-50.722000000000001</v>
      </c>
      <c r="DL5274">
        <v>425</v>
      </c>
      <c r="DM5274" s="1">
        <v>6</v>
      </c>
      <c r="DN5274" t="s">
        <v>8709</v>
      </c>
      <c r="DO5274" s="406">
        <v>-21.32</v>
      </c>
      <c r="DP5274" s="80">
        <v>374</v>
      </c>
    </row>
    <row r="5275" spans="29:120" x14ac:dyDescent="0.25">
      <c r="AC5275" s="122" t="s">
        <v>340</v>
      </c>
      <c r="AD5275" s="122" t="s">
        <v>5429</v>
      </c>
      <c r="AE5275" s="127">
        <v>8</v>
      </c>
      <c r="DA5275" s="122" t="s">
        <v>376</v>
      </c>
      <c r="DB5275" s="122" t="s">
        <v>8056</v>
      </c>
      <c r="DC5275" s="122" t="s">
        <v>3648</v>
      </c>
      <c r="DD5275" s="127">
        <v>4</v>
      </c>
      <c r="DE5275" s="127">
        <v>4</v>
      </c>
      <c r="DG5275" t="s">
        <v>376</v>
      </c>
      <c r="DH5275" t="s">
        <v>3648</v>
      </c>
      <c r="DI5275" s="406" t="str">
        <f t="shared" si="114"/>
        <v>SP, Rio Claro</v>
      </c>
      <c r="DJ5275">
        <v>-22.411000000000001</v>
      </c>
      <c r="DK5275">
        <v>-47.561</v>
      </c>
      <c r="DL5275">
        <v>625</v>
      </c>
      <c r="DM5275" s="1">
        <v>4</v>
      </c>
      <c r="DN5275" t="s">
        <v>8716</v>
      </c>
      <c r="DO5275" s="406">
        <v>-22.73</v>
      </c>
      <c r="DP5275" s="80">
        <v>573</v>
      </c>
    </row>
    <row r="5276" spans="29:120" x14ac:dyDescent="0.25">
      <c r="AC5276" s="122" t="s">
        <v>333</v>
      </c>
      <c r="AD5276" s="122" t="s">
        <v>5430</v>
      </c>
      <c r="AE5276" s="127">
        <v>6</v>
      </c>
      <c r="DA5276" s="122" t="s">
        <v>376</v>
      </c>
      <c r="DB5276" s="122" t="s">
        <v>8857</v>
      </c>
      <c r="DC5276" s="122" t="s">
        <v>3836</v>
      </c>
      <c r="DD5276" s="127">
        <v>3</v>
      </c>
      <c r="DE5276" s="127">
        <v>3</v>
      </c>
      <c r="DG5276" t="s">
        <v>376</v>
      </c>
      <c r="DH5276" t="s">
        <v>3836</v>
      </c>
      <c r="DI5276" s="406" t="str">
        <f t="shared" si="114"/>
        <v>SP, Rio das Pedras</v>
      </c>
      <c r="DJ5276">
        <v>-22.843</v>
      </c>
      <c r="DK5276">
        <v>-47.606000000000002</v>
      </c>
      <c r="DL5276">
        <v>625</v>
      </c>
      <c r="DM5276" s="1">
        <v>3</v>
      </c>
      <c r="DN5276" t="s">
        <v>8716</v>
      </c>
      <c r="DO5276" s="406">
        <v>-22.73</v>
      </c>
      <c r="DP5276" s="80">
        <v>573</v>
      </c>
    </row>
    <row r="5277" spans="29:120" x14ac:dyDescent="0.25">
      <c r="AC5277" s="122" t="s">
        <v>344</v>
      </c>
      <c r="AD5277" s="122" t="s">
        <v>5431</v>
      </c>
      <c r="AE5277" s="127">
        <v>8</v>
      </c>
      <c r="DA5277" s="122" t="s">
        <v>376</v>
      </c>
      <c r="DB5277" s="122" t="s">
        <v>8858</v>
      </c>
      <c r="DC5277" s="122" t="s">
        <v>410</v>
      </c>
      <c r="DD5277" s="127">
        <v>3</v>
      </c>
      <c r="DE5277" s="127">
        <v>3</v>
      </c>
      <c r="DG5277" t="s">
        <v>376</v>
      </c>
      <c r="DH5277" t="s">
        <v>410</v>
      </c>
      <c r="DI5277" s="406" t="str">
        <f t="shared" si="114"/>
        <v>SP, Rio Grande da Serra</v>
      </c>
      <c r="DJ5277">
        <v>-23.744</v>
      </c>
      <c r="DK5277">
        <v>-46.398000000000003</v>
      </c>
      <c r="DL5277">
        <v>739</v>
      </c>
      <c r="DM5277" s="1">
        <v>3</v>
      </c>
      <c r="DN5277" t="s">
        <v>8735</v>
      </c>
      <c r="DO5277" s="406">
        <v>-23.85</v>
      </c>
      <c r="DP5277" s="80">
        <v>792</v>
      </c>
    </row>
    <row r="5278" spans="29:120" x14ac:dyDescent="0.25">
      <c r="AC5278" s="122" t="s">
        <v>289</v>
      </c>
      <c r="AD5278" s="122" t="s">
        <v>5432</v>
      </c>
      <c r="AE5278" s="127">
        <v>6</v>
      </c>
      <c r="DA5278" s="122" t="s">
        <v>376</v>
      </c>
      <c r="DB5278" s="122" t="s">
        <v>3575</v>
      </c>
      <c r="DC5278" s="122" t="s">
        <v>3575</v>
      </c>
      <c r="DD5278" s="127">
        <v>6</v>
      </c>
      <c r="DE5278" s="127">
        <v>6</v>
      </c>
      <c r="DG5278" t="s">
        <v>376</v>
      </c>
      <c r="DH5278" t="s">
        <v>3575</v>
      </c>
      <c r="DI5278" s="406" t="str">
        <f t="shared" si="114"/>
        <v>SP, Riolândia</v>
      </c>
      <c r="DJ5278">
        <v>-19.989999999999998</v>
      </c>
      <c r="DK5278">
        <v>-49.680999999999997</v>
      </c>
      <c r="DL5278">
        <v>438</v>
      </c>
      <c r="DM5278" s="1">
        <v>6</v>
      </c>
      <c r="DN5278" t="s">
        <v>6984</v>
      </c>
      <c r="DO5278" s="406">
        <v>-20.420000000000002</v>
      </c>
      <c r="DP5278" s="80">
        <v>486</v>
      </c>
    </row>
    <row r="5279" spans="29:120" x14ac:dyDescent="0.25">
      <c r="AC5279" s="122" t="s">
        <v>333</v>
      </c>
      <c r="AD5279" s="122" t="s">
        <v>5433</v>
      </c>
      <c r="AE5279" s="127">
        <v>6</v>
      </c>
      <c r="DA5279" s="122" t="s">
        <v>376</v>
      </c>
      <c r="DB5279" s="122" t="s">
        <v>1760</v>
      </c>
      <c r="DC5279" s="122" t="s">
        <v>1760</v>
      </c>
      <c r="DD5279" s="127">
        <v>2</v>
      </c>
      <c r="DE5279" s="127">
        <v>2</v>
      </c>
      <c r="DG5279" t="s">
        <v>376</v>
      </c>
      <c r="DH5279" t="s">
        <v>1760</v>
      </c>
      <c r="DI5279" s="406" t="str">
        <f t="shared" si="114"/>
        <v>SP, Riversul</v>
      </c>
      <c r="DJ5279">
        <v>-23.827999999999999</v>
      </c>
      <c r="DK5279">
        <v>-49.429000000000002</v>
      </c>
      <c r="DL5279">
        <v>587</v>
      </c>
      <c r="DM5279" s="1">
        <v>2</v>
      </c>
      <c r="DN5279" t="s">
        <v>7807</v>
      </c>
      <c r="DO5279" s="406">
        <v>-23.98</v>
      </c>
      <c r="DP5279" s="80">
        <v>707</v>
      </c>
    </row>
    <row r="5280" spans="29:120" x14ac:dyDescent="0.25">
      <c r="AC5280" s="122" t="s">
        <v>348</v>
      </c>
      <c r="AD5280" s="122" t="s">
        <v>5434</v>
      </c>
      <c r="AE5280" s="127">
        <v>7</v>
      </c>
      <c r="DA5280" s="122" t="s">
        <v>376</v>
      </c>
      <c r="DB5280" s="122" t="s">
        <v>3393</v>
      </c>
      <c r="DC5280" s="122" t="s">
        <v>3393</v>
      </c>
      <c r="DD5280" s="127">
        <v>3</v>
      </c>
      <c r="DE5280" s="127">
        <v>3</v>
      </c>
      <c r="DG5280" t="s">
        <v>376</v>
      </c>
      <c r="DH5280" t="s">
        <v>3393</v>
      </c>
      <c r="DI5280" s="406" t="str">
        <f t="shared" si="114"/>
        <v>SP, Rosana</v>
      </c>
      <c r="DJ5280">
        <v>-22.58</v>
      </c>
      <c r="DK5280">
        <v>-53.058999999999997</v>
      </c>
      <c r="DL5280">
        <v>236</v>
      </c>
      <c r="DM5280" s="1">
        <v>3</v>
      </c>
      <c r="DN5280" t="s">
        <v>7257</v>
      </c>
      <c r="DO5280" s="406">
        <v>-22.64</v>
      </c>
      <c r="DP5280" s="80">
        <v>362</v>
      </c>
    </row>
    <row r="5281" spans="29:120" x14ac:dyDescent="0.25">
      <c r="AC5281" s="122" t="s">
        <v>333</v>
      </c>
      <c r="AD5281" s="122" t="s">
        <v>5435</v>
      </c>
      <c r="AE5281" s="127">
        <v>6</v>
      </c>
      <c r="DA5281" s="122" t="s">
        <v>376</v>
      </c>
      <c r="DB5281" s="122" t="s">
        <v>3713</v>
      </c>
      <c r="DC5281" s="122" t="s">
        <v>3713</v>
      </c>
      <c r="DD5281" s="127">
        <v>3</v>
      </c>
      <c r="DE5281" s="127">
        <v>3</v>
      </c>
      <c r="DG5281" t="s">
        <v>376</v>
      </c>
      <c r="DH5281" t="s">
        <v>3713</v>
      </c>
      <c r="DI5281" s="406" t="str">
        <f t="shared" si="114"/>
        <v>SP, Roseira</v>
      </c>
      <c r="DJ5281">
        <v>-22.898</v>
      </c>
      <c r="DK5281">
        <v>-45.305</v>
      </c>
      <c r="DL5281">
        <v>551</v>
      </c>
      <c r="DM5281" s="1">
        <v>3</v>
      </c>
      <c r="DN5281" t="s">
        <v>8748</v>
      </c>
      <c r="DO5281" s="406">
        <v>-23.03</v>
      </c>
      <c r="DP5281" s="80">
        <v>571</v>
      </c>
    </row>
    <row r="5282" spans="29:120" x14ac:dyDescent="0.25">
      <c r="AC5282" s="122" t="s">
        <v>300</v>
      </c>
      <c r="AD5282" s="122" t="s">
        <v>5436</v>
      </c>
      <c r="AE5282" s="127">
        <v>7</v>
      </c>
      <c r="DA5282" s="122" t="s">
        <v>376</v>
      </c>
      <c r="DB5282" s="122" t="s">
        <v>3838</v>
      </c>
      <c r="DC5282" s="122" t="s">
        <v>3838</v>
      </c>
      <c r="DD5282" s="127">
        <v>6</v>
      </c>
      <c r="DE5282" s="127">
        <v>6</v>
      </c>
      <c r="DG5282" t="s">
        <v>376</v>
      </c>
      <c r="DH5282" t="s">
        <v>3838</v>
      </c>
      <c r="DI5282" s="406" t="str">
        <f t="shared" si="114"/>
        <v>SP, Rubiácea</v>
      </c>
      <c r="DJ5282">
        <v>-21.300999999999998</v>
      </c>
      <c r="DK5282">
        <v>-50.726999999999997</v>
      </c>
      <c r="DL5282">
        <v>420</v>
      </c>
      <c r="DM5282" s="1">
        <v>6</v>
      </c>
      <c r="DN5282" t="s">
        <v>8709</v>
      </c>
      <c r="DO5282" s="406">
        <v>-21.32</v>
      </c>
      <c r="DP5282" s="80">
        <v>374</v>
      </c>
    </row>
    <row r="5283" spans="29:120" x14ac:dyDescent="0.25">
      <c r="AC5283" s="122" t="s">
        <v>328</v>
      </c>
      <c r="AD5283" s="122" t="s">
        <v>5437</v>
      </c>
      <c r="AE5283" s="127">
        <v>8</v>
      </c>
      <c r="DA5283" s="122" t="s">
        <v>376</v>
      </c>
      <c r="DB5283" s="122" t="s">
        <v>4000</v>
      </c>
      <c r="DC5283" s="122" t="s">
        <v>4000</v>
      </c>
      <c r="DD5283" s="127">
        <v>6</v>
      </c>
      <c r="DE5283" s="127">
        <v>6</v>
      </c>
      <c r="DG5283" t="s">
        <v>376</v>
      </c>
      <c r="DH5283" t="s">
        <v>4000</v>
      </c>
      <c r="DI5283" s="406" t="str">
        <f t="shared" si="114"/>
        <v>SP, Rubinéia</v>
      </c>
      <c r="DJ5283">
        <v>-20.178999999999998</v>
      </c>
      <c r="DK5283">
        <v>-51.002000000000002</v>
      </c>
      <c r="DL5283">
        <v>317</v>
      </c>
      <c r="DM5283" s="1">
        <v>6</v>
      </c>
      <c r="DN5283" t="s">
        <v>6904</v>
      </c>
      <c r="DO5283" s="406">
        <v>-20.27</v>
      </c>
      <c r="DP5283" s="80">
        <v>457</v>
      </c>
    </row>
    <row r="5284" spans="29:120" x14ac:dyDescent="0.25">
      <c r="AC5284" s="122" t="s">
        <v>348</v>
      </c>
      <c r="AD5284" s="122" t="s">
        <v>5438</v>
      </c>
      <c r="AE5284" s="127">
        <v>7</v>
      </c>
      <c r="DA5284" s="122" t="s">
        <v>376</v>
      </c>
      <c r="DB5284" s="122" t="s">
        <v>3540</v>
      </c>
      <c r="DC5284" s="122" t="s">
        <v>3540</v>
      </c>
      <c r="DD5284" s="127">
        <v>3</v>
      </c>
      <c r="DE5284" s="127">
        <v>3</v>
      </c>
      <c r="DG5284" t="s">
        <v>376</v>
      </c>
      <c r="DH5284" t="s">
        <v>3540</v>
      </c>
      <c r="DI5284" s="406" t="str">
        <f t="shared" si="114"/>
        <v>SP, Sabino</v>
      </c>
      <c r="DJ5284">
        <v>-21.46</v>
      </c>
      <c r="DK5284">
        <v>-49.578000000000003</v>
      </c>
      <c r="DL5284">
        <v>412</v>
      </c>
      <c r="DM5284" s="1">
        <v>3</v>
      </c>
      <c r="DN5284" t="s">
        <v>8722</v>
      </c>
      <c r="DO5284" s="406">
        <v>-21.68</v>
      </c>
      <c r="DP5284" s="80">
        <v>459</v>
      </c>
    </row>
    <row r="5285" spans="29:120" x14ac:dyDescent="0.25">
      <c r="AC5285" s="122" t="s">
        <v>247</v>
      </c>
      <c r="AD5285" s="122" t="s">
        <v>2358</v>
      </c>
      <c r="AE5285" s="127">
        <v>8</v>
      </c>
      <c r="DA5285" s="122" t="s">
        <v>376</v>
      </c>
      <c r="DB5285" s="122" t="s">
        <v>4018</v>
      </c>
      <c r="DC5285" s="122" t="s">
        <v>4018</v>
      </c>
      <c r="DD5285" s="127">
        <v>6</v>
      </c>
      <c r="DE5285" s="127">
        <v>6</v>
      </c>
      <c r="DG5285" t="s">
        <v>376</v>
      </c>
      <c r="DH5285" t="s">
        <v>4018</v>
      </c>
      <c r="DI5285" s="406" t="str">
        <f t="shared" si="114"/>
        <v>SP, Sagres</v>
      </c>
      <c r="DJ5285">
        <v>-21.884</v>
      </c>
      <c r="DK5285">
        <v>-50.956000000000003</v>
      </c>
      <c r="DL5285">
        <v>419</v>
      </c>
      <c r="DM5285" s="1">
        <v>6</v>
      </c>
      <c r="DN5285" t="s">
        <v>8720</v>
      </c>
      <c r="DO5285" s="406">
        <v>-22.13</v>
      </c>
      <c r="DP5285" s="80">
        <v>436</v>
      </c>
    </row>
    <row r="5286" spans="29:120" x14ac:dyDescent="0.25">
      <c r="AC5286" s="122" t="s">
        <v>348</v>
      </c>
      <c r="AD5286" s="122" t="s">
        <v>5439</v>
      </c>
      <c r="AE5286" s="127">
        <v>7</v>
      </c>
      <c r="DA5286" s="122" t="s">
        <v>376</v>
      </c>
      <c r="DB5286" s="122" t="s">
        <v>3544</v>
      </c>
      <c r="DC5286" s="122" t="s">
        <v>3544</v>
      </c>
      <c r="DD5286" s="127">
        <v>6</v>
      </c>
      <c r="DE5286" s="127">
        <v>6</v>
      </c>
      <c r="DG5286" t="s">
        <v>376</v>
      </c>
      <c r="DH5286" t="s">
        <v>3544</v>
      </c>
      <c r="DI5286" s="406" t="str">
        <f t="shared" si="114"/>
        <v>SP, Sales</v>
      </c>
      <c r="DJ5286">
        <v>-21.341000000000001</v>
      </c>
      <c r="DK5286">
        <v>-49.484999999999999</v>
      </c>
      <c r="DL5286">
        <v>448</v>
      </c>
      <c r="DM5286" s="1">
        <v>6</v>
      </c>
      <c r="DN5286" t="s">
        <v>8710</v>
      </c>
      <c r="DO5286" s="406">
        <v>-21.1</v>
      </c>
      <c r="DP5286" s="80">
        <v>405</v>
      </c>
    </row>
    <row r="5287" spans="29:120" x14ac:dyDescent="0.25">
      <c r="AC5287" s="122" t="s">
        <v>348</v>
      </c>
      <c r="AD5287" s="122" t="s">
        <v>5440</v>
      </c>
      <c r="AE5287" s="127">
        <v>7</v>
      </c>
      <c r="DA5287" s="122" t="s">
        <v>376</v>
      </c>
      <c r="DB5287" s="122" t="s">
        <v>8859</v>
      </c>
      <c r="DC5287" s="122" t="s">
        <v>3774</v>
      </c>
      <c r="DD5287" s="127">
        <v>4</v>
      </c>
      <c r="DE5287" s="127">
        <v>4</v>
      </c>
      <c r="DG5287" t="s">
        <v>376</v>
      </c>
      <c r="DH5287" t="s">
        <v>3774</v>
      </c>
      <c r="DI5287" s="406" t="str">
        <f t="shared" si="114"/>
        <v>SP, Sales Oliveira</v>
      </c>
      <c r="DJ5287">
        <v>-20.771999999999998</v>
      </c>
      <c r="DK5287">
        <v>-47.838000000000001</v>
      </c>
      <c r="DL5287">
        <v>730</v>
      </c>
      <c r="DM5287" s="1">
        <v>4</v>
      </c>
      <c r="DN5287" t="s">
        <v>8732</v>
      </c>
      <c r="DO5287" s="406">
        <v>-20.36</v>
      </c>
      <c r="DP5287" s="80">
        <v>600</v>
      </c>
    </row>
    <row r="5288" spans="29:120" x14ac:dyDescent="0.25">
      <c r="AC5288" s="122" t="s">
        <v>300</v>
      </c>
      <c r="AD5288" s="122" t="s">
        <v>5441</v>
      </c>
      <c r="AE5288" s="127">
        <v>7</v>
      </c>
      <c r="DA5288" s="122" t="s">
        <v>376</v>
      </c>
      <c r="DB5288" s="122" t="s">
        <v>853</v>
      </c>
      <c r="DC5288" s="122" t="s">
        <v>853</v>
      </c>
      <c r="DD5288" s="127">
        <v>3</v>
      </c>
      <c r="DE5288" s="127">
        <v>3</v>
      </c>
      <c r="DG5288" t="s">
        <v>376</v>
      </c>
      <c r="DH5288" t="s">
        <v>853</v>
      </c>
      <c r="DI5288" s="406" t="str">
        <f t="shared" si="114"/>
        <v>SP, Salesópolis</v>
      </c>
      <c r="DJ5288">
        <v>-23.532</v>
      </c>
      <c r="DK5288">
        <v>-45.845999999999997</v>
      </c>
      <c r="DL5288">
        <v>806</v>
      </c>
      <c r="DM5288" s="1">
        <v>3</v>
      </c>
      <c r="DN5288" t="s">
        <v>8748</v>
      </c>
      <c r="DO5288" s="406">
        <v>-23.03</v>
      </c>
      <c r="DP5288" s="80">
        <v>571</v>
      </c>
    </row>
    <row r="5289" spans="29:120" x14ac:dyDescent="0.25">
      <c r="AC5289" s="122" t="s">
        <v>348</v>
      </c>
      <c r="AD5289" s="122" t="s">
        <v>1704</v>
      </c>
      <c r="AE5289" s="127">
        <v>7</v>
      </c>
      <c r="DA5289" s="122" t="s">
        <v>376</v>
      </c>
      <c r="DB5289" s="122" t="s">
        <v>4017</v>
      </c>
      <c r="DC5289" s="122" t="s">
        <v>4017</v>
      </c>
      <c r="DD5289" s="127">
        <v>6</v>
      </c>
      <c r="DE5289" s="127">
        <v>6</v>
      </c>
      <c r="DG5289" t="s">
        <v>376</v>
      </c>
      <c r="DH5289" t="s">
        <v>4017</v>
      </c>
      <c r="DI5289" s="406" t="str">
        <f t="shared" si="114"/>
        <v>SP, Salmourão</v>
      </c>
      <c r="DJ5289">
        <v>-21.623999999999999</v>
      </c>
      <c r="DK5289">
        <v>-50.860999999999997</v>
      </c>
      <c r="DL5289">
        <v>461</v>
      </c>
      <c r="DM5289" s="1">
        <v>6</v>
      </c>
      <c r="DN5289" t="s">
        <v>8709</v>
      </c>
      <c r="DO5289" s="406">
        <v>-21.32</v>
      </c>
      <c r="DP5289" s="80">
        <v>374</v>
      </c>
    </row>
    <row r="5290" spans="29:120" x14ac:dyDescent="0.25">
      <c r="AC5290" s="122" t="s">
        <v>323</v>
      </c>
      <c r="AD5290" s="122" t="s">
        <v>5442</v>
      </c>
      <c r="AE5290" s="127">
        <v>8</v>
      </c>
      <c r="DA5290" s="122" t="s">
        <v>376</v>
      </c>
      <c r="DB5290" s="122" t="s">
        <v>1102</v>
      </c>
      <c r="DC5290" s="122" t="s">
        <v>1102</v>
      </c>
      <c r="DD5290" s="127">
        <v>3</v>
      </c>
      <c r="DE5290" s="127">
        <v>3</v>
      </c>
      <c r="DG5290" t="s">
        <v>376</v>
      </c>
      <c r="DH5290" t="s">
        <v>1102</v>
      </c>
      <c r="DI5290" s="406" t="str">
        <f t="shared" si="114"/>
        <v>SP, Saltinho</v>
      </c>
      <c r="DJ5290">
        <v>-22.847000000000001</v>
      </c>
      <c r="DK5290">
        <v>-47.677</v>
      </c>
      <c r="DL5290">
        <v>595</v>
      </c>
      <c r="DM5290" s="1">
        <v>3</v>
      </c>
      <c r="DN5290" t="s">
        <v>8716</v>
      </c>
      <c r="DO5290" s="406">
        <v>-22.73</v>
      </c>
      <c r="DP5290" s="80">
        <v>573</v>
      </c>
    </row>
    <row r="5291" spans="29:120" x14ac:dyDescent="0.25">
      <c r="AC5291" s="122" t="s">
        <v>348</v>
      </c>
      <c r="AD5291" s="122" t="s">
        <v>5443</v>
      </c>
      <c r="AE5291" s="127">
        <v>7</v>
      </c>
      <c r="DA5291" s="122" t="s">
        <v>376</v>
      </c>
      <c r="DB5291" s="122" t="s">
        <v>1027</v>
      </c>
      <c r="DC5291" s="122" t="s">
        <v>1027</v>
      </c>
      <c r="DD5291" s="127">
        <v>3</v>
      </c>
      <c r="DE5291" s="127">
        <v>3</v>
      </c>
      <c r="DG5291" t="s">
        <v>376</v>
      </c>
      <c r="DH5291" t="s">
        <v>1027</v>
      </c>
      <c r="DI5291" s="406" t="str">
        <f t="shared" si="114"/>
        <v>SP, Salto</v>
      </c>
      <c r="DJ5291">
        <v>-23.201000000000001</v>
      </c>
      <c r="DK5291">
        <v>-47.286999999999999</v>
      </c>
      <c r="DL5291">
        <v>555</v>
      </c>
      <c r="DM5291" s="1">
        <v>3</v>
      </c>
      <c r="DN5291" t="s">
        <v>8718</v>
      </c>
      <c r="DO5291" s="406">
        <v>-23.5</v>
      </c>
      <c r="DP5291" s="80">
        <v>609</v>
      </c>
    </row>
    <row r="5292" spans="29:120" x14ac:dyDescent="0.25">
      <c r="AC5292" s="122" t="s">
        <v>348</v>
      </c>
      <c r="AD5292" s="122" t="s">
        <v>1517</v>
      </c>
      <c r="AE5292" s="127">
        <v>7</v>
      </c>
      <c r="DA5292" s="122" t="s">
        <v>376</v>
      </c>
      <c r="DB5292" s="122" t="s">
        <v>8860</v>
      </c>
      <c r="DC5292" s="122" t="s">
        <v>922</v>
      </c>
      <c r="DD5292" s="127">
        <v>3</v>
      </c>
      <c r="DE5292" s="127">
        <v>3</v>
      </c>
      <c r="DG5292" t="s">
        <v>376</v>
      </c>
      <c r="DH5292" t="s">
        <v>922</v>
      </c>
      <c r="DI5292" s="406" t="str">
        <f t="shared" si="114"/>
        <v>SP, Salto de Pirapora</v>
      </c>
      <c r="DJ5292">
        <v>-23.649000000000001</v>
      </c>
      <c r="DK5292">
        <v>-47.573</v>
      </c>
      <c r="DL5292">
        <v>630</v>
      </c>
      <c r="DM5292" s="1">
        <v>3</v>
      </c>
      <c r="DN5292" t="s">
        <v>8718</v>
      </c>
      <c r="DO5292" s="406">
        <v>-23.5</v>
      </c>
      <c r="DP5292" s="80">
        <v>609</v>
      </c>
    </row>
    <row r="5293" spans="29:120" x14ac:dyDescent="0.25">
      <c r="AC5293" s="122" t="s">
        <v>357</v>
      </c>
      <c r="AD5293" s="122" t="s">
        <v>5444</v>
      </c>
      <c r="AE5293" s="127">
        <v>7</v>
      </c>
      <c r="DA5293" s="122" t="s">
        <v>376</v>
      </c>
      <c r="DB5293" s="122" t="s">
        <v>8861</v>
      </c>
      <c r="DC5293" s="122" t="s">
        <v>3891</v>
      </c>
      <c r="DD5293" s="127">
        <v>3</v>
      </c>
      <c r="DE5293" s="127">
        <v>3</v>
      </c>
      <c r="DG5293" t="s">
        <v>376</v>
      </c>
      <c r="DH5293" t="s">
        <v>3891</v>
      </c>
      <c r="DI5293" s="406" t="str">
        <f t="shared" si="114"/>
        <v>SP, Salto Grande</v>
      </c>
      <c r="DJ5293">
        <v>-22.893000000000001</v>
      </c>
      <c r="DK5293">
        <v>-49.985999999999997</v>
      </c>
      <c r="DL5293">
        <v>396</v>
      </c>
      <c r="DM5293" s="1">
        <v>3</v>
      </c>
      <c r="DN5293" t="s">
        <v>7822</v>
      </c>
      <c r="DO5293" s="406">
        <v>-22.98</v>
      </c>
      <c r="DP5293" s="80">
        <v>448</v>
      </c>
    </row>
    <row r="5294" spans="29:120" x14ac:dyDescent="0.25">
      <c r="AC5294" s="122" t="s">
        <v>348</v>
      </c>
      <c r="AD5294" s="122" t="s">
        <v>5445</v>
      </c>
      <c r="AE5294" s="127">
        <v>6</v>
      </c>
      <c r="DA5294" s="122" t="s">
        <v>376</v>
      </c>
      <c r="DB5294" s="122" t="s">
        <v>3790</v>
      </c>
      <c r="DC5294" s="122" t="s">
        <v>3790</v>
      </c>
      <c r="DD5294" s="127">
        <v>4</v>
      </c>
      <c r="DE5294" s="127">
        <v>4</v>
      </c>
      <c r="DG5294" t="s">
        <v>376</v>
      </c>
      <c r="DH5294" t="s">
        <v>3790</v>
      </c>
      <c r="DI5294" s="406" t="str">
        <f t="shared" si="114"/>
        <v>SP, Sandovalina</v>
      </c>
      <c r="DJ5294">
        <v>-22.456</v>
      </c>
      <c r="DK5294">
        <v>-51.762999999999998</v>
      </c>
      <c r="DL5294">
        <v>424</v>
      </c>
      <c r="DM5294" s="1">
        <v>4</v>
      </c>
      <c r="DN5294" t="s">
        <v>7264</v>
      </c>
      <c r="DO5294" s="406">
        <v>-22.49</v>
      </c>
      <c r="DP5294" s="80">
        <v>311</v>
      </c>
    </row>
    <row r="5295" spans="29:120" x14ac:dyDescent="0.25">
      <c r="AC5295" s="122" t="s">
        <v>300</v>
      </c>
      <c r="AD5295" s="122" t="s">
        <v>5446</v>
      </c>
      <c r="AE5295" s="127">
        <v>7</v>
      </c>
      <c r="DA5295" s="122" t="s">
        <v>376</v>
      </c>
      <c r="DB5295" s="122" t="s">
        <v>8862</v>
      </c>
      <c r="DC5295" s="122" t="s">
        <v>3959</v>
      </c>
      <c r="DD5295" s="127">
        <v>6</v>
      </c>
      <c r="DE5295" s="127">
        <v>6</v>
      </c>
      <c r="DG5295" t="s">
        <v>376</v>
      </c>
      <c r="DH5295" t="s">
        <v>3959</v>
      </c>
      <c r="DI5295" s="406" t="str">
        <f t="shared" si="114"/>
        <v>SP, Santa Adélia</v>
      </c>
      <c r="DJ5295">
        <v>-21.242999999999999</v>
      </c>
      <c r="DK5295">
        <v>-48.804000000000002</v>
      </c>
      <c r="DL5295">
        <v>618</v>
      </c>
      <c r="DM5295" s="1">
        <v>6</v>
      </c>
      <c r="DN5295" t="s">
        <v>8721</v>
      </c>
      <c r="DO5295" s="406">
        <v>-21.13</v>
      </c>
      <c r="DP5295" s="80">
        <v>525</v>
      </c>
    </row>
    <row r="5296" spans="29:120" x14ac:dyDescent="0.25">
      <c r="AC5296" s="122" t="s">
        <v>333</v>
      </c>
      <c r="AD5296" s="122" t="s">
        <v>5447</v>
      </c>
      <c r="AE5296" s="127">
        <v>3</v>
      </c>
      <c r="DA5296" s="122" t="s">
        <v>376</v>
      </c>
      <c r="DB5296" s="122" t="s">
        <v>8863</v>
      </c>
      <c r="DC5296" s="122" t="s">
        <v>3887</v>
      </c>
      <c r="DD5296" s="127">
        <v>6</v>
      </c>
      <c r="DE5296" s="127">
        <v>6</v>
      </c>
      <c r="DG5296" t="s">
        <v>376</v>
      </c>
      <c r="DH5296" t="s">
        <v>3887</v>
      </c>
      <c r="DI5296" s="406" t="str">
        <f t="shared" si="114"/>
        <v>SP, Santa Albertina</v>
      </c>
      <c r="DJ5296">
        <v>-20.032</v>
      </c>
      <c r="DK5296">
        <v>-50.728000000000002</v>
      </c>
      <c r="DL5296">
        <v>420</v>
      </c>
      <c r="DM5296" s="1">
        <v>6</v>
      </c>
      <c r="DN5296" t="s">
        <v>6904</v>
      </c>
      <c r="DO5296" s="406">
        <v>-20.27</v>
      </c>
      <c r="DP5296" s="80">
        <v>457</v>
      </c>
    </row>
    <row r="5297" spans="29:120" x14ac:dyDescent="0.25">
      <c r="AC5297" s="122" t="s">
        <v>348</v>
      </c>
      <c r="AD5297" s="122" t="s">
        <v>5448</v>
      </c>
      <c r="AE5297" s="127">
        <v>7</v>
      </c>
      <c r="DA5297" s="122" t="s">
        <v>376</v>
      </c>
      <c r="DB5297" s="122" t="s">
        <v>8864</v>
      </c>
      <c r="DC5297" s="122" t="s">
        <v>1791</v>
      </c>
      <c r="DD5297" s="127">
        <v>3</v>
      </c>
      <c r="DE5297" s="127">
        <v>3</v>
      </c>
      <c r="DG5297" t="s">
        <v>376</v>
      </c>
      <c r="DH5297" t="s">
        <v>1791</v>
      </c>
      <c r="DI5297" s="406" t="str">
        <f t="shared" si="114"/>
        <v>SP, Santa Bárbara d'Oeste</v>
      </c>
      <c r="DJ5297">
        <v>-22.754000000000001</v>
      </c>
      <c r="DK5297">
        <v>-47.414000000000001</v>
      </c>
      <c r="DL5297">
        <v>565</v>
      </c>
      <c r="DM5297" s="1">
        <v>3</v>
      </c>
      <c r="DN5297" t="s">
        <v>8716</v>
      </c>
      <c r="DO5297" s="406">
        <v>-22.73</v>
      </c>
      <c r="DP5297" s="80">
        <v>573</v>
      </c>
    </row>
    <row r="5298" spans="29:120" x14ac:dyDescent="0.25">
      <c r="AC5298" s="122" t="s">
        <v>348</v>
      </c>
      <c r="AD5298" s="122" t="s">
        <v>5449</v>
      </c>
      <c r="AE5298" s="127">
        <v>7</v>
      </c>
      <c r="DA5298" s="122" t="s">
        <v>376</v>
      </c>
      <c r="DB5298" s="122" t="s">
        <v>8865</v>
      </c>
      <c r="DC5298" s="122" t="s">
        <v>842</v>
      </c>
      <c r="DD5298" s="127">
        <v>3</v>
      </c>
      <c r="DE5298" s="127">
        <v>3</v>
      </c>
      <c r="DG5298" t="s">
        <v>376</v>
      </c>
      <c r="DH5298" t="s">
        <v>842</v>
      </c>
      <c r="DI5298" s="406" t="str">
        <f t="shared" si="114"/>
        <v>SP, Santa Branca</v>
      </c>
      <c r="DJ5298">
        <v>-23.396999999999998</v>
      </c>
      <c r="DK5298">
        <v>-45.884</v>
      </c>
      <c r="DL5298">
        <v>648</v>
      </c>
      <c r="DM5298" s="1">
        <v>3</v>
      </c>
      <c r="DN5298" t="s">
        <v>8748</v>
      </c>
      <c r="DO5298" s="406">
        <v>-23.03</v>
      </c>
      <c r="DP5298" s="80">
        <v>571</v>
      </c>
    </row>
    <row r="5299" spans="29:120" x14ac:dyDescent="0.25">
      <c r="AC5299" s="122" t="s">
        <v>357</v>
      </c>
      <c r="AD5299" s="122" t="s">
        <v>5450</v>
      </c>
      <c r="AE5299" s="127">
        <v>7</v>
      </c>
      <c r="DA5299" s="122" t="s">
        <v>376</v>
      </c>
      <c r="DB5299" s="122" t="s">
        <v>8866</v>
      </c>
      <c r="DC5299" s="122" t="s">
        <v>3979</v>
      </c>
      <c r="DD5299" s="127">
        <v>6</v>
      </c>
      <c r="DE5299" s="127">
        <v>6</v>
      </c>
      <c r="DG5299" t="s">
        <v>376</v>
      </c>
      <c r="DH5299" t="s">
        <v>3979</v>
      </c>
      <c r="DI5299" s="406" t="str">
        <f t="shared" si="114"/>
        <v>SP, Santa Clara d'Oeste</v>
      </c>
      <c r="DJ5299">
        <v>-20.088999999999999</v>
      </c>
      <c r="DK5299">
        <v>-50.954000000000001</v>
      </c>
      <c r="DL5299">
        <v>401</v>
      </c>
      <c r="DM5299" s="1">
        <v>6</v>
      </c>
      <c r="DN5299" t="s">
        <v>6904</v>
      </c>
      <c r="DO5299" s="406">
        <v>-20.27</v>
      </c>
      <c r="DP5299" s="80">
        <v>457</v>
      </c>
    </row>
    <row r="5300" spans="29:120" x14ac:dyDescent="0.25">
      <c r="AC5300" s="122" t="s">
        <v>289</v>
      </c>
      <c r="AD5300" s="122" t="s">
        <v>5451</v>
      </c>
      <c r="AE5300" s="127">
        <v>8</v>
      </c>
      <c r="DA5300" s="122" t="s">
        <v>376</v>
      </c>
      <c r="DB5300" s="122" t="s">
        <v>8867</v>
      </c>
      <c r="DC5300" s="122" t="s">
        <v>3772</v>
      </c>
      <c r="DD5300" s="127">
        <v>4</v>
      </c>
      <c r="DE5300" s="127">
        <v>4</v>
      </c>
      <c r="DG5300" t="s">
        <v>376</v>
      </c>
      <c r="DH5300" t="s">
        <v>3772</v>
      </c>
      <c r="DI5300" s="406" t="str">
        <f t="shared" si="114"/>
        <v>SP, Santa Cruz da Conceição</v>
      </c>
      <c r="DJ5300">
        <v>-22.14</v>
      </c>
      <c r="DK5300">
        <v>-47.451999999999998</v>
      </c>
      <c r="DL5300">
        <v>645</v>
      </c>
      <c r="DM5300" s="1">
        <v>4</v>
      </c>
      <c r="DN5300" t="s">
        <v>8728</v>
      </c>
      <c r="DO5300" s="406">
        <v>-22.02</v>
      </c>
      <c r="DP5300" s="80">
        <v>863</v>
      </c>
    </row>
    <row r="5301" spans="29:120" x14ac:dyDescent="0.25">
      <c r="AC5301" s="122" t="s">
        <v>357</v>
      </c>
      <c r="AD5301" s="122" t="s">
        <v>5452</v>
      </c>
      <c r="AE5301" s="127">
        <v>7</v>
      </c>
      <c r="DA5301" s="122" t="s">
        <v>376</v>
      </c>
      <c r="DB5301" s="122" t="s">
        <v>8868</v>
      </c>
      <c r="DC5301" s="122" t="s">
        <v>3982</v>
      </c>
      <c r="DD5301" s="127">
        <v>4</v>
      </c>
      <c r="DE5301" s="127">
        <v>4</v>
      </c>
      <c r="DG5301" t="s">
        <v>376</v>
      </c>
      <c r="DH5301" t="s">
        <v>3982</v>
      </c>
      <c r="DI5301" s="406" t="str">
        <f t="shared" si="114"/>
        <v>SP, Santa Cruz da Esperança</v>
      </c>
      <c r="DJ5301">
        <v>-21.291</v>
      </c>
      <c r="DK5301">
        <v>-47.43</v>
      </c>
      <c r="DL5301">
        <v>612</v>
      </c>
      <c r="DM5301" s="1">
        <v>4</v>
      </c>
      <c r="DN5301" t="s">
        <v>6833</v>
      </c>
      <c r="DO5301" s="406">
        <v>-21.77</v>
      </c>
      <c r="DP5301" s="80">
        <v>730</v>
      </c>
    </row>
    <row r="5302" spans="29:120" x14ac:dyDescent="0.25">
      <c r="AC5302" s="122" t="s">
        <v>322</v>
      </c>
      <c r="AD5302" s="122" t="s">
        <v>5453</v>
      </c>
      <c r="AE5302" s="127">
        <v>7</v>
      </c>
      <c r="DA5302" s="122" t="s">
        <v>376</v>
      </c>
      <c r="DB5302" s="122" t="s">
        <v>8869</v>
      </c>
      <c r="DC5302" s="122" t="s">
        <v>1038</v>
      </c>
      <c r="DD5302" s="127">
        <v>4</v>
      </c>
      <c r="DE5302" s="127">
        <v>4</v>
      </c>
      <c r="DG5302" t="s">
        <v>376</v>
      </c>
      <c r="DH5302" t="s">
        <v>1038</v>
      </c>
      <c r="DI5302" s="406" t="str">
        <f t="shared" si="114"/>
        <v>SP, Santa Cruz das Palmeiras</v>
      </c>
      <c r="DJ5302">
        <v>-21.827000000000002</v>
      </c>
      <c r="DK5302">
        <v>-47.249000000000002</v>
      </c>
      <c r="DL5302">
        <v>635</v>
      </c>
      <c r="DM5302" s="1">
        <v>4</v>
      </c>
      <c r="DN5302" t="s">
        <v>6833</v>
      </c>
      <c r="DO5302" s="406">
        <v>-21.77</v>
      </c>
      <c r="DP5302" s="80">
        <v>730</v>
      </c>
    </row>
    <row r="5303" spans="29:120" x14ac:dyDescent="0.25">
      <c r="AC5303" s="122" t="s">
        <v>289</v>
      </c>
      <c r="AD5303" s="122" t="s">
        <v>5454</v>
      </c>
      <c r="AE5303" s="127">
        <v>8</v>
      </c>
      <c r="DA5303" s="122" t="s">
        <v>376</v>
      </c>
      <c r="DB5303" s="122" t="s">
        <v>8870</v>
      </c>
      <c r="DC5303" s="122" t="s">
        <v>3635</v>
      </c>
      <c r="DD5303" s="127">
        <v>3</v>
      </c>
      <c r="DE5303" s="127">
        <v>3</v>
      </c>
      <c r="DG5303" t="s">
        <v>376</v>
      </c>
      <c r="DH5303" t="s">
        <v>3635</v>
      </c>
      <c r="DI5303" s="406" t="str">
        <f t="shared" si="114"/>
        <v>SP, Santa Cruz do Rio Pardo</v>
      </c>
      <c r="DJ5303">
        <v>-22.899000000000001</v>
      </c>
      <c r="DK5303">
        <v>-49.633000000000003</v>
      </c>
      <c r="DL5303">
        <v>467</v>
      </c>
      <c r="DM5303" s="1">
        <v>3</v>
      </c>
      <c r="DN5303" t="s">
        <v>7822</v>
      </c>
      <c r="DO5303" s="406">
        <v>-22.98</v>
      </c>
      <c r="DP5303" s="80">
        <v>448</v>
      </c>
    </row>
    <row r="5304" spans="29:120" x14ac:dyDescent="0.25">
      <c r="AC5304" s="122" t="s">
        <v>289</v>
      </c>
      <c r="AD5304" s="122" t="s">
        <v>5455</v>
      </c>
      <c r="AE5304" s="127">
        <v>6</v>
      </c>
      <c r="DA5304" s="122" t="s">
        <v>376</v>
      </c>
      <c r="DB5304" s="122" t="s">
        <v>8871</v>
      </c>
      <c r="DC5304" s="122" t="s">
        <v>3837</v>
      </c>
      <c r="DD5304" s="127">
        <v>4</v>
      </c>
      <c r="DE5304" s="127">
        <v>4</v>
      </c>
      <c r="DG5304" t="s">
        <v>376</v>
      </c>
      <c r="DH5304" t="s">
        <v>3837</v>
      </c>
      <c r="DI5304" s="406" t="str">
        <f t="shared" si="114"/>
        <v>SP, Santa Ernestina</v>
      </c>
      <c r="DJ5304">
        <v>-21.463000000000001</v>
      </c>
      <c r="DK5304">
        <v>-48.390999999999998</v>
      </c>
      <c r="DL5304">
        <v>570</v>
      </c>
      <c r="DM5304" s="1">
        <v>4</v>
      </c>
      <c r="DN5304" t="s">
        <v>8721</v>
      </c>
      <c r="DO5304" s="406">
        <v>-21.13</v>
      </c>
      <c r="DP5304" s="80">
        <v>525</v>
      </c>
    </row>
    <row r="5305" spans="29:120" x14ac:dyDescent="0.25">
      <c r="AC5305" s="122" t="s">
        <v>357</v>
      </c>
      <c r="AD5305" s="122" t="s">
        <v>5456</v>
      </c>
      <c r="AE5305" s="127">
        <v>7</v>
      </c>
      <c r="DA5305" s="122" t="s">
        <v>376</v>
      </c>
      <c r="DB5305" s="122" t="s">
        <v>8872</v>
      </c>
      <c r="DC5305" s="122" t="s">
        <v>4025</v>
      </c>
      <c r="DD5305" s="127">
        <v>6</v>
      </c>
      <c r="DE5305" s="127">
        <v>6</v>
      </c>
      <c r="DG5305" t="s">
        <v>376</v>
      </c>
      <c r="DH5305" t="s">
        <v>4025</v>
      </c>
      <c r="DI5305" s="406" t="str">
        <f t="shared" si="114"/>
        <v>SP, Santa Fé do Sul</v>
      </c>
      <c r="DJ5305">
        <v>-20.210999999999999</v>
      </c>
      <c r="DK5305">
        <v>-50.926000000000002</v>
      </c>
      <c r="DL5305">
        <v>370</v>
      </c>
      <c r="DM5305" s="1">
        <v>6</v>
      </c>
      <c r="DN5305" t="s">
        <v>6904</v>
      </c>
      <c r="DO5305" s="406">
        <v>-20.27</v>
      </c>
      <c r="DP5305" s="80">
        <v>457</v>
      </c>
    </row>
    <row r="5306" spans="29:120" x14ac:dyDescent="0.25">
      <c r="AC5306" s="122" t="s">
        <v>357</v>
      </c>
      <c r="AD5306" s="122" t="s">
        <v>5457</v>
      </c>
      <c r="AE5306" s="127">
        <v>7</v>
      </c>
      <c r="DA5306" s="122" t="s">
        <v>376</v>
      </c>
      <c r="DB5306" s="122" t="s">
        <v>8873</v>
      </c>
      <c r="DC5306" s="122" t="s">
        <v>3686</v>
      </c>
      <c r="DD5306" s="127">
        <v>4</v>
      </c>
      <c r="DE5306" s="127">
        <v>4</v>
      </c>
      <c r="DG5306" t="s">
        <v>376</v>
      </c>
      <c r="DH5306" t="s">
        <v>3686</v>
      </c>
      <c r="DI5306" s="406" t="str">
        <f t="shared" si="114"/>
        <v>SP, Santa Gertrudes</v>
      </c>
      <c r="DJ5306">
        <v>-22.457000000000001</v>
      </c>
      <c r="DK5306">
        <v>-47.53</v>
      </c>
      <c r="DL5306">
        <v>595</v>
      </c>
      <c r="DM5306" s="1">
        <v>4</v>
      </c>
      <c r="DN5306" t="s">
        <v>8716</v>
      </c>
      <c r="DO5306" s="406">
        <v>-22.73</v>
      </c>
      <c r="DP5306" s="80">
        <v>573</v>
      </c>
    </row>
    <row r="5307" spans="29:120" x14ac:dyDescent="0.25">
      <c r="AC5307" s="122" t="s">
        <v>357</v>
      </c>
      <c r="AD5307" s="122" t="s">
        <v>5458</v>
      </c>
      <c r="AE5307" s="127">
        <v>7</v>
      </c>
      <c r="DA5307" s="122" t="s">
        <v>376</v>
      </c>
      <c r="DB5307" s="122" t="s">
        <v>6604</v>
      </c>
      <c r="DC5307" s="122" t="s">
        <v>870</v>
      </c>
      <c r="DD5307" s="127">
        <v>3</v>
      </c>
      <c r="DE5307" s="127">
        <v>3</v>
      </c>
      <c r="DG5307" t="s">
        <v>376</v>
      </c>
      <c r="DH5307" t="s">
        <v>870</v>
      </c>
      <c r="DI5307" s="406" t="str">
        <f t="shared" si="114"/>
        <v>SP, Santa Isabel</v>
      </c>
      <c r="DJ5307">
        <v>-23.315999999999999</v>
      </c>
      <c r="DK5307">
        <v>-46.220999999999997</v>
      </c>
      <c r="DL5307">
        <v>655</v>
      </c>
      <c r="DM5307" s="1">
        <v>3</v>
      </c>
      <c r="DN5307" t="s">
        <v>6861</v>
      </c>
      <c r="DO5307" s="406">
        <v>-22.86</v>
      </c>
      <c r="DP5307" s="80">
        <v>1500</v>
      </c>
    </row>
    <row r="5308" spans="29:120" x14ac:dyDescent="0.25">
      <c r="AC5308" s="122" t="s">
        <v>289</v>
      </c>
      <c r="AD5308" s="122" t="s">
        <v>5459</v>
      </c>
      <c r="AE5308" s="127">
        <v>8</v>
      </c>
      <c r="DA5308" s="122" t="s">
        <v>376</v>
      </c>
      <c r="DB5308" s="122" t="s">
        <v>7974</v>
      </c>
      <c r="DC5308" s="122" t="s">
        <v>470</v>
      </c>
      <c r="DD5308" s="127">
        <v>4</v>
      </c>
      <c r="DE5308" s="127">
        <v>4</v>
      </c>
      <c r="DG5308" t="s">
        <v>376</v>
      </c>
      <c r="DH5308" t="s">
        <v>470</v>
      </c>
      <c r="DI5308" s="406" t="str">
        <f t="shared" si="114"/>
        <v>SP, Santa Lúcia</v>
      </c>
      <c r="DJ5308">
        <v>-21.684999999999999</v>
      </c>
      <c r="DK5308">
        <v>-48.084000000000003</v>
      </c>
      <c r="DL5308">
        <v>705</v>
      </c>
      <c r="DM5308" s="1">
        <v>4</v>
      </c>
      <c r="DN5308" t="s">
        <v>8728</v>
      </c>
      <c r="DO5308" s="406">
        <v>-22.02</v>
      </c>
      <c r="DP5308" s="80">
        <v>863</v>
      </c>
    </row>
    <row r="5309" spans="29:120" x14ac:dyDescent="0.25">
      <c r="AC5309" s="122" t="s">
        <v>357</v>
      </c>
      <c r="AD5309" s="122" t="s">
        <v>5460</v>
      </c>
      <c r="AE5309" s="127">
        <v>7</v>
      </c>
      <c r="DA5309" s="122" t="s">
        <v>376</v>
      </c>
      <c r="DB5309" s="122" t="s">
        <v>8874</v>
      </c>
      <c r="DC5309" s="122" t="s">
        <v>1067</v>
      </c>
      <c r="DD5309" s="127">
        <v>3</v>
      </c>
      <c r="DE5309" s="127">
        <v>3</v>
      </c>
      <c r="DG5309" t="s">
        <v>376</v>
      </c>
      <c r="DH5309" t="s">
        <v>1067</v>
      </c>
      <c r="DI5309" s="406" t="str">
        <f t="shared" si="114"/>
        <v>SP, Santa Maria da Serra</v>
      </c>
      <c r="DJ5309">
        <v>-22.567</v>
      </c>
      <c r="DK5309">
        <v>-48.161000000000001</v>
      </c>
      <c r="DL5309">
        <v>495</v>
      </c>
      <c r="DM5309" s="1">
        <v>3</v>
      </c>
      <c r="DN5309" t="s">
        <v>8716</v>
      </c>
      <c r="DO5309" s="406">
        <v>-22.73</v>
      </c>
      <c r="DP5309" s="80">
        <v>573</v>
      </c>
    </row>
    <row r="5310" spans="29:120" x14ac:dyDescent="0.25">
      <c r="AC5310" s="122" t="s">
        <v>289</v>
      </c>
      <c r="AD5310" s="122" t="s">
        <v>5461</v>
      </c>
      <c r="AE5310" s="127">
        <v>6</v>
      </c>
      <c r="DA5310" s="122" t="s">
        <v>376</v>
      </c>
      <c r="DB5310" s="122" t="s">
        <v>8875</v>
      </c>
      <c r="DC5310" s="122" t="s">
        <v>3991</v>
      </c>
      <c r="DD5310" s="127">
        <v>6</v>
      </c>
      <c r="DE5310" s="127">
        <v>6</v>
      </c>
      <c r="DG5310" t="s">
        <v>376</v>
      </c>
      <c r="DH5310" t="s">
        <v>3991</v>
      </c>
      <c r="DI5310" s="406" t="str">
        <f t="shared" si="114"/>
        <v>SP, Santa Mercedes</v>
      </c>
      <c r="DJ5310">
        <v>-21.350999999999999</v>
      </c>
      <c r="DK5310">
        <v>-51.755000000000003</v>
      </c>
      <c r="DL5310">
        <v>351</v>
      </c>
      <c r="DM5310" s="1">
        <v>6</v>
      </c>
      <c r="DN5310" t="s">
        <v>7254</v>
      </c>
      <c r="DO5310" s="406">
        <v>-20.75</v>
      </c>
      <c r="DP5310" s="80">
        <v>313</v>
      </c>
    </row>
    <row r="5311" spans="29:120" x14ac:dyDescent="0.25">
      <c r="AC5311" s="122" t="s">
        <v>344</v>
      </c>
      <c r="AD5311" s="122" t="s">
        <v>5462</v>
      </c>
      <c r="AE5311" s="127">
        <v>8</v>
      </c>
      <c r="DA5311" s="122" t="s">
        <v>376</v>
      </c>
      <c r="DB5311" s="122" t="s">
        <v>8876</v>
      </c>
      <c r="DC5311" s="122" t="s">
        <v>3725</v>
      </c>
      <c r="DD5311" s="127">
        <v>4</v>
      </c>
      <c r="DE5311" s="127">
        <v>4</v>
      </c>
      <c r="DG5311" t="s">
        <v>376</v>
      </c>
      <c r="DH5311" t="s">
        <v>3725</v>
      </c>
      <c r="DI5311" s="406" t="str">
        <f t="shared" si="114"/>
        <v>SP, Santa Rita do Passa Quatro</v>
      </c>
      <c r="DJ5311">
        <v>-21.71</v>
      </c>
      <c r="DK5311">
        <v>-47.478000000000002</v>
      </c>
      <c r="DL5311">
        <v>748</v>
      </c>
      <c r="DM5311" s="1">
        <v>4</v>
      </c>
      <c r="DN5311" t="s">
        <v>6833</v>
      </c>
      <c r="DO5311" s="406">
        <v>-21.77</v>
      </c>
      <c r="DP5311" s="80">
        <v>730</v>
      </c>
    </row>
    <row r="5312" spans="29:120" x14ac:dyDescent="0.25">
      <c r="AC5312" s="122" t="s">
        <v>333</v>
      </c>
      <c r="AD5312" s="122" t="s">
        <v>5463</v>
      </c>
      <c r="AE5312" s="127">
        <v>3</v>
      </c>
      <c r="DA5312" s="122" t="s">
        <v>376</v>
      </c>
      <c r="DB5312" s="122" t="s">
        <v>8877</v>
      </c>
      <c r="DC5312" s="122" t="s">
        <v>3951</v>
      </c>
      <c r="DD5312" s="127">
        <v>6</v>
      </c>
      <c r="DE5312" s="127">
        <v>6</v>
      </c>
      <c r="DG5312" t="s">
        <v>376</v>
      </c>
      <c r="DH5312" t="s">
        <v>3951</v>
      </c>
      <c r="DI5312" s="406" t="str">
        <f t="shared" si="114"/>
        <v>SP, Santa Rita d'Oeste</v>
      </c>
      <c r="DJ5312">
        <v>-20.143000000000001</v>
      </c>
      <c r="DK5312">
        <v>-50.832999999999998</v>
      </c>
      <c r="DL5312">
        <v>400</v>
      </c>
      <c r="DM5312" s="1">
        <v>6</v>
      </c>
      <c r="DN5312" t="s">
        <v>6904</v>
      </c>
      <c r="DO5312" s="406">
        <v>-20.27</v>
      </c>
      <c r="DP5312" s="80">
        <v>457</v>
      </c>
    </row>
    <row r="5313" spans="29:120" x14ac:dyDescent="0.25">
      <c r="AC5313" s="122" t="s">
        <v>357</v>
      </c>
      <c r="AD5313" s="122" t="s">
        <v>5464</v>
      </c>
      <c r="AE5313" s="127">
        <v>7</v>
      </c>
      <c r="DA5313" s="122" t="s">
        <v>376</v>
      </c>
      <c r="DB5313" s="122" t="s">
        <v>8878</v>
      </c>
      <c r="DC5313" s="122" t="s">
        <v>3926</v>
      </c>
      <c r="DD5313" s="127">
        <v>4</v>
      </c>
      <c r="DE5313" s="127">
        <v>4</v>
      </c>
      <c r="DG5313" t="s">
        <v>376</v>
      </c>
      <c r="DH5313" t="s">
        <v>3926</v>
      </c>
      <c r="DI5313" s="406" t="str">
        <f t="shared" si="114"/>
        <v>SP, Santa Rosa de Viterbo</v>
      </c>
      <c r="DJ5313">
        <v>-21.472999999999999</v>
      </c>
      <c r="DK5313">
        <v>-47.363</v>
      </c>
      <c r="DL5313">
        <v>675</v>
      </c>
      <c r="DM5313" s="1">
        <v>4</v>
      </c>
      <c r="DN5313" t="s">
        <v>6833</v>
      </c>
      <c r="DO5313" s="406">
        <v>-21.77</v>
      </c>
      <c r="DP5313" s="80">
        <v>730</v>
      </c>
    </row>
    <row r="5314" spans="29:120" x14ac:dyDescent="0.25">
      <c r="AC5314" s="122" t="s">
        <v>300</v>
      </c>
      <c r="AD5314" s="122" t="s">
        <v>5465</v>
      </c>
      <c r="AE5314" s="127">
        <v>7</v>
      </c>
      <c r="DA5314" s="122" t="s">
        <v>376</v>
      </c>
      <c r="DB5314" s="122" t="s">
        <v>8879</v>
      </c>
      <c r="DC5314" s="122" t="s">
        <v>2941</v>
      </c>
      <c r="DD5314" s="127">
        <v>6</v>
      </c>
      <c r="DE5314" s="127">
        <v>6</v>
      </c>
      <c r="DG5314" t="s">
        <v>376</v>
      </c>
      <c r="DH5314" t="s">
        <v>2941</v>
      </c>
      <c r="DI5314" s="406" t="str">
        <f t="shared" si="114"/>
        <v>SP, Santa Salete</v>
      </c>
      <c r="DJ5314">
        <v>-20.245000000000001</v>
      </c>
      <c r="DK5314">
        <v>-50.688000000000002</v>
      </c>
      <c r="DL5314">
        <v>460</v>
      </c>
      <c r="DM5314" s="1">
        <v>6</v>
      </c>
      <c r="DN5314" t="s">
        <v>6904</v>
      </c>
      <c r="DO5314" s="406">
        <v>-20.27</v>
      </c>
      <c r="DP5314" s="80">
        <v>457</v>
      </c>
    </row>
    <row r="5315" spans="29:120" x14ac:dyDescent="0.25">
      <c r="AC5315" s="122" t="s">
        <v>323</v>
      </c>
      <c r="AD5315" s="122" t="s">
        <v>4982</v>
      </c>
      <c r="AE5315" s="127">
        <v>7</v>
      </c>
      <c r="DA5315" s="122" t="s">
        <v>376</v>
      </c>
      <c r="DB5315" s="122" t="s">
        <v>8880</v>
      </c>
      <c r="DC5315" s="122" t="s">
        <v>3868</v>
      </c>
      <c r="DD5315" s="127">
        <v>6</v>
      </c>
      <c r="DE5315" s="127">
        <v>6</v>
      </c>
      <c r="DG5315" t="s">
        <v>376</v>
      </c>
      <c r="DH5315" t="s">
        <v>3868</v>
      </c>
      <c r="DI5315" s="406" t="str">
        <f t="shared" ref="DI5315:DI5378" si="115">CONCATENATE(DG5315,", ",DH5315)</f>
        <v>SP, Santana da Ponte Pensa</v>
      </c>
      <c r="DJ5315">
        <v>-20.253</v>
      </c>
      <c r="DK5315">
        <v>-50.796999999999997</v>
      </c>
      <c r="DL5315">
        <v>426</v>
      </c>
      <c r="DM5315" s="1">
        <v>6</v>
      </c>
      <c r="DN5315" t="s">
        <v>6904</v>
      </c>
      <c r="DO5315" s="406">
        <v>-20.27</v>
      </c>
      <c r="DP5315" s="80">
        <v>457</v>
      </c>
    </row>
    <row r="5316" spans="29:120" x14ac:dyDescent="0.25">
      <c r="AC5316" s="122" t="s">
        <v>323</v>
      </c>
      <c r="AD5316" s="122" t="s">
        <v>5466</v>
      </c>
      <c r="AE5316" s="127">
        <v>7</v>
      </c>
      <c r="DA5316" s="122" t="s">
        <v>376</v>
      </c>
      <c r="DB5316" s="122" t="s">
        <v>8881</v>
      </c>
      <c r="DC5316" s="122" t="s">
        <v>955</v>
      </c>
      <c r="DD5316" s="127">
        <v>3</v>
      </c>
      <c r="DE5316" s="127">
        <v>3</v>
      </c>
      <c r="DG5316" t="s">
        <v>376</v>
      </c>
      <c r="DH5316" t="s">
        <v>955</v>
      </c>
      <c r="DI5316" s="406" t="str">
        <f t="shared" si="115"/>
        <v>SP, Santana de Parnaíba</v>
      </c>
      <c r="DJ5316">
        <v>-23.443999999999999</v>
      </c>
      <c r="DK5316">
        <v>-46.917999999999999</v>
      </c>
      <c r="DL5316">
        <v>719</v>
      </c>
      <c r="DM5316" s="1">
        <v>3</v>
      </c>
      <c r="DN5316" t="s">
        <v>8735</v>
      </c>
      <c r="DO5316" s="406">
        <v>-23.85</v>
      </c>
      <c r="DP5316" s="80">
        <v>792</v>
      </c>
    </row>
    <row r="5317" spans="29:120" x14ac:dyDescent="0.25">
      <c r="AC5317" s="122" t="s">
        <v>357</v>
      </c>
      <c r="AD5317" s="122" t="s">
        <v>5467</v>
      </c>
      <c r="AE5317" s="127">
        <v>7</v>
      </c>
      <c r="DA5317" s="122" t="s">
        <v>376</v>
      </c>
      <c r="DB5317" s="122" t="s">
        <v>8882</v>
      </c>
      <c r="DC5317" s="122" t="s">
        <v>3805</v>
      </c>
      <c r="DD5317" s="127">
        <v>6</v>
      </c>
      <c r="DE5317" s="127">
        <v>6</v>
      </c>
      <c r="DG5317" t="s">
        <v>376</v>
      </c>
      <c r="DH5317" t="s">
        <v>3805</v>
      </c>
      <c r="DI5317" s="406" t="str">
        <f t="shared" si="115"/>
        <v>SP, Santo Anastácio</v>
      </c>
      <c r="DJ5317">
        <v>-21.977</v>
      </c>
      <c r="DK5317">
        <v>-51.652000000000001</v>
      </c>
      <c r="DL5317">
        <v>436</v>
      </c>
      <c r="DM5317" s="1">
        <v>6</v>
      </c>
      <c r="DN5317" t="s">
        <v>8720</v>
      </c>
      <c r="DO5317" s="406">
        <v>-22.13</v>
      </c>
      <c r="DP5317" s="80">
        <v>436</v>
      </c>
    </row>
    <row r="5318" spans="29:120" x14ac:dyDescent="0.25">
      <c r="AC5318" s="122" t="s">
        <v>289</v>
      </c>
      <c r="AD5318" s="122" t="s">
        <v>5468</v>
      </c>
      <c r="AE5318" s="127">
        <v>8</v>
      </c>
      <c r="DA5318" s="122" t="s">
        <v>376</v>
      </c>
      <c r="DB5318" s="122" t="s">
        <v>7558</v>
      </c>
      <c r="DC5318" s="122" t="s">
        <v>384</v>
      </c>
      <c r="DD5318" s="127">
        <v>3</v>
      </c>
      <c r="DE5318" s="127">
        <v>3</v>
      </c>
      <c r="DG5318" t="s">
        <v>376</v>
      </c>
      <c r="DH5318" t="s">
        <v>384</v>
      </c>
      <c r="DI5318" s="406" t="str">
        <f t="shared" si="115"/>
        <v>SP, Santo André</v>
      </c>
      <c r="DJ5318">
        <v>-23.664000000000001</v>
      </c>
      <c r="DK5318">
        <v>-46.537999999999997</v>
      </c>
      <c r="DL5318">
        <v>755</v>
      </c>
      <c r="DM5318" s="1">
        <v>3</v>
      </c>
      <c r="DN5318" t="s">
        <v>8735</v>
      </c>
      <c r="DO5318" s="406">
        <v>-23.85</v>
      </c>
      <c r="DP5318" s="80">
        <v>792</v>
      </c>
    </row>
    <row r="5319" spans="29:120" x14ac:dyDescent="0.25">
      <c r="AC5319" s="122" t="s">
        <v>357</v>
      </c>
      <c r="AD5319" s="122" t="s">
        <v>5469</v>
      </c>
      <c r="AE5319" s="127">
        <v>7</v>
      </c>
      <c r="DA5319" s="122" t="s">
        <v>376</v>
      </c>
      <c r="DB5319" s="122" t="s">
        <v>8883</v>
      </c>
      <c r="DC5319" s="122" t="s">
        <v>1039</v>
      </c>
      <c r="DD5319" s="127">
        <v>4</v>
      </c>
      <c r="DE5319" s="127">
        <v>4</v>
      </c>
      <c r="DG5319" t="s">
        <v>376</v>
      </c>
      <c r="DH5319" t="s">
        <v>1039</v>
      </c>
      <c r="DI5319" s="406" t="str">
        <f t="shared" si="115"/>
        <v>SP, Santo Antônio da Alegria</v>
      </c>
      <c r="DJ5319">
        <v>-21.087</v>
      </c>
      <c r="DK5319">
        <v>-47.151000000000003</v>
      </c>
      <c r="DL5319">
        <v>791</v>
      </c>
      <c r="DM5319" s="1">
        <v>4</v>
      </c>
      <c r="DN5319" t="s">
        <v>6892</v>
      </c>
      <c r="DO5319" s="406">
        <v>-20.54</v>
      </c>
      <c r="DP5319" s="80">
        <v>1026</v>
      </c>
    </row>
    <row r="5320" spans="29:120" x14ac:dyDescent="0.25">
      <c r="AC5320" s="122" t="s">
        <v>357</v>
      </c>
      <c r="AD5320" s="122" t="s">
        <v>5470</v>
      </c>
      <c r="AE5320" s="127">
        <v>7</v>
      </c>
      <c r="DA5320" s="122" t="s">
        <v>376</v>
      </c>
      <c r="DB5320" s="122" t="s">
        <v>8884</v>
      </c>
      <c r="DC5320" s="122" t="s">
        <v>3818</v>
      </c>
      <c r="DD5320" s="127">
        <v>3</v>
      </c>
      <c r="DE5320" s="127">
        <v>3</v>
      </c>
      <c r="DG5320" t="s">
        <v>376</v>
      </c>
      <c r="DH5320" t="s">
        <v>3818</v>
      </c>
      <c r="DI5320" s="406" t="str">
        <f t="shared" si="115"/>
        <v>SP, Santo Antônio de Posse</v>
      </c>
      <c r="DJ5320">
        <v>-22.606000000000002</v>
      </c>
      <c r="DK5320">
        <v>-46.918999999999997</v>
      </c>
      <c r="DL5320">
        <v>695</v>
      </c>
      <c r="DM5320" s="1">
        <v>3</v>
      </c>
      <c r="DN5320" t="s">
        <v>6808</v>
      </c>
      <c r="DO5320" s="406">
        <v>-22.42</v>
      </c>
      <c r="DP5320" s="80">
        <v>633</v>
      </c>
    </row>
    <row r="5321" spans="29:120" x14ac:dyDescent="0.25">
      <c r="AC5321" s="122" t="s">
        <v>300</v>
      </c>
      <c r="AD5321" s="122" t="s">
        <v>5471</v>
      </c>
      <c r="AE5321" s="127">
        <v>7</v>
      </c>
      <c r="DA5321" s="122" t="s">
        <v>376</v>
      </c>
      <c r="DB5321" s="122" t="s">
        <v>8885</v>
      </c>
      <c r="DC5321" s="122" t="s">
        <v>3934</v>
      </c>
      <c r="DD5321" s="127">
        <v>6</v>
      </c>
      <c r="DE5321" s="127">
        <v>6</v>
      </c>
      <c r="DG5321" t="s">
        <v>376</v>
      </c>
      <c r="DH5321" t="s">
        <v>3934</v>
      </c>
      <c r="DI5321" s="406" t="str">
        <f t="shared" si="115"/>
        <v>SP, Santo Antônio do Aracanguá</v>
      </c>
      <c r="DJ5321">
        <v>-20.937000000000001</v>
      </c>
      <c r="DK5321">
        <v>-50.496000000000002</v>
      </c>
      <c r="DL5321">
        <v>385</v>
      </c>
      <c r="DM5321" s="1">
        <v>6</v>
      </c>
      <c r="DN5321" t="s">
        <v>8709</v>
      </c>
      <c r="DO5321" s="406">
        <v>-21.32</v>
      </c>
      <c r="DP5321" s="80">
        <v>374</v>
      </c>
    </row>
    <row r="5322" spans="29:120" x14ac:dyDescent="0.25">
      <c r="AC5322" s="122" t="s">
        <v>372</v>
      </c>
      <c r="AD5322" s="122" t="s">
        <v>5472</v>
      </c>
      <c r="AE5322" s="127">
        <v>8</v>
      </c>
      <c r="DA5322" s="122" t="s">
        <v>376</v>
      </c>
      <c r="DB5322" s="122" t="s">
        <v>8886</v>
      </c>
      <c r="DC5322" s="122" t="s">
        <v>1080</v>
      </c>
      <c r="DD5322" s="127">
        <v>3</v>
      </c>
      <c r="DE5322" s="127">
        <v>3</v>
      </c>
      <c r="DG5322" t="s">
        <v>376</v>
      </c>
      <c r="DH5322" t="s">
        <v>1080</v>
      </c>
      <c r="DI5322" s="406" t="str">
        <f t="shared" si="115"/>
        <v>SP, Santo Antônio do Jardim</v>
      </c>
      <c r="DJ5322">
        <v>-22.116</v>
      </c>
      <c r="DK5322">
        <v>-46.68</v>
      </c>
      <c r="DL5322">
        <v>850</v>
      </c>
      <c r="DM5322" s="1">
        <v>3</v>
      </c>
      <c r="DN5322" t="s">
        <v>6808</v>
      </c>
      <c r="DO5322" s="406">
        <v>-22.42</v>
      </c>
      <c r="DP5322" s="80">
        <v>633</v>
      </c>
    </row>
    <row r="5323" spans="29:120" x14ac:dyDescent="0.25">
      <c r="AC5323" s="122" t="s">
        <v>357</v>
      </c>
      <c r="AD5323" s="122" t="s">
        <v>5473</v>
      </c>
      <c r="AE5323" s="127">
        <v>7</v>
      </c>
      <c r="DA5323" s="122" t="s">
        <v>376</v>
      </c>
      <c r="DB5323" s="122" t="s">
        <v>8887</v>
      </c>
      <c r="DC5323" s="122" t="s">
        <v>735</v>
      </c>
      <c r="DD5323" s="127">
        <v>3</v>
      </c>
      <c r="DE5323" s="127">
        <v>3</v>
      </c>
      <c r="DG5323" t="s">
        <v>376</v>
      </c>
      <c r="DH5323" t="s">
        <v>735</v>
      </c>
      <c r="DI5323" s="406" t="str">
        <f t="shared" si="115"/>
        <v>SP, Santo Antônio do Pinhal</v>
      </c>
      <c r="DJ5323">
        <v>-22.827000000000002</v>
      </c>
      <c r="DK5323">
        <v>-45.662999999999997</v>
      </c>
      <c r="DL5323">
        <v>1080</v>
      </c>
      <c r="DM5323" s="1">
        <v>3</v>
      </c>
      <c r="DN5323" t="s">
        <v>6873</v>
      </c>
      <c r="DO5323" s="406">
        <v>-22.74</v>
      </c>
      <c r="DP5323" s="80">
        <v>1642</v>
      </c>
    </row>
    <row r="5324" spans="29:120" x14ac:dyDescent="0.25">
      <c r="AC5324" s="122" t="s">
        <v>323</v>
      </c>
      <c r="AD5324" s="122" t="s">
        <v>5474</v>
      </c>
      <c r="AE5324" s="127">
        <v>7</v>
      </c>
      <c r="DA5324" s="122" t="s">
        <v>376</v>
      </c>
      <c r="DB5324" s="122" t="s">
        <v>8888</v>
      </c>
      <c r="DC5324" s="122" t="s">
        <v>3824</v>
      </c>
      <c r="DD5324" s="127">
        <v>6</v>
      </c>
      <c r="DE5324" s="127">
        <v>6</v>
      </c>
      <c r="DG5324" t="s">
        <v>376</v>
      </c>
      <c r="DH5324" t="s">
        <v>3824</v>
      </c>
      <c r="DI5324" s="406" t="str">
        <f t="shared" si="115"/>
        <v>SP, Santo Expedito</v>
      </c>
      <c r="DJ5324">
        <v>-21.850999999999999</v>
      </c>
      <c r="DK5324">
        <v>-51.392000000000003</v>
      </c>
      <c r="DL5324">
        <v>416</v>
      </c>
      <c r="DM5324" s="1">
        <v>6</v>
      </c>
      <c r="DN5324" t="s">
        <v>8720</v>
      </c>
      <c r="DO5324" s="406">
        <v>-22.13</v>
      </c>
      <c r="DP5324" s="80">
        <v>436</v>
      </c>
    </row>
    <row r="5325" spans="29:120" x14ac:dyDescent="0.25">
      <c r="AC5325" s="122" t="s">
        <v>357</v>
      </c>
      <c r="AD5325" s="122" t="s">
        <v>5475</v>
      </c>
      <c r="AE5325" s="127">
        <v>7</v>
      </c>
      <c r="DA5325" s="122" t="s">
        <v>376</v>
      </c>
      <c r="DB5325" s="122" t="s">
        <v>8889</v>
      </c>
      <c r="DC5325" s="122" t="s">
        <v>4023</v>
      </c>
      <c r="DD5325" s="127">
        <v>3</v>
      </c>
      <c r="DE5325" s="127">
        <v>3</v>
      </c>
      <c r="DG5325" t="s">
        <v>376</v>
      </c>
      <c r="DH5325" t="s">
        <v>4023</v>
      </c>
      <c r="DI5325" s="406" t="str">
        <f t="shared" si="115"/>
        <v>SP, Santópolis do Aguapeí</v>
      </c>
      <c r="DJ5325">
        <v>-21.638000000000002</v>
      </c>
      <c r="DK5325">
        <v>-50.5</v>
      </c>
      <c r="DL5325">
        <v>429</v>
      </c>
      <c r="DM5325" s="1">
        <v>3</v>
      </c>
      <c r="DN5325" t="s">
        <v>8709</v>
      </c>
      <c r="DO5325" s="406">
        <v>-21.32</v>
      </c>
      <c r="DP5325" s="80">
        <v>374</v>
      </c>
    </row>
    <row r="5326" spans="29:120" x14ac:dyDescent="0.25">
      <c r="AC5326" s="122" t="s">
        <v>372</v>
      </c>
      <c r="AD5326" s="122" t="s">
        <v>5476</v>
      </c>
      <c r="AE5326" s="127">
        <v>8</v>
      </c>
      <c r="DA5326" s="122" t="s">
        <v>376</v>
      </c>
      <c r="DB5326" s="122" t="s">
        <v>3107</v>
      </c>
      <c r="DC5326" s="122" t="s">
        <v>3107</v>
      </c>
      <c r="DD5326" s="127">
        <v>5</v>
      </c>
      <c r="DE5326" s="127">
        <v>5</v>
      </c>
      <c r="DG5326" t="s">
        <v>376</v>
      </c>
      <c r="DH5326" t="s">
        <v>3107</v>
      </c>
      <c r="DI5326" s="406" t="str">
        <f t="shared" si="115"/>
        <v>SP, Santos</v>
      </c>
      <c r="DJ5326">
        <v>-23.960999999999999</v>
      </c>
      <c r="DK5326">
        <v>-46.334000000000003</v>
      </c>
      <c r="DL5326">
        <v>2</v>
      </c>
      <c r="DM5326" s="1">
        <v>5</v>
      </c>
      <c r="DN5326" t="s">
        <v>8735</v>
      </c>
      <c r="DO5326" s="406">
        <v>-23.85</v>
      </c>
      <c r="DP5326" s="80">
        <v>792</v>
      </c>
    </row>
    <row r="5327" spans="29:120" x14ac:dyDescent="0.25">
      <c r="AC5327" s="122" t="s">
        <v>357</v>
      </c>
      <c r="AD5327" s="122" t="s">
        <v>5477</v>
      </c>
      <c r="AE5327" s="127">
        <v>7</v>
      </c>
      <c r="DA5327" s="122" t="s">
        <v>376</v>
      </c>
      <c r="DB5327" s="122" t="s">
        <v>8890</v>
      </c>
      <c r="DC5327" s="122" t="s">
        <v>736</v>
      </c>
      <c r="DD5327" s="127">
        <v>3</v>
      </c>
      <c r="DE5327" s="127">
        <v>3</v>
      </c>
      <c r="DG5327" t="s">
        <v>376</v>
      </c>
      <c r="DH5327" t="s">
        <v>736</v>
      </c>
      <c r="DI5327" s="406" t="str">
        <f t="shared" si="115"/>
        <v>SP, São Bento do Sapucaí</v>
      </c>
      <c r="DJ5327">
        <v>-22.689</v>
      </c>
      <c r="DK5327">
        <v>-45.731000000000002</v>
      </c>
      <c r="DL5327">
        <v>886</v>
      </c>
      <c r="DM5327" s="1">
        <v>3</v>
      </c>
      <c r="DN5327" t="s">
        <v>6873</v>
      </c>
      <c r="DO5327" s="406">
        <v>-22.74</v>
      </c>
      <c r="DP5327" s="80">
        <v>1642</v>
      </c>
    </row>
    <row r="5328" spans="29:120" x14ac:dyDescent="0.25">
      <c r="AC5328" s="122" t="s">
        <v>369</v>
      </c>
      <c r="AD5328" s="122" t="s">
        <v>5478</v>
      </c>
      <c r="AE5328" s="127">
        <v>7</v>
      </c>
      <c r="DA5328" s="122" t="s">
        <v>376</v>
      </c>
      <c r="DB5328" s="122" t="s">
        <v>8891</v>
      </c>
      <c r="DC5328" s="122" t="s">
        <v>386</v>
      </c>
      <c r="DD5328" s="127">
        <v>3</v>
      </c>
      <c r="DE5328" s="127">
        <v>3</v>
      </c>
      <c r="DG5328" t="s">
        <v>376</v>
      </c>
      <c r="DH5328" t="s">
        <v>386</v>
      </c>
      <c r="DI5328" s="406" t="str">
        <f t="shared" si="115"/>
        <v>SP, São Bernardo do Campo</v>
      </c>
      <c r="DJ5328">
        <v>-23.693999999999999</v>
      </c>
      <c r="DK5328">
        <v>-46.564999999999998</v>
      </c>
      <c r="DL5328">
        <v>762</v>
      </c>
      <c r="DM5328" s="1">
        <v>3</v>
      </c>
      <c r="DN5328" t="s">
        <v>8735</v>
      </c>
      <c r="DO5328" s="406">
        <v>-23.85</v>
      </c>
      <c r="DP5328" s="80">
        <v>792</v>
      </c>
    </row>
    <row r="5329" spans="29:120" x14ac:dyDescent="0.25">
      <c r="AC5329" s="122" t="s">
        <v>357</v>
      </c>
      <c r="AD5329" s="122" t="s">
        <v>5479</v>
      </c>
      <c r="AE5329" s="127">
        <v>7</v>
      </c>
      <c r="DA5329" s="122" t="s">
        <v>376</v>
      </c>
      <c r="DB5329" s="122" t="s">
        <v>8892</v>
      </c>
      <c r="DC5329" s="122" t="s">
        <v>405</v>
      </c>
      <c r="DD5329" s="127">
        <v>3</v>
      </c>
      <c r="DE5329" s="127">
        <v>3</v>
      </c>
      <c r="DG5329" t="s">
        <v>376</v>
      </c>
      <c r="DH5329" t="s">
        <v>405</v>
      </c>
      <c r="DI5329" s="406" t="str">
        <f t="shared" si="115"/>
        <v>SP, São Caetano do Sul</v>
      </c>
      <c r="DJ5329">
        <v>-23.623000000000001</v>
      </c>
      <c r="DK5329">
        <v>-46.551000000000002</v>
      </c>
      <c r="DL5329">
        <v>744</v>
      </c>
      <c r="DM5329" s="1">
        <v>3</v>
      </c>
      <c r="DN5329" t="s">
        <v>8735</v>
      </c>
      <c r="DO5329" s="406">
        <v>-23.85</v>
      </c>
      <c r="DP5329" s="80">
        <v>792</v>
      </c>
    </row>
    <row r="5330" spans="29:120" x14ac:dyDescent="0.25">
      <c r="AC5330" s="122" t="s">
        <v>357</v>
      </c>
      <c r="AD5330" s="122" t="s">
        <v>5480</v>
      </c>
      <c r="AE5330" s="127">
        <v>6</v>
      </c>
      <c r="DA5330" s="122" t="s">
        <v>376</v>
      </c>
      <c r="DB5330" s="122" t="s">
        <v>8648</v>
      </c>
      <c r="DC5330" s="122" t="s">
        <v>737</v>
      </c>
      <c r="DD5330" s="127">
        <v>4</v>
      </c>
      <c r="DE5330" s="127">
        <v>4</v>
      </c>
      <c r="DG5330" t="s">
        <v>376</v>
      </c>
      <c r="DH5330" t="s">
        <v>737</v>
      </c>
      <c r="DI5330" s="406" t="str">
        <f t="shared" si="115"/>
        <v>SP, São Carlos</v>
      </c>
      <c r="DJ5330">
        <v>-22.018000000000001</v>
      </c>
      <c r="DK5330">
        <v>-47.890999999999998</v>
      </c>
      <c r="DL5330">
        <v>854</v>
      </c>
      <c r="DM5330" s="1">
        <v>4</v>
      </c>
      <c r="DN5330" t="s">
        <v>8728</v>
      </c>
      <c r="DO5330" s="406">
        <v>-22.02</v>
      </c>
      <c r="DP5330" s="80">
        <v>863</v>
      </c>
    </row>
    <row r="5331" spans="29:120" x14ac:dyDescent="0.25">
      <c r="AC5331" s="122" t="s">
        <v>322</v>
      </c>
      <c r="AD5331" s="122" t="s">
        <v>2834</v>
      </c>
      <c r="AE5331" s="127">
        <v>7</v>
      </c>
      <c r="DA5331" s="122" t="s">
        <v>376</v>
      </c>
      <c r="DB5331" s="122" t="s">
        <v>7165</v>
      </c>
      <c r="DC5331" s="122" t="s">
        <v>2937</v>
      </c>
      <c r="DD5331" s="127">
        <v>6</v>
      </c>
      <c r="DE5331" s="127">
        <v>6</v>
      </c>
      <c r="DG5331" t="s">
        <v>376</v>
      </c>
      <c r="DH5331" t="s">
        <v>2937</v>
      </c>
      <c r="DI5331" s="406" t="str">
        <f t="shared" si="115"/>
        <v>SP, São Francisco</v>
      </c>
      <c r="DJ5331">
        <v>-20.359000000000002</v>
      </c>
      <c r="DK5331">
        <v>-50.697000000000003</v>
      </c>
      <c r="DL5331">
        <v>402</v>
      </c>
      <c r="DM5331" s="1">
        <v>6</v>
      </c>
      <c r="DN5331" t="s">
        <v>6904</v>
      </c>
      <c r="DO5331" s="406">
        <v>-20.27</v>
      </c>
      <c r="DP5331" s="80">
        <v>457</v>
      </c>
    </row>
    <row r="5332" spans="29:120" x14ac:dyDescent="0.25">
      <c r="AC5332" s="122" t="s">
        <v>348</v>
      </c>
      <c r="AD5332" s="122" t="s">
        <v>1273</v>
      </c>
      <c r="AE5332" s="127">
        <v>6</v>
      </c>
      <c r="DA5332" s="122" t="s">
        <v>376</v>
      </c>
      <c r="DB5332" s="122" t="s">
        <v>8893</v>
      </c>
      <c r="DC5332" s="122" t="s">
        <v>1793</v>
      </c>
      <c r="DD5332" s="127">
        <v>3</v>
      </c>
      <c r="DE5332" s="127">
        <v>3</v>
      </c>
      <c r="DG5332" t="s">
        <v>376</v>
      </c>
      <c r="DH5332" t="s">
        <v>1793</v>
      </c>
      <c r="DI5332" s="406" t="str">
        <f t="shared" si="115"/>
        <v>SP, São João da Boa Vista</v>
      </c>
      <c r="DJ5332">
        <v>-21.969000000000001</v>
      </c>
      <c r="DK5332">
        <v>-46.798000000000002</v>
      </c>
      <c r="DL5332">
        <v>767</v>
      </c>
      <c r="DM5332" s="1">
        <v>3</v>
      </c>
      <c r="DN5332" t="s">
        <v>6833</v>
      </c>
      <c r="DO5332" s="406">
        <v>-21.77</v>
      </c>
      <c r="DP5332" s="80">
        <v>730</v>
      </c>
    </row>
    <row r="5333" spans="29:120" x14ac:dyDescent="0.25">
      <c r="AC5333" s="122" t="s">
        <v>300</v>
      </c>
      <c r="AD5333" s="122" t="s">
        <v>5481</v>
      </c>
      <c r="AE5333" s="127">
        <v>7</v>
      </c>
      <c r="DA5333" s="122" t="s">
        <v>376</v>
      </c>
      <c r="DB5333" s="122" t="s">
        <v>8894</v>
      </c>
      <c r="DC5333" s="122" t="s">
        <v>3955</v>
      </c>
      <c r="DD5333" s="127">
        <v>6</v>
      </c>
      <c r="DE5333" s="127">
        <v>6</v>
      </c>
      <c r="DG5333" t="s">
        <v>376</v>
      </c>
      <c r="DH5333" t="s">
        <v>3955</v>
      </c>
      <c r="DI5333" s="406" t="str">
        <f t="shared" si="115"/>
        <v>SP, São João das Duas Pontes</v>
      </c>
      <c r="DJ5333">
        <v>-20.388999999999999</v>
      </c>
      <c r="DK5333">
        <v>-50.378</v>
      </c>
      <c r="DL5333">
        <v>427</v>
      </c>
      <c r="DM5333" s="1">
        <v>6</v>
      </c>
      <c r="DN5333" t="s">
        <v>6904</v>
      </c>
      <c r="DO5333" s="406">
        <v>-20.27</v>
      </c>
      <c r="DP5333" s="80">
        <v>457</v>
      </c>
    </row>
    <row r="5334" spans="29:120" x14ac:dyDescent="0.25">
      <c r="AC5334" s="122" t="s">
        <v>323</v>
      </c>
      <c r="AD5334" s="122" t="s">
        <v>4592</v>
      </c>
      <c r="AE5334" s="127">
        <v>7</v>
      </c>
      <c r="DA5334" s="122" t="s">
        <v>376</v>
      </c>
      <c r="DB5334" s="122" t="s">
        <v>8895</v>
      </c>
      <c r="DC5334" s="122" t="s">
        <v>3978</v>
      </c>
      <c r="DD5334" s="127">
        <v>6</v>
      </c>
      <c r="DE5334" s="127">
        <v>6</v>
      </c>
      <c r="DG5334" t="s">
        <v>376</v>
      </c>
      <c r="DH5334" t="s">
        <v>3978</v>
      </c>
      <c r="DI5334" s="406" t="str">
        <f t="shared" si="115"/>
        <v>SP, São João de Iracema</v>
      </c>
      <c r="DJ5334">
        <v>-20.513000000000002</v>
      </c>
      <c r="DK5334">
        <v>-50.351999999999997</v>
      </c>
      <c r="DL5334">
        <v>508</v>
      </c>
      <c r="DM5334" s="1">
        <v>6</v>
      </c>
      <c r="DN5334" t="s">
        <v>6904</v>
      </c>
      <c r="DO5334" s="406">
        <v>-20.27</v>
      </c>
      <c r="DP5334" s="80">
        <v>457</v>
      </c>
    </row>
    <row r="5335" spans="29:120" x14ac:dyDescent="0.25">
      <c r="AC5335" s="122" t="s">
        <v>300</v>
      </c>
      <c r="AD5335" s="122" t="s">
        <v>3443</v>
      </c>
      <c r="AE5335" s="127">
        <v>7</v>
      </c>
      <c r="DA5335" s="122" t="s">
        <v>376</v>
      </c>
      <c r="DB5335" s="122" t="s">
        <v>8896</v>
      </c>
      <c r="DC5335" s="122" t="s">
        <v>3998</v>
      </c>
      <c r="DD5335" s="127">
        <v>6</v>
      </c>
      <c r="DE5335" s="127">
        <v>6</v>
      </c>
      <c r="DG5335" t="s">
        <v>376</v>
      </c>
      <c r="DH5335" t="s">
        <v>3998</v>
      </c>
      <c r="DI5335" s="406" t="str">
        <f t="shared" si="115"/>
        <v>SP, São João do Pau d'Alho</v>
      </c>
      <c r="DJ5335">
        <v>-21.268000000000001</v>
      </c>
      <c r="DK5335">
        <v>-51.665999999999997</v>
      </c>
      <c r="DL5335">
        <v>354</v>
      </c>
      <c r="DM5335" s="1">
        <v>6</v>
      </c>
      <c r="DN5335" t="s">
        <v>7254</v>
      </c>
      <c r="DO5335" s="406">
        <v>-20.75</v>
      </c>
      <c r="DP5335" s="80">
        <v>313</v>
      </c>
    </row>
    <row r="5336" spans="29:120" x14ac:dyDescent="0.25">
      <c r="AC5336" s="122" t="s">
        <v>322</v>
      </c>
      <c r="AD5336" s="122" t="s">
        <v>5482</v>
      </c>
      <c r="AE5336" s="127">
        <v>6</v>
      </c>
      <c r="DA5336" s="122" t="s">
        <v>376</v>
      </c>
      <c r="DB5336" s="122" t="s">
        <v>8897</v>
      </c>
      <c r="DC5336" s="122" t="s">
        <v>2901</v>
      </c>
      <c r="DD5336" s="127">
        <v>4</v>
      </c>
      <c r="DE5336" s="127">
        <v>4</v>
      </c>
      <c r="DG5336" t="s">
        <v>376</v>
      </c>
      <c r="DH5336" t="s">
        <v>2901</v>
      </c>
      <c r="DI5336" s="406" t="str">
        <f t="shared" si="115"/>
        <v>SP, São Joaquim da Barra</v>
      </c>
      <c r="DJ5336">
        <v>-20.581</v>
      </c>
      <c r="DK5336">
        <v>-47.854999999999997</v>
      </c>
      <c r="DL5336">
        <v>625</v>
      </c>
      <c r="DM5336" s="1">
        <v>4</v>
      </c>
      <c r="DN5336" t="s">
        <v>8732</v>
      </c>
      <c r="DO5336" s="406">
        <v>-20.36</v>
      </c>
      <c r="DP5336" s="80">
        <v>600</v>
      </c>
    </row>
    <row r="5337" spans="29:120" x14ac:dyDescent="0.25">
      <c r="AC5337" s="122" t="s">
        <v>289</v>
      </c>
      <c r="AD5337" s="122" t="s">
        <v>4545</v>
      </c>
      <c r="AE5337" s="127">
        <v>6</v>
      </c>
      <c r="DA5337" s="122" t="s">
        <v>376</v>
      </c>
      <c r="DB5337" s="122" t="s">
        <v>8898</v>
      </c>
      <c r="DC5337" s="122" t="s">
        <v>3787</v>
      </c>
      <c r="DD5337" s="127">
        <v>4</v>
      </c>
      <c r="DE5337" s="127">
        <v>4</v>
      </c>
      <c r="DG5337" t="s">
        <v>376</v>
      </c>
      <c r="DH5337" t="s">
        <v>3787</v>
      </c>
      <c r="DI5337" s="406" t="str">
        <f t="shared" si="115"/>
        <v>SP, São José da Bela Vista</v>
      </c>
      <c r="DJ5337">
        <v>-20.593</v>
      </c>
      <c r="DK5337">
        <v>-47.64</v>
      </c>
      <c r="DL5337">
        <v>730</v>
      </c>
      <c r="DM5337" s="1">
        <v>4</v>
      </c>
      <c r="DN5337" t="s">
        <v>6892</v>
      </c>
      <c r="DO5337" s="406">
        <v>-20.54</v>
      </c>
      <c r="DP5337" s="80">
        <v>1026</v>
      </c>
    </row>
    <row r="5338" spans="29:120" x14ac:dyDescent="0.25">
      <c r="AC5338" s="122" t="s">
        <v>372</v>
      </c>
      <c r="AD5338" s="122" t="s">
        <v>5483</v>
      </c>
      <c r="AE5338" s="127">
        <v>8</v>
      </c>
      <c r="DA5338" s="122" t="s">
        <v>376</v>
      </c>
      <c r="DB5338" s="122" t="s">
        <v>8899</v>
      </c>
      <c r="DC5338" s="122" t="s">
        <v>3649</v>
      </c>
      <c r="DD5338" s="127">
        <v>3</v>
      </c>
      <c r="DE5338" s="127">
        <v>3</v>
      </c>
      <c r="DG5338" t="s">
        <v>376</v>
      </c>
      <c r="DH5338" t="s">
        <v>3649</v>
      </c>
      <c r="DI5338" s="406" t="str">
        <f t="shared" si="115"/>
        <v>SP, São José do Barreiro</v>
      </c>
      <c r="DJ5338">
        <v>-22.645</v>
      </c>
      <c r="DK5338">
        <v>-44.578000000000003</v>
      </c>
      <c r="DL5338">
        <v>510</v>
      </c>
      <c r="DM5338" s="1">
        <v>3</v>
      </c>
      <c r="DN5338" t="s">
        <v>6807</v>
      </c>
      <c r="DO5338" s="406">
        <v>-22.47</v>
      </c>
      <c r="DP5338" s="80">
        <v>440</v>
      </c>
    </row>
    <row r="5339" spans="29:120" x14ac:dyDescent="0.25">
      <c r="AC5339" s="122" t="s">
        <v>348</v>
      </c>
      <c r="AD5339" s="122" t="s">
        <v>5484</v>
      </c>
      <c r="AE5339" s="127">
        <v>6</v>
      </c>
      <c r="DA5339" s="122" t="s">
        <v>376</v>
      </c>
      <c r="DB5339" s="122" t="s">
        <v>8900</v>
      </c>
      <c r="DC5339" s="122" t="s">
        <v>3714</v>
      </c>
      <c r="DD5339" s="127">
        <v>4</v>
      </c>
      <c r="DE5339" s="127">
        <v>4</v>
      </c>
      <c r="DG5339" t="s">
        <v>376</v>
      </c>
      <c r="DH5339" t="s">
        <v>3714</v>
      </c>
      <c r="DI5339" s="406" t="str">
        <f t="shared" si="115"/>
        <v>SP, São José do Rio Pardo</v>
      </c>
      <c r="DJ5339">
        <v>-21.596</v>
      </c>
      <c r="DK5339">
        <v>-46.889000000000003</v>
      </c>
      <c r="DL5339">
        <v>705</v>
      </c>
      <c r="DM5339" s="1">
        <v>4</v>
      </c>
      <c r="DN5339" t="s">
        <v>6833</v>
      </c>
      <c r="DO5339" s="406">
        <v>-21.77</v>
      </c>
      <c r="DP5339" s="80">
        <v>730</v>
      </c>
    </row>
    <row r="5340" spans="29:120" x14ac:dyDescent="0.25">
      <c r="AC5340" s="122" t="s">
        <v>357</v>
      </c>
      <c r="AD5340" s="122" t="s">
        <v>5485</v>
      </c>
      <c r="AE5340" s="127">
        <v>7</v>
      </c>
      <c r="DA5340" s="122" t="s">
        <v>376</v>
      </c>
      <c r="DB5340" s="122" t="s">
        <v>8901</v>
      </c>
      <c r="DC5340" s="122" t="s">
        <v>3849</v>
      </c>
      <c r="DD5340" s="127">
        <v>6</v>
      </c>
      <c r="DE5340" s="127">
        <v>6</v>
      </c>
      <c r="DG5340" t="s">
        <v>376</v>
      </c>
      <c r="DH5340" t="s">
        <v>3849</v>
      </c>
      <c r="DI5340" s="406" t="str">
        <f t="shared" si="115"/>
        <v>SP, São José do Rio Preto</v>
      </c>
      <c r="DJ5340">
        <v>-20.82</v>
      </c>
      <c r="DK5340">
        <v>-49.378999999999998</v>
      </c>
      <c r="DL5340">
        <v>489</v>
      </c>
      <c r="DM5340" s="1">
        <v>6</v>
      </c>
      <c r="DN5340" t="s">
        <v>8710</v>
      </c>
      <c r="DO5340" s="406">
        <v>-21.1</v>
      </c>
      <c r="DP5340" s="80">
        <v>405</v>
      </c>
    </row>
    <row r="5341" spans="29:120" x14ac:dyDescent="0.25">
      <c r="AC5341" s="122" t="s">
        <v>300</v>
      </c>
      <c r="AD5341" s="122" t="s">
        <v>5486</v>
      </c>
      <c r="AE5341" s="127">
        <v>7</v>
      </c>
      <c r="DA5341" s="122" t="s">
        <v>376</v>
      </c>
      <c r="DB5341" s="122" t="s">
        <v>8902</v>
      </c>
      <c r="DC5341" s="122" t="s">
        <v>852</v>
      </c>
      <c r="DD5341" s="127">
        <v>3</v>
      </c>
      <c r="DE5341" s="127">
        <v>3</v>
      </c>
      <c r="DG5341" t="s">
        <v>376</v>
      </c>
      <c r="DH5341" t="s">
        <v>852</v>
      </c>
      <c r="DI5341" s="406" t="str">
        <f t="shared" si="115"/>
        <v>SP, São José dos Campos</v>
      </c>
      <c r="DJ5341">
        <v>-23.178999999999998</v>
      </c>
      <c r="DK5341">
        <v>-45.887</v>
      </c>
      <c r="DL5341">
        <v>600</v>
      </c>
      <c r="DM5341" s="1">
        <v>3</v>
      </c>
      <c r="DN5341" t="s">
        <v>8748</v>
      </c>
      <c r="DO5341" s="406">
        <v>-23.03</v>
      </c>
      <c r="DP5341" s="80">
        <v>571</v>
      </c>
    </row>
    <row r="5342" spans="29:120" x14ac:dyDescent="0.25">
      <c r="AC5342" s="122" t="s">
        <v>323</v>
      </c>
      <c r="AD5342" s="122" t="s">
        <v>5487</v>
      </c>
      <c r="AE5342" s="127">
        <v>6</v>
      </c>
      <c r="DA5342" s="122" t="s">
        <v>376</v>
      </c>
      <c r="DB5342" s="122" t="s">
        <v>8903</v>
      </c>
      <c r="DC5342" s="122" t="s">
        <v>1768</v>
      </c>
      <c r="DD5342" s="127">
        <v>3</v>
      </c>
      <c r="DE5342" s="127">
        <v>3</v>
      </c>
      <c r="DG5342" t="s">
        <v>376</v>
      </c>
      <c r="DH5342" t="s">
        <v>1768</v>
      </c>
      <c r="DI5342" s="406" t="str">
        <f t="shared" si="115"/>
        <v>SP, São Lourenço da Serra</v>
      </c>
      <c r="DJ5342">
        <v>-23.853000000000002</v>
      </c>
      <c r="DK5342">
        <v>-46.942999999999998</v>
      </c>
      <c r="DL5342">
        <v>690</v>
      </c>
      <c r="DM5342" s="1">
        <v>3</v>
      </c>
      <c r="DN5342" t="s">
        <v>8735</v>
      </c>
      <c r="DO5342" s="406">
        <v>-23.85</v>
      </c>
      <c r="DP5342" s="80">
        <v>792</v>
      </c>
    </row>
    <row r="5343" spans="29:120" x14ac:dyDescent="0.25">
      <c r="AC5343" s="122" t="s">
        <v>323</v>
      </c>
      <c r="AD5343" s="122" t="s">
        <v>5488</v>
      </c>
      <c r="AE5343" s="127">
        <v>8</v>
      </c>
      <c r="DA5343" s="122" t="s">
        <v>376</v>
      </c>
      <c r="DB5343" s="122" t="s">
        <v>8904</v>
      </c>
      <c r="DC5343" s="122" t="s">
        <v>738</v>
      </c>
      <c r="DD5343" s="127">
        <v>3</v>
      </c>
      <c r="DE5343" s="127">
        <v>3</v>
      </c>
      <c r="DG5343" t="s">
        <v>376</v>
      </c>
      <c r="DH5343" t="s">
        <v>738</v>
      </c>
      <c r="DI5343" s="406" t="str">
        <f t="shared" si="115"/>
        <v>SP, São Luís do Paraitinga</v>
      </c>
      <c r="DJ5343">
        <v>-23.222000000000001</v>
      </c>
      <c r="DK5343">
        <v>-45.31</v>
      </c>
      <c r="DL5343">
        <v>741</v>
      </c>
      <c r="DM5343" s="1">
        <v>3</v>
      </c>
      <c r="DN5343" t="s">
        <v>8759</v>
      </c>
      <c r="DO5343" s="406">
        <v>-23.23</v>
      </c>
      <c r="DP5343" s="80">
        <v>874</v>
      </c>
    </row>
    <row r="5344" spans="29:120" x14ac:dyDescent="0.25">
      <c r="AC5344" s="122" t="s">
        <v>348</v>
      </c>
      <c r="AD5344" s="122" t="s">
        <v>5489</v>
      </c>
      <c r="AE5344" s="127">
        <v>7</v>
      </c>
      <c r="DA5344" s="122" t="s">
        <v>376</v>
      </c>
      <c r="DB5344" s="122" t="s">
        <v>8905</v>
      </c>
      <c r="DC5344" s="122" t="s">
        <v>1066</v>
      </c>
      <c r="DD5344" s="127">
        <v>3</v>
      </c>
      <c r="DE5344" s="127">
        <v>3</v>
      </c>
      <c r="DG5344" t="s">
        <v>376</v>
      </c>
      <c r="DH5344" t="s">
        <v>1066</v>
      </c>
      <c r="DI5344" s="406" t="str">
        <f t="shared" si="115"/>
        <v>SP, São Manuel</v>
      </c>
      <c r="DJ5344">
        <v>-22.731000000000002</v>
      </c>
      <c r="DK5344">
        <v>-48.570999999999998</v>
      </c>
      <c r="DL5344">
        <v>709</v>
      </c>
      <c r="DM5344" s="1">
        <v>3</v>
      </c>
      <c r="DN5344" t="s">
        <v>8714</v>
      </c>
      <c r="DO5344" s="406">
        <v>-23.1</v>
      </c>
      <c r="DP5344" s="80">
        <v>654</v>
      </c>
    </row>
    <row r="5345" spans="29:120" x14ac:dyDescent="0.25">
      <c r="AC5345" s="122" t="s">
        <v>372</v>
      </c>
      <c r="AD5345" s="122" t="s">
        <v>5490</v>
      </c>
      <c r="AE5345" s="127">
        <v>8</v>
      </c>
      <c r="DA5345" s="122" t="s">
        <v>376</v>
      </c>
      <c r="DB5345" s="122" t="s">
        <v>8906</v>
      </c>
      <c r="DC5345" s="122" t="s">
        <v>840</v>
      </c>
      <c r="DD5345" s="127">
        <v>3</v>
      </c>
      <c r="DE5345" s="127">
        <v>3</v>
      </c>
      <c r="DG5345" t="s">
        <v>376</v>
      </c>
      <c r="DH5345" t="s">
        <v>840</v>
      </c>
      <c r="DI5345" s="406" t="str">
        <f t="shared" si="115"/>
        <v>SP, São Miguel Arcanjo</v>
      </c>
      <c r="DJ5345">
        <v>-23.878</v>
      </c>
      <c r="DK5345">
        <v>-47.997</v>
      </c>
      <c r="DL5345">
        <v>659</v>
      </c>
      <c r="DM5345" s="1">
        <v>3</v>
      </c>
      <c r="DN5345" t="s">
        <v>8718</v>
      </c>
      <c r="DO5345" s="406">
        <v>-23.5</v>
      </c>
      <c r="DP5345" s="80">
        <v>609</v>
      </c>
    </row>
    <row r="5346" spans="29:120" x14ac:dyDescent="0.25">
      <c r="AC5346" s="122" t="s">
        <v>300</v>
      </c>
      <c r="AD5346" s="122" t="s">
        <v>5491</v>
      </c>
      <c r="AE5346" s="127">
        <v>7</v>
      </c>
      <c r="DA5346" s="122" t="s">
        <v>376</v>
      </c>
      <c r="DB5346" s="122" t="s">
        <v>8907</v>
      </c>
      <c r="DC5346" s="122" t="s">
        <v>377</v>
      </c>
      <c r="DD5346" s="127">
        <v>3</v>
      </c>
      <c r="DE5346" s="127">
        <v>3</v>
      </c>
      <c r="DG5346" t="s">
        <v>376</v>
      </c>
      <c r="DH5346" t="s">
        <v>377</v>
      </c>
      <c r="DI5346" s="406" t="str">
        <f t="shared" si="115"/>
        <v>SP, São Paulo</v>
      </c>
      <c r="DJ5346">
        <v>-23.547999999999998</v>
      </c>
      <c r="DK5346">
        <v>-46.636000000000003</v>
      </c>
      <c r="DL5346">
        <v>760</v>
      </c>
      <c r="DM5346" s="1">
        <v>3</v>
      </c>
      <c r="DN5346" t="s">
        <v>8735</v>
      </c>
      <c r="DO5346" s="406">
        <v>-23.85</v>
      </c>
      <c r="DP5346" s="80">
        <v>792</v>
      </c>
    </row>
    <row r="5347" spans="29:120" x14ac:dyDescent="0.25">
      <c r="AC5347" s="122" t="s">
        <v>300</v>
      </c>
      <c r="AD5347" s="122" t="s">
        <v>5492</v>
      </c>
      <c r="AE5347" s="127">
        <v>7</v>
      </c>
      <c r="DA5347" s="122" t="s">
        <v>376</v>
      </c>
      <c r="DB5347" s="122" t="s">
        <v>8153</v>
      </c>
      <c r="DC5347" s="122" t="s">
        <v>1086</v>
      </c>
      <c r="DD5347" s="127">
        <v>3</v>
      </c>
      <c r="DE5347" s="127">
        <v>3</v>
      </c>
      <c r="DG5347" t="s">
        <v>376</v>
      </c>
      <c r="DH5347" t="s">
        <v>1086</v>
      </c>
      <c r="DI5347" s="406" t="str">
        <f t="shared" si="115"/>
        <v>SP, São Pedro</v>
      </c>
      <c r="DJ5347">
        <v>-22.548999999999999</v>
      </c>
      <c r="DK5347">
        <v>-47.914000000000001</v>
      </c>
      <c r="DL5347">
        <v>550</v>
      </c>
      <c r="DM5347" s="1">
        <v>3</v>
      </c>
      <c r="DN5347" t="s">
        <v>8716</v>
      </c>
      <c r="DO5347" s="406">
        <v>-22.73</v>
      </c>
      <c r="DP5347" s="80">
        <v>573</v>
      </c>
    </row>
    <row r="5348" spans="29:120" x14ac:dyDescent="0.25">
      <c r="AC5348" s="122" t="s">
        <v>357</v>
      </c>
      <c r="AD5348" s="122" t="s">
        <v>5493</v>
      </c>
      <c r="AE5348" s="127">
        <v>7</v>
      </c>
      <c r="DA5348" s="122" t="s">
        <v>376</v>
      </c>
      <c r="DB5348" s="122" t="s">
        <v>8908</v>
      </c>
      <c r="DC5348" s="122" t="s">
        <v>1786</v>
      </c>
      <c r="DD5348" s="127">
        <v>3</v>
      </c>
      <c r="DE5348" s="127">
        <v>3</v>
      </c>
      <c r="DG5348" t="s">
        <v>376</v>
      </c>
      <c r="DH5348" t="s">
        <v>1786</v>
      </c>
      <c r="DI5348" s="406" t="str">
        <f t="shared" si="115"/>
        <v>SP, São Pedro do Turvo</v>
      </c>
      <c r="DJ5348">
        <v>-22.747</v>
      </c>
      <c r="DK5348">
        <v>-49.74</v>
      </c>
      <c r="DL5348">
        <v>457</v>
      </c>
      <c r="DM5348" s="1">
        <v>3</v>
      </c>
      <c r="DN5348" t="s">
        <v>7822</v>
      </c>
      <c r="DO5348" s="406">
        <v>-22.98</v>
      </c>
      <c r="DP5348" s="80">
        <v>448</v>
      </c>
    </row>
    <row r="5349" spans="29:120" x14ac:dyDescent="0.25">
      <c r="AC5349" s="122" t="s">
        <v>289</v>
      </c>
      <c r="AD5349" s="122" t="s">
        <v>5494</v>
      </c>
      <c r="AE5349" s="127">
        <v>6</v>
      </c>
      <c r="DA5349" s="122" t="s">
        <v>376</v>
      </c>
      <c r="DB5349" s="122" t="s">
        <v>8909</v>
      </c>
      <c r="DC5349" s="122" t="s">
        <v>1071</v>
      </c>
      <c r="DD5349" s="127">
        <v>3</v>
      </c>
      <c r="DE5349" s="127">
        <v>3</v>
      </c>
      <c r="DG5349" t="s">
        <v>376</v>
      </c>
      <c r="DH5349" t="s">
        <v>1071</v>
      </c>
      <c r="DI5349" s="406" t="str">
        <f t="shared" si="115"/>
        <v>SP, São Roque</v>
      </c>
      <c r="DJ5349">
        <v>-23.529</v>
      </c>
      <c r="DK5349">
        <v>-47.134999999999998</v>
      </c>
      <c r="DL5349">
        <v>771</v>
      </c>
      <c r="DM5349" s="1">
        <v>3</v>
      </c>
      <c r="DN5349" t="s">
        <v>8718</v>
      </c>
      <c r="DO5349" s="406">
        <v>-23.5</v>
      </c>
      <c r="DP5349" s="80">
        <v>609</v>
      </c>
    </row>
    <row r="5350" spans="29:120" x14ac:dyDescent="0.25">
      <c r="AC5350" s="122" t="s">
        <v>289</v>
      </c>
      <c r="AD5350" s="122" t="s">
        <v>5495</v>
      </c>
      <c r="AE5350" s="127">
        <v>6</v>
      </c>
      <c r="DA5350" s="122" t="s">
        <v>376</v>
      </c>
      <c r="DB5350" s="122" t="s">
        <v>6149</v>
      </c>
      <c r="DC5350" s="122" t="s">
        <v>2777</v>
      </c>
      <c r="DD5350" s="127">
        <v>3</v>
      </c>
      <c r="DE5350" s="127">
        <v>3</v>
      </c>
      <c r="DG5350" t="s">
        <v>376</v>
      </c>
      <c r="DH5350" t="s">
        <v>2777</v>
      </c>
      <c r="DI5350" s="406" t="str">
        <f t="shared" si="115"/>
        <v>SP, São Sebastião</v>
      </c>
      <c r="DJ5350">
        <v>-23.76</v>
      </c>
      <c r="DK5350">
        <v>-45.41</v>
      </c>
      <c r="DL5350">
        <v>1</v>
      </c>
      <c r="DM5350" s="1">
        <v>3</v>
      </c>
      <c r="DN5350" t="s">
        <v>8759</v>
      </c>
      <c r="DO5350" s="406">
        <v>-23.23</v>
      </c>
      <c r="DP5350" s="80">
        <v>874</v>
      </c>
    </row>
    <row r="5351" spans="29:120" x14ac:dyDescent="0.25">
      <c r="AC5351" s="122" t="s">
        <v>372</v>
      </c>
      <c r="AD5351" s="122" t="s">
        <v>5496</v>
      </c>
      <c r="AE5351" s="127">
        <v>8</v>
      </c>
      <c r="DA5351" s="122" t="s">
        <v>376</v>
      </c>
      <c r="DB5351" s="122" t="s">
        <v>8910</v>
      </c>
      <c r="DC5351" s="122" t="s">
        <v>973</v>
      </c>
      <c r="DD5351" s="127">
        <v>3</v>
      </c>
      <c r="DE5351" s="127">
        <v>3</v>
      </c>
      <c r="DG5351" t="s">
        <v>376</v>
      </c>
      <c r="DH5351" t="s">
        <v>973</v>
      </c>
      <c r="DI5351" s="406" t="str">
        <f t="shared" si="115"/>
        <v>SP, São Sebastião da Grama</v>
      </c>
      <c r="DJ5351">
        <v>-21.710999999999999</v>
      </c>
      <c r="DK5351">
        <v>-46.820999999999998</v>
      </c>
      <c r="DL5351">
        <v>945</v>
      </c>
      <c r="DM5351" s="1">
        <v>3</v>
      </c>
      <c r="DN5351" t="s">
        <v>6833</v>
      </c>
      <c r="DO5351" s="406">
        <v>-21.77</v>
      </c>
      <c r="DP5351" s="80">
        <v>730</v>
      </c>
    </row>
    <row r="5352" spans="29:120" x14ac:dyDescent="0.25">
      <c r="AC5352" s="122" t="s">
        <v>357</v>
      </c>
      <c r="AD5352" s="122" t="s">
        <v>5497</v>
      </c>
      <c r="AE5352" s="127">
        <v>7</v>
      </c>
      <c r="DA5352" s="122" t="s">
        <v>376</v>
      </c>
      <c r="DB5352" s="122" t="s">
        <v>6622</v>
      </c>
      <c r="DC5352" s="122" t="s">
        <v>2893</v>
      </c>
      <c r="DD5352" s="127">
        <v>4</v>
      </c>
      <c r="DE5352" s="127">
        <v>4</v>
      </c>
      <c r="DG5352" t="s">
        <v>376</v>
      </c>
      <c r="DH5352" t="s">
        <v>2893</v>
      </c>
      <c r="DI5352" s="406" t="str">
        <f t="shared" si="115"/>
        <v>SP, São Simão</v>
      </c>
      <c r="DJ5352">
        <v>-21.478999999999999</v>
      </c>
      <c r="DK5352">
        <v>-47.551000000000002</v>
      </c>
      <c r="DL5352">
        <v>665</v>
      </c>
      <c r="DM5352" s="1">
        <v>4</v>
      </c>
      <c r="DN5352" t="s">
        <v>6833</v>
      </c>
      <c r="DO5352" s="406">
        <v>-21.77</v>
      </c>
      <c r="DP5352" s="80">
        <v>730</v>
      </c>
    </row>
    <row r="5353" spans="29:120" x14ac:dyDescent="0.25">
      <c r="AC5353" s="122" t="s">
        <v>289</v>
      </c>
      <c r="AD5353" s="122" t="s">
        <v>5498</v>
      </c>
      <c r="AE5353" s="127">
        <v>6</v>
      </c>
      <c r="DA5353" s="122" t="s">
        <v>376</v>
      </c>
      <c r="DB5353" s="122" t="s">
        <v>8155</v>
      </c>
      <c r="DC5353" s="122" t="s">
        <v>3094</v>
      </c>
      <c r="DD5353" s="127">
        <v>3</v>
      </c>
      <c r="DE5353" s="127">
        <v>3</v>
      </c>
      <c r="DG5353" t="s">
        <v>376</v>
      </c>
      <c r="DH5353" t="s">
        <v>3094</v>
      </c>
      <c r="DI5353" s="406" t="str">
        <f t="shared" si="115"/>
        <v>SP, São Vicente</v>
      </c>
      <c r="DJ5353">
        <v>-23.963000000000001</v>
      </c>
      <c r="DK5353">
        <v>-46.392000000000003</v>
      </c>
      <c r="DL5353">
        <v>6</v>
      </c>
      <c r="DM5353" s="1">
        <v>3</v>
      </c>
      <c r="DN5353" t="s">
        <v>8735</v>
      </c>
      <c r="DO5353" s="406">
        <v>-23.85</v>
      </c>
      <c r="DP5353" s="80">
        <v>792</v>
      </c>
    </row>
    <row r="5354" spans="29:120" x14ac:dyDescent="0.25">
      <c r="AC5354" s="122" t="s">
        <v>372</v>
      </c>
      <c r="AD5354" s="122" t="s">
        <v>5499</v>
      </c>
      <c r="AE5354" s="127">
        <v>8</v>
      </c>
      <c r="DA5354" s="122" t="s">
        <v>376</v>
      </c>
      <c r="DB5354" s="122" t="s">
        <v>942</v>
      </c>
      <c r="DC5354" s="122" t="s">
        <v>942</v>
      </c>
      <c r="DD5354" s="127">
        <v>3</v>
      </c>
      <c r="DE5354" s="127">
        <v>3</v>
      </c>
      <c r="DG5354" t="s">
        <v>376</v>
      </c>
      <c r="DH5354" t="s">
        <v>942</v>
      </c>
      <c r="DI5354" s="406" t="str">
        <f t="shared" si="115"/>
        <v>SP, Sarapuí</v>
      </c>
      <c r="DJ5354">
        <v>-23.640999999999998</v>
      </c>
      <c r="DK5354">
        <v>-47.825000000000003</v>
      </c>
      <c r="DL5354">
        <v>590</v>
      </c>
      <c r="DM5354" s="1">
        <v>3</v>
      </c>
      <c r="DN5354" t="s">
        <v>8718</v>
      </c>
      <c r="DO5354" s="406">
        <v>-23.5</v>
      </c>
      <c r="DP5354" s="80">
        <v>609</v>
      </c>
    </row>
    <row r="5355" spans="29:120" x14ac:dyDescent="0.25">
      <c r="AC5355" s="122" t="s">
        <v>357</v>
      </c>
      <c r="AD5355" s="122" t="s">
        <v>5500</v>
      </c>
      <c r="AE5355" s="127">
        <v>7</v>
      </c>
      <c r="DA5355" s="122" t="s">
        <v>376</v>
      </c>
      <c r="DB5355" s="122" t="s">
        <v>1078</v>
      </c>
      <c r="DC5355" s="122" t="s">
        <v>1078</v>
      </c>
      <c r="DD5355" s="127">
        <v>3</v>
      </c>
      <c r="DE5355" s="127">
        <v>3</v>
      </c>
      <c r="DG5355" t="s">
        <v>376</v>
      </c>
      <c r="DH5355" t="s">
        <v>1078</v>
      </c>
      <c r="DI5355" s="406" t="str">
        <f t="shared" si="115"/>
        <v>SP, Sarutaiá</v>
      </c>
      <c r="DJ5355">
        <v>-23.273</v>
      </c>
      <c r="DK5355">
        <v>-49.48</v>
      </c>
      <c r="DL5355">
        <v>756</v>
      </c>
      <c r="DM5355" s="1">
        <v>3</v>
      </c>
      <c r="DN5355" t="s">
        <v>7859</v>
      </c>
      <c r="DO5355" s="406">
        <v>-23.5</v>
      </c>
      <c r="DP5355" s="80">
        <v>522</v>
      </c>
    </row>
    <row r="5356" spans="29:120" x14ac:dyDescent="0.25">
      <c r="AC5356" s="122" t="s">
        <v>357</v>
      </c>
      <c r="AD5356" s="122" t="s">
        <v>5501</v>
      </c>
      <c r="AE5356" s="127">
        <v>7</v>
      </c>
      <c r="DA5356" s="122" t="s">
        <v>376</v>
      </c>
      <c r="DB5356" s="122" t="s">
        <v>8911</v>
      </c>
      <c r="DC5356" s="122" t="s">
        <v>3947</v>
      </c>
      <c r="DD5356" s="127">
        <v>6</v>
      </c>
      <c r="DE5356" s="127">
        <v>6</v>
      </c>
      <c r="DG5356" t="s">
        <v>376</v>
      </c>
      <c r="DH5356" t="s">
        <v>3947</v>
      </c>
      <c r="DI5356" s="406" t="str">
        <f t="shared" si="115"/>
        <v>SP, Sebastianópolis do Sul</v>
      </c>
      <c r="DJ5356">
        <v>-20.655000000000001</v>
      </c>
      <c r="DK5356">
        <v>-49.920999999999999</v>
      </c>
      <c r="DL5356">
        <v>468</v>
      </c>
      <c r="DM5356" s="1">
        <v>6</v>
      </c>
      <c r="DN5356" t="s">
        <v>6984</v>
      </c>
      <c r="DO5356" s="406">
        <v>-20.420000000000002</v>
      </c>
      <c r="DP5356" s="80">
        <v>486</v>
      </c>
    </row>
    <row r="5357" spans="29:120" x14ac:dyDescent="0.25">
      <c r="AC5357" s="122" t="s">
        <v>357</v>
      </c>
      <c r="AD5357" s="122" t="s">
        <v>5502</v>
      </c>
      <c r="AE5357" s="127">
        <v>6</v>
      </c>
      <c r="DA5357" s="122" t="s">
        <v>376</v>
      </c>
      <c r="DB5357" s="122" t="s">
        <v>8912</v>
      </c>
      <c r="DC5357" s="122" t="s">
        <v>3889</v>
      </c>
      <c r="DD5357" s="127">
        <v>4</v>
      </c>
      <c r="DE5357" s="127">
        <v>4</v>
      </c>
      <c r="DG5357" t="s">
        <v>376</v>
      </c>
      <c r="DH5357" t="s">
        <v>3889</v>
      </c>
      <c r="DI5357" s="406" t="str">
        <f t="shared" si="115"/>
        <v>SP, Serra Azul</v>
      </c>
      <c r="DJ5357">
        <v>-21.311</v>
      </c>
      <c r="DK5357">
        <v>-47.566000000000003</v>
      </c>
      <c r="DL5357">
        <v>610</v>
      </c>
      <c r="DM5357" s="1">
        <v>4</v>
      </c>
      <c r="DN5357" t="s">
        <v>6833</v>
      </c>
      <c r="DO5357" s="406">
        <v>-21.77</v>
      </c>
      <c r="DP5357" s="80">
        <v>730</v>
      </c>
    </row>
    <row r="5358" spans="29:120" x14ac:dyDescent="0.25">
      <c r="AC5358" s="122" t="s">
        <v>357</v>
      </c>
      <c r="AD5358" s="122" t="s">
        <v>5503</v>
      </c>
      <c r="AE5358" s="127">
        <v>7</v>
      </c>
      <c r="DA5358" s="122" t="s">
        <v>376</v>
      </c>
      <c r="DB5358" s="122" t="s">
        <v>8913</v>
      </c>
      <c r="DC5358" s="122" t="s">
        <v>1043</v>
      </c>
      <c r="DD5358" s="127">
        <v>3</v>
      </c>
      <c r="DE5358" s="127">
        <v>3</v>
      </c>
      <c r="DG5358" t="s">
        <v>376</v>
      </c>
      <c r="DH5358" t="s">
        <v>1043</v>
      </c>
      <c r="DI5358" s="406" t="str">
        <f t="shared" si="115"/>
        <v>SP, Serra Negra</v>
      </c>
      <c r="DJ5358">
        <v>-22.611999999999998</v>
      </c>
      <c r="DK5358">
        <v>-46.701000000000001</v>
      </c>
      <c r="DL5358">
        <v>925</v>
      </c>
      <c r="DM5358" s="1">
        <v>3</v>
      </c>
      <c r="DN5358" t="s">
        <v>6808</v>
      </c>
      <c r="DO5358" s="406">
        <v>-22.42</v>
      </c>
      <c r="DP5358" s="80">
        <v>633</v>
      </c>
    </row>
    <row r="5359" spans="29:120" x14ac:dyDescent="0.25">
      <c r="AC5359" s="122" t="s">
        <v>357</v>
      </c>
      <c r="AD5359" s="122" t="s">
        <v>5504</v>
      </c>
      <c r="AE5359" s="127">
        <v>7</v>
      </c>
      <c r="DA5359" s="122" t="s">
        <v>376</v>
      </c>
      <c r="DB5359" s="122" t="s">
        <v>3892</v>
      </c>
      <c r="DC5359" s="122" t="s">
        <v>3892</v>
      </c>
      <c r="DD5359" s="127">
        <v>4</v>
      </c>
      <c r="DE5359" s="127">
        <v>4</v>
      </c>
      <c r="DG5359" t="s">
        <v>376</v>
      </c>
      <c r="DH5359" t="s">
        <v>3892</v>
      </c>
      <c r="DI5359" s="406" t="str">
        <f t="shared" si="115"/>
        <v>SP, Serrana</v>
      </c>
      <c r="DJ5359">
        <v>-21.210999999999999</v>
      </c>
      <c r="DK5359">
        <v>-47.595999999999997</v>
      </c>
      <c r="DL5359">
        <v>427</v>
      </c>
      <c r="DM5359" s="1">
        <v>4</v>
      </c>
      <c r="DN5359" t="s">
        <v>6892</v>
      </c>
      <c r="DO5359" s="406">
        <v>-20.54</v>
      </c>
      <c r="DP5359" s="80">
        <v>1026</v>
      </c>
    </row>
    <row r="5360" spans="29:120" x14ac:dyDescent="0.25">
      <c r="AC5360" s="122" t="s">
        <v>289</v>
      </c>
      <c r="AD5360" s="122" t="s">
        <v>5505</v>
      </c>
      <c r="AE5360" s="127">
        <v>6</v>
      </c>
      <c r="DA5360" s="122" t="s">
        <v>376</v>
      </c>
      <c r="DB5360" s="122" t="s">
        <v>3809</v>
      </c>
      <c r="DC5360" s="122" t="s">
        <v>3809</v>
      </c>
      <c r="DD5360" s="127">
        <v>4</v>
      </c>
      <c r="DE5360" s="127">
        <v>4</v>
      </c>
      <c r="DG5360" t="s">
        <v>376</v>
      </c>
      <c r="DH5360" t="s">
        <v>3809</v>
      </c>
      <c r="DI5360" s="406" t="str">
        <f t="shared" si="115"/>
        <v>SP, Sertãozinho</v>
      </c>
      <c r="DJ5360">
        <v>-21.138000000000002</v>
      </c>
      <c r="DK5360">
        <v>-47.99</v>
      </c>
      <c r="DL5360">
        <v>579</v>
      </c>
      <c r="DM5360" s="1">
        <v>4</v>
      </c>
      <c r="DN5360" t="s">
        <v>8721</v>
      </c>
      <c r="DO5360" s="406">
        <v>-21.13</v>
      </c>
      <c r="DP5360" s="80">
        <v>525</v>
      </c>
    </row>
    <row r="5361" spans="29:120" x14ac:dyDescent="0.25">
      <c r="AC5361" s="122" t="s">
        <v>289</v>
      </c>
      <c r="AD5361" s="122" t="s">
        <v>5506</v>
      </c>
      <c r="AE5361" s="127">
        <v>6</v>
      </c>
      <c r="DA5361" s="122" t="s">
        <v>376</v>
      </c>
      <c r="DB5361" s="122" t="s">
        <v>8914</v>
      </c>
      <c r="DC5361" s="122" t="s">
        <v>4043</v>
      </c>
      <c r="DD5361" s="127">
        <v>5</v>
      </c>
      <c r="DE5361" s="127">
        <v>5</v>
      </c>
      <c r="DG5361" t="s">
        <v>376</v>
      </c>
      <c r="DH5361" t="s">
        <v>4043</v>
      </c>
      <c r="DI5361" s="406" t="str">
        <f t="shared" si="115"/>
        <v>SP, Sete Barras</v>
      </c>
      <c r="DJ5361">
        <v>-24.388000000000002</v>
      </c>
      <c r="DK5361">
        <v>-47.926000000000002</v>
      </c>
      <c r="DL5361">
        <v>30</v>
      </c>
      <c r="DM5361" s="1">
        <v>5</v>
      </c>
      <c r="DN5361" t="s">
        <v>8750</v>
      </c>
      <c r="DO5361" s="406">
        <v>-24.71</v>
      </c>
      <c r="DP5361" s="80">
        <v>3</v>
      </c>
    </row>
    <row r="5362" spans="29:120" x14ac:dyDescent="0.25">
      <c r="AC5362" s="122" t="s">
        <v>357</v>
      </c>
      <c r="AD5362" s="122" t="s">
        <v>3708</v>
      </c>
      <c r="AE5362" s="127">
        <v>7</v>
      </c>
      <c r="DA5362" s="122" t="s">
        <v>376</v>
      </c>
      <c r="DB5362" s="122" t="s">
        <v>3880</v>
      </c>
      <c r="DC5362" s="122" t="s">
        <v>3880</v>
      </c>
      <c r="DD5362" s="127">
        <v>4</v>
      </c>
      <c r="DE5362" s="127">
        <v>4</v>
      </c>
      <c r="DG5362" t="s">
        <v>376</v>
      </c>
      <c r="DH5362" t="s">
        <v>3880</v>
      </c>
      <c r="DI5362" s="406" t="str">
        <f t="shared" si="115"/>
        <v>SP, Severínia</v>
      </c>
      <c r="DJ5362">
        <v>-20.809000000000001</v>
      </c>
      <c r="DK5362">
        <v>-48.802999999999997</v>
      </c>
      <c r="DL5362">
        <v>605</v>
      </c>
      <c r="DM5362" s="1">
        <v>4</v>
      </c>
      <c r="DN5362" t="s">
        <v>8721</v>
      </c>
      <c r="DO5362" s="406">
        <v>-21.13</v>
      </c>
      <c r="DP5362" s="80">
        <v>525</v>
      </c>
    </row>
    <row r="5363" spans="29:120" x14ac:dyDescent="0.25">
      <c r="AC5363" s="122" t="s">
        <v>372</v>
      </c>
      <c r="AD5363" s="122" t="s">
        <v>5507</v>
      </c>
      <c r="AE5363" s="127">
        <v>8</v>
      </c>
      <c r="DA5363" s="122" t="s">
        <v>376</v>
      </c>
      <c r="DB5363" s="122" t="s">
        <v>3662</v>
      </c>
      <c r="DC5363" s="122" t="s">
        <v>3662</v>
      </c>
      <c r="DD5363" s="127">
        <v>3</v>
      </c>
      <c r="DE5363" s="127">
        <v>3</v>
      </c>
      <c r="DG5363" t="s">
        <v>376</v>
      </c>
      <c r="DH5363" t="s">
        <v>3662</v>
      </c>
      <c r="DI5363" s="406" t="str">
        <f t="shared" si="115"/>
        <v>SP, Silveiras</v>
      </c>
      <c r="DJ5363">
        <v>-22.664000000000001</v>
      </c>
      <c r="DK5363">
        <v>-44.853000000000002</v>
      </c>
      <c r="DL5363">
        <v>615</v>
      </c>
      <c r="DM5363" s="1">
        <v>3</v>
      </c>
      <c r="DN5363" t="s">
        <v>6837</v>
      </c>
      <c r="DO5363" s="406">
        <v>-22.39</v>
      </c>
      <c r="DP5363" s="80">
        <v>1040</v>
      </c>
    </row>
    <row r="5364" spans="29:120" x14ac:dyDescent="0.25">
      <c r="AC5364" s="122" t="s">
        <v>372</v>
      </c>
      <c r="AD5364" s="122" t="s">
        <v>5508</v>
      </c>
      <c r="AE5364" s="127">
        <v>8</v>
      </c>
      <c r="DA5364" s="122" t="s">
        <v>376</v>
      </c>
      <c r="DB5364" s="122" t="s">
        <v>1017</v>
      </c>
      <c r="DC5364" s="122" t="s">
        <v>1017</v>
      </c>
      <c r="DD5364" s="127">
        <v>3</v>
      </c>
      <c r="DE5364" s="127">
        <v>3</v>
      </c>
      <c r="DG5364" t="s">
        <v>376</v>
      </c>
      <c r="DH5364" t="s">
        <v>1017</v>
      </c>
      <c r="DI5364" s="406" t="str">
        <f t="shared" si="115"/>
        <v>SP, Socorro</v>
      </c>
      <c r="DJ5364">
        <v>-22.591000000000001</v>
      </c>
      <c r="DK5364">
        <v>-46.529000000000003</v>
      </c>
      <c r="DL5364">
        <v>752</v>
      </c>
      <c r="DM5364" s="1">
        <v>3</v>
      </c>
      <c r="DN5364" t="s">
        <v>6808</v>
      </c>
      <c r="DO5364" s="406">
        <v>-22.42</v>
      </c>
      <c r="DP5364" s="80">
        <v>633</v>
      </c>
    </row>
    <row r="5365" spans="29:120" x14ac:dyDescent="0.25">
      <c r="AC5365" s="122" t="s">
        <v>369</v>
      </c>
      <c r="AD5365" s="122" t="s">
        <v>5509</v>
      </c>
      <c r="AE5365" s="127">
        <v>7</v>
      </c>
      <c r="DA5365" s="122" t="s">
        <v>376</v>
      </c>
      <c r="DB5365" s="122" t="s">
        <v>3534</v>
      </c>
      <c r="DC5365" s="122" t="s">
        <v>3534</v>
      </c>
      <c r="DD5365" s="127">
        <v>3</v>
      </c>
      <c r="DE5365" s="127">
        <v>3</v>
      </c>
      <c r="DG5365" t="s">
        <v>376</v>
      </c>
      <c r="DH5365" t="s">
        <v>3534</v>
      </c>
      <c r="DI5365" s="406" t="str">
        <f t="shared" si="115"/>
        <v>SP, Sorocaba</v>
      </c>
      <c r="DJ5365">
        <v>-23.501999999999999</v>
      </c>
      <c r="DK5365">
        <v>-47.457999999999998</v>
      </c>
      <c r="DL5365">
        <v>601</v>
      </c>
      <c r="DM5365" s="1">
        <v>3</v>
      </c>
      <c r="DN5365" t="s">
        <v>8718</v>
      </c>
      <c r="DO5365" s="406">
        <v>-23.5</v>
      </c>
      <c r="DP5365" s="80">
        <v>609</v>
      </c>
    </row>
    <row r="5366" spans="29:120" x14ac:dyDescent="0.25">
      <c r="AC5366" s="122" t="s">
        <v>369</v>
      </c>
      <c r="AD5366" s="122" t="s">
        <v>5510</v>
      </c>
      <c r="AE5366" s="127">
        <v>8</v>
      </c>
      <c r="DA5366" s="122" t="s">
        <v>376</v>
      </c>
      <c r="DB5366" s="122" t="s">
        <v>8915</v>
      </c>
      <c r="DC5366" s="122" t="s">
        <v>3893</v>
      </c>
      <c r="DD5366" s="127">
        <v>6</v>
      </c>
      <c r="DE5366" s="127">
        <v>6</v>
      </c>
      <c r="DG5366" t="s">
        <v>376</v>
      </c>
      <c r="DH5366" t="s">
        <v>3893</v>
      </c>
      <c r="DI5366" s="406" t="str">
        <f t="shared" si="115"/>
        <v>SP, Sud Mennucci</v>
      </c>
      <c r="DJ5366">
        <v>-20.690999999999999</v>
      </c>
      <c r="DK5366">
        <v>-50.923999999999999</v>
      </c>
      <c r="DL5366">
        <v>386</v>
      </c>
      <c r="DM5366" s="1">
        <v>6</v>
      </c>
      <c r="DN5366" t="s">
        <v>6904</v>
      </c>
      <c r="DO5366" s="406">
        <v>-20.27</v>
      </c>
      <c r="DP5366" s="80">
        <v>457</v>
      </c>
    </row>
    <row r="5367" spans="29:120" x14ac:dyDescent="0.25">
      <c r="AC5367" s="122" t="s">
        <v>357</v>
      </c>
      <c r="AD5367" s="122" t="s">
        <v>5511</v>
      </c>
      <c r="AE5367" s="127">
        <v>7</v>
      </c>
      <c r="DA5367" s="122" t="s">
        <v>376</v>
      </c>
      <c r="DB5367" s="122" t="s">
        <v>3993</v>
      </c>
      <c r="DC5367" s="122" t="s">
        <v>3993</v>
      </c>
      <c r="DD5367" s="127">
        <v>3</v>
      </c>
      <c r="DE5367" s="127">
        <v>3</v>
      </c>
      <c r="DG5367" t="s">
        <v>376</v>
      </c>
      <c r="DH5367" t="s">
        <v>3993</v>
      </c>
      <c r="DI5367" s="406" t="str">
        <f t="shared" si="115"/>
        <v>SP, Sumaré</v>
      </c>
      <c r="DJ5367">
        <v>-22.821999999999999</v>
      </c>
      <c r="DK5367">
        <v>-47.267000000000003</v>
      </c>
      <c r="DL5367">
        <v>583</v>
      </c>
      <c r="DM5367" s="1">
        <v>3</v>
      </c>
      <c r="DN5367" t="s">
        <v>8726</v>
      </c>
      <c r="DO5367" s="406">
        <v>-22.82</v>
      </c>
      <c r="DP5367" s="80">
        <v>640</v>
      </c>
    </row>
    <row r="5368" spans="29:120" x14ac:dyDescent="0.25">
      <c r="AC5368" s="122" t="s">
        <v>357</v>
      </c>
      <c r="AD5368" s="122" t="s">
        <v>5512</v>
      </c>
      <c r="AE5368" s="127">
        <v>7</v>
      </c>
      <c r="DA5368" s="122" t="s">
        <v>376</v>
      </c>
      <c r="DB5368" s="122" t="s">
        <v>3866</v>
      </c>
      <c r="DC5368" s="122" t="s">
        <v>3866</v>
      </c>
      <c r="DD5368" s="127">
        <v>6</v>
      </c>
      <c r="DE5368" s="127">
        <v>6</v>
      </c>
      <c r="DG5368" t="s">
        <v>376</v>
      </c>
      <c r="DH5368" t="s">
        <v>3866</v>
      </c>
      <c r="DI5368" s="406" t="str">
        <f t="shared" si="115"/>
        <v>SP, Suzanápolis</v>
      </c>
      <c r="DJ5368">
        <v>-20.501000000000001</v>
      </c>
      <c r="DK5368">
        <v>-51.024999999999999</v>
      </c>
      <c r="DL5368">
        <v>350</v>
      </c>
      <c r="DM5368" s="1">
        <v>6</v>
      </c>
      <c r="DN5368" t="s">
        <v>6904</v>
      </c>
      <c r="DO5368" s="406">
        <v>-20.27</v>
      </c>
      <c r="DP5368" s="80">
        <v>457</v>
      </c>
    </row>
    <row r="5369" spans="29:120" x14ac:dyDescent="0.25">
      <c r="AC5369" s="122" t="s">
        <v>340</v>
      </c>
      <c r="AD5369" s="122" t="s">
        <v>5513</v>
      </c>
      <c r="AE5369" s="127">
        <v>8</v>
      </c>
      <c r="DA5369" s="122" t="s">
        <v>376</v>
      </c>
      <c r="DB5369" s="122" t="s">
        <v>807</v>
      </c>
      <c r="DC5369" s="122" t="s">
        <v>807</v>
      </c>
      <c r="DD5369" s="127">
        <v>3</v>
      </c>
      <c r="DE5369" s="127">
        <v>3</v>
      </c>
      <c r="DG5369" t="s">
        <v>376</v>
      </c>
      <c r="DH5369" t="s">
        <v>807</v>
      </c>
      <c r="DI5369" s="406" t="str">
        <f t="shared" si="115"/>
        <v>SP, Suzano</v>
      </c>
      <c r="DJ5369">
        <v>-23.542999999999999</v>
      </c>
      <c r="DK5369">
        <v>-46.311</v>
      </c>
      <c r="DL5369">
        <v>738</v>
      </c>
      <c r="DM5369" s="1">
        <v>3</v>
      </c>
      <c r="DN5369" t="s">
        <v>8735</v>
      </c>
      <c r="DO5369" s="406">
        <v>-23.85</v>
      </c>
      <c r="DP5369" s="80">
        <v>792</v>
      </c>
    </row>
    <row r="5370" spans="29:120" x14ac:dyDescent="0.25">
      <c r="AC5370" s="122" t="s">
        <v>289</v>
      </c>
      <c r="AD5370" s="122" t="s">
        <v>4448</v>
      </c>
      <c r="AE5370" s="127">
        <v>6</v>
      </c>
      <c r="DA5370" s="122" t="s">
        <v>376</v>
      </c>
      <c r="DB5370" s="122" t="s">
        <v>3685</v>
      </c>
      <c r="DC5370" s="122" t="s">
        <v>3685</v>
      </c>
      <c r="DD5370" s="127">
        <v>6</v>
      </c>
      <c r="DE5370" s="127">
        <v>6</v>
      </c>
      <c r="DG5370" t="s">
        <v>376</v>
      </c>
      <c r="DH5370" t="s">
        <v>3685</v>
      </c>
      <c r="DI5370" s="406" t="str">
        <f t="shared" si="115"/>
        <v>SP, Tabapuã</v>
      </c>
      <c r="DJ5370">
        <v>-20.963999999999999</v>
      </c>
      <c r="DK5370">
        <v>-49.031999999999996</v>
      </c>
      <c r="DL5370">
        <v>516</v>
      </c>
      <c r="DM5370" s="1">
        <v>6</v>
      </c>
      <c r="DN5370" t="s">
        <v>8721</v>
      </c>
      <c r="DO5370" s="406">
        <v>-21.13</v>
      </c>
      <c r="DP5370" s="80">
        <v>525</v>
      </c>
    </row>
    <row r="5371" spans="29:120" x14ac:dyDescent="0.25">
      <c r="AC5371" s="122" t="s">
        <v>289</v>
      </c>
      <c r="AD5371" s="122" t="s">
        <v>5514</v>
      </c>
      <c r="AE5371" s="127">
        <v>6</v>
      </c>
      <c r="DA5371" s="122" t="s">
        <v>376</v>
      </c>
      <c r="DB5371" s="122" t="s">
        <v>3833</v>
      </c>
      <c r="DC5371" s="122" t="s">
        <v>3833</v>
      </c>
      <c r="DD5371" s="127">
        <v>4</v>
      </c>
      <c r="DE5371" s="127">
        <v>4</v>
      </c>
      <c r="DG5371" t="s">
        <v>376</v>
      </c>
      <c r="DH5371" t="s">
        <v>3833</v>
      </c>
      <c r="DI5371" s="406" t="str">
        <f t="shared" si="115"/>
        <v>SP, Tabatinga</v>
      </c>
      <c r="DJ5371">
        <v>-21.716999999999999</v>
      </c>
      <c r="DK5371">
        <v>-48.688000000000002</v>
      </c>
      <c r="DL5371">
        <v>490</v>
      </c>
      <c r="DM5371" s="1">
        <v>4</v>
      </c>
      <c r="DN5371" t="s">
        <v>8733</v>
      </c>
      <c r="DO5371" s="406">
        <v>-21.86</v>
      </c>
      <c r="DP5371" s="80">
        <v>492</v>
      </c>
    </row>
    <row r="5372" spans="29:120" x14ac:dyDescent="0.25">
      <c r="AC5372" s="122" t="s">
        <v>289</v>
      </c>
      <c r="AD5372" s="122" t="s">
        <v>5515</v>
      </c>
      <c r="AE5372" s="127">
        <v>6</v>
      </c>
      <c r="DA5372" s="122" t="s">
        <v>376</v>
      </c>
      <c r="DB5372" s="122" t="s">
        <v>8916</v>
      </c>
      <c r="DC5372" s="122" t="s">
        <v>449</v>
      </c>
      <c r="DD5372" s="127">
        <v>3</v>
      </c>
      <c r="DE5372" s="127">
        <v>3</v>
      </c>
      <c r="DG5372" t="s">
        <v>376</v>
      </c>
      <c r="DH5372" t="s">
        <v>449</v>
      </c>
      <c r="DI5372" s="406" t="str">
        <f t="shared" si="115"/>
        <v>SP, Taboão da Serra</v>
      </c>
      <c r="DJ5372">
        <v>-23.602</v>
      </c>
      <c r="DK5372">
        <v>-46.753</v>
      </c>
      <c r="DL5372">
        <v>747</v>
      </c>
      <c r="DM5372" s="1">
        <v>3</v>
      </c>
      <c r="DN5372" t="s">
        <v>8735</v>
      </c>
      <c r="DO5372" s="406">
        <v>-23.85</v>
      </c>
      <c r="DP5372" s="80">
        <v>792</v>
      </c>
    </row>
    <row r="5373" spans="29:120" x14ac:dyDescent="0.25">
      <c r="AC5373" s="122" t="s">
        <v>322</v>
      </c>
      <c r="AD5373" s="122" t="s">
        <v>5516</v>
      </c>
      <c r="AE5373" s="127">
        <v>7</v>
      </c>
      <c r="DA5373" s="122" t="s">
        <v>376</v>
      </c>
      <c r="DB5373" s="122" t="s">
        <v>3723</v>
      </c>
      <c r="DC5373" s="122" t="s">
        <v>3723</v>
      </c>
      <c r="DD5373" s="127">
        <v>6</v>
      </c>
      <c r="DE5373" s="127">
        <v>6</v>
      </c>
      <c r="DG5373" t="s">
        <v>376</v>
      </c>
      <c r="DH5373" t="s">
        <v>3723</v>
      </c>
      <c r="DI5373" s="406" t="str">
        <f t="shared" si="115"/>
        <v>SP, Taciba</v>
      </c>
      <c r="DJ5373">
        <v>-22.39</v>
      </c>
      <c r="DK5373">
        <v>-51.284999999999997</v>
      </c>
      <c r="DL5373">
        <v>416</v>
      </c>
      <c r="DM5373" s="1">
        <v>6</v>
      </c>
      <c r="DN5373" t="s">
        <v>8720</v>
      </c>
      <c r="DO5373" s="406">
        <v>-22.13</v>
      </c>
      <c r="DP5373" s="80">
        <v>436</v>
      </c>
    </row>
    <row r="5374" spans="29:120" x14ac:dyDescent="0.25">
      <c r="AC5374" s="122" t="s">
        <v>357</v>
      </c>
      <c r="AD5374" s="122" t="s">
        <v>5517</v>
      </c>
      <c r="AE5374" s="127">
        <v>7</v>
      </c>
      <c r="DA5374" s="122" t="s">
        <v>376</v>
      </c>
      <c r="DB5374" s="122" t="s">
        <v>1781</v>
      </c>
      <c r="DC5374" s="122" t="s">
        <v>1781</v>
      </c>
      <c r="DD5374" s="127">
        <v>3</v>
      </c>
      <c r="DE5374" s="127">
        <v>3</v>
      </c>
      <c r="DG5374" t="s">
        <v>376</v>
      </c>
      <c r="DH5374" t="s">
        <v>1781</v>
      </c>
      <c r="DI5374" s="406" t="str">
        <f t="shared" si="115"/>
        <v>SP, Taguaí</v>
      </c>
      <c r="DJ5374">
        <v>-23.452000000000002</v>
      </c>
      <c r="DK5374">
        <v>-49.408999999999999</v>
      </c>
      <c r="DL5374">
        <v>575</v>
      </c>
      <c r="DM5374" s="1">
        <v>3</v>
      </c>
      <c r="DN5374" t="s">
        <v>7859</v>
      </c>
      <c r="DO5374" s="406">
        <v>-23.5</v>
      </c>
      <c r="DP5374" s="80">
        <v>522</v>
      </c>
    </row>
    <row r="5375" spans="29:120" x14ac:dyDescent="0.25">
      <c r="AC5375" s="122" t="s">
        <v>372</v>
      </c>
      <c r="AD5375" s="122" t="s">
        <v>4329</v>
      </c>
      <c r="AE5375" s="127">
        <v>8</v>
      </c>
      <c r="DA5375" s="122" t="s">
        <v>376</v>
      </c>
      <c r="DB5375" s="122" t="s">
        <v>3883</v>
      </c>
      <c r="DC5375" s="122" t="s">
        <v>3883</v>
      </c>
      <c r="DD5375" s="127">
        <v>4</v>
      </c>
      <c r="DE5375" s="127">
        <v>4</v>
      </c>
      <c r="DG5375" t="s">
        <v>376</v>
      </c>
      <c r="DH5375" t="s">
        <v>3883</v>
      </c>
      <c r="DI5375" s="406" t="str">
        <f t="shared" si="115"/>
        <v>SP, Taiaçu</v>
      </c>
      <c r="DJ5375">
        <v>-21.143999999999998</v>
      </c>
      <c r="DK5375">
        <v>-48.512999999999998</v>
      </c>
      <c r="DL5375">
        <v>565</v>
      </c>
      <c r="DM5375" s="1">
        <v>4</v>
      </c>
      <c r="DN5375" t="s">
        <v>8721</v>
      </c>
      <c r="DO5375" s="406">
        <v>-21.13</v>
      </c>
      <c r="DP5375" s="80">
        <v>525</v>
      </c>
    </row>
    <row r="5376" spans="29:120" x14ac:dyDescent="0.25">
      <c r="AC5376" s="122" t="s">
        <v>322</v>
      </c>
      <c r="AD5376" s="122" t="s">
        <v>5518</v>
      </c>
      <c r="AE5376" s="127">
        <v>6</v>
      </c>
      <c r="DA5376" s="122" t="s">
        <v>376</v>
      </c>
      <c r="DB5376" s="122" t="s">
        <v>3912</v>
      </c>
      <c r="DC5376" s="122" t="s">
        <v>3912</v>
      </c>
      <c r="DD5376" s="127">
        <v>4</v>
      </c>
      <c r="DE5376" s="127">
        <v>4</v>
      </c>
      <c r="DG5376" t="s">
        <v>376</v>
      </c>
      <c r="DH5376" t="s">
        <v>3912</v>
      </c>
      <c r="DI5376" s="406" t="str">
        <f t="shared" si="115"/>
        <v>SP, Taiúva</v>
      </c>
      <c r="DJ5376">
        <v>-21.123999999999999</v>
      </c>
      <c r="DK5376">
        <v>-48.451999999999998</v>
      </c>
      <c r="DL5376">
        <v>630</v>
      </c>
      <c r="DM5376" s="1">
        <v>4</v>
      </c>
      <c r="DN5376" t="s">
        <v>8721</v>
      </c>
      <c r="DO5376" s="406">
        <v>-21.13</v>
      </c>
      <c r="DP5376" s="80">
        <v>525</v>
      </c>
    </row>
    <row r="5377" spans="29:120" x14ac:dyDescent="0.25">
      <c r="AC5377" s="122" t="s">
        <v>357</v>
      </c>
      <c r="AD5377" s="122" t="s">
        <v>5519</v>
      </c>
      <c r="AE5377" s="127">
        <v>7</v>
      </c>
      <c r="DA5377" s="122" t="s">
        <v>376</v>
      </c>
      <c r="DB5377" s="122" t="s">
        <v>3583</v>
      </c>
      <c r="DC5377" s="122" t="s">
        <v>3583</v>
      </c>
      <c r="DD5377" s="127">
        <v>4</v>
      </c>
      <c r="DE5377" s="127">
        <v>4</v>
      </c>
      <c r="DG5377" t="s">
        <v>376</v>
      </c>
      <c r="DH5377" t="s">
        <v>3583</v>
      </c>
      <c r="DI5377" s="406" t="str">
        <f t="shared" si="115"/>
        <v>SP, Tambaú</v>
      </c>
      <c r="DJ5377">
        <v>-21.704999999999998</v>
      </c>
      <c r="DK5377">
        <v>-47.274000000000001</v>
      </c>
      <c r="DL5377">
        <v>698</v>
      </c>
      <c r="DM5377" s="1">
        <v>4</v>
      </c>
      <c r="DN5377" t="s">
        <v>6833</v>
      </c>
      <c r="DO5377" s="406">
        <v>-21.77</v>
      </c>
      <c r="DP5377" s="80">
        <v>730</v>
      </c>
    </row>
    <row r="5378" spans="29:120" x14ac:dyDescent="0.25">
      <c r="AC5378" s="122" t="s">
        <v>357</v>
      </c>
      <c r="AD5378" s="122" t="s">
        <v>5520</v>
      </c>
      <c r="AE5378" s="127">
        <v>7</v>
      </c>
      <c r="DA5378" s="122" t="s">
        <v>376</v>
      </c>
      <c r="DB5378" s="122" t="s">
        <v>3980</v>
      </c>
      <c r="DC5378" s="122" t="s">
        <v>3980</v>
      </c>
      <c r="DD5378" s="127">
        <v>6</v>
      </c>
      <c r="DE5378" s="127">
        <v>6</v>
      </c>
      <c r="DG5378" t="s">
        <v>376</v>
      </c>
      <c r="DH5378" t="s">
        <v>3980</v>
      </c>
      <c r="DI5378" s="406" t="str">
        <f t="shared" si="115"/>
        <v>SP, Tanabi</v>
      </c>
      <c r="DJ5378">
        <v>-20.626000000000001</v>
      </c>
      <c r="DK5378">
        <v>-49.649000000000001</v>
      </c>
      <c r="DL5378">
        <v>518</v>
      </c>
      <c r="DM5378" s="1">
        <v>6</v>
      </c>
      <c r="DN5378" t="s">
        <v>6984</v>
      </c>
      <c r="DO5378" s="406">
        <v>-20.420000000000002</v>
      </c>
      <c r="DP5378" s="80">
        <v>486</v>
      </c>
    </row>
    <row r="5379" spans="29:120" x14ac:dyDescent="0.25">
      <c r="AC5379" s="122" t="s">
        <v>289</v>
      </c>
      <c r="AD5379" s="122" t="s">
        <v>5521</v>
      </c>
      <c r="AE5379" s="127">
        <v>7</v>
      </c>
      <c r="DA5379" s="122" t="s">
        <v>376</v>
      </c>
      <c r="DB5379" s="122" t="s">
        <v>1767</v>
      </c>
      <c r="DC5379" s="122" t="s">
        <v>1767</v>
      </c>
      <c r="DD5379" s="127">
        <v>3</v>
      </c>
      <c r="DE5379" s="127">
        <v>3</v>
      </c>
      <c r="DG5379" t="s">
        <v>376</v>
      </c>
      <c r="DH5379" t="s">
        <v>1767</v>
      </c>
      <c r="DI5379" s="406" t="str">
        <f t="shared" ref="DI5379:DI5442" si="116">CONCATENATE(DG5379,", ",DH5379)</f>
        <v>SP, Tapiraí</v>
      </c>
      <c r="DJ5379">
        <v>-23.963999999999999</v>
      </c>
      <c r="DK5379">
        <v>-47.506999999999998</v>
      </c>
      <c r="DL5379">
        <v>875</v>
      </c>
      <c r="DM5379" s="1">
        <v>3</v>
      </c>
      <c r="DN5379" t="s">
        <v>8718</v>
      </c>
      <c r="DO5379" s="406">
        <v>-23.5</v>
      </c>
      <c r="DP5379" s="80">
        <v>609</v>
      </c>
    </row>
    <row r="5380" spans="29:120" x14ac:dyDescent="0.25">
      <c r="AC5380" s="122" t="s">
        <v>323</v>
      </c>
      <c r="AD5380" s="122" t="s">
        <v>5522</v>
      </c>
      <c r="AE5380" s="127">
        <v>6</v>
      </c>
      <c r="DA5380" s="122" t="s">
        <v>376</v>
      </c>
      <c r="DB5380" s="122" t="s">
        <v>932</v>
      </c>
      <c r="DC5380" s="122" t="s">
        <v>932</v>
      </c>
      <c r="DD5380" s="127">
        <v>3</v>
      </c>
      <c r="DE5380" s="127">
        <v>3</v>
      </c>
      <c r="DG5380" t="s">
        <v>376</v>
      </c>
      <c r="DH5380" t="s">
        <v>932</v>
      </c>
      <c r="DI5380" s="406" t="str">
        <f t="shared" si="116"/>
        <v>SP, Tapiratiba</v>
      </c>
      <c r="DJ5380">
        <v>-21.468</v>
      </c>
      <c r="DK5380">
        <v>-46.749000000000002</v>
      </c>
      <c r="DL5380">
        <v>760</v>
      </c>
      <c r="DM5380" s="1">
        <v>3</v>
      </c>
      <c r="DN5380" t="s">
        <v>6833</v>
      </c>
      <c r="DO5380" s="406">
        <v>-21.77</v>
      </c>
      <c r="DP5380" s="80">
        <v>730</v>
      </c>
    </row>
    <row r="5381" spans="29:120" x14ac:dyDescent="0.25">
      <c r="AC5381" s="122" t="s">
        <v>357</v>
      </c>
      <c r="AD5381" s="122" t="s">
        <v>5523</v>
      </c>
      <c r="AE5381" s="127">
        <v>7</v>
      </c>
      <c r="DA5381" s="122" t="s">
        <v>376</v>
      </c>
      <c r="DB5381" s="122" t="s">
        <v>3931</v>
      </c>
      <c r="DC5381" s="122" t="s">
        <v>3931</v>
      </c>
      <c r="DD5381" s="127">
        <v>4</v>
      </c>
      <c r="DE5381" s="127">
        <v>4</v>
      </c>
      <c r="DG5381" t="s">
        <v>376</v>
      </c>
      <c r="DH5381" t="s">
        <v>3931</v>
      </c>
      <c r="DI5381" s="406" t="str">
        <f t="shared" si="116"/>
        <v>SP, Taquaral</v>
      </c>
      <c r="DJ5381">
        <v>-21.071999999999999</v>
      </c>
      <c r="DK5381">
        <v>-48.41</v>
      </c>
      <c r="DL5381">
        <v>639</v>
      </c>
      <c r="DM5381" s="1">
        <v>4</v>
      </c>
      <c r="DN5381" t="s">
        <v>8721</v>
      </c>
      <c r="DO5381" s="406">
        <v>-21.13</v>
      </c>
      <c r="DP5381" s="80">
        <v>525</v>
      </c>
    </row>
    <row r="5382" spans="29:120" x14ac:dyDescent="0.25">
      <c r="AC5382" s="122" t="s">
        <v>357</v>
      </c>
      <c r="AD5382" s="122" t="s">
        <v>5524</v>
      </c>
      <c r="AE5382" s="127">
        <v>7</v>
      </c>
      <c r="DA5382" s="122" t="s">
        <v>376</v>
      </c>
      <c r="DB5382" s="122" t="s">
        <v>3717</v>
      </c>
      <c r="DC5382" s="122" t="s">
        <v>3717</v>
      </c>
      <c r="DD5382" s="127">
        <v>4</v>
      </c>
      <c r="DE5382" s="127">
        <v>4</v>
      </c>
      <c r="DG5382" t="s">
        <v>376</v>
      </c>
      <c r="DH5382" t="s">
        <v>3717</v>
      </c>
      <c r="DI5382" s="406" t="str">
        <f t="shared" si="116"/>
        <v>SP, Taquaritinga</v>
      </c>
      <c r="DJ5382">
        <v>-21.405999999999999</v>
      </c>
      <c r="DK5382">
        <v>-48.505000000000003</v>
      </c>
      <c r="DL5382">
        <v>565</v>
      </c>
      <c r="DM5382" s="1">
        <v>4</v>
      </c>
      <c r="DN5382" t="s">
        <v>8721</v>
      </c>
      <c r="DO5382" s="406">
        <v>-21.13</v>
      </c>
      <c r="DP5382" s="80">
        <v>525</v>
      </c>
    </row>
    <row r="5383" spans="29:120" x14ac:dyDescent="0.25">
      <c r="AC5383" s="122" t="s">
        <v>357</v>
      </c>
      <c r="AD5383" s="122" t="s">
        <v>5525</v>
      </c>
      <c r="AE5383" s="127">
        <v>7</v>
      </c>
      <c r="DA5383" s="122" t="s">
        <v>376</v>
      </c>
      <c r="DB5383" s="122" t="s">
        <v>1775</v>
      </c>
      <c r="DC5383" s="122" t="s">
        <v>1775</v>
      </c>
      <c r="DD5383" s="127">
        <v>3</v>
      </c>
      <c r="DE5383" s="127">
        <v>3</v>
      </c>
      <c r="DG5383" t="s">
        <v>376</v>
      </c>
      <c r="DH5383" t="s">
        <v>1775</v>
      </c>
      <c r="DI5383" s="406" t="str">
        <f t="shared" si="116"/>
        <v>SP, Taquarituba</v>
      </c>
      <c r="DJ5383">
        <v>-23.533000000000001</v>
      </c>
      <c r="DK5383">
        <v>-49.244</v>
      </c>
      <c r="DL5383">
        <v>618</v>
      </c>
      <c r="DM5383" s="1">
        <v>3</v>
      </c>
      <c r="DN5383" t="s">
        <v>8714</v>
      </c>
      <c r="DO5383" s="406">
        <v>-23.1</v>
      </c>
      <c r="DP5383" s="80">
        <v>654</v>
      </c>
    </row>
    <row r="5384" spans="29:120" x14ac:dyDescent="0.25">
      <c r="AC5384" s="122" t="s">
        <v>357</v>
      </c>
      <c r="AD5384" s="122" t="s">
        <v>5526</v>
      </c>
      <c r="AE5384" s="127">
        <v>7</v>
      </c>
      <c r="DA5384" s="122" t="s">
        <v>376</v>
      </c>
      <c r="DB5384" s="122" t="s">
        <v>944</v>
      </c>
      <c r="DC5384" s="122" t="s">
        <v>944</v>
      </c>
      <c r="DD5384" s="127">
        <v>3</v>
      </c>
      <c r="DE5384" s="127">
        <v>3</v>
      </c>
      <c r="DG5384" t="s">
        <v>376</v>
      </c>
      <c r="DH5384" t="s">
        <v>944</v>
      </c>
      <c r="DI5384" s="406" t="str">
        <f t="shared" si="116"/>
        <v>SP, Taquarivaí</v>
      </c>
      <c r="DJ5384">
        <v>-23.923999999999999</v>
      </c>
      <c r="DK5384">
        <v>-48.692999999999998</v>
      </c>
      <c r="DL5384">
        <v>555</v>
      </c>
      <c r="DM5384" s="1">
        <v>3</v>
      </c>
      <c r="DN5384" t="s">
        <v>7807</v>
      </c>
      <c r="DO5384" s="406">
        <v>-23.98</v>
      </c>
      <c r="DP5384" s="80">
        <v>707</v>
      </c>
    </row>
    <row r="5385" spans="29:120" x14ac:dyDescent="0.25">
      <c r="AC5385" s="122" t="s">
        <v>357</v>
      </c>
      <c r="AD5385" s="122" t="s">
        <v>5527</v>
      </c>
      <c r="AE5385" s="127">
        <v>7</v>
      </c>
      <c r="DA5385" s="122" t="s">
        <v>376</v>
      </c>
      <c r="DB5385" s="122" t="s">
        <v>3701</v>
      </c>
      <c r="DC5385" s="122" t="s">
        <v>3701</v>
      </c>
      <c r="DD5385" s="127">
        <v>4</v>
      </c>
      <c r="DE5385" s="127">
        <v>4</v>
      </c>
      <c r="DG5385" t="s">
        <v>376</v>
      </c>
      <c r="DH5385" t="s">
        <v>5797</v>
      </c>
      <c r="DI5385" s="406" t="str">
        <f t="shared" si="116"/>
        <v>SP, Tarabai</v>
      </c>
      <c r="DJ5385">
        <v>-22.303000000000001</v>
      </c>
      <c r="DK5385">
        <v>-51.558999999999997</v>
      </c>
      <c r="DL5385">
        <v>445</v>
      </c>
      <c r="DM5385" s="1">
        <v>4</v>
      </c>
      <c r="DN5385" t="s">
        <v>8720</v>
      </c>
      <c r="DO5385" s="406">
        <v>-22.13</v>
      </c>
      <c r="DP5385" s="80">
        <v>436</v>
      </c>
    </row>
    <row r="5386" spans="29:120" x14ac:dyDescent="0.25">
      <c r="AC5386" s="122" t="s">
        <v>357</v>
      </c>
      <c r="AD5386" s="122" t="s">
        <v>5528</v>
      </c>
      <c r="AE5386" s="127">
        <v>7</v>
      </c>
      <c r="DA5386" s="122" t="s">
        <v>376</v>
      </c>
      <c r="DB5386" s="122" t="s">
        <v>4049</v>
      </c>
      <c r="DC5386" s="122" t="s">
        <v>4049</v>
      </c>
      <c r="DD5386" s="127">
        <v>3</v>
      </c>
      <c r="DE5386" s="127">
        <v>3</v>
      </c>
      <c r="DG5386" t="s">
        <v>376</v>
      </c>
      <c r="DH5386" t="s">
        <v>4049</v>
      </c>
      <c r="DI5386" s="406" t="str">
        <f t="shared" si="116"/>
        <v>SP, Tarumã</v>
      </c>
      <c r="DJ5386">
        <v>-22.747</v>
      </c>
      <c r="DK5386">
        <v>-50.576999999999998</v>
      </c>
      <c r="DL5386">
        <v>441</v>
      </c>
      <c r="DM5386" s="1">
        <v>3</v>
      </c>
      <c r="DN5386" t="s">
        <v>7819</v>
      </c>
      <c r="DO5386" s="406">
        <v>-22.37</v>
      </c>
      <c r="DP5386" s="80">
        <v>350</v>
      </c>
    </row>
    <row r="5387" spans="29:120" x14ac:dyDescent="0.25">
      <c r="AC5387" s="122" t="s">
        <v>247</v>
      </c>
      <c r="AD5387" s="122" t="s">
        <v>5529</v>
      </c>
      <c r="AE5387" s="127">
        <v>8</v>
      </c>
      <c r="DA5387" s="122" t="s">
        <v>376</v>
      </c>
      <c r="DB5387" s="122" t="s">
        <v>1778</v>
      </c>
      <c r="DC5387" s="122" t="s">
        <v>1778</v>
      </c>
      <c r="DD5387" s="127">
        <v>3</v>
      </c>
      <c r="DE5387" s="127">
        <v>3</v>
      </c>
      <c r="DG5387" t="s">
        <v>376</v>
      </c>
      <c r="DH5387" t="s">
        <v>1778</v>
      </c>
      <c r="DI5387" s="406" t="str">
        <f t="shared" si="116"/>
        <v>SP, Tatuí</v>
      </c>
      <c r="DJ5387">
        <v>-23.356000000000002</v>
      </c>
      <c r="DK5387">
        <v>-47.856999999999999</v>
      </c>
      <c r="DL5387">
        <v>645</v>
      </c>
      <c r="DM5387" s="1">
        <v>3</v>
      </c>
      <c r="DN5387" t="s">
        <v>8718</v>
      </c>
      <c r="DO5387" s="406">
        <v>-23.5</v>
      </c>
      <c r="DP5387" s="80">
        <v>609</v>
      </c>
    </row>
    <row r="5388" spans="29:120" x14ac:dyDescent="0.25">
      <c r="AC5388" s="122" t="s">
        <v>333</v>
      </c>
      <c r="AD5388" s="122" t="s">
        <v>5530</v>
      </c>
      <c r="AE5388" s="127">
        <v>6</v>
      </c>
      <c r="DA5388" s="122" t="s">
        <v>376</v>
      </c>
      <c r="DB5388" s="122" t="s">
        <v>3527</v>
      </c>
      <c r="DC5388" s="122" t="s">
        <v>3527</v>
      </c>
      <c r="DD5388" s="127">
        <v>3</v>
      </c>
      <c r="DE5388" s="127">
        <v>3</v>
      </c>
      <c r="DG5388" t="s">
        <v>376</v>
      </c>
      <c r="DH5388" t="s">
        <v>3527</v>
      </c>
      <c r="DI5388" s="406" t="str">
        <f t="shared" si="116"/>
        <v>SP, Taubaté</v>
      </c>
      <c r="DJ5388">
        <v>-23.026</v>
      </c>
      <c r="DK5388">
        <v>-45.555</v>
      </c>
      <c r="DL5388">
        <v>580</v>
      </c>
      <c r="DM5388" s="1">
        <v>3</v>
      </c>
      <c r="DN5388" t="s">
        <v>8748</v>
      </c>
      <c r="DO5388" s="406">
        <v>-23.03</v>
      </c>
      <c r="DP5388" s="80">
        <v>571</v>
      </c>
    </row>
    <row r="5389" spans="29:120" x14ac:dyDescent="0.25">
      <c r="AC5389" s="122" t="s">
        <v>357</v>
      </c>
      <c r="AD5389" s="122" t="s">
        <v>5531</v>
      </c>
      <c r="AE5389" s="127">
        <v>8</v>
      </c>
      <c r="DA5389" s="122" t="s">
        <v>376</v>
      </c>
      <c r="DB5389" s="122" t="s">
        <v>1076</v>
      </c>
      <c r="DC5389" s="122" t="s">
        <v>1076</v>
      </c>
      <c r="DD5389" s="127">
        <v>3</v>
      </c>
      <c r="DE5389" s="127">
        <v>3</v>
      </c>
      <c r="DG5389" t="s">
        <v>376</v>
      </c>
      <c r="DH5389" t="s">
        <v>1076</v>
      </c>
      <c r="DI5389" s="406" t="str">
        <f t="shared" si="116"/>
        <v>SP, Tejupá</v>
      </c>
      <c r="DJ5389">
        <v>-23.343</v>
      </c>
      <c r="DK5389">
        <v>-49.375999999999998</v>
      </c>
      <c r="DL5389">
        <v>765</v>
      </c>
      <c r="DM5389" s="1">
        <v>3</v>
      </c>
      <c r="DN5389" t="s">
        <v>8714</v>
      </c>
      <c r="DO5389" s="406">
        <v>-23.1</v>
      </c>
      <c r="DP5389" s="80">
        <v>654</v>
      </c>
    </row>
    <row r="5390" spans="29:120" x14ac:dyDescent="0.25">
      <c r="AC5390" s="122" t="s">
        <v>333</v>
      </c>
      <c r="AD5390" s="122" t="s">
        <v>4975</v>
      </c>
      <c r="AE5390" s="127">
        <v>6</v>
      </c>
      <c r="DA5390" s="122" t="s">
        <v>376</v>
      </c>
      <c r="DB5390" s="122" t="s">
        <v>6393</v>
      </c>
      <c r="DC5390" s="122" t="s">
        <v>2095</v>
      </c>
      <c r="DD5390" s="127">
        <v>3</v>
      </c>
      <c r="DE5390" s="127">
        <v>3</v>
      </c>
      <c r="DG5390" t="s">
        <v>376</v>
      </c>
      <c r="DH5390" t="s">
        <v>2095</v>
      </c>
      <c r="DI5390" s="406" t="str">
        <f t="shared" si="116"/>
        <v>SP, Teodoro Sampaio</v>
      </c>
      <c r="DJ5390">
        <v>-22.533000000000001</v>
      </c>
      <c r="DK5390">
        <v>-52.167999999999999</v>
      </c>
      <c r="DL5390">
        <v>321</v>
      </c>
      <c r="DM5390" s="1">
        <v>3</v>
      </c>
      <c r="DN5390" t="s">
        <v>7264</v>
      </c>
      <c r="DO5390" s="406">
        <v>-22.49</v>
      </c>
      <c r="DP5390" s="80">
        <v>311</v>
      </c>
    </row>
    <row r="5391" spans="29:120" x14ac:dyDescent="0.25">
      <c r="AC5391" s="122" t="s">
        <v>357</v>
      </c>
      <c r="AD5391" s="122" t="s">
        <v>5532</v>
      </c>
      <c r="AE5391" s="127">
        <v>7</v>
      </c>
      <c r="DA5391" s="122" t="s">
        <v>376</v>
      </c>
      <c r="DB5391" s="122" t="s">
        <v>8012</v>
      </c>
      <c r="DC5391" s="122" t="s">
        <v>3129</v>
      </c>
      <c r="DD5391" s="127">
        <v>4</v>
      </c>
      <c r="DE5391" s="127">
        <v>4</v>
      </c>
      <c r="DG5391" t="s">
        <v>376</v>
      </c>
      <c r="DH5391" t="s">
        <v>3129</v>
      </c>
      <c r="DI5391" s="406" t="str">
        <f t="shared" si="116"/>
        <v>SP, Terra Roxa</v>
      </c>
      <c r="DJ5391">
        <v>-20.789000000000001</v>
      </c>
      <c r="DK5391">
        <v>-48.33</v>
      </c>
      <c r="DL5391">
        <v>494</v>
      </c>
      <c r="DM5391" s="1">
        <v>4</v>
      </c>
      <c r="DN5391" t="s">
        <v>8721</v>
      </c>
      <c r="DO5391" s="406">
        <v>-21.13</v>
      </c>
      <c r="DP5391" s="80">
        <v>525</v>
      </c>
    </row>
    <row r="5392" spans="29:120" x14ac:dyDescent="0.25">
      <c r="AC5392" s="122" t="s">
        <v>357</v>
      </c>
      <c r="AD5392" s="122" t="s">
        <v>5533</v>
      </c>
      <c r="AE5392" s="127">
        <v>7</v>
      </c>
      <c r="DA5392" s="122" t="s">
        <v>376</v>
      </c>
      <c r="DB5392" s="122" t="s">
        <v>1776</v>
      </c>
      <c r="DC5392" s="122" t="s">
        <v>1776</v>
      </c>
      <c r="DD5392" s="127">
        <v>3</v>
      </c>
      <c r="DE5392" s="127">
        <v>3</v>
      </c>
      <c r="DG5392" t="s">
        <v>376</v>
      </c>
      <c r="DH5392" t="s">
        <v>1776</v>
      </c>
      <c r="DI5392" s="406" t="str">
        <f t="shared" si="116"/>
        <v>SP, Tietê</v>
      </c>
      <c r="DJ5392">
        <v>-23.102</v>
      </c>
      <c r="DK5392">
        <v>-47.715000000000003</v>
      </c>
      <c r="DL5392">
        <v>508</v>
      </c>
      <c r="DM5392" s="1">
        <v>3</v>
      </c>
      <c r="DN5392" t="s">
        <v>8716</v>
      </c>
      <c r="DO5392" s="406">
        <v>-22.73</v>
      </c>
      <c r="DP5392" s="80">
        <v>573</v>
      </c>
    </row>
    <row r="5393" spans="29:120" x14ac:dyDescent="0.25">
      <c r="AC5393" s="122" t="s">
        <v>372</v>
      </c>
      <c r="AD5393" s="122" t="s">
        <v>5534</v>
      </c>
      <c r="AE5393" s="127">
        <v>8</v>
      </c>
      <c r="DA5393" s="122" t="s">
        <v>376</v>
      </c>
      <c r="DB5393" s="122" t="s">
        <v>1070</v>
      </c>
      <c r="DC5393" s="122" t="s">
        <v>1070</v>
      </c>
      <c r="DD5393" s="127">
        <v>3</v>
      </c>
      <c r="DE5393" s="127">
        <v>3</v>
      </c>
      <c r="DG5393" t="s">
        <v>376</v>
      </c>
      <c r="DH5393" t="s">
        <v>1070</v>
      </c>
      <c r="DI5393" s="406" t="str">
        <f t="shared" si="116"/>
        <v>SP, Timburi</v>
      </c>
      <c r="DJ5393">
        <v>-23.204999999999998</v>
      </c>
      <c r="DK5393">
        <v>-49.606999999999999</v>
      </c>
      <c r="DL5393">
        <v>838</v>
      </c>
      <c r="DM5393" s="1">
        <v>3</v>
      </c>
      <c r="DN5393" t="s">
        <v>7822</v>
      </c>
      <c r="DO5393" s="406">
        <v>-22.98</v>
      </c>
      <c r="DP5393" s="80">
        <v>448</v>
      </c>
    </row>
    <row r="5394" spans="29:120" x14ac:dyDescent="0.25">
      <c r="AC5394" s="122" t="s">
        <v>369</v>
      </c>
      <c r="AD5394" s="122" t="s">
        <v>5535</v>
      </c>
      <c r="AE5394" s="127">
        <v>7</v>
      </c>
      <c r="DA5394" s="122" t="s">
        <v>376</v>
      </c>
      <c r="DB5394" s="122" t="s">
        <v>8917</v>
      </c>
      <c r="DC5394" s="122" t="s">
        <v>871</v>
      </c>
      <c r="DD5394" s="127">
        <v>3</v>
      </c>
      <c r="DE5394" s="127">
        <v>3</v>
      </c>
      <c r="DG5394" t="s">
        <v>376</v>
      </c>
      <c r="DH5394" t="s">
        <v>871</v>
      </c>
      <c r="DI5394" s="406" t="str">
        <f t="shared" si="116"/>
        <v>SP, Torre de Pedra</v>
      </c>
      <c r="DJ5394">
        <v>-23.244</v>
      </c>
      <c r="DK5394">
        <v>-48.195</v>
      </c>
      <c r="DL5394">
        <v>560</v>
      </c>
      <c r="DM5394" s="1">
        <v>3</v>
      </c>
      <c r="DN5394" t="s">
        <v>8714</v>
      </c>
      <c r="DO5394" s="406">
        <v>-23.1</v>
      </c>
      <c r="DP5394" s="80">
        <v>654</v>
      </c>
    </row>
    <row r="5395" spans="29:120" x14ac:dyDescent="0.25">
      <c r="AC5395" s="122" t="s">
        <v>336</v>
      </c>
      <c r="AD5395" s="122" t="s">
        <v>5536</v>
      </c>
      <c r="AE5395" s="127">
        <v>5</v>
      </c>
      <c r="DA5395" s="122" t="s">
        <v>376</v>
      </c>
      <c r="DB5395" s="122" t="s">
        <v>1049</v>
      </c>
      <c r="DC5395" s="122" t="s">
        <v>1049</v>
      </c>
      <c r="DD5395" s="127">
        <v>4</v>
      </c>
      <c r="DE5395" s="127">
        <v>4</v>
      </c>
      <c r="DG5395" t="s">
        <v>376</v>
      </c>
      <c r="DH5395" t="s">
        <v>1049</v>
      </c>
      <c r="DI5395" s="406" t="str">
        <f t="shared" si="116"/>
        <v>SP, Torrinha</v>
      </c>
      <c r="DJ5395">
        <v>-22.425999999999998</v>
      </c>
      <c r="DK5395">
        <v>-48.168999999999997</v>
      </c>
      <c r="DL5395">
        <v>802</v>
      </c>
      <c r="DM5395" s="1">
        <v>4</v>
      </c>
      <c r="DN5395" t="s">
        <v>8728</v>
      </c>
      <c r="DO5395" s="406">
        <v>-22.02</v>
      </c>
      <c r="DP5395" s="80">
        <v>863</v>
      </c>
    </row>
    <row r="5396" spans="29:120" x14ac:dyDescent="0.25">
      <c r="AC5396" s="122" t="s">
        <v>340</v>
      </c>
      <c r="AD5396" s="122" t="s">
        <v>5537</v>
      </c>
      <c r="AE5396" s="127">
        <v>5</v>
      </c>
      <c r="DA5396" s="122" t="s">
        <v>376</v>
      </c>
      <c r="DB5396" s="122" t="s">
        <v>3737</v>
      </c>
      <c r="DC5396" s="122" t="s">
        <v>3737</v>
      </c>
      <c r="DD5396" s="127">
        <v>4</v>
      </c>
      <c r="DE5396" s="127">
        <v>4</v>
      </c>
      <c r="DG5396" t="s">
        <v>376</v>
      </c>
      <c r="DH5396" t="s">
        <v>3737</v>
      </c>
      <c r="DI5396" s="406" t="str">
        <f t="shared" si="116"/>
        <v>SP, Trabiju</v>
      </c>
      <c r="DJ5396">
        <v>-22.042000000000002</v>
      </c>
      <c r="DK5396">
        <v>-48.335999999999999</v>
      </c>
      <c r="DL5396">
        <v>548</v>
      </c>
      <c r="DM5396" s="1">
        <v>4</v>
      </c>
      <c r="DN5396" t="s">
        <v>8728</v>
      </c>
      <c r="DO5396" s="406">
        <v>-22.02</v>
      </c>
      <c r="DP5396" s="80">
        <v>863</v>
      </c>
    </row>
    <row r="5397" spans="29:120" x14ac:dyDescent="0.25">
      <c r="AC5397" s="122" t="s">
        <v>357</v>
      </c>
      <c r="AD5397" s="122" t="s">
        <v>5538</v>
      </c>
      <c r="AE5397" s="127">
        <v>7</v>
      </c>
      <c r="DA5397" s="122" t="s">
        <v>376</v>
      </c>
      <c r="DB5397" s="122" t="s">
        <v>3666</v>
      </c>
      <c r="DC5397" s="122" t="s">
        <v>3666</v>
      </c>
      <c r="DD5397" s="127">
        <v>3</v>
      </c>
      <c r="DE5397" s="127">
        <v>3</v>
      </c>
      <c r="DG5397" t="s">
        <v>376</v>
      </c>
      <c r="DH5397" t="s">
        <v>3666</v>
      </c>
      <c r="DI5397" s="406" t="str">
        <f t="shared" si="116"/>
        <v>SP, Tremembé</v>
      </c>
      <c r="DJ5397">
        <v>-22.957999999999998</v>
      </c>
      <c r="DK5397">
        <v>-45.548999999999999</v>
      </c>
      <c r="DL5397">
        <v>560</v>
      </c>
      <c r="DM5397" s="1">
        <v>3</v>
      </c>
      <c r="DN5397" t="s">
        <v>8748</v>
      </c>
      <c r="DO5397" s="406">
        <v>-23.03</v>
      </c>
      <c r="DP5397" s="80">
        <v>571</v>
      </c>
    </row>
    <row r="5398" spans="29:120" x14ac:dyDescent="0.25">
      <c r="AC5398" s="122" t="s">
        <v>328</v>
      </c>
      <c r="AD5398" s="122" t="s">
        <v>5539</v>
      </c>
      <c r="AE5398" s="127">
        <v>8</v>
      </c>
      <c r="DA5398" s="122" t="s">
        <v>376</v>
      </c>
      <c r="DB5398" s="122" t="s">
        <v>8918</v>
      </c>
      <c r="DC5398" s="122" t="s">
        <v>3996</v>
      </c>
      <c r="DD5398" s="127">
        <v>6</v>
      </c>
      <c r="DE5398" s="127">
        <v>6</v>
      </c>
      <c r="DG5398" t="s">
        <v>376</v>
      </c>
      <c r="DH5398" t="s">
        <v>3996</v>
      </c>
      <c r="DI5398" s="406" t="str">
        <f t="shared" si="116"/>
        <v>SP, Três Fronteiras</v>
      </c>
      <c r="DJ5398">
        <v>-20.234999999999999</v>
      </c>
      <c r="DK5398">
        <v>-50.89</v>
      </c>
      <c r="DL5398">
        <v>395</v>
      </c>
      <c r="DM5398" s="1">
        <v>6</v>
      </c>
      <c r="DN5398" t="s">
        <v>6904</v>
      </c>
      <c r="DO5398" s="406">
        <v>-20.27</v>
      </c>
      <c r="DP5398" s="80">
        <v>457</v>
      </c>
    </row>
    <row r="5399" spans="29:120" x14ac:dyDescent="0.25">
      <c r="AC5399" s="122" t="s">
        <v>357</v>
      </c>
      <c r="AD5399" s="122" t="s">
        <v>5540</v>
      </c>
      <c r="AE5399" s="127">
        <v>7</v>
      </c>
      <c r="DA5399" s="122" t="s">
        <v>376</v>
      </c>
      <c r="DB5399" s="122" t="s">
        <v>1072</v>
      </c>
      <c r="DC5399" s="122" t="s">
        <v>1072</v>
      </c>
      <c r="DD5399" s="127">
        <v>3</v>
      </c>
      <c r="DE5399" s="127">
        <v>3</v>
      </c>
      <c r="DG5399" t="s">
        <v>376</v>
      </c>
      <c r="DH5399" t="s">
        <v>1072</v>
      </c>
      <c r="DI5399" s="406" t="str">
        <f t="shared" si="116"/>
        <v>SP, Tuiuti</v>
      </c>
      <c r="DJ5399">
        <v>-22.815999999999999</v>
      </c>
      <c r="DK5399">
        <v>-46.694000000000003</v>
      </c>
      <c r="DL5399">
        <v>790</v>
      </c>
      <c r="DM5399" s="1">
        <v>3</v>
      </c>
      <c r="DN5399" t="s">
        <v>8726</v>
      </c>
      <c r="DO5399" s="406">
        <v>-22.82</v>
      </c>
      <c r="DP5399" s="80">
        <v>640</v>
      </c>
    </row>
    <row r="5400" spans="29:120" x14ac:dyDescent="0.25">
      <c r="AC5400" s="122" t="s">
        <v>322</v>
      </c>
      <c r="AD5400" s="122" t="s">
        <v>5541</v>
      </c>
      <c r="AE5400" s="127">
        <v>6</v>
      </c>
      <c r="DA5400" s="122" t="s">
        <v>376</v>
      </c>
      <c r="DB5400" s="122" t="s">
        <v>4031</v>
      </c>
      <c r="DC5400" s="122" t="s">
        <v>4031</v>
      </c>
      <c r="DD5400" s="127">
        <v>3</v>
      </c>
      <c r="DE5400" s="127">
        <v>3</v>
      </c>
      <c r="DG5400" t="s">
        <v>376</v>
      </c>
      <c r="DH5400" t="s">
        <v>4031</v>
      </c>
      <c r="DI5400" s="406" t="str">
        <f t="shared" si="116"/>
        <v>SP, Tupã</v>
      </c>
      <c r="DJ5400">
        <v>-21.934999999999999</v>
      </c>
      <c r="DK5400">
        <v>-50.514000000000003</v>
      </c>
      <c r="DL5400">
        <v>524</v>
      </c>
      <c r="DM5400" s="1">
        <v>3</v>
      </c>
      <c r="DN5400" t="s">
        <v>7819</v>
      </c>
      <c r="DO5400" s="406">
        <v>-22.37</v>
      </c>
      <c r="DP5400" s="80">
        <v>350</v>
      </c>
    </row>
    <row r="5401" spans="29:120" x14ac:dyDescent="0.25">
      <c r="AC5401" s="122" t="s">
        <v>357</v>
      </c>
      <c r="AD5401" s="122" t="s">
        <v>5542</v>
      </c>
      <c r="AE5401" s="127">
        <v>7</v>
      </c>
      <c r="DA5401" s="122" t="s">
        <v>376</v>
      </c>
      <c r="DB5401" s="122" t="s">
        <v>8919</v>
      </c>
      <c r="DC5401" s="122" t="s">
        <v>4019</v>
      </c>
      <c r="DD5401" s="127">
        <v>6</v>
      </c>
      <c r="DE5401" s="127">
        <v>6</v>
      </c>
      <c r="DG5401" t="s">
        <v>376</v>
      </c>
      <c r="DH5401" t="s">
        <v>4019</v>
      </c>
      <c r="DI5401" s="406" t="str">
        <f t="shared" si="116"/>
        <v>SP, Tupi Paulista</v>
      </c>
      <c r="DJ5401">
        <v>-21.381</v>
      </c>
      <c r="DK5401">
        <v>-51.570999999999998</v>
      </c>
      <c r="DL5401">
        <v>400</v>
      </c>
      <c r="DM5401" s="1">
        <v>6</v>
      </c>
      <c r="DN5401" t="s">
        <v>7254</v>
      </c>
      <c r="DO5401" s="406">
        <v>-20.75</v>
      </c>
      <c r="DP5401" s="80">
        <v>313</v>
      </c>
    </row>
    <row r="5402" spans="29:120" x14ac:dyDescent="0.25">
      <c r="AC5402" s="122" t="s">
        <v>333</v>
      </c>
      <c r="AD5402" s="122" t="s">
        <v>5543</v>
      </c>
      <c r="AE5402" s="127">
        <v>6</v>
      </c>
      <c r="DA5402" s="122" t="s">
        <v>376</v>
      </c>
      <c r="DB5402" s="122" t="s">
        <v>3987</v>
      </c>
      <c r="DC5402" s="122" t="s">
        <v>3987</v>
      </c>
      <c r="DD5402" s="127">
        <v>6</v>
      </c>
      <c r="DE5402" s="127">
        <v>6</v>
      </c>
      <c r="DG5402" t="s">
        <v>376</v>
      </c>
      <c r="DH5402" t="s">
        <v>3987</v>
      </c>
      <c r="DI5402" s="406" t="str">
        <f t="shared" si="116"/>
        <v>SP, Turiúba</v>
      </c>
      <c r="DJ5402">
        <v>-20.933</v>
      </c>
      <c r="DK5402">
        <v>-50.107999999999997</v>
      </c>
      <c r="DL5402">
        <v>439</v>
      </c>
      <c r="DM5402" s="1">
        <v>6</v>
      </c>
      <c r="DN5402" t="s">
        <v>8710</v>
      </c>
      <c r="DO5402" s="406">
        <v>-21.1</v>
      </c>
      <c r="DP5402" s="80">
        <v>405</v>
      </c>
    </row>
    <row r="5403" spans="29:120" x14ac:dyDescent="0.25">
      <c r="AC5403" s="122" t="s">
        <v>372</v>
      </c>
      <c r="AD5403" s="122" t="s">
        <v>5544</v>
      </c>
      <c r="AE5403" s="127">
        <v>8</v>
      </c>
      <c r="DA5403" s="122" t="s">
        <v>376</v>
      </c>
      <c r="DB5403" s="122" t="s">
        <v>2092</v>
      </c>
      <c r="DC5403" s="122" t="s">
        <v>2092</v>
      </c>
      <c r="DD5403" s="127">
        <v>6</v>
      </c>
      <c r="DE5403" s="127">
        <v>6</v>
      </c>
      <c r="DG5403" t="s">
        <v>376</v>
      </c>
      <c r="DH5403" t="s">
        <v>2092</v>
      </c>
      <c r="DI5403" s="406" t="str">
        <f t="shared" si="116"/>
        <v>SP, Turmalina</v>
      </c>
      <c r="DJ5403">
        <v>-20.052</v>
      </c>
      <c r="DK5403">
        <v>-50.475999999999999</v>
      </c>
      <c r="DL5403">
        <v>467</v>
      </c>
      <c r="DM5403" s="1">
        <v>6</v>
      </c>
      <c r="DN5403" t="s">
        <v>6904</v>
      </c>
      <c r="DO5403" s="406">
        <v>-20.27</v>
      </c>
      <c r="DP5403" s="80">
        <v>457</v>
      </c>
    </row>
    <row r="5404" spans="29:120" x14ac:dyDescent="0.25">
      <c r="AC5404" s="122" t="s">
        <v>289</v>
      </c>
      <c r="AD5404" s="122" t="s">
        <v>5545</v>
      </c>
      <c r="AE5404" s="127">
        <v>6</v>
      </c>
      <c r="DA5404" s="122" t="s">
        <v>376</v>
      </c>
      <c r="DB5404" s="122" t="s">
        <v>3580</v>
      </c>
      <c r="DC5404" s="122" t="s">
        <v>3580</v>
      </c>
      <c r="DD5404" s="127">
        <v>3</v>
      </c>
      <c r="DE5404" s="127">
        <v>3</v>
      </c>
      <c r="DG5404" t="s">
        <v>376</v>
      </c>
      <c r="DH5404" t="s">
        <v>3580</v>
      </c>
      <c r="DI5404" s="406" t="str">
        <f t="shared" si="116"/>
        <v>SP, Ubarana</v>
      </c>
      <c r="DJ5404">
        <v>-21.166</v>
      </c>
      <c r="DK5404">
        <v>-49.718000000000004</v>
      </c>
      <c r="DL5404">
        <v>458</v>
      </c>
      <c r="DM5404" s="1">
        <v>3</v>
      </c>
      <c r="DN5404" t="s">
        <v>8710</v>
      </c>
      <c r="DO5404" s="406">
        <v>-21.1</v>
      </c>
      <c r="DP5404" s="80">
        <v>405</v>
      </c>
    </row>
    <row r="5405" spans="29:120" x14ac:dyDescent="0.25">
      <c r="AC5405" s="122" t="s">
        <v>289</v>
      </c>
      <c r="AD5405" s="122" t="s">
        <v>5546</v>
      </c>
      <c r="AE5405" s="127">
        <v>6</v>
      </c>
      <c r="DA5405" s="122" t="s">
        <v>376</v>
      </c>
      <c r="DB5405" s="122" t="s">
        <v>3377</v>
      </c>
      <c r="DC5405" s="122" t="s">
        <v>3377</v>
      </c>
      <c r="DD5405" s="127">
        <v>3</v>
      </c>
      <c r="DE5405" s="127">
        <v>3</v>
      </c>
      <c r="DG5405" t="s">
        <v>376</v>
      </c>
      <c r="DH5405" t="s">
        <v>3377</v>
      </c>
      <c r="DI5405" s="406" t="str">
        <f t="shared" si="116"/>
        <v>SP, Ubatuba</v>
      </c>
      <c r="DJ5405">
        <v>-23.434000000000001</v>
      </c>
      <c r="DK5405">
        <v>-45.070999999999998</v>
      </c>
      <c r="DL5405">
        <v>3</v>
      </c>
      <c r="DM5405" s="1">
        <v>3</v>
      </c>
      <c r="DN5405" t="s">
        <v>8759</v>
      </c>
      <c r="DO5405" s="406">
        <v>-23.23</v>
      </c>
      <c r="DP5405" s="80">
        <v>874</v>
      </c>
    </row>
    <row r="5406" spans="29:120" x14ac:dyDescent="0.25">
      <c r="AC5406" s="122" t="s">
        <v>340</v>
      </c>
      <c r="AD5406" s="122" t="s">
        <v>5547</v>
      </c>
      <c r="AE5406" s="127">
        <v>5</v>
      </c>
      <c r="DA5406" s="122" t="s">
        <v>376</v>
      </c>
      <c r="DB5406" s="122" t="s">
        <v>3802</v>
      </c>
      <c r="DC5406" s="122" t="s">
        <v>3802</v>
      </c>
      <c r="DD5406" s="127">
        <v>3</v>
      </c>
      <c r="DE5406" s="127">
        <v>3</v>
      </c>
      <c r="DG5406" t="s">
        <v>376</v>
      </c>
      <c r="DH5406" t="s">
        <v>3802</v>
      </c>
      <c r="DI5406" s="406" t="str">
        <f t="shared" si="116"/>
        <v>SP, Ubirajara</v>
      </c>
      <c r="DJ5406">
        <v>-22.527000000000001</v>
      </c>
      <c r="DK5406">
        <v>-49.662999999999997</v>
      </c>
      <c r="DL5406">
        <v>499</v>
      </c>
      <c r="DM5406" s="1">
        <v>3</v>
      </c>
      <c r="DN5406" t="s">
        <v>7822</v>
      </c>
      <c r="DO5406" s="406">
        <v>-22.98</v>
      </c>
      <c r="DP5406" s="80">
        <v>448</v>
      </c>
    </row>
    <row r="5407" spans="29:120" x14ac:dyDescent="0.25">
      <c r="AC5407" s="122" t="s">
        <v>289</v>
      </c>
      <c r="AD5407" s="122" t="s">
        <v>2994</v>
      </c>
      <c r="AE5407" s="127">
        <v>6</v>
      </c>
      <c r="DA5407" s="122" t="s">
        <v>376</v>
      </c>
      <c r="DB5407" s="122" t="s">
        <v>3706</v>
      </c>
      <c r="DC5407" s="122" t="s">
        <v>3706</v>
      </c>
      <c r="DD5407" s="127">
        <v>6</v>
      </c>
      <c r="DE5407" s="127">
        <v>6</v>
      </c>
      <c r="DG5407" t="s">
        <v>376</v>
      </c>
      <c r="DH5407" t="s">
        <v>3706</v>
      </c>
      <c r="DI5407" s="406" t="str">
        <f t="shared" si="116"/>
        <v>SP, Uchoa</v>
      </c>
      <c r="DJ5407">
        <v>-20.952999999999999</v>
      </c>
      <c r="DK5407">
        <v>-49.174999999999997</v>
      </c>
      <c r="DL5407">
        <v>485</v>
      </c>
      <c r="DM5407" s="1">
        <v>6</v>
      </c>
      <c r="DN5407" t="s">
        <v>8721</v>
      </c>
      <c r="DO5407" s="406">
        <v>-21.13</v>
      </c>
      <c r="DP5407" s="80">
        <v>525</v>
      </c>
    </row>
    <row r="5408" spans="29:120" x14ac:dyDescent="0.25">
      <c r="AC5408" s="122" t="s">
        <v>357</v>
      </c>
      <c r="AD5408" s="122" t="s">
        <v>5548</v>
      </c>
      <c r="AE5408" s="127">
        <v>7</v>
      </c>
      <c r="DA5408" s="122" t="s">
        <v>376</v>
      </c>
      <c r="DB5408" s="122" t="s">
        <v>8920</v>
      </c>
      <c r="DC5408" s="122" t="s">
        <v>3963</v>
      </c>
      <c r="DD5408" s="127">
        <v>6</v>
      </c>
      <c r="DE5408" s="127">
        <v>6</v>
      </c>
      <c r="DG5408" t="s">
        <v>376</v>
      </c>
      <c r="DH5408" t="s">
        <v>3963</v>
      </c>
      <c r="DI5408" s="406" t="str">
        <f t="shared" si="116"/>
        <v>SP, União Paulista</v>
      </c>
      <c r="DJ5408">
        <v>-20.887</v>
      </c>
      <c r="DK5408">
        <v>-49.896999999999998</v>
      </c>
      <c r="DL5408">
        <v>480</v>
      </c>
      <c r="DM5408" s="1">
        <v>6</v>
      </c>
      <c r="DN5408" t="s">
        <v>8710</v>
      </c>
      <c r="DO5408" s="406">
        <v>-21.1</v>
      </c>
      <c r="DP5408" s="80">
        <v>405</v>
      </c>
    </row>
    <row r="5409" spans="29:120" x14ac:dyDescent="0.25">
      <c r="AC5409" s="122" t="s">
        <v>322</v>
      </c>
      <c r="AD5409" s="122" t="s">
        <v>5549</v>
      </c>
      <c r="AE5409" s="127">
        <v>6</v>
      </c>
      <c r="DA5409" s="122" t="s">
        <v>376</v>
      </c>
      <c r="DB5409" s="122" t="s">
        <v>2942</v>
      </c>
      <c r="DC5409" s="122" t="s">
        <v>2942</v>
      </c>
      <c r="DD5409" s="127">
        <v>6</v>
      </c>
      <c r="DE5409" s="127">
        <v>6</v>
      </c>
      <c r="DG5409" t="s">
        <v>376</v>
      </c>
      <c r="DH5409" t="s">
        <v>2942</v>
      </c>
      <c r="DI5409" s="406" t="str">
        <f t="shared" si="116"/>
        <v>SP, Urânia</v>
      </c>
      <c r="DJ5409">
        <v>-20.245999999999999</v>
      </c>
      <c r="DK5409">
        <v>-50.643000000000001</v>
      </c>
      <c r="DL5409">
        <v>458</v>
      </c>
      <c r="DM5409" s="1">
        <v>6</v>
      </c>
      <c r="DN5409" t="s">
        <v>6904</v>
      </c>
      <c r="DO5409" s="406">
        <v>-20.27</v>
      </c>
      <c r="DP5409" s="80">
        <v>457</v>
      </c>
    </row>
    <row r="5410" spans="29:120" x14ac:dyDescent="0.25">
      <c r="AC5410" s="122" t="s">
        <v>357</v>
      </c>
      <c r="AD5410" s="122" t="s">
        <v>5550</v>
      </c>
      <c r="AE5410" s="127">
        <v>8</v>
      </c>
      <c r="DA5410" s="122" t="s">
        <v>376</v>
      </c>
      <c r="DB5410" s="122" t="s">
        <v>3563</v>
      </c>
      <c r="DC5410" s="122" t="s">
        <v>3563</v>
      </c>
      <c r="DD5410" s="127">
        <v>3</v>
      </c>
      <c r="DE5410" s="127">
        <v>3</v>
      </c>
      <c r="DG5410" t="s">
        <v>376</v>
      </c>
      <c r="DH5410" t="s">
        <v>3563</v>
      </c>
      <c r="DI5410" s="406" t="str">
        <f t="shared" si="116"/>
        <v>SP, Uru</v>
      </c>
      <c r="DJ5410">
        <v>-21.783999999999999</v>
      </c>
      <c r="DK5410">
        <v>-49.280999999999999</v>
      </c>
      <c r="DL5410">
        <v>427</v>
      </c>
      <c r="DM5410" s="1">
        <v>3</v>
      </c>
      <c r="DN5410" t="s">
        <v>8733</v>
      </c>
      <c r="DO5410" s="406">
        <v>-21.86</v>
      </c>
      <c r="DP5410" s="80">
        <v>492</v>
      </c>
    </row>
    <row r="5411" spans="29:120" x14ac:dyDescent="0.25">
      <c r="AC5411" s="122" t="s">
        <v>336</v>
      </c>
      <c r="AD5411" s="122" t="s">
        <v>5551</v>
      </c>
      <c r="AE5411" s="127">
        <v>6</v>
      </c>
      <c r="DA5411" s="122" t="s">
        <v>376</v>
      </c>
      <c r="DB5411" s="122" t="s">
        <v>3758</v>
      </c>
      <c r="DC5411" s="122" t="s">
        <v>3758</v>
      </c>
      <c r="DD5411" s="127">
        <v>6</v>
      </c>
      <c r="DE5411" s="127">
        <v>6</v>
      </c>
      <c r="DG5411" t="s">
        <v>376</v>
      </c>
      <c r="DH5411" t="s">
        <v>3758</v>
      </c>
      <c r="DI5411" s="406" t="str">
        <f t="shared" si="116"/>
        <v>SP, Urupês</v>
      </c>
      <c r="DJ5411">
        <v>-21.202000000000002</v>
      </c>
      <c r="DK5411">
        <v>-49.29</v>
      </c>
      <c r="DL5411">
        <v>436</v>
      </c>
      <c r="DM5411" s="1">
        <v>6</v>
      </c>
      <c r="DN5411" t="s">
        <v>8710</v>
      </c>
      <c r="DO5411" s="406">
        <v>-21.1</v>
      </c>
      <c r="DP5411" s="80">
        <v>405</v>
      </c>
    </row>
    <row r="5412" spans="29:120" x14ac:dyDescent="0.25">
      <c r="AC5412" s="122" t="s">
        <v>289</v>
      </c>
      <c r="AD5412" s="122" t="s">
        <v>5552</v>
      </c>
      <c r="AE5412" s="127">
        <v>6</v>
      </c>
      <c r="DA5412" s="122" t="s">
        <v>376</v>
      </c>
      <c r="DB5412" s="122" t="s">
        <v>8921</v>
      </c>
      <c r="DC5412" s="122" t="s">
        <v>3946</v>
      </c>
      <c r="DD5412" s="127">
        <v>6</v>
      </c>
      <c r="DE5412" s="127">
        <v>6</v>
      </c>
      <c r="DG5412" t="s">
        <v>376</v>
      </c>
      <c r="DH5412" t="s">
        <v>3946</v>
      </c>
      <c r="DI5412" s="406" t="str">
        <f t="shared" si="116"/>
        <v>SP, Valentim Gentil</v>
      </c>
      <c r="DJ5412">
        <v>-20.422000000000001</v>
      </c>
      <c r="DK5412">
        <v>-50.088000000000001</v>
      </c>
      <c r="DL5412">
        <v>510</v>
      </c>
      <c r="DM5412" s="1">
        <v>6</v>
      </c>
      <c r="DN5412" t="s">
        <v>6984</v>
      </c>
      <c r="DO5412" s="406">
        <v>-20.420000000000002</v>
      </c>
      <c r="DP5412" s="80">
        <v>486</v>
      </c>
    </row>
    <row r="5413" spans="29:120" x14ac:dyDescent="0.25">
      <c r="AC5413" s="122" t="s">
        <v>289</v>
      </c>
      <c r="AD5413" s="122" t="s">
        <v>5553</v>
      </c>
      <c r="AE5413" s="127">
        <v>6</v>
      </c>
      <c r="DA5413" s="122" t="s">
        <v>376</v>
      </c>
      <c r="DB5413" s="122" t="s">
        <v>3888</v>
      </c>
      <c r="DC5413" s="122" t="s">
        <v>3888</v>
      </c>
      <c r="DD5413" s="127">
        <v>3</v>
      </c>
      <c r="DE5413" s="127">
        <v>3</v>
      </c>
      <c r="DG5413" t="s">
        <v>376</v>
      </c>
      <c r="DH5413" t="s">
        <v>3888</v>
      </c>
      <c r="DI5413" s="406" t="str">
        <f t="shared" si="116"/>
        <v>SP, Valinhos</v>
      </c>
      <c r="DJ5413">
        <v>-22.971</v>
      </c>
      <c r="DK5413">
        <v>-46.996000000000002</v>
      </c>
      <c r="DL5413">
        <v>660</v>
      </c>
      <c r="DM5413" s="1">
        <v>3</v>
      </c>
      <c r="DN5413" t="s">
        <v>8726</v>
      </c>
      <c r="DO5413" s="406">
        <v>-22.82</v>
      </c>
      <c r="DP5413" s="80">
        <v>640</v>
      </c>
    </row>
    <row r="5414" spans="29:120" x14ac:dyDescent="0.25">
      <c r="AC5414" s="122" t="s">
        <v>289</v>
      </c>
      <c r="AD5414" s="122" t="s">
        <v>5554</v>
      </c>
      <c r="AE5414" s="127">
        <v>6</v>
      </c>
      <c r="DA5414" s="122" t="s">
        <v>376</v>
      </c>
      <c r="DB5414" s="122" t="s">
        <v>3819</v>
      </c>
      <c r="DC5414" s="122" t="s">
        <v>3819</v>
      </c>
      <c r="DD5414" s="127">
        <v>6</v>
      </c>
      <c r="DE5414" s="127">
        <v>6</v>
      </c>
      <c r="DG5414" t="s">
        <v>376</v>
      </c>
      <c r="DH5414" t="s">
        <v>3819</v>
      </c>
      <c r="DI5414" s="406" t="str">
        <f t="shared" si="116"/>
        <v>SP, Valparaíso</v>
      </c>
      <c r="DJ5414">
        <v>-21.228000000000002</v>
      </c>
      <c r="DK5414">
        <v>-50.868000000000002</v>
      </c>
      <c r="DL5414">
        <v>449</v>
      </c>
      <c r="DM5414" s="1">
        <v>6</v>
      </c>
      <c r="DN5414" t="s">
        <v>8709</v>
      </c>
      <c r="DO5414" s="406">
        <v>-21.32</v>
      </c>
      <c r="DP5414" s="80">
        <v>374</v>
      </c>
    </row>
    <row r="5415" spans="29:120" x14ac:dyDescent="0.25">
      <c r="AC5415" s="122" t="s">
        <v>322</v>
      </c>
      <c r="AD5415" s="122" t="s">
        <v>5555</v>
      </c>
      <c r="AE5415" s="127">
        <v>6</v>
      </c>
      <c r="DA5415" s="122" t="s">
        <v>376</v>
      </c>
      <c r="DB5415" s="122" t="s">
        <v>1084</v>
      </c>
      <c r="DC5415" s="122" t="s">
        <v>1084</v>
      </c>
      <c r="DD5415" s="127">
        <v>3</v>
      </c>
      <c r="DE5415" s="127">
        <v>3</v>
      </c>
      <c r="DG5415" t="s">
        <v>376</v>
      </c>
      <c r="DH5415" t="s">
        <v>1084</v>
      </c>
      <c r="DI5415" s="406" t="str">
        <f t="shared" si="116"/>
        <v>SP, Vargem</v>
      </c>
      <c r="DJ5415">
        <v>-22.888999999999999</v>
      </c>
      <c r="DK5415">
        <v>-46.414000000000001</v>
      </c>
      <c r="DL5415">
        <v>845</v>
      </c>
      <c r="DM5415" s="1">
        <v>3</v>
      </c>
      <c r="DN5415" t="s">
        <v>6861</v>
      </c>
      <c r="DO5415" s="406">
        <v>-22.86</v>
      </c>
      <c r="DP5415" s="80">
        <v>1500</v>
      </c>
    </row>
    <row r="5416" spans="29:120" x14ac:dyDescent="0.25">
      <c r="AC5416" s="122" t="s">
        <v>357</v>
      </c>
      <c r="AD5416" s="122" t="s">
        <v>5556</v>
      </c>
      <c r="AE5416" s="127">
        <v>7</v>
      </c>
      <c r="DA5416" s="122" t="s">
        <v>376</v>
      </c>
      <c r="DB5416" s="122" t="s">
        <v>8922</v>
      </c>
      <c r="DC5416" s="122" t="s">
        <v>1784</v>
      </c>
      <c r="DD5416" s="127">
        <v>4</v>
      </c>
      <c r="DE5416" s="127">
        <v>4</v>
      </c>
      <c r="DG5416" t="s">
        <v>376</v>
      </c>
      <c r="DH5416" t="s">
        <v>1784</v>
      </c>
      <c r="DI5416" s="406" t="str">
        <f t="shared" si="116"/>
        <v>SP, Vargem Grande do Sul</v>
      </c>
      <c r="DJ5416">
        <v>-21.832000000000001</v>
      </c>
      <c r="DK5416">
        <v>-46.893999999999998</v>
      </c>
      <c r="DL5416">
        <v>721</v>
      </c>
      <c r="DM5416" s="1">
        <v>4</v>
      </c>
      <c r="DN5416" t="s">
        <v>6833</v>
      </c>
      <c r="DO5416" s="406">
        <v>-21.77</v>
      </c>
      <c r="DP5416" s="80">
        <v>730</v>
      </c>
    </row>
    <row r="5417" spans="29:120" x14ac:dyDescent="0.25">
      <c r="AC5417" s="122" t="s">
        <v>357</v>
      </c>
      <c r="AD5417" s="122" t="s">
        <v>5557</v>
      </c>
      <c r="AE5417" s="127">
        <v>7</v>
      </c>
      <c r="DA5417" s="122" t="s">
        <v>376</v>
      </c>
      <c r="DB5417" s="122" t="s">
        <v>8923</v>
      </c>
      <c r="DC5417" s="122" t="s">
        <v>948</v>
      </c>
      <c r="DD5417" s="127">
        <v>3</v>
      </c>
      <c r="DE5417" s="127">
        <v>3</v>
      </c>
      <c r="DG5417" t="s">
        <v>376</v>
      </c>
      <c r="DH5417" t="s">
        <v>948</v>
      </c>
      <c r="DI5417" s="406" t="str">
        <f t="shared" si="116"/>
        <v>SP, Vargem Grande Paulista</v>
      </c>
      <c r="DJ5417">
        <v>-23.603000000000002</v>
      </c>
      <c r="DK5417">
        <v>-47.026000000000003</v>
      </c>
      <c r="DL5417">
        <v>875</v>
      </c>
      <c r="DM5417" s="1">
        <v>3</v>
      </c>
      <c r="DN5417" t="s">
        <v>8718</v>
      </c>
      <c r="DO5417" s="406">
        <v>-23.5</v>
      </c>
      <c r="DP5417" s="80">
        <v>609</v>
      </c>
    </row>
    <row r="5418" spans="29:120" x14ac:dyDescent="0.25">
      <c r="AC5418" s="122" t="s">
        <v>322</v>
      </c>
      <c r="AD5418" s="122" t="s">
        <v>2585</v>
      </c>
      <c r="AE5418" s="127">
        <v>6</v>
      </c>
      <c r="DA5418" s="122" t="s">
        <v>376</v>
      </c>
      <c r="DB5418" s="122" t="s">
        <v>8924</v>
      </c>
      <c r="DC5418" s="122" t="s">
        <v>1054</v>
      </c>
      <c r="DD5418" s="127">
        <v>3</v>
      </c>
      <c r="DE5418" s="127">
        <v>3</v>
      </c>
      <c r="DG5418" t="s">
        <v>376</v>
      </c>
      <c r="DH5418" t="s">
        <v>1054</v>
      </c>
      <c r="DI5418" s="406" t="str">
        <f t="shared" si="116"/>
        <v>SP, Várzea Paulista</v>
      </c>
      <c r="DJ5418">
        <v>-23.210999999999999</v>
      </c>
      <c r="DK5418">
        <v>-46.828000000000003</v>
      </c>
      <c r="DL5418">
        <v>745</v>
      </c>
      <c r="DM5418" s="1">
        <v>3</v>
      </c>
      <c r="DN5418" t="s">
        <v>8726</v>
      </c>
      <c r="DO5418" s="406">
        <v>-22.82</v>
      </c>
      <c r="DP5418" s="80">
        <v>640</v>
      </c>
    </row>
    <row r="5419" spans="29:120" x14ac:dyDescent="0.25">
      <c r="AC5419" s="122" t="s">
        <v>340</v>
      </c>
      <c r="AD5419" s="122" t="s">
        <v>5558</v>
      </c>
      <c r="AE5419" s="127">
        <v>5</v>
      </c>
      <c r="DA5419" s="122" t="s">
        <v>376</v>
      </c>
      <c r="DB5419" s="122" t="s">
        <v>6398</v>
      </c>
      <c r="DC5419" s="122" t="s">
        <v>1612</v>
      </c>
      <c r="DD5419" s="127">
        <v>3</v>
      </c>
      <c r="DE5419" s="127">
        <v>3</v>
      </c>
      <c r="DG5419" t="s">
        <v>376</v>
      </c>
      <c r="DH5419" t="s">
        <v>1612</v>
      </c>
      <c r="DI5419" s="406" t="str">
        <f t="shared" si="116"/>
        <v>SP, Vera Cruz</v>
      </c>
      <c r="DJ5419">
        <v>-22.22</v>
      </c>
      <c r="DK5419">
        <v>-49.819000000000003</v>
      </c>
      <c r="DL5419">
        <v>628</v>
      </c>
      <c r="DM5419" s="1">
        <v>3</v>
      </c>
      <c r="DN5419" t="s">
        <v>8722</v>
      </c>
      <c r="DO5419" s="406">
        <v>-21.68</v>
      </c>
      <c r="DP5419" s="80">
        <v>459</v>
      </c>
    </row>
    <row r="5420" spans="29:120" x14ac:dyDescent="0.25">
      <c r="AC5420" s="122" t="s">
        <v>357</v>
      </c>
      <c r="AD5420" s="122" t="s">
        <v>5559</v>
      </c>
      <c r="AE5420" s="127">
        <v>7</v>
      </c>
      <c r="DA5420" s="122" t="s">
        <v>376</v>
      </c>
      <c r="DB5420" s="122" t="s">
        <v>1022</v>
      </c>
      <c r="DC5420" s="122" t="s">
        <v>1022</v>
      </c>
      <c r="DD5420" s="127">
        <v>3</v>
      </c>
      <c r="DE5420" s="127">
        <v>3</v>
      </c>
      <c r="DG5420" t="s">
        <v>376</v>
      </c>
      <c r="DH5420" t="s">
        <v>1022</v>
      </c>
      <c r="DI5420" s="406" t="str">
        <f t="shared" si="116"/>
        <v>SP, Vinhedo</v>
      </c>
      <c r="DJ5420">
        <v>-23.03</v>
      </c>
      <c r="DK5420">
        <v>-46.975000000000001</v>
      </c>
      <c r="DL5420">
        <v>725</v>
      </c>
      <c r="DM5420" s="1">
        <v>3</v>
      </c>
      <c r="DN5420" t="s">
        <v>8726</v>
      </c>
      <c r="DO5420" s="406">
        <v>-22.82</v>
      </c>
      <c r="DP5420" s="80">
        <v>640</v>
      </c>
    </row>
    <row r="5421" spans="29:120" x14ac:dyDescent="0.25">
      <c r="AC5421" s="122" t="s">
        <v>322</v>
      </c>
      <c r="AD5421" s="122" t="s">
        <v>5560</v>
      </c>
      <c r="AE5421" s="127">
        <v>6</v>
      </c>
      <c r="DA5421" s="122" t="s">
        <v>376</v>
      </c>
      <c r="DB5421" s="122" t="s">
        <v>3922</v>
      </c>
      <c r="DC5421" s="122" t="s">
        <v>3922</v>
      </c>
      <c r="DD5421" s="127">
        <v>4</v>
      </c>
      <c r="DE5421" s="127">
        <v>4</v>
      </c>
      <c r="DG5421" t="s">
        <v>376</v>
      </c>
      <c r="DH5421" t="s">
        <v>3922</v>
      </c>
      <c r="DI5421" s="406" t="str">
        <f t="shared" si="116"/>
        <v>SP, Viradouro</v>
      </c>
      <c r="DJ5421">
        <v>-20.873000000000001</v>
      </c>
      <c r="DK5421">
        <v>-48.296999999999997</v>
      </c>
      <c r="DL5421">
        <v>528</v>
      </c>
      <c r="DM5421" s="1">
        <v>4</v>
      </c>
      <c r="DN5421" t="s">
        <v>8721</v>
      </c>
      <c r="DO5421" s="406">
        <v>-21.13</v>
      </c>
      <c r="DP5421" s="80">
        <v>525</v>
      </c>
    </row>
    <row r="5422" spans="29:120" x14ac:dyDescent="0.25">
      <c r="AC5422" s="122" t="s">
        <v>328</v>
      </c>
      <c r="AD5422" s="122" t="s">
        <v>5561</v>
      </c>
      <c r="AE5422" s="127">
        <v>8</v>
      </c>
      <c r="DA5422" s="122" t="s">
        <v>376</v>
      </c>
      <c r="DB5422" s="122" t="s">
        <v>8925</v>
      </c>
      <c r="DC5422" s="122" t="s">
        <v>3923</v>
      </c>
      <c r="DD5422" s="127">
        <v>6</v>
      </c>
      <c r="DE5422" s="127">
        <v>6</v>
      </c>
      <c r="DG5422" t="s">
        <v>376</v>
      </c>
      <c r="DH5422" t="s">
        <v>3923</v>
      </c>
      <c r="DI5422" s="406" t="str">
        <f t="shared" si="116"/>
        <v>SP, Vista Alegre do Alto</v>
      </c>
      <c r="DJ5422">
        <v>-21.170999999999999</v>
      </c>
      <c r="DK5422">
        <v>-48.628999999999998</v>
      </c>
      <c r="DL5422">
        <v>619</v>
      </c>
      <c r="DM5422" s="1">
        <v>6</v>
      </c>
      <c r="DN5422" t="s">
        <v>8721</v>
      </c>
      <c r="DO5422" s="406">
        <v>-21.13</v>
      </c>
      <c r="DP5422" s="80">
        <v>525</v>
      </c>
    </row>
    <row r="5423" spans="29:120" x14ac:dyDescent="0.25">
      <c r="AC5423" s="122" t="s">
        <v>289</v>
      </c>
      <c r="AD5423" s="122" t="s">
        <v>5562</v>
      </c>
      <c r="AE5423" s="127">
        <v>6</v>
      </c>
      <c r="DA5423" s="122" t="s">
        <v>376</v>
      </c>
      <c r="DB5423" s="122" t="s">
        <v>8926</v>
      </c>
      <c r="DC5423" s="122" t="s">
        <v>2971</v>
      </c>
      <c r="DD5423" s="127">
        <v>6</v>
      </c>
      <c r="DE5423" s="127">
        <v>6</v>
      </c>
      <c r="DG5423" t="s">
        <v>376</v>
      </c>
      <c r="DH5423" t="s">
        <v>2971</v>
      </c>
      <c r="DI5423" s="406" t="str">
        <f t="shared" si="116"/>
        <v>SP, Vitória Brasil</v>
      </c>
      <c r="DJ5423">
        <v>-20.196999999999999</v>
      </c>
      <c r="DK5423">
        <v>-50.484000000000002</v>
      </c>
      <c r="DL5423">
        <v>505</v>
      </c>
      <c r="DM5423" s="1">
        <v>6</v>
      </c>
      <c r="DN5423" t="s">
        <v>6904</v>
      </c>
      <c r="DO5423" s="406">
        <v>-20.27</v>
      </c>
      <c r="DP5423" s="80">
        <v>457</v>
      </c>
    </row>
    <row r="5424" spans="29:120" x14ac:dyDescent="0.25">
      <c r="AC5424" s="122" t="s">
        <v>357</v>
      </c>
      <c r="AD5424" s="122" t="s">
        <v>5563</v>
      </c>
      <c r="AE5424" s="127">
        <v>8</v>
      </c>
      <c r="DA5424" s="122" t="s">
        <v>376</v>
      </c>
      <c r="DB5424" s="122" t="s">
        <v>923</v>
      </c>
      <c r="DC5424" s="122" t="s">
        <v>923</v>
      </c>
      <c r="DD5424" s="127">
        <v>3</v>
      </c>
      <c r="DE5424" s="127">
        <v>3</v>
      </c>
      <c r="DG5424" t="s">
        <v>376</v>
      </c>
      <c r="DH5424" t="s">
        <v>923</v>
      </c>
      <c r="DI5424" s="406" t="str">
        <f t="shared" si="116"/>
        <v>SP, Votorantim</v>
      </c>
      <c r="DJ5424">
        <v>-23.547000000000001</v>
      </c>
      <c r="DK5424">
        <v>-47.438000000000002</v>
      </c>
      <c r="DL5424">
        <v>570</v>
      </c>
      <c r="DM5424" s="1">
        <v>3</v>
      </c>
      <c r="DN5424" t="s">
        <v>8718</v>
      </c>
      <c r="DO5424" s="406">
        <v>-23.5</v>
      </c>
      <c r="DP5424" s="80">
        <v>609</v>
      </c>
    </row>
    <row r="5425" spans="29:120" x14ac:dyDescent="0.25">
      <c r="AC5425" s="122" t="s">
        <v>357</v>
      </c>
      <c r="AD5425" s="122" t="s">
        <v>5564</v>
      </c>
      <c r="AE5425" s="127">
        <v>7</v>
      </c>
      <c r="DA5425" s="122" t="s">
        <v>376</v>
      </c>
      <c r="DB5425" s="122" t="s">
        <v>2978</v>
      </c>
      <c r="DC5425" s="122" t="s">
        <v>2978</v>
      </c>
      <c r="DD5425" s="127">
        <v>6</v>
      </c>
      <c r="DE5425" s="127">
        <v>6</v>
      </c>
      <c r="DG5425" t="s">
        <v>376</v>
      </c>
      <c r="DH5425" t="s">
        <v>2978</v>
      </c>
      <c r="DI5425" s="406" t="str">
        <f t="shared" si="116"/>
        <v>SP, Votuporanga</v>
      </c>
      <c r="DJ5425">
        <v>-20.422999999999998</v>
      </c>
      <c r="DK5425">
        <v>-49.972999999999999</v>
      </c>
      <c r="DL5425">
        <v>525</v>
      </c>
      <c r="DM5425" s="1">
        <v>6</v>
      </c>
      <c r="DN5425" t="s">
        <v>6984</v>
      </c>
      <c r="DO5425" s="406">
        <v>-20.420000000000002</v>
      </c>
      <c r="DP5425" s="80">
        <v>486</v>
      </c>
    </row>
    <row r="5426" spans="29:120" x14ac:dyDescent="0.25">
      <c r="AC5426" s="122" t="s">
        <v>328</v>
      </c>
      <c r="AD5426" s="122" t="s">
        <v>5565</v>
      </c>
      <c r="AE5426" s="127">
        <v>8</v>
      </c>
      <c r="DA5426" s="122" t="s">
        <v>376</v>
      </c>
      <c r="DB5426" s="122" t="s">
        <v>3958</v>
      </c>
      <c r="DC5426" s="122" t="s">
        <v>3958</v>
      </c>
      <c r="DD5426" s="127">
        <v>6</v>
      </c>
      <c r="DE5426" s="127">
        <v>6</v>
      </c>
      <c r="DG5426" t="s">
        <v>376</v>
      </c>
      <c r="DH5426" t="s">
        <v>3958</v>
      </c>
      <c r="DI5426" s="406" t="str">
        <f t="shared" si="116"/>
        <v>SP, Zacarias</v>
      </c>
      <c r="DJ5426">
        <v>-21.052</v>
      </c>
      <c r="DK5426">
        <v>-50.051000000000002</v>
      </c>
      <c r="DL5426">
        <v>405</v>
      </c>
      <c r="DM5426" s="1">
        <v>6</v>
      </c>
      <c r="DN5426" t="s">
        <v>8710</v>
      </c>
      <c r="DO5426" s="406">
        <v>-21.1</v>
      </c>
      <c r="DP5426" s="80">
        <v>405</v>
      </c>
    </row>
    <row r="5427" spans="29:120" x14ac:dyDescent="0.25">
      <c r="AC5427" s="122" t="s">
        <v>340</v>
      </c>
      <c r="AD5427" s="122" t="s">
        <v>5566</v>
      </c>
      <c r="AE5427" s="127">
        <v>5</v>
      </c>
      <c r="DA5427" s="122" t="s">
        <v>393</v>
      </c>
      <c r="DB5427" s="122" t="s">
        <v>5214</v>
      </c>
      <c r="DC5427" s="122" t="s">
        <v>5214</v>
      </c>
      <c r="DD5427" s="127">
        <v>7</v>
      </c>
      <c r="DE5427" s="127">
        <v>7</v>
      </c>
      <c r="DG5427" t="s">
        <v>393</v>
      </c>
      <c r="DH5427" t="s">
        <v>5214</v>
      </c>
      <c r="DI5427" s="406" t="str">
        <f t="shared" si="116"/>
        <v>TO, Abreulândia</v>
      </c>
      <c r="DJ5427">
        <v>-9.6210000000000004</v>
      </c>
      <c r="DK5427">
        <v>-49.151000000000003</v>
      </c>
      <c r="DL5427">
        <v>245</v>
      </c>
      <c r="DM5427" s="1">
        <v>7</v>
      </c>
      <c r="DN5427" t="s">
        <v>8927</v>
      </c>
      <c r="DO5427" s="406">
        <v>-10.17</v>
      </c>
      <c r="DP5427" s="80">
        <v>280</v>
      </c>
    </row>
    <row r="5428" spans="29:120" x14ac:dyDescent="0.25">
      <c r="AC5428" s="122" t="s">
        <v>357</v>
      </c>
      <c r="AD5428" s="122" t="s">
        <v>5567</v>
      </c>
      <c r="AE5428" s="127">
        <v>7</v>
      </c>
      <c r="DA5428" s="122" t="s">
        <v>393</v>
      </c>
      <c r="DB5428" s="122" t="s">
        <v>5001</v>
      </c>
      <c r="DC5428" s="122" t="s">
        <v>5001</v>
      </c>
      <c r="DD5428" s="127">
        <v>7</v>
      </c>
      <c r="DE5428" s="127">
        <v>7</v>
      </c>
      <c r="DG5428" t="s">
        <v>393</v>
      </c>
      <c r="DH5428" t="s">
        <v>5001</v>
      </c>
      <c r="DI5428" s="406" t="str">
        <f t="shared" si="116"/>
        <v>TO, Aguiarnópolis</v>
      </c>
      <c r="DJ5428">
        <v>-6.5629999999999997</v>
      </c>
      <c r="DK5428">
        <v>-47.466000000000001</v>
      </c>
      <c r="DL5428">
        <v>150</v>
      </c>
      <c r="DM5428" s="1">
        <v>7</v>
      </c>
      <c r="DN5428" t="s">
        <v>6672</v>
      </c>
      <c r="DO5428" s="406">
        <v>-6.65</v>
      </c>
      <c r="DP5428" s="80">
        <v>180</v>
      </c>
    </row>
    <row r="5429" spans="29:120" x14ac:dyDescent="0.25">
      <c r="AC5429" s="122" t="s">
        <v>289</v>
      </c>
      <c r="AD5429" s="122" t="s">
        <v>5568</v>
      </c>
      <c r="AE5429" s="127">
        <v>7</v>
      </c>
      <c r="DA5429" s="122" t="s">
        <v>393</v>
      </c>
      <c r="DB5429" s="122" t="s">
        <v>8928</v>
      </c>
      <c r="DC5429" s="122" t="s">
        <v>4996</v>
      </c>
      <c r="DD5429" s="127">
        <v>7</v>
      </c>
      <c r="DE5429" s="127">
        <v>7</v>
      </c>
      <c r="DG5429" t="s">
        <v>393</v>
      </c>
      <c r="DH5429" t="s">
        <v>4996</v>
      </c>
      <c r="DI5429" s="406" t="str">
        <f t="shared" si="116"/>
        <v>TO, Aliança do Tocantins</v>
      </c>
      <c r="DJ5429">
        <v>-11.305999999999999</v>
      </c>
      <c r="DK5429">
        <v>-48.936</v>
      </c>
      <c r="DL5429">
        <v>333</v>
      </c>
      <c r="DM5429" s="1">
        <v>7</v>
      </c>
      <c r="DN5429" t="s">
        <v>8929</v>
      </c>
      <c r="DO5429" s="406">
        <v>-11.72</v>
      </c>
      <c r="DP5429" s="80">
        <v>287</v>
      </c>
    </row>
    <row r="5430" spans="29:120" x14ac:dyDescent="0.25">
      <c r="AC5430" s="122" t="s">
        <v>328</v>
      </c>
      <c r="AD5430" s="122" t="s">
        <v>5569</v>
      </c>
      <c r="AE5430" s="127">
        <v>8</v>
      </c>
      <c r="DA5430" s="122" t="s">
        <v>393</v>
      </c>
      <c r="DB5430" s="122" t="s">
        <v>4367</v>
      </c>
      <c r="DC5430" s="122" t="s">
        <v>4367</v>
      </c>
      <c r="DD5430" s="127">
        <v>7</v>
      </c>
      <c r="DE5430" s="127">
        <v>7</v>
      </c>
      <c r="DG5430" t="s">
        <v>393</v>
      </c>
      <c r="DH5430" t="s">
        <v>4367</v>
      </c>
      <c r="DI5430" s="406" t="str">
        <f t="shared" si="116"/>
        <v>TO, Almas</v>
      </c>
      <c r="DJ5430">
        <v>-11.574</v>
      </c>
      <c r="DK5430">
        <v>-47.17</v>
      </c>
      <c r="DL5430">
        <v>397</v>
      </c>
      <c r="DM5430" s="1">
        <v>7</v>
      </c>
      <c r="DN5430" t="s">
        <v>8930</v>
      </c>
      <c r="DO5430" s="406">
        <v>-11.59</v>
      </c>
      <c r="DP5430" s="80">
        <v>732</v>
      </c>
    </row>
    <row r="5431" spans="29:120" x14ac:dyDescent="0.25">
      <c r="AC5431" s="122" t="s">
        <v>357</v>
      </c>
      <c r="AD5431" s="122" t="s">
        <v>5570</v>
      </c>
      <c r="AE5431" s="127">
        <v>7</v>
      </c>
      <c r="DA5431" s="122" t="s">
        <v>393</v>
      </c>
      <c r="DB5431" s="122" t="s">
        <v>1206</v>
      </c>
      <c r="DC5431" s="122" t="s">
        <v>1206</v>
      </c>
      <c r="DD5431" s="127">
        <v>7</v>
      </c>
      <c r="DE5431" s="127">
        <v>7</v>
      </c>
      <c r="DG5431" t="s">
        <v>393</v>
      </c>
      <c r="DH5431" t="s">
        <v>1206</v>
      </c>
      <c r="DI5431" s="406" t="str">
        <f t="shared" si="116"/>
        <v>TO, Alvorada</v>
      </c>
      <c r="DJ5431">
        <v>-12.48</v>
      </c>
      <c r="DK5431">
        <v>-49.125</v>
      </c>
      <c r="DL5431">
        <v>289</v>
      </c>
      <c r="DM5431" s="1">
        <v>7</v>
      </c>
      <c r="DN5431" t="s">
        <v>8931</v>
      </c>
      <c r="DO5431" s="406">
        <v>-12.02</v>
      </c>
      <c r="DP5431" s="80">
        <v>242</v>
      </c>
    </row>
    <row r="5432" spans="29:120" x14ac:dyDescent="0.25">
      <c r="AC5432" s="122" t="s">
        <v>289</v>
      </c>
      <c r="AD5432" s="122" t="s">
        <v>5571</v>
      </c>
      <c r="AE5432" s="127">
        <v>7</v>
      </c>
      <c r="DA5432" s="122" t="s">
        <v>393</v>
      </c>
      <c r="DB5432" s="122" t="s">
        <v>4971</v>
      </c>
      <c r="DC5432" s="122" t="s">
        <v>4971</v>
      </c>
      <c r="DD5432" s="127">
        <v>8</v>
      </c>
      <c r="DE5432" s="127">
        <v>8</v>
      </c>
      <c r="DG5432" t="s">
        <v>393</v>
      </c>
      <c r="DH5432" t="s">
        <v>4971</v>
      </c>
      <c r="DI5432" s="406" t="str">
        <f t="shared" si="116"/>
        <v>TO, Ananás</v>
      </c>
      <c r="DJ5432">
        <v>-6.3659999999999997</v>
      </c>
      <c r="DK5432">
        <v>-48.073</v>
      </c>
      <c r="DL5432">
        <v>220</v>
      </c>
      <c r="DM5432" s="1">
        <v>8</v>
      </c>
      <c r="DN5432" t="s">
        <v>6672</v>
      </c>
      <c r="DO5432" s="406">
        <v>-6.65</v>
      </c>
      <c r="DP5432" s="80">
        <v>180</v>
      </c>
    </row>
    <row r="5433" spans="29:120" x14ac:dyDescent="0.25">
      <c r="AC5433" s="122" t="s">
        <v>328</v>
      </c>
      <c r="AD5433" s="122" t="s">
        <v>5572</v>
      </c>
      <c r="AE5433" s="127">
        <v>8</v>
      </c>
      <c r="DA5433" s="122" t="s">
        <v>393</v>
      </c>
      <c r="DB5433" s="122" t="s">
        <v>4978</v>
      </c>
      <c r="DC5433" s="122" t="s">
        <v>4978</v>
      </c>
      <c r="DD5433" s="127">
        <v>7</v>
      </c>
      <c r="DE5433" s="127">
        <v>7</v>
      </c>
      <c r="DG5433" t="s">
        <v>393</v>
      </c>
      <c r="DH5433" t="s">
        <v>4978</v>
      </c>
      <c r="DI5433" s="406" t="str">
        <f t="shared" si="116"/>
        <v>TO, Angico</v>
      </c>
      <c r="DJ5433">
        <v>-6.39</v>
      </c>
      <c r="DK5433">
        <v>-47.865000000000002</v>
      </c>
      <c r="DL5433">
        <v>290</v>
      </c>
      <c r="DM5433" s="1">
        <v>7</v>
      </c>
      <c r="DN5433" t="s">
        <v>6672</v>
      </c>
      <c r="DO5433" s="406">
        <v>-6.65</v>
      </c>
      <c r="DP5433" s="80">
        <v>180</v>
      </c>
    </row>
    <row r="5434" spans="29:120" x14ac:dyDescent="0.25">
      <c r="AC5434" s="122" t="s">
        <v>322</v>
      </c>
      <c r="AD5434" s="122" t="s">
        <v>5573</v>
      </c>
      <c r="AE5434" s="127">
        <v>6</v>
      </c>
      <c r="DA5434" s="122" t="s">
        <v>393</v>
      </c>
      <c r="DB5434" s="122" t="s">
        <v>8932</v>
      </c>
      <c r="DC5434" s="122" t="s">
        <v>4427</v>
      </c>
      <c r="DD5434" s="127">
        <v>7</v>
      </c>
      <c r="DE5434" s="127">
        <v>7</v>
      </c>
      <c r="DG5434" t="s">
        <v>393</v>
      </c>
      <c r="DH5434" t="s">
        <v>4427</v>
      </c>
      <c r="DI5434" s="406" t="str">
        <f t="shared" si="116"/>
        <v>TO, Aparecida do Rio Negro</v>
      </c>
      <c r="DJ5434">
        <v>-9.952</v>
      </c>
      <c r="DK5434">
        <v>-47.972000000000001</v>
      </c>
      <c r="DL5434">
        <v>265</v>
      </c>
      <c r="DM5434" s="1">
        <v>7</v>
      </c>
      <c r="DN5434" t="s">
        <v>8927</v>
      </c>
      <c r="DO5434" s="406">
        <v>-10.17</v>
      </c>
      <c r="DP5434" s="80">
        <v>280</v>
      </c>
    </row>
    <row r="5435" spans="29:120" x14ac:dyDescent="0.25">
      <c r="AC5435" s="122" t="s">
        <v>357</v>
      </c>
      <c r="AD5435" s="122" t="s">
        <v>5574</v>
      </c>
      <c r="AE5435" s="127">
        <v>7</v>
      </c>
      <c r="DA5435" s="122" t="s">
        <v>393</v>
      </c>
      <c r="DB5435" s="122" t="s">
        <v>4868</v>
      </c>
      <c r="DC5435" s="122" t="s">
        <v>4868</v>
      </c>
      <c r="DD5435" s="127">
        <v>8</v>
      </c>
      <c r="DE5435" s="127">
        <v>8</v>
      </c>
      <c r="DG5435" t="s">
        <v>393</v>
      </c>
      <c r="DH5435" t="s">
        <v>4868</v>
      </c>
      <c r="DI5435" s="406" t="str">
        <f t="shared" si="116"/>
        <v>TO, Aragominas</v>
      </c>
      <c r="DJ5435">
        <v>-7.1619999999999999</v>
      </c>
      <c r="DK5435">
        <v>-48.527999999999999</v>
      </c>
      <c r="DL5435">
        <v>345</v>
      </c>
      <c r="DM5435" s="1">
        <v>8</v>
      </c>
      <c r="DN5435" t="s">
        <v>8933</v>
      </c>
      <c r="DO5435" s="406">
        <v>-7.18</v>
      </c>
      <c r="DP5435" s="80">
        <v>226</v>
      </c>
    </row>
    <row r="5436" spans="29:120" x14ac:dyDescent="0.25">
      <c r="AC5436" s="122" t="s">
        <v>322</v>
      </c>
      <c r="AD5436" s="122" t="s">
        <v>5575</v>
      </c>
      <c r="AE5436" s="127">
        <v>6</v>
      </c>
      <c r="DA5436" s="122" t="s">
        <v>393</v>
      </c>
      <c r="DB5436" s="122" t="s">
        <v>5264</v>
      </c>
      <c r="DC5436" s="122" t="s">
        <v>5264</v>
      </c>
      <c r="DD5436" s="127">
        <v>8</v>
      </c>
      <c r="DE5436" s="127">
        <v>8</v>
      </c>
      <c r="DG5436" t="s">
        <v>393</v>
      </c>
      <c r="DH5436" t="s">
        <v>5264</v>
      </c>
      <c r="DI5436" s="406" t="str">
        <f t="shared" si="116"/>
        <v>TO, Araguacema</v>
      </c>
      <c r="DJ5436">
        <v>-8.8040000000000003</v>
      </c>
      <c r="DK5436">
        <v>-49.555999999999997</v>
      </c>
      <c r="DL5436">
        <v>159</v>
      </c>
      <c r="DM5436" s="1">
        <v>8</v>
      </c>
      <c r="DN5436" t="s">
        <v>7438</v>
      </c>
      <c r="DO5436" s="406">
        <v>-9.34</v>
      </c>
      <c r="DP5436" s="80">
        <v>168</v>
      </c>
    </row>
    <row r="5437" spans="29:120" x14ac:dyDescent="0.25">
      <c r="AC5437" s="122" t="s">
        <v>357</v>
      </c>
      <c r="AD5437" s="122" t="s">
        <v>5576</v>
      </c>
      <c r="AE5437" s="127">
        <v>7</v>
      </c>
      <c r="DA5437" s="122" t="s">
        <v>393</v>
      </c>
      <c r="DB5437" s="122" t="s">
        <v>5145</v>
      </c>
      <c r="DC5437" s="122" t="s">
        <v>5145</v>
      </c>
      <c r="DD5437" s="127">
        <v>7</v>
      </c>
      <c r="DE5437" s="127">
        <v>7</v>
      </c>
      <c r="DG5437" t="s">
        <v>393</v>
      </c>
      <c r="DH5437" t="s">
        <v>5145</v>
      </c>
      <c r="DI5437" s="406" t="str">
        <f t="shared" si="116"/>
        <v>TO, Araguaçu</v>
      </c>
      <c r="DJ5437">
        <v>-12.930999999999999</v>
      </c>
      <c r="DK5437">
        <v>-49.826000000000001</v>
      </c>
      <c r="DL5437">
        <v>278</v>
      </c>
      <c r="DM5437" s="1">
        <v>7</v>
      </c>
      <c r="DN5437" t="s">
        <v>6589</v>
      </c>
      <c r="DO5437" s="406">
        <v>-11.78</v>
      </c>
      <c r="DP5437" s="80">
        <v>220</v>
      </c>
    </row>
    <row r="5438" spans="29:120" x14ac:dyDescent="0.25">
      <c r="AC5438" s="122" t="s">
        <v>357</v>
      </c>
      <c r="AD5438" s="122" t="s">
        <v>5577</v>
      </c>
      <c r="AE5438" s="127">
        <v>7</v>
      </c>
      <c r="DA5438" s="122" t="s">
        <v>393</v>
      </c>
      <c r="DB5438" s="122" t="s">
        <v>4980</v>
      </c>
      <c r="DC5438" s="122" t="s">
        <v>4980</v>
      </c>
      <c r="DD5438" s="127">
        <v>7</v>
      </c>
      <c r="DE5438" s="127">
        <v>7</v>
      </c>
      <c r="DG5438" t="s">
        <v>393</v>
      </c>
      <c r="DH5438" t="s">
        <v>4980</v>
      </c>
      <c r="DI5438" s="406" t="str">
        <f t="shared" si="116"/>
        <v>TO, Araguaína</v>
      </c>
      <c r="DJ5438">
        <v>-7.1909999999999998</v>
      </c>
      <c r="DK5438">
        <v>-48.207000000000001</v>
      </c>
      <c r="DL5438">
        <v>227</v>
      </c>
      <c r="DM5438" s="1">
        <v>7</v>
      </c>
      <c r="DN5438" t="s">
        <v>8933</v>
      </c>
      <c r="DO5438" s="406">
        <v>-7.18</v>
      </c>
      <c r="DP5438" s="80">
        <v>226</v>
      </c>
    </row>
    <row r="5439" spans="29:120" x14ac:dyDescent="0.25">
      <c r="AC5439" s="122" t="s">
        <v>357</v>
      </c>
      <c r="AD5439" s="122" t="s">
        <v>5578</v>
      </c>
      <c r="AE5439" s="127">
        <v>7</v>
      </c>
      <c r="DA5439" s="122" t="s">
        <v>393</v>
      </c>
      <c r="DB5439" s="122" t="s">
        <v>4594</v>
      </c>
      <c r="DC5439" s="122" t="s">
        <v>4594</v>
      </c>
      <c r="DD5439" s="127">
        <v>8</v>
      </c>
      <c r="DE5439" s="127">
        <v>8</v>
      </c>
      <c r="DG5439" t="s">
        <v>393</v>
      </c>
      <c r="DH5439" t="s">
        <v>4594</v>
      </c>
      <c r="DI5439" s="406" t="str">
        <f t="shared" si="116"/>
        <v>TO, Araguanã</v>
      </c>
      <c r="DJ5439">
        <v>-6.5810000000000004</v>
      </c>
      <c r="DK5439">
        <v>-48.643999999999998</v>
      </c>
      <c r="DL5439">
        <v>142</v>
      </c>
      <c r="DM5439" s="1">
        <v>8</v>
      </c>
      <c r="DN5439" t="s">
        <v>7439</v>
      </c>
      <c r="DO5439" s="406">
        <v>-6.28</v>
      </c>
      <c r="DP5439" s="80">
        <v>180</v>
      </c>
    </row>
    <row r="5440" spans="29:120" x14ac:dyDescent="0.25">
      <c r="AC5440" s="122" t="s">
        <v>328</v>
      </c>
      <c r="AD5440" s="122" t="s">
        <v>5579</v>
      </c>
      <c r="AE5440" s="127">
        <v>8</v>
      </c>
      <c r="DA5440" s="122" t="s">
        <v>393</v>
      </c>
      <c r="DB5440" s="122" t="s">
        <v>4794</v>
      </c>
      <c r="DC5440" s="122" t="s">
        <v>4794</v>
      </c>
      <c r="DD5440" s="127">
        <v>8</v>
      </c>
      <c r="DE5440" s="127">
        <v>8</v>
      </c>
      <c r="DG5440" t="s">
        <v>393</v>
      </c>
      <c r="DH5440" t="s">
        <v>4794</v>
      </c>
      <c r="DI5440" s="406" t="str">
        <f t="shared" si="116"/>
        <v>TO, Araguatins</v>
      </c>
      <c r="DJ5440">
        <v>-5.6509999999999998</v>
      </c>
      <c r="DK5440">
        <v>-48.124000000000002</v>
      </c>
      <c r="DL5440">
        <v>103</v>
      </c>
      <c r="DM5440" s="1">
        <v>8</v>
      </c>
      <c r="DN5440" t="s">
        <v>7426</v>
      </c>
      <c r="DO5440" s="406">
        <v>-5.64</v>
      </c>
      <c r="DP5440" s="80">
        <v>117</v>
      </c>
    </row>
    <row r="5441" spans="29:120" x14ac:dyDescent="0.25">
      <c r="AC5441" s="122" t="s">
        <v>333</v>
      </c>
      <c r="AD5441" s="122" t="s">
        <v>5580</v>
      </c>
      <c r="AE5441" s="127">
        <v>6</v>
      </c>
      <c r="DA5441" s="122" t="s">
        <v>393</v>
      </c>
      <c r="DB5441" s="122" t="s">
        <v>4410</v>
      </c>
      <c r="DC5441" s="122" t="s">
        <v>4410</v>
      </c>
      <c r="DD5441" s="127">
        <v>8</v>
      </c>
      <c r="DE5441" s="127">
        <v>8</v>
      </c>
      <c r="DG5441" t="s">
        <v>393</v>
      </c>
      <c r="DH5441" t="s">
        <v>4410</v>
      </c>
      <c r="DI5441" s="406" t="str">
        <f t="shared" si="116"/>
        <v>TO, Arapoema</v>
      </c>
      <c r="DJ5441">
        <v>-7.6580000000000004</v>
      </c>
      <c r="DK5441">
        <v>-49.064</v>
      </c>
      <c r="DL5441">
        <v>221</v>
      </c>
      <c r="DM5441" s="1">
        <v>8</v>
      </c>
      <c r="DN5441" t="s">
        <v>8933</v>
      </c>
      <c r="DO5441" s="406">
        <v>-7.18</v>
      </c>
      <c r="DP5441" s="80">
        <v>226</v>
      </c>
    </row>
    <row r="5442" spans="29:120" x14ac:dyDescent="0.25">
      <c r="AC5442" s="122" t="s">
        <v>357</v>
      </c>
      <c r="AD5442" s="122" t="s">
        <v>5581</v>
      </c>
      <c r="AE5442" s="127">
        <v>7</v>
      </c>
      <c r="DA5442" s="122" t="s">
        <v>393</v>
      </c>
      <c r="DB5442" s="122" t="s">
        <v>4608</v>
      </c>
      <c r="DC5442" s="122" t="s">
        <v>4608</v>
      </c>
      <c r="DD5442" s="127">
        <v>7</v>
      </c>
      <c r="DE5442" s="127">
        <v>7</v>
      </c>
      <c r="DG5442" t="s">
        <v>393</v>
      </c>
      <c r="DH5442" t="s">
        <v>4608</v>
      </c>
      <c r="DI5442" s="406" t="str">
        <f t="shared" si="116"/>
        <v>TO, Arraias</v>
      </c>
      <c r="DJ5442">
        <v>-12.930999999999999</v>
      </c>
      <c r="DK5442">
        <v>-46.938000000000002</v>
      </c>
      <c r="DL5442">
        <v>682</v>
      </c>
      <c r="DM5442" s="1">
        <v>7</v>
      </c>
      <c r="DN5442" t="s">
        <v>6550</v>
      </c>
      <c r="DO5442" s="406">
        <v>-13.5</v>
      </c>
      <c r="DP5442" s="80">
        <v>1253</v>
      </c>
    </row>
    <row r="5443" spans="29:120" x14ac:dyDescent="0.25">
      <c r="AC5443" s="122" t="s">
        <v>340</v>
      </c>
      <c r="AD5443" s="122" t="s">
        <v>5582</v>
      </c>
      <c r="AE5443" s="127">
        <v>5</v>
      </c>
      <c r="DA5443" s="122" t="s">
        <v>393</v>
      </c>
      <c r="DB5443" s="122" t="s">
        <v>4827</v>
      </c>
      <c r="DC5443" s="122" t="s">
        <v>4827</v>
      </c>
      <c r="DD5443" s="127">
        <v>8</v>
      </c>
      <c r="DE5443" s="127">
        <v>8</v>
      </c>
      <c r="DG5443" t="s">
        <v>393</v>
      </c>
      <c r="DH5443" t="s">
        <v>4827</v>
      </c>
      <c r="DI5443" s="406" t="str">
        <f t="shared" ref="DI5443:DI5506" si="117">CONCATENATE(DG5443,", ",DH5443)</f>
        <v>TO, Augustinópolis</v>
      </c>
      <c r="DJ5443">
        <v>-5.4660000000000002</v>
      </c>
      <c r="DK5443">
        <v>-47.887999999999998</v>
      </c>
      <c r="DL5443">
        <v>145</v>
      </c>
      <c r="DM5443" s="1">
        <v>8</v>
      </c>
      <c r="DN5443" t="s">
        <v>7426</v>
      </c>
      <c r="DO5443" s="406">
        <v>-5.64</v>
      </c>
      <c r="DP5443" s="80">
        <v>117</v>
      </c>
    </row>
    <row r="5444" spans="29:120" x14ac:dyDescent="0.25">
      <c r="AC5444" s="122" t="s">
        <v>357</v>
      </c>
      <c r="AD5444" s="122" t="s">
        <v>5583</v>
      </c>
      <c r="AE5444" s="127">
        <v>7</v>
      </c>
      <c r="DA5444" s="122" t="s">
        <v>393</v>
      </c>
      <c r="DB5444" s="122" t="s">
        <v>8934</v>
      </c>
      <c r="DC5444" s="122" t="s">
        <v>4488</v>
      </c>
      <c r="DD5444" s="127">
        <v>7</v>
      </c>
      <c r="DE5444" s="127">
        <v>7</v>
      </c>
      <c r="DG5444" t="s">
        <v>393</v>
      </c>
      <c r="DH5444" t="s">
        <v>4488</v>
      </c>
      <c r="DI5444" s="406" t="str">
        <f t="shared" si="117"/>
        <v>TO, Aurora do Tocantins</v>
      </c>
      <c r="DJ5444">
        <v>-12.712999999999999</v>
      </c>
      <c r="DK5444">
        <v>-46.408000000000001</v>
      </c>
      <c r="DL5444">
        <v>468</v>
      </c>
      <c r="DM5444" s="1">
        <v>7</v>
      </c>
      <c r="DN5444" t="s">
        <v>6550</v>
      </c>
      <c r="DO5444" s="406">
        <v>-13.5</v>
      </c>
      <c r="DP5444" s="80">
        <v>1253</v>
      </c>
    </row>
    <row r="5445" spans="29:120" x14ac:dyDescent="0.25">
      <c r="AC5445" s="122" t="s">
        <v>289</v>
      </c>
      <c r="AD5445" s="122" t="s">
        <v>5584</v>
      </c>
      <c r="AE5445" s="127">
        <v>6</v>
      </c>
      <c r="DA5445" s="122" t="s">
        <v>393</v>
      </c>
      <c r="DB5445" s="122" t="s">
        <v>8935</v>
      </c>
      <c r="DC5445" s="122" t="s">
        <v>4869</v>
      </c>
      <c r="DD5445" s="127">
        <v>8</v>
      </c>
      <c r="DE5445" s="127">
        <v>8</v>
      </c>
      <c r="DG5445" t="s">
        <v>393</v>
      </c>
      <c r="DH5445" t="s">
        <v>4869</v>
      </c>
      <c r="DI5445" s="406" t="str">
        <f t="shared" si="117"/>
        <v>TO, Axixá do Tocantins</v>
      </c>
      <c r="DJ5445">
        <v>-5.617</v>
      </c>
      <c r="DK5445">
        <v>-47.768999999999998</v>
      </c>
      <c r="DL5445">
        <v>210</v>
      </c>
      <c r="DM5445" s="1">
        <v>8</v>
      </c>
      <c r="DN5445" t="s">
        <v>6669</v>
      </c>
      <c r="DO5445" s="406">
        <v>-5.56</v>
      </c>
      <c r="DP5445" s="80">
        <v>126</v>
      </c>
    </row>
    <row r="5446" spans="29:120" x14ac:dyDescent="0.25">
      <c r="AC5446" s="122" t="s">
        <v>357</v>
      </c>
      <c r="AD5446" s="122" t="s">
        <v>5585</v>
      </c>
      <c r="AE5446" s="127">
        <v>7</v>
      </c>
      <c r="DA5446" s="122" t="s">
        <v>393</v>
      </c>
      <c r="DB5446" s="122" t="s">
        <v>4968</v>
      </c>
      <c r="DC5446" s="122" t="s">
        <v>4968</v>
      </c>
      <c r="DD5446" s="127">
        <v>7</v>
      </c>
      <c r="DE5446" s="127">
        <v>7</v>
      </c>
      <c r="DG5446" t="s">
        <v>393</v>
      </c>
      <c r="DH5446" t="s">
        <v>4968</v>
      </c>
      <c r="DI5446" s="406" t="str">
        <f t="shared" si="117"/>
        <v>TO, Babaçulândia</v>
      </c>
      <c r="DJ5446">
        <v>-7.2050000000000001</v>
      </c>
      <c r="DK5446">
        <v>-47.756999999999998</v>
      </c>
      <c r="DL5446">
        <v>178</v>
      </c>
      <c r="DM5446" s="1">
        <v>7</v>
      </c>
      <c r="DN5446" t="s">
        <v>6675</v>
      </c>
      <c r="DO5446" s="406">
        <v>-7.34</v>
      </c>
      <c r="DP5446" s="80">
        <v>192</v>
      </c>
    </row>
    <row r="5447" spans="29:120" x14ac:dyDescent="0.25">
      <c r="AC5447" s="122" t="s">
        <v>357</v>
      </c>
      <c r="AD5447" s="122" t="s">
        <v>5586</v>
      </c>
      <c r="AE5447" s="127">
        <v>8</v>
      </c>
      <c r="DA5447" s="122" t="s">
        <v>393</v>
      </c>
      <c r="DB5447" s="122" t="s">
        <v>8936</v>
      </c>
      <c r="DC5447" s="122" t="s">
        <v>4418</v>
      </c>
      <c r="DD5447" s="127">
        <v>8</v>
      </c>
      <c r="DE5447" s="127">
        <v>8</v>
      </c>
      <c r="DG5447" t="s">
        <v>393</v>
      </c>
      <c r="DH5447" t="s">
        <v>4418</v>
      </c>
      <c r="DI5447" s="406" t="str">
        <f t="shared" si="117"/>
        <v>TO, Bandeirantes do Tocantins</v>
      </c>
      <c r="DJ5447">
        <v>-7.7560000000000002</v>
      </c>
      <c r="DK5447">
        <v>-48.584000000000003</v>
      </c>
      <c r="DL5447">
        <v>288</v>
      </c>
      <c r="DM5447" s="1">
        <v>8</v>
      </c>
      <c r="DN5447" t="s">
        <v>8933</v>
      </c>
      <c r="DO5447" s="406">
        <v>-7.18</v>
      </c>
      <c r="DP5447" s="80">
        <v>226</v>
      </c>
    </row>
    <row r="5448" spans="29:120" x14ac:dyDescent="0.25">
      <c r="AC5448" s="122" t="s">
        <v>357</v>
      </c>
      <c r="AD5448" s="122" t="s">
        <v>5587</v>
      </c>
      <c r="AE5448" s="127">
        <v>7</v>
      </c>
      <c r="DA5448" s="122" t="s">
        <v>393</v>
      </c>
      <c r="DB5448" s="122" t="s">
        <v>8937</v>
      </c>
      <c r="DC5448" s="122" t="s">
        <v>4764</v>
      </c>
      <c r="DD5448" s="127">
        <v>7</v>
      </c>
      <c r="DE5448" s="127">
        <v>7</v>
      </c>
      <c r="DG5448" t="s">
        <v>393</v>
      </c>
      <c r="DH5448" t="s">
        <v>4764</v>
      </c>
      <c r="DI5448" s="406" t="str">
        <f t="shared" si="117"/>
        <v>TO, Barra do Ouro</v>
      </c>
      <c r="DJ5448">
        <v>-7.6890000000000001</v>
      </c>
      <c r="DK5448">
        <v>-47.683</v>
      </c>
      <c r="DL5448">
        <v>161</v>
      </c>
      <c r="DM5448" s="1">
        <v>7</v>
      </c>
      <c r="DN5448" t="s">
        <v>6675</v>
      </c>
      <c r="DO5448" s="406">
        <v>-7.34</v>
      </c>
      <c r="DP5448" s="80">
        <v>192</v>
      </c>
    </row>
    <row r="5449" spans="29:120" x14ac:dyDescent="0.25">
      <c r="AC5449" s="122" t="s">
        <v>340</v>
      </c>
      <c r="AD5449" s="122" t="s">
        <v>5588</v>
      </c>
      <c r="AE5449" s="127">
        <v>7</v>
      </c>
      <c r="DA5449" s="122" t="s">
        <v>393</v>
      </c>
      <c r="DB5449" s="122" t="s">
        <v>5221</v>
      </c>
      <c r="DC5449" s="122" t="s">
        <v>5221</v>
      </c>
      <c r="DD5449" s="127">
        <v>7</v>
      </c>
      <c r="DE5449" s="127">
        <v>7</v>
      </c>
      <c r="DG5449" t="s">
        <v>393</v>
      </c>
      <c r="DH5449" t="s">
        <v>5221</v>
      </c>
      <c r="DI5449" s="406" t="str">
        <f t="shared" si="117"/>
        <v>TO, Barrolândia</v>
      </c>
      <c r="DJ5449">
        <v>-9.8360000000000003</v>
      </c>
      <c r="DK5449">
        <v>-48.725000000000001</v>
      </c>
      <c r="DL5449">
        <v>361</v>
      </c>
      <c r="DM5449" s="1">
        <v>7</v>
      </c>
      <c r="DN5449" t="s">
        <v>8927</v>
      </c>
      <c r="DO5449" s="406">
        <v>-10.17</v>
      </c>
      <c r="DP5449" s="80">
        <v>280</v>
      </c>
    </row>
    <row r="5450" spans="29:120" x14ac:dyDescent="0.25">
      <c r="AC5450" s="122" t="s">
        <v>328</v>
      </c>
      <c r="AD5450" s="122" t="s">
        <v>5589</v>
      </c>
      <c r="AE5450" s="127">
        <v>8</v>
      </c>
      <c r="DA5450" s="122" t="s">
        <v>393</v>
      </c>
      <c r="DB5450" s="122" t="s">
        <v>8938</v>
      </c>
      <c r="DC5450" s="122" t="s">
        <v>4413</v>
      </c>
      <c r="DD5450" s="127">
        <v>8</v>
      </c>
      <c r="DE5450" s="127">
        <v>8</v>
      </c>
      <c r="DG5450" t="s">
        <v>393</v>
      </c>
      <c r="DH5450" t="s">
        <v>4413</v>
      </c>
      <c r="DI5450" s="406" t="str">
        <f t="shared" si="117"/>
        <v>TO, Bernardo Sayão</v>
      </c>
      <c r="DJ5450">
        <v>-7.8739999999999997</v>
      </c>
      <c r="DK5450">
        <v>-48.887999999999998</v>
      </c>
      <c r="DL5450">
        <v>149</v>
      </c>
      <c r="DM5450" s="1">
        <v>8</v>
      </c>
      <c r="DN5450" t="s">
        <v>8933</v>
      </c>
      <c r="DO5450" s="406">
        <v>-7.18</v>
      </c>
      <c r="DP5450" s="80">
        <v>226</v>
      </c>
    </row>
    <row r="5451" spans="29:120" x14ac:dyDescent="0.25">
      <c r="AC5451" s="122" t="s">
        <v>357</v>
      </c>
      <c r="AD5451" s="122" t="s">
        <v>5590</v>
      </c>
      <c r="AE5451" s="127">
        <v>7</v>
      </c>
      <c r="DA5451" s="122" t="s">
        <v>393</v>
      </c>
      <c r="DB5451" s="122" t="s">
        <v>7421</v>
      </c>
      <c r="DC5451" s="122" t="s">
        <v>4415</v>
      </c>
      <c r="DD5451" s="127">
        <v>7</v>
      </c>
      <c r="DE5451" s="127">
        <v>7</v>
      </c>
      <c r="DG5451" t="s">
        <v>393</v>
      </c>
      <c r="DH5451" t="s">
        <v>4415</v>
      </c>
      <c r="DI5451" s="406" t="str">
        <f t="shared" si="117"/>
        <v>TO, Bom Jesus do Tocantins</v>
      </c>
      <c r="DJ5451">
        <v>-8.9649999999999999</v>
      </c>
      <c r="DK5451">
        <v>-48.165999999999997</v>
      </c>
      <c r="DL5451">
        <v>204</v>
      </c>
      <c r="DM5451" s="1">
        <v>7</v>
      </c>
      <c r="DN5451" t="s">
        <v>7435</v>
      </c>
      <c r="DO5451" s="406">
        <v>-8.9700000000000006</v>
      </c>
      <c r="DP5451" s="80">
        <v>189</v>
      </c>
    </row>
    <row r="5452" spans="29:120" x14ac:dyDescent="0.25">
      <c r="AC5452" s="122" t="s">
        <v>357</v>
      </c>
      <c r="AD5452" s="122" t="s">
        <v>5591</v>
      </c>
      <c r="AE5452" s="127">
        <v>8</v>
      </c>
      <c r="DA5452" s="122" t="s">
        <v>393</v>
      </c>
      <c r="DB5452" s="122" t="s">
        <v>8939</v>
      </c>
      <c r="DC5452" s="122" t="s">
        <v>4433</v>
      </c>
      <c r="DD5452" s="127">
        <v>8</v>
      </c>
      <c r="DE5452" s="127">
        <v>8</v>
      </c>
      <c r="DG5452" t="s">
        <v>393</v>
      </c>
      <c r="DH5452" t="s">
        <v>4433</v>
      </c>
      <c r="DI5452" s="406" t="str">
        <f t="shared" si="117"/>
        <v>TO, Brasilândia do Tocantins</v>
      </c>
      <c r="DJ5452">
        <v>-8.3879999999999999</v>
      </c>
      <c r="DK5452">
        <v>-48.481000000000002</v>
      </c>
      <c r="DL5452">
        <v>224</v>
      </c>
      <c r="DM5452" s="1">
        <v>8</v>
      </c>
      <c r="DN5452" t="s">
        <v>7435</v>
      </c>
      <c r="DO5452" s="406">
        <v>-8.9700000000000006</v>
      </c>
      <c r="DP5452" s="80">
        <v>189</v>
      </c>
    </row>
    <row r="5453" spans="29:120" x14ac:dyDescent="0.25">
      <c r="AC5453" s="122" t="s">
        <v>289</v>
      </c>
      <c r="AD5453" s="122" t="s">
        <v>5592</v>
      </c>
      <c r="AE5453" s="127">
        <v>6</v>
      </c>
      <c r="DA5453" s="122" t="s">
        <v>393</v>
      </c>
      <c r="DB5453" s="122" t="s">
        <v>8940</v>
      </c>
      <c r="DC5453" s="122" t="s">
        <v>4964</v>
      </c>
      <c r="DD5453" s="127">
        <v>7</v>
      </c>
      <c r="DE5453" s="127">
        <v>7</v>
      </c>
      <c r="DG5453" t="s">
        <v>393</v>
      </c>
      <c r="DH5453" t="s">
        <v>4964</v>
      </c>
      <c r="DI5453" s="406" t="str">
        <f t="shared" si="117"/>
        <v>TO, Brejinho de Nazaré</v>
      </c>
      <c r="DJ5453">
        <v>-11</v>
      </c>
      <c r="DK5453">
        <v>-48.566000000000003</v>
      </c>
      <c r="DL5453">
        <v>247</v>
      </c>
      <c r="DM5453" s="1">
        <v>7</v>
      </c>
      <c r="DN5453" t="s">
        <v>8927</v>
      </c>
      <c r="DO5453" s="406">
        <v>-10.17</v>
      </c>
      <c r="DP5453" s="80">
        <v>280</v>
      </c>
    </row>
    <row r="5454" spans="29:120" x14ac:dyDescent="0.25">
      <c r="AC5454" s="122" t="s">
        <v>357</v>
      </c>
      <c r="AD5454" s="122" t="s">
        <v>5593</v>
      </c>
      <c r="AE5454" s="127">
        <v>7</v>
      </c>
      <c r="DA5454" s="122" t="s">
        <v>393</v>
      </c>
      <c r="DB5454" s="122" t="s">
        <v>8941</v>
      </c>
      <c r="DC5454" s="122" t="s">
        <v>4765</v>
      </c>
      <c r="DD5454" s="127">
        <v>8</v>
      </c>
      <c r="DE5454" s="127">
        <v>8</v>
      </c>
      <c r="DG5454" t="s">
        <v>393</v>
      </c>
      <c r="DH5454" t="s">
        <v>4765</v>
      </c>
      <c r="DI5454" s="406" t="str">
        <f t="shared" si="117"/>
        <v>TO, Buriti do Tocantins</v>
      </c>
      <c r="DJ5454">
        <v>-5.3159999999999998</v>
      </c>
      <c r="DK5454">
        <v>-48.228999999999999</v>
      </c>
      <c r="DL5454">
        <v>198</v>
      </c>
      <c r="DM5454" s="1">
        <v>8</v>
      </c>
      <c r="DN5454" t="s">
        <v>7426</v>
      </c>
      <c r="DO5454" s="406">
        <v>-5.64</v>
      </c>
      <c r="DP5454" s="80">
        <v>117</v>
      </c>
    </row>
    <row r="5455" spans="29:120" x14ac:dyDescent="0.25">
      <c r="AC5455" s="122" t="s">
        <v>340</v>
      </c>
      <c r="AD5455" s="122" t="s">
        <v>5594</v>
      </c>
      <c r="AE5455" s="127">
        <v>5</v>
      </c>
      <c r="DA5455" s="122" t="s">
        <v>393</v>
      </c>
      <c r="DB5455" s="122" t="s">
        <v>1264</v>
      </c>
      <c r="DC5455" s="122" t="s">
        <v>1264</v>
      </c>
      <c r="DD5455" s="127">
        <v>8</v>
      </c>
      <c r="DE5455" s="127">
        <v>8</v>
      </c>
      <c r="DG5455" t="s">
        <v>393</v>
      </c>
      <c r="DH5455" t="s">
        <v>1264</v>
      </c>
      <c r="DI5455" s="406" t="str">
        <f t="shared" si="117"/>
        <v>TO, Cachoeirinha</v>
      </c>
      <c r="DJ5455">
        <v>-6.1219999999999999</v>
      </c>
      <c r="DK5455">
        <v>-47.921999999999997</v>
      </c>
      <c r="DL5455">
        <v>190</v>
      </c>
      <c r="DM5455" s="1">
        <v>8</v>
      </c>
      <c r="DN5455" t="s">
        <v>7426</v>
      </c>
      <c r="DO5455" s="406">
        <v>-5.64</v>
      </c>
      <c r="DP5455" s="80">
        <v>117</v>
      </c>
    </row>
    <row r="5456" spans="29:120" x14ac:dyDescent="0.25">
      <c r="AC5456" s="122" t="s">
        <v>289</v>
      </c>
      <c r="AD5456" s="122" t="s">
        <v>5595</v>
      </c>
      <c r="AE5456" s="127">
        <v>6</v>
      </c>
      <c r="DA5456" s="122" t="s">
        <v>393</v>
      </c>
      <c r="DB5456" s="122" t="s">
        <v>8942</v>
      </c>
      <c r="DC5456" s="122" t="s">
        <v>4539</v>
      </c>
      <c r="DD5456" s="127">
        <v>7</v>
      </c>
      <c r="DE5456" s="127">
        <v>7</v>
      </c>
      <c r="DG5456" t="s">
        <v>393</v>
      </c>
      <c r="DH5456" t="s">
        <v>4539</v>
      </c>
      <c r="DI5456" s="406" t="str">
        <f t="shared" si="117"/>
        <v>TO, Campos Lindos</v>
      </c>
      <c r="DJ5456">
        <v>-7.9939999999999998</v>
      </c>
      <c r="DK5456">
        <v>-46.868000000000002</v>
      </c>
      <c r="DL5456">
        <v>314</v>
      </c>
      <c r="DM5456" s="1">
        <v>7</v>
      </c>
      <c r="DN5456" t="s">
        <v>6675</v>
      </c>
      <c r="DO5456" s="406">
        <v>-7.34</v>
      </c>
      <c r="DP5456" s="80">
        <v>192</v>
      </c>
    </row>
    <row r="5457" spans="29:120" x14ac:dyDescent="0.25">
      <c r="AC5457" s="122" t="s">
        <v>357</v>
      </c>
      <c r="AD5457" s="122" t="s">
        <v>5596</v>
      </c>
      <c r="AE5457" s="127">
        <v>8</v>
      </c>
      <c r="DA5457" s="122" t="s">
        <v>393</v>
      </c>
      <c r="DB5457" s="122" t="s">
        <v>8943</v>
      </c>
      <c r="DC5457" s="122" t="s">
        <v>5007</v>
      </c>
      <c r="DD5457" s="127">
        <v>7</v>
      </c>
      <c r="DE5457" s="127">
        <v>7</v>
      </c>
      <c r="DG5457" t="s">
        <v>393</v>
      </c>
      <c r="DH5457" t="s">
        <v>5007</v>
      </c>
      <c r="DI5457" s="406" t="str">
        <f t="shared" si="117"/>
        <v>TO, Cariri do Tocantins</v>
      </c>
      <c r="DJ5457">
        <v>-11.891</v>
      </c>
      <c r="DK5457">
        <v>-49.161000000000001</v>
      </c>
      <c r="DL5457">
        <v>295</v>
      </c>
      <c r="DM5457" s="1">
        <v>7</v>
      </c>
      <c r="DN5457" t="s">
        <v>8929</v>
      </c>
      <c r="DO5457" s="406">
        <v>-11.72</v>
      </c>
      <c r="DP5457" s="80">
        <v>287</v>
      </c>
    </row>
    <row r="5458" spans="29:120" x14ac:dyDescent="0.25">
      <c r="AC5458" s="122" t="s">
        <v>340</v>
      </c>
      <c r="AD5458" s="122" t="s">
        <v>5597</v>
      </c>
      <c r="AE5458" s="127">
        <v>5</v>
      </c>
      <c r="DA5458" s="122" t="s">
        <v>393</v>
      </c>
      <c r="DB5458" s="122" t="s">
        <v>4945</v>
      </c>
      <c r="DC5458" s="122" t="s">
        <v>4945</v>
      </c>
      <c r="DD5458" s="127">
        <v>8</v>
      </c>
      <c r="DE5458" s="127">
        <v>8</v>
      </c>
      <c r="DG5458" t="s">
        <v>393</v>
      </c>
      <c r="DH5458" t="s">
        <v>4945</v>
      </c>
      <c r="DI5458" s="406" t="str">
        <f t="shared" si="117"/>
        <v>TO, Carmolândia</v>
      </c>
      <c r="DJ5458">
        <v>-7.0330000000000004</v>
      </c>
      <c r="DK5458">
        <v>-48.396000000000001</v>
      </c>
      <c r="DL5458">
        <v>254</v>
      </c>
      <c r="DM5458" s="1">
        <v>8</v>
      </c>
      <c r="DN5458" t="s">
        <v>8933</v>
      </c>
      <c r="DO5458" s="406">
        <v>-7.18</v>
      </c>
      <c r="DP5458" s="80">
        <v>226</v>
      </c>
    </row>
    <row r="5459" spans="29:120" x14ac:dyDescent="0.25">
      <c r="AC5459" s="122" t="s">
        <v>357</v>
      </c>
      <c r="AD5459" s="122" t="s">
        <v>5598</v>
      </c>
      <c r="AE5459" s="127">
        <v>8</v>
      </c>
      <c r="DA5459" s="122" t="s">
        <v>393</v>
      </c>
      <c r="DB5459" s="122" t="s">
        <v>8944</v>
      </c>
      <c r="DC5459" s="122" t="s">
        <v>4784</v>
      </c>
      <c r="DD5459" s="127">
        <v>8</v>
      </c>
      <c r="DE5459" s="127">
        <v>8</v>
      </c>
      <c r="DG5459" t="s">
        <v>393</v>
      </c>
      <c r="DH5459" t="s">
        <v>4784</v>
      </c>
      <c r="DI5459" s="406" t="str">
        <f t="shared" si="117"/>
        <v>TO, Carrasco Bonito</v>
      </c>
      <c r="DJ5459">
        <v>-5.3220000000000001</v>
      </c>
      <c r="DK5459">
        <v>-48.034999999999997</v>
      </c>
      <c r="DL5459">
        <v>285</v>
      </c>
      <c r="DM5459" s="1">
        <v>8</v>
      </c>
      <c r="DN5459" t="s">
        <v>7426</v>
      </c>
      <c r="DO5459" s="406">
        <v>-5.64</v>
      </c>
      <c r="DP5459" s="80">
        <v>117</v>
      </c>
    </row>
    <row r="5460" spans="29:120" x14ac:dyDescent="0.25">
      <c r="AC5460" s="122" t="s">
        <v>357</v>
      </c>
      <c r="AD5460" s="122" t="s">
        <v>5599</v>
      </c>
      <c r="AE5460" s="127">
        <v>8</v>
      </c>
      <c r="DA5460" s="122" t="s">
        <v>393</v>
      </c>
      <c r="DB5460" s="122" t="s">
        <v>4792</v>
      </c>
      <c r="DC5460" s="122" t="s">
        <v>4792</v>
      </c>
      <c r="DD5460" s="127">
        <v>8</v>
      </c>
      <c r="DE5460" s="127">
        <v>8</v>
      </c>
      <c r="DG5460" t="s">
        <v>393</v>
      </c>
      <c r="DH5460" t="s">
        <v>4792</v>
      </c>
      <c r="DI5460" s="406" t="str">
        <f t="shared" si="117"/>
        <v>TO, Caseara</v>
      </c>
      <c r="DJ5460">
        <v>-9.2780000000000005</v>
      </c>
      <c r="DK5460">
        <v>-49.956000000000003</v>
      </c>
      <c r="DL5460">
        <v>174</v>
      </c>
      <c r="DM5460" s="1">
        <v>8</v>
      </c>
      <c r="DN5460" t="s">
        <v>7438</v>
      </c>
      <c r="DO5460" s="406">
        <v>-9.34</v>
      </c>
      <c r="DP5460" s="80">
        <v>168</v>
      </c>
    </row>
    <row r="5461" spans="29:120" x14ac:dyDescent="0.25">
      <c r="AC5461" s="122" t="s">
        <v>357</v>
      </c>
      <c r="AD5461" s="122" t="s">
        <v>5600</v>
      </c>
      <c r="AE5461" s="127">
        <v>7</v>
      </c>
      <c r="DA5461" s="122" t="s">
        <v>393</v>
      </c>
      <c r="DB5461" s="122" t="s">
        <v>1685</v>
      </c>
      <c r="DC5461" s="122" t="s">
        <v>1685</v>
      </c>
      <c r="DD5461" s="127">
        <v>7</v>
      </c>
      <c r="DE5461" s="127">
        <v>7</v>
      </c>
      <c r="DG5461" t="s">
        <v>393</v>
      </c>
      <c r="DH5461" t="s">
        <v>1685</v>
      </c>
      <c r="DI5461" s="406" t="str">
        <f t="shared" si="117"/>
        <v>TO, Centenário</v>
      </c>
      <c r="DJ5461">
        <v>-8.9510000000000005</v>
      </c>
      <c r="DK5461">
        <v>-47.335999999999999</v>
      </c>
      <c r="DL5461">
        <v>311</v>
      </c>
      <c r="DM5461" s="1">
        <v>7</v>
      </c>
      <c r="DN5461" t="s">
        <v>7435</v>
      </c>
      <c r="DO5461" s="406">
        <v>-8.9700000000000006</v>
      </c>
      <c r="DP5461" s="80">
        <v>189</v>
      </c>
    </row>
    <row r="5462" spans="29:120" x14ac:dyDescent="0.25">
      <c r="AC5462" s="122" t="s">
        <v>357</v>
      </c>
      <c r="AD5462" s="122" t="s">
        <v>5601</v>
      </c>
      <c r="AE5462" s="127">
        <v>7</v>
      </c>
      <c r="DA5462" s="122" t="s">
        <v>393</v>
      </c>
      <c r="DB5462" s="122" t="s">
        <v>8945</v>
      </c>
      <c r="DC5462" s="122" t="s">
        <v>4791</v>
      </c>
      <c r="DD5462" s="127">
        <v>7</v>
      </c>
      <c r="DE5462" s="127">
        <v>7</v>
      </c>
      <c r="DG5462" t="s">
        <v>393</v>
      </c>
      <c r="DH5462" t="s">
        <v>4791</v>
      </c>
      <c r="DI5462" s="406" t="str">
        <f t="shared" si="117"/>
        <v>TO, Chapada da Natividade</v>
      </c>
      <c r="DJ5462">
        <v>-11.617000000000001</v>
      </c>
      <c r="DK5462">
        <v>-47.750999999999998</v>
      </c>
      <c r="DL5462">
        <v>365</v>
      </c>
      <c r="DM5462" s="1">
        <v>7</v>
      </c>
      <c r="DN5462" t="s">
        <v>8931</v>
      </c>
      <c r="DO5462" s="406">
        <v>-12.02</v>
      </c>
      <c r="DP5462" s="80">
        <v>242</v>
      </c>
    </row>
    <row r="5463" spans="29:120" x14ac:dyDescent="0.25">
      <c r="AC5463" s="122" t="s">
        <v>323</v>
      </c>
      <c r="AD5463" s="122" t="s">
        <v>5602</v>
      </c>
      <c r="AE5463" s="127">
        <v>8</v>
      </c>
      <c r="DA5463" s="122" t="s">
        <v>393</v>
      </c>
      <c r="DB5463" s="122" t="s">
        <v>8946</v>
      </c>
      <c r="DC5463" s="122" t="s">
        <v>5224</v>
      </c>
      <c r="DD5463" s="127">
        <v>7</v>
      </c>
      <c r="DE5463" s="127">
        <v>7</v>
      </c>
      <c r="DG5463" t="s">
        <v>393</v>
      </c>
      <c r="DH5463" t="s">
        <v>5224</v>
      </c>
      <c r="DI5463" s="406" t="str">
        <f t="shared" si="117"/>
        <v>TO, Chapada de Areia</v>
      </c>
      <c r="DJ5463">
        <v>-10.144</v>
      </c>
      <c r="DK5463">
        <v>-49.14</v>
      </c>
      <c r="DL5463">
        <v>240</v>
      </c>
      <c r="DM5463" s="1">
        <v>7</v>
      </c>
      <c r="DN5463" t="s">
        <v>8927</v>
      </c>
      <c r="DO5463" s="406">
        <v>-10.17</v>
      </c>
      <c r="DP5463" s="80">
        <v>280</v>
      </c>
    </row>
    <row r="5464" spans="29:120" x14ac:dyDescent="0.25">
      <c r="AC5464" s="122" t="s">
        <v>357</v>
      </c>
      <c r="AD5464" s="122" t="s">
        <v>5603</v>
      </c>
      <c r="AE5464" s="127">
        <v>7</v>
      </c>
      <c r="DA5464" s="122" t="s">
        <v>393</v>
      </c>
      <c r="DB5464" s="122" t="s">
        <v>8947</v>
      </c>
      <c r="DC5464" s="122" t="s">
        <v>4414</v>
      </c>
      <c r="DD5464" s="127">
        <v>8</v>
      </c>
      <c r="DE5464" s="127">
        <v>8</v>
      </c>
      <c r="DG5464" t="s">
        <v>393</v>
      </c>
      <c r="DH5464" t="s">
        <v>4414</v>
      </c>
      <c r="DI5464" s="406" t="str">
        <f t="shared" si="117"/>
        <v>TO, Colinas do Tocantins</v>
      </c>
      <c r="DJ5464">
        <v>-8.0589999999999993</v>
      </c>
      <c r="DK5464">
        <v>-48.475000000000001</v>
      </c>
      <c r="DL5464">
        <v>227</v>
      </c>
      <c r="DM5464" s="1">
        <v>8</v>
      </c>
      <c r="DN5464" t="s">
        <v>8933</v>
      </c>
      <c r="DO5464" s="406">
        <v>-7.18</v>
      </c>
      <c r="DP5464" s="80">
        <v>226</v>
      </c>
    </row>
    <row r="5465" spans="29:120" x14ac:dyDescent="0.25">
      <c r="AC5465" s="122" t="s">
        <v>340</v>
      </c>
      <c r="AD5465" s="122" t="s">
        <v>5604</v>
      </c>
      <c r="AE5465" s="127">
        <v>7</v>
      </c>
      <c r="DA5465" s="122" t="s">
        <v>393</v>
      </c>
      <c r="DB5465" s="122" t="s">
        <v>4428</v>
      </c>
      <c r="DC5465" s="122" t="s">
        <v>4428</v>
      </c>
      <c r="DD5465" s="127">
        <v>8</v>
      </c>
      <c r="DE5465" s="127">
        <v>8</v>
      </c>
      <c r="DG5465" t="s">
        <v>393</v>
      </c>
      <c r="DH5465" t="s">
        <v>4428</v>
      </c>
      <c r="DI5465" s="406" t="str">
        <f t="shared" si="117"/>
        <v>TO, Colméia</v>
      </c>
      <c r="DJ5465">
        <v>-8.7289999999999992</v>
      </c>
      <c r="DK5465">
        <v>-48.765000000000001</v>
      </c>
      <c r="DL5465">
        <v>362</v>
      </c>
      <c r="DM5465" s="1">
        <v>8</v>
      </c>
      <c r="DN5465" t="s">
        <v>7435</v>
      </c>
      <c r="DO5465" s="406">
        <v>-8.9700000000000006</v>
      </c>
      <c r="DP5465" s="80">
        <v>189</v>
      </c>
    </row>
    <row r="5466" spans="29:120" x14ac:dyDescent="0.25">
      <c r="AC5466" s="122" t="s">
        <v>333</v>
      </c>
      <c r="AD5466" s="122" t="s">
        <v>5605</v>
      </c>
      <c r="AE5466" s="127">
        <v>6</v>
      </c>
      <c r="DA5466" s="122" t="s">
        <v>393</v>
      </c>
      <c r="DB5466" s="122" t="s">
        <v>4506</v>
      </c>
      <c r="DC5466" s="122" t="s">
        <v>4506</v>
      </c>
      <c r="DD5466" s="127">
        <v>7</v>
      </c>
      <c r="DE5466" s="127">
        <v>7</v>
      </c>
      <c r="DG5466" t="s">
        <v>393</v>
      </c>
      <c r="DH5466" t="s">
        <v>4506</v>
      </c>
      <c r="DI5466" s="406" t="str">
        <f t="shared" si="117"/>
        <v>TO, Combinado</v>
      </c>
      <c r="DJ5466">
        <v>-12.792</v>
      </c>
      <c r="DK5466">
        <v>-46.539000000000001</v>
      </c>
      <c r="DL5466">
        <v>383</v>
      </c>
      <c r="DM5466" s="1">
        <v>7</v>
      </c>
      <c r="DN5466" t="s">
        <v>6550</v>
      </c>
      <c r="DO5466" s="406">
        <v>-13.5</v>
      </c>
      <c r="DP5466" s="80">
        <v>1253</v>
      </c>
    </row>
    <row r="5467" spans="29:120" x14ac:dyDescent="0.25">
      <c r="AC5467" s="122" t="s">
        <v>357</v>
      </c>
      <c r="AD5467" s="122" t="s">
        <v>5606</v>
      </c>
      <c r="AE5467" s="127">
        <v>8</v>
      </c>
      <c r="DA5467" s="122" t="s">
        <v>393</v>
      </c>
      <c r="DB5467" s="122" t="s">
        <v>8948</v>
      </c>
      <c r="DC5467" s="122" t="s">
        <v>4626</v>
      </c>
      <c r="DD5467" s="127">
        <v>7</v>
      </c>
      <c r="DE5467" s="127">
        <v>7</v>
      </c>
      <c r="DG5467" t="s">
        <v>393</v>
      </c>
      <c r="DH5467" t="s">
        <v>4626</v>
      </c>
      <c r="DI5467" s="406" t="str">
        <f t="shared" si="117"/>
        <v>TO, Conceição do Tocantins</v>
      </c>
      <c r="DJ5467">
        <v>-12.218999999999999</v>
      </c>
      <c r="DK5467">
        <v>-47.298000000000002</v>
      </c>
      <c r="DL5467">
        <v>400</v>
      </c>
      <c r="DM5467" s="1">
        <v>7</v>
      </c>
      <c r="DN5467" t="s">
        <v>6577</v>
      </c>
      <c r="DO5467" s="406">
        <v>-12.6</v>
      </c>
      <c r="DP5467" s="80">
        <v>280</v>
      </c>
    </row>
    <row r="5468" spans="29:120" x14ac:dyDescent="0.25">
      <c r="AC5468" s="122" t="s">
        <v>357</v>
      </c>
      <c r="AD5468" s="122" t="s">
        <v>5607</v>
      </c>
      <c r="AE5468" s="127">
        <v>7</v>
      </c>
      <c r="DA5468" s="122" t="s">
        <v>393</v>
      </c>
      <c r="DB5468" s="122" t="s">
        <v>8949</v>
      </c>
      <c r="DC5468" s="122" t="s">
        <v>5262</v>
      </c>
      <c r="DD5468" s="127">
        <v>8</v>
      </c>
      <c r="DE5468" s="127">
        <v>8</v>
      </c>
      <c r="DG5468" t="s">
        <v>393</v>
      </c>
      <c r="DH5468" t="s">
        <v>8950</v>
      </c>
      <c r="DI5468" s="406" t="str">
        <f t="shared" si="117"/>
        <v>TO, Couto Magalhães</v>
      </c>
      <c r="DJ5468">
        <v>-8.2840000000000007</v>
      </c>
      <c r="DK5468">
        <v>-49.247</v>
      </c>
      <c r="DL5468">
        <v>150</v>
      </c>
      <c r="DM5468" s="1">
        <v>8</v>
      </c>
      <c r="DN5468" t="s">
        <v>7435</v>
      </c>
      <c r="DO5468" s="406">
        <v>-8.9700000000000006</v>
      </c>
      <c r="DP5468" s="80">
        <v>189</v>
      </c>
    </row>
    <row r="5469" spans="29:120" x14ac:dyDescent="0.25">
      <c r="AC5469" s="122" t="s">
        <v>322</v>
      </c>
      <c r="AD5469" s="122" t="s">
        <v>5608</v>
      </c>
      <c r="AE5469" s="127">
        <v>6</v>
      </c>
      <c r="DA5469" s="122" t="s">
        <v>393</v>
      </c>
      <c r="DB5469" s="122" t="s">
        <v>4816</v>
      </c>
      <c r="DC5469" s="122" t="s">
        <v>4816</v>
      </c>
      <c r="DD5469" s="127">
        <v>7</v>
      </c>
      <c r="DE5469" s="127">
        <v>7</v>
      </c>
      <c r="DG5469" t="s">
        <v>393</v>
      </c>
      <c r="DH5469" t="s">
        <v>4816</v>
      </c>
      <c r="DI5469" s="406" t="str">
        <f t="shared" si="117"/>
        <v>TO, Cristalândia</v>
      </c>
      <c r="DJ5469">
        <v>-10.6</v>
      </c>
      <c r="DK5469">
        <v>-49.192999999999998</v>
      </c>
      <c r="DL5469">
        <v>286</v>
      </c>
      <c r="DM5469" s="1">
        <v>7</v>
      </c>
      <c r="DN5469" t="s">
        <v>8927</v>
      </c>
      <c r="DO5469" s="406">
        <v>-10.17</v>
      </c>
      <c r="DP5469" s="80">
        <v>280</v>
      </c>
    </row>
    <row r="5470" spans="29:120" x14ac:dyDescent="0.25">
      <c r="AC5470" s="122" t="s">
        <v>357</v>
      </c>
      <c r="AD5470" s="122" t="s">
        <v>5609</v>
      </c>
      <c r="AE5470" s="127">
        <v>6</v>
      </c>
      <c r="DA5470" s="122" t="s">
        <v>393</v>
      </c>
      <c r="DB5470" s="122" t="s">
        <v>8951</v>
      </c>
      <c r="DC5470" s="122" t="s">
        <v>4979</v>
      </c>
      <c r="DD5470" s="127">
        <v>7</v>
      </c>
      <c r="DE5470" s="127">
        <v>7</v>
      </c>
      <c r="DG5470" t="s">
        <v>393</v>
      </c>
      <c r="DH5470" t="s">
        <v>4979</v>
      </c>
      <c r="DI5470" s="406" t="str">
        <f t="shared" si="117"/>
        <v>TO, Crixás do Tocantins</v>
      </c>
      <c r="DJ5470">
        <v>-11.1</v>
      </c>
      <c r="DK5470">
        <v>-48.918999999999997</v>
      </c>
      <c r="DL5470">
        <v>250</v>
      </c>
      <c r="DM5470" s="1">
        <v>7</v>
      </c>
      <c r="DN5470" t="s">
        <v>8929</v>
      </c>
      <c r="DO5470" s="406">
        <v>-11.72</v>
      </c>
      <c r="DP5470" s="80">
        <v>287</v>
      </c>
    </row>
    <row r="5471" spans="29:120" x14ac:dyDescent="0.25">
      <c r="AC5471" s="122" t="s">
        <v>357</v>
      </c>
      <c r="AD5471" s="122" t="s">
        <v>5610</v>
      </c>
      <c r="AE5471" s="127">
        <v>8</v>
      </c>
      <c r="DA5471" s="122" t="s">
        <v>393</v>
      </c>
      <c r="DB5471" s="122" t="s">
        <v>4997</v>
      </c>
      <c r="DC5471" s="122" t="s">
        <v>4997</v>
      </c>
      <c r="DD5471" s="127">
        <v>7</v>
      </c>
      <c r="DE5471" s="127">
        <v>7</v>
      </c>
      <c r="DG5471" t="s">
        <v>393</v>
      </c>
      <c r="DH5471" t="s">
        <v>4997</v>
      </c>
      <c r="DI5471" s="406" t="str">
        <f t="shared" si="117"/>
        <v>TO, Darcinópolis</v>
      </c>
      <c r="DJ5471">
        <v>-6.7130000000000001</v>
      </c>
      <c r="DK5471">
        <v>-47.76</v>
      </c>
      <c r="DL5471">
        <v>310</v>
      </c>
      <c r="DM5471" s="1">
        <v>7</v>
      </c>
      <c r="DN5471" t="s">
        <v>6672</v>
      </c>
      <c r="DO5471" s="406">
        <v>-6.65</v>
      </c>
      <c r="DP5471" s="80">
        <v>180</v>
      </c>
    </row>
    <row r="5472" spans="29:120" x14ac:dyDescent="0.25">
      <c r="AC5472" s="122" t="s">
        <v>357</v>
      </c>
      <c r="AD5472" s="122" t="s">
        <v>5611</v>
      </c>
      <c r="AE5472" s="127">
        <v>7</v>
      </c>
      <c r="DA5472" s="122" t="s">
        <v>393</v>
      </c>
      <c r="DB5472" s="122" t="s">
        <v>2152</v>
      </c>
      <c r="DC5472" s="122" t="s">
        <v>2152</v>
      </c>
      <c r="DD5472" s="127">
        <v>7</v>
      </c>
      <c r="DE5472" s="127">
        <v>7</v>
      </c>
      <c r="DG5472" t="s">
        <v>393</v>
      </c>
      <c r="DH5472" t="s">
        <v>2152</v>
      </c>
      <c r="DI5472" s="406" t="str">
        <f t="shared" si="117"/>
        <v>TO, Dianópolis</v>
      </c>
      <c r="DJ5472">
        <v>-11.628</v>
      </c>
      <c r="DK5472">
        <v>-46.820999999999998</v>
      </c>
      <c r="DL5472">
        <v>693</v>
      </c>
      <c r="DM5472" s="1">
        <v>7</v>
      </c>
      <c r="DN5472" t="s">
        <v>8930</v>
      </c>
      <c r="DO5472" s="406">
        <v>-11.59</v>
      </c>
      <c r="DP5472" s="80">
        <v>732</v>
      </c>
    </row>
    <row r="5473" spans="29:120" x14ac:dyDescent="0.25">
      <c r="AC5473" s="122" t="s">
        <v>357</v>
      </c>
      <c r="AD5473" s="122" t="s">
        <v>5612</v>
      </c>
      <c r="AE5473" s="127">
        <v>7</v>
      </c>
      <c r="DA5473" s="122" t="s">
        <v>393</v>
      </c>
      <c r="DB5473" s="122" t="s">
        <v>8952</v>
      </c>
      <c r="DC5473" s="122" t="s">
        <v>5209</v>
      </c>
      <c r="DD5473" s="127">
        <v>7</v>
      </c>
      <c r="DE5473" s="127">
        <v>7</v>
      </c>
      <c r="DG5473" t="s">
        <v>393</v>
      </c>
      <c r="DH5473" t="s">
        <v>5209</v>
      </c>
      <c r="DI5473" s="406" t="str">
        <f t="shared" si="117"/>
        <v>TO, Divinópolis do Tocantins</v>
      </c>
      <c r="DJ5473">
        <v>-9.8000000000000007</v>
      </c>
      <c r="DK5473">
        <v>-49.213999999999999</v>
      </c>
      <c r="DL5473">
        <v>270</v>
      </c>
      <c r="DM5473" s="1">
        <v>7</v>
      </c>
      <c r="DN5473" t="s">
        <v>8927</v>
      </c>
      <c r="DO5473" s="406">
        <v>-10.17</v>
      </c>
      <c r="DP5473" s="80">
        <v>280</v>
      </c>
    </row>
    <row r="5474" spans="29:120" x14ac:dyDescent="0.25">
      <c r="AC5474" s="122" t="s">
        <v>357</v>
      </c>
      <c r="AD5474" s="122" t="s">
        <v>5613</v>
      </c>
      <c r="AE5474" s="127">
        <v>7</v>
      </c>
      <c r="DA5474" s="122" t="s">
        <v>393</v>
      </c>
      <c r="DB5474" s="122" t="s">
        <v>8953</v>
      </c>
      <c r="DC5474" s="122" t="s">
        <v>5249</v>
      </c>
      <c r="DD5474" s="127">
        <v>8</v>
      </c>
      <c r="DE5474" s="127">
        <v>8</v>
      </c>
      <c r="DG5474" t="s">
        <v>393</v>
      </c>
      <c r="DH5474" t="s">
        <v>5249</v>
      </c>
      <c r="DI5474" s="406" t="str">
        <f t="shared" si="117"/>
        <v>TO, Dois Irmãos do Tocantins</v>
      </c>
      <c r="DJ5474">
        <v>-9.2579999999999991</v>
      </c>
      <c r="DK5474">
        <v>-49.064</v>
      </c>
      <c r="DL5474">
        <v>241</v>
      </c>
      <c r="DM5474" s="1">
        <v>8</v>
      </c>
      <c r="DN5474" t="s">
        <v>7435</v>
      </c>
      <c r="DO5474" s="406">
        <v>-8.9700000000000006</v>
      </c>
      <c r="DP5474" s="80">
        <v>189</v>
      </c>
    </row>
    <row r="5475" spans="29:120" x14ac:dyDescent="0.25">
      <c r="AC5475" s="122" t="s">
        <v>322</v>
      </c>
      <c r="AD5475" s="122" t="s">
        <v>5614</v>
      </c>
      <c r="AE5475" s="127">
        <v>6</v>
      </c>
      <c r="DA5475" s="122" t="s">
        <v>393</v>
      </c>
      <c r="DB5475" s="122" t="s">
        <v>4987</v>
      </c>
      <c r="DC5475" s="122" t="s">
        <v>4987</v>
      </c>
      <c r="DD5475" s="127">
        <v>7</v>
      </c>
      <c r="DE5475" s="127">
        <v>7</v>
      </c>
      <c r="DG5475" t="s">
        <v>393</v>
      </c>
      <c r="DH5475" t="s">
        <v>4987</v>
      </c>
      <c r="DI5475" s="406" t="str">
        <f t="shared" si="117"/>
        <v>TO, Dueré</v>
      </c>
      <c r="DJ5475">
        <v>-11.343999999999999</v>
      </c>
      <c r="DK5475">
        <v>-49.271000000000001</v>
      </c>
      <c r="DL5475">
        <v>235</v>
      </c>
      <c r="DM5475" s="1">
        <v>7</v>
      </c>
      <c r="DN5475" t="s">
        <v>8929</v>
      </c>
      <c r="DO5475" s="406">
        <v>-11.72</v>
      </c>
      <c r="DP5475" s="80">
        <v>287</v>
      </c>
    </row>
    <row r="5476" spans="29:120" x14ac:dyDescent="0.25">
      <c r="AC5476" s="122" t="s">
        <v>340</v>
      </c>
      <c r="AD5476" s="122" t="s">
        <v>5615</v>
      </c>
      <c r="AE5476" s="127">
        <v>7</v>
      </c>
      <c r="DA5476" s="122" t="s">
        <v>393</v>
      </c>
      <c r="DB5476" s="122" t="s">
        <v>4737</v>
      </c>
      <c r="DC5476" s="122" t="s">
        <v>4737</v>
      </c>
      <c r="DD5476" s="127">
        <v>8</v>
      </c>
      <c r="DE5476" s="127">
        <v>8</v>
      </c>
      <c r="DG5476" t="s">
        <v>393</v>
      </c>
      <c r="DH5476" t="s">
        <v>4737</v>
      </c>
      <c r="DI5476" s="406" t="str">
        <f t="shared" si="117"/>
        <v>TO, Esperantina</v>
      </c>
      <c r="DJ5476">
        <v>-5.343</v>
      </c>
      <c r="DK5476">
        <v>-48.511000000000003</v>
      </c>
      <c r="DL5476">
        <v>116</v>
      </c>
      <c r="DM5476" s="1">
        <v>8</v>
      </c>
      <c r="DN5476" t="s">
        <v>7426</v>
      </c>
      <c r="DO5476" s="406">
        <v>-5.64</v>
      </c>
      <c r="DP5476" s="80">
        <v>117</v>
      </c>
    </row>
    <row r="5477" spans="29:120" x14ac:dyDescent="0.25">
      <c r="AC5477" s="122" t="s">
        <v>357</v>
      </c>
      <c r="AD5477" s="122" t="s">
        <v>5616</v>
      </c>
      <c r="AE5477" s="127">
        <v>7</v>
      </c>
      <c r="DA5477" s="122" t="s">
        <v>393</v>
      </c>
      <c r="DB5477" s="122" t="s">
        <v>3510</v>
      </c>
      <c r="DC5477" s="122" t="s">
        <v>3510</v>
      </c>
      <c r="DD5477" s="127">
        <v>7</v>
      </c>
      <c r="DE5477" s="127">
        <v>7</v>
      </c>
      <c r="DG5477" t="s">
        <v>393</v>
      </c>
      <c r="DH5477" t="s">
        <v>3510</v>
      </c>
      <c r="DI5477" s="406" t="str">
        <f t="shared" si="117"/>
        <v>TO, Fátima</v>
      </c>
      <c r="DJ5477">
        <v>-10.760999999999999</v>
      </c>
      <c r="DK5477">
        <v>-48.906999999999996</v>
      </c>
      <c r="DL5477">
        <v>342</v>
      </c>
      <c r="DM5477" s="1">
        <v>7</v>
      </c>
      <c r="DN5477" t="s">
        <v>8927</v>
      </c>
      <c r="DO5477" s="406">
        <v>-10.17</v>
      </c>
      <c r="DP5477" s="80">
        <v>280</v>
      </c>
    </row>
    <row r="5478" spans="29:120" x14ac:dyDescent="0.25">
      <c r="AC5478" s="122" t="s">
        <v>340</v>
      </c>
      <c r="AD5478" s="122" t="s">
        <v>5617</v>
      </c>
      <c r="AE5478" s="127">
        <v>7</v>
      </c>
      <c r="DA5478" s="122" t="s">
        <v>393</v>
      </c>
      <c r="DB5478" s="122" t="s">
        <v>4992</v>
      </c>
      <c r="DC5478" s="122" t="s">
        <v>4992</v>
      </c>
      <c r="DD5478" s="127">
        <v>7</v>
      </c>
      <c r="DE5478" s="127">
        <v>7</v>
      </c>
      <c r="DG5478" t="s">
        <v>393</v>
      </c>
      <c r="DH5478" t="s">
        <v>4992</v>
      </c>
      <c r="DI5478" s="406" t="str">
        <f t="shared" si="117"/>
        <v>TO, Figueirópolis</v>
      </c>
      <c r="DJ5478">
        <v>-12.131</v>
      </c>
      <c r="DK5478">
        <v>-49.173999999999999</v>
      </c>
      <c r="DL5478">
        <v>291</v>
      </c>
      <c r="DM5478" s="1">
        <v>7</v>
      </c>
      <c r="DN5478" t="s">
        <v>8929</v>
      </c>
      <c r="DO5478" s="406">
        <v>-11.72</v>
      </c>
      <c r="DP5478" s="80">
        <v>287</v>
      </c>
    </row>
    <row r="5479" spans="29:120" x14ac:dyDescent="0.25">
      <c r="AC5479" s="122" t="s">
        <v>357</v>
      </c>
      <c r="AD5479" s="122" t="s">
        <v>5618</v>
      </c>
      <c r="AE5479" s="127">
        <v>7</v>
      </c>
      <c r="DA5479" s="122" t="s">
        <v>393</v>
      </c>
      <c r="DB5479" s="122" t="s">
        <v>2345</v>
      </c>
      <c r="DC5479" s="122" t="s">
        <v>2345</v>
      </c>
      <c r="DD5479" s="127">
        <v>7</v>
      </c>
      <c r="DE5479" s="127">
        <v>7</v>
      </c>
      <c r="DG5479" t="s">
        <v>393</v>
      </c>
      <c r="DH5479" t="s">
        <v>2345</v>
      </c>
      <c r="DI5479" s="406" t="str">
        <f t="shared" si="117"/>
        <v>TO, Filadélfia</v>
      </c>
      <c r="DJ5479">
        <v>-7.3360000000000003</v>
      </c>
      <c r="DK5479">
        <v>-47.49</v>
      </c>
      <c r="DL5479">
        <v>169</v>
      </c>
      <c r="DM5479" s="1">
        <v>7</v>
      </c>
      <c r="DN5479" t="s">
        <v>6675</v>
      </c>
      <c r="DO5479" s="406">
        <v>-7.34</v>
      </c>
      <c r="DP5479" s="80">
        <v>192</v>
      </c>
    </row>
    <row r="5480" spans="29:120" x14ac:dyDescent="0.25">
      <c r="AC5480" s="122" t="s">
        <v>340</v>
      </c>
      <c r="AD5480" s="122" t="s">
        <v>5619</v>
      </c>
      <c r="AE5480" s="127">
        <v>8</v>
      </c>
      <c r="DA5480" s="122" t="s">
        <v>393</v>
      </c>
      <c r="DB5480" s="122" t="s">
        <v>8954</v>
      </c>
      <c r="DC5480" s="122" t="s">
        <v>5686</v>
      </c>
      <c r="DD5480" s="127">
        <v>7</v>
      </c>
      <c r="DE5480" s="127">
        <v>7</v>
      </c>
      <c r="DG5480" t="s">
        <v>393</v>
      </c>
      <c r="DH5480" t="s">
        <v>5686</v>
      </c>
      <c r="DI5480" s="406" t="str">
        <f t="shared" si="117"/>
        <v>TO, Formoso do Araguaia</v>
      </c>
      <c r="DJ5480">
        <v>-11.797000000000001</v>
      </c>
      <c r="DK5480">
        <v>-49.529000000000003</v>
      </c>
      <c r="DL5480">
        <v>240</v>
      </c>
      <c r="DM5480" s="1">
        <v>7</v>
      </c>
      <c r="DN5480" t="s">
        <v>6589</v>
      </c>
      <c r="DO5480" s="406">
        <v>-11.78</v>
      </c>
      <c r="DP5480" s="80">
        <v>220</v>
      </c>
    </row>
    <row r="5481" spans="29:120" x14ac:dyDescent="0.25">
      <c r="AC5481" s="122" t="s">
        <v>340</v>
      </c>
      <c r="AD5481" s="122" t="s">
        <v>5620</v>
      </c>
      <c r="AE5481" s="127">
        <v>8</v>
      </c>
      <c r="DA5481" s="122" t="s">
        <v>393</v>
      </c>
      <c r="DB5481" s="122" t="s">
        <v>8955</v>
      </c>
      <c r="DC5481" s="122" t="s">
        <v>4836</v>
      </c>
      <c r="DD5481" s="127">
        <v>7</v>
      </c>
      <c r="DE5481" s="127">
        <v>7</v>
      </c>
      <c r="DG5481" t="s">
        <v>393</v>
      </c>
      <c r="DH5481" t="s">
        <v>4836</v>
      </c>
      <c r="DI5481" s="406" t="str">
        <f t="shared" si="117"/>
        <v>TO, Fortaleza do Tabocão</v>
      </c>
      <c r="DJ5481">
        <v>-9.0570000000000004</v>
      </c>
      <c r="DK5481">
        <v>-48.518999999999998</v>
      </c>
      <c r="DL5481">
        <v>248</v>
      </c>
      <c r="DM5481" s="1">
        <v>7</v>
      </c>
      <c r="DN5481" t="s">
        <v>7435</v>
      </c>
      <c r="DO5481" s="406">
        <v>-8.9700000000000006</v>
      </c>
      <c r="DP5481" s="80">
        <v>189</v>
      </c>
    </row>
    <row r="5482" spans="29:120" x14ac:dyDescent="0.25">
      <c r="AC5482" s="122" t="s">
        <v>322</v>
      </c>
      <c r="AD5482" s="122" t="s">
        <v>5621</v>
      </c>
      <c r="AE5482" s="127">
        <v>7</v>
      </c>
      <c r="DA5482" s="122" t="s">
        <v>393</v>
      </c>
      <c r="DB5482" s="122" t="s">
        <v>5266</v>
      </c>
      <c r="DC5482" s="122" t="s">
        <v>5266</v>
      </c>
      <c r="DD5482" s="127">
        <v>8</v>
      </c>
      <c r="DE5482" s="127">
        <v>8</v>
      </c>
      <c r="DG5482" t="s">
        <v>393</v>
      </c>
      <c r="DH5482" t="s">
        <v>5266</v>
      </c>
      <c r="DI5482" s="406" t="str">
        <f t="shared" si="117"/>
        <v>TO, Goianorte</v>
      </c>
      <c r="DJ5482">
        <v>-8.7759999999999998</v>
      </c>
      <c r="DK5482">
        <v>-48.932000000000002</v>
      </c>
      <c r="DL5482">
        <v>256</v>
      </c>
      <c r="DM5482" s="1">
        <v>8</v>
      </c>
      <c r="DN5482" t="s">
        <v>7435</v>
      </c>
      <c r="DO5482" s="406">
        <v>-8.9700000000000006</v>
      </c>
      <c r="DP5482" s="80">
        <v>189</v>
      </c>
    </row>
    <row r="5483" spans="29:120" x14ac:dyDescent="0.25">
      <c r="AC5483" s="122" t="s">
        <v>340</v>
      </c>
      <c r="AD5483" s="122" t="s">
        <v>5622</v>
      </c>
      <c r="AE5483" s="127">
        <v>8</v>
      </c>
      <c r="DA5483" s="122" t="s">
        <v>393</v>
      </c>
      <c r="DB5483" s="122" t="s">
        <v>4706</v>
      </c>
      <c r="DC5483" s="122" t="s">
        <v>4706</v>
      </c>
      <c r="DD5483" s="127">
        <v>7</v>
      </c>
      <c r="DE5483" s="127">
        <v>7</v>
      </c>
      <c r="DG5483" t="s">
        <v>393</v>
      </c>
      <c r="DH5483" t="s">
        <v>4706</v>
      </c>
      <c r="DI5483" s="406" t="str">
        <f t="shared" si="117"/>
        <v>TO, Goiatins</v>
      </c>
      <c r="DJ5483">
        <v>-7.71</v>
      </c>
      <c r="DK5483">
        <v>-47.314</v>
      </c>
      <c r="DL5483">
        <v>192</v>
      </c>
      <c r="DM5483" s="1">
        <v>7</v>
      </c>
      <c r="DN5483" t="s">
        <v>6675</v>
      </c>
      <c r="DO5483" s="406">
        <v>-7.34</v>
      </c>
      <c r="DP5483" s="80">
        <v>192</v>
      </c>
    </row>
    <row r="5484" spans="29:120" x14ac:dyDescent="0.25">
      <c r="AC5484" s="122" t="s">
        <v>357</v>
      </c>
      <c r="AD5484" s="122" t="s">
        <v>5623</v>
      </c>
      <c r="AE5484" s="127">
        <v>8</v>
      </c>
      <c r="DA5484" s="122" t="s">
        <v>393</v>
      </c>
      <c r="DB5484" s="122" t="s">
        <v>4831</v>
      </c>
      <c r="DC5484" s="122" t="s">
        <v>4831</v>
      </c>
      <c r="DD5484" s="127">
        <v>7</v>
      </c>
      <c r="DE5484" s="127">
        <v>7</v>
      </c>
      <c r="DG5484" t="s">
        <v>393</v>
      </c>
      <c r="DH5484" t="s">
        <v>4831</v>
      </c>
      <c r="DI5484" s="406" t="str">
        <f t="shared" si="117"/>
        <v>TO, Guaraí</v>
      </c>
      <c r="DJ5484">
        <v>-8.8339999999999996</v>
      </c>
      <c r="DK5484">
        <v>-48.51</v>
      </c>
      <c r="DL5484">
        <v>259</v>
      </c>
      <c r="DM5484" s="1">
        <v>7</v>
      </c>
      <c r="DN5484" t="s">
        <v>7435</v>
      </c>
      <c r="DO5484" s="406">
        <v>-8.9700000000000006</v>
      </c>
      <c r="DP5484" s="80">
        <v>189</v>
      </c>
    </row>
    <row r="5485" spans="29:120" x14ac:dyDescent="0.25">
      <c r="AC5485" s="122" t="s">
        <v>340</v>
      </c>
      <c r="AD5485" s="122" t="s">
        <v>5624</v>
      </c>
      <c r="AE5485" s="127">
        <v>7</v>
      </c>
      <c r="DA5485" s="122" t="s">
        <v>393</v>
      </c>
      <c r="DB5485" s="122" t="s">
        <v>5695</v>
      </c>
      <c r="DC5485" s="122" t="s">
        <v>5695</v>
      </c>
      <c r="DD5485" s="127">
        <v>7</v>
      </c>
      <c r="DE5485" s="127">
        <v>7</v>
      </c>
      <c r="DG5485" t="s">
        <v>393</v>
      </c>
      <c r="DH5485" t="s">
        <v>5695</v>
      </c>
      <c r="DI5485" s="406" t="str">
        <f t="shared" si="117"/>
        <v>TO, Gurupi</v>
      </c>
      <c r="DJ5485">
        <v>-11.728999999999999</v>
      </c>
      <c r="DK5485">
        <v>-49.069000000000003</v>
      </c>
      <c r="DL5485">
        <v>287</v>
      </c>
      <c r="DM5485" s="1">
        <v>7</v>
      </c>
      <c r="DN5485" t="s">
        <v>8929</v>
      </c>
      <c r="DO5485" s="406">
        <v>-11.72</v>
      </c>
      <c r="DP5485" s="80">
        <v>287</v>
      </c>
    </row>
    <row r="5486" spans="29:120" x14ac:dyDescent="0.25">
      <c r="AC5486" s="122" t="s">
        <v>340</v>
      </c>
      <c r="AD5486" s="122" t="s">
        <v>5625</v>
      </c>
      <c r="AE5486" s="127">
        <v>5</v>
      </c>
      <c r="DA5486" s="122" t="s">
        <v>393</v>
      </c>
      <c r="DB5486" s="122" t="s">
        <v>4629</v>
      </c>
      <c r="DC5486" s="122" t="s">
        <v>4629</v>
      </c>
      <c r="DD5486" s="127">
        <v>7</v>
      </c>
      <c r="DE5486" s="127">
        <v>7</v>
      </c>
      <c r="DG5486" t="s">
        <v>393</v>
      </c>
      <c r="DH5486" t="s">
        <v>4629</v>
      </c>
      <c r="DI5486" s="406" t="str">
        <f t="shared" si="117"/>
        <v>TO, Ipueiras</v>
      </c>
      <c r="DJ5486">
        <v>-11.239000000000001</v>
      </c>
      <c r="DK5486">
        <v>-48.463000000000001</v>
      </c>
      <c r="DL5486">
        <v>237</v>
      </c>
      <c r="DM5486" s="1">
        <v>7</v>
      </c>
      <c r="DN5486" t="s">
        <v>8929</v>
      </c>
      <c r="DO5486" s="406">
        <v>-11.72</v>
      </c>
      <c r="DP5486" s="80">
        <v>287</v>
      </c>
    </row>
    <row r="5487" spans="29:120" x14ac:dyDescent="0.25">
      <c r="AC5487" s="122" t="s">
        <v>340</v>
      </c>
      <c r="AD5487" s="122" t="s">
        <v>5626</v>
      </c>
      <c r="AE5487" s="127">
        <v>7</v>
      </c>
      <c r="DA5487" s="122" t="s">
        <v>393</v>
      </c>
      <c r="DB5487" s="122" t="s">
        <v>4400</v>
      </c>
      <c r="DC5487" s="122" t="s">
        <v>4400</v>
      </c>
      <c r="DD5487" s="127">
        <v>7</v>
      </c>
      <c r="DE5487" s="127">
        <v>7</v>
      </c>
      <c r="DG5487" t="s">
        <v>393</v>
      </c>
      <c r="DH5487" t="s">
        <v>4400</v>
      </c>
      <c r="DI5487" s="406" t="str">
        <f t="shared" si="117"/>
        <v>TO, Itacajá</v>
      </c>
      <c r="DJ5487">
        <v>-8.3919999999999995</v>
      </c>
      <c r="DK5487">
        <v>-47.768000000000001</v>
      </c>
      <c r="DL5487">
        <v>196</v>
      </c>
      <c r="DM5487" s="1">
        <v>7</v>
      </c>
      <c r="DN5487" t="s">
        <v>7435</v>
      </c>
      <c r="DO5487" s="406">
        <v>-8.9700000000000006</v>
      </c>
      <c r="DP5487" s="80">
        <v>189</v>
      </c>
    </row>
    <row r="5488" spans="29:120" x14ac:dyDescent="0.25">
      <c r="AC5488" s="122" t="s">
        <v>357</v>
      </c>
      <c r="AD5488" s="122" t="s">
        <v>5627</v>
      </c>
      <c r="AE5488" s="127">
        <v>7</v>
      </c>
      <c r="DA5488" s="122" t="s">
        <v>393</v>
      </c>
      <c r="DB5488" s="122" t="s">
        <v>4908</v>
      </c>
      <c r="DC5488" s="122" t="s">
        <v>4908</v>
      </c>
      <c r="DD5488" s="127">
        <v>8</v>
      </c>
      <c r="DE5488" s="127">
        <v>8</v>
      </c>
      <c r="DG5488" t="s">
        <v>393</v>
      </c>
      <c r="DH5488" t="s">
        <v>4908</v>
      </c>
      <c r="DI5488" s="406" t="str">
        <f t="shared" si="117"/>
        <v>TO, Itaguatins</v>
      </c>
      <c r="DJ5488">
        <v>-5.7679999999999998</v>
      </c>
      <c r="DK5488">
        <v>-47.481000000000002</v>
      </c>
      <c r="DL5488">
        <v>130</v>
      </c>
      <c r="DM5488" s="1">
        <v>8</v>
      </c>
      <c r="DN5488" t="s">
        <v>6669</v>
      </c>
      <c r="DO5488" s="406">
        <v>-5.56</v>
      </c>
      <c r="DP5488" s="80">
        <v>126</v>
      </c>
    </row>
    <row r="5489" spans="29:120" x14ac:dyDescent="0.25">
      <c r="AC5489" s="122" t="s">
        <v>357</v>
      </c>
      <c r="AD5489" s="122" t="s">
        <v>5628</v>
      </c>
      <c r="AE5489" s="127">
        <v>7</v>
      </c>
      <c r="DA5489" s="122" t="s">
        <v>393</v>
      </c>
      <c r="DB5489" s="122" t="s">
        <v>4421</v>
      </c>
      <c r="DC5489" s="122" t="s">
        <v>4421</v>
      </c>
      <c r="DD5489" s="127">
        <v>7</v>
      </c>
      <c r="DE5489" s="127">
        <v>7</v>
      </c>
      <c r="DG5489" t="s">
        <v>393</v>
      </c>
      <c r="DH5489" t="s">
        <v>4421</v>
      </c>
      <c r="DI5489" s="406" t="str">
        <f t="shared" si="117"/>
        <v>TO, Itapiratins</v>
      </c>
      <c r="DJ5489">
        <v>-8.3840000000000003</v>
      </c>
      <c r="DK5489">
        <v>-48.110999999999997</v>
      </c>
      <c r="DL5489">
        <v>160</v>
      </c>
      <c r="DM5489" s="1">
        <v>7</v>
      </c>
      <c r="DN5489" t="s">
        <v>7435</v>
      </c>
      <c r="DO5489" s="406">
        <v>-8.9700000000000006</v>
      </c>
      <c r="DP5489" s="80">
        <v>189</v>
      </c>
    </row>
    <row r="5490" spans="29:120" x14ac:dyDescent="0.25">
      <c r="AC5490" s="122" t="s">
        <v>340</v>
      </c>
      <c r="AD5490" s="122" t="s">
        <v>4776</v>
      </c>
      <c r="AE5490" s="127">
        <v>5</v>
      </c>
      <c r="DA5490" s="122" t="s">
        <v>393</v>
      </c>
      <c r="DB5490" s="122" t="s">
        <v>8956</v>
      </c>
      <c r="DC5490" s="122" t="s">
        <v>4435</v>
      </c>
      <c r="DD5490" s="127">
        <v>8</v>
      </c>
      <c r="DE5490" s="127">
        <v>8</v>
      </c>
      <c r="DG5490" t="s">
        <v>393</v>
      </c>
      <c r="DH5490" t="s">
        <v>4435</v>
      </c>
      <c r="DI5490" s="406" t="str">
        <f t="shared" si="117"/>
        <v>TO, Itaporã do Tocantins</v>
      </c>
      <c r="DJ5490">
        <v>-8.5709999999999997</v>
      </c>
      <c r="DK5490">
        <v>-48.689</v>
      </c>
      <c r="DL5490">
        <v>350</v>
      </c>
      <c r="DM5490" s="1">
        <v>8</v>
      </c>
      <c r="DN5490" t="s">
        <v>7435</v>
      </c>
      <c r="DO5490" s="406">
        <v>-8.9700000000000006</v>
      </c>
      <c r="DP5490" s="80">
        <v>189</v>
      </c>
    </row>
    <row r="5491" spans="29:120" x14ac:dyDescent="0.25">
      <c r="AC5491" s="122" t="s">
        <v>340</v>
      </c>
      <c r="AD5491" s="122" t="s">
        <v>5629</v>
      </c>
      <c r="AE5491" s="127">
        <v>7</v>
      </c>
      <c r="DA5491" s="122" t="s">
        <v>393</v>
      </c>
      <c r="DB5491" s="122" t="s">
        <v>8957</v>
      </c>
      <c r="DC5491" s="122" t="s">
        <v>4956</v>
      </c>
      <c r="DD5491" s="127">
        <v>7</v>
      </c>
      <c r="DE5491" s="127">
        <v>7</v>
      </c>
      <c r="DG5491" t="s">
        <v>393</v>
      </c>
      <c r="DH5491" t="s">
        <v>4956</v>
      </c>
      <c r="DI5491" s="406" t="str">
        <f t="shared" si="117"/>
        <v>TO, Jaú do Tocantins</v>
      </c>
      <c r="DJ5491">
        <v>-12.654</v>
      </c>
      <c r="DK5491">
        <v>-48.594000000000001</v>
      </c>
      <c r="DL5491">
        <v>365</v>
      </c>
      <c r="DM5491" s="1">
        <v>7</v>
      </c>
      <c r="DN5491" t="s">
        <v>8931</v>
      </c>
      <c r="DO5491" s="406">
        <v>-12.02</v>
      </c>
      <c r="DP5491" s="80">
        <v>242</v>
      </c>
    </row>
    <row r="5492" spans="29:120" x14ac:dyDescent="0.25">
      <c r="AC5492" s="122" t="s">
        <v>340</v>
      </c>
      <c r="AD5492" s="122" t="s">
        <v>5630</v>
      </c>
      <c r="AE5492" s="127">
        <v>7</v>
      </c>
      <c r="DA5492" s="122" t="s">
        <v>393</v>
      </c>
      <c r="DB5492" s="122" t="s">
        <v>5258</v>
      </c>
      <c r="DC5492" s="122" t="s">
        <v>5258</v>
      </c>
      <c r="DD5492" s="127">
        <v>8</v>
      </c>
      <c r="DE5492" s="127">
        <v>8</v>
      </c>
      <c r="DG5492" t="s">
        <v>393</v>
      </c>
      <c r="DH5492" t="s">
        <v>5258</v>
      </c>
      <c r="DI5492" s="406" t="str">
        <f t="shared" si="117"/>
        <v>TO, Juarina</v>
      </c>
      <c r="DJ5492">
        <v>-8.1189999999999998</v>
      </c>
      <c r="DK5492">
        <v>-49.064999999999998</v>
      </c>
      <c r="DL5492">
        <v>180</v>
      </c>
      <c r="DM5492" s="1">
        <v>8</v>
      </c>
      <c r="DN5492" t="s">
        <v>7435</v>
      </c>
      <c r="DO5492" s="406">
        <v>-8.9700000000000006</v>
      </c>
      <c r="DP5492" s="80">
        <v>189</v>
      </c>
    </row>
    <row r="5493" spans="29:120" x14ac:dyDescent="0.25">
      <c r="AC5493" s="122" t="s">
        <v>357</v>
      </c>
      <c r="AD5493" s="122" t="s">
        <v>5631</v>
      </c>
      <c r="AE5493" s="127">
        <v>7</v>
      </c>
      <c r="DA5493" s="122" t="s">
        <v>393</v>
      </c>
      <c r="DB5493" s="122" t="s">
        <v>8958</v>
      </c>
      <c r="DC5493" s="122" t="s">
        <v>5292</v>
      </c>
      <c r="DD5493" s="127">
        <v>7</v>
      </c>
      <c r="DE5493" s="127">
        <v>7</v>
      </c>
      <c r="DG5493" t="s">
        <v>393</v>
      </c>
      <c r="DH5493" t="s">
        <v>5292</v>
      </c>
      <c r="DI5493" s="406" t="str">
        <f t="shared" si="117"/>
        <v>TO, Lagoa da Confusão</v>
      </c>
      <c r="DJ5493">
        <v>-10.794</v>
      </c>
      <c r="DK5493">
        <v>-49.624000000000002</v>
      </c>
      <c r="DL5493">
        <v>192</v>
      </c>
      <c r="DM5493" s="1">
        <v>7</v>
      </c>
      <c r="DN5493" t="s">
        <v>6589</v>
      </c>
      <c r="DO5493" s="406">
        <v>-11.78</v>
      </c>
      <c r="DP5493" s="80">
        <v>220</v>
      </c>
    </row>
    <row r="5494" spans="29:120" x14ac:dyDescent="0.25">
      <c r="AC5494" s="122" t="s">
        <v>322</v>
      </c>
      <c r="AD5494" s="122" t="s">
        <v>5632</v>
      </c>
      <c r="AE5494" s="127">
        <v>6</v>
      </c>
      <c r="DA5494" s="122" t="s">
        <v>393</v>
      </c>
      <c r="DB5494" s="122" t="s">
        <v>8959</v>
      </c>
      <c r="DC5494" s="122" t="s">
        <v>4383</v>
      </c>
      <c r="DD5494" s="127">
        <v>7</v>
      </c>
      <c r="DE5494" s="127">
        <v>7</v>
      </c>
      <c r="DG5494" t="s">
        <v>393</v>
      </c>
      <c r="DH5494" t="s">
        <v>4383</v>
      </c>
      <c r="DI5494" s="406" t="str">
        <f t="shared" si="117"/>
        <v>TO, Lagoa do Tocantins</v>
      </c>
      <c r="DJ5494">
        <v>-10.378</v>
      </c>
      <c r="DK5494">
        <v>-47.551000000000002</v>
      </c>
      <c r="DL5494">
        <v>316</v>
      </c>
      <c r="DM5494" s="1">
        <v>7</v>
      </c>
      <c r="DN5494" t="s">
        <v>8927</v>
      </c>
      <c r="DO5494" s="406">
        <v>-10.17</v>
      </c>
      <c r="DP5494" s="80">
        <v>280</v>
      </c>
    </row>
    <row r="5495" spans="29:120" x14ac:dyDescent="0.25">
      <c r="AC5495" s="122" t="s">
        <v>340</v>
      </c>
      <c r="AD5495" s="122" t="s">
        <v>3179</v>
      </c>
      <c r="AE5495" s="127">
        <v>7</v>
      </c>
      <c r="DA5495" s="122" t="s">
        <v>393</v>
      </c>
      <c r="DB5495" s="122" t="s">
        <v>1427</v>
      </c>
      <c r="DC5495" s="122" t="s">
        <v>1427</v>
      </c>
      <c r="DD5495" s="127">
        <v>7</v>
      </c>
      <c r="DE5495" s="127">
        <v>7</v>
      </c>
      <c r="DG5495" t="s">
        <v>393</v>
      </c>
      <c r="DH5495" t="s">
        <v>1427</v>
      </c>
      <c r="DI5495" s="406" t="str">
        <f t="shared" si="117"/>
        <v>TO, Lajeado</v>
      </c>
      <c r="DJ5495">
        <v>-9.7509999999999994</v>
      </c>
      <c r="DK5495">
        <v>-48.357999999999997</v>
      </c>
      <c r="DL5495">
        <v>202</v>
      </c>
      <c r="DM5495" s="1">
        <v>7</v>
      </c>
      <c r="DN5495" t="s">
        <v>8927</v>
      </c>
      <c r="DO5495" s="406">
        <v>-10.17</v>
      </c>
      <c r="DP5495" s="80">
        <v>280</v>
      </c>
    </row>
    <row r="5496" spans="29:120" x14ac:dyDescent="0.25">
      <c r="AC5496" s="122" t="s">
        <v>340</v>
      </c>
      <c r="AD5496" s="122" t="s">
        <v>5633</v>
      </c>
      <c r="AE5496" s="127">
        <v>7</v>
      </c>
      <c r="DA5496" s="122" t="s">
        <v>393</v>
      </c>
      <c r="DB5496" s="122" t="s">
        <v>4495</v>
      </c>
      <c r="DC5496" s="122" t="s">
        <v>4495</v>
      </c>
      <c r="DD5496" s="127">
        <v>7</v>
      </c>
      <c r="DE5496" s="127">
        <v>7</v>
      </c>
      <c r="DG5496" t="s">
        <v>393</v>
      </c>
      <c r="DH5496" t="s">
        <v>4495</v>
      </c>
      <c r="DI5496" s="406" t="str">
        <f t="shared" si="117"/>
        <v>TO, Lavandeira</v>
      </c>
      <c r="DJ5496">
        <v>-12.789</v>
      </c>
      <c r="DK5496">
        <v>-46.506</v>
      </c>
      <c r="DL5496">
        <v>330</v>
      </c>
      <c r="DM5496" s="1">
        <v>7</v>
      </c>
      <c r="DN5496" t="s">
        <v>6550</v>
      </c>
      <c r="DO5496" s="406">
        <v>-13.5</v>
      </c>
      <c r="DP5496" s="80">
        <v>1253</v>
      </c>
    </row>
    <row r="5497" spans="29:120" x14ac:dyDescent="0.25">
      <c r="AC5497" s="122" t="s">
        <v>357</v>
      </c>
      <c r="AD5497" s="122" t="s">
        <v>4749</v>
      </c>
      <c r="AE5497" s="127">
        <v>7</v>
      </c>
      <c r="DA5497" s="122" t="s">
        <v>393</v>
      </c>
      <c r="DB5497" s="122" t="s">
        <v>4303</v>
      </c>
      <c r="DC5497" s="122" t="s">
        <v>4303</v>
      </c>
      <c r="DD5497" s="127">
        <v>7</v>
      </c>
      <c r="DE5497" s="127">
        <v>7</v>
      </c>
      <c r="DG5497" t="s">
        <v>393</v>
      </c>
      <c r="DH5497" t="s">
        <v>4303</v>
      </c>
      <c r="DI5497" s="406" t="str">
        <f t="shared" si="117"/>
        <v>TO, Lizarda</v>
      </c>
      <c r="DJ5497">
        <v>-9.5939999999999994</v>
      </c>
      <c r="DK5497">
        <v>-46.673000000000002</v>
      </c>
      <c r="DL5497">
        <v>423</v>
      </c>
      <c r="DM5497" s="1">
        <v>7</v>
      </c>
      <c r="DN5497" t="s">
        <v>6645</v>
      </c>
      <c r="DO5497" s="406">
        <v>-9.11</v>
      </c>
      <c r="DP5497" s="80">
        <v>281</v>
      </c>
    </row>
    <row r="5498" spans="29:120" x14ac:dyDescent="0.25">
      <c r="AC5498" s="122" t="s">
        <v>289</v>
      </c>
      <c r="AD5498" s="122" t="s">
        <v>5634</v>
      </c>
      <c r="AE5498" s="127">
        <v>6</v>
      </c>
      <c r="DA5498" s="122" t="s">
        <v>393</v>
      </c>
      <c r="DB5498" s="122" t="s">
        <v>4948</v>
      </c>
      <c r="DC5498" s="122" t="s">
        <v>4948</v>
      </c>
      <c r="DD5498" s="127">
        <v>7</v>
      </c>
      <c r="DE5498" s="127">
        <v>7</v>
      </c>
      <c r="DG5498" t="s">
        <v>393</v>
      </c>
      <c r="DH5498" t="s">
        <v>4948</v>
      </c>
      <c r="DI5498" s="406" t="str">
        <f t="shared" si="117"/>
        <v>TO, Luzinópolis</v>
      </c>
      <c r="DJ5498">
        <v>-6.1820000000000004</v>
      </c>
      <c r="DK5498">
        <v>-47.856000000000002</v>
      </c>
      <c r="DL5498">
        <v>250</v>
      </c>
      <c r="DM5498" s="1">
        <v>7</v>
      </c>
      <c r="DN5498" t="s">
        <v>7426</v>
      </c>
      <c r="DO5498" s="406">
        <v>-5.64</v>
      </c>
      <c r="DP5498" s="80">
        <v>117</v>
      </c>
    </row>
    <row r="5499" spans="29:120" x14ac:dyDescent="0.25">
      <c r="AC5499" s="122" t="s">
        <v>333</v>
      </c>
      <c r="AD5499" s="122" t="s">
        <v>2937</v>
      </c>
      <c r="AE5499" s="127">
        <v>6</v>
      </c>
      <c r="DA5499" s="122" t="s">
        <v>393</v>
      </c>
      <c r="DB5499" s="122" t="s">
        <v>8960</v>
      </c>
      <c r="DC5499" s="122" t="s">
        <v>5239</v>
      </c>
      <c r="DD5499" s="127">
        <v>7</v>
      </c>
      <c r="DE5499" s="127">
        <v>7</v>
      </c>
      <c r="DG5499" t="s">
        <v>393</v>
      </c>
      <c r="DH5499" t="s">
        <v>5239</v>
      </c>
      <c r="DI5499" s="406" t="str">
        <f t="shared" si="117"/>
        <v>TO, Marianópolis do Tocantins</v>
      </c>
      <c r="DJ5499">
        <v>-9.7959999999999994</v>
      </c>
      <c r="DK5499">
        <v>-49.654000000000003</v>
      </c>
      <c r="DL5499">
        <v>146</v>
      </c>
      <c r="DM5499" s="1">
        <v>7</v>
      </c>
      <c r="DN5499" t="s">
        <v>7438</v>
      </c>
      <c r="DO5499" s="406">
        <v>-9.34</v>
      </c>
      <c r="DP5499" s="80">
        <v>168</v>
      </c>
    </row>
    <row r="5500" spans="29:120" x14ac:dyDescent="0.25">
      <c r="AC5500" s="122" t="s">
        <v>357</v>
      </c>
      <c r="AD5500" s="122" t="s">
        <v>3294</v>
      </c>
      <c r="AE5500" s="127">
        <v>7</v>
      </c>
      <c r="DA5500" s="122" t="s">
        <v>393</v>
      </c>
      <c r="DB5500" s="122" t="s">
        <v>4136</v>
      </c>
      <c r="DC5500" s="122" t="s">
        <v>4136</v>
      </c>
      <c r="DD5500" s="127">
        <v>7</v>
      </c>
      <c r="DE5500" s="127">
        <v>7</v>
      </c>
      <c r="DG5500" t="s">
        <v>393</v>
      </c>
      <c r="DH5500" t="s">
        <v>4136</v>
      </c>
      <c r="DI5500" s="406" t="str">
        <f t="shared" si="117"/>
        <v>TO, Mateiros</v>
      </c>
      <c r="DJ5500">
        <v>-10.548</v>
      </c>
      <c r="DK5500">
        <v>-46.420999999999999</v>
      </c>
      <c r="DL5500">
        <v>493</v>
      </c>
      <c r="DM5500" s="1">
        <v>7</v>
      </c>
      <c r="DN5500" t="s">
        <v>8930</v>
      </c>
      <c r="DO5500" s="406">
        <v>-11.59</v>
      </c>
      <c r="DP5500" s="80">
        <v>732</v>
      </c>
    </row>
    <row r="5501" spans="29:120" x14ac:dyDescent="0.25">
      <c r="AC5501" s="122" t="s">
        <v>340</v>
      </c>
      <c r="AD5501" s="122" t="s">
        <v>5635</v>
      </c>
      <c r="AE5501" s="127">
        <v>7</v>
      </c>
      <c r="DA5501" s="122" t="s">
        <v>393</v>
      </c>
      <c r="DB5501" s="122" t="s">
        <v>8961</v>
      </c>
      <c r="DC5501" s="122" t="s">
        <v>4916</v>
      </c>
      <c r="DD5501" s="127">
        <v>7</v>
      </c>
      <c r="DE5501" s="127">
        <v>7</v>
      </c>
      <c r="DG5501" t="s">
        <v>393</v>
      </c>
      <c r="DH5501" t="s">
        <v>4916</v>
      </c>
      <c r="DI5501" s="406" t="str">
        <f t="shared" si="117"/>
        <v>TO, Maurilândia do Tocantins</v>
      </c>
      <c r="DJ5501">
        <v>-5.9530000000000003</v>
      </c>
      <c r="DK5501">
        <v>-47.506</v>
      </c>
      <c r="DL5501">
        <v>156</v>
      </c>
      <c r="DM5501" s="1">
        <v>7</v>
      </c>
      <c r="DN5501" t="s">
        <v>6669</v>
      </c>
      <c r="DO5501" s="406">
        <v>-5.56</v>
      </c>
      <c r="DP5501" s="80">
        <v>126</v>
      </c>
    </row>
    <row r="5502" spans="29:120" x14ac:dyDescent="0.25">
      <c r="AC5502" s="122" t="s">
        <v>357</v>
      </c>
      <c r="AD5502" s="122" t="s">
        <v>1913</v>
      </c>
      <c r="AE5502" s="127">
        <v>7</v>
      </c>
      <c r="DA5502" s="122" t="s">
        <v>393</v>
      </c>
      <c r="DB5502" s="122" t="s">
        <v>8962</v>
      </c>
      <c r="DC5502" s="122" t="s">
        <v>4441</v>
      </c>
      <c r="DD5502" s="127">
        <v>7</v>
      </c>
      <c r="DE5502" s="127">
        <v>7</v>
      </c>
      <c r="DG5502" t="s">
        <v>393</v>
      </c>
      <c r="DH5502" t="s">
        <v>4441</v>
      </c>
      <c r="DI5502" s="406" t="str">
        <f t="shared" si="117"/>
        <v>TO, Miracema do Tocantins</v>
      </c>
      <c r="DJ5502">
        <v>-9.5670000000000002</v>
      </c>
      <c r="DK5502">
        <v>-48.392000000000003</v>
      </c>
      <c r="DL5502">
        <v>197</v>
      </c>
      <c r="DM5502" s="1">
        <v>7</v>
      </c>
      <c r="DN5502" t="s">
        <v>8927</v>
      </c>
      <c r="DO5502" s="406">
        <v>-10.17</v>
      </c>
      <c r="DP5502" s="80">
        <v>280</v>
      </c>
    </row>
    <row r="5503" spans="29:120" x14ac:dyDescent="0.25">
      <c r="AC5503" s="122" t="s">
        <v>357</v>
      </c>
      <c r="AD5503" s="122" t="s">
        <v>5615</v>
      </c>
      <c r="AE5503" s="127">
        <v>7</v>
      </c>
      <c r="DA5503" s="122" t="s">
        <v>393</v>
      </c>
      <c r="DB5503" s="122" t="s">
        <v>4417</v>
      </c>
      <c r="DC5503" s="122" t="s">
        <v>4417</v>
      </c>
      <c r="DD5503" s="127">
        <v>7</v>
      </c>
      <c r="DE5503" s="127">
        <v>7</v>
      </c>
      <c r="DG5503" t="s">
        <v>393</v>
      </c>
      <c r="DH5503" t="s">
        <v>4417</v>
      </c>
      <c r="DI5503" s="406" t="str">
        <f t="shared" si="117"/>
        <v>TO, Miranorte</v>
      </c>
      <c r="DJ5503">
        <v>-9.5289999999999999</v>
      </c>
      <c r="DK5503">
        <v>-48.59</v>
      </c>
      <c r="DL5503">
        <v>222</v>
      </c>
      <c r="DM5503" s="1">
        <v>7</v>
      </c>
      <c r="DN5503" t="s">
        <v>8927</v>
      </c>
      <c r="DO5503" s="406">
        <v>-10.17</v>
      </c>
      <c r="DP5503" s="80">
        <v>280</v>
      </c>
    </row>
    <row r="5504" spans="29:120" x14ac:dyDescent="0.25">
      <c r="AC5504" s="122" t="s">
        <v>322</v>
      </c>
      <c r="AD5504" s="122" t="s">
        <v>5636</v>
      </c>
      <c r="AE5504" s="127">
        <v>6</v>
      </c>
      <c r="DA5504" s="122" t="s">
        <v>393</v>
      </c>
      <c r="DB5504" s="122" t="s">
        <v>8963</v>
      </c>
      <c r="DC5504" s="122" t="s">
        <v>4888</v>
      </c>
      <c r="DD5504" s="127">
        <v>7</v>
      </c>
      <c r="DE5504" s="127">
        <v>7</v>
      </c>
      <c r="DG5504" t="s">
        <v>393</v>
      </c>
      <c r="DH5504" t="s">
        <v>4888</v>
      </c>
      <c r="DI5504" s="406" t="str">
        <f t="shared" si="117"/>
        <v>TO, Monte do Carmo</v>
      </c>
      <c r="DJ5504">
        <v>-10.763</v>
      </c>
      <c r="DK5504">
        <v>-48.109000000000002</v>
      </c>
      <c r="DL5504">
        <v>295</v>
      </c>
      <c r="DM5504" s="1">
        <v>7</v>
      </c>
      <c r="DN5504" t="s">
        <v>8927</v>
      </c>
      <c r="DO5504" s="406">
        <v>-10.17</v>
      </c>
      <c r="DP5504" s="80">
        <v>280</v>
      </c>
    </row>
    <row r="5505" spans="29:120" x14ac:dyDescent="0.25">
      <c r="AC5505" s="122" t="s">
        <v>340</v>
      </c>
      <c r="AD5505" s="122" t="s">
        <v>5637</v>
      </c>
      <c r="AE5505" s="127">
        <v>5</v>
      </c>
      <c r="DA5505" s="122" t="s">
        <v>393</v>
      </c>
      <c r="DB5505" s="122" t="s">
        <v>8964</v>
      </c>
      <c r="DC5505" s="122" t="s">
        <v>5186</v>
      </c>
      <c r="DD5505" s="127">
        <v>7</v>
      </c>
      <c r="DE5505" s="127">
        <v>7</v>
      </c>
      <c r="DG5505" t="s">
        <v>393</v>
      </c>
      <c r="DH5505" t="s">
        <v>5186</v>
      </c>
      <c r="DI5505" s="406" t="str">
        <f t="shared" si="117"/>
        <v>TO, Monte Santo do Tocantins</v>
      </c>
      <c r="DJ5505">
        <v>-10.004</v>
      </c>
      <c r="DK5505">
        <v>-48.994999999999997</v>
      </c>
      <c r="DL5505">
        <v>280</v>
      </c>
      <c r="DM5505" s="1">
        <v>7</v>
      </c>
      <c r="DN5505" t="s">
        <v>8927</v>
      </c>
      <c r="DO5505" s="406">
        <v>-10.17</v>
      </c>
      <c r="DP5505" s="80">
        <v>280</v>
      </c>
    </row>
    <row r="5506" spans="29:120" x14ac:dyDescent="0.25">
      <c r="AC5506" s="122" t="s">
        <v>340</v>
      </c>
      <c r="AD5506" s="122" t="s">
        <v>5638</v>
      </c>
      <c r="AE5506" s="127">
        <v>5</v>
      </c>
      <c r="DA5506" s="122" t="s">
        <v>393</v>
      </c>
      <c r="DB5506" s="122" t="s">
        <v>4838</v>
      </c>
      <c r="DC5506" s="122" t="s">
        <v>4838</v>
      </c>
      <c r="DD5506" s="127">
        <v>8</v>
      </c>
      <c r="DE5506" s="127">
        <v>8</v>
      </c>
      <c r="DG5506" t="s">
        <v>393</v>
      </c>
      <c r="DH5506" t="s">
        <v>4838</v>
      </c>
      <c r="DI5506" s="406" t="str">
        <f t="shared" si="117"/>
        <v>TO, Muricilândia</v>
      </c>
      <c r="DJ5506">
        <v>-7.1470000000000002</v>
      </c>
      <c r="DK5506">
        <v>-48.610999999999997</v>
      </c>
      <c r="DL5506">
        <v>190</v>
      </c>
      <c r="DM5506" s="1">
        <v>8</v>
      </c>
      <c r="DN5506" t="s">
        <v>8933</v>
      </c>
      <c r="DO5506" s="406">
        <v>-7.18</v>
      </c>
      <c r="DP5506" s="80">
        <v>226</v>
      </c>
    </row>
    <row r="5507" spans="29:120" x14ac:dyDescent="0.25">
      <c r="AC5507" s="122" t="s">
        <v>357</v>
      </c>
      <c r="AD5507" s="122" t="s">
        <v>5639</v>
      </c>
      <c r="AE5507" s="127">
        <v>7</v>
      </c>
      <c r="DA5507" s="122" t="s">
        <v>393</v>
      </c>
      <c r="DB5507" s="122" t="s">
        <v>3632</v>
      </c>
      <c r="DC5507" s="122" t="s">
        <v>3632</v>
      </c>
      <c r="DD5507" s="127">
        <v>7</v>
      </c>
      <c r="DE5507" s="127">
        <v>7</v>
      </c>
      <c r="DG5507" t="s">
        <v>393</v>
      </c>
      <c r="DH5507" t="s">
        <v>3632</v>
      </c>
      <c r="DI5507" s="406" t="str">
        <f t="shared" ref="DI5507:DI5565" si="118">CONCATENATE(DG5507,", ",DH5507)</f>
        <v>TO, Natividade</v>
      </c>
      <c r="DJ5507">
        <v>-11.71</v>
      </c>
      <c r="DK5507">
        <v>-47.722999999999999</v>
      </c>
      <c r="DL5507">
        <v>323</v>
      </c>
      <c r="DM5507" s="1">
        <v>7</v>
      </c>
      <c r="DN5507" t="s">
        <v>8931</v>
      </c>
      <c r="DO5507" s="406">
        <v>-12.02</v>
      </c>
      <c r="DP5507" s="80">
        <v>242</v>
      </c>
    </row>
    <row r="5508" spans="29:120" x14ac:dyDescent="0.25">
      <c r="AC5508" s="122" t="s">
        <v>340</v>
      </c>
      <c r="AD5508" s="122" t="s">
        <v>5640</v>
      </c>
      <c r="AE5508" s="127">
        <v>7</v>
      </c>
      <c r="DA5508" s="122" t="s">
        <v>393</v>
      </c>
      <c r="DB5508" s="122" t="s">
        <v>2050</v>
      </c>
      <c r="DC5508" s="122" t="s">
        <v>2050</v>
      </c>
      <c r="DD5508" s="127">
        <v>7</v>
      </c>
      <c r="DE5508" s="127">
        <v>7</v>
      </c>
      <c r="DG5508" t="s">
        <v>393</v>
      </c>
      <c r="DH5508" t="s">
        <v>2050</v>
      </c>
      <c r="DI5508" s="406" t="str">
        <f t="shared" si="118"/>
        <v>TO, Nazaré</v>
      </c>
      <c r="DJ5508">
        <v>-6.3719999999999999</v>
      </c>
      <c r="DK5508">
        <v>-47.664000000000001</v>
      </c>
      <c r="DL5508">
        <v>240</v>
      </c>
      <c r="DM5508" s="1">
        <v>7</v>
      </c>
      <c r="DN5508" t="s">
        <v>6672</v>
      </c>
      <c r="DO5508" s="406">
        <v>-6.65</v>
      </c>
      <c r="DP5508" s="80">
        <v>180</v>
      </c>
    </row>
    <row r="5509" spans="29:120" x14ac:dyDescent="0.25">
      <c r="AC5509" s="122" t="s">
        <v>357</v>
      </c>
      <c r="AD5509" s="122" t="s">
        <v>5641</v>
      </c>
      <c r="AE5509" s="127">
        <v>7</v>
      </c>
      <c r="DA5509" s="122" t="s">
        <v>393</v>
      </c>
      <c r="DB5509" s="122" t="s">
        <v>6434</v>
      </c>
      <c r="DC5509" s="122" t="s">
        <v>4446</v>
      </c>
      <c r="DD5509" s="127">
        <v>8</v>
      </c>
      <c r="DE5509" s="127">
        <v>8</v>
      </c>
      <c r="DG5509" t="s">
        <v>393</v>
      </c>
      <c r="DH5509" t="s">
        <v>4446</v>
      </c>
      <c r="DI5509" s="406" t="str">
        <f t="shared" si="118"/>
        <v>TO, Nova Olinda</v>
      </c>
      <c r="DJ5509">
        <v>-7.6319999999999997</v>
      </c>
      <c r="DK5509">
        <v>-48.423000000000002</v>
      </c>
      <c r="DL5509">
        <v>257</v>
      </c>
      <c r="DM5509" s="1">
        <v>8</v>
      </c>
      <c r="DN5509" t="s">
        <v>8933</v>
      </c>
      <c r="DO5509" s="406">
        <v>-7.18</v>
      </c>
      <c r="DP5509" s="80">
        <v>226</v>
      </c>
    </row>
    <row r="5510" spans="29:120" x14ac:dyDescent="0.25">
      <c r="AC5510" s="122" t="s">
        <v>357</v>
      </c>
      <c r="AD5510" s="122" t="s">
        <v>5642</v>
      </c>
      <c r="AE5510" s="127">
        <v>8</v>
      </c>
      <c r="DA5510" s="122" t="s">
        <v>393</v>
      </c>
      <c r="DB5510" s="122" t="s">
        <v>8965</v>
      </c>
      <c r="DC5510" s="122" t="s">
        <v>4848</v>
      </c>
      <c r="DD5510" s="127">
        <v>7</v>
      </c>
      <c r="DE5510" s="127">
        <v>7</v>
      </c>
      <c r="DG5510" t="s">
        <v>393</v>
      </c>
      <c r="DH5510" t="s">
        <v>4848</v>
      </c>
      <c r="DI5510" s="406" t="str">
        <f t="shared" si="118"/>
        <v>TO, Nova Rosalândia</v>
      </c>
      <c r="DJ5510">
        <v>-10.567</v>
      </c>
      <c r="DK5510">
        <v>-48.914000000000001</v>
      </c>
      <c r="DL5510">
        <v>255</v>
      </c>
      <c r="DM5510" s="1">
        <v>7</v>
      </c>
      <c r="DN5510" t="s">
        <v>8927</v>
      </c>
      <c r="DO5510" s="406">
        <v>-10.17</v>
      </c>
      <c r="DP5510" s="80">
        <v>280</v>
      </c>
    </row>
    <row r="5511" spans="29:120" x14ac:dyDescent="0.25">
      <c r="AC5511" s="122" t="s">
        <v>340</v>
      </c>
      <c r="AD5511" s="122" t="s">
        <v>5643</v>
      </c>
      <c r="AE5511" s="127">
        <v>7</v>
      </c>
      <c r="DA5511" s="122" t="s">
        <v>393</v>
      </c>
      <c r="DB5511" s="122" t="s">
        <v>8966</v>
      </c>
      <c r="DC5511" s="122" t="s">
        <v>4393</v>
      </c>
      <c r="DD5511" s="127">
        <v>7</v>
      </c>
      <c r="DE5511" s="127">
        <v>7</v>
      </c>
      <c r="DG5511" t="s">
        <v>393</v>
      </c>
      <c r="DH5511" t="s">
        <v>4393</v>
      </c>
      <c r="DI5511" s="406" t="str">
        <f t="shared" si="118"/>
        <v>TO, Novo Acordo</v>
      </c>
      <c r="DJ5511">
        <v>-9.9629999999999992</v>
      </c>
      <c r="DK5511">
        <v>-47.677</v>
      </c>
      <c r="DL5511">
        <v>205</v>
      </c>
      <c r="DM5511" s="1">
        <v>7</v>
      </c>
      <c r="DN5511" t="s">
        <v>8927</v>
      </c>
      <c r="DO5511" s="406">
        <v>-10.17</v>
      </c>
      <c r="DP5511" s="80">
        <v>280</v>
      </c>
    </row>
    <row r="5512" spans="29:120" x14ac:dyDescent="0.25">
      <c r="AC5512" s="122" t="s">
        <v>357</v>
      </c>
      <c r="AD5512" s="122" t="s">
        <v>5644</v>
      </c>
      <c r="AE5512" s="127">
        <v>8</v>
      </c>
      <c r="DA5512" s="122" t="s">
        <v>393</v>
      </c>
      <c r="DB5512" s="122" t="s">
        <v>8967</v>
      </c>
      <c r="DC5512" s="122" t="s">
        <v>4493</v>
      </c>
      <c r="DD5512" s="127">
        <v>7</v>
      </c>
      <c r="DE5512" s="127">
        <v>7</v>
      </c>
      <c r="DG5512" t="s">
        <v>393</v>
      </c>
      <c r="DH5512" t="s">
        <v>4493</v>
      </c>
      <c r="DI5512" s="406" t="str">
        <f t="shared" si="118"/>
        <v>TO, Novo Alegre</v>
      </c>
      <c r="DJ5512">
        <v>-12.930999999999999</v>
      </c>
      <c r="DK5512">
        <v>-46.573999999999998</v>
      </c>
      <c r="DL5512">
        <v>539</v>
      </c>
      <c r="DM5512" s="1">
        <v>7</v>
      </c>
      <c r="DN5512" t="s">
        <v>6550</v>
      </c>
      <c r="DO5512" s="406">
        <v>-13.5</v>
      </c>
      <c r="DP5512" s="80">
        <v>1253</v>
      </c>
    </row>
    <row r="5513" spans="29:120" x14ac:dyDescent="0.25">
      <c r="AC5513" s="122" t="s">
        <v>340</v>
      </c>
      <c r="AD5513" s="122" t="s">
        <v>5645</v>
      </c>
      <c r="AE5513" s="127">
        <v>8</v>
      </c>
      <c r="DA5513" s="122" t="s">
        <v>393</v>
      </c>
      <c r="DB5513" s="122" t="s">
        <v>8968</v>
      </c>
      <c r="DC5513" s="122" t="s">
        <v>2175</v>
      </c>
      <c r="DD5513" s="127">
        <v>7</v>
      </c>
      <c r="DE5513" s="127">
        <v>7</v>
      </c>
      <c r="DG5513" t="s">
        <v>393</v>
      </c>
      <c r="DH5513" t="s">
        <v>2175</v>
      </c>
      <c r="DI5513" s="406" t="str">
        <f t="shared" si="118"/>
        <v>TO, Novo Jardim</v>
      </c>
      <c r="DJ5513">
        <v>-11.824</v>
      </c>
      <c r="DK5513">
        <v>-46.628</v>
      </c>
      <c r="DL5513">
        <v>684</v>
      </c>
      <c r="DM5513" s="1">
        <v>7</v>
      </c>
      <c r="DN5513" t="s">
        <v>8930</v>
      </c>
      <c r="DO5513" s="406">
        <v>-11.59</v>
      </c>
      <c r="DP5513" s="80">
        <v>732</v>
      </c>
    </row>
    <row r="5514" spans="29:120" x14ac:dyDescent="0.25">
      <c r="AC5514" s="122" t="s">
        <v>340</v>
      </c>
      <c r="AD5514" s="122" t="s">
        <v>5646</v>
      </c>
      <c r="AE5514" s="127">
        <v>8</v>
      </c>
      <c r="DA5514" s="122" t="s">
        <v>393</v>
      </c>
      <c r="DB5514" s="122" t="s">
        <v>8969</v>
      </c>
      <c r="DC5514" s="122" t="s">
        <v>4900</v>
      </c>
      <c r="DD5514" s="127">
        <v>7</v>
      </c>
      <c r="DE5514" s="127">
        <v>7</v>
      </c>
      <c r="DG5514" t="s">
        <v>393</v>
      </c>
      <c r="DH5514" t="s">
        <v>4900</v>
      </c>
      <c r="DI5514" s="406" t="str">
        <f t="shared" si="118"/>
        <v>TO, Oliveira de Fátima</v>
      </c>
      <c r="DJ5514">
        <v>-10.708</v>
      </c>
      <c r="DK5514">
        <v>-48.906999999999996</v>
      </c>
      <c r="DL5514">
        <v>302</v>
      </c>
      <c r="DM5514" s="1">
        <v>7</v>
      </c>
      <c r="DN5514" t="s">
        <v>8927</v>
      </c>
      <c r="DO5514" s="406">
        <v>-10.17</v>
      </c>
      <c r="DP5514" s="80">
        <v>280</v>
      </c>
    </row>
    <row r="5515" spans="29:120" x14ac:dyDescent="0.25">
      <c r="AC5515" s="122" t="s">
        <v>322</v>
      </c>
      <c r="AD5515" s="122" t="s">
        <v>5647</v>
      </c>
      <c r="AE5515" s="127">
        <v>6</v>
      </c>
      <c r="DA5515" s="122" t="s">
        <v>393</v>
      </c>
      <c r="DB5515" s="122" t="s">
        <v>1637</v>
      </c>
      <c r="DC5515" s="122" t="s">
        <v>1637</v>
      </c>
      <c r="DD5515" s="127">
        <v>7</v>
      </c>
      <c r="DE5515" s="127">
        <v>7</v>
      </c>
      <c r="DG5515" t="s">
        <v>393</v>
      </c>
      <c r="DH5515" t="s">
        <v>1637</v>
      </c>
      <c r="DI5515" s="406" t="str">
        <f t="shared" si="118"/>
        <v>TO, Palmas</v>
      </c>
      <c r="DJ5515">
        <v>-10.167</v>
      </c>
      <c r="DK5515">
        <v>-48.332999999999998</v>
      </c>
      <c r="DL5515">
        <v>230</v>
      </c>
      <c r="DM5515" s="1">
        <v>7</v>
      </c>
      <c r="DN5515" t="s">
        <v>8927</v>
      </c>
      <c r="DO5515" s="406">
        <v>-10.17</v>
      </c>
      <c r="DP5515" s="80">
        <v>280</v>
      </c>
    </row>
    <row r="5516" spans="29:120" x14ac:dyDescent="0.25">
      <c r="AC5516" s="122" t="s">
        <v>357</v>
      </c>
      <c r="AD5516" s="122" t="s">
        <v>5648</v>
      </c>
      <c r="AE5516" s="127">
        <v>7</v>
      </c>
      <c r="DA5516" s="122" t="s">
        <v>393</v>
      </c>
      <c r="DB5516" s="122" t="s">
        <v>4409</v>
      </c>
      <c r="DC5516" s="122" t="s">
        <v>4409</v>
      </c>
      <c r="DD5516" s="127">
        <v>7</v>
      </c>
      <c r="DE5516" s="127">
        <v>7</v>
      </c>
      <c r="DG5516" t="s">
        <v>393</v>
      </c>
      <c r="DH5516" t="s">
        <v>4409</v>
      </c>
      <c r="DI5516" s="406" t="str">
        <f t="shared" si="118"/>
        <v>TO, Palmeirante</v>
      </c>
      <c r="DJ5516">
        <v>-7.86</v>
      </c>
      <c r="DK5516">
        <v>-47.926000000000002</v>
      </c>
      <c r="DL5516">
        <v>140</v>
      </c>
      <c r="DM5516" s="1">
        <v>7</v>
      </c>
      <c r="DN5516" t="s">
        <v>6675</v>
      </c>
      <c r="DO5516" s="406">
        <v>-7.34</v>
      </c>
      <c r="DP5516" s="80">
        <v>192</v>
      </c>
    </row>
    <row r="5517" spans="29:120" x14ac:dyDescent="0.25">
      <c r="AC5517" s="122" t="s">
        <v>357</v>
      </c>
      <c r="AD5517" s="122" t="s">
        <v>5649</v>
      </c>
      <c r="AE5517" s="127">
        <v>7</v>
      </c>
      <c r="DA5517" s="122" t="s">
        <v>393</v>
      </c>
      <c r="DB5517" s="122" t="s">
        <v>8970</v>
      </c>
      <c r="DC5517" s="122" t="s">
        <v>5006</v>
      </c>
      <c r="DD5517" s="127">
        <v>7</v>
      </c>
      <c r="DE5517" s="127">
        <v>7</v>
      </c>
      <c r="DG5517" t="s">
        <v>393</v>
      </c>
      <c r="DH5517" t="s">
        <v>5006</v>
      </c>
      <c r="DI5517" s="406" t="str">
        <f t="shared" si="118"/>
        <v>TO, Palmeiras do Tocantins</v>
      </c>
      <c r="DJ5517">
        <v>-6.6130000000000004</v>
      </c>
      <c r="DK5517">
        <v>-47.545999999999999</v>
      </c>
      <c r="DL5517">
        <v>176</v>
      </c>
      <c r="DM5517" s="1">
        <v>7</v>
      </c>
      <c r="DN5517" t="s">
        <v>6672</v>
      </c>
      <c r="DO5517" s="406">
        <v>-6.65</v>
      </c>
      <c r="DP5517" s="80">
        <v>180</v>
      </c>
    </row>
    <row r="5518" spans="29:120" x14ac:dyDescent="0.25">
      <c r="AC5518" s="122" t="s">
        <v>340</v>
      </c>
      <c r="AD5518" s="122" t="s">
        <v>5650</v>
      </c>
      <c r="AE5518" s="127">
        <v>7</v>
      </c>
      <c r="DA5518" s="122" t="s">
        <v>393</v>
      </c>
      <c r="DB5518" s="122" t="s">
        <v>5661</v>
      </c>
      <c r="DC5518" s="122" t="s">
        <v>5661</v>
      </c>
      <c r="DD5518" s="127">
        <v>7</v>
      </c>
      <c r="DE5518" s="127">
        <v>7</v>
      </c>
      <c r="DG5518" t="s">
        <v>393</v>
      </c>
      <c r="DH5518" t="s">
        <v>5661</v>
      </c>
      <c r="DI5518" s="406" t="str">
        <f t="shared" si="118"/>
        <v>TO, Palmeirópolis</v>
      </c>
      <c r="DJ5518">
        <v>-13.044</v>
      </c>
      <c r="DK5518">
        <v>-48.402000000000001</v>
      </c>
      <c r="DL5518">
        <v>438</v>
      </c>
      <c r="DM5518" s="1">
        <v>7</v>
      </c>
      <c r="DN5518" t="s">
        <v>6577</v>
      </c>
      <c r="DO5518" s="406">
        <v>-12.6</v>
      </c>
      <c r="DP5518" s="80">
        <v>280</v>
      </c>
    </row>
    <row r="5519" spans="29:120" x14ac:dyDescent="0.25">
      <c r="AC5519" s="122" t="s">
        <v>340</v>
      </c>
      <c r="AD5519" s="122" t="s">
        <v>5651</v>
      </c>
      <c r="AE5519" s="127">
        <v>7</v>
      </c>
      <c r="DA5519" s="122" t="s">
        <v>393</v>
      </c>
      <c r="DB5519" s="122" t="s">
        <v>8971</v>
      </c>
      <c r="DC5519" s="122" t="s">
        <v>5238</v>
      </c>
      <c r="DD5519" s="127">
        <v>7</v>
      </c>
      <c r="DE5519" s="127">
        <v>7</v>
      </c>
      <c r="DG5519" t="s">
        <v>393</v>
      </c>
      <c r="DH5519" t="s">
        <v>5238</v>
      </c>
      <c r="DI5519" s="406" t="str">
        <f t="shared" si="118"/>
        <v>TO, Paraíso do Tocantins</v>
      </c>
      <c r="DJ5519">
        <v>-10.176</v>
      </c>
      <c r="DK5519">
        <v>-48.866999999999997</v>
      </c>
      <c r="DL5519">
        <v>387</v>
      </c>
      <c r="DM5519" s="1">
        <v>7</v>
      </c>
      <c r="DN5519" t="s">
        <v>8927</v>
      </c>
      <c r="DO5519" s="406">
        <v>-10.17</v>
      </c>
      <c r="DP5519" s="80">
        <v>280</v>
      </c>
    </row>
    <row r="5520" spans="29:120" x14ac:dyDescent="0.25">
      <c r="AC5520" s="122" t="s">
        <v>357</v>
      </c>
      <c r="AD5520" s="122" t="s">
        <v>5652</v>
      </c>
      <c r="AE5520" s="127">
        <v>7</v>
      </c>
      <c r="DA5520" s="122" t="s">
        <v>393</v>
      </c>
      <c r="DB5520" s="122" t="s">
        <v>5008</v>
      </c>
      <c r="DC5520" s="122" t="s">
        <v>5008</v>
      </c>
      <c r="DD5520" s="127">
        <v>6</v>
      </c>
      <c r="DE5520" s="127">
        <v>6</v>
      </c>
      <c r="DG5520" t="s">
        <v>393</v>
      </c>
      <c r="DH5520" t="s">
        <v>5008</v>
      </c>
      <c r="DI5520" s="406" t="str">
        <f t="shared" si="118"/>
        <v>TO, Paranã</v>
      </c>
      <c r="DJ5520">
        <v>-12.615</v>
      </c>
      <c r="DK5520">
        <v>-47.883000000000003</v>
      </c>
      <c r="DL5520">
        <v>274</v>
      </c>
      <c r="DM5520" s="1">
        <v>6</v>
      </c>
      <c r="DN5520" t="s">
        <v>6577</v>
      </c>
      <c r="DO5520" s="406">
        <v>-12.6</v>
      </c>
      <c r="DP5520" s="80">
        <v>280</v>
      </c>
    </row>
    <row r="5521" spans="29:120" x14ac:dyDescent="0.25">
      <c r="AC5521" s="122" t="s">
        <v>357</v>
      </c>
      <c r="AD5521" s="122" t="s">
        <v>5653</v>
      </c>
      <c r="AE5521" s="127">
        <v>7</v>
      </c>
      <c r="DA5521" s="122" t="s">
        <v>393</v>
      </c>
      <c r="DB5521" s="122" t="s">
        <v>7461</v>
      </c>
      <c r="DC5521" s="122" t="s">
        <v>5255</v>
      </c>
      <c r="DD5521" s="127">
        <v>8</v>
      </c>
      <c r="DE5521" s="127">
        <v>8</v>
      </c>
      <c r="DG5521" t="s">
        <v>393</v>
      </c>
      <c r="DH5521" t="s">
        <v>5255</v>
      </c>
      <c r="DI5521" s="406" t="str">
        <f t="shared" si="118"/>
        <v>TO, Pau d'Arco</v>
      </c>
      <c r="DJ5521">
        <v>-7.54</v>
      </c>
      <c r="DK5521">
        <v>-49.372</v>
      </c>
      <c r="DL5521">
        <v>140</v>
      </c>
      <c r="DM5521" s="1">
        <v>8</v>
      </c>
      <c r="DN5521" t="s">
        <v>8933</v>
      </c>
      <c r="DO5521" s="406">
        <v>-7.18</v>
      </c>
      <c r="DP5521" s="80">
        <v>226</v>
      </c>
    </row>
    <row r="5522" spans="29:120" x14ac:dyDescent="0.25">
      <c r="AC5522" s="122" t="s">
        <v>357</v>
      </c>
      <c r="AD5522" s="122" t="s">
        <v>5654</v>
      </c>
      <c r="AE5522" s="127">
        <v>7</v>
      </c>
      <c r="DA5522" s="122" t="s">
        <v>393</v>
      </c>
      <c r="DB5522" s="122" t="s">
        <v>8972</v>
      </c>
      <c r="DC5522" s="122" t="s">
        <v>4967</v>
      </c>
      <c r="DD5522" s="127">
        <v>7</v>
      </c>
      <c r="DE5522" s="127">
        <v>7</v>
      </c>
      <c r="DG5522" t="s">
        <v>393</v>
      </c>
      <c r="DH5522" t="s">
        <v>4967</v>
      </c>
      <c r="DI5522" s="406" t="str">
        <f t="shared" si="118"/>
        <v>TO, Pedro Afonso</v>
      </c>
      <c r="DJ5522">
        <v>-8.968</v>
      </c>
      <c r="DK5522">
        <v>-48.174999999999997</v>
      </c>
      <c r="DL5522">
        <v>201</v>
      </c>
      <c r="DM5522" s="1">
        <v>7</v>
      </c>
      <c r="DN5522" t="s">
        <v>7435</v>
      </c>
      <c r="DO5522" s="406">
        <v>-8.9700000000000006</v>
      </c>
      <c r="DP5522" s="80">
        <v>189</v>
      </c>
    </row>
    <row r="5523" spans="29:120" x14ac:dyDescent="0.25">
      <c r="AC5523" s="122" t="s">
        <v>357</v>
      </c>
      <c r="AD5523" s="122" t="s">
        <v>5655</v>
      </c>
      <c r="AE5523" s="127">
        <v>7</v>
      </c>
      <c r="DA5523" s="122" t="s">
        <v>393</v>
      </c>
      <c r="DB5523" s="122" t="s">
        <v>4951</v>
      </c>
      <c r="DC5523" s="122" t="s">
        <v>4951</v>
      </c>
      <c r="DD5523" s="127">
        <v>7</v>
      </c>
      <c r="DE5523" s="127">
        <v>7</v>
      </c>
      <c r="DG5523" t="s">
        <v>393</v>
      </c>
      <c r="DH5523" t="s">
        <v>4951</v>
      </c>
      <c r="DI5523" s="406" t="str">
        <f t="shared" si="118"/>
        <v>TO, Peixe</v>
      </c>
      <c r="DJ5523">
        <v>-12.025</v>
      </c>
      <c r="DK5523">
        <v>-48.539000000000001</v>
      </c>
      <c r="DL5523">
        <v>240</v>
      </c>
      <c r="DM5523" s="1">
        <v>7</v>
      </c>
      <c r="DN5523" t="s">
        <v>8931</v>
      </c>
      <c r="DO5523" s="406">
        <v>-12.02</v>
      </c>
      <c r="DP5523" s="80">
        <v>242</v>
      </c>
    </row>
    <row r="5524" spans="29:120" x14ac:dyDescent="0.25">
      <c r="AC5524" s="122" t="s">
        <v>357</v>
      </c>
      <c r="AD5524" s="122" t="s">
        <v>1517</v>
      </c>
      <c r="AE5524" s="127">
        <v>7</v>
      </c>
      <c r="DA5524" s="122" t="s">
        <v>393</v>
      </c>
      <c r="DB5524" s="122" t="s">
        <v>5269</v>
      </c>
      <c r="DC5524" s="122" t="s">
        <v>5269</v>
      </c>
      <c r="DD5524" s="127">
        <v>8</v>
      </c>
      <c r="DE5524" s="127">
        <v>8</v>
      </c>
      <c r="DG5524" t="s">
        <v>393</v>
      </c>
      <c r="DH5524" t="s">
        <v>5269</v>
      </c>
      <c r="DI5524" s="406" t="str">
        <f t="shared" si="118"/>
        <v>TO, Pequizeiro</v>
      </c>
      <c r="DJ5524">
        <v>-8.5950000000000006</v>
      </c>
      <c r="DK5524">
        <v>-48.933999999999997</v>
      </c>
      <c r="DL5524">
        <v>283</v>
      </c>
      <c r="DM5524" s="1">
        <v>8</v>
      </c>
      <c r="DN5524" t="s">
        <v>7435</v>
      </c>
      <c r="DO5524" s="406">
        <v>-8.9700000000000006</v>
      </c>
      <c r="DP5524" s="80">
        <v>189</v>
      </c>
    </row>
    <row r="5525" spans="29:120" x14ac:dyDescent="0.25">
      <c r="AC5525" s="122" t="s">
        <v>323</v>
      </c>
      <c r="AD5525" s="122" t="s">
        <v>5656</v>
      </c>
      <c r="AE5525" s="127">
        <v>8</v>
      </c>
      <c r="DA5525" s="122" t="s">
        <v>393</v>
      </c>
      <c r="DB5525" s="122" t="s">
        <v>8973</v>
      </c>
      <c r="DC5525" s="122" t="s">
        <v>4684</v>
      </c>
      <c r="DD5525" s="127">
        <v>7</v>
      </c>
      <c r="DE5525" s="127">
        <v>7</v>
      </c>
      <c r="DG5525" t="s">
        <v>393</v>
      </c>
      <c r="DH5525" t="s">
        <v>4684</v>
      </c>
      <c r="DI5525" s="406" t="str">
        <f t="shared" si="118"/>
        <v>TO, Pindorama do Tocantins</v>
      </c>
      <c r="DJ5525">
        <v>-11.138999999999999</v>
      </c>
      <c r="DK5525">
        <v>-47.579000000000001</v>
      </c>
      <c r="DL5525">
        <v>429</v>
      </c>
      <c r="DM5525" s="1">
        <v>7</v>
      </c>
      <c r="DN5525" t="s">
        <v>8930</v>
      </c>
      <c r="DO5525" s="406">
        <v>-11.59</v>
      </c>
      <c r="DP5525" s="80">
        <v>732</v>
      </c>
    </row>
    <row r="5526" spans="29:120" x14ac:dyDescent="0.25">
      <c r="AC5526" s="122" t="s">
        <v>340</v>
      </c>
      <c r="AD5526" s="122" t="s">
        <v>5657</v>
      </c>
      <c r="AE5526" s="127">
        <v>5</v>
      </c>
      <c r="DA5526" s="122" t="s">
        <v>393</v>
      </c>
      <c r="DB5526" s="122" t="s">
        <v>4966</v>
      </c>
      <c r="DC5526" s="122" t="s">
        <v>4966</v>
      </c>
      <c r="DD5526" s="127">
        <v>8</v>
      </c>
      <c r="DE5526" s="127">
        <v>8</v>
      </c>
      <c r="DG5526" t="s">
        <v>393</v>
      </c>
      <c r="DH5526" t="s">
        <v>4966</v>
      </c>
      <c r="DI5526" s="406" t="str">
        <f t="shared" si="118"/>
        <v>TO, Piraquê</v>
      </c>
      <c r="DJ5526">
        <v>-6.774</v>
      </c>
      <c r="DK5526">
        <v>-48.296999999999997</v>
      </c>
      <c r="DL5526">
        <v>186</v>
      </c>
      <c r="DM5526" s="1">
        <v>8</v>
      </c>
      <c r="DN5526" t="s">
        <v>8933</v>
      </c>
      <c r="DO5526" s="406">
        <v>-7.18</v>
      </c>
      <c r="DP5526" s="80">
        <v>226</v>
      </c>
    </row>
    <row r="5527" spans="29:120" x14ac:dyDescent="0.25">
      <c r="AC5527" s="122" t="s">
        <v>357</v>
      </c>
      <c r="AD5527" s="122" t="s">
        <v>5658</v>
      </c>
      <c r="AE5527" s="127">
        <v>7</v>
      </c>
      <c r="DA5527" s="122" t="s">
        <v>393</v>
      </c>
      <c r="DB5527" s="122" t="s">
        <v>5287</v>
      </c>
      <c r="DC5527" s="122" t="s">
        <v>5287</v>
      </c>
      <c r="DD5527" s="127">
        <v>7</v>
      </c>
      <c r="DE5527" s="127">
        <v>7</v>
      </c>
      <c r="DG5527" t="s">
        <v>393</v>
      </c>
      <c r="DH5527" t="s">
        <v>5287</v>
      </c>
      <c r="DI5527" s="406" t="str">
        <f t="shared" si="118"/>
        <v>TO, Pium</v>
      </c>
      <c r="DJ5527">
        <v>-10.443</v>
      </c>
      <c r="DK5527">
        <v>-49.182000000000002</v>
      </c>
      <c r="DL5527">
        <v>249</v>
      </c>
      <c r="DM5527" s="1">
        <v>7</v>
      </c>
      <c r="DN5527" t="s">
        <v>8927</v>
      </c>
      <c r="DO5527" s="406">
        <v>-10.17</v>
      </c>
      <c r="DP5527" s="80">
        <v>280</v>
      </c>
    </row>
    <row r="5528" spans="29:120" x14ac:dyDescent="0.25">
      <c r="AC5528" s="122" t="s">
        <v>357</v>
      </c>
      <c r="AD5528" s="122" t="s">
        <v>5659</v>
      </c>
      <c r="AE5528" s="127">
        <v>7</v>
      </c>
      <c r="DA5528" s="122" t="s">
        <v>393</v>
      </c>
      <c r="DB5528" s="122" t="s">
        <v>8974</v>
      </c>
      <c r="DC5528" s="122" t="s">
        <v>4560</v>
      </c>
      <c r="DD5528" s="127">
        <v>7</v>
      </c>
      <c r="DE5528" s="127">
        <v>7</v>
      </c>
      <c r="DG5528" t="s">
        <v>393</v>
      </c>
      <c r="DH5528" t="s">
        <v>4560</v>
      </c>
      <c r="DI5528" s="406" t="str">
        <f t="shared" si="118"/>
        <v>TO, Ponte Alta do Bom Jesus</v>
      </c>
      <c r="DJ5528">
        <v>-12.090999999999999</v>
      </c>
      <c r="DK5528">
        <v>-46.478999999999999</v>
      </c>
      <c r="DL5528">
        <v>512</v>
      </c>
      <c r="DM5528" s="1">
        <v>7</v>
      </c>
      <c r="DN5528" t="s">
        <v>8930</v>
      </c>
      <c r="DO5528" s="406">
        <v>-11.59</v>
      </c>
      <c r="DP5528" s="80">
        <v>732</v>
      </c>
    </row>
    <row r="5529" spans="29:120" x14ac:dyDescent="0.25">
      <c r="AC5529" s="122" t="s">
        <v>357</v>
      </c>
      <c r="AD5529" s="122" t="s">
        <v>5660</v>
      </c>
      <c r="AE5529" s="127">
        <v>7</v>
      </c>
      <c r="DA5529" s="122" t="s">
        <v>393</v>
      </c>
      <c r="DB5529" s="122" t="s">
        <v>8975</v>
      </c>
      <c r="DC5529" s="122" t="s">
        <v>4399</v>
      </c>
      <c r="DD5529" s="127">
        <v>7</v>
      </c>
      <c r="DE5529" s="127">
        <v>7</v>
      </c>
      <c r="DG5529" t="s">
        <v>393</v>
      </c>
      <c r="DH5529" t="s">
        <v>4399</v>
      </c>
      <c r="DI5529" s="406" t="str">
        <f t="shared" si="118"/>
        <v>TO, Ponte Alta do Tocantins</v>
      </c>
      <c r="DJ5529">
        <v>-10.744</v>
      </c>
      <c r="DK5529">
        <v>-47.536000000000001</v>
      </c>
      <c r="DL5529">
        <v>294</v>
      </c>
      <c r="DM5529" s="1">
        <v>7</v>
      </c>
      <c r="DN5529" t="s">
        <v>8927</v>
      </c>
      <c r="DO5529" s="406">
        <v>-10.17</v>
      </c>
      <c r="DP5529" s="80">
        <v>280</v>
      </c>
    </row>
    <row r="5530" spans="29:120" x14ac:dyDescent="0.25">
      <c r="AC5530" s="122" t="s">
        <v>393</v>
      </c>
      <c r="AD5530" s="122" t="s">
        <v>5661</v>
      </c>
      <c r="AE5530" s="127">
        <v>7</v>
      </c>
      <c r="DA5530" s="122" t="s">
        <v>393</v>
      </c>
      <c r="DB5530" s="122" t="s">
        <v>8976</v>
      </c>
      <c r="DC5530" s="122" t="s">
        <v>4341</v>
      </c>
      <c r="DD5530" s="127">
        <v>7</v>
      </c>
      <c r="DE5530" s="127">
        <v>7</v>
      </c>
      <c r="DG5530" t="s">
        <v>393</v>
      </c>
      <c r="DH5530" t="s">
        <v>4341</v>
      </c>
      <c r="DI5530" s="406" t="str">
        <f t="shared" si="118"/>
        <v>TO, Porto Alegre do Tocantins</v>
      </c>
      <c r="DJ5530">
        <v>-11.609</v>
      </c>
      <c r="DK5530">
        <v>-47.048999999999999</v>
      </c>
      <c r="DL5530">
        <v>387</v>
      </c>
      <c r="DM5530" s="1">
        <v>7</v>
      </c>
      <c r="DN5530" t="s">
        <v>8930</v>
      </c>
      <c r="DO5530" s="406">
        <v>-11.59</v>
      </c>
      <c r="DP5530" s="80">
        <v>732</v>
      </c>
    </row>
    <row r="5531" spans="29:120" x14ac:dyDescent="0.25">
      <c r="AC5531" s="122" t="s">
        <v>340</v>
      </c>
      <c r="AD5531" s="122" t="s">
        <v>4129</v>
      </c>
      <c r="AE5531" s="127">
        <v>6</v>
      </c>
      <c r="DA5531" s="122" t="s">
        <v>393</v>
      </c>
      <c r="DB5531" s="122" t="s">
        <v>8977</v>
      </c>
      <c r="DC5531" s="122" t="s">
        <v>4944</v>
      </c>
      <c r="DD5531" s="127">
        <v>7</v>
      </c>
      <c r="DE5531" s="127">
        <v>7</v>
      </c>
      <c r="DG5531" t="s">
        <v>393</v>
      </c>
      <c r="DH5531" t="s">
        <v>4944</v>
      </c>
      <c r="DI5531" s="406" t="str">
        <f t="shared" si="118"/>
        <v>TO, Porto Nacional</v>
      </c>
      <c r="DJ5531">
        <v>-10.708</v>
      </c>
      <c r="DK5531">
        <v>-48.417000000000002</v>
      </c>
      <c r="DL5531">
        <v>212</v>
      </c>
      <c r="DM5531" s="1">
        <v>7</v>
      </c>
      <c r="DN5531" t="s">
        <v>8927</v>
      </c>
      <c r="DO5531" s="406">
        <v>-10.17</v>
      </c>
      <c r="DP5531" s="80">
        <v>280</v>
      </c>
    </row>
    <row r="5532" spans="29:120" x14ac:dyDescent="0.25">
      <c r="AC5532" s="122" t="s">
        <v>340</v>
      </c>
      <c r="AD5532" s="122" t="s">
        <v>5662</v>
      </c>
      <c r="AE5532" s="127">
        <v>7</v>
      </c>
      <c r="DA5532" s="122" t="s">
        <v>393</v>
      </c>
      <c r="DB5532" s="122" t="s">
        <v>8978</v>
      </c>
      <c r="DC5532" s="122" t="s">
        <v>4832</v>
      </c>
      <c r="DD5532" s="127">
        <v>8</v>
      </c>
      <c r="DE5532" s="127">
        <v>8</v>
      </c>
      <c r="DG5532" t="s">
        <v>393</v>
      </c>
      <c r="DH5532" t="s">
        <v>4832</v>
      </c>
      <c r="DI5532" s="406" t="str">
        <f t="shared" si="118"/>
        <v>TO, Praia Norte</v>
      </c>
      <c r="DJ5532">
        <v>-5.3929999999999998</v>
      </c>
      <c r="DK5532">
        <v>-47.811</v>
      </c>
      <c r="DL5532">
        <v>122</v>
      </c>
      <c r="DM5532" s="1">
        <v>8</v>
      </c>
      <c r="DN5532" t="s">
        <v>6669</v>
      </c>
      <c r="DO5532" s="406">
        <v>-5.56</v>
      </c>
      <c r="DP5532" s="80">
        <v>126</v>
      </c>
    </row>
    <row r="5533" spans="29:120" x14ac:dyDescent="0.25">
      <c r="AC5533" s="122" t="s">
        <v>322</v>
      </c>
      <c r="AD5533" s="122" t="s">
        <v>5663</v>
      </c>
      <c r="AE5533" s="127">
        <v>6</v>
      </c>
      <c r="DA5533" s="122" t="s">
        <v>393</v>
      </c>
      <c r="DB5533" s="122" t="s">
        <v>6490</v>
      </c>
      <c r="DC5533" s="122" t="s">
        <v>3164</v>
      </c>
      <c r="DD5533" s="127">
        <v>8</v>
      </c>
      <c r="DE5533" s="127">
        <v>8</v>
      </c>
      <c r="DG5533" t="s">
        <v>393</v>
      </c>
      <c r="DH5533" t="s">
        <v>3164</v>
      </c>
      <c r="DI5533" s="406" t="str">
        <f t="shared" si="118"/>
        <v>TO, Presidente Kennedy</v>
      </c>
      <c r="DJ5533">
        <v>-8.5389999999999997</v>
      </c>
      <c r="DK5533">
        <v>-48.506</v>
      </c>
      <c r="DL5533">
        <v>247</v>
      </c>
      <c r="DM5533" s="1">
        <v>8</v>
      </c>
      <c r="DN5533" t="s">
        <v>7435</v>
      </c>
      <c r="DO5533" s="406">
        <v>-8.9700000000000006</v>
      </c>
      <c r="DP5533" s="80">
        <v>189</v>
      </c>
    </row>
    <row r="5534" spans="29:120" x14ac:dyDescent="0.25">
      <c r="AC5534" s="122" t="s">
        <v>357</v>
      </c>
      <c r="AD5534" s="122" t="s">
        <v>5664</v>
      </c>
      <c r="AE5534" s="127">
        <v>7</v>
      </c>
      <c r="DA5534" s="122" t="s">
        <v>393</v>
      </c>
      <c r="DB5534" s="122" t="s">
        <v>4785</v>
      </c>
      <c r="DC5534" s="122" t="s">
        <v>4785</v>
      </c>
      <c r="DD5534" s="127">
        <v>7</v>
      </c>
      <c r="DE5534" s="127">
        <v>7</v>
      </c>
      <c r="DG5534" t="s">
        <v>393</v>
      </c>
      <c r="DH5534" t="s">
        <v>4785</v>
      </c>
      <c r="DI5534" s="406" t="str">
        <f t="shared" si="118"/>
        <v>TO, Pugmil</v>
      </c>
      <c r="DJ5534">
        <v>-10.423999999999999</v>
      </c>
      <c r="DK5534">
        <v>-48.893999999999998</v>
      </c>
      <c r="DL5534">
        <v>340</v>
      </c>
      <c r="DM5534" s="1">
        <v>7</v>
      </c>
      <c r="DN5534" t="s">
        <v>8927</v>
      </c>
      <c r="DO5534" s="406">
        <v>-10.17</v>
      </c>
      <c r="DP5534" s="80">
        <v>280</v>
      </c>
    </row>
    <row r="5535" spans="29:120" x14ac:dyDescent="0.25">
      <c r="AC5535" s="122" t="s">
        <v>340</v>
      </c>
      <c r="AD5535" s="122" t="s">
        <v>5665</v>
      </c>
      <c r="AE5535" s="127">
        <v>6</v>
      </c>
      <c r="DA5535" s="122" t="s">
        <v>393</v>
      </c>
      <c r="DB5535" s="122" t="s">
        <v>4287</v>
      </c>
      <c r="DC5535" s="122" t="s">
        <v>4287</v>
      </c>
      <c r="DD5535" s="127">
        <v>7</v>
      </c>
      <c r="DE5535" s="127">
        <v>7</v>
      </c>
      <c r="DG5535" t="s">
        <v>393</v>
      </c>
      <c r="DH5535" t="s">
        <v>4287</v>
      </c>
      <c r="DI5535" s="406" t="str">
        <f t="shared" si="118"/>
        <v>TO, Recursolândia</v>
      </c>
      <c r="DJ5535">
        <v>-8.7370000000000001</v>
      </c>
      <c r="DK5535">
        <v>-47.247</v>
      </c>
      <c r="DL5535">
        <v>339</v>
      </c>
      <c r="DM5535" s="1">
        <v>7</v>
      </c>
      <c r="DN5535" t="s">
        <v>7435</v>
      </c>
      <c r="DO5535" s="406">
        <v>-8.9700000000000006</v>
      </c>
      <c r="DP5535" s="80">
        <v>189</v>
      </c>
    </row>
    <row r="5536" spans="29:120" x14ac:dyDescent="0.25">
      <c r="AC5536" s="122" t="s">
        <v>340</v>
      </c>
      <c r="AD5536" s="122" t="s">
        <v>5666</v>
      </c>
      <c r="AE5536" s="127">
        <v>5</v>
      </c>
      <c r="DA5536" s="122" t="s">
        <v>393</v>
      </c>
      <c r="DB5536" s="122" t="s">
        <v>4975</v>
      </c>
      <c r="DC5536" s="122" t="s">
        <v>4975</v>
      </c>
      <c r="DD5536" s="127">
        <v>8</v>
      </c>
      <c r="DE5536" s="127">
        <v>8</v>
      </c>
      <c r="DG5536" t="s">
        <v>393</v>
      </c>
      <c r="DH5536" t="s">
        <v>4975</v>
      </c>
      <c r="DI5536" s="406" t="str">
        <f t="shared" si="118"/>
        <v>TO, Riachinho</v>
      </c>
      <c r="DJ5536">
        <v>-6.4379999999999997</v>
      </c>
      <c r="DK5536">
        <v>-48.137</v>
      </c>
      <c r="DL5536">
        <v>160</v>
      </c>
      <c r="DM5536" s="1">
        <v>8</v>
      </c>
      <c r="DN5536" t="s">
        <v>6672</v>
      </c>
      <c r="DO5536" s="406">
        <v>-6.65</v>
      </c>
      <c r="DP5536" s="80">
        <v>180</v>
      </c>
    </row>
    <row r="5537" spans="29:120" x14ac:dyDescent="0.25">
      <c r="AC5537" s="122" t="s">
        <v>336</v>
      </c>
      <c r="AD5537" s="122" t="s">
        <v>5667</v>
      </c>
      <c r="AE5537" s="127">
        <v>5</v>
      </c>
      <c r="DA5537" s="122" t="s">
        <v>393</v>
      </c>
      <c r="DB5537" s="122" t="s">
        <v>8979</v>
      </c>
      <c r="DC5537" s="122" t="s">
        <v>4283</v>
      </c>
      <c r="DD5537" s="127">
        <v>7</v>
      </c>
      <c r="DE5537" s="127">
        <v>7</v>
      </c>
      <c r="DG5537" t="s">
        <v>393</v>
      </c>
      <c r="DH5537" t="s">
        <v>4283</v>
      </c>
      <c r="DI5537" s="406" t="str">
        <f t="shared" si="118"/>
        <v>TO, Rio da Conceição</v>
      </c>
      <c r="DJ5537">
        <v>-11.4</v>
      </c>
      <c r="DK5537">
        <v>-46.883000000000003</v>
      </c>
      <c r="DL5537">
        <v>496</v>
      </c>
      <c r="DM5537" s="1">
        <v>7</v>
      </c>
      <c r="DN5537" t="s">
        <v>8930</v>
      </c>
      <c r="DO5537" s="406">
        <v>-11.59</v>
      </c>
      <c r="DP5537" s="80">
        <v>732</v>
      </c>
    </row>
    <row r="5538" spans="29:120" x14ac:dyDescent="0.25">
      <c r="AC5538" s="122" t="s">
        <v>340</v>
      </c>
      <c r="AD5538" s="122" t="s">
        <v>5668</v>
      </c>
      <c r="AE5538" s="127">
        <v>5</v>
      </c>
      <c r="DA5538" s="122" t="s">
        <v>393</v>
      </c>
      <c r="DB5538" s="122" t="s">
        <v>8980</v>
      </c>
      <c r="DC5538" s="122" t="s">
        <v>4821</v>
      </c>
      <c r="DD5538" s="127">
        <v>7</v>
      </c>
      <c r="DE5538" s="127">
        <v>7</v>
      </c>
      <c r="DG5538" t="s">
        <v>393</v>
      </c>
      <c r="DH5538" t="s">
        <v>4821</v>
      </c>
      <c r="DI5538" s="406" t="str">
        <f t="shared" si="118"/>
        <v>TO, Rio dos Bois</v>
      </c>
      <c r="DJ5538">
        <v>-9.2929999999999993</v>
      </c>
      <c r="DK5538">
        <v>-48.466000000000001</v>
      </c>
      <c r="DL5538">
        <v>230</v>
      </c>
      <c r="DM5538" s="1">
        <v>7</v>
      </c>
      <c r="DN5538" t="s">
        <v>7435</v>
      </c>
      <c r="DO5538" s="406">
        <v>-8.9700000000000006</v>
      </c>
      <c r="DP5538" s="80">
        <v>189</v>
      </c>
    </row>
    <row r="5539" spans="29:120" x14ac:dyDescent="0.25">
      <c r="AC5539" s="122" t="s">
        <v>372</v>
      </c>
      <c r="AD5539" s="122" t="s">
        <v>5669</v>
      </c>
      <c r="AE5539" s="127">
        <v>8</v>
      </c>
      <c r="DA5539" s="122" t="s">
        <v>393</v>
      </c>
      <c r="DB5539" s="122" t="s">
        <v>8981</v>
      </c>
      <c r="DC5539" s="122" t="s">
        <v>4782</v>
      </c>
      <c r="DD5539" s="127">
        <v>7</v>
      </c>
      <c r="DE5539" s="127">
        <v>7</v>
      </c>
      <c r="DG5539" t="s">
        <v>393</v>
      </c>
      <c r="DH5539" t="s">
        <v>4782</v>
      </c>
      <c r="DI5539" s="406" t="str">
        <f t="shared" si="118"/>
        <v>TO, Rio Sono</v>
      </c>
      <c r="DJ5539">
        <v>-9.3439999999999994</v>
      </c>
      <c r="DK5539">
        <v>-47.902000000000001</v>
      </c>
      <c r="DL5539">
        <v>196</v>
      </c>
      <c r="DM5539" s="1">
        <v>7</v>
      </c>
      <c r="DN5539" t="s">
        <v>7435</v>
      </c>
      <c r="DO5539" s="406">
        <v>-8.9700000000000006</v>
      </c>
      <c r="DP5539" s="80">
        <v>189</v>
      </c>
    </row>
    <row r="5540" spans="29:120" x14ac:dyDescent="0.25">
      <c r="AC5540" s="122" t="s">
        <v>322</v>
      </c>
      <c r="AD5540" s="122" t="s">
        <v>5670</v>
      </c>
      <c r="AE5540" s="127">
        <v>6</v>
      </c>
      <c r="DA5540" s="122" t="s">
        <v>393</v>
      </c>
      <c r="DB5540" s="122" t="s">
        <v>4813</v>
      </c>
      <c r="DC5540" s="122" t="s">
        <v>4813</v>
      </c>
      <c r="DD5540" s="127">
        <v>8</v>
      </c>
      <c r="DE5540" s="127">
        <v>8</v>
      </c>
      <c r="DG5540" t="s">
        <v>393</v>
      </c>
      <c r="DH5540" t="s">
        <v>4813</v>
      </c>
      <c r="DI5540" s="406" t="str">
        <f t="shared" si="118"/>
        <v>TO, Sampaio</v>
      </c>
      <c r="DJ5540">
        <v>-5.3479999999999999</v>
      </c>
      <c r="DK5540">
        <v>-47.872999999999998</v>
      </c>
      <c r="DL5540">
        <v>115</v>
      </c>
      <c r="DM5540" s="1">
        <v>8</v>
      </c>
      <c r="DN5540" t="s">
        <v>7426</v>
      </c>
      <c r="DO5540" s="406">
        <v>-5.64</v>
      </c>
      <c r="DP5540" s="80">
        <v>117</v>
      </c>
    </row>
    <row r="5541" spans="29:120" x14ac:dyDescent="0.25">
      <c r="AC5541" s="122" t="s">
        <v>340</v>
      </c>
      <c r="AD5541" s="122" t="s">
        <v>5671</v>
      </c>
      <c r="AE5541" s="127">
        <v>6</v>
      </c>
      <c r="DA5541" s="122" t="s">
        <v>393</v>
      </c>
      <c r="DB5541" s="122" t="s">
        <v>5251</v>
      </c>
      <c r="DC5541" s="122" t="s">
        <v>5251</v>
      </c>
      <c r="DD5541" s="127">
        <v>7</v>
      </c>
      <c r="DE5541" s="127">
        <v>7</v>
      </c>
      <c r="DG5541" t="s">
        <v>393</v>
      </c>
      <c r="DH5541" t="s">
        <v>5251</v>
      </c>
      <c r="DI5541" s="406" t="str">
        <f t="shared" si="118"/>
        <v>TO, Sandolândia</v>
      </c>
      <c r="DJ5541">
        <v>-12.537000000000001</v>
      </c>
      <c r="DK5541">
        <v>-49.924999999999997</v>
      </c>
      <c r="DL5541">
        <v>245</v>
      </c>
      <c r="DM5541" s="1">
        <v>7</v>
      </c>
      <c r="DN5541" t="s">
        <v>6589</v>
      </c>
      <c r="DO5541" s="406">
        <v>-11.78</v>
      </c>
      <c r="DP5541" s="80">
        <v>220</v>
      </c>
    </row>
    <row r="5542" spans="29:120" x14ac:dyDescent="0.25">
      <c r="AC5542" s="122" t="s">
        <v>340</v>
      </c>
      <c r="AD5542" s="122" t="s">
        <v>5672</v>
      </c>
      <c r="AE5542" s="127">
        <v>6</v>
      </c>
      <c r="DA5542" s="122" t="s">
        <v>393</v>
      </c>
      <c r="DB5542" s="122" t="s">
        <v>8982</v>
      </c>
      <c r="DC5542" s="122" t="s">
        <v>4445</v>
      </c>
      <c r="DD5542" s="127">
        <v>8</v>
      </c>
      <c r="DE5542" s="127">
        <v>8</v>
      </c>
      <c r="DG5542" t="s">
        <v>393</v>
      </c>
      <c r="DH5542" t="s">
        <v>4445</v>
      </c>
      <c r="DI5542" s="406" t="str">
        <f t="shared" si="118"/>
        <v>TO, Santa Fé do Araguaia</v>
      </c>
      <c r="DJ5542">
        <v>-7.157</v>
      </c>
      <c r="DK5542">
        <v>-48.720999999999997</v>
      </c>
      <c r="DL5542">
        <v>190</v>
      </c>
      <c r="DM5542" s="1">
        <v>8</v>
      </c>
      <c r="DN5542" t="s">
        <v>8933</v>
      </c>
      <c r="DO5542" s="406">
        <v>-7.18</v>
      </c>
      <c r="DP5542" s="80">
        <v>226</v>
      </c>
    </row>
    <row r="5543" spans="29:120" x14ac:dyDescent="0.25">
      <c r="AC5543" s="122" t="s">
        <v>357</v>
      </c>
      <c r="AD5543" s="122" t="s">
        <v>5673</v>
      </c>
      <c r="AE5543" s="127">
        <v>7</v>
      </c>
      <c r="DA5543" s="122" t="s">
        <v>393</v>
      </c>
      <c r="DB5543" s="122" t="s">
        <v>8983</v>
      </c>
      <c r="DC5543" s="122" t="s">
        <v>4736</v>
      </c>
      <c r="DD5543" s="127">
        <v>7</v>
      </c>
      <c r="DE5543" s="127">
        <v>7</v>
      </c>
      <c r="DG5543" t="s">
        <v>393</v>
      </c>
      <c r="DH5543" t="s">
        <v>4736</v>
      </c>
      <c r="DI5543" s="406" t="str">
        <f t="shared" si="118"/>
        <v>TO, Santa Maria do Tocantins</v>
      </c>
      <c r="DJ5543">
        <v>-8.7970000000000006</v>
      </c>
      <c r="DK5543">
        <v>-47.795000000000002</v>
      </c>
      <c r="DL5543">
        <v>310</v>
      </c>
      <c r="DM5543" s="1">
        <v>7</v>
      </c>
      <c r="DN5543" t="s">
        <v>7435</v>
      </c>
      <c r="DO5543" s="406">
        <v>-8.9700000000000006</v>
      </c>
      <c r="DP5543" s="80">
        <v>189</v>
      </c>
    </row>
    <row r="5544" spans="29:120" x14ac:dyDescent="0.25">
      <c r="AC5544" s="122" t="s">
        <v>322</v>
      </c>
      <c r="AD5544" s="122" t="s">
        <v>5674</v>
      </c>
      <c r="AE5544" s="127">
        <v>6</v>
      </c>
      <c r="DA5544" s="122" t="s">
        <v>393</v>
      </c>
      <c r="DB5544" s="122" t="s">
        <v>8984</v>
      </c>
      <c r="DC5544" s="122" t="s">
        <v>4932</v>
      </c>
      <c r="DD5544" s="127">
        <v>7</v>
      </c>
      <c r="DE5544" s="127">
        <v>7</v>
      </c>
      <c r="DG5544" t="s">
        <v>393</v>
      </c>
      <c r="DH5544" t="s">
        <v>4932</v>
      </c>
      <c r="DI5544" s="406" t="str">
        <f t="shared" si="118"/>
        <v>TO, Santa Rita do Tocantins</v>
      </c>
      <c r="DJ5544">
        <v>-10.861000000000001</v>
      </c>
      <c r="DK5544">
        <v>-48.914000000000001</v>
      </c>
      <c r="DL5544">
        <v>280</v>
      </c>
      <c r="DM5544" s="1">
        <v>7</v>
      </c>
      <c r="DN5544" t="s">
        <v>8929</v>
      </c>
      <c r="DO5544" s="406">
        <v>-11.72</v>
      </c>
      <c r="DP5544" s="80">
        <v>287</v>
      </c>
    </row>
    <row r="5545" spans="29:120" x14ac:dyDescent="0.25">
      <c r="AC5545" s="122" t="s">
        <v>340</v>
      </c>
      <c r="AD5545" s="122" t="s">
        <v>5675</v>
      </c>
      <c r="AE5545" s="127">
        <v>6</v>
      </c>
      <c r="DA5545" s="122" t="s">
        <v>393</v>
      </c>
      <c r="DB5545" s="122" t="s">
        <v>8985</v>
      </c>
      <c r="DC5545" s="122" t="s">
        <v>4906</v>
      </c>
      <c r="DD5545" s="127">
        <v>7</v>
      </c>
      <c r="DE5545" s="127">
        <v>7</v>
      </c>
      <c r="DG5545" t="s">
        <v>393</v>
      </c>
      <c r="DH5545" t="s">
        <v>4906</v>
      </c>
      <c r="DI5545" s="406" t="str">
        <f t="shared" si="118"/>
        <v>TO, Santa Rosa do Tocantins</v>
      </c>
      <c r="DJ5545">
        <v>-11.449</v>
      </c>
      <c r="DK5545">
        <v>-48.121000000000002</v>
      </c>
      <c r="DL5545">
        <v>310</v>
      </c>
      <c r="DM5545" s="1">
        <v>7</v>
      </c>
      <c r="DN5545" t="s">
        <v>8931</v>
      </c>
      <c r="DO5545" s="406">
        <v>-12.02</v>
      </c>
      <c r="DP5545" s="80">
        <v>242</v>
      </c>
    </row>
    <row r="5546" spans="29:120" x14ac:dyDescent="0.25">
      <c r="AC5546" s="122" t="s">
        <v>340</v>
      </c>
      <c r="AD5546" s="122" t="s">
        <v>5676</v>
      </c>
      <c r="AE5546" s="127">
        <v>7</v>
      </c>
      <c r="DA5546" s="122" t="s">
        <v>393</v>
      </c>
      <c r="DB5546" s="122" t="s">
        <v>8986</v>
      </c>
      <c r="DC5546" s="122" t="s">
        <v>4707</v>
      </c>
      <c r="DD5546" s="127">
        <v>7</v>
      </c>
      <c r="DE5546" s="127">
        <v>7</v>
      </c>
      <c r="DG5546" t="s">
        <v>393</v>
      </c>
      <c r="DH5546" t="s">
        <v>4707</v>
      </c>
      <c r="DI5546" s="406" t="str">
        <f t="shared" si="118"/>
        <v>TO, Santa Tereza do Tocantins</v>
      </c>
      <c r="DJ5546">
        <v>-10.282</v>
      </c>
      <c r="DK5546">
        <v>-47.808</v>
      </c>
      <c r="DL5546">
        <v>263</v>
      </c>
      <c r="DM5546" s="1">
        <v>7</v>
      </c>
      <c r="DN5546" t="s">
        <v>8927</v>
      </c>
      <c r="DO5546" s="406">
        <v>-10.17</v>
      </c>
      <c r="DP5546" s="80">
        <v>280</v>
      </c>
    </row>
    <row r="5547" spans="29:120" x14ac:dyDescent="0.25">
      <c r="AC5547" s="122" t="s">
        <v>340</v>
      </c>
      <c r="AD5547" s="122" t="s">
        <v>5677</v>
      </c>
      <c r="AE5547" s="127">
        <v>5</v>
      </c>
      <c r="DA5547" s="122" t="s">
        <v>393</v>
      </c>
      <c r="DB5547" s="122" t="s">
        <v>8987</v>
      </c>
      <c r="DC5547" s="122" t="s">
        <v>4990</v>
      </c>
      <c r="DD5547" s="127">
        <v>7</v>
      </c>
      <c r="DE5547" s="127">
        <v>7</v>
      </c>
      <c r="DG5547" t="s">
        <v>393</v>
      </c>
      <c r="DH5547" t="s">
        <v>4990</v>
      </c>
      <c r="DI5547" s="406" t="str">
        <f t="shared" si="118"/>
        <v>TO, Santa Terezinha do Tocantins</v>
      </c>
      <c r="DJ5547">
        <v>-6.4340000000000002</v>
      </c>
      <c r="DK5547">
        <v>-47.673000000000002</v>
      </c>
      <c r="DL5547">
        <v>250</v>
      </c>
      <c r="DM5547" s="1">
        <v>7</v>
      </c>
      <c r="DN5547" t="s">
        <v>6672</v>
      </c>
      <c r="DO5547" s="406">
        <v>-6.65</v>
      </c>
      <c r="DP5547" s="80">
        <v>180</v>
      </c>
    </row>
    <row r="5548" spans="29:120" x14ac:dyDescent="0.25">
      <c r="AC5548" s="122" t="s">
        <v>322</v>
      </c>
      <c r="AD5548" s="122" t="s">
        <v>5678</v>
      </c>
      <c r="AE5548" s="127">
        <v>6</v>
      </c>
      <c r="DA5548" s="122" t="s">
        <v>393</v>
      </c>
      <c r="DB5548" s="122" t="s">
        <v>8988</v>
      </c>
      <c r="DC5548" s="122" t="s">
        <v>4874</v>
      </c>
      <c r="DD5548" s="127">
        <v>8</v>
      </c>
      <c r="DE5548" s="127">
        <v>8</v>
      </c>
      <c r="DG5548" t="s">
        <v>393</v>
      </c>
      <c r="DH5548" t="s">
        <v>4874</v>
      </c>
      <c r="DI5548" s="406" t="str">
        <f t="shared" si="118"/>
        <v>TO, São Bento do Tocantins</v>
      </c>
      <c r="DJ5548">
        <v>-5.915</v>
      </c>
      <c r="DK5548">
        <v>-48.06</v>
      </c>
      <c r="DL5548">
        <v>230</v>
      </c>
      <c r="DM5548" s="1">
        <v>8</v>
      </c>
      <c r="DN5548" t="s">
        <v>7426</v>
      </c>
      <c r="DO5548" s="406">
        <v>-5.64</v>
      </c>
      <c r="DP5548" s="80">
        <v>117</v>
      </c>
    </row>
    <row r="5549" spans="29:120" x14ac:dyDescent="0.25">
      <c r="AC5549" s="122" t="s">
        <v>340</v>
      </c>
      <c r="AD5549" s="122" t="s">
        <v>5679</v>
      </c>
      <c r="AE5549" s="127">
        <v>6</v>
      </c>
      <c r="DA5549" s="122" t="s">
        <v>393</v>
      </c>
      <c r="DB5549" s="122" t="s">
        <v>8989</v>
      </c>
      <c r="DC5549" s="122" t="s">
        <v>4190</v>
      </c>
      <c r="DD5549" s="127">
        <v>7</v>
      </c>
      <c r="DE5549" s="127">
        <v>7</v>
      </c>
      <c r="DG5549" t="s">
        <v>393</v>
      </c>
      <c r="DH5549" t="s">
        <v>4190</v>
      </c>
      <c r="DI5549" s="406" t="str">
        <f t="shared" si="118"/>
        <v>TO, São Félix do Tocantins</v>
      </c>
      <c r="DJ5549">
        <v>-10.167999999999999</v>
      </c>
      <c r="DK5549">
        <v>-46.658999999999999</v>
      </c>
      <c r="DL5549">
        <v>387</v>
      </c>
      <c r="DM5549" s="1">
        <v>7</v>
      </c>
      <c r="DN5549" t="s">
        <v>6645</v>
      </c>
      <c r="DO5549" s="406">
        <v>-9.11</v>
      </c>
      <c r="DP5549" s="80">
        <v>281</v>
      </c>
    </row>
    <row r="5550" spans="29:120" x14ac:dyDescent="0.25">
      <c r="AC5550" s="122" t="s">
        <v>289</v>
      </c>
      <c r="AD5550" s="122" t="s">
        <v>5680</v>
      </c>
      <c r="AE5550" s="127">
        <v>6</v>
      </c>
      <c r="DA5550" s="122" t="s">
        <v>393</v>
      </c>
      <c r="DB5550" s="122" t="s">
        <v>8990</v>
      </c>
      <c r="DC5550" s="122" t="s">
        <v>4894</v>
      </c>
      <c r="DD5550" s="127">
        <v>8</v>
      </c>
      <c r="DE5550" s="127">
        <v>8</v>
      </c>
      <c r="DG5550" t="s">
        <v>393</v>
      </c>
      <c r="DH5550" t="s">
        <v>4894</v>
      </c>
      <c r="DI5550" s="406" t="str">
        <f t="shared" si="118"/>
        <v>TO, São Miguel do Tocantins</v>
      </c>
      <c r="DJ5550">
        <v>-5.5549999999999997</v>
      </c>
      <c r="DK5550">
        <v>-47.575000000000003</v>
      </c>
      <c r="DL5550">
        <v>160</v>
      </c>
      <c r="DM5550" s="1">
        <v>8</v>
      </c>
      <c r="DN5550" t="s">
        <v>6669</v>
      </c>
      <c r="DO5550" s="406">
        <v>-5.56</v>
      </c>
      <c r="DP5550" s="80">
        <v>126</v>
      </c>
    </row>
    <row r="5551" spans="29:120" x14ac:dyDescent="0.25">
      <c r="AC5551" s="122" t="s">
        <v>340</v>
      </c>
      <c r="AD5551" s="122" t="s">
        <v>5681</v>
      </c>
      <c r="AE5551" s="127">
        <v>7</v>
      </c>
      <c r="DA5551" s="122" t="s">
        <v>393</v>
      </c>
      <c r="DB5551" s="122" t="s">
        <v>8991</v>
      </c>
      <c r="DC5551" s="122" t="s">
        <v>4994</v>
      </c>
      <c r="DD5551" s="127">
        <v>7</v>
      </c>
      <c r="DE5551" s="127">
        <v>7</v>
      </c>
      <c r="DG5551" t="s">
        <v>393</v>
      </c>
      <c r="DH5551" t="s">
        <v>4994</v>
      </c>
      <c r="DI5551" s="406" t="str">
        <f t="shared" si="118"/>
        <v>TO, São Salvador do Tocantins</v>
      </c>
      <c r="DJ5551">
        <v>-12.744</v>
      </c>
      <c r="DK5551">
        <v>-48.235999999999997</v>
      </c>
      <c r="DL5551">
        <v>120</v>
      </c>
      <c r="DM5551" s="1">
        <v>7</v>
      </c>
      <c r="DN5551" t="s">
        <v>6577</v>
      </c>
      <c r="DO5551" s="406">
        <v>-12.6</v>
      </c>
      <c r="DP5551" s="80">
        <v>280</v>
      </c>
    </row>
    <row r="5552" spans="29:120" x14ac:dyDescent="0.25">
      <c r="AC5552" s="122" t="s">
        <v>289</v>
      </c>
      <c r="AD5552" s="122" t="s">
        <v>5682</v>
      </c>
      <c r="AE5552" s="127">
        <v>7</v>
      </c>
      <c r="DA5552" s="122" t="s">
        <v>393</v>
      </c>
      <c r="DB5552" s="122" t="s">
        <v>8992</v>
      </c>
      <c r="DC5552" s="122" t="s">
        <v>4770</v>
      </c>
      <c r="DD5552" s="127">
        <v>8</v>
      </c>
      <c r="DE5552" s="127">
        <v>8</v>
      </c>
      <c r="DG5552" t="s">
        <v>393</v>
      </c>
      <c r="DH5552" t="s">
        <v>4770</v>
      </c>
      <c r="DI5552" s="406" t="str">
        <f t="shared" si="118"/>
        <v>TO, São Sebastião do Tocantins</v>
      </c>
      <c r="DJ5552">
        <v>-5.2569999999999997</v>
      </c>
      <c r="DK5552">
        <v>-48.2</v>
      </c>
      <c r="DL5552">
        <v>105</v>
      </c>
      <c r="DM5552" s="1">
        <v>8</v>
      </c>
      <c r="DN5552" t="s">
        <v>7426</v>
      </c>
      <c r="DO5552" s="406">
        <v>-5.64</v>
      </c>
      <c r="DP5552" s="80">
        <v>117</v>
      </c>
    </row>
    <row r="5553" spans="29:120" x14ac:dyDescent="0.25">
      <c r="AC5553" s="122" t="s">
        <v>340</v>
      </c>
      <c r="AD5553" s="122" t="s">
        <v>5683</v>
      </c>
      <c r="AE5553" s="127">
        <v>6</v>
      </c>
      <c r="DA5553" s="122" t="s">
        <v>393</v>
      </c>
      <c r="DB5553" s="122" t="s">
        <v>8993</v>
      </c>
      <c r="DC5553" s="122" t="s">
        <v>4918</v>
      </c>
      <c r="DD5553" s="127">
        <v>7</v>
      </c>
      <c r="DE5553" s="127">
        <v>7</v>
      </c>
      <c r="DG5553" t="s">
        <v>393</v>
      </c>
      <c r="DH5553" t="s">
        <v>4918</v>
      </c>
      <c r="DI5553" s="406" t="str">
        <f t="shared" si="118"/>
        <v>TO, São Valério da Natividade</v>
      </c>
      <c r="DJ5553">
        <v>-11.975</v>
      </c>
      <c r="DK5553">
        <v>-48.234000000000002</v>
      </c>
      <c r="DL5553">
        <v>360</v>
      </c>
      <c r="DM5553" s="1">
        <v>7</v>
      </c>
      <c r="DN5553" t="s">
        <v>8931</v>
      </c>
      <c r="DO5553" s="406">
        <v>-12.02</v>
      </c>
      <c r="DP5553" s="80">
        <v>242</v>
      </c>
    </row>
    <row r="5554" spans="29:120" x14ac:dyDescent="0.25">
      <c r="AC5554" s="122" t="s">
        <v>340</v>
      </c>
      <c r="AD5554" s="122" t="s">
        <v>5684</v>
      </c>
      <c r="AE5554" s="127">
        <v>6</v>
      </c>
      <c r="DA5554" s="122" t="s">
        <v>393</v>
      </c>
      <c r="DB5554" s="122" t="s">
        <v>4915</v>
      </c>
      <c r="DC5554" s="122" t="s">
        <v>4915</v>
      </c>
      <c r="DD5554" s="127">
        <v>7</v>
      </c>
      <c r="DE5554" s="127">
        <v>7</v>
      </c>
      <c r="DG5554" t="s">
        <v>393</v>
      </c>
      <c r="DH5554" t="s">
        <v>4915</v>
      </c>
      <c r="DI5554" s="406" t="str">
        <f t="shared" si="118"/>
        <v>TO, Silvanópolis</v>
      </c>
      <c r="DJ5554">
        <v>-11.147</v>
      </c>
      <c r="DK5554">
        <v>-48.168999999999997</v>
      </c>
      <c r="DL5554">
        <v>269</v>
      </c>
      <c r="DM5554" s="1">
        <v>7</v>
      </c>
      <c r="DN5554" t="s">
        <v>8931</v>
      </c>
      <c r="DO5554" s="406">
        <v>-12.02</v>
      </c>
      <c r="DP5554" s="80">
        <v>242</v>
      </c>
    </row>
    <row r="5555" spans="29:120" x14ac:dyDescent="0.25">
      <c r="AC5555" s="122" t="s">
        <v>357</v>
      </c>
      <c r="AD5555" s="122" t="s">
        <v>5685</v>
      </c>
      <c r="AE5555" s="127">
        <v>7</v>
      </c>
      <c r="DA5555" s="122" t="s">
        <v>393</v>
      </c>
      <c r="DB5555" s="122" t="s">
        <v>8994</v>
      </c>
      <c r="DC5555" s="122" t="s">
        <v>4899</v>
      </c>
      <c r="DD5555" s="127">
        <v>8</v>
      </c>
      <c r="DE5555" s="127">
        <v>8</v>
      </c>
      <c r="DG5555" t="s">
        <v>393</v>
      </c>
      <c r="DH5555" t="s">
        <v>4899</v>
      </c>
      <c r="DI5555" s="406" t="str">
        <f t="shared" si="118"/>
        <v>TO, Sítio Novo do Tocantins</v>
      </c>
      <c r="DJ5555">
        <v>-5.601</v>
      </c>
      <c r="DK5555">
        <v>-47.637999999999998</v>
      </c>
      <c r="DL5555">
        <v>200</v>
      </c>
      <c r="DM5555" s="1">
        <v>8</v>
      </c>
      <c r="DN5555" t="s">
        <v>6669</v>
      </c>
      <c r="DO5555" s="406">
        <v>-5.56</v>
      </c>
      <c r="DP5555" s="80">
        <v>126</v>
      </c>
    </row>
    <row r="5556" spans="29:120" x14ac:dyDescent="0.25">
      <c r="AC5556" s="122" t="s">
        <v>393</v>
      </c>
      <c r="AD5556" s="122" t="s">
        <v>5686</v>
      </c>
      <c r="AE5556" s="127">
        <v>7</v>
      </c>
      <c r="DA5556" s="122" t="s">
        <v>393</v>
      </c>
      <c r="DB5556" s="122" t="s">
        <v>4998</v>
      </c>
      <c r="DC5556" s="122" t="s">
        <v>4998</v>
      </c>
      <c r="DD5556" s="127">
        <v>7</v>
      </c>
      <c r="DE5556" s="127">
        <v>7</v>
      </c>
      <c r="DG5556" t="s">
        <v>393</v>
      </c>
      <c r="DH5556" t="s">
        <v>4998</v>
      </c>
      <c r="DI5556" s="406" t="str">
        <f t="shared" si="118"/>
        <v>TO, Sucupira</v>
      </c>
      <c r="DJ5556">
        <v>-11.993</v>
      </c>
      <c r="DK5556">
        <v>-48.970999999999997</v>
      </c>
      <c r="DL5556">
        <v>250</v>
      </c>
      <c r="DM5556" s="1">
        <v>7</v>
      </c>
      <c r="DN5556" t="s">
        <v>8929</v>
      </c>
      <c r="DO5556" s="406">
        <v>-11.72</v>
      </c>
      <c r="DP5556" s="80">
        <v>287</v>
      </c>
    </row>
    <row r="5557" spans="29:120" x14ac:dyDescent="0.25">
      <c r="AC5557" s="122" t="s">
        <v>357</v>
      </c>
      <c r="AD5557" s="122" t="s">
        <v>5687</v>
      </c>
      <c r="AE5557" s="127">
        <v>7</v>
      </c>
      <c r="DA5557" s="122" t="s">
        <v>393</v>
      </c>
      <c r="DB5557" s="122" t="s">
        <v>4524</v>
      </c>
      <c r="DC5557" s="122" t="s">
        <v>4524</v>
      </c>
      <c r="DD5557" s="127">
        <v>7</v>
      </c>
      <c r="DE5557" s="127">
        <v>7</v>
      </c>
      <c r="DG5557" t="s">
        <v>393</v>
      </c>
      <c r="DH5557" t="s">
        <v>4524</v>
      </c>
      <c r="DI5557" s="406" t="str">
        <f t="shared" si="118"/>
        <v>TO, Taguatinga</v>
      </c>
      <c r="DJ5557">
        <v>-12.404</v>
      </c>
      <c r="DK5557">
        <v>-46.436</v>
      </c>
      <c r="DL5557">
        <v>599</v>
      </c>
      <c r="DM5557" s="1">
        <v>7</v>
      </c>
      <c r="DN5557" t="s">
        <v>8930</v>
      </c>
      <c r="DO5557" s="406">
        <v>-11.59</v>
      </c>
      <c r="DP5557" s="80">
        <v>732</v>
      </c>
    </row>
    <row r="5558" spans="29:120" x14ac:dyDescent="0.25">
      <c r="AC5558" s="122" t="s">
        <v>340</v>
      </c>
      <c r="AD5558" s="122" t="s">
        <v>5688</v>
      </c>
      <c r="AE5558" s="127">
        <v>6</v>
      </c>
      <c r="DA5558" s="122" t="s">
        <v>393</v>
      </c>
      <c r="DB5558" s="122" t="s">
        <v>8995</v>
      </c>
      <c r="DC5558" s="122" t="s">
        <v>4583</v>
      </c>
      <c r="DD5558" s="127">
        <v>7</v>
      </c>
      <c r="DE5558" s="127">
        <v>7</v>
      </c>
      <c r="DG5558" t="s">
        <v>393</v>
      </c>
      <c r="DH5558" t="s">
        <v>4583</v>
      </c>
      <c r="DI5558" s="406" t="str">
        <f t="shared" si="118"/>
        <v>TO, Taipas do Tocantins</v>
      </c>
      <c r="DJ5558">
        <v>-12.188000000000001</v>
      </c>
      <c r="DK5558">
        <v>-46.988999999999997</v>
      </c>
      <c r="DL5558">
        <v>407</v>
      </c>
      <c r="DM5558" s="1">
        <v>7</v>
      </c>
      <c r="DN5558" t="s">
        <v>8930</v>
      </c>
      <c r="DO5558" s="406">
        <v>-11.59</v>
      </c>
      <c r="DP5558" s="80">
        <v>732</v>
      </c>
    </row>
    <row r="5559" spans="29:120" x14ac:dyDescent="0.25">
      <c r="AC5559" s="122" t="s">
        <v>336</v>
      </c>
      <c r="AD5559" s="122" t="s">
        <v>5689</v>
      </c>
      <c r="AE5559" s="127">
        <v>6</v>
      </c>
      <c r="DA5559" s="122" t="s">
        <v>393</v>
      </c>
      <c r="DB5559" s="122" t="s">
        <v>4828</v>
      </c>
      <c r="DC5559" s="122" t="s">
        <v>4828</v>
      </c>
      <c r="DD5559" s="127">
        <v>7</v>
      </c>
      <c r="DE5559" s="127">
        <v>7</v>
      </c>
      <c r="DG5559" t="s">
        <v>393</v>
      </c>
      <c r="DH5559" t="s">
        <v>4828</v>
      </c>
      <c r="DI5559" s="406" t="str">
        <f t="shared" si="118"/>
        <v>TO, Talismã</v>
      </c>
      <c r="DJ5559">
        <v>-12.795</v>
      </c>
      <c r="DK5559">
        <v>-49.093000000000004</v>
      </c>
      <c r="DL5559">
        <v>270</v>
      </c>
      <c r="DM5559" s="1">
        <v>7</v>
      </c>
      <c r="DN5559" t="s">
        <v>8931</v>
      </c>
      <c r="DO5559" s="406">
        <v>-12.02</v>
      </c>
      <c r="DP5559" s="80">
        <v>242</v>
      </c>
    </row>
    <row r="5560" spans="29:120" x14ac:dyDescent="0.25">
      <c r="AC5560" s="122" t="s">
        <v>340</v>
      </c>
      <c r="AD5560" s="122" t="s">
        <v>5690</v>
      </c>
      <c r="AE5560" s="127">
        <v>5</v>
      </c>
      <c r="DA5560" s="122" t="s">
        <v>393</v>
      </c>
      <c r="DB5560" s="122" t="s">
        <v>4442</v>
      </c>
      <c r="DC5560" s="122" t="s">
        <v>4442</v>
      </c>
      <c r="DD5560" s="127">
        <v>7</v>
      </c>
      <c r="DE5560" s="127">
        <v>7</v>
      </c>
      <c r="DG5560" t="s">
        <v>393</v>
      </c>
      <c r="DH5560" t="s">
        <v>4442</v>
      </c>
      <c r="DI5560" s="406" t="str">
        <f t="shared" si="118"/>
        <v>TO, Tocantínia</v>
      </c>
      <c r="DJ5560">
        <v>-9.5640000000000001</v>
      </c>
      <c r="DK5560">
        <v>-48.377000000000002</v>
      </c>
      <c r="DL5560">
        <v>202</v>
      </c>
      <c r="DM5560" s="1">
        <v>7</v>
      </c>
      <c r="DN5560" t="s">
        <v>8927</v>
      </c>
      <c r="DO5560" s="406">
        <v>-10.17</v>
      </c>
      <c r="DP5560" s="80">
        <v>280</v>
      </c>
    </row>
    <row r="5561" spans="29:120" x14ac:dyDescent="0.25">
      <c r="AC5561" s="122" t="s">
        <v>340</v>
      </c>
      <c r="AD5561" s="122" t="s">
        <v>5691</v>
      </c>
      <c r="AE5561" s="127">
        <v>5</v>
      </c>
      <c r="DA5561" s="122" t="s">
        <v>393</v>
      </c>
      <c r="DB5561" s="122" t="s">
        <v>4961</v>
      </c>
      <c r="DC5561" s="122" t="s">
        <v>4961</v>
      </c>
      <c r="DD5561" s="127">
        <v>7</v>
      </c>
      <c r="DE5561" s="127">
        <v>7</v>
      </c>
      <c r="DG5561" t="s">
        <v>393</v>
      </c>
      <c r="DH5561" t="s">
        <v>4961</v>
      </c>
      <c r="DI5561" s="406" t="str">
        <f t="shared" si="118"/>
        <v>TO, Tocantinópolis</v>
      </c>
      <c r="DJ5561">
        <v>-6.3289999999999997</v>
      </c>
      <c r="DK5561">
        <v>-47.415999999999997</v>
      </c>
      <c r="DL5561">
        <v>134</v>
      </c>
      <c r="DM5561" s="1">
        <v>7</v>
      </c>
      <c r="DN5561" t="s">
        <v>6672</v>
      </c>
      <c r="DO5561" s="406">
        <v>-6.65</v>
      </c>
      <c r="DP5561" s="80">
        <v>180</v>
      </c>
    </row>
    <row r="5562" spans="29:120" x14ac:dyDescent="0.25">
      <c r="AC5562" s="122" t="s">
        <v>340</v>
      </c>
      <c r="AD5562" s="122" t="s">
        <v>5692</v>
      </c>
      <c r="AE5562" s="127">
        <v>6</v>
      </c>
      <c r="DA5562" s="122" t="s">
        <v>393</v>
      </c>
      <c r="DB5562" s="122" t="s">
        <v>4954</v>
      </c>
      <c r="DC5562" s="122" t="s">
        <v>4954</v>
      </c>
      <c r="DD5562" s="127">
        <v>7</v>
      </c>
      <c r="DE5562" s="127">
        <v>7</v>
      </c>
      <c r="DG5562" t="s">
        <v>393</v>
      </c>
      <c r="DH5562" t="s">
        <v>4954</v>
      </c>
      <c r="DI5562" s="406" t="str">
        <f t="shared" si="118"/>
        <v>TO, Tupirama</v>
      </c>
      <c r="DJ5562">
        <v>-8.9730000000000008</v>
      </c>
      <c r="DK5562">
        <v>-48.188000000000002</v>
      </c>
      <c r="DL5562">
        <v>202</v>
      </c>
      <c r="DM5562" s="1">
        <v>7</v>
      </c>
      <c r="DN5562" t="s">
        <v>7435</v>
      </c>
      <c r="DO5562" s="406">
        <v>-8.9700000000000006</v>
      </c>
      <c r="DP5562" s="80">
        <v>189</v>
      </c>
    </row>
    <row r="5563" spans="29:120" x14ac:dyDescent="0.25">
      <c r="AC5563" s="122" t="s">
        <v>340</v>
      </c>
      <c r="AD5563" s="122" t="s">
        <v>5693</v>
      </c>
      <c r="AE5563" s="127">
        <v>8</v>
      </c>
      <c r="DA5563" s="122" t="s">
        <v>393</v>
      </c>
      <c r="DB5563" s="122" t="s">
        <v>4422</v>
      </c>
      <c r="DC5563" s="122" t="s">
        <v>4422</v>
      </c>
      <c r="DD5563" s="127">
        <v>7</v>
      </c>
      <c r="DE5563" s="127">
        <v>7</v>
      </c>
      <c r="DG5563" t="s">
        <v>393</v>
      </c>
      <c r="DH5563" t="s">
        <v>4422</v>
      </c>
      <c r="DI5563" s="406" t="str">
        <f t="shared" si="118"/>
        <v>TO, Tupiratins</v>
      </c>
      <c r="DJ5563">
        <v>-8.3940000000000001</v>
      </c>
      <c r="DK5563">
        <v>-48.116</v>
      </c>
      <c r="DL5563">
        <v>160</v>
      </c>
      <c r="DM5563" s="1">
        <v>7</v>
      </c>
      <c r="DN5563" t="s">
        <v>7435</v>
      </c>
      <c r="DO5563" s="406">
        <v>-8.9700000000000006</v>
      </c>
      <c r="DP5563" s="80">
        <v>189</v>
      </c>
    </row>
    <row r="5564" spans="29:120" x14ac:dyDescent="0.25">
      <c r="AC5564" s="122" t="s">
        <v>340</v>
      </c>
      <c r="AD5564" s="122" t="s">
        <v>5694</v>
      </c>
      <c r="AE5564" s="127">
        <v>6</v>
      </c>
      <c r="DA5564" s="122" t="s">
        <v>393</v>
      </c>
      <c r="DB5564" s="122" t="s">
        <v>4991</v>
      </c>
      <c r="DC5564" s="122" t="s">
        <v>4991</v>
      </c>
      <c r="DD5564" s="127">
        <v>7</v>
      </c>
      <c r="DE5564" s="127">
        <v>7</v>
      </c>
      <c r="DG5564" t="s">
        <v>393</v>
      </c>
      <c r="DH5564" t="s">
        <v>4991</v>
      </c>
      <c r="DI5564" s="406" t="str">
        <f t="shared" si="118"/>
        <v>TO, Wanderlândia</v>
      </c>
      <c r="DJ5564">
        <v>-6.8490000000000002</v>
      </c>
      <c r="DK5564">
        <v>-47.963000000000001</v>
      </c>
      <c r="DL5564">
        <v>257</v>
      </c>
      <c r="DM5564" s="1">
        <v>7</v>
      </c>
      <c r="DN5564" t="s">
        <v>8933</v>
      </c>
      <c r="DO5564" s="406">
        <v>-7.18</v>
      </c>
      <c r="DP5564" s="80">
        <v>226</v>
      </c>
    </row>
    <row r="5565" spans="29:120" x14ac:dyDescent="0.25">
      <c r="AC5565" s="122" t="s">
        <v>393</v>
      </c>
      <c r="AD5565" s="122" t="s">
        <v>5695</v>
      </c>
      <c r="AE5565" s="127">
        <v>7</v>
      </c>
      <c r="DA5565" s="122" t="s">
        <v>393</v>
      </c>
      <c r="DB5565" s="122" t="s">
        <v>4914</v>
      </c>
      <c r="DC5565" s="122" t="s">
        <v>4914</v>
      </c>
      <c r="DD5565" s="127">
        <v>8</v>
      </c>
      <c r="DE5565" s="127">
        <v>8</v>
      </c>
      <c r="DG5565" t="s">
        <v>393</v>
      </c>
      <c r="DH5565" t="s">
        <v>4914</v>
      </c>
      <c r="DI5565" s="406" t="str">
        <f t="shared" si="118"/>
        <v>TO, Xambioá</v>
      </c>
      <c r="DJ5565">
        <v>-6.4109999999999996</v>
      </c>
      <c r="DK5565">
        <v>-48.536000000000001</v>
      </c>
      <c r="DL5565">
        <v>141</v>
      </c>
      <c r="DM5565" s="1">
        <v>8</v>
      </c>
      <c r="DN5565" t="s">
        <v>7439</v>
      </c>
      <c r="DO5565" s="406">
        <v>-6.28</v>
      </c>
      <c r="DP5565" s="80">
        <v>180</v>
      </c>
    </row>
  </sheetData>
  <sortState xmlns:xlrd2="http://schemas.microsoft.com/office/spreadsheetml/2017/richdata2" ref="AA2:AA28">
    <sortCondition ref="AA2:AA28"/>
  </sortState>
  <mergeCells count="1">
    <mergeCell ref="CK1:CU1"/>
  </mergeCells>
  <pageMargins left="0.511811024" right="0.511811024" top="0.78740157499999996" bottom="0.78740157499999996" header="0.31496062000000002" footer="0.31496062000000002"/>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5">
    <tabColor rgb="FF00B050"/>
  </sheetPr>
  <dimension ref="A1:Y126"/>
  <sheetViews>
    <sheetView showGridLines="0" zoomScaleNormal="100" workbookViewId="0">
      <pane ySplit="12" topLeftCell="A28" activePane="bottomLeft" state="frozen"/>
      <selection pane="bottomLeft" activeCell="C19" sqref="C19"/>
    </sheetView>
  </sheetViews>
  <sheetFormatPr defaultColWidth="9.140625" defaultRowHeight="15" x14ac:dyDescent="0.25"/>
  <cols>
    <col min="1" max="1" width="5.7109375" customWidth="1"/>
    <col min="2" max="3" width="25.7109375" customWidth="1"/>
    <col min="4" max="10" width="22.42578125" hidden="1" customWidth="1"/>
    <col min="11" max="11" width="5.7109375" hidden="1" customWidth="1"/>
    <col min="12" max="13" width="10.7109375" hidden="1" customWidth="1"/>
    <col min="14" max="14" width="10.7109375" style="168" hidden="1" customWidth="1"/>
    <col min="15" max="15" width="7.7109375" style="168" hidden="1" customWidth="1"/>
    <col min="16" max="16" width="5.7109375" style="168" customWidth="1"/>
    <col min="17" max="17" width="35.7109375" style="168" customWidth="1"/>
    <col min="18" max="19" width="20.7109375" style="168" customWidth="1"/>
    <col min="20" max="20" width="30.7109375" style="168" customWidth="1"/>
    <col min="21" max="22" width="20.7109375" style="168" customWidth="1"/>
    <col min="23" max="23" width="30.7109375" style="168" customWidth="1"/>
    <col min="24" max="24" width="20.7109375" style="168" customWidth="1"/>
    <col min="25" max="25" width="5.7109375" style="168" customWidth="1"/>
    <col min="26" max="26" width="12.7109375" style="11" customWidth="1"/>
    <col min="27" max="16384" width="9.140625" style="11"/>
  </cols>
  <sheetData>
    <row r="1" spans="1:25" ht="20.100000000000001" customHeight="1" x14ac:dyDescent="0.25"/>
    <row r="2" spans="1:25" ht="20.100000000000001" customHeight="1" x14ac:dyDescent="0.25">
      <c r="R2" s="29" t="s">
        <v>20</v>
      </c>
      <c r="S2" s="76" t="s">
        <v>8</v>
      </c>
      <c r="T2" s="77" t="s">
        <v>10</v>
      </c>
      <c r="U2" s="78" t="s">
        <v>12</v>
      </c>
      <c r="V2" s="79" t="s">
        <v>5985</v>
      </c>
      <c r="W2" s="110" t="s">
        <v>16</v>
      </c>
    </row>
    <row r="3" spans="1:25" s="12" customFormat="1" ht="20.100000000000001" customHeight="1" x14ac:dyDescent="0.25">
      <c r="A3" s="10"/>
      <c r="B3" s="10"/>
      <c r="C3" s="10"/>
      <c r="D3" s="10"/>
      <c r="E3" s="10"/>
      <c r="F3" s="10"/>
      <c r="G3" s="10"/>
      <c r="H3" s="10"/>
      <c r="I3" s="10"/>
      <c r="J3" s="10"/>
      <c r="K3" s="10"/>
      <c r="L3" s="10"/>
      <c r="M3" s="10"/>
      <c r="N3" s="10"/>
      <c r="O3" s="10"/>
      <c r="P3" s="10"/>
      <c r="Q3" s="10"/>
      <c r="R3" s="10"/>
      <c r="S3" s="10"/>
      <c r="T3" s="10"/>
      <c r="U3" s="10"/>
      <c r="V3" s="10"/>
      <c r="W3" s="260"/>
      <c r="X3" s="260"/>
      <c r="Y3" s="260"/>
    </row>
    <row r="4" spans="1:25" x14ac:dyDescent="0.25">
      <c r="N4"/>
      <c r="O4"/>
      <c r="P4"/>
      <c r="Q4"/>
      <c r="R4"/>
      <c r="S4"/>
      <c r="T4"/>
      <c r="U4"/>
      <c r="V4"/>
    </row>
    <row r="5" spans="1:25" ht="18.75" x14ac:dyDescent="0.3">
      <c r="A5" s="22"/>
      <c r="B5" s="23" t="s">
        <v>76</v>
      </c>
      <c r="C5" s="22"/>
      <c r="D5" s="22"/>
      <c r="E5" s="22"/>
      <c r="F5" s="22"/>
      <c r="G5" s="22"/>
      <c r="H5" s="22"/>
      <c r="I5" s="22"/>
      <c r="J5" s="22"/>
      <c r="K5" s="22"/>
      <c r="L5" s="22"/>
      <c r="M5" s="22"/>
      <c r="N5" s="22"/>
      <c r="O5" s="22"/>
      <c r="P5" s="22"/>
      <c r="Q5" s="22"/>
      <c r="R5" s="22"/>
      <c r="S5" s="22"/>
      <c r="T5" s="22"/>
      <c r="U5" s="22"/>
      <c r="V5" s="22"/>
      <c r="W5" s="277"/>
      <c r="X5" s="277"/>
      <c r="Y5" s="277"/>
    </row>
    <row r="6" spans="1:25" ht="30" hidden="1" customHeight="1" x14ac:dyDescent="0.25">
      <c r="B6" s="47" t="s">
        <v>22</v>
      </c>
      <c r="C6" s="48" t="str">
        <f>Início!C11</f>
        <v>Sede da Subseção da Justiça Federal em Patos</v>
      </c>
      <c r="E6" s="305"/>
      <c r="F6" s="305"/>
      <c r="G6" s="305"/>
      <c r="R6" s="106" t="s">
        <v>39</v>
      </c>
      <c r="S6" s="107">
        <f>SUM(Aux_Lista!BR:BR)</f>
        <v>0.43</v>
      </c>
      <c r="T6"/>
      <c r="U6" s="107" t="s">
        <v>40</v>
      </c>
      <c r="V6" s="440">
        <f>S6/3</f>
        <v>0.14333333333333334</v>
      </c>
    </row>
    <row r="7" spans="1:25" ht="30" hidden="1" customHeight="1" x14ac:dyDescent="0.25">
      <c r="B7" s="47" t="s">
        <v>24</v>
      </c>
      <c r="C7" s="48" t="str">
        <f>Início!C14</f>
        <v>Projeto</v>
      </c>
      <c r="D7" s="304"/>
      <c r="E7" s="305"/>
      <c r="F7" s="305"/>
      <c r="G7" s="305"/>
      <c r="Q7" s="445"/>
    </row>
    <row r="8" spans="1:25" ht="30" hidden="1" customHeight="1" x14ac:dyDescent="0.25">
      <c r="B8" s="47" t="s">
        <v>41</v>
      </c>
      <c r="C8" s="51" t="str">
        <f>Início!C33</f>
        <v>Método Simplificado</v>
      </c>
      <c r="D8" s="304"/>
      <c r="E8" s="305"/>
      <c r="F8" s="305"/>
      <c r="G8" s="305"/>
      <c r="Q8"/>
      <c r="R8" s="284" t="s">
        <v>43</v>
      </c>
      <c r="S8" s="285" t="s">
        <v>44</v>
      </c>
      <c r="T8" s="286" t="s">
        <v>45</v>
      </c>
      <c r="U8" s="287" t="s">
        <v>46</v>
      </c>
      <c r="V8" s="296" t="s">
        <v>47</v>
      </c>
      <c r="W8" s="358" t="s">
        <v>5964</v>
      </c>
    </row>
    <row r="9" spans="1:25" ht="30" hidden="1" customHeight="1" x14ac:dyDescent="0.25">
      <c r="B9" s="47" t="s">
        <v>78</v>
      </c>
      <c r="C9" s="356">
        <f>IF(C8="Método de Simulação",U16,R34)</f>
        <v>118512.58703703702</v>
      </c>
      <c r="D9" s="304"/>
      <c r="E9" s="305"/>
      <c r="F9" s="305"/>
      <c r="G9" s="305"/>
      <c r="Q9" s="47" t="s">
        <v>49</v>
      </c>
      <c r="R9" s="107" t="s">
        <v>50</v>
      </c>
      <c r="S9" s="107">
        <f>U9*3</f>
        <v>0.43000000000000005</v>
      </c>
      <c r="T9" s="107">
        <f>U9*2</f>
        <v>0.28666666666666668</v>
      </c>
      <c r="U9" s="107">
        <f>V6</f>
        <v>0.14333333333333334</v>
      </c>
      <c r="V9" s="297">
        <v>0</v>
      </c>
      <c r="W9" s="602" t="str">
        <f>IF(C8="","",
IF(C10&gt;=0,IF(C11&gt;=R10,R8,
IF(AND(C11&gt;=S10,C11&lt;S9),S8,
IF(AND(C11&gt;=T10,C11&lt;T9),T8,
IF(AND(C11&gt;=U10,C11&lt;=U9),U8,
V8)))),
IF(C11&gt;=R10,S8,
IF(AND(C11&gt;=S10,C11&lt;S9),S8,
IF(AND(C11&gt;=T10,C11&lt;T9),T8,
IF(AND(C11&gt;=U10,C11&lt;=U9),U8,
V8))))))</f>
        <v>A</v>
      </c>
    </row>
    <row r="10" spans="1:25" ht="30" hidden="1" customHeight="1" x14ac:dyDescent="0.25">
      <c r="B10" s="47" t="s">
        <v>79</v>
      </c>
      <c r="C10" s="356">
        <f>IF(C8="Método de Simulação",U15,U40+X30+R60)</f>
        <v>55932.052256776173</v>
      </c>
      <c r="D10" s="304"/>
      <c r="E10" s="305"/>
      <c r="F10" s="305"/>
      <c r="G10" s="305"/>
      <c r="Q10" s="47" t="s">
        <v>52</v>
      </c>
      <c r="R10" s="107">
        <f>S9</f>
        <v>0.43000000000000005</v>
      </c>
      <c r="S10" s="107">
        <f>T9</f>
        <v>0.28666666666666668</v>
      </c>
      <c r="T10" s="107">
        <f>U9</f>
        <v>0.14333333333333334</v>
      </c>
      <c r="U10" s="107">
        <f>V9</f>
        <v>0</v>
      </c>
      <c r="V10" s="297" t="s">
        <v>50</v>
      </c>
      <c r="W10" s="602"/>
    </row>
    <row r="11" spans="1:25" ht="30" hidden="1" customHeight="1" x14ac:dyDescent="0.25">
      <c r="B11" s="47" t="s">
        <v>80</v>
      </c>
      <c r="C11" s="111">
        <f>IF(ISERROR((C9-C10)/C9),0,(C9-C10)/C9)</f>
        <v>0.52804968944525243</v>
      </c>
      <c r="D11" s="304"/>
      <c r="E11" s="305"/>
      <c r="F11" s="305"/>
      <c r="G11" s="305"/>
    </row>
    <row r="12" spans="1:25" ht="30" hidden="1" customHeight="1" x14ac:dyDescent="0.25">
      <c r="B12" s="47" t="s">
        <v>5931</v>
      </c>
      <c r="C12" s="54" t="str">
        <f>W9</f>
        <v>A</v>
      </c>
      <c r="D12" s="304"/>
      <c r="E12" s="305"/>
      <c r="F12" s="305"/>
      <c r="G12" s="305"/>
      <c r="H12" s="168"/>
      <c r="I12" s="168"/>
      <c r="J12" s="168"/>
      <c r="K12" s="168"/>
      <c r="Q12"/>
    </row>
    <row r="13" spans="1:25" ht="15" customHeight="1" x14ac:dyDescent="0.25">
      <c r="H13" s="168"/>
      <c r="I13" s="168"/>
      <c r="J13" s="168"/>
      <c r="K13" s="168"/>
      <c r="M13" s="168"/>
      <c r="Q13"/>
      <c r="R13"/>
      <c r="S13"/>
      <c r="T13"/>
      <c r="U13"/>
    </row>
    <row r="14" spans="1:25" ht="54.95" customHeight="1" x14ac:dyDescent="0.25">
      <c r="B14" s="562" t="s">
        <v>10670</v>
      </c>
      <c r="C14" s="563"/>
      <c r="D14" s="563"/>
      <c r="E14" s="563"/>
      <c r="F14" s="563"/>
      <c r="G14" s="563"/>
      <c r="H14" s="563"/>
      <c r="I14" s="563"/>
      <c r="J14" s="563"/>
      <c r="K14" s="563"/>
      <c r="L14" s="563"/>
      <c r="M14" s="563"/>
      <c r="N14" s="563"/>
      <c r="O14" s="563"/>
      <c r="P14" s="563"/>
      <c r="Q14" s="563"/>
      <c r="R14" s="564"/>
      <c r="S14"/>
      <c r="T14" s="4" t="s">
        <v>10656</v>
      </c>
      <c r="U14" s="4"/>
      <c r="V14" s="4"/>
      <c r="W14" s="4"/>
      <c r="X14" s="4"/>
    </row>
    <row r="15" spans="1:25" ht="54.95" customHeight="1" x14ac:dyDescent="0.25">
      <c r="B15" s="565"/>
      <c r="C15" s="566"/>
      <c r="D15" s="566"/>
      <c r="E15" s="566"/>
      <c r="F15" s="566"/>
      <c r="G15" s="566"/>
      <c r="H15" s="566"/>
      <c r="I15" s="566"/>
      <c r="J15" s="566"/>
      <c r="K15" s="566"/>
      <c r="L15" s="566"/>
      <c r="M15" s="566"/>
      <c r="N15" s="566"/>
      <c r="O15" s="566"/>
      <c r="P15" s="566"/>
      <c r="Q15" s="566"/>
      <c r="R15" s="567"/>
      <c r="S15"/>
      <c r="T15" s="375" t="s">
        <v>10657</v>
      </c>
      <c r="U15" s="516"/>
      <c r="V15"/>
      <c r="W15" s="375" t="s">
        <v>10659</v>
      </c>
      <c r="X15" s="516"/>
    </row>
    <row r="16" spans="1:25" ht="54.95" customHeight="1" x14ac:dyDescent="0.25">
      <c r="B16" s="568"/>
      <c r="C16" s="569"/>
      <c r="D16" s="569"/>
      <c r="E16" s="569"/>
      <c r="F16" s="569"/>
      <c r="G16" s="569"/>
      <c r="H16" s="569"/>
      <c r="I16" s="569"/>
      <c r="J16" s="569"/>
      <c r="K16" s="569"/>
      <c r="L16" s="569"/>
      <c r="M16" s="569"/>
      <c r="N16" s="569"/>
      <c r="O16" s="569"/>
      <c r="P16" s="569"/>
      <c r="Q16" s="569"/>
      <c r="R16" s="570"/>
      <c r="S16"/>
      <c r="T16" s="375" t="s">
        <v>10658</v>
      </c>
      <c r="U16" s="516"/>
      <c r="V16"/>
      <c r="W16" s="375" t="s">
        <v>10660</v>
      </c>
      <c r="X16" s="516"/>
    </row>
    <row r="17" spans="1:25" ht="15" customHeight="1" x14ac:dyDescent="0.25">
      <c r="H17" s="168"/>
      <c r="I17" s="168"/>
      <c r="J17" s="168"/>
      <c r="K17" s="168"/>
      <c r="M17" s="168"/>
      <c r="Q17"/>
      <c r="R17"/>
      <c r="S17"/>
      <c r="T17"/>
      <c r="U17"/>
    </row>
    <row r="18" spans="1:25" ht="45" customHeight="1" x14ac:dyDescent="0.25">
      <c r="B18" s="47" t="s">
        <v>5924</v>
      </c>
      <c r="C18" s="51" t="s">
        <v>25</v>
      </c>
      <c r="H18" s="168"/>
      <c r="I18" s="168"/>
      <c r="J18" s="168"/>
      <c r="K18" s="168"/>
      <c r="M18" s="168"/>
    </row>
    <row r="19" spans="1:25" ht="45" customHeight="1" x14ac:dyDescent="0.25">
      <c r="B19" s="47" t="s">
        <v>81</v>
      </c>
      <c r="C19" s="133">
        <f>U30+X26+R50</f>
        <v>977</v>
      </c>
      <c r="H19" s="168"/>
      <c r="I19" s="168"/>
      <c r="J19" s="168"/>
      <c r="K19" s="168"/>
      <c r="M19" s="168"/>
    </row>
    <row r="20" spans="1:25" ht="20.25" customHeight="1" x14ac:dyDescent="0.25">
      <c r="F20" s="9"/>
      <c r="G20" s="9"/>
      <c r="H20" s="168"/>
      <c r="I20" s="168"/>
      <c r="J20" s="168"/>
      <c r="K20" s="168"/>
    </row>
    <row r="21" spans="1:25" ht="20.100000000000001" customHeight="1" x14ac:dyDescent="0.25">
      <c r="A21" s="169"/>
      <c r="B21" s="279" t="s">
        <v>5930</v>
      </c>
      <c r="C21" s="280"/>
      <c r="D21" s="280"/>
      <c r="E21" s="280"/>
      <c r="F21" s="280"/>
      <c r="G21" s="280"/>
      <c r="H21" s="169"/>
      <c r="I21" s="169"/>
      <c r="J21" s="169"/>
      <c r="K21" s="169"/>
      <c r="L21" s="169"/>
      <c r="M21" s="169"/>
      <c r="N21" s="278"/>
      <c r="O21" s="278"/>
      <c r="P21" s="278"/>
      <c r="Q21" s="279" t="s">
        <v>10586</v>
      </c>
      <c r="R21" s="278"/>
      <c r="S21" s="278"/>
      <c r="T21" s="278"/>
      <c r="U21" s="278"/>
      <c r="V21" s="278"/>
      <c r="W21" s="278"/>
      <c r="X21" s="278"/>
      <c r="Y21" s="278"/>
    </row>
    <row r="22" spans="1:25" ht="15" customHeight="1" x14ac:dyDescent="0.25">
      <c r="B22" s="9"/>
      <c r="C22" s="9"/>
      <c r="D22" s="9"/>
      <c r="E22" s="9"/>
      <c r="F22" s="9"/>
      <c r="G22" s="9"/>
      <c r="H22" s="86"/>
      <c r="I22" s="86"/>
      <c r="J22" s="86"/>
      <c r="K22" s="86"/>
      <c r="L22" s="86"/>
      <c r="M22" s="86"/>
      <c r="N22" s="86"/>
      <c r="O22" s="86"/>
      <c r="P22" s="86"/>
    </row>
    <row r="23" spans="1:25" s="14" customFormat="1" ht="45" customHeight="1" x14ac:dyDescent="0.3">
      <c r="A23" s="3"/>
      <c r="B23" s="283" t="s">
        <v>56</v>
      </c>
      <c r="C23" s="283" t="s">
        <v>5956</v>
      </c>
      <c r="D23" s="309" t="s">
        <v>5925</v>
      </c>
      <c r="E23" s="309" t="s">
        <v>5926</v>
      </c>
      <c r="F23" s="309" t="s">
        <v>82</v>
      </c>
      <c r="G23" s="309" t="s">
        <v>5932</v>
      </c>
      <c r="H23" s="309" t="s">
        <v>5934</v>
      </c>
      <c r="I23" s="309" t="s">
        <v>5947</v>
      </c>
      <c r="J23" s="309" t="s">
        <v>5994</v>
      </c>
      <c r="K23" s="9"/>
      <c r="L23" s="97" t="s">
        <v>5963</v>
      </c>
      <c r="M23" s="9"/>
      <c r="N23" s="9"/>
      <c r="O23" s="9"/>
      <c r="P23" s="9"/>
      <c r="Q23" s="597" t="s">
        <v>5954</v>
      </c>
      <c r="R23" s="598"/>
      <c r="S23" s="306"/>
      <c r="T23" s="597" t="s">
        <v>5950</v>
      </c>
      <c r="U23" s="598"/>
      <c r="V23" s="307"/>
      <c r="W23" s="597" t="s">
        <v>5951</v>
      </c>
      <c r="X23" s="598"/>
      <c r="Y23" s="306"/>
    </row>
    <row r="24" spans="1:25" s="15" customFormat="1" ht="20.100000000000001" customHeight="1" x14ac:dyDescent="0.25">
      <c r="A24" s="87">
        <v>1</v>
      </c>
      <c r="B24" s="308" t="str">
        <f>IF(Envoltória!C19="","",Envoltória!C19)</f>
        <v>ZP1</v>
      </c>
      <c r="C24" s="137" t="s">
        <v>10633</v>
      </c>
      <c r="D24" s="262">
        <f>Envoltória!AB19</f>
        <v>2994.6240000000003</v>
      </c>
      <c r="E24" s="262">
        <f>Envoltória!AC19</f>
        <v>3110.4</v>
      </c>
      <c r="F24" s="262">
        <f>Envoltória!D19*Envoltória!Y19</f>
        <v>17.28</v>
      </c>
      <c r="G24" s="262">
        <f>IFERROR(Envoltória!U19*F24,0)</f>
        <v>1.7280000000000002</v>
      </c>
      <c r="H24" s="262">
        <f>IFERROR(IF(C24="Não previsto",F24/$N$28,0),"")</f>
        <v>0</v>
      </c>
      <c r="I24" s="262">
        <f>IF(C24="Não previsto",G24*$N$31,0)</f>
        <v>0</v>
      </c>
      <c r="J24" s="262">
        <f t="shared" ref="J24:J55" si="0">IF(C24="Não previsto",D24/$R$32,0)</f>
        <v>0</v>
      </c>
      <c r="K24" s="9"/>
      <c r="L24" s="9"/>
      <c r="M24" s="9"/>
      <c r="N24" s="9"/>
      <c r="O24" s="9"/>
      <c r="P24" s="9"/>
      <c r="Q24" s="589" t="s">
        <v>48</v>
      </c>
      <c r="R24" s="590">
        <f>Envoltória!C10</f>
        <v>361505.55</v>
      </c>
      <c r="S24" s="276"/>
      <c r="T24" s="589" t="s">
        <v>5961</v>
      </c>
      <c r="U24" s="590">
        <f>SUMIFS(D24:D123,C24:C123,"Sistemas unitários")</f>
        <v>0</v>
      </c>
      <c r="V24" s="276"/>
      <c r="W24" s="589" t="s">
        <v>5962</v>
      </c>
      <c r="X24" s="590">
        <f>SUMIFS(D24:D123,C24:C123,"Sistemas centrais")</f>
        <v>260499.66459999993</v>
      </c>
      <c r="Y24" s="276"/>
    </row>
    <row r="25" spans="1:25" s="15" customFormat="1" ht="20.100000000000001" customHeight="1" x14ac:dyDescent="0.25">
      <c r="A25" s="87">
        <v>2</v>
      </c>
      <c r="B25" s="308" t="str">
        <f>IF(Envoltória!C20="","",Envoltória!C20)</f>
        <v>ZP2</v>
      </c>
      <c r="C25" s="137" t="s">
        <v>10633</v>
      </c>
      <c r="D25" s="262">
        <f>Envoltória!AB20</f>
        <v>10589.972400000001</v>
      </c>
      <c r="E25" s="262">
        <f>Envoltória!AC20</f>
        <v>14209.83</v>
      </c>
      <c r="F25" s="262">
        <f>Envoltória!D20*Envoltória!Y20</f>
        <v>42.93</v>
      </c>
      <c r="G25" s="262">
        <f>IFERROR(Envoltória!U20*F25,0)</f>
        <v>4.2930000000000001</v>
      </c>
      <c r="H25" s="262">
        <f t="shared" ref="H25:H88" si="1">IFERROR(IF(C25="Não previsto",F25/$N$28,0),"")</f>
        <v>0</v>
      </c>
      <c r="I25" s="262">
        <f t="shared" ref="I25:I88" si="2">IF(C25="Não previsto",G25*$N$31,0)</f>
        <v>0</v>
      </c>
      <c r="J25" s="262">
        <f t="shared" si="0"/>
        <v>0</v>
      </c>
      <c r="K25" s="9"/>
      <c r="L25" s="604" t="s">
        <v>5941</v>
      </c>
      <c r="M25" s="604"/>
      <c r="N25" s="600">
        <f>ROUND(SUM(G24:G123),0)</f>
        <v>139</v>
      </c>
      <c r="O25" s="600" t="s">
        <v>5942</v>
      </c>
      <c r="P25" s="9"/>
      <c r="Q25" s="589"/>
      <c r="R25" s="590"/>
      <c r="S25" s="276"/>
      <c r="T25" s="589"/>
      <c r="U25" s="590"/>
      <c r="V25" s="276"/>
      <c r="W25" s="589"/>
      <c r="X25" s="590"/>
      <c r="Y25" s="276"/>
    </row>
    <row r="26" spans="1:25" s="15" customFormat="1" ht="20.100000000000001" customHeight="1" x14ac:dyDescent="0.25">
      <c r="A26" s="87">
        <v>3</v>
      </c>
      <c r="B26" s="308" t="str">
        <f>IF(Envoltória!C21="","",Envoltória!C21)</f>
        <v>ZP3</v>
      </c>
      <c r="C26" s="137" t="s">
        <v>10633</v>
      </c>
      <c r="D26" s="262">
        <f>Envoltória!AB21</f>
        <v>863.17439999999999</v>
      </c>
      <c r="E26" s="262">
        <f>Envoltória!AC21</f>
        <v>922.31999999999994</v>
      </c>
      <c r="F26" s="262">
        <f>Envoltória!D21*Envoltória!Y21</f>
        <v>4.88</v>
      </c>
      <c r="G26" s="262">
        <f>IFERROR(Envoltória!U21*F26,0)</f>
        <v>0.48799999999999999</v>
      </c>
      <c r="H26" s="262">
        <f t="shared" si="1"/>
        <v>0</v>
      </c>
      <c r="I26" s="262">
        <f t="shared" si="2"/>
        <v>0</v>
      </c>
      <c r="J26" s="262">
        <f t="shared" si="0"/>
        <v>0</v>
      </c>
      <c r="K26" s="9"/>
      <c r="L26" s="604"/>
      <c r="M26" s="604"/>
      <c r="N26" s="600"/>
      <c r="O26" s="600"/>
      <c r="P26" s="9"/>
      <c r="Q26" s="589" t="s">
        <v>5993</v>
      </c>
      <c r="R26" s="590">
        <f>SUM(Componentes!AO11:AO398)+R52</f>
        <v>2668</v>
      </c>
      <c r="S26" s="276"/>
      <c r="T26" s="589" t="s">
        <v>5952</v>
      </c>
      <c r="U26" s="590">
        <f>SUMIFS(Componentes!AL:AL,Componentes!AM:AM,"CEE")</f>
        <v>488.5</v>
      </c>
      <c r="V26" s="276"/>
      <c r="W26" s="589" t="s">
        <v>5929</v>
      </c>
      <c r="X26" s="603">
        <f>IFERROR(SUMIFS(Componentes!AL:AL,Componentes!AJ:AJ,"Sistema Central"),0)</f>
        <v>488.5</v>
      </c>
      <c r="Y26" s="276"/>
    </row>
    <row r="27" spans="1:25" s="15" customFormat="1" ht="20.100000000000001" customHeight="1" x14ac:dyDescent="0.25">
      <c r="A27" s="87">
        <v>4</v>
      </c>
      <c r="B27" s="308" t="str">
        <f>IF(Envoltória!C22="","",Envoltória!C22)</f>
        <v>ZP4</v>
      </c>
      <c r="C27" s="137" t="s">
        <v>10633</v>
      </c>
      <c r="D27" s="262">
        <f>Envoltória!AB22</f>
        <v>2094.6943999999999</v>
      </c>
      <c r="E27" s="262">
        <f>Envoltória!AC22</f>
        <v>2278.4</v>
      </c>
      <c r="F27" s="262">
        <f>Envoltória!D22*Envoltória!Y22</f>
        <v>5.12</v>
      </c>
      <c r="G27" s="262">
        <f>IFERROR(Envoltória!U22*F27,0)</f>
        <v>0.51200000000000001</v>
      </c>
      <c r="H27" s="262">
        <f t="shared" si="1"/>
        <v>0</v>
      </c>
      <c r="I27" s="262">
        <f t="shared" si="2"/>
        <v>0</v>
      </c>
      <c r="J27" s="262">
        <f t="shared" si="0"/>
        <v>0</v>
      </c>
      <c r="K27" s="9"/>
      <c r="L27" s="9"/>
      <c r="M27" s="9"/>
      <c r="N27" s="9"/>
      <c r="O27" s="9"/>
      <c r="P27" s="9"/>
      <c r="Q27" s="589"/>
      <c r="R27" s="590"/>
      <c r="S27" s="276"/>
      <c r="T27" s="589"/>
      <c r="U27" s="590"/>
      <c r="V27" s="276"/>
      <c r="W27" s="589"/>
      <c r="X27" s="603"/>
      <c r="Y27" s="276"/>
    </row>
    <row r="28" spans="1:25" s="15" customFormat="1" ht="20.100000000000001" customHeight="1" x14ac:dyDescent="0.25">
      <c r="A28" s="87">
        <v>5</v>
      </c>
      <c r="B28" s="308" t="str">
        <f>IF(Envoltória!C23="","",Envoltória!C23)</f>
        <v>ZP5</v>
      </c>
      <c r="C28" s="137" t="s">
        <v>10633</v>
      </c>
      <c r="D28" s="262">
        <f>Envoltória!AB23</f>
        <v>9004.7649999999994</v>
      </c>
      <c r="E28" s="262">
        <f>Envoltória!AC23</f>
        <v>12204.5</v>
      </c>
      <c r="F28" s="262">
        <f>Envoltória!D23*Envoltória!Y23</f>
        <v>38.5</v>
      </c>
      <c r="G28" s="262">
        <f>IFERROR(Envoltória!U23*F28,0)</f>
        <v>3.85</v>
      </c>
      <c r="H28" s="262">
        <f t="shared" si="1"/>
        <v>0</v>
      </c>
      <c r="I28" s="262">
        <f t="shared" si="2"/>
        <v>0</v>
      </c>
      <c r="J28" s="262">
        <f t="shared" si="0"/>
        <v>0</v>
      </c>
      <c r="K28" s="9"/>
      <c r="L28" s="605" t="s">
        <v>5933</v>
      </c>
      <c r="M28" s="605"/>
      <c r="N28" s="600">
        <f>20*3.517</f>
        <v>70.34</v>
      </c>
      <c r="O28" s="600" t="s">
        <v>5936</v>
      </c>
      <c r="P28" s="9"/>
      <c r="Q28" s="589" t="s">
        <v>5948</v>
      </c>
      <c r="R28" s="590">
        <f>VLOOKUP(Início!C20,Aux_Lista!A:L,11,FALSE)</f>
        <v>10</v>
      </c>
      <c r="S28" s="276"/>
      <c r="T28" s="589" t="s">
        <v>5957</v>
      </c>
      <c r="U28" s="590">
        <f>SUMIFS(Componentes!AL:AL,Componentes!AM:AM,"IDRS")+SUMIFS(Componentes!AL:AL,Componentes!AM:AM,"CSPF")</f>
        <v>0</v>
      </c>
      <c r="V28" s="276"/>
      <c r="W28" s="589" t="s">
        <v>10550</v>
      </c>
      <c r="X28" s="603">
        <f>IFERROR(X26/SUMIFS(Componentes!AS:AS,Componentes!AJ:AJ,"Sistema central"),0)</f>
        <v>4.6574308306100169</v>
      </c>
      <c r="Y28" s="276"/>
    </row>
    <row r="29" spans="1:25" ht="20.100000000000001" customHeight="1" x14ac:dyDescent="0.25">
      <c r="A29" s="87">
        <v>6</v>
      </c>
      <c r="B29" s="308" t="str">
        <f>IF(Envoltória!C24="","",Envoltória!C24)</f>
        <v>ZP6</v>
      </c>
      <c r="C29" s="137" t="s">
        <v>10633</v>
      </c>
      <c r="D29" s="262">
        <f>Envoltória!AB24</f>
        <v>212.78880000000004</v>
      </c>
      <c r="E29" s="262">
        <f>Envoltória!AC24</f>
        <v>230.72000000000003</v>
      </c>
      <c r="F29" s="262">
        <f>Envoltória!D24*Envoltória!Y24</f>
        <v>1.1200000000000001</v>
      </c>
      <c r="G29" s="262">
        <f>IFERROR(Envoltória!U24*F29,0)</f>
        <v>0.11200000000000002</v>
      </c>
      <c r="H29" s="262">
        <f t="shared" si="1"/>
        <v>0</v>
      </c>
      <c r="I29" s="262">
        <f t="shared" si="2"/>
        <v>0</v>
      </c>
      <c r="J29" s="262">
        <f t="shared" si="0"/>
        <v>0</v>
      </c>
      <c r="K29" s="9"/>
      <c r="L29" s="605"/>
      <c r="M29" s="605"/>
      <c r="N29" s="600"/>
      <c r="O29" s="600"/>
      <c r="P29" s="9"/>
      <c r="Q29" s="589"/>
      <c r="R29" s="590"/>
      <c r="S29" s="276"/>
      <c r="T29" s="589"/>
      <c r="U29" s="590"/>
      <c r="V29" s="276"/>
      <c r="W29" s="589"/>
      <c r="X29" s="603"/>
      <c r="Y29" s="276"/>
    </row>
    <row r="30" spans="1:25" ht="20.100000000000001" customHeight="1" x14ac:dyDescent="0.25">
      <c r="A30" s="87">
        <v>7</v>
      </c>
      <c r="B30" s="308" t="str">
        <f>IF(Envoltória!C25="","",Envoltória!C25)</f>
        <v>ZP7</v>
      </c>
      <c r="C30" s="137" t="s">
        <v>10633</v>
      </c>
      <c r="D30" s="262">
        <f>Envoltória!AB25</f>
        <v>232.04170000000002</v>
      </c>
      <c r="E30" s="262">
        <f>Envoltória!AC25</f>
        <v>248.92000000000002</v>
      </c>
      <c r="F30" s="262">
        <f>Envoltória!D25*Envoltória!Y25</f>
        <v>1.27</v>
      </c>
      <c r="G30" s="262">
        <f>IFERROR(Envoltória!U25*F30,0)</f>
        <v>0.127</v>
      </c>
      <c r="H30" s="262">
        <f t="shared" si="1"/>
        <v>0</v>
      </c>
      <c r="I30" s="262">
        <f t="shared" si="2"/>
        <v>0</v>
      </c>
      <c r="J30" s="262">
        <f t="shared" si="0"/>
        <v>0</v>
      </c>
      <c r="K30" s="9"/>
      <c r="L30" s="9"/>
      <c r="M30" s="9"/>
      <c r="N30" s="9"/>
      <c r="O30" s="9"/>
      <c r="P30" s="9"/>
      <c r="Q30" s="589" t="s">
        <v>5949</v>
      </c>
      <c r="R30" s="590">
        <f>VLOOKUP(Início!C20,Aux_Lista!A:N,12,FALSE)</f>
        <v>260</v>
      </c>
      <c r="S30" s="276"/>
      <c r="T30" s="589" t="s">
        <v>5928</v>
      </c>
      <c r="U30" s="590">
        <f>IFERROR(U28+U26,0)</f>
        <v>488.5</v>
      </c>
      <c r="V30" s="276"/>
      <c r="W30" s="601" t="s">
        <v>5955</v>
      </c>
      <c r="X30" s="599">
        <f>IFERROR(X24/X28,0)</f>
        <v>55932.052256776173</v>
      </c>
      <c r="Y30" s="276"/>
    </row>
    <row r="31" spans="1:25" ht="20.100000000000001" customHeight="1" x14ac:dyDescent="0.25">
      <c r="A31" s="87">
        <v>8</v>
      </c>
      <c r="B31" s="308" t="str">
        <f>IF(Envoltória!C26="","",Envoltória!C26)</f>
        <v>ZP8</v>
      </c>
      <c r="C31" s="137" t="s">
        <v>10633</v>
      </c>
      <c r="D31" s="262">
        <f>Envoltória!AB26</f>
        <v>7494.1824999999999</v>
      </c>
      <c r="E31" s="262">
        <f>Envoltória!AC26</f>
        <v>7794.5</v>
      </c>
      <c r="F31" s="262">
        <f>Envoltória!D26*Envoltória!Y26</f>
        <v>45.85</v>
      </c>
      <c r="G31" s="262">
        <f>IFERROR(Envoltória!U26*F31,0)</f>
        <v>4.585</v>
      </c>
      <c r="H31" s="262">
        <f t="shared" si="1"/>
        <v>0</v>
      </c>
      <c r="I31" s="262">
        <f t="shared" si="2"/>
        <v>0</v>
      </c>
      <c r="J31" s="262">
        <f t="shared" si="0"/>
        <v>0</v>
      </c>
      <c r="K31" s="9"/>
      <c r="L31" s="604" t="s">
        <v>5935</v>
      </c>
      <c r="M31" s="604"/>
      <c r="N31" s="600">
        <v>8</v>
      </c>
      <c r="O31" s="600" t="s">
        <v>5937</v>
      </c>
      <c r="P31" s="9"/>
      <c r="Q31" s="589"/>
      <c r="R31" s="590"/>
      <c r="S31" s="276"/>
      <c r="T31" s="589"/>
      <c r="U31" s="590"/>
      <c r="V31" s="276"/>
      <c r="W31" s="601"/>
      <c r="X31" s="599"/>
      <c r="Y31" s="276"/>
    </row>
    <row r="32" spans="1:25" ht="20.100000000000001" customHeight="1" x14ac:dyDescent="0.25">
      <c r="A32" s="87">
        <v>9</v>
      </c>
      <c r="B32" s="308" t="str">
        <f>IF(Envoltória!C27="","",Envoltória!C27)</f>
        <v>ZP9</v>
      </c>
      <c r="C32" s="137" t="s">
        <v>10633</v>
      </c>
      <c r="D32" s="262">
        <f>Envoltória!AB27</f>
        <v>3691.1205000000004</v>
      </c>
      <c r="E32" s="262">
        <f>Envoltória!AC27</f>
        <v>3801.9</v>
      </c>
      <c r="F32" s="262">
        <f>Envoltória!D27*Envoltória!Y27</f>
        <v>21.85</v>
      </c>
      <c r="G32" s="262">
        <f>IFERROR(Envoltória!U27*F32,0)</f>
        <v>2.1850000000000001</v>
      </c>
      <c r="H32" s="262">
        <f t="shared" si="1"/>
        <v>0</v>
      </c>
      <c r="I32" s="262">
        <f t="shared" si="2"/>
        <v>0</v>
      </c>
      <c r="J32" s="262">
        <f t="shared" si="0"/>
        <v>0</v>
      </c>
      <c r="K32" s="9"/>
      <c r="L32" s="604"/>
      <c r="M32" s="604"/>
      <c r="N32" s="600"/>
      <c r="O32" s="600"/>
      <c r="P32" s="9"/>
      <c r="Q32" s="589" t="s">
        <v>5939</v>
      </c>
      <c r="R32" s="590">
        <v>3.24</v>
      </c>
      <c r="S32" s="276"/>
      <c r="T32" s="589" t="s">
        <v>5940</v>
      </c>
      <c r="U32" s="590">
        <f>SUMIFS(Componentes!AO11:AO398,Componentes!AJ11:AJ398,"Sistema unitário")</f>
        <v>0</v>
      </c>
      <c r="V32" s="276"/>
      <c r="W32" s="276"/>
      <c r="X32" s="276"/>
      <c r="Y32" s="276"/>
    </row>
    <row r="33" spans="1:25" ht="20.100000000000001" customHeight="1" x14ac:dyDescent="0.25">
      <c r="A33" s="87">
        <v>10</v>
      </c>
      <c r="B33" s="308" t="str">
        <f>IF(Envoltória!C28="","",Envoltória!C28)</f>
        <v>ZP10</v>
      </c>
      <c r="C33" s="137" t="s">
        <v>10633</v>
      </c>
      <c r="D33" s="262">
        <f>Envoltória!AB28</f>
        <v>3623.5394999999994</v>
      </c>
      <c r="E33" s="262">
        <f>Envoltória!AC28</f>
        <v>5777.5499999999993</v>
      </c>
      <c r="F33" s="262">
        <f>Envoltória!D28*Envoltória!Y28</f>
        <v>16.649999999999999</v>
      </c>
      <c r="G33" s="262">
        <f>IFERROR(Envoltória!U28*F33,0)</f>
        <v>1.665</v>
      </c>
      <c r="H33" s="262">
        <f t="shared" si="1"/>
        <v>0</v>
      </c>
      <c r="I33" s="262">
        <f t="shared" si="2"/>
        <v>0</v>
      </c>
      <c r="J33" s="262">
        <f t="shared" si="0"/>
        <v>0</v>
      </c>
      <c r="K33" s="9"/>
      <c r="L33" s="9"/>
      <c r="M33" s="9"/>
      <c r="N33" s="9"/>
      <c r="O33" s="9"/>
      <c r="P33" s="9"/>
      <c r="Q33" s="589"/>
      <c r="R33" s="590"/>
      <c r="S33" s="276"/>
      <c r="T33" s="589"/>
      <c r="U33" s="590"/>
      <c r="V33" s="276"/>
      <c r="W33" s="276"/>
      <c r="X33" s="276"/>
      <c r="Y33" s="276"/>
    </row>
    <row r="34" spans="1:25" ht="20.100000000000001" customHeight="1" x14ac:dyDescent="0.25">
      <c r="A34" s="87">
        <v>11</v>
      </c>
      <c r="B34" s="308" t="str">
        <f>IF(Envoltória!C29="","",Envoltória!C29)</f>
        <v>ZP11-duplo</v>
      </c>
      <c r="C34" s="137" t="s">
        <v>10633</v>
      </c>
      <c r="D34" s="262">
        <f>Envoltória!AB29</f>
        <v>3453.1956</v>
      </c>
      <c r="E34" s="262">
        <f>Envoltória!AC29</f>
        <v>5578.27</v>
      </c>
      <c r="F34" s="262">
        <f>Envoltória!D29*Envoltória!Y29</f>
        <v>5.03</v>
      </c>
      <c r="G34" s="262">
        <f>IFERROR(Envoltória!U29*F34,0)</f>
        <v>0.503</v>
      </c>
      <c r="H34" s="262">
        <f t="shared" si="1"/>
        <v>0</v>
      </c>
      <c r="I34" s="262">
        <f t="shared" si="2"/>
        <v>0</v>
      </c>
      <c r="J34" s="262">
        <f t="shared" si="0"/>
        <v>0</v>
      </c>
      <c r="K34" s="9"/>
      <c r="L34" s="604" t="s">
        <v>5943</v>
      </c>
      <c r="M34" s="604"/>
      <c r="N34" s="600">
        <f>SUM(H24:H123)</f>
        <v>0</v>
      </c>
      <c r="O34" s="600" t="s">
        <v>5936</v>
      </c>
      <c r="P34" s="9"/>
      <c r="Q34" s="601" t="s">
        <v>5944</v>
      </c>
      <c r="R34" s="599">
        <f>(R24/R32)+(R26*R28*R30/1000)</f>
        <v>118512.58703703702</v>
      </c>
      <c r="S34" s="276"/>
      <c r="T34" s="589" t="s">
        <v>5948</v>
      </c>
      <c r="U34" s="590">
        <f>R28</f>
        <v>10</v>
      </c>
      <c r="V34" s="276"/>
      <c r="W34" s="276"/>
      <c r="X34" s="276"/>
      <c r="Y34" s="276"/>
    </row>
    <row r="35" spans="1:25" ht="20.100000000000001" customHeight="1" x14ac:dyDescent="0.25">
      <c r="A35" s="87">
        <v>12</v>
      </c>
      <c r="B35" s="308" t="str">
        <f>IF(Envoltória!C30="","",Envoltória!C30)</f>
        <v>ZP12-duplo</v>
      </c>
      <c r="C35" s="137" t="s">
        <v>10633</v>
      </c>
      <c r="D35" s="262">
        <f>Envoltória!AB30</f>
        <v>3625.6482000000001</v>
      </c>
      <c r="E35" s="262">
        <f>Envoltória!AC30</f>
        <v>8374.68</v>
      </c>
      <c r="F35" s="262">
        <f>Envoltória!D30*Envoltória!Y30</f>
        <v>7.74</v>
      </c>
      <c r="G35" s="262">
        <f>IFERROR(Envoltória!U30*F35,0)</f>
        <v>0.77400000000000002</v>
      </c>
      <c r="H35" s="262">
        <f t="shared" si="1"/>
        <v>0</v>
      </c>
      <c r="I35" s="262">
        <f t="shared" si="2"/>
        <v>0</v>
      </c>
      <c r="J35" s="262">
        <f t="shared" si="0"/>
        <v>0</v>
      </c>
      <c r="K35" s="9"/>
      <c r="L35" s="604"/>
      <c r="M35" s="604"/>
      <c r="N35" s="600"/>
      <c r="O35" s="600"/>
      <c r="P35" s="9"/>
      <c r="Q35" s="601"/>
      <c r="R35" s="599"/>
      <c r="S35" s="276"/>
      <c r="T35" s="589"/>
      <c r="U35" s="590"/>
      <c r="V35" s="276"/>
      <c r="W35" s="276"/>
      <c r="X35" s="276"/>
      <c r="Y35" s="276"/>
    </row>
    <row r="36" spans="1:25" ht="20.100000000000001" customHeight="1" x14ac:dyDescent="0.25">
      <c r="A36" s="87">
        <v>13</v>
      </c>
      <c r="B36" s="308" t="str">
        <f>IF(Envoltória!C31="","",Envoltória!C31)</f>
        <v>ZP13-duplo</v>
      </c>
      <c r="C36" s="137" t="s">
        <v>10633</v>
      </c>
      <c r="D36" s="262">
        <f>Envoltória!AB31</f>
        <v>7383.6878999999999</v>
      </c>
      <c r="E36" s="262">
        <f>Envoltória!AC31</f>
        <v>12192.72</v>
      </c>
      <c r="F36" s="262">
        <f>Envoltória!D31*Envoltória!Y31</f>
        <v>15.09</v>
      </c>
      <c r="G36" s="262">
        <f>IFERROR(Envoltória!U31*F36,0)</f>
        <v>1.5090000000000001</v>
      </c>
      <c r="H36" s="262">
        <f t="shared" si="1"/>
        <v>0</v>
      </c>
      <c r="I36" s="262">
        <f t="shared" si="2"/>
        <v>0</v>
      </c>
      <c r="J36" s="262">
        <f t="shared" si="0"/>
        <v>0</v>
      </c>
      <c r="K36" s="9"/>
      <c r="L36" s="291"/>
      <c r="M36" s="291"/>
      <c r="N36" s="291"/>
      <c r="O36" s="9"/>
      <c r="P36" s="9"/>
      <c r="Q36" s="303"/>
      <c r="R36" s="276"/>
      <c r="S36" s="276"/>
      <c r="T36" s="589" t="s">
        <v>5949</v>
      </c>
      <c r="U36" s="590">
        <f>R30</f>
        <v>260</v>
      </c>
      <c r="V36" s="276"/>
      <c r="W36" s="276"/>
      <c r="X36" s="276"/>
      <c r="Y36" s="276"/>
    </row>
    <row r="37" spans="1:25" ht="20.100000000000001" customHeight="1" x14ac:dyDescent="0.25">
      <c r="A37" s="87">
        <v>14</v>
      </c>
      <c r="B37" s="308" t="str">
        <f>IF(Envoltória!C32="","",Envoltória!C32)</f>
        <v>ZP14-duplo</v>
      </c>
      <c r="C37" s="137" t="s">
        <v>10633</v>
      </c>
      <c r="D37" s="262">
        <f>Envoltória!AB32</f>
        <v>2956.6053000000002</v>
      </c>
      <c r="E37" s="262">
        <f>Envoltória!AC32</f>
        <v>7858.62</v>
      </c>
      <c r="F37" s="262">
        <f>Envoltória!D32*Envoltória!Y32</f>
        <v>7.29</v>
      </c>
      <c r="G37" s="262">
        <f>IFERROR(Envoltória!U32*F37,0)</f>
        <v>0.72900000000000009</v>
      </c>
      <c r="H37" s="262">
        <f t="shared" si="1"/>
        <v>0</v>
      </c>
      <c r="I37" s="262">
        <f t="shared" si="2"/>
        <v>0</v>
      </c>
      <c r="J37" s="262">
        <f t="shared" si="0"/>
        <v>0</v>
      </c>
      <c r="K37" s="9"/>
      <c r="L37" s="9"/>
      <c r="M37" s="9"/>
      <c r="N37" s="9"/>
      <c r="O37" s="9"/>
      <c r="P37" s="9"/>
      <c r="Q37" s="276"/>
      <c r="R37" s="276"/>
      <c r="S37" s="276"/>
      <c r="T37" s="589"/>
      <c r="U37" s="590"/>
      <c r="V37" s="276"/>
      <c r="W37" s="276"/>
      <c r="X37" s="276"/>
      <c r="Y37" s="276"/>
    </row>
    <row r="38" spans="1:25" ht="20.100000000000001" customHeight="1" x14ac:dyDescent="0.25">
      <c r="A38" s="87">
        <v>15</v>
      </c>
      <c r="B38" s="308" t="str">
        <f>IF(Envoltória!C33="","",Envoltória!C33)</f>
        <v>ZP15-duplo</v>
      </c>
      <c r="C38" s="137" t="s">
        <v>10633</v>
      </c>
      <c r="D38" s="262">
        <f>Envoltória!AB33</f>
        <v>5030.4239999999991</v>
      </c>
      <c r="E38" s="262">
        <f>Envoltória!AC33</f>
        <v>8075.7</v>
      </c>
      <c r="F38" s="262">
        <f>Envoltória!D33*Envoltória!Y33</f>
        <v>8.1</v>
      </c>
      <c r="G38" s="262">
        <f>IFERROR(Envoltória!U33*F38,0)</f>
        <v>0.81</v>
      </c>
      <c r="H38" s="262">
        <f t="shared" si="1"/>
        <v>0</v>
      </c>
      <c r="I38" s="262">
        <f t="shared" si="2"/>
        <v>0</v>
      </c>
      <c r="J38" s="262">
        <f t="shared" si="0"/>
        <v>0</v>
      </c>
      <c r="K38" s="9"/>
      <c r="L38" s="9"/>
      <c r="M38" s="9"/>
      <c r="N38" s="9"/>
      <c r="O38" s="9"/>
      <c r="P38" s="9"/>
      <c r="Q38" s="597" t="s">
        <v>10634</v>
      </c>
      <c r="R38" s="598"/>
      <c r="S38" s="276"/>
      <c r="T38" s="589" t="s">
        <v>10551</v>
      </c>
      <c r="U38" s="590">
        <f>IFERROR(U30/SUMIFS(Componentes!AS:AS,Componentes!AJ:AJ,"Sistema unitário"),0)</f>
        <v>0</v>
      </c>
      <c r="V38" s="276"/>
      <c r="W38" s="276"/>
      <c r="X38" s="276"/>
      <c r="Y38" s="276"/>
    </row>
    <row r="39" spans="1:25" ht="20.100000000000001" customHeight="1" x14ac:dyDescent="0.25">
      <c r="A39" s="87">
        <v>16</v>
      </c>
      <c r="B39" s="308" t="str">
        <f>IF(Envoltória!C34="","",Envoltória!C34)</f>
        <v>ZP16</v>
      </c>
      <c r="C39" s="137" t="s">
        <v>10633</v>
      </c>
      <c r="D39" s="262">
        <f>Envoltória!AB34</f>
        <v>7274.4363999999987</v>
      </c>
      <c r="E39" s="262">
        <f>Envoltória!AC34</f>
        <v>10807.439999999999</v>
      </c>
      <c r="F39" s="262">
        <f>Envoltória!D34*Envoltória!Y34</f>
        <v>36.76</v>
      </c>
      <c r="G39" s="262">
        <f>IFERROR(Envoltória!U34*F39,0)</f>
        <v>3.6760000000000002</v>
      </c>
      <c r="H39" s="262">
        <f t="shared" si="1"/>
        <v>0</v>
      </c>
      <c r="I39" s="262">
        <f t="shared" si="2"/>
        <v>0</v>
      </c>
      <c r="J39" s="262">
        <f t="shared" si="0"/>
        <v>0</v>
      </c>
      <c r="K39" s="9"/>
      <c r="L39" s="9"/>
      <c r="M39" s="9"/>
      <c r="N39" s="9"/>
      <c r="O39" s="9"/>
      <c r="P39" s="9"/>
      <c r="Q39" s="597"/>
      <c r="R39" s="598"/>
      <c r="S39" s="276"/>
      <c r="T39" s="589"/>
      <c r="U39" s="590"/>
      <c r="V39" s="276"/>
      <c r="W39" s="276"/>
      <c r="X39" s="276"/>
      <c r="Y39" s="276"/>
    </row>
    <row r="40" spans="1:25" ht="20.100000000000001" customHeight="1" x14ac:dyDescent="0.25">
      <c r="A40" s="87">
        <v>17</v>
      </c>
      <c r="B40" s="308" t="str">
        <f>IF(Envoltória!C35="","",Envoltória!C35)</f>
        <v>ZP17</v>
      </c>
      <c r="C40" s="137" t="s">
        <v>10633</v>
      </c>
      <c r="D40" s="262">
        <f>Envoltória!AB35</f>
        <v>2024.5697</v>
      </c>
      <c r="E40" s="262">
        <f>Envoltória!AC35</f>
        <v>2110.48</v>
      </c>
      <c r="F40" s="262">
        <f>Envoltória!D35*Envoltória!Y35</f>
        <v>11.47</v>
      </c>
      <c r="G40" s="262">
        <f>IFERROR(Envoltória!U35*F40,0)</f>
        <v>1.147</v>
      </c>
      <c r="H40" s="262">
        <f t="shared" si="1"/>
        <v>0</v>
      </c>
      <c r="I40" s="262">
        <f t="shared" si="2"/>
        <v>0</v>
      </c>
      <c r="J40" s="262">
        <f t="shared" si="0"/>
        <v>0</v>
      </c>
      <c r="K40" s="9"/>
      <c r="L40" s="9"/>
      <c r="M40" s="9"/>
      <c r="N40" s="9"/>
      <c r="O40" s="9"/>
      <c r="P40" s="9"/>
      <c r="Q40" s="591" t="s">
        <v>5965</v>
      </c>
      <c r="R40" s="592"/>
      <c r="S40" s="276"/>
      <c r="T40" s="601" t="s">
        <v>5953</v>
      </c>
      <c r="U40" s="599">
        <f>IFERROR((U24/U38)+(U32*U34*U36/1000),0)</f>
        <v>0</v>
      </c>
      <c r="V40" s="276"/>
      <c r="W40" s="276"/>
      <c r="X40" s="276"/>
      <c r="Y40" s="276"/>
    </row>
    <row r="41" spans="1:25" ht="20.100000000000001" customHeight="1" x14ac:dyDescent="0.25">
      <c r="A41" s="87">
        <v>18</v>
      </c>
      <c r="B41" s="308" t="str">
        <f>IF(Envoltória!C36="","",Envoltória!C36)</f>
        <v>ZP18</v>
      </c>
      <c r="C41" s="137" t="s">
        <v>10633</v>
      </c>
      <c r="D41" s="262">
        <f>Envoltória!AB36</f>
        <v>68.871799999999993</v>
      </c>
      <c r="E41" s="262">
        <f>Envoltória!AC36</f>
        <v>72.150000000000006</v>
      </c>
      <c r="F41" s="262">
        <f>Envoltória!D36*Envoltória!Y36</f>
        <v>0.37</v>
      </c>
      <c r="G41" s="262">
        <f>IFERROR(Envoltória!U36*F41,0)</f>
        <v>3.6999999999999998E-2</v>
      </c>
      <c r="H41" s="262">
        <f t="shared" si="1"/>
        <v>0</v>
      </c>
      <c r="I41" s="262">
        <f t="shared" si="2"/>
        <v>0</v>
      </c>
      <c r="J41" s="262">
        <f t="shared" si="0"/>
        <v>0</v>
      </c>
      <c r="K41" s="9"/>
      <c r="L41" s="9"/>
      <c r="M41" s="9"/>
      <c r="N41" s="9"/>
      <c r="O41" s="9"/>
      <c r="P41" s="9"/>
      <c r="Q41" s="593"/>
      <c r="R41" s="594"/>
      <c r="S41" s="276"/>
      <c r="T41" s="601"/>
      <c r="U41" s="599"/>
      <c r="V41" s="276"/>
      <c r="W41" s="276"/>
      <c r="X41" s="276"/>
      <c r="Y41" s="276"/>
    </row>
    <row r="42" spans="1:25" ht="20.100000000000001" customHeight="1" x14ac:dyDescent="0.25">
      <c r="A42" s="87">
        <v>19</v>
      </c>
      <c r="B42" s="308" t="str">
        <f>IF(Envoltória!C37="","",Envoltória!C37)</f>
        <v>ZP19</v>
      </c>
      <c r="C42" s="137" t="s">
        <v>10633</v>
      </c>
      <c r="D42" s="262">
        <f>Envoltória!AB37</f>
        <v>9412.3755000000001</v>
      </c>
      <c r="E42" s="262">
        <f>Envoltória!AC37</f>
        <v>11098.05</v>
      </c>
      <c r="F42" s="262">
        <f>Envoltória!D37*Envoltória!Y37</f>
        <v>36.15</v>
      </c>
      <c r="G42" s="262">
        <f>IFERROR(Envoltória!U37*F42,0)</f>
        <v>3.6150000000000002</v>
      </c>
      <c r="H42" s="262">
        <f t="shared" si="1"/>
        <v>0</v>
      </c>
      <c r="I42" s="262">
        <f t="shared" si="2"/>
        <v>0</v>
      </c>
      <c r="J42" s="262">
        <f t="shared" si="0"/>
        <v>0</v>
      </c>
      <c r="K42" s="9"/>
      <c r="L42" s="9"/>
      <c r="M42" s="9"/>
      <c r="N42" s="9"/>
      <c r="O42" s="9"/>
      <c r="P42" s="9"/>
      <c r="Q42" s="593"/>
      <c r="R42" s="594"/>
      <c r="S42" s="276"/>
      <c r="T42" s="276"/>
      <c r="U42" s="276"/>
      <c r="V42" s="276"/>
      <c r="W42" s="276"/>
      <c r="X42" s="276"/>
      <c r="Y42" s="276"/>
    </row>
    <row r="43" spans="1:25" ht="20.100000000000001" customHeight="1" x14ac:dyDescent="0.25">
      <c r="A43" s="87">
        <v>20</v>
      </c>
      <c r="B43" s="308" t="str">
        <f>IF(Envoltória!C38="","",Envoltória!C38)</f>
        <v>ZP20</v>
      </c>
      <c r="C43" s="137" t="s">
        <v>10633</v>
      </c>
      <c r="D43" s="262">
        <f>Envoltória!AB38</f>
        <v>1985.3172000000002</v>
      </c>
      <c r="E43" s="262">
        <f>Envoltória!AC38</f>
        <v>2219.04</v>
      </c>
      <c r="F43" s="262">
        <f>Envoltória!D38*Envoltória!Y38</f>
        <v>12.06</v>
      </c>
      <c r="G43" s="262">
        <f>IFERROR(Envoltória!U38*F43,0)</f>
        <v>1.2060000000000002</v>
      </c>
      <c r="H43" s="262">
        <f t="shared" si="1"/>
        <v>0</v>
      </c>
      <c r="I43" s="262">
        <f t="shared" si="2"/>
        <v>0</v>
      </c>
      <c r="J43" s="262">
        <f t="shared" si="0"/>
        <v>0</v>
      </c>
      <c r="K43" s="9"/>
      <c r="L43" s="9"/>
      <c r="M43" s="9"/>
      <c r="N43" s="9"/>
      <c r="O43" s="9"/>
      <c r="P43" s="9"/>
      <c r="Q43" s="593"/>
      <c r="R43" s="594"/>
      <c r="S43" s="276"/>
      <c r="T43" s="276"/>
      <c r="U43" s="276"/>
      <c r="V43" s="276"/>
      <c r="W43" s="276"/>
      <c r="X43" s="276"/>
      <c r="Y43" s="276"/>
    </row>
    <row r="44" spans="1:25" ht="20.100000000000001" customHeight="1" x14ac:dyDescent="0.25">
      <c r="A44" s="87">
        <v>21</v>
      </c>
      <c r="B44" s="308" t="str">
        <f>IF(Envoltória!C39="","",Envoltória!C39)</f>
        <v>ZP21</v>
      </c>
      <c r="C44" s="137" t="s">
        <v>10633</v>
      </c>
      <c r="D44" s="262">
        <f>Envoltória!AB39</f>
        <v>908.0963999999999</v>
      </c>
      <c r="E44" s="262">
        <f>Envoltória!AC39</f>
        <v>1054.6799999999998</v>
      </c>
      <c r="F44" s="262">
        <f>Envoltória!D39*Envoltória!Y39</f>
        <v>5.64</v>
      </c>
      <c r="G44" s="262">
        <f>IFERROR(Envoltória!U39*F44,0)</f>
        <v>0.56399999999999995</v>
      </c>
      <c r="H44" s="262">
        <f t="shared" si="1"/>
        <v>0</v>
      </c>
      <c r="I44" s="262">
        <f t="shared" si="2"/>
        <v>0</v>
      </c>
      <c r="J44" s="262">
        <f t="shared" si="0"/>
        <v>0</v>
      </c>
      <c r="K44" s="9"/>
      <c r="L44" s="9"/>
      <c r="M44" s="9"/>
      <c r="N44" s="9"/>
      <c r="O44" s="9"/>
      <c r="P44" s="9"/>
      <c r="Q44" s="593"/>
      <c r="R44" s="594"/>
      <c r="S44" s="276"/>
      <c r="T44" s="276"/>
      <c r="U44" s="276"/>
      <c r="V44" s="276"/>
      <c r="W44" s="276"/>
      <c r="X44" s="276"/>
      <c r="Y44" s="276"/>
    </row>
    <row r="45" spans="1:25" ht="20.100000000000001" customHeight="1" x14ac:dyDescent="0.25">
      <c r="A45" s="87">
        <v>22</v>
      </c>
      <c r="B45" s="308" t="str">
        <f>IF(Envoltória!C40="","",Envoltória!C40)</f>
        <v>ZP22</v>
      </c>
      <c r="C45" s="137" t="s">
        <v>10633</v>
      </c>
      <c r="D45" s="262">
        <f>Envoltória!AB40</f>
        <v>12820.143599999999</v>
      </c>
      <c r="E45" s="262">
        <f>Envoltória!AC40</f>
        <v>21449.67</v>
      </c>
      <c r="F45" s="262">
        <f>Envoltória!D40*Envoltória!Y40</f>
        <v>68.97</v>
      </c>
      <c r="G45" s="262">
        <f>IFERROR(Envoltória!U40*F45,0)</f>
        <v>6.8970000000000002</v>
      </c>
      <c r="H45" s="262">
        <f t="shared" si="1"/>
        <v>0</v>
      </c>
      <c r="I45" s="262">
        <f t="shared" si="2"/>
        <v>0</v>
      </c>
      <c r="J45" s="262">
        <f t="shared" si="0"/>
        <v>0</v>
      </c>
      <c r="K45" s="9"/>
      <c r="L45" s="9"/>
      <c r="M45" s="9"/>
      <c r="N45" s="9"/>
      <c r="O45" s="9"/>
      <c r="P45" s="9"/>
      <c r="Q45" s="595"/>
      <c r="R45" s="596"/>
      <c r="S45" s="276"/>
      <c r="T45" s="276"/>
      <c r="U45" s="276"/>
      <c r="V45" s="276"/>
      <c r="W45" s="276"/>
      <c r="X45" s="276"/>
      <c r="Y45" s="276"/>
    </row>
    <row r="46" spans="1:25" ht="20.100000000000001" customHeight="1" x14ac:dyDescent="0.25">
      <c r="A46" s="87">
        <v>23</v>
      </c>
      <c r="B46" s="308" t="str">
        <f>IF(Envoltória!C41="","",Envoltória!C41)</f>
        <v>ZP23</v>
      </c>
      <c r="C46" s="137" t="s">
        <v>10633</v>
      </c>
      <c r="D46" s="262">
        <f>Envoltória!AB41</f>
        <v>3237.857</v>
      </c>
      <c r="E46" s="262">
        <f>Envoltória!AC41</f>
        <v>10104.14</v>
      </c>
      <c r="F46" s="262">
        <f>Envoltória!D41*Envoltória!Y41</f>
        <v>13.33</v>
      </c>
      <c r="G46" s="262">
        <f>IFERROR(Envoltória!U41*F46,0)</f>
        <v>1.3330000000000002</v>
      </c>
      <c r="H46" s="262">
        <f t="shared" si="1"/>
        <v>0</v>
      </c>
      <c r="I46" s="262">
        <f t="shared" si="2"/>
        <v>0</v>
      </c>
      <c r="J46" s="262">
        <f t="shared" si="0"/>
        <v>0</v>
      </c>
      <c r="K46" s="9"/>
      <c r="L46" s="9"/>
      <c r="M46" s="9"/>
      <c r="N46" s="9"/>
      <c r="O46" s="9"/>
      <c r="P46" s="9"/>
      <c r="Q46" s="589" t="s">
        <v>5961</v>
      </c>
      <c r="R46" s="590">
        <f>SUMIFS(D24:D123,C24:C123,"Não previsto")</f>
        <v>0</v>
      </c>
      <c r="S46" s="276"/>
      <c r="T46" s="276"/>
      <c r="U46" s="276"/>
      <c r="V46" s="276"/>
      <c r="W46" s="276"/>
      <c r="X46" s="276"/>
      <c r="Y46" s="276"/>
    </row>
    <row r="47" spans="1:25" ht="20.100000000000001" customHeight="1" x14ac:dyDescent="0.25">
      <c r="A47" s="87">
        <v>24</v>
      </c>
      <c r="B47" s="308" t="str">
        <f>IF(Envoltória!C42="","",Envoltória!C42)</f>
        <v>Zi1-duplo</v>
      </c>
      <c r="C47" s="137" t="s">
        <v>10633</v>
      </c>
      <c r="D47" s="262">
        <f>Envoltória!AB42</f>
        <v>2657.6531999999997</v>
      </c>
      <c r="E47" s="262">
        <f>Envoltória!AC42</f>
        <v>4312.08</v>
      </c>
      <c r="F47" s="262">
        <f>Envoltória!D42*Envoltória!Y42</f>
        <v>19.079999999999998</v>
      </c>
      <c r="G47" s="262">
        <f>IFERROR(Envoltória!U42*F47,0)</f>
        <v>1.9079999999999999</v>
      </c>
      <c r="H47" s="262">
        <f t="shared" si="1"/>
        <v>0</v>
      </c>
      <c r="I47" s="262">
        <f t="shared" si="2"/>
        <v>0</v>
      </c>
      <c r="J47" s="262">
        <f t="shared" si="0"/>
        <v>0</v>
      </c>
      <c r="K47" s="9"/>
      <c r="L47" s="9"/>
      <c r="M47" s="9"/>
      <c r="N47" s="9"/>
      <c r="O47" s="9"/>
      <c r="P47" s="9"/>
      <c r="Q47" s="589"/>
      <c r="R47" s="590"/>
      <c r="S47" s="276"/>
      <c r="T47" s="276"/>
      <c r="U47" s="276"/>
      <c r="V47" s="276"/>
      <c r="W47" s="276"/>
      <c r="X47" s="276"/>
      <c r="Y47" s="276"/>
    </row>
    <row r="48" spans="1:25" ht="20.100000000000001" customHeight="1" x14ac:dyDescent="0.25">
      <c r="A48" s="87">
        <v>25</v>
      </c>
      <c r="B48" s="308" t="str">
        <f>IF(Envoltória!C43="","",Envoltória!C43)</f>
        <v>Zi2-duplo</v>
      </c>
      <c r="C48" s="137" t="s">
        <v>10633</v>
      </c>
      <c r="D48" s="262">
        <f>Envoltória!AB43</f>
        <v>1961.2450000000001</v>
      </c>
      <c r="E48" s="262">
        <f>Envoltória!AC43</f>
        <v>2848.5</v>
      </c>
      <c r="F48" s="262">
        <f>Envoltória!D43*Envoltória!Y43</f>
        <v>10.55</v>
      </c>
      <c r="G48" s="262">
        <f>IFERROR(Envoltória!U43*F48,0)</f>
        <v>1.0550000000000002</v>
      </c>
      <c r="H48" s="262">
        <f t="shared" si="1"/>
        <v>0</v>
      </c>
      <c r="I48" s="262">
        <f t="shared" si="2"/>
        <v>0</v>
      </c>
      <c r="J48" s="262">
        <f t="shared" si="0"/>
        <v>0</v>
      </c>
      <c r="K48" s="9"/>
      <c r="L48" s="9"/>
      <c r="M48" s="9"/>
      <c r="N48" s="9"/>
      <c r="O48" s="9"/>
      <c r="P48" s="9"/>
      <c r="Q48" s="589" t="s">
        <v>5952</v>
      </c>
      <c r="R48" s="590">
        <f>R32</f>
        <v>3.24</v>
      </c>
      <c r="S48" s="276"/>
      <c r="T48" s="276"/>
      <c r="U48" s="276"/>
      <c r="V48" s="276"/>
      <c r="W48" s="276"/>
      <c r="X48" s="276"/>
      <c r="Y48" s="276"/>
    </row>
    <row r="49" spans="1:25" ht="20.100000000000001" customHeight="1" x14ac:dyDescent="0.25">
      <c r="A49" s="87">
        <v>26</v>
      </c>
      <c r="B49" s="308" t="str">
        <f>IF(Envoltória!C44="","",Envoltória!C44)</f>
        <v>Zi3-duplo</v>
      </c>
      <c r="C49" s="137" t="s">
        <v>10633</v>
      </c>
      <c r="D49" s="262">
        <f>Envoltória!AB44</f>
        <v>4544.5007999999998</v>
      </c>
      <c r="E49" s="262">
        <f>Envoltória!AC44</f>
        <v>6431.88</v>
      </c>
      <c r="F49" s="262">
        <f>Envoltória!D44*Envoltória!Y44</f>
        <v>26.04</v>
      </c>
      <c r="G49" s="262">
        <f>IFERROR(Envoltória!U44*F49,0)</f>
        <v>2.6040000000000001</v>
      </c>
      <c r="H49" s="262">
        <f t="shared" si="1"/>
        <v>0</v>
      </c>
      <c r="I49" s="262">
        <f t="shared" si="2"/>
        <v>0</v>
      </c>
      <c r="J49" s="262">
        <f t="shared" si="0"/>
        <v>0</v>
      </c>
      <c r="K49" s="9"/>
      <c r="L49" s="9"/>
      <c r="M49" s="9"/>
      <c r="N49" s="9"/>
      <c r="O49" s="9"/>
      <c r="P49" s="9"/>
      <c r="Q49" s="589"/>
      <c r="R49" s="590"/>
      <c r="S49" s="276"/>
      <c r="T49" s="276"/>
      <c r="U49" s="276"/>
      <c r="V49" s="276"/>
      <c r="W49" s="276"/>
      <c r="X49" s="276"/>
      <c r="Y49" s="276"/>
    </row>
    <row r="50" spans="1:25" ht="20.100000000000001" customHeight="1" x14ac:dyDescent="0.25">
      <c r="A50" s="87">
        <v>27</v>
      </c>
      <c r="B50" s="308" t="str">
        <f>IF(Envoltória!C45="","",Envoltória!C45)</f>
        <v>Zi4</v>
      </c>
      <c r="C50" s="137" t="s">
        <v>10633</v>
      </c>
      <c r="D50" s="262">
        <f>Envoltória!AB45</f>
        <v>40202.822400000005</v>
      </c>
      <c r="E50" s="262">
        <f>Envoltória!AC45</f>
        <v>39324.480000000003</v>
      </c>
      <c r="F50" s="262">
        <f>Envoltória!D45*Envoltória!Y45</f>
        <v>287.04000000000002</v>
      </c>
      <c r="G50" s="262">
        <f>IFERROR(Envoltória!U45*F50,0)</f>
        <v>28.704000000000004</v>
      </c>
      <c r="H50" s="262">
        <f t="shared" si="1"/>
        <v>0</v>
      </c>
      <c r="I50" s="262">
        <f t="shared" si="2"/>
        <v>0</v>
      </c>
      <c r="J50" s="262">
        <f t="shared" si="0"/>
        <v>0</v>
      </c>
      <c r="K50" s="9"/>
      <c r="L50" s="9"/>
      <c r="M50" s="9"/>
      <c r="N50" s="9"/>
      <c r="O50" s="9"/>
      <c r="P50" s="9"/>
      <c r="Q50" s="589" t="s">
        <v>5959</v>
      </c>
      <c r="R50" s="590">
        <f>N34</f>
        <v>0</v>
      </c>
      <c r="S50" s="276"/>
      <c r="T50" s="276"/>
      <c r="U50" s="276"/>
      <c r="V50" s="276"/>
      <c r="W50" s="276"/>
      <c r="X50" s="276"/>
      <c r="Y50" s="276"/>
    </row>
    <row r="51" spans="1:25" ht="20.100000000000001" customHeight="1" x14ac:dyDescent="0.25">
      <c r="A51" s="87">
        <v>28</v>
      </c>
      <c r="B51" s="308" t="str">
        <f>IF(Envoltória!C46="","",Envoltória!C46)</f>
        <v>ZP24</v>
      </c>
      <c r="C51" s="137" t="s">
        <v>10633</v>
      </c>
      <c r="D51" s="262">
        <f>Envoltória!AB46</f>
        <v>308.88</v>
      </c>
      <c r="E51" s="262">
        <f>Envoltória!AC46</f>
        <v>429</v>
      </c>
      <c r="F51" s="262">
        <f>Envoltória!D46*Envoltória!Y46</f>
        <v>1.56</v>
      </c>
      <c r="G51" s="262">
        <f>IFERROR(Envoltória!U46*F51,0)</f>
        <v>0.15600000000000003</v>
      </c>
      <c r="H51" s="262">
        <f t="shared" si="1"/>
        <v>0</v>
      </c>
      <c r="I51" s="262">
        <f t="shared" si="2"/>
        <v>0</v>
      </c>
      <c r="J51" s="262">
        <f t="shared" si="0"/>
        <v>0</v>
      </c>
      <c r="K51" s="9"/>
      <c r="L51" s="9"/>
      <c r="M51" s="9"/>
      <c r="N51" s="9"/>
      <c r="O51" s="9"/>
      <c r="P51" s="9"/>
      <c r="Q51" s="589"/>
      <c r="R51" s="590"/>
      <c r="S51" s="276"/>
      <c r="T51" s="276"/>
      <c r="U51" s="276"/>
      <c r="V51" s="276"/>
      <c r="W51" s="276"/>
      <c r="X51" s="276"/>
      <c r="Y51" s="276"/>
    </row>
    <row r="52" spans="1:25" ht="20.100000000000001" customHeight="1" x14ac:dyDescent="0.25">
      <c r="A52" s="87">
        <v>29</v>
      </c>
      <c r="B52" s="308" t="str">
        <f>IF(Envoltória!C47="","",Envoltória!C47)</f>
        <v>ZP25</v>
      </c>
      <c r="C52" s="137" t="s">
        <v>10633</v>
      </c>
      <c r="D52" s="262">
        <f>Envoltória!AB47</f>
        <v>7962.834600000001</v>
      </c>
      <c r="E52" s="262">
        <f>Envoltória!AC47</f>
        <v>14070.78</v>
      </c>
      <c r="F52" s="262">
        <f>Envoltória!D47*Envoltória!Y47</f>
        <v>38.340000000000003</v>
      </c>
      <c r="G52" s="262">
        <f>IFERROR(Envoltória!U47*F52,0)</f>
        <v>3.8340000000000005</v>
      </c>
      <c r="H52" s="262">
        <f t="shared" si="1"/>
        <v>0</v>
      </c>
      <c r="I52" s="262">
        <f t="shared" si="2"/>
        <v>0</v>
      </c>
      <c r="J52" s="262">
        <f t="shared" si="0"/>
        <v>0</v>
      </c>
      <c r="K52" s="9"/>
      <c r="L52" s="9"/>
      <c r="M52" s="9"/>
      <c r="N52" s="9"/>
      <c r="O52" s="9"/>
      <c r="P52" s="9"/>
      <c r="Q52" s="589" t="s">
        <v>5966</v>
      </c>
      <c r="R52" s="590">
        <f>SUM(I24:I123)</f>
        <v>0</v>
      </c>
      <c r="S52" s="276"/>
      <c r="T52" s="276"/>
      <c r="U52" s="276"/>
      <c r="V52" s="276"/>
      <c r="W52" s="276"/>
      <c r="X52" s="276"/>
      <c r="Y52" s="276"/>
    </row>
    <row r="53" spans="1:25" ht="20.100000000000001" customHeight="1" x14ac:dyDescent="0.25">
      <c r="A53" s="87">
        <v>30</v>
      </c>
      <c r="B53" s="308" t="str">
        <f>IF(Envoltória!C48="","",Envoltória!C48)</f>
        <v>ZP26</v>
      </c>
      <c r="C53" s="137" t="s">
        <v>10633</v>
      </c>
      <c r="D53" s="262">
        <f>Envoltória!AB48</f>
        <v>12623.4095</v>
      </c>
      <c r="E53" s="262">
        <f>Envoltória!AC48</f>
        <v>19855.150000000001</v>
      </c>
      <c r="F53" s="262">
        <f>Envoltória!D48*Envoltória!Y48</f>
        <v>60.35</v>
      </c>
      <c r="G53" s="262">
        <f>IFERROR(Envoltória!U48*F53,0)</f>
        <v>6.0350000000000001</v>
      </c>
      <c r="H53" s="262">
        <f t="shared" si="1"/>
        <v>0</v>
      </c>
      <c r="I53" s="262">
        <f t="shared" si="2"/>
        <v>0</v>
      </c>
      <c r="J53" s="262">
        <f t="shared" si="0"/>
        <v>0</v>
      </c>
      <c r="K53" s="9"/>
      <c r="L53" s="9"/>
      <c r="M53" s="9"/>
      <c r="N53" s="9"/>
      <c r="O53" s="9"/>
      <c r="P53" s="9"/>
      <c r="Q53" s="589"/>
      <c r="R53" s="590"/>
      <c r="S53" s="276"/>
      <c r="T53" s="276"/>
      <c r="U53" s="276"/>
      <c r="V53" s="276"/>
      <c r="W53" s="276"/>
      <c r="X53" s="276"/>
      <c r="Y53" s="276"/>
    </row>
    <row r="54" spans="1:25" ht="20.100000000000001" customHeight="1" x14ac:dyDescent="0.25">
      <c r="A54" s="87">
        <v>31</v>
      </c>
      <c r="B54" s="308" t="str">
        <f>IF(Envoltória!C49="","",Envoltória!C49)</f>
        <v>ZP27</v>
      </c>
      <c r="C54" s="137" t="s">
        <v>10633</v>
      </c>
      <c r="D54" s="262">
        <f>Envoltória!AB49</f>
        <v>72.32759999999999</v>
      </c>
      <c r="E54" s="262">
        <f>Envoltória!AC49</f>
        <v>101.38</v>
      </c>
      <c r="F54" s="262">
        <f>Envoltória!D49*Envoltória!Y49</f>
        <v>0.37</v>
      </c>
      <c r="G54" s="262">
        <f>IFERROR(Envoltória!U49*F54,0)</f>
        <v>3.6999999999999998E-2</v>
      </c>
      <c r="H54" s="262">
        <f t="shared" si="1"/>
        <v>0</v>
      </c>
      <c r="I54" s="262">
        <f t="shared" si="2"/>
        <v>0</v>
      </c>
      <c r="J54" s="262">
        <f t="shared" si="0"/>
        <v>0</v>
      </c>
      <c r="K54" s="9"/>
      <c r="L54" s="9"/>
      <c r="M54" s="9"/>
      <c r="N54" s="9"/>
      <c r="O54" s="9"/>
      <c r="P54" s="9"/>
      <c r="Q54" s="589" t="s">
        <v>5948</v>
      </c>
      <c r="R54" s="590">
        <f>R28</f>
        <v>10</v>
      </c>
      <c r="S54" s="276"/>
      <c r="T54" s="276"/>
      <c r="U54" s="276"/>
      <c r="V54" s="276"/>
      <c r="W54" s="276"/>
      <c r="X54" s="276"/>
      <c r="Y54" s="276"/>
    </row>
    <row r="55" spans="1:25" ht="20.100000000000001" customHeight="1" x14ac:dyDescent="0.25">
      <c r="A55" s="87">
        <v>32</v>
      </c>
      <c r="B55" s="308" t="str">
        <f>IF(Envoltória!C50="","",Envoltória!C50)</f>
        <v>ZP28</v>
      </c>
      <c r="C55" s="137" t="s">
        <v>10633</v>
      </c>
      <c r="D55" s="262">
        <f>Envoltória!AB50</f>
        <v>1772.991</v>
      </c>
      <c r="E55" s="262">
        <f>Envoltória!AC50</f>
        <v>2435.4</v>
      </c>
      <c r="F55" s="262">
        <f>Envoltória!D50*Envoltória!Y50</f>
        <v>9.9</v>
      </c>
      <c r="G55" s="262">
        <f>IFERROR(Envoltória!U50*F55,0)</f>
        <v>0.9900000000000001</v>
      </c>
      <c r="H55" s="262">
        <f t="shared" si="1"/>
        <v>0</v>
      </c>
      <c r="I55" s="262">
        <f t="shared" si="2"/>
        <v>0</v>
      </c>
      <c r="J55" s="262">
        <f t="shared" si="0"/>
        <v>0</v>
      </c>
      <c r="K55" s="9"/>
      <c r="L55" s="9"/>
      <c r="M55" s="9"/>
      <c r="N55" s="9"/>
      <c r="O55" s="9"/>
      <c r="P55" s="9"/>
      <c r="Q55" s="589"/>
      <c r="R55" s="590"/>
      <c r="S55" s="276"/>
      <c r="T55" s="276"/>
      <c r="U55" s="276"/>
      <c r="V55" s="276"/>
      <c r="W55" s="276"/>
      <c r="X55" s="276"/>
      <c r="Y55" s="276"/>
    </row>
    <row r="56" spans="1:25" ht="20.100000000000001" customHeight="1" x14ac:dyDescent="0.25">
      <c r="A56" s="87">
        <v>33</v>
      </c>
      <c r="B56" s="308" t="str">
        <f>IF(Envoltória!C51="","",Envoltória!C51)</f>
        <v>ZP29</v>
      </c>
      <c r="C56" s="137" t="s">
        <v>10633</v>
      </c>
      <c r="D56" s="262">
        <f>Envoltória!AB51</f>
        <v>7828.2398000000003</v>
      </c>
      <c r="E56" s="262">
        <f>Envoltória!AC51</f>
        <v>12279.300000000001</v>
      </c>
      <c r="F56" s="262">
        <f>Envoltória!D51*Envoltória!Y51</f>
        <v>37.21</v>
      </c>
      <c r="G56" s="262">
        <f>IFERROR(Envoltória!U51*F56,0)</f>
        <v>3.7210000000000001</v>
      </c>
      <c r="H56" s="262">
        <f t="shared" si="1"/>
        <v>0</v>
      </c>
      <c r="I56" s="262">
        <f t="shared" si="2"/>
        <v>0</v>
      </c>
      <c r="J56" s="262">
        <f t="shared" ref="J56:J87" si="3">IF(C56="Não previsto",D56/$R$32,0)</f>
        <v>0</v>
      </c>
      <c r="K56" s="9"/>
      <c r="L56" s="9"/>
      <c r="M56" s="9"/>
      <c r="N56" s="9"/>
      <c r="O56" s="9"/>
      <c r="P56" s="9"/>
      <c r="Q56" s="589" t="s">
        <v>5949</v>
      </c>
      <c r="R56" s="590">
        <f>R30</f>
        <v>260</v>
      </c>
      <c r="S56" s="276"/>
      <c r="T56" s="276"/>
      <c r="U56" s="276"/>
      <c r="V56" s="276"/>
      <c r="W56" s="276"/>
      <c r="X56" s="276"/>
      <c r="Y56" s="276"/>
    </row>
    <row r="57" spans="1:25" ht="20.100000000000001" customHeight="1" x14ac:dyDescent="0.25">
      <c r="A57" s="87">
        <v>34</v>
      </c>
      <c r="B57" s="308" t="str">
        <f>IF(Envoltória!C52="","",Envoltória!C52)</f>
        <v>ZP30</v>
      </c>
      <c r="C57" s="137" t="s">
        <v>10633</v>
      </c>
      <c r="D57" s="262">
        <f>Envoltória!AB52</f>
        <v>7752.9222000000009</v>
      </c>
      <c r="E57" s="262">
        <f>Envoltória!AC52</f>
        <v>12147.300000000001</v>
      </c>
      <c r="F57" s="262">
        <f>Envoltória!D52*Envoltória!Y52</f>
        <v>36.81</v>
      </c>
      <c r="G57" s="262">
        <f>IFERROR(Envoltória!U52*F57,0)</f>
        <v>3.6810000000000005</v>
      </c>
      <c r="H57" s="262">
        <f t="shared" si="1"/>
        <v>0</v>
      </c>
      <c r="I57" s="262">
        <f t="shared" si="2"/>
        <v>0</v>
      </c>
      <c r="J57" s="262">
        <f t="shared" si="3"/>
        <v>0</v>
      </c>
      <c r="K57" s="9"/>
      <c r="L57" s="9"/>
      <c r="M57" s="9"/>
      <c r="N57" s="9"/>
      <c r="O57" s="9"/>
      <c r="P57" s="9"/>
      <c r="Q57" s="589"/>
      <c r="R57" s="590"/>
      <c r="S57" s="276"/>
      <c r="T57" s="276"/>
      <c r="U57" s="276"/>
      <c r="V57" s="276"/>
      <c r="W57" s="276"/>
      <c r="X57" s="276"/>
      <c r="Y57" s="276"/>
    </row>
    <row r="58" spans="1:25" ht="20.100000000000001" customHeight="1" x14ac:dyDescent="0.25">
      <c r="A58" s="87">
        <v>35</v>
      </c>
      <c r="B58" s="308" t="str">
        <f>IF(Envoltória!C53="","",Envoltória!C53)</f>
        <v>ZP31</v>
      </c>
      <c r="C58" s="137" t="s">
        <v>10633</v>
      </c>
      <c r="D58" s="262">
        <f>Envoltória!AB53</f>
        <v>1859.6623</v>
      </c>
      <c r="E58" s="262">
        <f>Envoltória!AC53</f>
        <v>2517.5299999999997</v>
      </c>
      <c r="F58" s="262">
        <f>Envoltória!D53*Envoltória!Y53</f>
        <v>10.029999999999999</v>
      </c>
      <c r="G58" s="262">
        <f>IFERROR(Envoltória!U53*F58,0)</f>
        <v>1.0029999999999999</v>
      </c>
      <c r="H58" s="262">
        <f t="shared" si="1"/>
        <v>0</v>
      </c>
      <c r="I58" s="262">
        <f t="shared" si="2"/>
        <v>0</v>
      </c>
      <c r="J58" s="262">
        <f t="shared" si="3"/>
        <v>0</v>
      </c>
      <c r="K58" s="9"/>
      <c r="L58" s="9"/>
      <c r="M58" s="9"/>
      <c r="N58" s="9"/>
      <c r="O58" s="9"/>
      <c r="P58" s="9"/>
      <c r="Q58" s="589" t="s">
        <v>5958</v>
      </c>
      <c r="R58" s="590">
        <f>R48</f>
        <v>3.24</v>
      </c>
      <c r="S58" s="276"/>
      <c r="T58" s="276"/>
      <c r="U58" s="276"/>
      <c r="V58" s="276"/>
      <c r="W58" s="276"/>
      <c r="X58" s="276"/>
      <c r="Y58" s="276"/>
    </row>
    <row r="59" spans="1:25" ht="20.100000000000001" customHeight="1" x14ac:dyDescent="0.25">
      <c r="A59" s="87">
        <v>36</v>
      </c>
      <c r="B59" s="308" t="str">
        <f>IF(Envoltória!C54="","",Envoltória!C54)</f>
        <v>ZP32</v>
      </c>
      <c r="C59" s="137" t="s">
        <v>10633</v>
      </c>
      <c r="D59" s="262">
        <f>Envoltória!AB54</f>
        <v>72.32759999999999</v>
      </c>
      <c r="E59" s="262">
        <f>Envoltória!AC54</f>
        <v>101.38</v>
      </c>
      <c r="F59" s="262">
        <f>Envoltória!D54*Envoltória!Y54</f>
        <v>0.37</v>
      </c>
      <c r="G59" s="262">
        <f>IFERROR(Envoltória!U54*F59,0)</f>
        <v>3.6999999999999998E-2</v>
      </c>
      <c r="H59" s="262">
        <f t="shared" si="1"/>
        <v>0</v>
      </c>
      <c r="I59" s="262">
        <f t="shared" si="2"/>
        <v>0</v>
      </c>
      <c r="J59" s="262">
        <f t="shared" si="3"/>
        <v>0</v>
      </c>
      <c r="K59" s="9"/>
      <c r="L59" s="9"/>
      <c r="M59" s="9"/>
      <c r="N59" s="9"/>
      <c r="O59" s="9"/>
      <c r="P59" s="9"/>
      <c r="Q59" s="589"/>
      <c r="R59" s="590"/>
      <c r="S59" s="276"/>
      <c r="T59" s="276"/>
      <c r="U59" s="276"/>
      <c r="V59" s="276"/>
      <c r="W59" s="276"/>
      <c r="X59" s="276"/>
      <c r="Y59" s="276"/>
    </row>
    <row r="60" spans="1:25" ht="20.100000000000001" customHeight="1" x14ac:dyDescent="0.25">
      <c r="A60" s="87">
        <v>37</v>
      </c>
      <c r="B60" s="308" t="str">
        <f>IF(Envoltória!C55="","",Envoltória!C55)</f>
        <v>ZP33</v>
      </c>
      <c r="C60" s="137" t="s">
        <v>10633</v>
      </c>
      <c r="D60" s="262">
        <f>Envoltória!AB55</f>
        <v>9728.0149999999994</v>
      </c>
      <c r="E60" s="262">
        <f>Envoltória!AC55</f>
        <v>13861</v>
      </c>
      <c r="F60" s="262">
        <f>Envoltória!D55*Envoltória!Y55</f>
        <v>41.5</v>
      </c>
      <c r="G60" s="262">
        <f>IFERROR(Envoltória!U55*F60,0)</f>
        <v>4.1500000000000004</v>
      </c>
      <c r="H60" s="262">
        <f t="shared" si="1"/>
        <v>0</v>
      </c>
      <c r="I60" s="262">
        <f t="shared" si="2"/>
        <v>0</v>
      </c>
      <c r="J60" s="262">
        <f t="shared" si="3"/>
        <v>0</v>
      </c>
      <c r="K60" s="9"/>
      <c r="L60" s="9"/>
      <c r="M60" s="9"/>
      <c r="N60" s="9"/>
      <c r="O60" s="9"/>
      <c r="P60" s="9"/>
      <c r="Q60" s="601" t="s">
        <v>5996</v>
      </c>
      <c r="R60" s="599">
        <f>IFERROR((R46/R58)+(R52*R54*R56/1000),0)</f>
        <v>0</v>
      </c>
      <c r="S60" s="276"/>
      <c r="T60" s="276"/>
      <c r="U60" s="276"/>
      <c r="V60" s="276"/>
      <c r="W60" s="276"/>
      <c r="X60" s="276"/>
      <c r="Y60" s="276"/>
    </row>
    <row r="61" spans="1:25" ht="20.100000000000001" customHeight="1" x14ac:dyDescent="0.25">
      <c r="A61" s="87">
        <v>38</v>
      </c>
      <c r="B61" s="308" t="str">
        <f>IF(Envoltória!C56="","",Envoltória!C56)</f>
        <v>ZP34</v>
      </c>
      <c r="C61" s="137" t="s">
        <v>10633</v>
      </c>
      <c r="D61" s="262">
        <f>Envoltória!AB56</f>
        <v>3063.9875000000002</v>
      </c>
      <c r="E61" s="262">
        <f>Envoltória!AC56</f>
        <v>4350.05</v>
      </c>
      <c r="F61" s="262">
        <f>Envoltória!D56*Envoltória!Y56</f>
        <v>18.05</v>
      </c>
      <c r="G61" s="262">
        <f>IFERROR(Envoltória!U56*F61,0)</f>
        <v>1.8050000000000002</v>
      </c>
      <c r="H61" s="262">
        <f t="shared" si="1"/>
        <v>0</v>
      </c>
      <c r="I61" s="262">
        <f t="shared" si="2"/>
        <v>0</v>
      </c>
      <c r="J61" s="262">
        <f t="shared" si="3"/>
        <v>0</v>
      </c>
      <c r="K61" s="9"/>
      <c r="L61" s="9"/>
      <c r="M61" s="9"/>
      <c r="N61" s="9"/>
      <c r="O61" s="9"/>
      <c r="P61" s="9"/>
      <c r="Q61" s="601"/>
      <c r="R61" s="599"/>
      <c r="S61" s="276"/>
      <c r="T61" s="276"/>
      <c r="U61" s="276"/>
      <c r="V61" s="276"/>
      <c r="W61" s="276"/>
      <c r="X61" s="276"/>
      <c r="Y61" s="276"/>
    </row>
    <row r="62" spans="1:25" ht="20.100000000000001" customHeight="1" x14ac:dyDescent="0.25">
      <c r="A62" s="87">
        <v>39</v>
      </c>
      <c r="B62" s="308" t="str">
        <f>IF(Envoltória!C57="","",Envoltória!C57)</f>
        <v>ZP35</v>
      </c>
      <c r="C62" s="137" t="s">
        <v>10633</v>
      </c>
      <c r="D62" s="262">
        <f>Envoltória!AB57</f>
        <v>9548.5635000000002</v>
      </c>
      <c r="E62" s="262">
        <f>Envoltória!AC57</f>
        <v>16500.600000000002</v>
      </c>
      <c r="F62" s="262">
        <f>Envoltória!D57*Envoltória!Y57</f>
        <v>46.35</v>
      </c>
      <c r="G62" s="262">
        <f>IFERROR(Envoltória!U57*F62,0)</f>
        <v>4.6350000000000007</v>
      </c>
      <c r="H62" s="262">
        <f t="shared" si="1"/>
        <v>0</v>
      </c>
      <c r="I62" s="262">
        <f t="shared" si="2"/>
        <v>0</v>
      </c>
      <c r="J62" s="262">
        <f t="shared" si="3"/>
        <v>0</v>
      </c>
      <c r="K62" s="9"/>
      <c r="L62" s="9"/>
      <c r="M62" s="9"/>
      <c r="N62" s="9"/>
      <c r="O62" s="9"/>
      <c r="P62" s="9"/>
      <c r="Q62" s="276"/>
      <c r="R62" s="276"/>
      <c r="S62" s="276"/>
      <c r="T62" s="276"/>
      <c r="U62" s="276"/>
      <c r="V62" s="276"/>
      <c r="W62" s="276"/>
      <c r="X62" s="276"/>
      <c r="Y62" s="276"/>
    </row>
    <row r="63" spans="1:25" ht="20.100000000000001" customHeight="1" x14ac:dyDescent="0.25">
      <c r="A63" s="87">
        <v>40</v>
      </c>
      <c r="B63" s="308" t="str">
        <f>IF(Envoltória!C58="","",Envoltória!C58)</f>
        <v>ZP36</v>
      </c>
      <c r="C63" s="137" t="s">
        <v>10633</v>
      </c>
      <c r="D63" s="262">
        <f>Envoltória!AB58</f>
        <v>295.33920000000001</v>
      </c>
      <c r="E63" s="262">
        <f>Envoltória!AC58</f>
        <v>418.08000000000004</v>
      </c>
      <c r="F63" s="262">
        <f>Envoltória!D58*Envoltória!Y58</f>
        <v>1.56</v>
      </c>
      <c r="G63" s="262">
        <f>IFERROR(Envoltória!U58*F63,0)</f>
        <v>0.15600000000000003</v>
      </c>
      <c r="H63" s="262">
        <f t="shared" si="1"/>
        <v>0</v>
      </c>
      <c r="I63" s="262">
        <f t="shared" si="2"/>
        <v>0</v>
      </c>
      <c r="J63" s="262">
        <f t="shared" si="3"/>
        <v>0</v>
      </c>
      <c r="K63" s="9"/>
      <c r="L63" s="9"/>
      <c r="M63" s="9"/>
      <c r="N63" s="9"/>
      <c r="O63" s="9"/>
      <c r="P63" s="9"/>
      <c r="Q63" s="276"/>
      <c r="R63" s="276"/>
      <c r="S63" s="276"/>
      <c r="T63" s="276"/>
      <c r="U63" s="276"/>
      <c r="V63" s="276"/>
      <c r="W63" s="276"/>
      <c r="X63" s="276"/>
      <c r="Y63" s="276"/>
    </row>
    <row r="64" spans="1:25" ht="20.100000000000001" customHeight="1" x14ac:dyDescent="0.25">
      <c r="A64" s="87">
        <v>41</v>
      </c>
      <c r="B64" s="308" t="str">
        <f>IF(Envoltória!C59="","",Envoltória!C59)</f>
        <v>Zi5</v>
      </c>
      <c r="C64" s="137" t="s">
        <v>10633</v>
      </c>
      <c r="D64" s="262">
        <f>Envoltória!AB59</f>
        <v>47261.811599999994</v>
      </c>
      <c r="E64" s="262">
        <f>Envoltória!AC59</f>
        <v>57946.979999999996</v>
      </c>
      <c r="F64" s="262">
        <f>Envoltória!D59*Envoltória!Y59</f>
        <v>318.39</v>
      </c>
      <c r="G64" s="262">
        <f>IFERROR(Envoltória!U59*F64,0)</f>
        <v>31.838999999999999</v>
      </c>
      <c r="H64" s="262">
        <f t="shared" si="1"/>
        <v>0</v>
      </c>
      <c r="I64" s="262">
        <f t="shared" si="2"/>
        <v>0</v>
      </c>
      <c r="J64" s="262">
        <f t="shared" si="3"/>
        <v>0</v>
      </c>
      <c r="K64" s="9"/>
      <c r="L64" s="9"/>
      <c r="M64" s="9"/>
      <c r="N64" s="9"/>
      <c r="O64" s="9"/>
      <c r="P64" s="9"/>
      <c r="Q64" s="276"/>
      <c r="R64" s="276"/>
      <c r="S64" s="276"/>
      <c r="T64" s="276"/>
      <c r="U64" s="276"/>
      <c r="V64" s="276"/>
      <c r="W64" s="276"/>
      <c r="X64" s="276"/>
      <c r="Y64" s="276"/>
    </row>
    <row r="65" spans="1:25" ht="20.100000000000001" customHeight="1" x14ac:dyDescent="0.25">
      <c r="A65" s="87">
        <v>42</v>
      </c>
      <c r="B65" s="308" t="str">
        <f>IF(Envoltória!C60="","",Envoltória!C60)</f>
        <v/>
      </c>
      <c r="C65" s="137"/>
      <c r="D65" s="262">
        <f>Envoltória!AB60</f>
        <v>0</v>
      </c>
      <c r="E65" s="262">
        <f>Envoltória!AC60</f>
        <v>0</v>
      </c>
      <c r="F65" s="262">
        <f>Envoltória!D60*Envoltória!Y60</f>
        <v>0</v>
      </c>
      <c r="G65" s="262">
        <f>IFERROR(Envoltória!U60*F65,0)</f>
        <v>0</v>
      </c>
      <c r="H65" s="262">
        <f t="shared" si="1"/>
        <v>0</v>
      </c>
      <c r="I65" s="262">
        <f t="shared" si="2"/>
        <v>0</v>
      </c>
      <c r="J65" s="262">
        <f t="shared" si="3"/>
        <v>0</v>
      </c>
      <c r="K65" s="9"/>
      <c r="L65" s="9"/>
      <c r="M65" s="9"/>
      <c r="N65" s="9"/>
      <c r="O65" s="9"/>
      <c r="P65" s="9"/>
      <c r="Q65" s="276"/>
      <c r="R65" s="276"/>
      <c r="S65" s="276"/>
      <c r="T65" s="276"/>
      <c r="U65" s="276"/>
      <c r="V65" s="276"/>
      <c r="W65" s="276"/>
      <c r="X65" s="276"/>
      <c r="Y65" s="276"/>
    </row>
    <row r="66" spans="1:25" ht="20.100000000000001" customHeight="1" x14ac:dyDescent="0.25">
      <c r="A66" s="87">
        <v>43</v>
      </c>
      <c r="B66" s="308" t="str">
        <f>IF(Envoltória!C61="","",Envoltória!C61)</f>
        <v/>
      </c>
      <c r="C66" s="137"/>
      <c r="D66" s="262" t="str">
        <f>Envoltória!AB61</f>
        <v/>
      </c>
      <c r="E66" s="262" t="str">
        <f>Envoltória!AC61</f>
        <v/>
      </c>
      <c r="F66" s="262">
        <f>Envoltória!D61*Envoltória!Y61</f>
        <v>0</v>
      </c>
      <c r="G66" s="262">
        <f>IFERROR(Envoltória!U61*F66,0)</f>
        <v>0</v>
      </c>
      <c r="H66" s="262">
        <f t="shared" si="1"/>
        <v>0</v>
      </c>
      <c r="I66" s="262">
        <f t="shared" si="2"/>
        <v>0</v>
      </c>
      <c r="J66" s="262">
        <f t="shared" si="3"/>
        <v>0</v>
      </c>
      <c r="K66" s="9"/>
      <c r="L66" s="9"/>
      <c r="M66" s="9"/>
      <c r="N66" s="9"/>
      <c r="O66" s="9"/>
      <c r="P66" s="9"/>
      <c r="Q66" s="276"/>
      <c r="R66" s="276"/>
      <c r="S66" s="276"/>
      <c r="T66" s="276"/>
      <c r="U66" s="276"/>
      <c r="V66" s="276"/>
      <c r="W66" s="276"/>
      <c r="X66" s="276"/>
      <c r="Y66" s="276"/>
    </row>
    <row r="67" spans="1:25" ht="20.100000000000001" customHeight="1" x14ac:dyDescent="0.25">
      <c r="A67" s="87">
        <v>44</v>
      </c>
      <c r="B67" s="308" t="str">
        <f>IF(Envoltória!C62="","",Envoltória!C62)</f>
        <v/>
      </c>
      <c r="C67" s="137"/>
      <c r="D67" s="262" t="str">
        <f>Envoltória!AB62</f>
        <v/>
      </c>
      <c r="E67" s="262" t="str">
        <f>Envoltória!AC62</f>
        <v/>
      </c>
      <c r="F67" s="262">
        <f>Envoltória!D62*Envoltória!Y62</f>
        <v>0</v>
      </c>
      <c r="G67" s="262">
        <f>IFERROR(Envoltória!U62*F67,0)</f>
        <v>0</v>
      </c>
      <c r="H67" s="262">
        <f t="shared" si="1"/>
        <v>0</v>
      </c>
      <c r="I67" s="262">
        <f t="shared" si="2"/>
        <v>0</v>
      </c>
      <c r="J67" s="262">
        <f t="shared" si="3"/>
        <v>0</v>
      </c>
      <c r="K67" s="9"/>
      <c r="L67" s="9"/>
      <c r="M67" s="9"/>
      <c r="N67" s="9"/>
      <c r="O67" s="9"/>
      <c r="P67" s="9"/>
      <c r="Q67" s="276"/>
      <c r="R67" s="276"/>
      <c r="S67" s="276"/>
      <c r="T67" s="276"/>
      <c r="U67" s="276"/>
      <c r="V67" s="276"/>
      <c r="W67" s="276"/>
      <c r="X67" s="276"/>
      <c r="Y67" s="276"/>
    </row>
    <row r="68" spans="1:25" ht="20.100000000000001" customHeight="1" x14ac:dyDescent="0.25">
      <c r="A68" s="87">
        <v>45</v>
      </c>
      <c r="B68" s="308" t="str">
        <f>IF(Envoltória!C63="","",Envoltória!C63)</f>
        <v/>
      </c>
      <c r="C68" s="137"/>
      <c r="D68" s="262" t="str">
        <f>Envoltória!AB63</f>
        <v/>
      </c>
      <c r="E68" s="262" t="str">
        <f>Envoltória!AC63</f>
        <v/>
      </c>
      <c r="F68" s="262">
        <f>Envoltória!D63*Envoltória!Y63</f>
        <v>0</v>
      </c>
      <c r="G68" s="262">
        <f>IFERROR(Envoltória!U63*F68,0)</f>
        <v>0</v>
      </c>
      <c r="H68" s="262">
        <f t="shared" si="1"/>
        <v>0</v>
      </c>
      <c r="I68" s="262">
        <f t="shared" si="2"/>
        <v>0</v>
      </c>
      <c r="J68" s="262">
        <f t="shared" si="3"/>
        <v>0</v>
      </c>
      <c r="K68" s="9"/>
      <c r="L68" s="9"/>
      <c r="M68" s="9"/>
      <c r="N68" s="9"/>
      <c r="O68" s="9"/>
      <c r="P68" s="9"/>
      <c r="Q68" s="276"/>
      <c r="R68" s="276"/>
      <c r="S68" s="276"/>
      <c r="T68" s="276"/>
      <c r="U68" s="276"/>
      <c r="V68" s="276"/>
      <c r="W68" s="276"/>
      <c r="X68" s="276"/>
      <c r="Y68" s="276"/>
    </row>
    <row r="69" spans="1:25" ht="20.100000000000001" customHeight="1" x14ac:dyDescent="0.25">
      <c r="A69" s="87">
        <v>46</v>
      </c>
      <c r="B69" s="308" t="str">
        <f>IF(Envoltória!C64="","",Envoltória!C64)</f>
        <v/>
      </c>
      <c r="C69" s="137"/>
      <c r="D69" s="262" t="str">
        <f>Envoltória!AB64</f>
        <v/>
      </c>
      <c r="E69" s="262" t="str">
        <f>Envoltória!AC64</f>
        <v/>
      </c>
      <c r="F69" s="262">
        <f>Envoltória!D64*Envoltória!Y64</f>
        <v>0</v>
      </c>
      <c r="G69" s="262">
        <f>IFERROR(Envoltória!U64*F69,0)</f>
        <v>0</v>
      </c>
      <c r="H69" s="262">
        <f t="shared" si="1"/>
        <v>0</v>
      </c>
      <c r="I69" s="262">
        <f t="shared" si="2"/>
        <v>0</v>
      </c>
      <c r="J69" s="262">
        <f t="shared" si="3"/>
        <v>0</v>
      </c>
      <c r="K69" s="9"/>
      <c r="L69" s="9"/>
      <c r="M69" s="9"/>
      <c r="N69" s="9"/>
      <c r="O69" s="9"/>
      <c r="P69" s="9"/>
      <c r="Q69" s="276"/>
      <c r="R69" s="276"/>
      <c r="S69" s="276"/>
      <c r="T69" s="276"/>
      <c r="U69" s="276"/>
      <c r="V69" s="276"/>
      <c r="W69" s="276"/>
      <c r="X69" s="276"/>
      <c r="Y69" s="276"/>
    </row>
    <row r="70" spans="1:25" ht="20.100000000000001" customHeight="1" x14ac:dyDescent="0.25">
      <c r="A70" s="87">
        <v>47</v>
      </c>
      <c r="B70" s="308" t="str">
        <f>IF(Envoltória!C65="","",Envoltória!C65)</f>
        <v/>
      </c>
      <c r="C70" s="137"/>
      <c r="D70" s="262" t="str">
        <f>Envoltória!AB65</f>
        <v/>
      </c>
      <c r="E70" s="262" t="str">
        <f>Envoltória!AC65</f>
        <v/>
      </c>
      <c r="F70" s="262">
        <f>Envoltória!D65*Envoltória!Y65</f>
        <v>0</v>
      </c>
      <c r="G70" s="262">
        <f>IFERROR(Envoltória!U65*F70,0)</f>
        <v>0</v>
      </c>
      <c r="H70" s="262">
        <f t="shared" si="1"/>
        <v>0</v>
      </c>
      <c r="I70" s="262">
        <f t="shared" si="2"/>
        <v>0</v>
      </c>
      <c r="J70" s="262">
        <f t="shared" si="3"/>
        <v>0</v>
      </c>
      <c r="K70" s="9"/>
      <c r="L70" s="9"/>
      <c r="M70" s="9"/>
      <c r="N70" s="9"/>
      <c r="O70" s="9"/>
      <c r="P70" s="9"/>
      <c r="Q70" s="276"/>
      <c r="R70" s="276"/>
      <c r="S70" s="276"/>
      <c r="T70" s="276"/>
      <c r="U70" s="276"/>
      <c r="V70" s="276"/>
      <c r="W70" s="276"/>
      <c r="X70" s="276"/>
      <c r="Y70" s="276"/>
    </row>
    <row r="71" spans="1:25" ht="20.100000000000001" customHeight="1" x14ac:dyDescent="0.25">
      <c r="A71" s="87">
        <v>48</v>
      </c>
      <c r="B71" s="308" t="str">
        <f>IF(Envoltória!C66="","",Envoltória!C66)</f>
        <v/>
      </c>
      <c r="C71" s="137"/>
      <c r="D71" s="262" t="str">
        <f>Envoltória!AB66</f>
        <v/>
      </c>
      <c r="E71" s="262" t="str">
        <f>Envoltória!AC66</f>
        <v/>
      </c>
      <c r="F71" s="262">
        <f>Envoltória!D66*Envoltória!Y66</f>
        <v>0</v>
      </c>
      <c r="G71" s="262">
        <f>IFERROR(Envoltória!U66*F71,0)</f>
        <v>0</v>
      </c>
      <c r="H71" s="262">
        <f t="shared" si="1"/>
        <v>0</v>
      </c>
      <c r="I71" s="262">
        <f t="shared" si="2"/>
        <v>0</v>
      </c>
      <c r="J71" s="262">
        <f t="shared" si="3"/>
        <v>0</v>
      </c>
      <c r="K71" s="9"/>
      <c r="L71" s="9"/>
      <c r="M71" s="9"/>
      <c r="N71" s="9"/>
      <c r="O71" s="9"/>
      <c r="P71" s="9"/>
      <c r="Q71" s="276"/>
      <c r="R71" s="276"/>
      <c r="S71" s="276"/>
      <c r="T71" s="276"/>
      <c r="U71" s="276"/>
      <c r="V71" s="276"/>
      <c r="W71" s="276"/>
      <c r="X71" s="276"/>
      <c r="Y71" s="276"/>
    </row>
    <row r="72" spans="1:25" ht="20.100000000000001" customHeight="1" x14ac:dyDescent="0.25">
      <c r="A72" s="87">
        <v>49</v>
      </c>
      <c r="B72" s="308" t="str">
        <f>IF(Envoltória!C67="","",Envoltória!C67)</f>
        <v/>
      </c>
      <c r="C72" s="137"/>
      <c r="D72" s="262" t="str">
        <f>Envoltória!AB67</f>
        <v/>
      </c>
      <c r="E72" s="262" t="str">
        <f>Envoltória!AC67</f>
        <v/>
      </c>
      <c r="F72" s="262">
        <f>Envoltória!D67*Envoltória!Y67</f>
        <v>0</v>
      </c>
      <c r="G72" s="262">
        <f>IFERROR(Envoltória!U67*F72,0)</f>
        <v>0</v>
      </c>
      <c r="H72" s="262">
        <f t="shared" si="1"/>
        <v>0</v>
      </c>
      <c r="I72" s="262">
        <f t="shared" si="2"/>
        <v>0</v>
      </c>
      <c r="J72" s="262">
        <f t="shared" si="3"/>
        <v>0</v>
      </c>
      <c r="K72" s="9"/>
      <c r="L72" s="9"/>
      <c r="M72" s="9"/>
      <c r="N72" s="9"/>
      <c r="O72" s="9"/>
      <c r="P72" s="9"/>
      <c r="Q72" s="276"/>
      <c r="R72" s="276"/>
      <c r="S72" s="276"/>
      <c r="T72" s="276"/>
      <c r="U72" s="276"/>
      <c r="V72" s="276"/>
      <c r="W72" s="276"/>
      <c r="X72" s="276"/>
      <c r="Y72" s="276"/>
    </row>
    <row r="73" spans="1:25" ht="20.100000000000001" customHeight="1" x14ac:dyDescent="0.25">
      <c r="A73" s="87">
        <v>50</v>
      </c>
      <c r="B73" s="308" t="str">
        <f>IF(Envoltória!C68="","",Envoltória!C68)</f>
        <v/>
      </c>
      <c r="C73" s="137"/>
      <c r="D73" s="262" t="str">
        <f>Envoltória!AB68</f>
        <v/>
      </c>
      <c r="E73" s="262" t="str">
        <f>Envoltória!AC68</f>
        <v/>
      </c>
      <c r="F73" s="262">
        <f>Envoltória!D68*Envoltória!Y68</f>
        <v>0</v>
      </c>
      <c r="G73" s="262">
        <f>IFERROR(Envoltória!U68*F73,0)</f>
        <v>0</v>
      </c>
      <c r="H73" s="262">
        <f t="shared" si="1"/>
        <v>0</v>
      </c>
      <c r="I73" s="262">
        <f t="shared" si="2"/>
        <v>0</v>
      </c>
      <c r="J73" s="262">
        <f t="shared" si="3"/>
        <v>0</v>
      </c>
      <c r="K73" s="9"/>
      <c r="L73" s="9"/>
      <c r="M73" s="9"/>
      <c r="N73" s="9"/>
      <c r="O73" s="9"/>
      <c r="P73" s="9"/>
      <c r="Q73" s="276"/>
      <c r="R73" s="276"/>
      <c r="S73" s="276"/>
      <c r="T73" s="276"/>
      <c r="U73" s="276"/>
      <c r="V73" s="276"/>
      <c r="W73" s="276"/>
      <c r="X73" s="276"/>
      <c r="Y73" s="276"/>
    </row>
    <row r="74" spans="1:25" ht="20.100000000000001" customHeight="1" x14ac:dyDescent="0.25">
      <c r="A74" s="87">
        <v>51</v>
      </c>
      <c r="B74" s="308" t="str">
        <f>IF(Envoltória!C69="","",Envoltória!C69)</f>
        <v/>
      </c>
      <c r="C74" s="137"/>
      <c r="D74" s="262" t="str">
        <f>Envoltória!AB69</f>
        <v/>
      </c>
      <c r="E74" s="262" t="str">
        <f>Envoltória!AC69</f>
        <v/>
      </c>
      <c r="F74" s="262">
        <f>Envoltória!D69*Envoltória!Y69</f>
        <v>0</v>
      </c>
      <c r="G74" s="262">
        <f>IFERROR(Envoltória!U69*F74,0)</f>
        <v>0</v>
      </c>
      <c r="H74" s="262">
        <f t="shared" si="1"/>
        <v>0</v>
      </c>
      <c r="I74" s="262">
        <f t="shared" si="2"/>
        <v>0</v>
      </c>
      <c r="J74" s="262">
        <f t="shared" si="3"/>
        <v>0</v>
      </c>
      <c r="K74" s="9"/>
      <c r="L74" s="9"/>
      <c r="M74" s="9"/>
      <c r="N74" s="9"/>
      <c r="O74" s="9"/>
      <c r="P74" s="9"/>
      <c r="Q74" s="276"/>
      <c r="R74" s="276"/>
      <c r="S74" s="276"/>
      <c r="T74" s="276"/>
      <c r="U74" s="276"/>
      <c r="V74" s="276"/>
      <c r="W74" s="276"/>
      <c r="X74" s="276"/>
      <c r="Y74" s="276"/>
    </row>
    <row r="75" spans="1:25" ht="20.100000000000001" customHeight="1" x14ac:dyDescent="0.25">
      <c r="A75" s="87">
        <v>52</v>
      </c>
      <c r="B75" s="308" t="str">
        <f>IF(Envoltória!C70="","",Envoltória!C70)</f>
        <v/>
      </c>
      <c r="C75" s="137"/>
      <c r="D75" s="262" t="str">
        <f>Envoltória!AB70</f>
        <v/>
      </c>
      <c r="E75" s="262" t="str">
        <f>Envoltória!AC70</f>
        <v/>
      </c>
      <c r="F75" s="262">
        <f>Envoltória!D70*Envoltória!Y70</f>
        <v>0</v>
      </c>
      <c r="G75" s="262">
        <f>IFERROR(Envoltória!U70*F75,0)</f>
        <v>0</v>
      </c>
      <c r="H75" s="262">
        <f t="shared" si="1"/>
        <v>0</v>
      </c>
      <c r="I75" s="262">
        <f t="shared" si="2"/>
        <v>0</v>
      </c>
      <c r="J75" s="262">
        <f t="shared" si="3"/>
        <v>0</v>
      </c>
      <c r="K75" s="9"/>
      <c r="L75" s="9"/>
      <c r="M75" s="9"/>
      <c r="N75" s="9"/>
      <c r="O75" s="9"/>
      <c r="P75" s="9"/>
      <c r="Q75" s="276"/>
      <c r="R75" s="276"/>
      <c r="S75" s="276"/>
      <c r="T75" s="276"/>
      <c r="U75" s="276"/>
      <c r="V75" s="276"/>
      <c r="W75" s="276"/>
      <c r="X75" s="276"/>
      <c r="Y75" s="276"/>
    </row>
    <row r="76" spans="1:25" ht="20.100000000000001" customHeight="1" x14ac:dyDescent="0.25">
      <c r="A76" s="87">
        <v>53</v>
      </c>
      <c r="B76" s="308" t="str">
        <f>IF(Envoltória!C71="","",Envoltória!C71)</f>
        <v/>
      </c>
      <c r="C76" s="137"/>
      <c r="D76" s="262" t="str">
        <f>Envoltória!AB71</f>
        <v/>
      </c>
      <c r="E76" s="262" t="str">
        <f>Envoltória!AC71</f>
        <v/>
      </c>
      <c r="F76" s="262">
        <f>Envoltória!D71*Envoltória!Y71</f>
        <v>0</v>
      </c>
      <c r="G76" s="262">
        <f>IFERROR(Envoltória!U71*F76,0)</f>
        <v>0</v>
      </c>
      <c r="H76" s="262">
        <f t="shared" si="1"/>
        <v>0</v>
      </c>
      <c r="I76" s="262">
        <f t="shared" si="2"/>
        <v>0</v>
      </c>
      <c r="J76" s="262">
        <f t="shared" si="3"/>
        <v>0</v>
      </c>
      <c r="K76" s="9"/>
      <c r="L76" s="9"/>
      <c r="M76" s="9"/>
      <c r="N76" s="9"/>
      <c r="O76" s="9"/>
      <c r="P76" s="9"/>
      <c r="Q76" s="276"/>
      <c r="R76" s="276"/>
      <c r="S76" s="276"/>
      <c r="T76" s="276"/>
      <c r="U76" s="276"/>
      <c r="V76" s="276"/>
      <c r="W76" s="276"/>
      <c r="X76" s="276"/>
      <c r="Y76" s="276"/>
    </row>
    <row r="77" spans="1:25" ht="20.100000000000001" customHeight="1" x14ac:dyDescent="0.25">
      <c r="A77" s="87">
        <v>54</v>
      </c>
      <c r="B77" s="308" t="str">
        <f>IF(Envoltória!C72="","",Envoltória!C72)</f>
        <v/>
      </c>
      <c r="C77" s="137"/>
      <c r="D77" s="262" t="str">
        <f>Envoltória!AB72</f>
        <v/>
      </c>
      <c r="E77" s="262" t="str">
        <f>Envoltória!AC72</f>
        <v/>
      </c>
      <c r="F77" s="262">
        <f>Envoltória!D72*Envoltória!Y72</f>
        <v>0</v>
      </c>
      <c r="G77" s="262">
        <f>IFERROR(Envoltória!U72*F77,0)</f>
        <v>0</v>
      </c>
      <c r="H77" s="262">
        <f t="shared" si="1"/>
        <v>0</v>
      </c>
      <c r="I77" s="262">
        <f t="shared" si="2"/>
        <v>0</v>
      </c>
      <c r="J77" s="262">
        <f t="shared" si="3"/>
        <v>0</v>
      </c>
      <c r="K77" s="9"/>
      <c r="L77" s="9"/>
      <c r="M77" s="9"/>
      <c r="N77" s="9"/>
      <c r="O77" s="9"/>
      <c r="P77" s="9"/>
      <c r="Q77" s="276"/>
      <c r="R77" s="276"/>
      <c r="S77" s="276"/>
      <c r="T77" s="276"/>
      <c r="U77" s="276"/>
      <c r="V77" s="276"/>
      <c r="W77" s="276"/>
      <c r="X77" s="276"/>
      <c r="Y77" s="276"/>
    </row>
    <row r="78" spans="1:25" ht="20.100000000000001" customHeight="1" x14ac:dyDescent="0.25">
      <c r="A78" s="87">
        <v>55</v>
      </c>
      <c r="B78" s="308" t="str">
        <f>IF(Envoltória!C73="","",Envoltória!C73)</f>
        <v/>
      </c>
      <c r="C78" s="137"/>
      <c r="D78" s="262" t="str">
        <f>Envoltória!AB73</f>
        <v/>
      </c>
      <c r="E78" s="262" t="str">
        <f>Envoltória!AC73</f>
        <v/>
      </c>
      <c r="F78" s="262">
        <f>Envoltória!D73*Envoltória!Y73</f>
        <v>0</v>
      </c>
      <c r="G78" s="262">
        <f>IFERROR(Envoltória!U73*F78,0)</f>
        <v>0</v>
      </c>
      <c r="H78" s="262">
        <f t="shared" si="1"/>
        <v>0</v>
      </c>
      <c r="I78" s="262">
        <f t="shared" si="2"/>
        <v>0</v>
      </c>
      <c r="J78" s="262">
        <f t="shared" si="3"/>
        <v>0</v>
      </c>
      <c r="K78" s="9"/>
      <c r="L78" s="9"/>
      <c r="M78" s="9"/>
      <c r="N78" s="9"/>
      <c r="O78" s="9"/>
      <c r="P78" s="9"/>
      <c r="Q78" s="276"/>
      <c r="R78" s="276"/>
      <c r="S78" s="276"/>
      <c r="T78" s="276"/>
      <c r="U78" s="276"/>
      <c r="V78" s="276"/>
      <c r="W78" s="276"/>
      <c r="X78" s="276"/>
      <c r="Y78" s="276"/>
    </row>
    <row r="79" spans="1:25" ht="20.100000000000001" customHeight="1" x14ac:dyDescent="0.25">
      <c r="A79" s="87">
        <v>56</v>
      </c>
      <c r="B79" s="308" t="str">
        <f>IF(Envoltória!C74="","",Envoltória!C74)</f>
        <v/>
      </c>
      <c r="C79" s="137"/>
      <c r="D79" s="262" t="str">
        <f>Envoltória!AB74</f>
        <v/>
      </c>
      <c r="E79" s="262" t="str">
        <f>Envoltória!AC74</f>
        <v/>
      </c>
      <c r="F79" s="262">
        <f>Envoltória!D74*Envoltória!Y74</f>
        <v>0</v>
      </c>
      <c r="G79" s="262">
        <f>IFERROR(Envoltória!U74*F79,0)</f>
        <v>0</v>
      </c>
      <c r="H79" s="262">
        <f t="shared" si="1"/>
        <v>0</v>
      </c>
      <c r="I79" s="262">
        <f t="shared" si="2"/>
        <v>0</v>
      </c>
      <c r="J79" s="262">
        <f t="shared" si="3"/>
        <v>0</v>
      </c>
      <c r="K79" s="9"/>
      <c r="L79" s="9"/>
      <c r="M79" s="9"/>
      <c r="N79" s="9"/>
      <c r="O79" s="9"/>
      <c r="P79" s="9"/>
      <c r="Q79" s="276"/>
      <c r="R79" s="276"/>
      <c r="S79" s="276"/>
      <c r="T79" s="276"/>
      <c r="U79" s="276"/>
      <c r="V79" s="276"/>
      <c r="W79" s="276"/>
      <c r="X79" s="276"/>
      <c r="Y79" s="276"/>
    </row>
    <row r="80" spans="1:25" ht="20.100000000000001" customHeight="1" x14ac:dyDescent="0.25">
      <c r="A80" s="87">
        <v>57</v>
      </c>
      <c r="B80" s="308" t="str">
        <f>IF(Envoltória!C75="","",Envoltória!C75)</f>
        <v/>
      </c>
      <c r="C80" s="137"/>
      <c r="D80" s="262" t="str">
        <f>Envoltória!AB75</f>
        <v/>
      </c>
      <c r="E80" s="262" t="str">
        <f>Envoltória!AC75</f>
        <v/>
      </c>
      <c r="F80" s="262">
        <f>Envoltória!D75*Envoltória!Y75</f>
        <v>0</v>
      </c>
      <c r="G80" s="262">
        <f>IFERROR(Envoltória!U75*F80,0)</f>
        <v>0</v>
      </c>
      <c r="H80" s="262">
        <f t="shared" si="1"/>
        <v>0</v>
      </c>
      <c r="I80" s="262">
        <f t="shared" si="2"/>
        <v>0</v>
      </c>
      <c r="J80" s="262">
        <f t="shared" si="3"/>
        <v>0</v>
      </c>
      <c r="K80" s="9"/>
      <c r="L80" s="9"/>
      <c r="M80" s="9"/>
      <c r="N80" s="9"/>
      <c r="O80" s="9"/>
      <c r="P80" s="9"/>
      <c r="Q80" s="276"/>
      <c r="R80" s="276"/>
      <c r="S80" s="276"/>
      <c r="T80" s="276"/>
      <c r="U80" s="276"/>
      <c r="V80" s="276"/>
      <c r="W80" s="276"/>
      <c r="X80" s="276"/>
      <c r="Y80" s="276"/>
    </row>
    <row r="81" spans="1:25" ht="20.100000000000001" customHeight="1" x14ac:dyDescent="0.25">
      <c r="A81" s="87">
        <v>58</v>
      </c>
      <c r="B81" s="308" t="str">
        <f>IF(Envoltória!C76="","",Envoltória!C76)</f>
        <v/>
      </c>
      <c r="C81" s="137"/>
      <c r="D81" s="262" t="str">
        <f>Envoltória!AB76</f>
        <v/>
      </c>
      <c r="E81" s="262" t="str">
        <f>Envoltória!AC76</f>
        <v/>
      </c>
      <c r="F81" s="262">
        <f>Envoltória!D76*Envoltória!Y76</f>
        <v>0</v>
      </c>
      <c r="G81" s="262">
        <f>IFERROR(Envoltória!U76*F81,0)</f>
        <v>0</v>
      </c>
      <c r="H81" s="262">
        <f t="shared" si="1"/>
        <v>0</v>
      </c>
      <c r="I81" s="262">
        <f t="shared" si="2"/>
        <v>0</v>
      </c>
      <c r="J81" s="262">
        <f t="shared" si="3"/>
        <v>0</v>
      </c>
      <c r="K81" s="9"/>
      <c r="L81" s="9"/>
      <c r="M81" s="9"/>
      <c r="N81" s="9"/>
      <c r="O81" s="9"/>
      <c r="P81" s="9"/>
      <c r="Q81" s="276"/>
      <c r="R81" s="276"/>
      <c r="S81" s="276"/>
      <c r="T81" s="276"/>
      <c r="U81" s="276"/>
      <c r="V81" s="276"/>
      <c r="W81" s="276"/>
      <c r="X81" s="276"/>
      <c r="Y81" s="276"/>
    </row>
    <row r="82" spans="1:25" ht="20.100000000000001" customHeight="1" x14ac:dyDescent="0.25">
      <c r="A82" s="87">
        <v>59</v>
      </c>
      <c r="B82" s="308" t="str">
        <f>IF(Envoltória!C77="","",Envoltória!C77)</f>
        <v/>
      </c>
      <c r="C82" s="137"/>
      <c r="D82" s="262" t="str">
        <f>Envoltória!AB77</f>
        <v/>
      </c>
      <c r="E82" s="262" t="str">
        <f>Envoltória!AC77</f>
        <v/>
      </c>
      <c r="F82" s="262">
        <f>Envoltória!D77*Envoltória!Y77</f>
        <v>0</v>
      </c>
      <c r="G82" s="262">
        <f>IFERROR(Envoltória!U77*F82,0)</f>
        <v>0</v>
      </c>
      <c r="H82" s="262">
        <f t="shared" si="1"/>
        <v>0</v>
      </c>
      <c r="I82" s="262">
        <f t="shared" si="2"/>
        <v>0</v>
      </c>
      <c r="J82" s="262">
        <f t="shared" si="3"/>
        <v>0</v>
      </c>
      <c r="K82" s="9"/>
      <c r="L82" s="9"/>
      <c r="M82" s="9"/>
      <c r="N82" s="9"/>
      <c r="O82" s="9"/>
      <c r="P82" s="9"/>
      <c r="Q82" s="276"/>
      <c r="R82" s="276"/>
      <c r="S82" s="276"/>
      <c r="T82" s="276"/>
      <c r="U82" s="276"/>
      <c r="V82" s="276"/>
      <c r="W82" s="276"/>
      <c r="X82" s="276"/>
      <c r="Y82" s="276"/>
    </row>
    <row r="83" spans="1:25" ht="20.100000000000001" customHeight="1" x14ac:dyDescent="0.25">
      <c r="A83" s="87">
        <v>60</v>
      </c>
      <c r="B83" s="308" t="str">
        <f>IF(Envoltória!C78="","",Envoltória!C78)</f>
        <v/>
      </c>
      <c r="C83" s="137"/>
      <c r="D83" s="262" t="str">
        <f>Envoltória!AB78</f>
        <v/>
      </c>
      <c r="E83" s="262" t="str">
        <f>Envoltória!AC78</f>
        <v/>
      </c>
      <c r="F83" s="262">
        <f>Envoltória!D78*Envoltória!Y78</f>
        <v>0</v>
      </c>
      <c r="G83" s="262">
        <f>IFERROR(Envoltória!U78*F83,0)</f>
        <v>0</v>
      </c>
      <c r="H83" s="262">
        <f t="shared" si="1"/>
        <v>0</v>
      </c>
      <c r="I83" s="262">
        <f t="shared" si="2"/>
        <v>0</v>
      </c>
      <c r="J83" s="262">
        <f t="shared" si="3"/>
        <v>0</v>
      </c>
      <c r="K83" s="9"/>
      <c r="L83" s="9"/>
      <c r="M83" s="9"/>
      <c r="N83" s="9"/>
      <c r="O83" s="9"/>
      <c r="P83" s="9"/>
      <c r="Q83" s="276"/>
      <c r="R83" s="276"/>
      <c r="S83" s="276"/>
      <c r="T83" s="276"/>
      <c r="U83" s="276"/>
      <c r="V83" s="276"/>
      <c r="W83" s="276"/>
      <c r="X83" s="276"/>
      <c r="Y83" s="276"/>
    </row>
    <row r="84" spans="1:25" ht="20.100000000000001" customHeight="1" x14ac:dyDescent="0.25">
      <c r="A84" s="87">
        <v>61</v>
      </c>
      <c r="B84" s="308" t="str">
        <f>IF(Envoltória!C79="","",Envoltória!C79)</f>
        <v/>
      </c>
      <c r="C84" s="137"/>
      <c r="D84" s="262" t="str">
        <f>Envoltória!AB79</f>
        <v/>
      </c>
      <c r="E84" s="262" t="str">
        <f>Envoltória!AC79</f>
        <v/>
      </c>
      <c r="F84" s="262">
        <f>Envoltória!D79*Envoltória!Y79</f>
        <v>0</v>
      </c>
      <c r="G84" s="262">
        <f>IFERROR(Envoltória!U79*F84,0)</f>
        <v>0</v>
      </c>
      <c r="H84" s="262">
        <f t="shared" si="1"/>
        <v>0</v>
      </c>
      <c r="I84" s="262">
        <f t="shared" si="2"/>
        <v>0</v>
      </c>
      <c r="J84" s="262">
        <f t="shared" si="3"/>
        <v>0</v>
      </c>
      <c r="K84" s="9"/>
      <c r="L84" s="9"/>
      <c r="M84" s="9"/>
      <c r="N84" s="9"/>
      <c r="O84" s="9"/>
      <c r="P84" s="9"/>
      <c r="Q84" s="276"/>
      <c r="R84" s="276"/>
      <c r="S84" s="276"/>
      <c r="T84" s="276"/>
      <c r="U84" s="276"/>
      <c r="V84" s="276"/>
      <c r="W84" s="276"/>
      <c r="X84" s="276"/>
      <c r="Y84" s="276"/>
    </row>
    <row r="85" spans="1:25" ht="20.100000000000001" customHeight="1" x14ac:dyDescent="0.25">
      <c r="A85" s="87">
        <v>62</v>
      </c>
      <c r="B85" s="308" t="str">
        <f>IF(Envoltória!C80="","",Envoltória!C80)</f>
        <v/>
      </c>
      <c r="C85" s="137"/>
      <c r="D85" s="262" t="str">
        <f>Envoltória!AB80</f>
        <v/>
      </c>
      <c r="E85" s="262" t="str">
        <f>Envoltória!AC80</f>
        <v/>
      </c>
      <c r="F85" s="262">
        <f>Envoltória!D80*Envoltória!Y80</f>
        <v>0</v>
      </c>
      <c r="G85" s="262">
        <f>IFERROR(Envoltória!U80*F85,0)</f>
        <v>0</v>
      </c>
      <c r="H85" s="262">
        <f t="shared" si="1"/>
        <v>0</v>
      </c>
      <c r="I85" s="262">
        <f t="shared" si="2"/>
        <v>0</v>
      </c>
      <c r="J85" s="262">
        <f t="shared" si="3"/>
        <v>0</v>
      </c>
      <c r="K85" s="9"/>
      <c r="L85" s="9"/>
      <c r="M85" s="9"/>
      <c r="N85" s="9"/>
      <c r="O85" s="9"/>
      <c r="P85" s="9"/>
      <c r="Q85" s="276"/>
      <c r="R85" s="276"/>
      <c r="S85" s="276"/>
      <c r="T85" s="276"/>
      <c r="U85" s="276"/>
      <c r="V85" s="276"/>
      <c r="W85" s="276"/>
      <c r="X85" s="276"/>
      <c r="Y85" s="276"/>
    </row>
    <row r="86" spans="1:25" ht="20.100000000000001" customHeight="1" x14ac:dyDescent="0.25">
      <c r="A86" s="87">
        <v>63</v>
      </c>
      <c r="B86" s="308" t="str">
        <f>IF(Envoltória!C81="","",Envoltória!C81)</f>
        <v/>
      </c>
      <c r="C86" s="137"/>
      <c r="D86" s="262" t="str">
        <f>Envoltória!AB81</f>
        <v/>
      </c>
      <c r="E86" s="262" t="str">
        <f>Envoltória!AC81</f>
        <v/>
      </c>
      <c r="F86" s="262">
        <f>Envoltória!D81*Envoltória!Y81</f>
        <v>0</v>
      </c>
      <c r="G86" s="262">
        <f>IFERROR(Envoltória!U81*F86,0)</f>
        <v>0</v>
      </c>
      <c r="H86" s="262">
        <f t="shared" si="1"/>
        <v>0</v>
      </c>
      <c r="I86" s="262">
        <f t="shared" si="2"/>
        <v>0</v>
      </c>
      <c r="J86" s="262">
        <f t="shared" si="3"/>
        <v>0</v>
      </c>
      <c r="K86" s="9"/>
      <c r="L86" s="9"/>
      <c r="M86" s="9"/>
      <c r="N86" s="9"/>
      <c r="O86" s="9"/>
      <c r="P86" s="9"/>
      <c r="Q86" s="276"/>
      <c r="R86" s="276"/>
      <c r="S86" s="276"/>
      <c r="T86" s="276"/>
      <c r="U86" s="276"/>
      <c r="V86" s="276"/>
      <c r="W86" s="276"/>
      <c r="X86" s="276"/>
      <c r="Y86" s="276"/>
    </row>
    <row r="87" spans="1:25" ht="20.100000000000001" customHeight="1" x14ac:dyDescent="0.25">
      <c r="A87" s="87">
        <v>64</v>
      </c>
      <c r="B87" s="308" t="str">
        <f>IF(Envoltória!C82="","",Envoltória!C82)</f>
        <v/>
      </c>
      <c r="C87" s="137"/>
      <c r="D87" s="262" t="str">
        <f>Envoltória!AB82</f>
        <v/>
      </c>
      <c r="E87" s="262" t="str">
        <f>Envoltória!AC82</f>
        <v/>
      </c>
      <c r="F87" s="262">
        <f>Envoltória!D82*Envoltória!Y82</f>
        <v>0</v>
      </c>
      <c r="G87" s="262">
        <f>IFERROR(Envoltória!U82*F87,0)</f>
        <v>0</v>
      </c>
      <c r="H87" s="262">
        <f t="shared" si="1"/>
        <v>0</v>
      </c>
      <c r="I87" s="262">
        <f t="shared" si="2"/>
        <v>0</v>
      </c>
      <c r="J87" s="262">
        <f t="shared" si="3"/>
        <v>0</v>
      </c>
      <c r="K87" s="9"/>
      <c r="L87" s="9"/>
      <c r="M87" s="9"/>
      <c r="N87" s="9"/>
      <c r="O87" s="9"/>
      <c r="P87" s="9"/>
      <c r="Q87" s="276"/>
      <c r="R87" s="276"/>
      <c r="S87" s="276"/>
      <c r="T87" s="276"/>
      <c r="U87" s="276"/>
      <c r="V87" s="276"/>
      <c r="W87" s="276"/>
      <c r="X87" s="276"/>
      <c r="Y87" s="276"/>
    </row>
    <row r="88" spans="1:25" ht="20.100000000000001" customHeight="1" x14ac:dyDescent="0.25">
      <c r="A88" s="87">
        <v>65</v>
      </c>
      <c r="B88" s="308" t="str">
        <f>IF(Envoltória!C83="","",Envoltória!C83)</f>
        <v/>
      </c>
      <c r="C88" s="137"/>
      <c r="D88" s="262" t="str">
        <f>Envoltória!AB83</f>
        <v/>
      </c>
      <c r="E88" s="262" t="str">
        <f>Envoltória!AC83</f>
        <v/>
      </c>
      <c r="F88" s="262">
        <f>Envoltória!D83*Envoltória!Y83</f>
        <v>0</v>
      </c>
      <c r="G88" s="262">
        <f>IFERROR(Envoltória!U83*F88,0)</f>
        <v>0</v>
      </c>
      <c r="H88" s="262">
        <f t="shared" si="1"/>
        <v>0</v>
      </c>
      <c r="I88" s="262">
        <f t="shared" si="2"/>
        <v>0</v>
      </c>
      <c r="J88" s="262">
        <f t="shared" ref="J88:J123" si="4">IF(C88="Não previsto",D88/$R$32,0)</f>
        <v>0</v>
      </c>
      <c r="K88" s="9"/>
      <c r="L88" s="9"/>
      <c r="M88" s="9"/>
      <c r="N88" s="9"/>
      <c r="O88" s="9"/>
      <c r="P88" s="9"/>
      <c r="Q88" s="276"/>
      <c r="R88" s="276"/>
      <c r="S88" s="276"/>
      <c r="T88" s="276"/>
      <c r="U88" s="276"/>
      <c r="V88" s="276"/>
      <c r="W88" s="276"/>
      <c r="X88" s="276"/>
      <c r="Y88" s="276"/>
    </row>
    <row r="89" spans="1:25" ht="20.100000000000001" customHeight="1" x14ac:dyDescent="0.25">
      <c r="A89" s="87">
        <v>66</v>
      </c>
      <c r="B89" s="308" t="str">
        <f>IF(Envoltória!C84="","",Envoltória!C84)</f>
        <v/>
      </c>
      <c r="C89" s="137"/>
      <c r="D89" s="262" t="str">
        <f>Envoltória!AB84</f>
        <v/>
      </c>
      <c r="E89" s="262" t="str">
        <f>Envoltória!AC84</f>
        <v/>
      </c>
      <c r="F89" s="262">
        <f>Envoltória!D84*Envoltória!Y84</f>
        <v>0</v>
      </c>
      <c r="G89" s="262">
        <f>IFERROR(Envoltória!U84*F89,0)</f>
        <v>0</v>
      </c>
      <c r="H89" s="262">
        <f t="shared" ref="H89:H123" si="5">IFERROR(IF(C89="Não previsto",F89/$N$28,0),"")</f>
        <v>0</v>
      </c>
      <c r="I89" s="262">
        <f t="shared" ref="I89:I123" si="6">IF(C89="Não previsto",G89*$N$31,0)</f>
        <v>0</v>
      </c>
      <c r="J89" s="262">
        <f t="shared" si="4"/>
        <v>0</v>
      </c>
      <c r="K89" s="9"/>
      <c r="L89" s="9"/>
      <c r="M89" s="9"/>
      <c r="N89" s="9"/>
      <c r="O89" s="9"/>
      <c r="P89" s="9"/>
      <c r="Q89" s="276"/>
      <c r="R89" s="276"/>
      <c r="S89" s="276"/>
      <c r="T89" s="276"/>
      <c r="U89" s="276"/>
      <c r="V89" s="276"/>
      <c r="W89" s="276"/>
      <c r="X89" s="276"/>
      <c r="Y89" s="276"/>
    </row>
    <row r="90" spans="1:25" ht="20.100000000000001" customHeight="1" x14ac:dyDescent="0.25">
      <c r="A90" s="87">
        <v>67</v>
      </c>
      <c r="B90" s="308" t="str">
        <f>IF(Envoltória!C85="","",Envoltória!C85)</f>
        <v/>
      </c>
      <c r="C90" s="137"/>
      <c r="D90" s="262" t="str">
        <f>Envoltória!AB85</f>
        <v/>
      </c>
      <c r="E90" s="262" t="str">
        <f>Envoltória!AC85</f>
        <v/>
      </c>
      <c r="F90" s="262">
        <f>Envoltória!D85*Envoltória!Y85</f>
        <v>0</v>
      </c>
      <c r="G90" s="262">
        <f>IFERROR(Envoltória!U85*F90,0)</f>
        <v>0</v>
      </c>
      <c r="H90" s="262">
        <f t="shared" si="5"/>
        <v>0</v>
      </c>
      <c r="I90" s="262">
        <f t="shared" si="6"/>
        <v>0</v>
      </c>
      <c r="J90" s="262">
        <f t="shared" si="4"/>
        <v>0</v>
      </c>
      <c r="K90" s="9"/>
      <c r="L90" s="9"/>
      <c r="M90" s="9"/>
      <c r="N90" s="9"/>
      <c r="O90" s="9"/>
      <c r="P90" s="9"/>
      <c r="Q90" s="276"/>
      <c r="R90" s="276"/>
      <c r="S90" s="276"/>
      <c r="T90" s="276"/>
      <c r="U90" s="276"/>
      <c r="V90" s="276"/>
      <c r="W90" s="276"/>
      <c r="X90" s="276"/>
      <c r="Y90" s="276"/>
    </row>
    <row r="91" spans="1:25" ht="20.100000000000001" customHeight="1" x14ac:dyDescent="0.25">
      <c r="A91" s="87">
        <v>68</v>
      </c>
      <c r="B91" s="308" t="str">
        <f>IF(Envoltória!C86="","",Envoltória!C86)</f>
        <v/>
      </c>
      <c r="C91" s="137"/>
      <c r="D91" s="262" t="str">
        <f>Envoltória!AB86</f>
        <v/>
      </c>
      <c r="E91" s="262" t="str">
        <f>Envoltória!AC86</f>
        <v/>
      </c>
      <c r="F91" s="262">
        <f>Envoltória!D86*Envoltória!Y86</f>
        <v>0</v>
      </c>
      <c r="G91" s="262">
        <f>IFERROR(Envoltória!U86*F91,0)</f>
        <v>0</v>
      </c>
      <c r="H91" s="262">
        <f t="shared" si="5"/>
        <v>0</v>
      </c>
      <c r="I91" s="262">
        <f t="shared" si="6"/>
        <v>0</v>
      </c>
      <c r="J91" s="262">
        <f t="shared" si="4"/>
        <v>0</v>
      </c>
      <c r="K91" s="9"/>
      <c r="L91" s="9"/>
      <c r="M91" s="9"/>
      <c r="N91" s="9"/>
      <c r="O91" s="9"/>
      <c r="P91" s="9"/>
      <c r="Q91" s="276"/>
      <c r="R91" s="276"/>
      <c r="S91" s="276"/>
      <c r="T91" s="276"/>
      <c r="U91" s="276"/>
      <c r="V91" s="276"/>
      <c r="W91" s="276"/>
      <c r="X91" s="276"/>
      <c r="Y91" s="276"/>
    </row>
    <row r="92" spans="1:25" ht="20.100000000000001" customHeight="1" x14ac:dyDescent="0.25">
      <c r="A92" s="87">
        <v>69</v>
      </c>
      <c r="B92" s="308" t="str">
        <f>IF(Envoltória!C87="","",Envoltória!C87)</f>
        <v/>
      </c>
      <c r="C92" s="137"/>
      <c r="D92" s="262" t="str">
        <f>Envoltória!AB87</f>
        <v/>
      </c>
      <c r="E92" s="262" t="str">
        <f>Envoltória!AC87</f>
        <v/>
      </c>
      <c r="F92" s="262">
        <f>Envoltória!D87*Envoltória!Y87</f>
        <v>0</v>
      </c>
      <c r="G92" s="262">
        <f>IFERROR(Envoltória!U87*F92,0)</f>
        <v>0</v>
      </c>
      <c r="H92" s="262">
        <f t="shared" si="5"/>
        <v>0</v>
      </c>
      <c r="I92" s="262">
        <f t="shared" si="6"/>
        <v>0</v>
      </c>
      <c r="J92" s="262">
        <f t="shared" si="4"/>
        <v>0</v>
      </c>
      <c r="K92" s="9"/>
      <c r="L92" s="9"/>
      <c r="M92" s="9"/>
      <c r="N92" s="9"/>
      <c r="O92" s="9"/>
      <c r="P92" s="9"/>
      <c r="Q92" s="276"/>
      <c r="R92" s="276"/>
      <c r="S92" s="276"/>
      <c r="T92" s="276"/>
      <c r="U92" s="276"/>
      <c r="V92" s="276"/>
      <c r="W92" s="276"/>
      <c r="X92" s="276"/>
      <c r="Y92" s="276"/>
    </row>
    <row r="93" spans="1:25" ht="20.100000000000001" customHeight="1" x14ac:dyDescent="0.25">
      <c r="A93" s="87">
        <v>70</v>
      </c>
      <c r="B93" s="308" t="str">
        <f>IF(Envoltória!C88="","",Envoltória!C88)</f>
        <v/>
      </c>
      <c r="C93" s="137"/>
      <c r="D93" s="262" t="str">
        <f>Envoltória!AB88</f>
        <v/>
      </c>
      <c r="E93" s="262" t="str">
        <f>Envoltória!AC88</f>
        <v/>
      </c>
      <c r="F93" s="262">
        <f>Envoltória!D88*Envoltória!Y88</f>
        <v>0</v>
      </c>
      <c r="G93" s="301">
        <f>IFERROR(Envoltória!U88*F93,0)</f>
        <v>0</v>
      </c>
      <c r="H93" s="262">
        <f t="shared" si="5"/>
        <v>0</v>
      </c>
      <c r="I93" s="262">
        <f t="shared" si="6"/>
        <v>0</v>
      </c>
      <c r="J93" s="262">
        <f t="shared" si="4"/>
        <v>0</v>
      </c>
      <c r="K93" s="289"/>
      <c r="L93" s="289"/>
      <c r="M93" s="289"/>
      <c r="N93" s="289"/>
      <c r="O93" s="289"/>
      <c r="P93" s="9"/>
      <c r="Q93" s="276"/>
      <c r="R93" s="276"/>
      <c r="S93" s="276"/>
      <c r="T93" s="276"/>
      <c r="U93" s="276"/>
      <c r="V93" s="276"/>
      <c r="W93" s="276"/>
      <c r="X93" s="276"/>
      <c r="Y93" s="276"/>
    </row>
    <row r="94" spans="1:25" ht="20.100000000000001" customHeight="1" x14ac:dyDescent="0.25">
      <c r="A94" s="87">
        <v>71</v>
      </c>
      <c r="B94" s="308" t="str">
        <f>IF(Envoltória!C89="","",Envoltória!C89)</f>
        <v/>
      </c>
      <c r="C94" s="137"/>
      <c r="D94" s="262" t="str">
        <f>Envoltória!AB89</f>
        <v/>
      </c>
      <c r="E94" s="262" t="str">
        <f>Envoltória!AC89</f>
        <v/>
      </c>
      <c r="F94" s="262">
        <f>Envoltória!D89*Envoltória!Y89</f>
        <v>0</v>
      </c>
      <c r="G94" s="301">
        <f>IFERROR(Envoltória!U89*F94,0)</f>
        <v>0</v>
      </c>
      <c r="H94" s="262">
        <f t="shared" si="5"/>
        <v>0</v>
      </c>
      <c r="I94" s="262">
        <f t="shared" si="6"/>
        <v>0</v>
      </c>
      <c r="J94" s="262">
        <f t="shared" si="4"/>
        <v>0</v>
      </c>
      <c r="K94" s="289"/>
      <c r="L94" s="289"/>
      <c r="M94" s="289"/>
      <c r="N94" s="289"/>
      <c r="O94" s="289"/>
      <c r="P94" s="9"/>
      <c r="Q94" s="276"/>
      <c r="R94" s="276"/>
      <c r="S94" s="276"/>
      <c r="T94" s="276"/>
      <c r="U94" s="276"/>
      <c r="V94" s="276"/>
      <c r="W94" s="276"/>
      <c r="X94" s="276"/>
      <c r="Y94" s="276"/>
    </row>
    <row r="95" spans="1:25" ht="20.100000000000001" customHeight="1" x14ac:dyDescent="0.25">
      <c r="A95" s="87">
        <v>72</v>
      </c>
      <c r="B95" s="308" t="str">
        <f>IF(Envoltória!C90="","",Envoltória!C90)</f>
        <v/>
      </c>
      <c r="C95" s="137"/>
      <c r="D95" s="262" t="str">
        <f>Envoltória!AB90</f>
        <v/>
      </c>
      <c r="E95" s="262" t="str">
        <f>Envoltória!AC90</f>
        <v/>
      </c>
      <c r="F95" s="262">
        <f>Envoltória!D90*Envoltória!Y90</f>
        <v>0</v>
      </c>
      <c r="G95" s="301">
        <f>IFERROR(Envoltória!U90*F95,0)</f>
        <v>0</v>
      </c>
      <c r="H95" s="262">
        <f t="shared" si="5"/>
        <v>0</v>
      </c>
      <c r="I95" s="262">
        <f t="shared" si="6"/>
        <v>0</v>
      </c>
      <c r="J95" s="262">
        <f t="shared" si="4"/>
        <v>0</v>
      </c>
      <c r="K95" s="289"/>
      <c r="L95" s="289"/>
      <c r="M95" s="289"/>
      <c r="N95" s="289"/>
      <c r="O95" s="289"/>
      <c r="P95" s="9"/>
      <c r="Q95" s="276"/>
      <c r="R95" s="276"/>
      <c r="S95" s="276"/>
      <c r="T95" s="276"/>
      <c r="U95" s="276"/>
      <c r="V95" s="276"/>
      <c r="W95" s="276"/>
      <c r="X95" s="276"/>
      <c r="Y95" s="276"/>
    </row>
    <row r="96" spans="1:25" ht="20.100000000000001" customHeight="1" x14ac:dyDescent="0.25">
      <c r="A96" s="87">
        <v>73</v>
      </c>
      <c r="B96" s="308" t="str">
        <f>IF(Envoltória!C91="","",Envoltória!C91)</f>
        <v/>
      </c>
      <c r="C96" s="137"/>
      <c r="D96" s="262" t="str">
        <f>Envoltória!AB91</f>
        <v/>
      </c>
      <c r="E96" s="262" t="str">
        <f>Envoltória!AC91</f>
        <v/>
      </c>
      <c r="F96" s="262">
        <f>Envoltória!D91*Envoltória!Y91</f>
        <v>0</v>
      </c>
      <c r="G96" s="301">
        <f>IFERROR(Envoltória!U91*F96,0)</f>
        <v>0</v>
      </c>
      <c r="H96" s="262">
        <f t="shared" si="5"/>
        <v>0</v>
      </c>
      <c r="I96" s="262">
        <f t="shared" si="6"/>
        <v>0</v>
      </c>
      <c r="J96" s="262">
        <f t="shared" si="4"/>
        <v>0</v>
      </c>
      <c r="K96" s="289"/>
      <c r="L96" s="289"/>
      <c r="M96" s="289"/>
      <c r="N96" s="289"/>
      <c r="O96" s="289"/>
      <c r="P96" s="9"/>
      <c r="Q96" s="276"/>
      <c r="R96" s="276"/>
      <c r="S96" s="276"/>
      <c r="T96" s="276"/>
      <c r="U96" s="276"/>
      <c r="V96" s="276"/>
      <c r="W96" s="276"/>
      <c r="X96" s="276"/>
      <c r="Y96" s="276"/>
    </row>
    <row r="97" spans="1:25" ht="20.100000000000001" customHeight="1" x14ac:dyDescent="0.25">
      <c r="A97" s="87">
        <v>74</v>
      </c>
      <c r="B97" s="308" t="str">
        <f>IF(Envoltória!C92="","",Envoltória!C92)</f>
        <v/>
      </c>
      <c r="C97" s="137"/>
      <c r="D97" s="262" t="str">
        <f>Envoltória!AB92</f>
        <v/>
      </c>
      <c r="E97" s="262" t="str">
        <f>Envoltória!AC92</f>
        <v/>
      </c>
      <c r="F97" s="262">
        <f>Envoltória!D92*Envoltória!Y92</f>
        <v>0</v>
      </c>
      <c r="G97" s="301">
        <f>IFERROR(Envoltória!U92*F97,0)</f>
        <v>0</v>
      </c>
      <c r="H97" s="262">
        <f t="shared" si="5"/>
        <v>0</v>
      </c>
      <c r="I97" s="262">
        <f t="shared" si="6"/>
        <v>0</v>
      </c>
      <c r="J97" s="262">
        <f t="shared" si="4"/>
        <v>0</v>
      </c>
      <c r="K97" s="289"/>
      <c r="L97" s="289"/>
      <c r="M97" s="289"/>
      <c r="N97" s="289"/>
      <c r="O97" s="289"/>
      <c r="P97" s="9"/>
      <c r="Q97" s="276"/>
      <c r="R97" s="276"/>
      <c r="S97" s="276"/>
      <c r="T97" s="276"/>
      <c r="U97" s="276"/>
      <c r="V97" s="276"/>
      <c r="W97" s="276"/>
      <c r="X97" s="276"/>
      <c r="Y97" s="276"/>
    </row>
    <row r="98" spans="1:25" ht="20.100000000000001" customHeight="1" x14ac:dyDescent="0.25">
      <c r="A98" s="87">
        <v>75</v>
      </c>
      <c r="B98" s="308" t="str">
        <f>IF(Envoltória!C93="","",Envoltória!C93)</f>
        <v/>
      </c>
      <c r="C98" s="137"/>
      <c r="D98" s="262" t="str">
        <f>Envoltória!AB93</f>
        <v/>
      </c>
      <c r="E98" s="262" t="str">
        <f>Envoltória!AC93</f>
        <v/>
      </c>
      <c r="F98" s="262">
        <f>Envoltória!D93*Envoltória!Y93</f>
        <v>0</v>
      </c>
      <c r="G98" s="301">
        <f>IFERROR(Envoltória!U93*F98,0)</f>
        <v>0</v>
      </c>
      <c r="H98" s="262">
        <f t="shared" si="5"/>
        <v>0</v>
      </c>
      <c r="I98" s="262">
        <f t="shared" si="6"/>
        <v>0</v>
      </c>
      <c r="J98" s="262">
        <f t="shared" si="4"/>
        <v>0</v>
      </c>
      <c r="K98" s="289"/>
      <c r="L98" s="289"/>
      <c r="M98" s="289"/>
      <c r="N98" s="289"/>
      <c r="O98" s="289"/>
      <c r="P98" s="9"/>
      <c r="Q98" s="276"/>
      <c r="R98" s="276"/>
      <c r="S98" s="276"/>
      <c r="T98" s="276"/>
      <c r="U98" s="276"/>
      <c r="V98" s="276"/>
      <c r="W98" s="276"/>
      <c r="X98" s="276"/>
      <c r="Y98" s="276"/>
    </row>
    <row r="99" spans="1:25" ht="20.100000000000001" customHeight="1" x14ac:dyDescent="0.25">
      <c r="A99" s="87">
        <v>76</v>
      </c>
      <c r="B99" s="308" t="str">
        <f>IF(Envoltória!C94="","",Envoltória!C94)</f>
        <v/>
      </c>
      <c r="C99" s="137"/>
      <c r="D99" s="262" t="str">
        <f>Envoltória!AB94</f>
        <v/>
      </c>
      <c r="E99" s="262" t="str">
        <f>Envoltória!AC94</f>
        <v/>
      </c>
      <c r="F99" s="262">
        <f>Envoltória!D94*Envoltória!Y94</f>
        <v>0</v>
      </c>
      <c r="G99" s="301">
        <f>IFERROR(Envoltória!U94*F99,0)</f>
        <v>0</v>
      </c>
      <c r="H99" s="262">
        <f t="shared" si="5"/>
        <v>0</v>
      </c>
      <c r="I99" s="262">
        <f t="shared" si="6"/>
        <v>0</v>
      </c>
      <c r="J99" s="262">
        <f t="shared" si="4"/>
        <v>0</v>
      </c>
      <c r="K99" s="289"/>
      <c r="L99" s="289"/>
      <c r="M99" s="289"/>
      <c r="N99" s="289"/>
      <c r="O99" s="289"/>
      <c r="P99" s="9"/>
      <c r="Q99" s="276"/>
      <c r="R99" s="276"/>
      <c r="S99" s="276"/>
      <c r="T99" s="276"/>
      <c r="U99" s="276"/>
      <c r="V99" s="276"/>
      <c r="W99" s="276"/>
      <c r="X99" s="276"/>
      <c r="Y99" s="276"/>
    </row>
    <row r="100" spans="1:25" ht="20.100000000000001" customHeight="1" x14ac:dyDescent="0.25">
      <c r="A100" s="87">
        <v>77</v>
      </c>
      <c r="B100" s="308" t="str">
        <f>IF(Envoltória!C95="","",Envoltória!C95)</f>
        <v/>
      </c>
      <c r="C100" s="137"/>
      <c r="D100" s="262" t="str">
        <f>Envoltória!AB95</f>
        <v/>
      </c>
      <c r="E100" s="262" t="str">
        <f>Envoltória!AC95</f>
        <v/>
      </c>
      <c r="F100" s="262">
        <f>Envoltória!D95*Envoltória!Y95</f>
        <v>0</v>
      </c>
      <c r="G100" s="301">
        <f>IFERROR(Envoltória!U95*F100,0)</f>
        <v>0</v>
      </c>
      <c r="H100" s="262">
        <f t="shared" si="5"/>
        <v>0</v>
      </c>
      <c r="I100" s="262">
        <f t="shared" si="6"/>
        <v>0</v>
      </c>
      <c r="J100" s="262">
        <f t="shared" si="4"/>
        <v>0</v>
      </c>
      <c r="K100" s="289"/>
      <c r="L100" s="289"/>
      <c r="M100" s="289"/>
      <c r="N100" s="289"/>
      <c r="O100" s="289"/>
      <c r="P100" s="9"/>
      <c r="Q100" s="276"/>
      <c r="R100" s="276"/>
      <c r="S100" s="276"/>
      <c r="T100" s="276"/>
      <c r="U100" s="276"/>
      <c r="V100" s="276"/>
      <c r="W100" s="276"/>
      <c r="X100" s="276"/>
      <c r="Y100" s="276"/>
    </row>
    <row r="101" spans="1:25" ht="20.100000000000001" customHeight="1" x14ac:dyDescent="0.25">
      <c r="A101" s="87">
        <v>78</v>
      </c>
      <c r="B101" s="308" t="str">
        <f>IF(Envoltória!C96="","",Envoltória!C96)</f>
        <v/>
      </c>
      <c r="C101" s="137"/>
      <c r="D101" s="262" t="str">
        <f>Envoltória!AB96</f>
        <v/>
      </c>
      <c r="E101" s="262" t="str">
        <f>Envoltória!AC96</f>
        <v/>
      </c>
      <c r="F101" s="262">
        <f>Envoltória!D96*Envoltória!Y96</f>
        <v>0</v>
      </c>
      <c r="G101" s="301">
        <f>IFERROR(Envoltória!U96*F101,0)</f>
        <v>0</v>
      </c>
      <c r="H101" s="262">
        <f t="shared" si="5"/>
        <v>0</v>
      </c>
      <c r="I101" s="262">
        <f t="shared" si="6"/>
        <v>0</v>
      </c>
      <c r="J101" s="262">
        <f t="shared" si="4"/>
        <v>0</v>
      </c>
      <c r="K101" s="289"/>
      <c r="L101" s="289"/>
      <c r="M101" s="289"/>
      <c r="N101" s="289"/>
      <c r="O101" s="289"/>
      <c r="P101" s="9"/>
      <c r="Q101" s="276"/>
      <c r="R101" s="276"/>
      <c r="S101" s="276"/>
      <c r="T101" s="276"/>
      <c r="U101" s="276"/>
      <c r="V101" s="276"/>
      <c r="W101" s="276"/>
      <c r="X101" s="276"/>
      <c r="Y101" s="276"/>
    </row>
    <row r="102" spans="1:25" ht="20.100000000000001" customHeight="1" x14ac:dyDescent="0.25">
      <c r="A102" s="87">
        <v>79</v>
      </c>
      <c r="B102" s="308" t="str">
        <f>IF(Envoltória!C97="","",Envoltória!C97)</f>
        <v/>
      </c>
      <c r="C102" s="137"/>
      <c r="D102" s="262" t="str">
        <f>Envoltória!AB97</f>
        <v/>
      </c>
      <c r="E102" s="262" t="str">
        <f>Envoltória!AC97</f>
        <v/>
      </c>
      <c r="F102" s="262">
        <f>Envoltória!D97*Envoltória!Y97</f>
        <v>0</v>
      </c>
      <c r="G102" s="301">
        <f>IFERROR(Envoltória!U97*F102,0)</f>
        <v>0</v>
      </c>
      <c r="H102" s="262">
        <f t="shared" si="5"/>
        <v>0</v>
      </c>
      <c r="I102" s="262">
        <f t="shared" si="6"/>
        <v>0</v>
      </c>
      <c r="J102" s="262">
        <f t="shared" si="4"/>
        <v>0</v>
      </c>
      <c r="K102" s="289"/>
      <c r="L102" s="289"/>
      <c r="M102" s="289"/>
      <c r="N102" s="289"/>
      <c r="O102" s="289"/>
      <c r="P102" s="9"/>
      <c r="Q102" s="276"/>
      <c r="R102" s="276"/>
      <c r="S102" s="276"/>
      <c r="T102" s="276"/>
      <c r="U102" s="276"/>
      <c r="V102" s="276"/>
      <c r="W102" s="276"/>
      <c r="X102" s="276"/>
      <c r="Y102" s="276"/>
    </row>
    <row r="103" spans="1:25" ht="20.100000000000001" customHeight="1" x14ac:dyDescent="0.25">
      <c r="A103" s="87">
        <v>80</v>
      </c>
      <c r="B103" s="308" t="str">
        <f>IF(Envoltória!C98="","",Envoltória!C98)</f>
        <v/>
      </c>
      <c r="C103" s="137"/>
      <c r="D103" s="262" t="str">
        <f>Envoltória!AB98</f>
        <v/>
      </c>
      <c r="E103" s="262" t="str">
        <f>Envoltória!AC98</f>
        <v/>
      </c>
      <c r="F103" s="262">
        <f>Envoltória!D98*Envoltória!Y98</f>
        <v>0</v>
      </c>
      <c r="G103" s="301">
        <f>IFERROR(Envoltória!U98*F103,0)</f>
        <v>0</v>
      </c>
      <c r="H103" s="262">
        <f t="shared" si="5"/>
        <v>0</v>
      </c>
      <c r="I103" s="262">
        <f t="shared" si="6"/>
        <v>0</v>
      </c>
      <c r="J103" s="262">
        <f t="shared" si="4"/>
        <v>0</v>
      </c>
      <c r="K103" s="289"/>
      <c r="L103" s="289"/>
      <c r="M103" s="289"/>
      <c r="N103" s="289"/>
      <c r="O103" s="289"/>
      <c r="P103" s="9"/>
      <c r="Q103" s="276"/>
      <c r="R103" s="276"/>
      <c r="S103" s="276"/>
      <c r="T103" s="276"/>
      <c r="U103" s="276"/>
      <c r="V103" s="276"/>
      <c r="W103" s="276"/>
      <c r="X103" s="276"/>
      <c r="Y103" s="276"/>
    </row>
    <row r="104" spans="1:25" ht="20.100000000000001" customHeight="1" x14ac:dyDescent="0.25">
      <c r="A104" s="87">
        <v>81</v>
      </c>
      <c r="B104" s="308" t="str">
        <f>IF(Envoltória!C99="","",Envoltória!C99)</f>
        <v/>
      </c>
      <c r="C104" s="137"/>
      <c r="D104" s="262" t="str">
        <f>Envoltória!AB99</f>
        <v/>
      </c>
      <c r="E104" s="262" t="str">
        <f>Envoltória!AC99</f>
        <v/>
      </c>
      <c r="F104" s="262">
        <f>Envoltória!D99*Envoltória!Y99</f>
        <v>0</v>
      </c>
      <c r="G104" s="301">
        <f>IFERROR(Envoltória!U99*F104,0)</f>
        <v>0</v>
      </c>
      <c r="H104" s="262">
        <f t="shared" si="5"/>
        <v>0</v>
      </c>
      <c r="I104" s="262">
        <f t="shared" si="6"/>
        <v>0</v>
      </c>
      <c r="J104" s="262">
        <f t="shared" si="4"/>
        <v>0</v>
      </c>
      <c r="K104" s="289"/>
      <c r="L104" s="289"/>
      <c r="M104" s="289"/>
      <c r="N104" s="289"/>
      <c r="O104" s="289"/>
      <c r="P104" s="9"/>
      <c r="Q104" s="276"/>
      <c r="R104" s="276"/>
      <c r="S104" s="276"/>
      <c r="T104" s="276"/>
      <c r="U104" s="276"/>
      <c r="V104" s="276"/>
      <c r="W104" s="276"/>
      <c r="X104" s="276"/>
      <c r="Y104" s="276"/>
    </row>
    <row r="105" spans="1:25" ht="20.100000000000001" customHeight="1" x14ac:dyDescent="0.25">
      <c r="A105" s="87">
        <v>82</v>
      </c>
      <c r="B105" s="308" t="str">
        <f>IF(Envoltória!C100="","",Envoltória!C100)</f>
        <v/>
      </c>
      <c r="C105" s="137"/>
      <c r="D105" s="262" t="str">
        <f>Envoltória!AB100</f>
        <v/>
      </c>
      <c r="E105" s="262" t="str">
        <f>Envoltória!AC100</f>
        <v/>
      </c>
      <c r="F105" s="262">
        <f>Envoltória!D100*Envoltória!Y100</f>
        <v>0</v>
      </c>
      <c r="G105" s="301">
        <f>IFERROR(Envoltória!U100*F105,0)</f>
        <v>0</v>
      </c>
      <c r="H105" s="262">
        <f t="shared" si="5"/>
        <v>0</v>
      </c>
      <c r="I105" s="262">
        <f t="shared" si="6"/>
        <v>0</v>
      </c>
      <c r="J105" s="262">
        <f t="shared" si="4"/>
        <v>0</v>
      </c>
      <c r="K105" s="289"/>
      <c r="L105" s="289"/>
      <c r="M105" s="289"/>
      <c r="N105" s="289"/>
      <c r="O105" s="289"/>
      <c r="P105" s="9"/>
      <c r="Q105" s="276"/>
      <c r="R105" s="276"/>
      <c r="S105" s="276"/>
      <c r="T105" s="276"/>
      <c r="U105" s="276"/>
      <c r="V105" s="276"/>
      <c r="W105" s="276"/>
      <c r="X105" s="276"/>
      <c r="Y105" s="276"/>
    </row>
    <row r="106" spans="1:25" ht="20.100000000000001" customHeight="1" x14ac:dyDescent="0.25">
      <c r="A106" s="87">
        <v>83</v>
      </c>
      <c r="B106" s="308" t="str">
        <f>IF(Envoltória!C101="","",Envoltória!C101)</f>
        <v/>
      </c>
      <c r="C106" s="137"/>
      <c r="D106" s="262" t="str">
        <f>Envoltória!AB101</f>
        <v/>
      </c>
      <c r="E106" s="262" t="str">
        <f>Envoltória!AC101</f>
        <v/>
      </c>
      <c r="F106" s="262">
        <f>Envoltória!D101*Envoltória!Y101</f>
        <v>0</v>
      </c>
      <c r="G106" s="301">
        <f>IFERROR(Envoltória!U101*F106,0)</f>
        <v>0</v>
      </c>
      <c r="H106" s="262">
        <f t="shared" si="5"/>
        <v>0</v>
      </c>
      <c r="I106" s="262">
        <f t="shared" si="6"/>
        <v>0</v>
      </c>
      <c r="J106" s="262">
        <f t="shared" si="4"/>
        <v>0</v>
      </c>
      <c r="K106" s="289"/>
      <c r="L106" s="289"/>
      <c r="M106" s="289"/>
      <c r="N106" s="289"/>
      <c r="O106" s="289"/>
      <c r="P106" s="9"/>
      <c r="Q106" s="276"/>
      <c r="R106" s="276"/>
      <c r="S106" s="276"/>
      <c r="T106" s="276"/>
      <c r="U106" s="276"/>
      <c r="V106" s="276"/>
      <c r="W106" s="276"/>
      <c r="X106" s="276"/>
      <c r="Y106" s="276"/>
    </row>
    <row r="107" spans="1:25" ht="20.100000000000001" customHeight="1" x14ac:dyDescent="0.25">
      <c r="A107" s="87">
        <v>84</v>
      </c>
      <c r="B107" s="308" t="str">
        <f>IF(Envoltória!C102="","",Envoltória!C102)</f>
        <v/>
      </c>
      <c r="C107" s="137"/>
      <c r="D107" s="262" t="str">
        <f>Envoltória!AB102</f>
        <v/>
      </c>
      <c r="E107" s="262" t="str">
        <f>Envoltória!AC102</f>
        <v/>
      </c>
      <c r="F107" s="262">
        <f>Envoltória!D102*Envoltória!Y102</f>
        <v>0</v>
      </c>
      <c r="G107" s="301">
        <f>IFERROR(Envoltória!U102*F107,0)</f>
        <v>0</v>
      </c>
      <c r="H107" s="262">
        <f t="shared" si="5"/>
        <v>0</v>
      </c>
      <c r="I107" s="262">
        <f t="shared" si="6"/>
        <v>0</v>
      </c>
      <c r="J107" s="262">
        <f t="shared" si="4"/>
        <v>0</v>
      </c>
      <c r="K107" s="289"/>
      <c r="L107" s="289"/>
      <c r="M107" s="289"/>
      <c r="N107" s="289"/>
      <c r="O107" s="289"/>
      <c r="P107" s="9"/>
      <c r="Q107" s="276"/>
      <c r="R107" s="276"/>
      <c r="S107" s="276"/>
      <c r="T107" s="276"/>
      <c r="U107" s="276"/>
      <c r="V107" s="276"/>
      <c r="W107" s="276"/>
      <c r="X107" s="276"/>
      <c r="Y107" s="276"/>
    </row>
    <row r="108" spans="1:25" ht="20.100000000000001" customHeight="1" x14ac:dyDescent="0.25">
      <c r="A108" s="87">
        <v>85</v>
      </c>
      <c r="B108" s="308" t="str">
        <f>IF(Envoltória!C103="","",Envoltória!C103)</f>
        <v/>
      </c>
      <c r="C108" s="137"/>
      <c r="D108" s="262" t="str">
        <f>Envoltória!AB103</f>
        <v/>
      </c>
      <c r="E108" s="262" t="str">
        <f>Envoltória!AC103</f>
        <v/>
      </c>
      <c r="F108" s="262">
        <f>Envoltória!D103*Envoltória!Y103</f>
        <v>0</v>
      </c>
      <c r="G108" s="301">
        <f>IFERROR(Envoltória!U103*F108,0)</f>
        <v>0</v>
      </c>
      <c r="H108" s="262">
        <f t="shared" si="5"/>
        <v>0</v>
      </c>
      <c r="I108" s="262">
        <f t="shared" si="6"/>
        <v>0</v>
      </c>
      <c r="J108" s="262">
        <f t="shared" si="4"/>
        <v>0</v>
      </c>
      <c r="K108" s="289"/>
      <c r="L108" s="289"/>
      <c r="M108" s="289"/>
      <c r="N108" s="289"/>
      <c r="O108" s="289"/>
      <c r="P108" s="9"/>
      <c r="Q108" s="276"/>
      <c r="R108" s="276"/>
      <c r="S108" s="276"/>
      <c r="T108" s="276"/>
      <c r="U108" s="276"/>
      <c r="V108" s="276"/>
      <c r="W108" s="276"/>
      <c r="X108" s="276"/>
      <c r="Y108" s="276"/>
    </row>
    <row r="109" spans="1:25" ht="20.100000000000001" customHeight="1" x14ac:dyDescent="0.25">
      <c r="A109" s="87">
        <v>86</v>
      </c>
      <c r="B109" s="308" t="str">
        <f>IF(Envoltória!C104="","",Envoltória!C104)</f>
        <v/>
      </c>
      <c r="C109" s="137"/>
      <c r="D109" s="262" t="str">
        <f>Envoltória!AB104</f>
        <v/>
      </c>
      <c r="E109" s="262" t="str">
        <f>Envoltória!AC104</f>
        <v/>
      </c>
      <c r="F109" s="262">
        <f>Envoltória!D104*Envoltória!Y104</f>
        <v>0</v>
      </c>
      <c r="G109" s="301">
        <f>IFERROR(Envoltória!U104*F109,0)</f>
        <v>0</v>
      </c>
      <c r="H109" s="262">
        <f t="shared" si="5"/>
        <v>0</v>
      </c>
      <c r="I109" s="262">
        <f t="shared" si="6"/>
        <v>0</v>
      </c>
      <c r="J109" s="262">
        <f t="shared" si="4"/>
        <v>0</v>
      </c>
      <c r="K109" s="289"/>
      <c r="L109" s="289"/>
      <c r="M109" s="289"/>
      <c r="N109" s="289"/>
      <c r="O109" s="289"/>
      <c r="P109" s="9"/>
      <c r="Q109" s="276"/>
      <c r="R109" s="276"/>
      <c r="S109" s="276"/>
      <c r="T109" s="276"/>
      <c r="U109" s="276"/>
      <c r="V109" s="276"/>
      <c r="W109" s="276"/>
      <c r="X109" s="276"/>
      <c r="Y109" s="276"/>
    </row>
    <row r="110" spans="1:25" ht="20.100000000000001" customHeight="1" x14ac:dyDescent="0.25">
      <c r="A110" s="87">
        <v>87</v>
      </c>
      <c r="B110" s="308" t="str">
        <f>IF(Envoltória!C105="","",Envoltória!C105)</f>
        <v/>
      </c>
      <c r="C110" s="137"/>
      <c r="D110" s="262" t="str">
        <f>Envoltória!AB105</f>
        <v/>
      </c>
      <c r="E110" s="262" t="str">
        <f>Envoltória!AC105</f>
        <v/>
      </c>
      <c r="F110" s="262">
        <f>Envoltória!D105*Envoltória!Y105</f>
        <v>0</v>
      </c>
      <c r="G110" s="301">
        <f>IFERROR(Envoltória!U105*F110,0)</f>
        <v>0</v>
      </c>
      <c r="H110" s="262">
        <f t="shared" si="5"/>
        <v>0</v>
      </c>
      <c r="I110" s="262">
        <f t="shared" si="6"/>
        <v>0</v>
      </c>
      <c r="J110" s="262">
        <f t="shared" si="4"/>
        <v>0</v>
      </c>
      <c r="K110" s="289"/>
      <c r="L110" s="289"/>
      <c r="M110" s="289"/>
      <c r="N110" s="289"/>
      <c r="O110" s="289"/>
      <c r="P110" s="9"/>
      <c r="Q110" s="276"/>
      <c r="R110" s="276"/>
      <c r="S110" s="276"/>
      <c r="T110" s="276"/>
      <c r="U110" s="276"/>
      <c r="V110" s="276"/>
      <c r="W110" s="276"/>
      <c r="X110" s="276"/>
      <c r="Y110" s="276"/>
    </row>
    <row r="111" spans="1:25" ht="20.100000000000001" customHeight="1" x14ac:dyDescent="0.25">
      <c r="A111" s="87">
        <v>88</v>
      </c>
      <c r="B111" s="308" t="str">
        <f>IF(Envoltória!C106="","",Envoltória!C106)</f>
        <v/>
      </c>
      <c r="C111" s="137"/>
      <c r="D111" s="262" t="str">
        <f>Envoltória!AB106</f>
        <v/>
      </c>
      <c r="E111" s="262" t="str">
        <f>Envoltória!AC106</f>
        <v/>
      </c>
      <c r="F111" s="262">
        <f>Envoltória!D106*Envoltória!Y106</f>
        <v>0</v>
      </c>
      <c r="G111" s="301">
        <f>IFERROR(Envoltória!U106*F111,0)</f>
        <v>0</v>
      </c>
      <c r="H111" s="262">
        <f t="shared" si="5"/>
        <v>0</v>
      </c>
      <c r="I111" s="262">
        <f t="shared" si="6"/>
        <v>0</v>
      </c>
      <c r="J111" s="262">
        <f t="shared" si="4"/>
        <v>0</v>
      </c>
      <c r="K111" s="289"/>
      <c r="L111" s="289"/>
      <c r="M111" s="289"/>
      <c r="N111" s="289"/>
      <c r="O111" s="289"/>
      <c r="P111" s="9"/>
      <c r="Q111" s="276"/>
      <c r="R111" s="276"/>
      <c r="S111" s="276"/>
      <c r="T111" s="276"/>
      <c r="U111" s="276"/>
      <c r="V111" s="276"/>
      <c r="W111" s="276"/>
      <c r="X111" s="276"/>
      <c r="Y111" s="276"/>
    </row>
    <row r="112" spans="1:25" ht="20.100000000000001" customHeight="1" x14ac:dyDescent="0.25">
      <c r="A112" s="87">
        <v>89</v>
      </c>
      <c r="B112" s="308" t="str">
        <f>IF(Envoltória!C107="","",Envoltória!C107)</f>
        <v/>
      </c>
      <c r="C112" s="137"/>
      <c r="D112" s="262" t="str">
        <f>Envoltória!AB107</f>
        <v/>
      </c>
      <c r="E112" s="262" t="str">
        <f>Envoltória!AC107</f>
        <v/>
      </c>
      <c r="F112" s="262">
        <f>Envoltória!D107*Envoltória!Y107</f>
        <v>0</v>
      </c>
      <c r="G112" s="301">
        <f>IFERROR(Envoltória!U107*F112,0)</f>
        <v>0</v>
      </c>
      <c r="H112" s="262">
        <f t="shared" si="5"/>
        <v>0</v>
      </c>
      <c r="I112" s="262">
        <f t="shared" si="6"/>
        <v>0</v>
      </c>
      <c r="J112" s="262">
        <f t="shared" si="4"/>
        <v>0</v>
      </c>
      <c r="K112" s="289"/>
      <c r="L112" s="289"/>
      <c r="M112" s="289"/>
      <c r="N112" s="289"/>
      <c r="O112" s="289"/>
      <c r="P112" s="9"/>
      <c r="Q112" s="276"/>
      <c r="R112" s="276"/>
      <c r="S112" s="276"/>
      <c r="T112" s="276"/>
      <c r="U112" s="276"/>
      <c r="V112" s="276"/>
      <c r="W112" s="276"/>
      <c r="X112" s="276"/>
      <c r="Y112" s="276"/>
    </row>
    <row r="113" spans="1:25" ht="20.100000000000001" customHeight="1" x14ac:dyDescent="0.25">
      <c r="A113" s="87">
        <v>90</v>
      </c>
      <c r="B113" s="308" t="str">
        <f>IF(Envoltória!C108="","",Envoltória!C108)</f>
        <v/>
      </c>
      <c r="C113" s="137"/>
      <c r="D113" s="262" t="str">
        <f>Envoltória!AB108</f>
        <v/>
      </c>
      <c r="E113" s="262" t="str">
        <f>Envoltória!AC108</f>
        <v/>
      </c>
      <c r="F113" s="262">
        <f>Envoltória!D108*Envoltória!Y108</f>
        <v>0</v>
      </c>
      <c r="G113" s="301">
        <f>IFERROR(Envoltória!U108*F113,0)</f>
        <v>0</v>
      </c>
      <c r="H113" s="262">
        <f t="shared" si="5"/>
        <v>0</v>
      </c>
      <c r="I113" s="262">
        <f t="shared" si="6"/>
        <v>0</v>
      </c>
      <c r="J113" s="262">
        <f t="shared" si="4"/>
        <v>0</v>
      </c>
      <c r="K113" s="289"/>
      <c r="L113" s="289"/>
      <c r="M113" s="289"/>
      <c r="N113" s="289"/>
      <c r="O113" s="289"/>
      <c r="P113" s="9"/>
      <c r="Q113" s="276"/>
      <c r="R113" s="276"/>
      <c r="S113" s="276"/>
      <c r="T113" s="276"/>
      <c r="U113" s="276"/>
      <c r="V113" s="276"/>
      <c r="W113" s="276"/>
      <c r="X113" s="276"/>
      <c r="Y113" s="276"/>
    </row>
    <row r="114" spans="1:25" ht="20.100000000000001" customHeight="1" x14ac:dyDescent="0.25">
      <c r="A114" s="87">
        <v>91</v>
      </c>
      <c r="B114" s="308" t="str">
        <f>IF(Envoltória!C109="","",Envoltória!C109)</f>
        <v/>
      </c>
      <c r="C114" s="137"/>
      <c r="D114" s="262" t="str">
        <f>Envoltória!AB109</f>
        <v/>
      </c>
      <c r="E114" s="262" t="str">
        <f>Envoltória!AC109</f>
        <v/>
      </c>
      <c r="F114" s="262">
        <f>Envoltória!D109*Envoltória!Y109</f>
        <v>0</v>
      </c>
      <c r="G114" s="301">
        <f>IFERROR(Envoltória!U109*F114,0)</f>
        <v>0</v>
      </c>
      <c r="H114" s="262">
        <f t="shared" si="5"/>
        <v>0</v>
      </c>
      <c r="I114" s="262">
        <f t="shared" si="6"/>
        <v>0</v>
      </c>
      <c r="J114" s="262">
        <f t="shared" si="4"/>
        <v>0</v>
      </c>
      <c r="K114" s="289"/>
      <c r="L114" s="289"/>
      <c r="M114" s="289"/>
      <c r="N114" s="289"/>
      <c r="O114" s="289"/>
      <c r="P114" s="9"/>
      <c r="Q114" s="276"/>
      <c r="R114" s="276"/>
      <c r="S114" s="276"/>
      <c r="T114" s="276"/>
      <c r="U114" s="276"/>
      <c r="V114" s="276"/>
      <c r="W114" s="276"/>
      <c r="X114" s="276"/>
      <c r="Y114" s="276"/>
    </row>
    <row r="115" spans="1:25" ht="20.100000000000001" customHeight="1" x14ac:dyDescent="0.25">
      <c r="A115" s="87">
        <v>92</v>
      </c>
      <c r="B115" s="308" t="str">
        <f>IF(Envoltória!C110="","",Envoltória!C110)</f>
        <v/>
      </c>
      <c r="C115" s="137"/>
      <c r="D115" s="262" t="str">
        <f>Envoltória!AB110</f>
        <v/>
      </c>
      <c r="E115" s="262" t="str">
        <f>Envoltória!AC110</f>
        <v/>
      </c>
      <c r="F115" s="262">
        <f>Envoltória!D110*Envoltória!Y110</f>
        <v>0</v>
      </c>
      <c r="G115" s="301">
        <f>IFERROR(Envoltória!U110*F115,0)</f>
        <v>0</v>
      </c>
      <c r="H115" s="262">
        <f t="shared" si="5"/>
        <v>0</v>
      </c>
      <c r="I115" s="262">
        <f t="shared" si="6"/>
        <v>0</v>
      </c>
      <c r="J115" s="262">
        <f t="shared" si="4"/>
        <v>0</v>
      </c>
      <c r="K115" s="289"/>
      <c r="L115" s="289"/>
      <c r="M115" s="289"/>
      <c r="N115" s="289"/>
      <c r="O115" s="289"/>
      <c r="P115" s="9"/>
      <c r="Q115" s="276"/>
      <c r="R115" s="276"/>
      <c r="S115" s="276"/>
      <c r="T115" s="276"/>
      <c r="U115" s="276"/>
      <c r="V115" s="276"/>
      <c r="W115" s="276"/>
      <c r="X115" s="276"/>
      <c r="Y115" s="276"/>
    </row>
    <row r="116" spans="1:25" ht="20.100000000000001" customHeight="1" x14ac:dyDescent="0.25">
      <c r="A116" s="87">
        <v>93</v>
      </c>
      <c r="B116" s="308" t="str">
        <f>IF(Envoltória!C111="","",Envoltória!C111)</f>
        <v/>
      </c>
      <c r="C116" s="137"/>
      <c r="D116" s="262" t="str">
        <f>Envoltória!AB111</f>
        <v/>
      </c>
      <c r="E116" s="262" t="str">
        <f>Envoltória!AC111</f>
        <v/>
      </c>
      <c r="F116" s="262">
        <f>Envoltória!D111*Envoltória!Y111</f>
        <v>0</v>
      </c>
      <c r="G116" s="301">
        <f>IFERROR(Envoltória!U111*F116,0)</f>
        <v>0</v>
      </c>
      <c r="H116" s="262">
        <f t="shared" si="5"/>
        <v>0</v>
      </c>
      <c r="I116" s="262">
        <f t="shared" si="6"/>
        <v>0</v>
      </c>
      <c r="J116" s="262">
        <f t="shared" si="4"/>
        <v>0</v>
      </c>
      <c r="K116" s="289"/>
      <c r="L116" s="289"/>
      <c r="M116" s="289"/>
      <c r="N116" s="289"/>
      <c r="O116" s="289"/>
      <c r="P116" s="9"/>
      <c r="Q116" s="276"/>
      <c r="R116" s="276"/>
      <c r="S116" s="276"/>
      <c r="T116" s="276"/>
      <c r="U116" s="276"/>
      <c r="V116" s="276"/>
      <c r="W116" s="276"/>
      <c r="X116" s="276"/>
      <c r="Y116" s="276"/>
    </row>
    <row r="117" spans="1:25" ht="20.100000000000001" customHeight="1" x14ac:dyDescent="0.25">
      <c r="A117" s="87">
        <v>94</v>
      </c>
      <c r="B117" s="308" t="str">
        <f>IF(Envoltória!C112="","",Envoltória!C112)</f>
        <v/>
      </c>
      <c r="C117" s="137"/>
      <c r="D117" s="262" t="str">
        <f>Envoltória!AB112</f>
        <v/>
      </c>
      <c r="E117" s="262" t="str">
        <f>Envoltória!AC112</f>
        <v/>
      </c>
      <c r="F117" s="262">
        <f>Envoltória!D112*Envoltória!Y112</f>
        <v>0</v>
      </c>
      <c r="G117" s="301">
        <f>IFERROR(Envoltória!U112*F117,0)</f>
        <v>0</v>
      </c>
      <c r="H117" s="262">
        <f t="shared" si="5"/>
        <v>0</v>
      </c>
      <c r="I117" s="262">
        <f t="shared" si="6"/>
        <v>0</v>
      </c>
      <c r="J117" s="262">
        <f t="shared" si="4"/>
        <v>0</v>
      </c>
      <c r="K117" s="289"/>
      <c r="L117" s="289"/>
      <c r="M117" s="289"/>
      <c r="N117" s="289"/>
      <c r="O117" s="289"/>
      <c r="P117" s="9"/>
      <c r="Q117" s="276"/>
      <c r="R117" s="276"/>
      <c r="S117" s="276"/>
      <c r="T117" s="276"/>
      <c r="U117" s="276"/>
      <c r="V117" s="276"/>
      <c r="W117" s="276"/>
      <c r="X117" s="276"/>
      <c r="Y117" s="276"/>
    </row>
    <row r="118" spans="1:25" ht="20.100000000000001" customHeight="1" x14ac:dyDescent="0.25">
      <c r="A118" s="87">
        <v>95</v>
      </c>
      <c r="B118" s="308" t="str">
        <f>IF(Envoltória!C113="","",Envoltória!C113)</f>
        <v/>
      </c>
      <c r="C118" s="137"/>
      <c r="D118" s="262" t="str">
        <f>Envoltória!AB113</f>
        <v/>
      </c>
      <c r="E118" s="262" t="str">
        <f>Envoltória!AC113</f>
        <v/>
      </c>
      <c r="F118" s="262">
        <f>Envoltória!D113*Envoltória!Y113</f>
        <v>0</v>
      </c>
      <c r="G118" s="301">
        <f>IFERROR(Envoltória!U113*F118,0)</f>
        <v>0</v>
      </c>
      <c r="H118" s="262">
        <f t="shared" si="5"/>
        <v>0</v>
      </c>
      <c r="I118" s="262">
        <f t="shared" si="6"/>
        <v>0</v>
      </c>
      <c r="J118" s="262">
        <f t="shared" si="4"/>
        <v>0</v>
      </c>
      <c r="K118" s="289"/>
      <c r="L118" s="289"/>
      <c r="M118" s="289"/>
      <c r="N118" s="289"/>
      <c r="O118" s="289"/>
      <c r="P118" s="9"/>
      <c r="Q118" s="276"/>
      <c r="R118" s="276"/>
      <c r="S118" s="276"/>
      <c r="T118" s="276"/>
      <c r="U118" s="276"/>
      <c r="V118" s="276"/>
      <c r="W118" s="276"/>
      <c r="X118" s="276"/>
      <c r="Y118" s="276"/>
    </row>
    <row r="119" spans="1:25" ht="20.100000000000001" customHeight="1" x14ac:dyDescent="0.25">
      <c r="A119" s="87">
        <v>96</v>
      </c>
      <c r="B119" s="308" t="str">
        <f>IF(Envoltória!C114="","",Envoltória!C114)</f>
        <v/>
      </c>
      <c r="C119" s="137"/>
      <c r="D119" s="262" t="str">
        <f>Envoltória!AB114</f>
        <v/>
      </c>
      <c r="E119" s="262" t="str">
        <f>Envoltória!AC114</f>
        <v/>
      </c>
      <c r="F119" s="262">
        <f>Envoltória!D114*Envoltória!Y114</f>
        <v>0</v>
      </c>
      <c r="G119" s="301">
        <f>IFERROR(Envoltória!U114*F119,0)</f>
        <v>0</v>
      </c>
      <c r="H119" s="262">
        <f t="shared" si="5"/>
        <v>0</v>
      </c>
      <c r="I119" s="262">
        <f t="shared" si="6"/>
        <v>0</v>
      </c>
      <c r="J119" s="262">
        <f t="shared" si="4"/>
        <v>0</v>
      </c>
      <c r="K119" s="289"/>
      <c r="L119" s="289"/>
      <c r="M119" s="289"/>
      <c r="N119" s="289"/>
      <c r="O119" s="289"/>
      <c r="P119" s="9"/>
      <c r="Q119" s="276"/>
      <c r="R119" s="276"/>
      <c r="S119" s="276"/>
      <c r="T119" s="276"/>
      <c r="U119" s="276"/>
      <c r="V119" s="276"/>
      <c r="W119" s="276"/>
      <c r="X119" s="276"/>
      <c r="Y119" s="276"/>
    </row>
    <row r="120" spans="1:25" ht="20.100000000000001" customHeight="1" x14ac:dyDescent="0.25">
      <c r="A120" s="87">
        <v>97</v>
      </c>
      <c r="B120" s="308" t="str">
        <f>IF(Envoltória!C115="","",Envoltória!C115)</f>
        <v/>
      </c>
      <c r="C120" s="137"/>
      <c r="D120" s="262" t="str">
        <f>Envoltória!AB115</f>
        <v/>
      </c>
      <c r="E120" s="262" t="str">
        <f>Envoltória!AC115</f>
        <v/>
      </c>
      <c r="F120" s="262">
        <f>Envoltória!D115*Envoltória!Y115</f>
        <v>0</v>
      </c>
      <c r="G120" s="301">
        <f>IFERROR(Envoltória!U115*F120,0)</f>
        <v>0</v>
      </c>
      <c r="H120" s="262">
        <f t="shared" si="5"/>
        <v>0</v>
      </c>
      <c r="I120" s="262">
        <f t="shared" si="6"/>
        <v>0</v>
      </c>
      <c r="J120" s="262">
        <f t="shared" si="4"/>
        <v>0</v>
      </c>
      <c r="K120" s="289"/>
      <c r="L120" s="289"/>
      <c r="M120" s="289"/>
      <c r="N120" s="289"/>
      <c r="O120" s="289"/>
      <c r="P120" s="9"/>
      <c r="Q120" s="276"/>
      <c r="R120" s="276"/>
      <c r="S120" s="276"/>
      <c r="T120" s="276"/>
      <c r="U120" s="276"/>
      <c r="V120" s="276"/>
      <c r="W120" s="276"/>
      <c r="X120" s="276"/>
      <c r="Y120" s="276"/>
    </row>
    <row r="121" spans="1:25" ht="20.100000000000001" customHeight="1" x14ac:dyDescent="0.25">
      <c r="A121" s="87">
        <v>98</v>
      </c>
      <c r="B121" s="308" t="str">
        <f>IF(Envoltória!C116="","",Envoltória!C116)</f>
        <v/>
      </c>
      <c r="C121" s="137"/>
      <c r="D121" s="262" t="str">
        <f>Envoltória!AB116</f>
        <v/>
      </c>
      <c r="E121" s="262" t="str">
        <f>Envoltória!AC116</f>
        <v/>
      </c>
      <c r="F121" s="262">
        <f>Envoltória!D116*Envoltória!Y116</f>
        <v>0</v>
      </c>
      <c r="G121" s="301">
        <f>IFERROR(Envoltória!U116*F121,0)</f>
        <v>0</v>
      </c>
      <c r="H121" s="262">
        <f t="shared" si="5"/>
        <v>0</v>
      </c>
      <c r="I121" s="262">
        <f t="shared" si="6"/>
        <v>0</v>
      </c>
      <c r="J121" s="262">
        <f t="shared" si="4"/>
        <v>0</v>
      </c>
      <c r="K121" s="289"/>
      <c r="L121" s="289"/>
      <c r="M121" s="289"/>
      <c r="N121" s="289"/>
      <c r="O121" s="289"/>
      <c r="P121" s="9"/>
      <c r="Q121" s="276"/>
      <c r="R121" s="276"/>
      <c r="S121" s="276"/>
      <c r="T121" s="276"/>
      <c r="U121" s="276"/>
      <c r="V121" s="276"/>
      <c r="W121" s="276"/>
      <c r="X121" s="276"/>
      <c r="Y121" s="276"/>
    </row>
    <row r="122" spans="1:25" ht="20.100000000000001" customHeight="1" x14ac:dyDescent="0.25">
      <c r="A122" s="87">
        <v>99</v>
      </c>
      <c r="B122" s="308" t="str">
        <f>IF(Envoltória!C117="","",Envoltória!C117)</f>
        <v/>
      </c>
      <c r="C122" s="137"/>
      <c r="D122" s="262" t="str">
        <f>Envoltória!AB117</f>
        <v/>
      </c>
      <c r="E122" s="262" t="str">
        <f>Envoltória!AC117</f>
        <v/>
      </c>
      <c r="F122" s="262">
        <f>Envoltória!D117*Envoltória!Y117</f>
        <v>0</v>
      </c>
      <c r="G122" s="301">
        <f>IFERROR(Envoltória!U117*F122,0)</f>
        <v>0</v>
      </c>
      <c r="H122" s="262">
        <f t="shared" si="5"/>
        <v>0</v>
      </c>
      <c r="I122" s="262">
        <f t="shared" si="6"/>
        <v>0</v>
      </c>
      <c r="J122" s="262">
        <f t="shared" si="4"/>
        <v>0</v>
      </c>
      <c r="K122" s="289"/>
      <c r="L122" s="289"/>
      <c r="M122" s="289"/>
      <c r="N122" s="289"/>
      <c r="O122" s="289"/>
      <c r="P122" s="9"/>
      <c r="Q122" s="276"/>
      <c r="R122" s="276"/>
      <c r="S122" s="276"/>
      <c r="T122" s="276"/>
      <c r="U122" s="276"/>
      <c r="V122" s="276"/>
      <c r="W122" s="276"/>
      <c r="X122" s="276"/>
      <c r="Y122" s="276"/>
    </row>
    <row r="123" spans="1:25" ht="20.100000000000001" customHeight="1" x14ac:dyDescent="0.25">
      <c r="A123" s="87">
        <v>100</v>
      </c>
      <c r="B123" s="308" t="str">
        <f>IF(Envoltória!C118="","",Envoltória!C118)</f>
        <v/>
      </c>
      <c r="C123" s="137"/>
      <c r="D123" s="262" t="str">
        <f>Envoltória!AB118</f>
        <v/>
      </c>
      <c r="E123" s="262" t="str">
        <f>Envoltória!AC118</f>
        <v/>
      </c>
      <c r="F123" s="262">
        <f>Envoltória!D118*Envoltória!Y118</f>
        <v>0</v>
      </c>
      <c r="G123" s="301">
        <f>IFERROR(Envoltória!U118*F123,0)</f>
        <v>0</v>
      </c>
      <c r="H123" s="262">
        <f t="shared" si="5"/>
        <v>0</v>
      </c>
      <c r="I123" s="262">
        <f t="shared" si="6"/>
        <v>0</v>
      </c>
      <c r="J123" s="262">
        <f t="shared" si="4"/>
        <v>0</v>
      </c>
      <c r="K123" s="289"/>
      <c r="L123" s="289"/>
      <c r="M123" s="289"/>
      <c r="N123" s="289"/>
      <c r="O123" s="289"/>
      <c r="P123" s="9"/>
      <c r="Q123" s="276"/>
      <c r="R123" s="276"/>
      <c r="S123" s="276"/>
      <c r="T123" s="276"/>
      <c r="U123" s="276"/>
      <c r="V123" s="276"/>
      <c r="W123" s="276"/>
      <c r="X123" s="276"/>
      <c r="Y123" s="276"/>
    </row>
    <row r="124" spans="1:25" ht="20.100000000000001" customHeight="1" x14ac:dyDescent="0.25">
      <c r="H124" s="9"/>
      <c r="I124" s="9"/>
      <c r="J124" s="9"/>
      <c r="K124" s="9"/>
      <c r="L124" s="9"/>
      <c r="M124" s="9"/>
      <c r="N124" s="9"/>
      <c r="O124" s="9"/>
      <c r="P124" s="9"/>
    </row>
    <row r="125" spans="1:25" ht="20.100000000000001" customHeight="1" x14ac:dyDescent="0.25">
      <c r="H125" s="9"/>
      <c r="I125" s="9"/>
      <c r="J125" s="9"/>
      <c r="K125" s="9"/>
      <c r="L125" s="9"/>
      <c r="M125" s="9"/>
      <c r="N125" s="9"/>
      <c r="O125" s="9"/>
      <c r="P125" s="9"/>
    </row>
    <row r="126" spans="1:25" ht="20.100000000000001" customHeight="1" x14ac:dyDescent="0.25">
      <c r="H126" s="86"/>
      <c r="I126" s="86"/>
      <c r="J126" s="86"/>
      <c r="K126" s="86"/>
      <c r="L126" s="86"/>
      <c r="M126" s="86"/>
      <c r="N126" s="86"/>
      <c r="O126" s="86"/>
      <c r="P126" s="86"/>
    </row>
  </sheetData>
  <sheetProtection algorithmName="SHA-512" hashValue="37KwPEjS5QX+6lviCDHI2yZd0b6zgT2rCwcHh/IYaelyKBWcwbaM6lsb0/owmHvlJeE1d8Jge76fzsxzu5Lggg==" saltValue="/xAJ6GozKA79U9XakAVEMw==" spinCount="100000" sheet="1" objects="1" scenarios="1"/>
  <protectedRanges>
    <protectedRange sqref="C19" name="MetodoEnvoltoria"/>
    <protectedRange sqref="B24:C123" name="arcondicionado"/>
    <protectedRange sqref="U15:U16 X15:X16" name="metodoSimulacao"/>
  </protectedRanges>
  <mergeCells count="73">
    <mergeCell ref="R26:R27"/>
    <mergeCell ref="Q26:Q27"/>
    <mergeCell ref="O34:O35"/>
    <mergeCell ref="L25:M26"/>
    <mergeCell ref="N25:N26"/>
    <mergeCell ref="O28:O29"/>
    <mergeCell ref="O31:O32"/>
    <mergeCell ref="L34:M35"/>
    <mergeCell ref="N34:N35"/>
    <mergeCell ref="L28:M29"/>
    <mergeCell ref="N28:N29"/>
    <mergeCell ref="L31:M32"/>
    <mergeCell ref="N31:N32"/>
    <mergeCell ref="W28:W29"/>
    <mergeCell ref="W26:W27"/>
    <mergeCell ref="X26:X27"/>
    <mergeCell ref="X28:X29"/>
    <mergeCell ref="W30:W31"/>
    <mergeCell ref="X30:X31"/>
    <mergeCell ref="U38:U39"/>
    <mergeCell ref="U32:U33"/>
    <mergeCell ref="T34:T35"/>
    <mergeCell ref="U34:U35"/>
    <mergeCell ref="T26:T27"/>
    <mergeCell ref="T28:T29"/>
    <mergeCell ref="U26:U27"/>
    <mergeCell ref="U28:U29"/>
    <mergeCell ref="T30:T31"/>
    <mergeCell ref="U30:U31"/>
    <mergeCell ref="T40:T41"/>
    <mergeCell ref="W24:W25"/>
    <mergeCell ref="Q34:Q35"/>
    <mergeCell ref="W9:W10"/>
    <mergeCell ref="R30:R31"/>
    <mergeCell ref="Q30:Q31"/>
    <mergeCell ref="T23:U23"/>
    <mergeCell ref="W23:X23"/>
    <mergeCell ref="X24:X25"/>
    <mergeCell ref="T32:T33"/>
    <mergeCell ref="T24:T25"/>
    <mergeCell ref="U24:U25"/>
    <mergeCell ref="U40:U41"/>
    <mergeCell ref="T36:T37"/>
    <mergeCell ref="U36:U37"/>
    <mergeCell ref="T38:T39"/>
    <mergeCell ref="Q60:Q61"/>
    <mergeCell ref="R60:R61"/>
    <mergeCell ref="Q46:Q47"/>
    <mergeCell ref="R46:R47"/>
    <mergeCell ref="Q48:Q49"/>
    <mergeCell ref="R48:R49"/>
    <mergeCell ref="Q54:Q55"/>
    <mergeCell ref="R54:R55"/>
    <mergeCell ref="Q52:Q53"/>
    <mergeCell ref="R52:R53"/>
    <mergeCell ref="Q50:Q51"/>
    <mergeCell ref="R50:R51"/>
    <mergeCell ref="B14:R16"/>
    <mergeCell ref="Q56:Q57"/>
    <mergeCell ref="R56:R57"/>
    <mergeCell ref="Q58:Q59"/>
    <mergeCell ref="R58:R59"/>
    <mergeCell ref="Q40:R45"/>
    <mergeCell ref="Q38:R39"/>
    <mergeCell ref="R32:R33"/>
    <mergeCell ref="Q32:Q33"/>
    <mergeCell ref="R34:R35"/>
    <mergeCell ref="Q24:Q25"/>
    <mergeCell ref="R24:R25"/>
    <mergeCell ref="R28:R29"/>
    <mergeCell ref="Q28:Q29"/>
    <mergeCell ref="Q23:R23"/>
    <mergeCell ref="O25:O26"/>
  </mergeCells>
  <phoneticPr fontId="21" type="noConversion"/>
  <conditionalFormatting sqref="T14:X16">
    <cfRule type="expression" dxfId="56" priority="2">
      <formula>$C$8="Método Simplificado"</formula>
    </cfRule>
  </conditionalFormatting>
  <dataValidations count="5">
    <dataValidation type="list" allowBlank="1" showInputMessage="1" showErrorMessage="1" sqref="O101:O123 K101:M123" xr:uid="{00000000-0002-0000-0400-000001000000}">
      <formula1>"Sim,Não,Não se aplica"</formula1>
    </dataValidation>
    <dataValidation type="list" allowBlank="1" showInputMessage="1" showErrorMessage="1" sqref="B24:B123" xr:uid="{00000000-0002-0000-0400-000000000000}">
      <formula1>"Autodeclaração,Projeto"</formula1>
    </dataValidation>
    <dataValidation type="list" allowBlank="1" showInputMessage="1" showErrorMessage="1" sqref="C18:C19" xr:uid="{553D825D-C30D-4211-9D97-42CBDF613A01}">
      <formula1>"Projeto,Autodeclaração"</formula1>
    </dataValidation>
    <dataValidation type="list" allowBlank="1" showInputMessage="1" showErrorMessage="1" sqref="C24:C123" xr:uid="{8599C6D3-1827-4365-A4A9-10E3C57E7FB5}">
      <formula1>"Sistemas unitários,Sistemas centrais,Não previsto"</formula1>
    </dataValidation>
    <dataValidation type="list" allowBlank="1" showInputMessage="1" showErrorMessage="1" sqref="C8" xr:uid="{146BA021-6365-4380-AE42-34E3AC104E09}">
      <formula1>"Método Simplificado,Método de Simulação"</formula1>
    </dataValidation>
  </dataValidations>
  <pageMargins left="0.511811024" right="0.511811024" top="0.78740157499999996" bottom="0.78740157499999996" header="0.31496062000000002" footer="0.31496062000000002"/>
  <pageSetup paperSize="9"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03E0B9-252D-4B11-B94D-251B79E4C908}">
  <sheetPr codeName="Planilha20">
    <tabColor rgb="FF00B050"/>
  </sheetPr>
  <dimension ref="A1:AR87"/>
  <sheetViews>
    <sheetView showGridLines="0" zoomScale="115" zoomScaleNormal="115" workbookViewId="0">
      <pane ySplit="5" topLeftCell="A38" activePane="bottomLeft" state="frozen"/>
      <selection pane="bottomLeft" activeCell="D44" sqref="D44"/>
    </sheetView>
  </sheetViews>
  <sheetFormatPr defaultColWidth="9.140625" defaultRowHeight="15" x14ac:dyDescent="0.25"/>
  <cols>
    <col min="1" max="1" width="5.7109375" style="11" customWidth="1"/>
    <col min="2" max="2" width="25.7109375" style="11" customWidth="1"/>
    <col min="3" max="4" width="20.7109375" style="11" customWidth="1"/>
    <col min="5" max="6" width="5.7109375" style="11" customWidth="1"/>
    <col min="7" max="8" width="25.7109375" style="11" customWidth="1"/>
    <col min="9" max="9" width="5.7109375" style="11" customWidth="1"/>
    <col min="10" max="10" width="35.7109375" style="11" customWidth="1"/>
    <col min="11" max="11" width="32.28515625" style="11" customWidth="1"/>
    <col min="12" max="12" width="5.7109375" style="11" customWidth="1"/>
    <col min="13" max="14" width="32.7109375" style="11" customWidth="1"/>
    <col min="15" max="15" width="5.7109375" style="488" customWidth="1"/>
    <col min="16" max="16" width="21.140625" style="11" customWidth="1"/>
    <col min="17" max="26" width="15.7109375" style="11" customWidth="1"/>
    <col min="27" max="28" width="15.7109375" style="11" hidden="1" customWidth="1"/>
    <col min="29" max="29" width="15.7109375" style="11" customWidth="1"/>
    <col min="30" max="30" width="5.7109375" style="11" customWidth="1"/>
    <col min="31" max="31" width="27.5703125" style="11" customWidth="1"/>
    <col min="32" max="32" width="20.85546875" style="11" customWidth="1"/>
    <col min="33" max="33" width="5.7109375" style="11" customWidth="1"/>
    <col min="34" max="34" width="17.85546875" style="11" customWidth="1"/>
    <col min="35" max="35" width="13.5703125" style="11" customWidth="1"/>
    <col min="36" max="36" width="12" style="11" bestFit="1" customWidth="1"/>
    <col min="37" max="37" width="10.5703125" style="11" customWidth="1"/>
    <col min="38" max="38" width="11.85546875" style="11" customWidth="1"/>
    <col min="39" max="39" width="22.7109375" style="11" customWidth="1"/>
    <col min="40" max="41" width="14.140625" style="11" customWidth="1"/>
    <col min="42" max="43" width="11.85546875" style="11" customWidth="1"/>
    <col min="44" max="44" width="5.7109375" style="11" customWidth="1"/>
    <col min="45" max="16384" width="9.140625" style="11"/>
  </cols>
  <sheetData>
    <row r="1" spans="1:44" ht="20.100000000000001" customHeight="1" x14ac:dyDescent="0.25">
      <c r="A1"/>
      <c r="B1"/>
      <c r="C1"/>
      <c r="D1"/>
      <c r="E1"/>
      <c r="F1"/>
      <c r="G1"/>
      <c r="H1"/>
      <c r="I1"/>
      <c r="J1"/>
      <c r="K1"/>
      <c r="L1"/>
      <c r="M1"/>
      <c r="N1"/>
      <c r="O1" s="481"/>
      <c r="P1"/>
      <c r="Q1"/>
      <c r="R1"/>
      <c r="S1"/>
      <c r="T1"/>
      <c r="U1"/>
      <c r="V1"/>
      <c r="W1"/>
      <c r="X1"/>
      <c r="Y1"/>
      <c r="Z1"/>
      <c r="AA1"/>
      <c r="AB1"/>
      <c r="AC1"/>
      <c r="AD1"/>
      <c r="AE1"/>
      <c r="AF1"/>
      <c r="AG1"/>
    </row>
    <row r="2" spans="1:44" ht="20.100000000000001" customHeight="1" x14ac:dyDescent="0.25">
      <c r="A2"/>
      <c r="B2"/>
      <c r="C2"/>
      <c r="D2"/>
      <c r="E2"/>
      <c r="F2"/>
      <c r="G2" s="29" t="s">
        <v>20</v>
      </c>
      <c r="H2" s="510" t="s">
        <v>8</v>
      </c>
      <c r="I2" s="606" t="s">
        <v>10</v>
      </c>
      <c r="J2" s="606"/>
      <c r="K2" s="607" t="s">
        <v>12</v>
      </c>
      <c r="L2" s="607"/>
      <c r="M2" s="511" t="s">
        <v>5985</v>
      </c>
      <c r="N2" s="512" t="s">
        <v>16</v>
      </c>
      <c r="O2" s="481"/>
      <c r="P2"/>
      <c r="Q2"/>
      <c r="R2"/>
      <c r="S2"/>
      <c r="T2"/>
      <c r="U2"/>
      <c r="V2"/>
      <c r="W2"/>
      <c r="X2"/>
      <c r="Y2"/>
      <c r="Z2"/>
      <c r="AA2"/>
      <c r="AB2"/>
      <c r="AC2"/>
      <c r="AD2"/>
      <c r="AE2"/>
      <c r="AF2"/>
      <c r="AG2"/>
    </row>
    <row r="3" spans="1:44" s="12" customFormat="1" ht="20.100000000000001" customHeight="1" x14ac:dyDescent="0.25">
      <c r="A3" s="10"/>
      <c r="B3" s="10"/>
      <c r="C3" s="10"/>
      <c r="D3" s="10"/>
      <c r="E3" s="10"/>
      <c r="F3" s="10"/>
      <c r="G3" s="10"/>
      <c r="H3" s="10"/>
      <c r="I3" s="10"/>
      <c r="J3" s="10"/>
      <c r="K3" s="10"/>
      <c r="L3" s="10"/>
      <c r="M3" s="10"/>
      <c r="N3" s="10"/>
      <c r="O3" s="482"/>
      <c r="P3" s="10"/>
      <c r="Q3" s="10"/>
      <c r="R3" s="10"/>
      <c r="S3" s="10"/>
      <c r="T3" s="10"/>
      <c r="U3" s="10"/>
      <c r="V3" s="10"/>
      <c r="W3" s="10"/>
      <c r="X3" s="10"/>
      <c r="Y3" s="10"/>
      <c r="Z3" s="10"/>
      <c r="AA3" s="10"/>
      <c r="AB3" s="10"/>
      <c r="AC3" s="10"/>
      <c r="AD3" s="10"/>
      <c r="AE3" s="10"/>
      <c r="AF3" s="10"/>
      <c r="AG3" s="10"/>
    </row>
    <row r="4" spans="1:44" x14ac:dyDescent="0.25">
      <c r="A4"/>
      <c r="B4"/>
      <c r="C4"/>
      <c r="D4"/>
      <c r="E4"/>
      <c r="F4"/>
      <c r="G4"/>
      <c r="H4"/>
      <c r="I4"/>
      <c r="J4"/>
      <c r="K4"/>
      <c r="L4"/>
      <c r="M4"/>
      <c r="N4"/>
      <c r="O4" s="481"/>
      <c r="P4"/>
      <c r="Q4"/>
      <c r="R4"/>
      <c r="S4"/>
      <c r="T4"/>
      <c r="U4"/>
      <c r="V4"/>
      <c r="W4"/>
      <c r="X4"/>
      <c r="Y4"/>
      <c r="Z4"/>
      <c r="AA4"/>
      <c r="AB4"/>
      <c r="AC4"/>
      <c r="AD4"/>
      <c r="AE4"/>
      <c r="AF4"/>
      <c r="AG4"/>
    </row>
    <row r="5" spans="1:44" s="169" customFormat="1" ht="18.75" x14ac:dyDescent="0.3">
      <c r="A5" s="22"/>
      <c r="B5" s="23" t="s">
        <v>117</v>
      </c>
      <c r="C5" s="22"/>
      <c r="D5" s="244"/>
      <c r="E5" s="245"/>
      <c r="F5" s="22"/>
      <c r="G5" s="22"/>
      <c r="H5" s="22"/>
      <c r="I5" s="22"/>
      <c r="J5" s="22"/>
      <c r="K5" s="22"/>
      <c r="L5" s="22"/>
      <c r="M5" s="22"/>
      <c r="N5" s="22"/>
      <c r="O5" s="483"/>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row>
    <row r="6" spans="1:44" hidden="1" x14ac:dyDescent="0.25">
      <c r="A6"/>
      <c r="B6"/>
      <c r="C6"/>
      <c r="D6"/>
      <c r="E6"/>
      <c r="F6"/>
      <c r="G6"/>
      <c r="H6"/>
      <c r="I6"/>
      <c r="J6"/>
      <c r="K6"/>
      <c r="L6"/>
      <c r="M6"/>
      <c r="N6"/>
      <c r="O6" s="481"/>
      <c r="P6"/>
      <c r="Q6"/>
      <c r="R6"/>
      <c r="S6"/>
      <c r="T6"/>
      <c r="U6"/>
      <c r="V6"/>
      <c r="W6"/>
      <c r="X6"/>
      <c r="Y6"/>
      <c r="Z6"/>
      <c r="AA6"/>
      <c r="AB6"/>
      <c r="AC6"/>
      <c r="AD6"/>
      <c r="AE6"/>
      <c r="AF6"/>
      <c r="AG6"/>
    </row>
    <row r="7" spans="1:44" ht="30" hidden="1" customHeight="1" x14ac:dyDescent="0.25">
      <c r="A7"/>
      <c r="B7" s="47" t="s">
        <v>22</v>
      </c>
      <c r="C7" s="48" t="str">
        <f>Início!C11</f>
        <v>Sede da Subseção da Justiça Federal em Patos</v>
      </c>
      <c r="D7" s="9"/>
      <c r="E7" s="9"/>
      <c r="F7"/>
      <c r="G7"/>
      <c r="H7" s="32"/>
      <c r="I7" s="71" t="s">
        <v>43</v>
      </c>
      <c r="J7" s="72" t="s">
        <v>44</v>
      </c>
      <c r="K7" s="73" t="s">
        <v>45</v>
      </c>
      <c r="L7" s="74" t="s">
        <v>46</v>
      </c>
      <c r="M7" s="296" t="s">
        <v>47</v>
      </c>
      <c r="N7" s="387" t="s">
        <v>5964</v>
      </c>
      <c r="O7" s="481"/>
      <c r="P7"/>
      <c r="Q7"/>
      <c r="R7"/>
      <c r="S7"/>
      <c r="T7"/>
      <c r="U7"/>
      <c r="V7"/>
      <c r="W7"/>
      <c r="X7"/>
      <c r="Y7"/>
      <c r="Z7"/>
      <c r="AA7"/>
      <c r="AB7"/>
      <c r="AC7"/>
      <c r="AD7"/>
      <c r="AE7"/>
      <c r="AF7"/>
      <c r="AG7"/>
    </row>
    <row r="8" spans="1:44" ht="30" hidden="1" customHeight="1" x14ac:dyDescent="0.25">
      <c r="A8"/>
      <c r="B8" s="47" t="s">
        <v>24</v>
      </c>
      <c r="C8" s="48" t="str">
        <f>Início!C14</f>
        <v>Projeto</v>
      </c>
      <c r="D8" s="9"/>
      <c r="E8"/>
      <c r="F8"/>
      <c r="G8" s="9"/>
      <c r="H8" s="47" t="s">
        <v>49</v>
      </c>
      <c r="I8" s="106" t="s">
        <v>50</v>
      </c>
      <c r="J8" s="106">
        <f>I9</f>
        <v>0.3</v>
      </c>
      <c r="K8" s="106">
        <f>J9</f>
        <v>0.2</v>
      </c>
      <c r="L8" s="106">
        <f>K9</f>
        <v>0.1</v>
      </c>
      <c r="M8" s="297">
        <f>L9</f>
        <v>0</v>
      </c>
      <c r="N8" s="478" t="str">
        <f>IF(C35="","",IF(C11&gt;I9,I7,
IF(AND(C11&gt;J9,C11&lt;=J8),J7,
IF(AND(C11&gt;K9,C11&lt;=K8),K7,
IF(AND(C11&gt;=L9,C11&lt;=L8),L7,M7)))))</f>
        <v>D</v>
      </c>
      <c r="O8" s="481"/>
      <c r="P8"/>
      <c r="Q8"/>
      <c r="R8"/>
      <c r="S8"/>
      <c r="T8"/>
      <c r="U8"/>
      <c r="V8"/>
      <c r="W8"/>
      <c r="X8"/>
      <c r="Y8"/>
      <c r="Z8"/>
      <c r="AA8"/>
      <c r="AB8"/>
      <c r="AC8"/>
      <c r="AD8"/>
      <c r="AE8"/>
      <c r="AF8"/>
      <c r="AG8"/>
    </row>
    <row r="9" spans="1:44" ht="30" hidden="1" customHeight="1" x14ac:dyDescent="0.25">
      <c r="A9"/>
      <c r="B9" s="47" t="s">
        <v>10599</v>
      </c>
      <c r="C9" s="135">
        <f>C54+AF48</f>
        <v>0</v>
      </c>
      <c r="D9" s="9"/>
      <c r="E9"/>
      <c r="F9"/>
      <c r="G9" s="9"/>
      <c r="H9" s="47" t="s">
        <v>52</v>
      </c>
      <c r="I9" s="106">
        <f>IF($C$35="Com acumulação",0.3,0.21)</f>
        <v>0.3</v>
      </c>
      <c r="J9" s="106">
        <f>IF($C$35="Com acumulação",0.2,0.14)</f>
        <v>0.2</v>
      </c>
      <c r="K9" s="106">
        <f>IF($C$35="Com acumulação",0.1,0.07)</f>
        <v>0.1</v>
      </c>
      <c r="L9" s="106">
        <f>IF($C$35="Com acumulação",0,0)</f>
        <v>0</v>
      </c>
      <c r="M9" s="297" t="s">
        <v>50</v>
      </c>
      <c r="N9" s="478"/>
      <c r="O9" s="481"/>
      <c r="P9"/>
      <c r="Q9"/>
      <c r="R9"/>
      <c r="S9"/>
      <c r="T9"/>
      <c r="U9"/>
      <c r="V9"/>
      <c r="W9"/>
      <c r="X9"/>
      <c r="Y9"/>
      <c r="Z9"/>
      <c r="AA9"/>
      <c r="AB9"/>
      <c r="AC9"/>
      <c r="AD9"/>
      <c r="AE9"/>
      <c r="AF9"/>
      <c r="AG9"/>
    </row>
    <row r="10" spans="1:44" ht="30" hidden="1" customHeight="1" x14ac:dyDescent="0.25">
      <c r="A10"/>
      <c r="B10" s="47" t="s">
        <v>10598</v>
      </c>
      <c r="C10" s="135">
        <f>C55+AF49</f>
        <v>0</v>
      </c>
      <c r="D10" s="9"/>
      <c r="E10"/>
      <c r="F10"/>
      <c r="G10"/>
      <c r="H10" s="9"/>
      <c r="I10" s="9"/>
      <c r="J10" s="9"/>
      <c r="K10" s="9"/>
      <c r="L10" s="9"/>
      <c r="M10" s="9"/>
      <c r="N10"/>
      <c r="O10" s="481"/>
      <c r="P10"/>
      <c r="Q10"/>
      <c r="R10"/>
      <c r="S10"/>
      <c r="T10"/>
      <c r="U10"/>
      <c r="V10"/>
      <c r="W10"/>
      <c r="X10"/>
      <c r="Y10"/>
      <c r="Z10"/>
      <c r="AA10"/>
      <c r="AB10"/>
      <c r="AC10"/>
      <c r="AD10"/>
      <c r="AE10"/>
      <c r="AF10"/>
      <c r="AG10"/>
    </row>
    <row r="11" spans="1:44" ht="30" hidden="1" customHeight="1" x14ac:dyDescent="0.25">
      <c r="A11"/>
      <c r="B11" s="47" t="s">
        <v>10597</v>
      </c>
      <c r="C11" s="111">
        <f>IFERROR((C9-C10)/C9,0)</f>
        <v>0</v>
      </c>
      <c r="D11" s="9"/>
      <c r="E11"/>
      <c r="F11"/>
      <c r="G11" s="9"/>
      <c r="H11" s="2"/>
      <c r="I11" s="2"/>
      <c r="J11" s="2"/>
      <c r="K11" s="2"/>
      <c r="L11" s="2"/>
      <c r="M11" s="2"/>
      <c r="N11"/>
      <c r="O11" s="481"/>
      <c r="P11"/>
      <c r="Q11"/>
      <c r="R11"/>
      <c r="S11"/>
      <c r="T11"/>
      <c r="U11"/>
      <c r="V11"/>
      <c r="W11"/>
      <c r="X11"/>
      <c r="Y11"/>
      <c r="Z11"/>
      <c r="AA11"/>
      <c r="AB11"/>
      <c r="AC11"/>
      <c r="AD11"/>
      <c r="AE11"/>
      <c r="AF11"/>
      <c r="AG11"/>
    </row>
    <row r="12" spans="1:44" customFormat="1" ht="30" hidden="1" x14ac:dyDescent="0.25">
      <c r="B12" s="47" t="s">
        <v>10619</v>
      </c>
      <c r="C12" s="381">
        <f>C58+AF52</f>
        <v>0</v>
      </c>
      <c r="G12" s="9"/>
      <c r="H12" s="2"/>
      <c r="I12" s="2"/>
      <c r="J12" s="2"/>
      <c r="K12" s="2"/>
      <c r="L12" s="2"/>
      <c r="M12" s="2"/>
      <c r="O12" s="481"/>
    </row>
    <row r="13" spans="1:44" customFormat="1" ht="30" hidden="1" x14ac:dyDescent="0.25">
      <c r="B13" s="47" t="s">
        <v>10620</v>
      </c>
      <c r="C13" s="381">
        <f>C59+C60+AF53+AF54</f>
        <v>0</v>
      </c>
      <c r="G13" s="9"/>
      <c r="H13" s="2"/>
      <c r="I13" s="2"/>
      <c r="J13" s="2"/>
      <c r="K13" s="2"/>
      <c r="L13" s="2"/>
      <c r="M13" s="2"/>
      <c r="O13" s="481"/>
    </row>
    <row r="14" spans="1:44" x14ac:dyDescent="0.25">
      <c r="A14"/>
      <c r="B14"/>
      <c r="C14" s="2"/>
      <c r="D14" s="2"/>
      <c r="E14"/>
      <c r="F14"/>
      <c r="G14" s="2"/>
      <c r="H14" s="2"/>
      <c r="I14" s="2"/>
      <c r="J14" s="2"/>
      <c r="K14" s="2"/>
      <c r="L14" s="2"/>
      <c r="M14" s="2"/>
      <c r="N14" s="2"/>
      <c r="O14" s="484"/>
      <c r="P14" s="2"/>
      <c r="Q14" s="2"/>
      <c r="R14" s="2"/>
      <c r="S14" s="2"/>
      <c r="T14" s="2"/>
      <c r="U14" s="2"/>
      <c r="V14" s="2"/>
      <c r="W14" s="2"/>
      <c r="X14" s="2"/>
      <c r="Y14" s="2"/>
      <c r="Z14" s="2"/>
      <c r="AA14" s="2"/>
      <c r="AB14" s="2"/>
      <c r="AC14" s="2"/>
      <c r="AD14" s="18"/>
      <c r="AE14" s="2"/>
      <c r="AF14" s="2"/>
      <c r="AG14" s="19"/>
      <c r="AH14" s="13"/>
      <c r="AI14" s="13"/>
      <c r="AJ14" s="13"/>
      <c r="AK14" s="13"/>
      <c r="AL14" s="13"/>
      <c r="AM14" s="13"/>
      <c r="AN14" s="13"/>
      <c r="AO14" s="13"/>
      <c r="AP14" s="13"/>
      <c r="AQ14" s="13"/>
    </row>
    <row r="15" spans="1:44" ht="171.4" customHeight="1" x14ac:dyDescent="0.25">
      <c r="A15"/>
      <c r="B15" s="535" t="s">
        <v>10651</v>
      </c>
      <c r="C15" s="631"/>
      <c r="D15" s="631"/>
      <c r="E15" s="631"/>
      <c r="F15" s="631"/>
      <c r="G15" s="632"/>
      <c r="H15" s="2"/>
      <c r="I15" s="2"/>
      <c r="J15" s="2"/>
      <c r="K15" s="2"/>
      <c r="L15" s="2"/>
      <c r="M15" s="2"/>
      <c r="N15" s="2"/>
      <c r="O15" s="484"/>
      <c r="P15" s="2"/>
      <c r="Q15" s="2"/>
      <c r="R15" s="2"/>
      <c r="S15" s="2"/>
      <c r="T15" s="2"/>
      <c r="U15" s="2"/>
      <c r="V15" s="2"/>
      <c r="W15" s="2"/>
      <c r="X15" s="2"/>
      <c r="Y15" s="2"/>
      <c r="Z15" s="2"/>
      <c r="AA15" s="2"/>
      <c r="AB15" s="2"/>
      <c r="AC15" s="2"/>
      <c r="AD15" s="18"/>
      <c r="AE15" s="2"/>
      <c r="AF15" s="2"/>
      <c r="AG15" s="19"/>
      <c r="AH15" s="13"/>
      <c r="AI15" s="13"/>
      <c r="AJ15" s="13"/>
      <c r="AK15" s="13"/>
      <c r="AL15" s="13"/>
      <c r="AM15" s="13"/>
      <c r="AN15" s="13"/>
      <c r="AO15" s="13"/>
      <c r="AP15" s="13"/>
      <c r="AQ15" s="13"/>
    </row>
    <row r="16" spans="1:44" x14ac:dyDescent="0.25">
      <c r="A16"/>
      <c r="B16"/>
      <c r="C16" s="2"/>
      <c r="D16" s="2"/>
      <c r="E16"/>
      <c r="F16"/>
      <c r="G16" s="2"/>
      <c r="H16" s="2"/>
      <c r="I16" s="2"/>
      <c r="J16" s="2"/>
      <c r="K16" s="2"/>
      <c r="L16" s="2"/>
      <c r="M16" s="2"/>
      <c r="N16" s="2"/>
      <c r="O16" s="484"/>
      <c r="P16" s="2"/>
      <c r="Q16" s="2"/>
      <c r="R16" s="2"/>
      <c r="S16" s="2"/>
      <c r="T16" s="2"/>
      <c r="U16" s="2"/>
      <c r="V16" s="2"/>
      <c r="W16" s="2"/>
      <c r="X16" s="2"/>
      <c r="Y16" s="2"/>
      <c r="Z16" s="2"/>
      <c r="AA16" s="2"/>
      <c r="AB16" s="2"/>
      <c r="AC16" s="2"/>
      <c r="AD16" s="18"/>
      <c r="AE16" s="2"/>
      <c r="AF16" s="2"/>
      <c r="AG16" s="19"/>
      <c r="AH16" s="13"/>
      <c r="AI16" s="13"/>
      <c r="AJ16" s="13"/>
      <c r="AK16" s="13"/>
      <c r="AL16" s="13"/>
      <c r="AM16" s="13"/>
      <c r="AN16" s="13"/>
      <c r="AO16" s="13"/>
      <c r="AP16" s="13"/>
      <c r="AQ16" s="13"/>
    </row>
    <row r="17" spans="1:43" ht="30" customHeight="1" x14ac:dyDescent="0.25">
      <c r="A17" s="169"/>
      <c r="B17" s="246" t="s">
        <v>5998</v>
      </c>
      <c r="C17" s="169"/>
      <c r="D17" s="169"/>
      <c r="E17" s="39"/>
      <c r="F17" s="39"/>
      <c r="G17" s="39"/>
      <c r="H17" s="39"/>
      <c r="I17" s="39"/>
      <c r="J17" s="39"/>
      <c r="K17" s="39"/>
      <c r="L17" s="39"/>
      <c r="M17" s="39"/>
      <c r="N17" s="39"/>
      <c r="O17" s="485"/>
      <c r="P17" s="39"/>
      <c r="Q17" s="39"/>
      <c r="R17" s="39"/>
      <c r="S17" s="39"/>
      <c r="T17" s="39"/>
      <c r="U17" s="39"/>
      <c r="V17" s="39"/>
      <c r="W17" s="39"/>
      <c r="X17" s="39"/>
      <c r="Y17" s="39"/>
      <c r="Z17" s="39"/>
      <c r="AA17" s="39"/>
      <c r="AB17" s="39"/>
      <c r="AC17" s="39"/>
      <c r="AD17" s="39"/>
      <c r="AE17" s="39"/>
      <c r="AF17" s="39"/>
      <c r="AG17" s="39"/>
    </row>
    <row r="18" spans="1:43" x14ac:dyDescent="0.25">
      <c r="A18"/>
      <c r="B18"/>
      <c r="C18" s="2"/>
      <c r="D18" s="2"/>
      <c r="E18"/>
      <c r="F18"/>
      <c r="G18" s="2"/>
      <c r="H18" s="2"/>
      <c r="I18" s="2"/>
      <c r="J18" s="2"/>
      <c r="K18" s="2"/>
      <c r="L18" s="2"/>
      <c r="M18" s="2"/>
      <c r="N18" s="2"/>
      <c r="O18" s="484"/>
      <c r="P18" s="2"/>
      <c r="Q18" s="2"/>
      <c r="R18" s="2"/>
      <c r="S18" s="2"/>
      <c r="T18" s="2"/>
      <c r="U18" s="2"/>
      <c r="V18" s="2"/>
      <c r="W18" s="2"/>
      <c r="X18" s="2"/>
      <c r="Y18" s="2"/>
      <c r="Z18" s="2"/>
      <c r="AA18" s="2"/>
      <c r="AB18" s="2"/>
      <c r="AC18" s="2"/>
      <c r="AD18" s="18"/>
      <c r="AE18" s="2"/>
      <c r="AF18" s="2"/>
      <c r="AG18" s="19"/>
      <c r="AH18" s="13"/>
      <c r="AI18" s="13"/>
      <c r="AJ18" s="13"/>
      <c r="AK18" s="13"/>
      <c r="AL18" s="13"/>
      <c r="AM18" s="13"/>
      <c r="AN18" s="13"/>
      <c r="AO18" s="13"/>
      <c r="AP18" s="13"/>
      <c r="AQ18" s="13"/>
    </row>
    <row r="19" spans="1:43" x14ac:dyDescent="0.25">
      <c r="A19"/>
      <c r="B19" s="4" t="s">
        <v>10608</v>
      </c>
      <c r="C19" s="2"/>
      <c r="D19" s="2"/>
      <c r="E19"/>
      <c r="F19"/>
      <c r="G19" s="2"/>
      <c r="H19" s="2"/>
      <c r="I19" s="2"/>
      <c r="J19" s="2"/>
      <c r="K19" s="2"/>
      <c r="L19" s="2"/>
      <c r="M19" s="2"/>
      <c r="N19" s="2"/>
      <c r="O19" s="484"/>
      <c r="P19" s="2"/>
      <c r="Q19" s="2"/>
      <c r="R19" s="2"/>
      <c r="S19" s="2"/>
      <c r="T19" s="2"/>
      <c r="U19" s="2"/>
      <c r="V19" s="2"/>
      <c r="W19" s="2"/>
      <c r="X19" s="2"/>
      <c r="Y19" s="2"/>
      <c r="Z19" s="2"/>
      <c r="AA19" s="2"/>
      <c r="AB19" s="2"/>
      <c r="AC19" s="2"/>
      <c r="AD19" s="18"/>
      <c r="AE19" s="2"/>
      <c r="AF19" s="2"/>
      <c r="AG19" s="19"/>
      <c r="AH19" s="13"/>
      <c r="AI19" s="13"/>
      <c r="AJ19" s="13"/>
      <c r="AK19" s="13"/>
      <c r="AL19" s="13"/>
      <c r="AM19" s="13"/>
      <c r="AN19" s="13"/>
      <c r="AO19" s="13"/>
      <c r="AP19" s="13"/>
      <c r="AQ19" s="13"/>
    </row>
    <row r="20" spans="1:43" ht="30" customHeight="1" x14ac:dyDescent="0.25">
      <c r="A20"/>
      <c r="B20" s="47" t="s">
        <v>120</v>
      </c>
      <c r="C20" s="150" t="str">
        <f>Início!C16</f>
        <v>Patos</v>
      </c>
      <c r="D20" s="5" t="str">
        <f>IF(ISERROR(VLOOKUP(C20,Aux_TBS!A:R,17,FALSE)),"Dica: Escreva a cidade vírgula o estado, exemplo: 'Florianópolis, SC':","")</f>
        <v/>
      </c>
      <c r="E20"/>
      <c r="F20"/>
      <c r="G20" s="2"/>
      <c r="H20" s="2"/>
      <c r="I20" s="2"/>
      <c r="J20" s="2"/>
      <c r="K20" s="2"/>
      <c r="L20" s="2"/>
      <c r="M20" s="2"/>
      <c r="N20" s="2"/>
      <c r="O20" s="484"/>
      <c r="P20" s="2"/>
      <c r="Q20" s="2"/>
      <c r="R20" s="2"/>
      <c r="S20" s="2"/>
      <c r="T20" s="2"/>
      <c r="U20" s="2"/>
      <c r="V20" s="2"/>
      <c r="W20" s="2"/>
      <c r="X20" s="2"/>
      <c r="Y20" s="2"/>
      <c r="Z20" s="2"/>
      <c r="AA20" s="2"/>
      <c r="AB20" s="2"/>
      <c r="AC20" s="2"/>
      <c r="AD20" s="18"/>
      <c r="AE20" s="2"/>
      <c r="AF20" s="2"/>
      <c r="AG20" s="19"/>
      <c r="AH20" s="13"/>
      <c r="AI20" s="13"/>
      <c r="AJ20" s="13"/>
      <c r="AK20" s="13"/>
      <c r="AL20" s="13"/>
      <c r="AM20" s="13"/>
      <c r="AN20" s="13"/>
      <c r="AO20" s="13"/>
      <c r="AP20" s="13"/>
      <c r="AQ20" s="13"/>
    </row>
    <row r="21" spans="1:43" ht="39.950000000000003" customHeight="1" x14ac:dyDescent="0.25">
      <c r="A21"/>
      <c r="B21" s="47" t="s">
        <v>121</v>
      </c>
      <c r="C21" s="171">
        <f>IF(ISERROR(VLOOKUP(C20,Aux_TBS!A:R,17,FALSE)),"Escolha uma cidade Representativa na lista ao lado:",VLOOKUP(C20,Aux_TBS!A:R,18,FALSE))</f>
        <v>27.240288711666665</v>
      </c>
      <c r="D21" s="619"/>
      <c r="E21" s="619"/>
      <c r="F21" s="2"/>
      <c r="G21" s="2"/>
      <c r="H21" s="2"/>
      <c r="I21" s="2"/>
      <c r="J21" s="2"/>
      <c r="K21" s="2"/>
      <c r="L21" s="2"/>
      <c r="M21" s="2"/>
      <c r="N21" s="2"/>
      <c r="O21" s="484"/>
      <c r="P21" s="2"/>
      <c r="Q21" s="2"/>
      <c r="R21" s="2"/>
      <c r="S21" s="2"/>
      <c r="T21" s="2"/>
      <c r="U21" s="2"/>
      <c r="V21" s="2"/>
      <c r="W21" s="2"/>
      <c r="X21" s="2"/>
      <c r="Y21" s="2"/>
      <c r="Z21" s="2"/>
      <c r="AA21" s="2"/>
      <c r="AB21" s="2"/>
      <c r="AC21" s="2"/>
      <c r="AD21" s="2"/>
      <c r="AE21" s="2"/>
      <c r="AF21" s="2"/>
      <c r="AG21" s="19"/>
      <c r="AH21" s="13"/>
      <c r="AI21" s="13"/>
      <c r="AJ21" s="13"/>
      <c r="AK21" s="13"/>
      <c r="AL21" s="13"/>
      <c r="AM21" s="13"/>
      <c r="AN21" s="13"/>
      <c r="AO21" s="13"/>
      <c r="AP21" s="13"/>
      <c r="AQ21" s="13"/>
    </row>
    <row r="22" spans="1:43" ht="15" customHeight="1" x14ac:dyDescent="0.25">
      <c r="A22"/>
      <c r="B22"/>
      <c r="C22" s="2"/>
      <c r="D22" s="2"/>
      <c r="E22" s="2"/>
      <c r="F22" s="2"/>
      <c r="G22" s="2"/>
      <c r="H22" s="2"/>
      <c r="I22" s="2"/>
      <c r="J22" s="2"/>
      <c r="K22" s="2"/>
      <c r="L22" s="2"/>
      <c r="M22" s="2"/>
      <c r="N22" s="2"/>
      <c r="O22" s="484"/>
      <c r="P22" s="2"/>
      <c r="Q22" s="2"/>
      <c r="R22" s="2"/>
      <c r="S22" s="2"/>
      <c r="T22" s="2"/>
      <c r="U22" s="2"/>
      <c r="V22" s="2"/>
      <c r="W22" s="2"/>
      <c r="X22" s="2"/>
      <c r="Y22" s="2"/>
      <c r="Z22" s="2"/>
      <c r="AA22" s="2"/>
      <c r="AB22" s="2"/>
      <c r="AC22" s="2"/>
      <c r="AD22" s="2"/>
      <c r="AE22" s="2"/>
      <c r="AF22" s="2"/>
      <c r="AG22" s="2"/>
      <c r="AH22" s="13"/>
      <c r="AI22" s="13"/>
      <c r="AJ22" s="13"/>
      <c r="AK22" s="13"/>
      <c r="AL22" s="13"/>
      <c r="AM22" s="13"/>
      <c r="AN22" s="13"/>
      <c r="AO22" s="13"/>
      <c r="AP22" s="13"/>
      <c r="AQ22" s="13"/>
    </row>
    <row r="23" spans="1:43" x14ac:dyDescent="0.25">
      <c r="A23"/>
      <c r="B23" s="4"/>
      <c r="C23" s="2"/>
      <c r="D23" s="2"/>
      <c r="E23" s="2"/>
      <c r="F23" s="2"/>
      <c r="G23" s="2"/>
      <c r="H23" s="2"/>
      <c r="I23" s="2"/>
      <c r="J23" s="2"/>
      <c r="K23" s="2"/>
      <c r="L23" s="2"/>
      <c r="M23" s="2"/>
      <c r="N23" s="2"/>
      <c r="O23" s="484"/>
      <c r="P23" s="2"/>
      <c r="Q23" s="2"/>
      <c r="R23" s="2"/>
      <c r="S23" s="2"/>
      <c r="T23" s="2"/>
      <c r="U23" s="2"/>
      <c r="V23" s="2"/>
      <c r="W23" s="2"/>
      <c r="X23" s="2"/>
      <c r="Y23" s="2"/>
      <c r="Z23" s="2"/>
      <c r="AA23" s="2"/>
      <c r="AB23" s="2"/>
      <c r="AC23" s="2"/>
      <c r="AD23" s="2"/>
      <c r="AE23" s="2"/>
      <c r="AF23" s="2"/>
      <c r="AG23" s="2"/>
    </row>
    <row r="24" spans="1:43" ht="35.1" customHeight="1" x14ac:dyDescent="0.25">
      <c r="A24"/>
      <c r="B24" s="4"/>
      <c r="C24" s="468" t="s">
        <v>10605</v>
      </c>
      <c r="D24" s="468" t="s">
        <v>10606</v>
      </c>
      <c r="E24" s="2"/>
      <c r="F24" s="2"/>
      <c r="G24" s="2"/>
      <c r="H24" s="2"/>
      <c r="I24" s="2"/>
      <c r="J24" s="2"/>
      <c r="K24" s="2"/>
      <c r="L24" s="2"/>
      <c r="M24" s="2"/>
      <c r="N24" s="2"/>
      <c r="O24" s="484"/>
      <c r="P24" s="2"/>
      <c r="Q24" s="2"/>
      <c r="R24" s="2"/>
      <c r="S24" s="2"/>
      <c r="T24" s="2"/>
      <c r="U24" s="2"/>
      <c r="V24" s="2"/>
      <c r="W24" s="2"/>
      <c r="X24" s="2"/>
      <c r="Y24" s="2"/>
      <c r="Z24" s="2"/>
      <c r="AA24" s="2"/>
      <c r="AB24" s="2"/>
      <c r="AC24" s="2"/>
      <c r="AD24" s="2"/>
      <c r="AE24" s="2"/>
      <c r="AF24" s="2"/>
      <c r="AG24" s="2"/>
    </row>
    <row r="25" spans="1:43" ht="35.1" customHeight="1" x14ac:dyDescent="0.25">
      <c r="A25"/>
      <c r="B25" s="155" t="s">
        <v>10621</v>
      </c>
      <c r="C25" s="152"/>
      <c r="D25" s="152"/>
      <c r="E25" s="2"/>
      <c r="F25" s="2"/>
      <c r="G25" s="2"/>
      <c r="H25" s="2"/>
      <c r="I25" s="2"/>
      <c r="J25" s="2"/>
      <c r="K25" s="2"/>
      <c r="L25" s="2"/>
      <c r="M25" s="2"/>
      <c r="N25" s="2"/>
      <c r="O25" s="484"/>
      <c r="P25" s="2"/>
      <c r="Q25" s="2"/>
      <c r="R25" s="2"/>
      <c r="S25" s="2"/>
      <c r="T25" s="2"/>
      <c r="U25" s="2"/>
      <c r="V25" s="2"/>
      <c r="W25" s="2"/>
      <c r="X25" s="2"/>
      <c r="Y25" s="2"/>
      <c r="Z25" s="2"/>
      <c r="AA25" s="2"/>
      <c r="AB25" s="2"/>
      <c r="AC25" s="2"/>
      <c r="AD25" s="2"/>
      <c r="AE25" s="2"/>
      <c r="AF25" s="2"/>
      <c r="AG25" s="2"/>
    </row>
    <row r="26" spans="1:43" ht="35.1" customHeight="1" x14ac:dyDescent="0.25">
      <c r="A26"/>
      <c r="B26" s="155" t="s">
        <v>10622</v>
      </c>
      <c r="C26" s="152"/>
      <c r="D26" s="152"/>
      <c r="E26" s="2"/>
      <c r="F26" s="2"/>
      <c r="G26" s="2"/>
      <c r="H26" s="2"/>
      <c r="I26" s="2"/>
      <c r="J26" s="2"/>
      <c r="K26" s="2"/>
      <c r="L26" s="2"/>
      <c r="M26" s="2"/>
      <c r="N26" s="2"/>
      <c r="O26" s="484"/>
      <c r="P26" s="2"/>
      <c r="Q26" s="2"/>
      <c r="R26" s="2"/>
      <c r="S26" s="2"/>
      <c r="T26" s="2"/>
      <c r="U26" s="2"/>
      <c r="V26" s="2"/>
      <c r="W26" s="2"/>
      <c r="X26" s="2"/>
      <c r="Y26" s="2"/>
      <c r="Z26" s="2"/>
      <c r="AA26" s="2"/>
      <c r="AB26" s="2"/>
      <c r="AC26" s="2"/>
      <c r="AD26" s="2"/>
      <c r="AE26" s="2"/>
      <c r="AF26" s="2"/>
      <c r="AG26" s="2"/>
    </row>
    <row r="27" spans="1:43" ht="35.1" customHeight="1" x14ac:dyDescent="0.25">
      <c r="A27"/>
      <c r="B27" s="155" t="s">
        <v>10611</v>
      </c>
      <c r="C27" s="627">
        <v>1</v>
      </c>
      <c r="D27" s="628"/>
      <c r="E27" s="2"/>
      <c r="F27" s="2"/>
      <c r="G27" s="2"/>
      <c r="H27" s="2"/>
      <c r="I27" s="2"/>
      <c r="J27" s="2"/>
      <c r="K27" s="2"/>
      <c r="L27" s="2"/>
      <c r="M27" s="2"/>
      <c r="N27" s="2"/>
      <c r="O27" s="484"/>
      <c r="P27" s="2"/>
      <c r="Q27" s="2"/>
      <c r="R27" s="2"/>
      <c r="S27" s="2"/>
      <c r="T27" s="2"/>
      <c r="U27" s="2"/>
      <c r="V27" s="2"/>
      <c r="W27" s="2"/>
      <c r="X27" s="2"/>
      <c r="Y27" s="2"/>
      <c r="Z27" s="2"/>
      <c r="AA27" s="2"/>
      <c r="AB27" s="2"/>
      <c r="AC27" s="2"/>
      <c r="AD27" s="2"/>
      <c r="AE27" s="2"/>
      <c r="AF27" s="2"/>
      <c r="AG27" s="2"/>
    </row>
    <row r="28" spans="1:43" ht="35.1" customHeight="1" x14ac:dyDescent="0.25">
      <c r="A28"/>
      <c r="B28" s="155" t="s">
        <v>134</v>
      </c>
      <c r="C28" s="627">
        <v>4180</v>
      </c>
      <c r="D28" s="628"/>
      <c r="E28" s="2"/>
      <c r="F28" s="2"/>
      <c r="G28" s="2"/>
      <c r="H28" s="2"/>
      <c r="I28" s="2"/>
      <c r="J28" s="2"/>
      <c r="K28" s="2"/>
      <c r="L28" s="2"/>
      <c r="M28" s="2"/>
      <c r="N28" s="2"/>
      <c r="O28" s="484"/>
      <c r="P28" s="2"/>
      <c r="Q28" s="2"/>
      <c r="R28" s="2"/>
      <c r="S28" s="2"/>
      <c r="T28" s="2"/>
      <c r="U28" s="2"/>
      <c r="V28" s="2"/>
      <c r="W28" s="2"/>
      <c r="X28" s="2"/>
      <c r="Y28" s="2"/>
      <c r="Z28" s="2"/>
      <c r="AA28" s="2"/>
      <c r="AB28" s="2"/>
      <c r="AC28" s="2"/>
      <c r="AD28" s="2"/>
      <c r="AE28" s="2"/>
      <c r="AF28" s="2"/>
      <c r="AG28" s="2"/>
    </row>
    <row r="29" spans="1:43" ht="35.1" customHeight="1" x14ac:dyDescent="0.25">
      <c r="A29"/>
      <c r="B29" s="155" t="s">
        <v>10613</v>
      </c>
      <c r="C29" s="153">
        <f>C25*C26/1000</f>
        <v>0</v>
      </c>
      <c r="D29" s="154">
        <f>(D25*D26/1000)*(D30-C32)/(D31-C32)</f>
        <v>0</v>
      </c>
      <c r="E29" s="2"/>
      <c r="F29" s="2"/>
      <c r="G29" s="2"/>
      <c r="H29" s="2"/>
      <c r="I29" s="2"/>
      <c r="J29" s="2"/>
      <c r="K29" s="2"/>
      <c r="L29" s="2"/>
      <c r="M29" s="2"/>
      <c r="N29" s="2"/>
      <c r="O29" s="484"/>
      <c r="P29" s="2"/>
      <c r="Q29" s="2"/>
      <c r="R29" s="2"/>
      <c r="S29" s="2"/>
      <c r="T29" s="2"/>
      <c r="U29" s="2"/>
      <c r="V29" s="2"/>
      <c r="W29" s="2"/>
      <c r="X29" s="2"/>
      <c r="Y29" s="2"/>
      <c r="Z29" s="2"/>
      <c r="AA29" s="2"/>
      <c r="AB29" s="2"/>
      <c r="AC29" s="2"/>
      <c r="AD29" s="2"/>
      <c r="AE29" s="2"/>
      <c r="AF29" s="2"/>
      <c r="AG29" s="2"/>
    </row>
    <row r="30" spans="1:43" ht="35.1" customHeight="1" x14ac:dyDescent="0.25">
      <c r="A30"/>
      <c r="B30" s="155" t="s">
        <v>137</v>
      </c>
      <c r="C30" s="156">
        <f>IF(ISERROR(VLOOKUP(C20,Aux_TBS!A:U,21,FALSE)),VLOOKUP(AquecimentoÁgua!D21,Aux_TBS!C:U,19,FALSE),VLOOKUP(C20,Aux_TBS!A:U,21,FALSE))</f>
        <v>38</v>
      </c>
      <c r="D30" s="156">
        <f>IF(ISERROR(VLOOKUP(C20,Aux_TBS!A:U,21,FALSE)),VLOOKUP(AquecimentoÁgua!D21,Aux_TBS!C:U,19,FALSE),VLOOKUP(C20,Aux_TBS!A:U,21,FALSE))</f>
        <v>38</v>
      </c>
      <c r="E30" s="2"/>
      <c r="F30" s="2"/>
      <c r="G30" s="2"/>
      <c r="H30" s="2"/>
      <c r="I30" s="2"/>
      <c r="J30" s="2"/>
      <c r="K30" s="2"/>
      <c r="L30" s="2"/>
      <c r="M30" s="2"/>
      <c r="N30" s="2"/>
      <c r="O30" s="484"/>
      <c r="P30" s="2"/>
      <c r="Q30" s="2"/>
      <c r="R30" s="2"/>
      <c r="S30" s="2"/>
      <c r="T30" s="2"/>
      <c r="U30" s="2"/>
      <c r="V30" s="2"/>
      <c r="W30" s="2"/>
      <c r="X30" s="2"/>
      <c r="Y30" s="2"/>
      <c r="Z30" s="2"/>
      <c r="AA30" s="2"/>
      <c r="AB30" s="2"/>
      <c r="AC30" s="2"/>
      <c r="AD30" s="2"/>
      <c r="AE30" s="2"/>
      <c r="AF30" s="2"/>
      <c r="AG30" s="2"/>
    </row>
    <row r="31" spans="1:43" ht="39.950000000000003" customHeight="1" x14ac:dyDescent="0.25">
      <c r="A31"/>
      <c r="B31" s="155" t="s">
        <v>10612</v>
      </c>
      <c r="C31" s="153" t="s">
        <v>50</v>
      </c>
      <c r="D31" s="156">
        <v>50</v>
      </c>
      <c r="E31" s="2"/>
      <c r="F31" s="2"/>
      <c r="G31" s="2"/>
      <c r="H31" s="2"/>
      <c r="I31" s="2"/>
      <c r="J31" s="2"/>
      <c r="K31" s="2"/>
      <c r="L31" s="2"/>
      <c r="M31" s="2"/>
      <c r="N31" s="2"/>
      <c r="O31" s="484"/>
      <c r="P31" s="2"/>
      <c r="Q31" s="2"/>
      <c r="R31" s="2"/>
      <c r="S31" s="2"/>
      <c r="T31" s="2"/>
      <c r="U31" s="2"/>
      <c r="V31" s="2"/>
      <c r="W31" s="2"/>
      <c r="X31" s="2"/>
      <c r="Y31" s="2"/>
      <c r="Z31" s="2"/>
      <c r="AA31" s="2"/>
      <c r="AB31" s="2"/>
      <c r="AC31" s="2"/>
      <c r="AD31" s="2"/>
      <c r="AE31" s="2"/>
      <c r="AF31" s="2"/>
      <c r="AG31" s="2"/>
    </row>
    <row r="32" spans="1:43" ht="35.1" customHeight="1" x14ac:dyDescent="0.25">
      <c r="A32"/>
      <c r="B32" s="155" t="s">
        <v>129</v>
      </c>
      <c r="C32" s="629">
        <f>IF(ISERROR(VLOOKUP(C20,Aux_TBS!A:U,21,FALSE)),VLOOKUP(AquecimentoÁgua!D21,Aux_TBS!C:U,16,FALSE),VLOOKUP(C20,Aux_TBS!A:U,18,FALSE))</f>
        <v>27.240288711666665</v>
      </c>
      <c r="D32" s="630"/>
      <c r="E32" s="2"/>
      <c r="F32" s="2"/>
      <c r="G32" s="2"/>
      <c r="H32" s="2"/>
      <c r="I32" s="2"/>
      <c r="J32" s="2"/>
      <c r="K32" s="2"/>
      <c r="L32" s="2"/>
      <c r="M32" s="2"/>
      <c r="N32" s="2"/>
      <c r="O32" s="484"/>
      <c r="P32" s="2"/>
      <c r="Q32" s="2"/>
      <c r="R32" s="2"/>
      <c r="S32" s="2"/>
      <c r="T32" s="2"/>
      <c r="U32" s="2"/>
      <c r="V32" s="2"/>
      <c r="W32" s="2"/>
      <c r="X32" s="2"/>
      <c r="Y32" s="2"/>
      <c r="Z32" s="2"/>
      <c r="AA32" s="2"/>
      <c r="AB32" s="2"/>
      <c r="AC32" s="2"/>
      <c r="AD32" s="2"/>
      <c r="AE32" s="2"/>
      <c r="AF32" s="2"/>
      <c r="AG32" s="2"/>
    </row>
    <row r="33" spans="1:33" ht="35.1" customHeight="1" x14ac:dyDescent="0.25">
      <c r="A33"/>
      <c r="B33" s="157" t="s">
        <v>140</v>
      </c>
      <c r="C33" s="158">
        <f>(C29*C27*C28*(C30-C32)/3600)</f>
        <v>0</v>
      </c>
      <c r="D33" s="158">
        <f>(D29*C27*C28*(D31-C32)/3600)</f>
        <v>0</v>
      </c>
      <c r="E33" s="2"/>
      <c r="F33" s="2"/>
      <c r="G33" s="2"/>
      <c r="H33" s="2"/>
      <c r="I33" s="2"/>
      <c r="J33" s="2"/>
      <c r="K33" s="2"/>
      <c r="L33" s="2"/>
      <c r="M33" s="2"/>
      <c r="N33" s="2"/>
      <c r="O33" s="484"/>
      <c r="P33" s="2"/>
      <c r="Q33" s="2"/>
      <c r="R33" s="2"/>
      <c r="S33" s="2"/>
      <c r="T33" s="2"/>
      <c r="U33" s="2"/>
      <c r="V33" s="2"/>
      <c r="W33" s="2"/>
      <c r="X33" s="2"/>
      <c r="Y33" s="2"/>
      <c r="Z33" s="2"/>
      <c r="AA33" s="2"/>
      <c r="AB33" s="2"/>
      <c r="AC33" s="2"/>
      <c r="AD33" s="2"/>
      <c r="AE33" s="2"/>
      <c r="AF33" s="2"/>
      <c r="AG33" s="2"/>
    </row>
    <row r="34" spans="1:33" x14ac:dyDescent="0.25">
      <c r="A34"/>
      <c r="B34"/>
      <c r="C34" s="2"/>
      <c r="D34" s="2"/>
      <c r="E34" s="2"/>
      <c r="F34" s="2"/>
      <c r="G34" s="2"/>
      <c r="H34" s="2"/>
      <c r="I34" s="2"/>
      <c r="J34" s="2"/>
      <c r="K34" s="2"/>
      <c r="L34" s="2"/>
      <c r="M34" s="2"/>
      <c r="N34" s="2"/>
      <c r="O34" s="484"/>
      <c r="P34" s="2"/>
      <c r="Q34" s="2"/>
      <c r="R34" s="2"/>
      <c r="S34" s="2"/>
      <c r="T34" s="2"/>
      <c r="U34" s="2"/>
      <c r="V34" s="2"/>
      <c r="W34" s="2"/>
      <c r="X34" s="2"/>
      <c r="Y34" s="2"/>
      <c r="Z34" s="2"/>
      <c r="AA34" s="2"/>
      <c r="AB34" s="2"/>
      <c r="AC34" s="2"/>
      <c r="AD34" s="2"/>
      <c r="AE34" s="2"/>
      <c r="AF34" s="2"/>
      <c r="AG34" s="2"/>
    </row>
    <row r="35" spans="1:33" ht="42.95" customHeight="1" x14ac:dyDescent="0.25">
      <c r="A35"/>
      <c r="B35" s="47" t="s">
        <v>10607</v>
      </c>
      <c r="C35" s="621" t="str">
        <f>IF(C33&gt;D33,"Sem acumulação","Com acumulação")</f>
        <v>Com acumulação</v>
      </c>
      <c r="D35" s="622"/>
      <c r="E35" s="2"/>
      <c r="F35" s="2"/>
      <c r="G35" s="2"/>
      <c r="H35" s="2"/>
      <c r="I35" s="2"/>
      <c r="J35" s="2"/>
      <c r="K35" s="2"/>
      <c r="L35" s="2"/>
      <c r="M35" s="2"/>
      <c r="N35" s="2"/>
      <c r="O35" s="484"/>
      <c r="P35" s="2"/>
      <c r="Q35" s="2"/>
      <c r="R35" s="2"/>
      <c r="S35" s="2"/>
      <c r="T35" s="2"/>
      <c r="U35" s="2"/>
      <c r="V35" s="2"/>
      <c r="W35" s="2"/>
      <c r="X35" s="2"/>
      <c r="Y35" s="2"/>
      <c r="Z35" s="2"/>
      <c r="AA35" s="2"/>
      <c r="AB35" s="2"/>
      <c r="AC35" s="2"/>
      <c r="AD35" s="2"/>
      <c r="AE35" s="2"/>
      <c r="AF35" s="2"/>
      <c r="AG35" s="2"/>
    </row>
    <row r="36" spans="1:33" x14ac:dyDescent="0.25">
      <c r="A36"/>
      <c r="B36"/>
      <c r="C36" s="2"/>
      <c r="D36" s="2"/>
      <c r="E36" s="2"/>
      <c r="F36" s="2"/>
      <c r="G36" s="2"/>
      <c r="H36" s="2"/>
      <c r="I36" s="2"/>
      <c r="J36" s="2"/>
      <c r="K36" s="2"/>
      <c r="L36" s="2"/>
      <c r="M36" s="2"/>
      <c r="N36" s="2"/>
      <c r="O36" s="484"/>
      <c r="P36" s="2"/>
      <c r="Q36" s="2"/>
      <c r="R36" s="2"/>
      <c r="S36" s="2"/>
      <c r="T36" s="2"/>
      <c r="U36" s="2"/>
      <c r="V36" s="2"/>
      <c r="W36" s="2"/>
      <c r="X36" s="2"/>
      <c r="Y36" s="2"/>
      <c r="Z36" s="2"/>
      <c r="AA36" s="2"/>
      <c r="AB36" s="2"/>
      <c r="AC36" s="2"/>
      <c r="AD36" s="2"/>
      <c r="AE36" s="2"/>
      <c r="AF36" s="2"/>
      <c r="AG36" s="2"/>
    </row>
    <row r="37" spans="1:33" ht="42" customHeight="1" x14ac:dyDescent="0.25">
      <c r="A37" s="169"/>
      <c r="B37" s="620" t="s">
        <v>10589</v>
      </c>
      <c r="C37" s="620"/>
      <c r="D37" s="169"/>
      <c r="E37" s="13"/>
      <c r="F37" s="246"/>
      <c r="G37" s="620" t="s">
        <v>10590</v>
      </c>
      <c r="H37" s="620"/>
      <c r="I37" s="39"/>
      <c r="J37" s="39"/>
      <c r="K37" s="39"/>
      <c r="L37" s="39"/>
      <c r="M37" s="39"/>
      <c r="N37" s="39"/>
      <c r="O37" s="485"/>
      <c r="P37" s="39"/>
      <c r="Q37" s="39"/>
      <c r="R37" s="39"/>
      <c r="S37" s="39"/>
      <c r="T37" s="39"/>
      <c r="U37" s="39"/>
      <c r="V37" s="39"/>
      <c r="W37" s="39"/>
      <c r="X37" s="39"/>
      <c r="Y37" s="39"/>
      <c r="Z37" s="39"/>
      <c r="AA37" s="39"/>
      <c r="AB37" s="39"/>
      <c r="AC37" s="39"/>
      <c r="AD37" s="39"/>
      <c r="AE37" s="39"/>
      <c r="AF37" s="39"/>
      <c r="AG37" s="39"/>
    </row>
    <row r="38" spans="1:33" s="261" customFormat="1" ht="127.35" customHeight="1" x14ac:dyDescent="0.25">
      <c r="A38" s="9"/>
      <c r="B38" s="625" t="s">
        <v>10652</v>
      </c>
      <c r="C38" s="625"/>
      <c r="D38" s="625"/>
      <c r="E38" s="376"/>
      <c r="F38" s="360"/>
      <c r="G38" s="625" t="s">
        <v>10653</v>
      </c>
      <c r="H38" s="625"/>
      <c r="I38" s="625"/>
      <c r="J38" s="625"/>
      <c r="K38" s="360"/>
      <c r="L38" s="360"/>
      <c r="M38" s="360"/>
      <c r="N38" s="360"/>
      <c r="O38" s="484"/>
      <c r="P38" s="360"/>
      <c r="Q38" s="360"/>
      <c r="R38" s="360"/>
      <c r="S38" s="360"/>
      <c r="T38" s="360"/>
      <c r="U38" s="360"/>
      <c r="V38" s="360"/>
      <c r="W38" s="360"/>
      <c r="X38" s="360"/>
      <c r="Y38" s="360"/>
      <c r="Z38" s="360"/>
      <c r="AA38" s="360"/>
      <c r="AB38" s="360"/>
      <c r="AC38" s="360"/>
      <c r="AD38" s="360"/>
      <c r="AE38" s="360"/>
      <c r="AF38" s="360"/>
      <c r="AG38" s="360"/>
    </row>
    <row r="39" spans="1:33" s="261" customFormat="1" ht="30" customHeight="1" x14ac:dyDescent="0.25">
      <c r="A39" s="9"/>
      <c r="B39" s="9"/>
      <c r="C39" s="360"/>
      <c r="D39" s="360"/>
      <c r="E39" s="376"/>
      <c r="F39" s="360"/>
      <c r="G39" s="360"/>
      <c r="H39" s="360"/>
      <c r="I39" s="360"/>
      <c r="J39" s="360"/>
      <c r="K39" s="360"/>
      <c r="L39" s="360"/>
      <c r="M39" s="360"/>
      <c r="N39" s="360"/>
      <c r="O39" s="484"/>
      <c r="P39" s="360"/>
      <c r="Q39" s="360"/>
      <c r="R39" s="360"/>
      <c r="S39" s="360"/>
      <c r="T39" s="623" t="s">
        <v>10644</v>
      </c>
      <c r="U39" s="624"/>
      <c r="V39" s="480">
        <v>40</v>
      </c>
      <c r="W39" s="360"/>
      <c r="X39" s="360"/>
      <c r="Y39" s="360"/>
      <c r="Z39" s="360"/>
      <c r="AA39" s="360"/>
      <c r="AB39" s="360"/>
      <c r="AC39" s="360"/>
      <c r="AD39" s="360"/>
      <c r="AE39" s="360"/>
      <c r="AF39" s="360"/>
      <c r="AG39" s="360"/>
    </row>
    <row r="40" spans="1:33" s="391" customFormat="1" ht="15.75" x14ac:dyDescent="0.25">
      <c r="A40" s="388"/>
      <c r="B40" s="392" t="s">
        <v>141</v>
      </c>
      <c r="C40" s="393"/>
      <c r="D40" s="389"/>
      <c r="E40" s="390"/>
      <c r="F40" s="389"/>
      <c r="G40" s="392" t="s">
        <v>6000</v>
      </c>
      <c r="H40" s="394"/>
      <c r="I40" s="389"/>
      <c r="J40" s="392" t="s">
        <v>10609</v>
      </c>
      <c r="K40" s="393"/>
      <c r="L40" s="389"/>
      <c r="M40" s="392" t="s">
        <v>10643</v>
      </c>
      <c r="N40" s="394"/>
      <c r="O40" s="486"/>
      <c r="P40" s="392" t="s">
        <v>6060</v>
      </c>
      <c r="Q40" s="394"/>
      <c r="R40" s="394"/>
      <c r="S40" s="394"/>
      <c r="T40" s="394"/>
      <c r="U40" s="394"/>
      <c r="V40" s="394"/>
      <c r="W40" s="394"/>
      <c r="X40" s="394"/>
      <c r="Y40" s="394"/>
      <c r="Z40" s="394"/>
      <c r="AA40" s="394"/>
      <c r="AB40" s="394"/>
      <c r="AC40" s="394"/>
      <c r="AD40" s="389"/>
      <c r="AE40" s="392" t="s">
        <v>10610</v>
      </c>
      <c r="AF40" s="394"/>
      <c r="AG40" s="389"/>
    </row>
    <row r="41" spans="1:33" s="261" customFormat="1" ht="29.1" customHeight="1" x14ac:dyDescent="0.25">
      <c r="A41" s="9"/>
      <c r="B41" s="97"/>
      <c r="C41" s="9"/>
      <c r="D41" s="360"/>
      <c r="E41" s="376"/>
      <c r="F41" s="360"/>
      <c r="G41" s="97"/>
      <c r="H41" s="360"/>
      <c r="I41" s="360"/>
      <c r="J41" s="97"/>
      <c r="K41" s="9"/>
      <c r="L41" s="360"/>
      <c r="M41" s="360"/>
      <c r="N41" s="360"/>
      <c r="O41" s="484"/>
      <c r="P41" s="2"/>
      <c r="Q41" s="2"/>
      <c r="R41" s="2"/>
      <c r="S41" s="2"/>
      <c r="T41" s="20"/>
      <c r="U41" s="2"/>
      <c r="V41" s="2"/>
      <c r="W41" s="2"/>
      <c r="X41" s="2"/>
      <c r="Y41" s="2"/>
      <c r="Z41" s="610" t="s">
        <v>139</v>
      </c>
      <c r="AA41" s="610"/>
      <c r="AB41" s="610"/>
      <c r="AC41" s="610"/>
      <c r="AD41" s="360"/>
      <c r="AE41" s="360"/>
      <c r="AF41" s="360"/>
      <c r="AG41" s="360"/>
    </row>
    <row r="42" spans="1:33" s="261" customFormat="1" ht="27.95" customHeight="1" x14ac:dyDescent="0.25">
      <c r="A42" s="9"/>
      <c r="B42" s="611" t="s">
        <v>5999</v>
      </c>
      <c r="C42" s="611"/>
      <c r="D42" s="360"/>
      <c r="E42" s="376"/>
      <c r="F42" s="360"/>
      <c r="G42" s="611" t="s">
        <v>5999</v>
      </c>
      <c r="H42" s="611"/>
      <c r="I42" s="360"/>
      <c r="J42" s="611" t="s">
        <v>5999</v>
      </c>
      <c r="K42" s="611"/>
      <c r="L42" s="360"/>
      <c r="M42" s="611" t="s">
        <v>10648</v>
      </c>
      <c r="N42" s="611"/>
      <c r="O42" s="487"/>
      <c r="P42" s="489" t="s">
        <v>145</v>
      </c>
      <c r="Q42" s="489" t="s">
        <v>10636</v>
      </c>
      <c r="R42" s="489" t="s">
        <v>10637</v>
      </c>
      <c r="S42" s="489" t="s">
        <v>138</v>
      </c>
      <c r="T42" s="489" t="s">
        <v>123</v>
      </c>
      <c r="U42" s="489" t="s">
        <v>126</v>
      </c>
      <c r="V42" s="489" t="s">
        <v>128</v>
      </c>
      <c r="W42" s="489" t="s">
        <v>131</v>
      </c>
      <c r="X42" s="489" t="s">
        <v>133</v>
      </c>
      <c r="Y42" s="489" t="s">
        <v>136</v>
      </c>
      <c r="Z42" s="490" t="s">
        <v>112</v>
      </c>
      <c r="AA42" s="490"/>
      <c r="AB42" s="490"/>
      <c r="AC42" s="490" t="s">
        <v>111</v>
      </c>
      <c r="AD42" s="2"/>
      <c r="AE42" s="617" t="s">
        <v>124</v>
      </c>
      <c r="AF42" s="618"/>
      <c r="AG42" s="360"/>
    </row>
    <row r="43" spans="1:33" s="261" customFormat="1" ht="27.95" customHeight="1" x14ac:dyDescent="0.25">
      <c r="A43" s="9"/>
      <c r="B43" s="377" t="s">
        <v>118</v>
      </c>
      <c r="C43" s="362" t="s">
        <v>10616</v>
      </c>
      <c r="D43" s="360"/>
      <c r="E43" s="376"/>
      <c r="F43" s="360"/>
      <c r="G43" s="364" t="s">
        <v>10591</v>
      </c>
      <c r="H43" s="469" t="s">
        <v>10649</v>
      </c>
      <c r="I43" s="247"/>
      <c r="J43" s="364" t="s">
        <v>118</v>
      </c>
      <c r="K43" s="474" t="s">
        <v>10702</v>
      </c>
      <c r="L43" s="360"/>
      <c r="M43" s="395" t="s">
        <v>10675</v>
      </c>
      <c r="N43" s="473">
        <v>1000</v>
      </c>
      <c r="O43" s="484">
        <v>1</v>
      </c>
      <c r="P43" s="51" t="s">
        <v>10638</v>
      </c>
      <c r="Q43" s="396" t="s">
        <v>10639</v>
      </c>
      <c r="R43" s="396" t="s">
        <v>10641</v>
      </c>
      <c r="S43" s="396">
        <v>345.85</v>
      </c>
      <c r="T43" s="396">
        <v>2.5000000000000001E-2</v>
      </c>
      <c r="U43" s="396">
        <v>4.8000000000000001E-2</v>
      </c>
      <c r="V43" s="396">
        <v>2.1999999999999999E-2</v>
      </c>
      <c r="W43" s="396">
        <v>8</v>
      </c>
      <c r="X43" s="526">
        <f>IFERROR(
(PI())/(1/(2*T43)*LN(U43/V43)+1/(W43*U43)),0)</f>
        <v>0.17254541465930054</v>
      </c>
      <c r="Y43" s="379">
        <f>IFERROR(2.083*$D$29,0)</f>
        <v>0</v>
      </c>
      <c r="Z43" s="380">
        <f t="shared" ref="Z43:Z72" si="0">IFERROR(
IF(P43="Distribuição",
Y43*X43*S43*($D$31-$C$32)/1000,
IF(P43="Recirculação",
Y43*X43*S43*($V$39-$C$32)/1000,0)),0)</f>
        <v>0</v>
      </c>
      <c r="AA43" s="379">
        <f>V43+0.005*2</f>
        <v>3.2000000000000001E-2</v>
      </c>
      <c r="AB43" s="379">
        <f>(PI())/(1/(2*0.03)*LN(AA$43/V$43)+1/(8*AA$43))</f>
        <v>0.30948173294522274</v>
      </c>
      <c r="AC43" s="380">
        <f t="shared" ref="AC43:AC72" si="1">IFERROR(
IF(P43="Distribuição",
Y43*AB43*S43*($D$31-$C$32)/1000,
IF(P43="Recirculação",
Y43*AB43*S43*($V$39-$C$32)/1000,0)),0)</f>
        <v>0</v>
      </c>
      <c r="AD43" s="360"/>
      <c r="AE43" s="375" t="s">
        <v>111</v>
      </c>
      <c r="AF43" s="379">
        <f>IF(D33=0,0,(VLOOKUP(Início!C20,Aux_Lista!A:L,12,FALSE)*(D33+AC74+N50+AC73))/K46)</f>
        <v>0</v>
      </c>
      <c r="AG43" s="360"/>
    </row>
    <row r="44" spans="1:33" s="261" customFormat="1" ht="27.95" customHeight="1" x14ac:dyDescent="0.25">
      <c r="A44" s="9"/>
      <c r="B44" s="377" t="s">
        <v>10618</v>
      </c>
      <c r="C44" s="362" t="s">
        <v>271</v>
      </c>
      <c r="D44" s="360"/>
      <c r="E44" s="376"/>
      <c r="F44" s="360"/>
      <c r="G44" s="364" t="s">
        <v>122</v>
      </c>
      <c r="H44" s="470" t="s">
        <v>10701</v>
      </c>
      <c r="I44" s="247"/>
      <c r="J44" s="377" t="s">
        <v>10618</v>
      </c>
      <c r="K44" s="362" t="s">
        <v>271</v>
      </c>
      <c r="L44" s="360"/>
      <c r="M44" s="395" t="s">
        <v>144</v>
      </c>
      <c r="N44" s="397">
        <v>29</v>
      </c>
      <c r="O44" s="487">
        <v>2</v>
      </c>
      <c r="P44" s="51" t="s">
        <v>10638</v>
      </c>
      <c r="Q44" s="396" t="s">
        <v>10640</v>
      </c>
      <c r="R44" s="396" t="s">
        <v>10642</v>
      </c>
      <c r="S44" s="396">
        <v>25</v>
      </c>
      <c r="T44" s="396">
        <v>2.5000000000000001E-2</v>
      </c>
      <c r="U44" s="396">
        <v>2.1999999999999999E-2</v>
      </c>
      <c r="V44" s="396">
        <v>2.1999999999999999E-2</v>
      </c>
      <c r="W44" s="396">
        <v>14</v>
      </c>
      <c r="X44" s="526">
        <f t="shared" ref="X44:X72" si="2">IFERROR(
(PI())/(1/(2*T44)*LN(U44/V44)+1/(W44*U44)),0)</f>
        <v>0.96761053730565627</v>
      </c>
      <c r="Y44" s="379">
        <f t="shared" ref="Y44:Y72" si="3">IFERROR(2.083*$D$29,0)</f>
        <v>0</v>
      </c>
      <c r="Z44" s="380">
        <f t="shared" si="0"/>
        <v>0</v>
      </c>
      <c r="AA44" s="379">
        <f t="shared" ref="AA44:AA45" si="4">V44+0.005*2</f>
        <v>3.2000000000000001E-2</v>
      </c>
      <c r="AB44" s="379">
        <f t="shared" ref="AB44:AB72" si="5">(PI())/(1/(2*0.03)*LN(AA$43/V$43)+1/(8*AA$43))</f>
        <v>0.30948173294522274</v>
      </c>
      <c r="AC44" s="380">
        <f t="shared" si="1"/>
        <v>0</v>
      </c>
      <c r="AD44" s="360"/>
      <c r="AE44" s="375" t="s">
        <v>5867</v>
      </c>
      <c r="AF44" s="379">
        <f>IF(D33=0,0,IF(OR(K43="Sistema de aquecimento por resistência elétrica em imersão (boiler)",K43="Bomba de calor elétrica para aquecimento exclusivo de água"),(VLOOKUP(Início!C20,Aux_Lista!A:L,12,FALSE)*(D33-H50-H53+Z73+Z74+N50)/K45),0))</f>
        <v>0</v>
      </c>
      <c r="AG44" s="360"/>
    </row>
    <row r="45" spans="1:33" s="261" customFormat="1" ht="27.95" customHeight="1" x14ac:dyDescent="0.25">
      <c r="A45" s="9"/>
      <c r="B45" s="377" t="s">
        <v>142</v>
      </c>
      <c r="C45" s="475"/>
      <c r="D45" s="360"/>
      <c r="E45" s="376"/>
      <c r="F45" s="360"/>
      <c r="G45" s="364" t="s">
        <v>125</v>
      </c>
      <c r="H45" s="363"/>
      <c r="I45" s="247"/>
      <c r="J45" s="361" t="s">
        <v>142</v>
      </c>
      <c r="K45" s="476">
        <v>0.83</v>
      </c>
      <c r="L45" s="360"/>
      <c r="M45" s="395" t="s">
        <v>10688</v>
      </c>
      <c r="N45" s="51" t="s">
        <v>10687</v>
      </c>
      <c r="O45" s="484">
        <v>3</v>
      </c>
      <c r="P45" s="51" t="s">
        <v>10647</v>
      </c>
      <c r="Q45" s="396" t="s">
        <v>10639</v>
      </c>
      <c r="R45" s="396" t="s">
        <v>10641</v>
      </c>
      <c r="S45" s="396">
        <v>345.85</v>
      </c>
      <c r="T45" s="396">
        <v>2.5000000000000001E-2</v>
      </c>
      <c r="U45" s="396">
        <v>4.8000000000000001E-2</v>
      </c>
      <c r="V45" s="396">
        <v>2.1999999999999999E-2</v>
      </c>
      <c r="W45" s="396">
        <v>8</v>
      </c>
      <c r="X45" s="526">
        <f t="shared" si="2"/>
        <v>0.17254541465930054</v>
      </c>
      <c r="Y45" s="379">
        <f t="shared" si="3"/>
        <v>0</v>
      </c>
      <c r="Z45" s="380">
        <f t="shared" si="0"/>
        <v>0</v>
      </c>
      <c r="AA45" s="379">
        <f t="shared" si="4"/>
        <v>3.2000000000000001E-2</v>
      </c>
      <c r="AB45" s="379">
        <f t="shared" si="5"/>
        <v>0.30948173294522274</v>
      </c>
      <c r="AC45" s="380">
        <f t="shared" si="1"/>
        <v>0</v>
      </c>
      <c r="AD45" s="360"/>
      <c r="AE45" s="375" t="s">
        <v>5868</v>
      </c>
      <c r="AF45" s="379">
        <f>IF(D33=0,0,IF(OR(K43="Aquecedor de acumulação a combustível sólido (lenha)",K43="Aquecedor de acumulação a gás"),(VLOOKUP(Início!C20,Aux_Lista!A:L,12,FALSE)*(D33-H50-H53+N50+Z73+Z74)/K45),0))</f>
        <v>0</v>
      </c>
      <c r="AG45" s="360"/>
    </row>
    <row r="46" spans="1:33" s="261" customFormat="1" ht="27.95" customHeight="1" x14ac:dyDescent="0.25">
      <c r="A46" s="9"/>
      <c r="B46" s="378" t="s">
        <v>143</v>
      </c>
      <c r="C46" s="107">
        <v>0.95</v>
      </c>
      <c r="D46" s="360"/>
      <c r="E46" s="376"/>
      <c r="F46" s="360"/>
      <c r="G46" s="361" t="s">
        <v>127</v>
      </c>
      <c r="H46" s="363"/>
      <c r="I46" s="247"/>
      <c r="J46" s="364" t="s">
        <v>143</v>
      </c>
      <c r="K46" s="477">
        <v>0.85</v>
      </c>
      <c r="L46" s="360"/>
      <c r="M46" s="395" t="s">
        <v>10614</v>
      </c>
      <c r="N46" s="400">
        <v>4.83</v>
      </c>
      <c r="O46" s="487">
        <v>4</v>
      </c>
      <c r="P46" s="51" t="s">
        <v>10647</v>
      </c>
      <c r="Q46" s="396" t="s">
        <v>10640</v>
      </c>
      <c r="R46" s="396" t="s">
        <v>10642</v>
      </c>
      <c r="S46" s="396">
        <v>25</v>
      </c>
      <c r="T46" s="396">
        <v>2.5000000000000001E-2</v>
      </c>
      <c r="U46" s="396">
        <v>2.1999999999999999E-2</v>
      </c>
      <c r="V46" s="396">
        <v>2.1999999999999999E-2</v>
      </c>
      <c r="W46" s="396">
        <v>14</v>
      </c>
      <c r="X46" s="526">
        <f t="shared" si="2"/>
        <v>0.96761053730565627</v>
      </c>
      <c r="Y46" s="379">
        <f t="shared" si="3"/>
        <v>0</v>
      </c>
      <c r="Z46" s="380">
        <f t="shared" si="0"/>
        <v>0</v>
      </c>
      <c r="AA46" s="379">
        <f t="shared" ref="AA46:AA72" si="6">V46+0.005*2</f>
        <v>3.2000000000000001E-2</v>
      </c>
      <c r="AB46" s="379">
        <f t="shared" si="5"/>
        <v>0.30948173294522274</v>
      </c>
      <c r="AC46" s="380">
        <f t="shared" si="1"/>
        <v>0</v>
      </c>
      <c r="AD46" s="360"/>
      <c r="AE46" s="9"/>
      <c r="AF46" s="360"/>
      <c r="AG46" s="360"/>
    </row>
    <row r="47" spans="1:33" s="261" customFormat="1" ht="27.95" customHeight="1" x14ac:dyDescent="0.25">
      <c r="A47" s="9"/>
      <c r="B47" s="360"/>
      <c r="C47" s="360"/>
      <c r="D47" s="360"/>
      <c r="E47" s="376"/>
      <c r="F47" s="360"/>
      <c r="G47" s="155" t="s">
        <v>130</v>
      </c>
      <c r="H47" s="152"/>
      <c r="I47" s="247"/>
      <c r="J47" s="626" t="s">
        <v>10617</v>
      </c>
      <c r="K47" s="626"/>
      <c r="L47" s="360"/>
      <c r="M47" s="395" t="s">
        <v>10615</v>
      </c>
      <c r="N47" s="397">
        <f>IF(N45="Fabricante",0,2*(0.0054*N43+0.6936))</f>
        <v>0</v>
      </c>
      <c r="O47" s="484">
        <v>5</v>
      </c>
      <c r="P47" s="51"/>
      <c r="Q47" s="396"/>
      <c r="R47" s="396"/>
      <c r="S47" s="396"/>
      <c r="T47" s="396"/>
      <c r="U47" s="396"/>
      <c r="V47" s="396"/>
      <c r="W47" s="396"/>
      <c r="X47" s="526">
        <f t="shared" si="2"/>
        <v>0</v>
      </c>
      <c r="Y47" s="379">
        <f t="shared" si="3"/>
        <v>0</v>
      </c>
      <c r="Z47" s="380">
        <f t="shared" si="0"/>
        <v>0</v>
      </c>
      <c r="AA47" s="379">
        <f t="shared" si="6"/>
        <v>0.01</v>
      </c>
      <c r="AB47" s="379">
        <f t="shared" si="5"/>
        <v>0.30948173294522274</v>
      </c>
      <c r="AC47" s="380">
        <f t="shared" si="1"/>
        <v>0</v>
      </c>
      <c r="AD47" s="360"/>
      <c r="AE47" s="611" t="s">
        <v>10603</v>
      </c>
      <c r="AF47" s="611"/>
      <c r="AG47" s="360"/>
    </row>
    <row r="48" spans="1:33" s="261" customFormat="1" ht="27.95" customHeight="1" x14ac:dyDescent="0.25">
      <c r="A48" s="9"/>
      <c r="B48" s="611" t="s">
        <v>124</v>
      </c>
      <c r="C48" s="611"/>
      <c r="D48" s="360"/>
      <c r="E48" s="376"/>
      <c r="F48" s="360"/>
      <c r="G48" s="155" t="s">
        <v>132</v>
      </c>
      <c r="H48" s="152"/>
      <c r="I48" s="247"/>
      <c r="J48" s="247"/>
      <c r="K48" s="247"/>
      <c r="L48" s="360"/>
      <c r="M48" s="398" t="s">
        <v>10677</v>
      </c>
      <c r="N48" s="399">
        <f>IF(N45="Fabricante",(($D$31-$C$32)/N44)*(N46),(($D$31-$C$32)/N44)*(N47))</f>
        <v>3.7906691559534487</v>
      </c>
      <c r="O48" s="487">
        <v>6</v>
      </c>
      <c r="P48" s="51"/>
      <c r="Q48" s="396"/>
      <c r="R48" s="396"/>
      <c r="S48" s="396"/>
      <c r="T48" s="396"/>
      <c r="U48" s="396"/>
      <c r="V48" s="396"/>
      <c r="W48" s="396"/>
      <c r="X48" s="526">
        <f t="shared" si="2"/>
        <v>0</v>
      </c>
      <c r="Y48" s="379">
        <f t="shared" si="3"/>
        <v>0</v>
      </c>
      <c r="Z48" s="380">
        <f t="shared" si="0"/>
        <v>0</v>
      </c>
      <c r="AA48" s="379">
        <f t="shared" si="6"/>
        <v>0.01</v>
      </c>
      <c r="AB48" s="379">
        <f t="shared" si="5"/>
        <v>0.30948173294522274</v>
      </c>
      <c r="AC48" s="380">
        <f t="shared" si="1"/>
        <v>0</v>
      </c>
      <c r="AD48" s="360"/>
      <c r="AE48" s="375" t="s">
        <v>10599</v>
      </c>
      <c r="AF48" s="380">
        <f>IFERROR((AF43)*Aux_Lista!AS2,0)</f>
        <v>0</v>
      </c>
      <c r="AG48" s="360"/>
    </row>
    <row r="49" spans="1:33" s="261" customFormat="1" ht="27.95" customHeight="1" x14ac:dyDescent="0.25">
      <c r="A49" s="9"/>
      <c r="B49" s="375" t="s">
        <v>10600</v>
      </c>
      <c r="C49" s="379">
        <f>IF(C33=0,0,(VLOOKUP(Início!C20,Aux_Lista!A:L,12,FALSE)*C33)/C46)</f>
        <v>0</v>
      </c>
      <c r="D49" s="360"/>
      <c r="E49" s="376"/>
      <c r="F49" s="360"/>
      <c r="G49" s="155" t="s">
        <v>135</v>
      </c>
      <c r="H49" s="152"/>
      <c r="I49" s="247"/>
      <c r="J49" s="247"/>
      <c r="K49" s="247"/>
      <c r="L49" s="360"/>
      <c r="M49" s="395" t="s">
        <v>10674</v>
      </c>
      <c r="N49" s="473">
        <v>8</v>
      </c>
      <c r="O49" s="484">
        <v>7</v>
      </c>
      <c r="P49" s="51"/>
      <c r="Q49" s="396"/>
      <c r="R49" s="396"/>
      <c r="S49" s="396"/>
      <c r="T49" s="396"/>
      <c r="U49" s="396"/>
      <c r="V49" s="396"/>
      <c r="W49" s="396"/>
      <c r="X49" s="526">
        <f t="shared" si="2"/>
        <v>0</v>
      </c>
      <c r="Y49" s="379">
        <f t="shared" si="3"/>
        <v>0</v>
      </c>
      <c r="Z49" s="380">
        <f t="shared" si="0"/>
        <v>0</v>
      </c>
      <c r="AA49" s="379">
        <f t="shared" si="6"/>
        <v>0.01</v>
      </c>
      <c r="AB49" s="379">
        <f t="shared" si="5"/>
        <v>0.30948173294522274</v>
      </c>
      <c r="AC49" s="380">
        <f t="shared" si="1"/>
        <v>0</v>
      </c>
      <c r="AD49" s="360"/>
      <c r="AE49" s="375" t="s">
        <v>10598</v>
      </c>
      <c r="AF49" s="380">
        <f>IFERROR(AF44*Aux_Lista!AS2+AF45*Aux_Lista!AS3,0)</f>
        <v>0</v>
      </c>
      <c r="AG49" s="360"/>
    </row>
    <row r="50" spans="1:33" s="261" customFormat="1" ht="27.95" customHeight="1" x14ac:dyDescent="0.25">
      <c r="A50" s="9"/>
      <c r="B50" s="375" t="s">
        <v>10602</v>
      </c>
      <c r="C50" s="379">
        <f>IF(C33=0,0,IF(OR(C43="Chuveiro elétrico"),(VLOOKUP(Início!C20,Aux_Lista!A:L,12,FALSE)*C33)/C45,0))</f>
        <v>0</v>
      </c>
      <c r="D50" s="360"/>
      <c r="E50" s="376"/>
      <c r="F50" s="247"/>
      <c r="G50" s="614" t="s">
        <v>10604</v>
      </c>
      <c r="H50" s="612">
        <f>IF(H44="Detalhado",0,((H47*H46/30.42)*(H49/5.35)))</f>
        <v>0</v>
      </c>
      <c r="I50" s="247"/>
      <c r="J50" s="247"/>
      <c r="K50" s="247"/>
      <c r="L50" s="360"/>
      <c r="M50" s="398" t="s">
        <v>10676</v>
      </c>
      <c r="N50" s="399">
        <f>N49*N48</f>
        <v>30.325353247627589</v>
      </c>
      <c r="O50" s="487">
        <v>8</v>
      </c>
      <c r="P50" s="51"/>
      <c r="Q50" s="396"/>
      <c r="R50" s="396"/>
      <c r="S50" s="396"/>
      <c r="T50" s="396"/>
      <c r="U50" s="396"/>
      <c r="V50" s="396"/>
      <c r="W50" s="396"/>
      <c r="X50" s="526">
        <f t="shared" si="2"/>
        <v>0</v>
      </c>
      <c r="Y50" s="379">
        <f t="shared" si="3"/>
        <v>0</v>
      </c>
      <c r="Z50" s="380">
        <f t="shared" si="0"/>
        <v>0</v>
      </c>
      <c r="AA50" s="379">
        <f t="shared" si="6"/>
        <v>0.01</v>
      </c>
      <c r="AB50" s="379">
        <f t="shared" si="5"/>
        <v>0.30948173294522274</v>
      </c>
      <c r="AC50" s="380">
        <f t="shared" si="1"/>
        <v>0</v>
      </c>
      <c r="AD50" s="360"/>
      <c r="AE50" s="9"/>
      <c r="AF50" s="360"/>
      <c r="AG50" s="360"/>
    </row>
    <row r="51" spans="1:33" s="261" customFormat="1" ht="27.95" customHeight="1" x14ac:dyDescent="0.25">
      <c r="A51" s="9"/>
      <c r="B51" s="375" t="s">
        <v>10601</v>
      </c>
      <c r="C51" s="379">
        <f>IF(C33=0,0,IF(OR(C43="Térmico - Único ponto de consumo",C43="Térmico - Múltiplos pontos de consumo"),(VLOOKUP(Início!C20,Aux_Lista!A:L,12,FALSE)*C33)/C45,0))</f>
        <v>0</v>
      </c>
      <c r="D51" s="360"/>
      <c r="E51" s="376"/>
      <c r="F51" s="247"/>
      <c r="G51" s="615"/>
      <c r="H51" s="613"/>
      <c r="I51" s="247"/>
      <c r="J51" s="247"/>
      <c r="K51" s="247"/>
      <c r="L51" s="360"/>
      <c r="M51" s="247"/>
      <c r="N51" s="247"/>
      <c r="O51" s="484">
        <v>9</v>
      </c>
      <c r="P51" s="51"/>
      <c r="Q51" s="396"/>
      <c r="R51" s="396"/>
      <c r="S51" s="396"/>
      <c r="T51" s="396"/>
      <c r="U51" s="396"/>
      <c r="V51" s="396"/>
      <c r="W51" s="396"/>
      <c r="X51" s="526">
        <f t="shared" si="2"/>
        <v>0</v>
      </c>
      <c r="Y51" s="379">
        <f t="shared" si="3"/>
        <v>0</v>
      </c>
      <c r="Z51" s="380">
        <f t="shared" si="0"/>
        <v>0</v>
      </c>
      <c r="AA51" s="379">
        <f t="shared" si="6"/>
        <v>0.01</v>
      </c>
      <c r="AB51" s="379">
        <f t="shared" si="5"/>
        <v>0.30948173294522274</v>
      </c>
      <c r="AC51" s="380">
        <f t="shared" si="1"/>
        <v>0</v>
      </c>
      <c r="AD51" s="360"/>
      <c r="AE51" s="617" t="s">
        <v>5997</v>
      </c>
      <c r="AF51" s="618"/>
      <c r="AG51" s="360"/>
    </row>
    <row r="52" spans="1:33" s="261" customFormat="1" ht="27.95" customHeight="1" x14ac:dyDescent="0.25">
      <c r="A52" s="9"/>
      <c r="B52" s="360"/>
      <c r="C52" s="360"/>
      <c r="D52" s="360"/>
      <c r="E52" s="376"/>
      <c r="F52" s="247"/>
      <c r="G52" s="616" t="str">
        <f>IF(H44="Detalhado","ESPECIFICAR EM MEMORIAL PRÓPRIO E INSERIR VALOR TOTAL ABAIXO:","")</f>
        <v>ESPECIFICAR EM MEMORIAL PRÓPRIO E INSERIR VALOR TOTAL ABAIXO:</v>
      </c>
      <c r="H52" s="616"/>
      <c r="I52" s="247"/>
      <c r="J52" s="247"/>
      <c r="K52" s="247"/>
      <c r="L52" s="360"/>
      <c r="M52" s="247"/>
      <c r="N52" s="247"/>
      <c r="O52" s="487">
        <v>10</v>
      </c>
      <c r="P52" s="51"/>
      <c r="Q52" s="396"/>
      <c r="R52" s="396"/>
      <c r="S52" s="396"/>
      <c r="T52" s="396"/>
      <c r="U52" s="396"/>
      <c r="V52" s="396"/>
      <c r="W52" s="396"/>
      <c r="X52" s="526">
        <f t="shared" si="2"/>
        <v>0</v>
      </c>
      <c r="Y52" s="379">
        <f t="shared" si="3"/>
        <v>0</v>
      </c>
      <c r="Z52" s="380">
        <f t="shared" si="0"/>
        <v>0</v>
      </c>
      <c r="AA52" s="379">
        <f t="shared" si="6"/>
        <v>0.01</v>
      </c>
      <c r="AB52" s="379">
        <f t="shared" si="5"/>
        <v>0.30948173294522274</v>
      </c>
      <c r="AC52" s="380">
        <f t="shared" si="1"/>
        <v>0</v>
      </c>
      <c r="AD52" s="360"/>
      <c r="AE52" s="375" t="s">
        <v>111</v>
      </c>
      <c r="AF52" s="379">
        <f>IFERROR(AF43*Aux_Lista!$AZ$2*Aux_Lista!$AS$2,0)</f>
        <v>0</v>
      </c>
      <c r="AG52" s="360"/>
    </row>
    <row r="53" spans="1:33" s="261" customFormat="1" ht="27.95" customHeight="1" x14ac:dyDescent="0.25">
      <c r="A53" s="9"/>
      <c r="B53" s="611" t="s">
        <v>10603</v>
      </c>
      <c r="C53" s="611"/>
      <c r="D53" s="360"/>
      <c r="E53" s="376"/>
      <c r="F53" s="247"/>
      <c r="G53" s="492" t="s">
        <v>10650</v>
      </c>
      <c r="H53" s="491">
        <v>175.2</v>
      </c>
      <c r="I53" s="247"/>
      <c r="J53" s="247"/>
      <c r="K53" s="247"/>
      <c r="L53" s="360"/>
      <c r="M53" s="247"/>
      <c r="N53" s="247"/>
      <c r="O53" s="484">
        <v>11</v>
      </c>
      <c r="P53" s="51"/>
      <c r="Q53" s="396"/>
      <c r="R53" s="396"/>
      <c r="S53" s="396"/>
      <c r="T53" s="396"/>
      <c r="U53" s="396"/>
      <c r="V53" s="396"/>
      <c r="W53" s="396"/>
      <c r="X53" s="526">
        <f t="shared" si="2"/>
        <v>0</v>
      </c>
      <c r="Y53" s="379">
        <f t="shared" si="3"/>
        <v>0</v>
      </c>
      <c r="Z53" s="380">
        <f t="shared" si="0"/>
        <v>0</v>
      </c>
      <c r="AA53" s="379">
        <f t="shared" si="6"/>
        <v>0.01</v>
      </c>
      <c r="AB53" s="379">
        <f t="shared" si="5"/>
        <v>0.30948173294522274</v>
      </c>
      <c r="AC53" s="380">
        <f t="shared" si="1"/>
        <v>0</v>
      </c>
      <c r="AD53" s="360"/>
      <c r="AE53" s="375" t="s">
        <v>5867</v>
      </c>
      <c r="AF53" s="379">
        <f>IFERROR(AF44*Aux_Lista!$AZ$2*Aux_Lista!$AS$2,0)</f>
        <v>0</v>
      </c>
      <c r="AG53" s="360"/>
    </row>
    <row r="54" spans="1:33" s="261" customFormat="1" ht="27.95" customHeight="1" x14ac:dyDescent="0.25">
      <c r="A54" s="9"/>
      <c r="B54" s="375" t="s">
        <v>10599</v>
      </c>
      <c r="C54" s="380">
        <f>IFERROR((C49)*Aux_Lista!AS2,"")</f>
        <v>0</v>
      </c>
      <c r="D54" s="360"/>
      <c r="E54" s="376"/>
      <c r="F54" s="247"/>
      <c r="G54" s="360"/>
      <c r="H54" s="360"/>
      <c r="I54" s="247"/>
      <c r="J54" s="247"/>
      <c r="K54" s="247"/>
      <c r="L54" s="360"/>
      <c r="M54" s="247"/>
      <c r="N54" s="247"/>
      <c r="O54" s="487">
        <v>12</v>
      </c>
      <c r="P54" s="51"/>
      <c r="Q54" s="396"/>
      <c r="R54" s="396"/>
      <c r="S54" s="396"/>
      <c r="T54" s="396"/>
      <c r="U54" s="396"/>
      <c r="V54" s="396"/>
      <c r="W54" s="396"/>
      <c r="X54" s="526">
        <f t="shared" si="2"/>
        <v>0</v>
      </c>
      <c r="Y54" s="379">
        <f t="shared" si="3"/>
        <v>0</v>
      </c>
      <c r="Z54" s="380">
        <f t="shared" si="0"/>
        <v>0</v>
      </c>
      <c r="AA54" s="379">
        <f t="shared" si="6"/>
        <v>0.01</v>
      </c>
      <c r="AB54" s="379">
        <f t="shared" si="5"/>
        <v>0.30948173294522274</v>
      </c>
      <c r="AC54" s="380">
        <f t="shared" si="1"/>
        <v>0</v>
      </c>
      <c r="AD54" s="360"/>
      <c r="AE54" s="375" t="s">
        <v>5868</v>
      </c>
      <c r="AF54" s="379">
        <f>AF45*Aux_Lista!AS3*VLOOKUP(K44,Aux_Lista!AU:AV,2,FALSE)</f>
        <v>0</v>
      </c>
      <c r="AG54" s="360"/>
    </row>
    <row r="55" spans="1:33" s="261" customFormat="1" ht="27.95" customHeight="1" x14ac:dyDescent="0.25">
      <c r="A55" s="9"/>
      <c r="B55" s="375" t="s">
        <v>10598</v>
      </c>
      <c r="C55" s="380">
        <f>IFERROR(C50*Aux_Lista!AS2+C51*Aux_Lista!AS3,"")</f>
        <v>0</v>
      </c>
      <c r="D55" s="360"/>
      <c r="E55" s="376"/>
      <c r="F55" s="247"/>
      <c r="G55" s="360"/>
      <c r="H55" s="360"/>
      <c r="I55" s="247"/>
      <c r="J55" s="247"/>
      <c r="K55" s="247"/>
      <c r="L55" s="360"/>
      <c r="M55" s="247"/>
      <c r="N55" s="247"/>
      <c r="O55" s="484">
        <v>13</v>
      </c>
      <c r="P55" s="51"/>
      <c r="Q55" s="396"/>
      <c r="R55" s="396"/>
      <c r="S55" s="396"/>
      <c r="T55" s="396"/>
      <c r="U55" s="396"/>
      <c r="V55" s="396"/>
      <c r="W55" s="396"/>
      <c r="X55" s="526">
        <f t="shared" si="2"/>
        <v>0</v>
      </c>
      <c r="Y55" s="379">
        <f t="shared" si="3"/>
        <v>0</v>
      </c>
      <c r="Z55" s="380">
        <f t="shared" si="0"/>
        <v>0</v>
      </c>
      <c r="AA55" s="379">
        <f t="shared" si="6"/>
        <v>0.01</v>
      </c>
      <c r="AB55" s="379">
        <f t="shared" si="5"/>
        <v>0.30948173294522274</v>
      </c>
      <c r="AC55" s="380">
        <f t="shared" si="1"/>
        <v>0</v>
      </c>
      <c r="AD55" s="360"/>
      <c r="AE55" s="360"/>
      <c r="AF55" s="360"/>
      <c r="AG55" s="360"/>
    </row>
    <row r="56" spans="1:33" s="261" customFormat="1" ht="27.95" customHeight="1" x14ac:dyDescent="0.25">
      <c r="A56" s="9"/>
      <c r="B56" s="360"/>
      <c r="C56" s="360"/>
      <c r="D56" s="360"/>
      <c r="E56" s="376"/>
      <c r="F56" s="247"/>
      <c r="G56" s="360"/>
      <c r="H56" s="360"/>
      <c r="I56" s="247"/>
      <c r="J56" s="247"/>
      <c r="K56" s="247"/>
      <c r="L56" s="360"/>
      <c r="M56" s="247"/>
      <c r="N56" s="247"/>
      <c r="O56" s="487">
        <v>14</v>
      </c>
      <c r="P56" s="51"/>
      <c r="Q56" s="396"/>
      <c r="R56" s="396"/>
      <c r="S56" s="396"/>
      <c r="T56" s="396"/>
      <c r="U56" s="396"/>
      <c r="V56" s="396"/>
      <c r="W56" s="396"/>
      <c r="X56" s="526">
        <f t="shared" si="2"/>
        <v>0</v>
      </c>
      <c r="Y56" s="379">
        <f t="shared" si="3"/>
        <v>0</v>
      </c>
      <c r="Z56" s="380">
        <f t="shared" si="0"/>
        <v>0</v>
      </c>
      <c r="AA56" s="379">
        <f t="shared" si="6"/>
        <v>0.01</v>
      </c>
      <c r="AB56" s="379">
        <f t="shared" si="5"/>
        <v>0.30948173294522274</v>
      </c>
      <c r="AC56" s="380">
        <f t="shared" si="1"/>
        <v>0</v>
      </c>
      <c r="AD56" s="360"/>
      <c r="AE56" s="360"/>
      <c r="AF56" s="360"/>
      <c r="AG56" s="360"/>
    </row>
    <row r="57" spans="1:33" s="261" customFormat="1" ht="27.95" customHeight="1" x14ac:dyDescent="0.25">
      <c r="A57" s="9"/>
      <c r="B57" s="611" t="s">
        <v>5997</v>
      </c>
      <c r="C57" s="611"/>
      <c r="D57" s="360"/>
      <c r="E57" s="376"/>
      <c r="F57" s="247"/>
      <c r="G57" s="360"/>
      <c r="H57" s="360"/>
      <c r="I57" s="247"/>
      <c r="J57" s="247"/>
      <c r="K57" s="247"/>
      <c r="L57" s="360"/>
      <c r="M57" s="247"/>
      <c r="N57" s="247"/>
      <c r="O57" s="484">
        <v>15</v>
      </c>
      <c r="P57" s="51"/>
      <c r="Q57" s="396"/>
      <c r="R57" s="396"/>
      <c r="S57" s="396"/>
      <c r="T57" s="396"/>
      <c r="U57" s="396"/>
      <c r="V57" s="396"/>
      <c r="W57" s="396"/>
      <c r="X57" s="526">
        <f t="shared" si="2"/>
        <v>0</v>
      </c>
      <c r="Y57" s="379">
        <f t="shared" si="3"/>
        <v>0</v>
      </c>
      <c r="Z57" s="380">
        <f t="shared" si="0"/>
        <v>0</v>
      </c>
      <c r="AA57" s="379">
        <f t="shared" si="6"/>
        <v>0.01</v>
      </c>
      <c r="AB57" s="379">
        <f t="shared" si="5"/>
        <v>0.30948173294522274</v>
      </c>
      <c r="AC57" s="380">
        <f t="shared" si="1"/>
        <v>0</v>
      </c>
      <c r="AD57" s="360"/>
      <c r="AE57" s="360"/>
      <c r="AF57" s="360"/>
      <c r="AG57" s="360"/>
    </row>
    <row r="58" spans="1:33" s="261" customFormat="1" ht="27.95" customHeight="1" x14ac:dyDescent="0.25">
      <c r="A58" s="9"/>
      <c r="B58" s="375" t="s">
        <v>111</v>
      </c>
      <c r="C58" s="379">
        <f>C54*Aux_Lista!AZ2</f>
        <v>0</v>
      </c>
      <c r="D58" s="360"/>
      <c r="E58" s="376"/>
      <c r="F58" s="247"/>
      <c r="G58" s="2"/>
      <c r="H58" s="2"/>
      <c r="I58" s="2"/>
      <c r="J58" s="2"/>
      <c r="K58" s="2"/>
      <c r="L58" s="2"/>
      <c r="M58" s="2"/>
      <c r="N58" s="2"/>
      <c r="O58" s="487">
        <v>16</v>
      </c>
      <c r="P58" s="51"/>
      <c r="Q58" s="396"/>
      <c r="R58" s="396"/>
      <c r="S58" s="396"/>
      <c r="T58" s="396"/>
      <c r="U58" s="396"/>
      <c r="V58" s="396"/>
      <c r="W58" s="396"/>
      <c r="X58" s="526">
        <f t="shared" si="2"/>
        <v>0</v>
      </c>
      <c r="Y58" s="379">
        <f t="shared" si="3"/>
        <v>0</v>
      </c>
      <c r="Z58" s="380">
        <f t="shared" si="0"/>
        <v>0</v>
      </c>
      <c r="AA58" s="379">
        <f t="shared" si="6"/>
        <v>0.01</v>
      </c>
      <c r="AB58" s="379">
        <f t="shared" si="5"/>
        <v>0.30948173294522274</v>
      </c>
      <c r="AC58" s="380">
        <f t="shared" si="1"/>
        <v>0</v>
      </c>
      <c r="AD58" s="360"/>
      <c r="AE58" s="360"/>
      <c r="AF58" s="360"/>
      <c r="AG58" s="360"/>
    </row>
    <row r="59" spans="1:33" s="261" customFormat="1" ht="27.95" customHeight="1" x14ac:dyDescent="0.25">
      <c r="A59" s="9"/>
      <c r="B59" s="375" t="s">
        <v>5867</v>
      </c>
      <c r="C59" s="379">
        <f>C50*Aux_Lista!AS2*Aux_Lista!AZ2</f>
        <v>0</v>
      </c>
      <c r="D59" s="360"/>
      <c r="E59" s="376"/>
      <c r="F59" s="247"/>
      <c r="G59" s="2"/>
      <c r="H59" s="2"/>
      <c r="I59" s="2"/>
      <c r="J59" s="2"/>
      <c r="K59" s="2"/>
      <c r="L59" s="2"/>
      <c r="M59" s="2"/>
      <c r="N59" s="2"/>
      <c r="O59" s="484">
        <v>17</v>
      </c>
      <c r="P59" s="51"/>
      <c r="Q59" s="396"/>
      <c r="R59" s="396"/>
      <c r="S59" s="396"/>
      <c r="T59" s="396"/>
      <c r="U59" s="396"/>
      <c r="V59" s="396"/>
      <c r="W59" s="396"/>
      <c r="X59" s="526">
        <f t="shared" si="2"/>
        <v>0</v>
      </c>
      <c r="Y59" s="379">
        <f t="shared" si="3"/>
        <v>0</v>
      </c>
      <c r="Z59" s="380">
        <f t="shared" si="0"/>
        <v>0</v>
      </c>
      <c r="AA59" s="379">
        <f t="shared" si="6"/>
        <v>0.01</v>
      </c>
      <c r="AB59" s="379">
        <f t="shared" si="5"/>
        <v>0.30948173294522274</v>
      </c>
      <c r="AC59" s="380">
        <f t="shared" si="1"/>
        <v>0</v>
      </c>
      <c r="AD59" s="360"/>
      <c r="AE59" s="360"/>
      <c r="AF59" s="360"/>
      <c r="AG59" s="360"/>
    </row>
    <row r="60" spans="1:33" s="261" customFormat="1" ht="27.95" customHeight="1" x14ac:dyDescent="0.25">
      <c r="A60" s="9"/>
      <c r="B60" s="375" t="s">
        <v>5868</v>
      </c>
      <c r="C60" s="379">
        <f>C51*Aux_Lista!AS3*VLOOKUP(C44,Aux_Lista!AU:AV,2,FALSE)</f>
        <v>0</v>
      </c>
      <c r="D60" s="360"/>
      <c r="E60" s="376"/>
      <c r="F60" s="247"/>
      <c r="G60" s="2"/>
      <c r="H60" s="2"/>
      <c r="I60" s="2"/>
      <c r="J60" s="2"/>
      <c r="K60" s="2"/>
      <c r="L60" s="2"/>
      <c r="M60" s="2"/>
      <c r="N60" s="2"/>
      <c r="O60" s="487">
        <v>18</v>
      </c>
      <c r="P60" s="51"/>
      <c r="Q60" s="396"/>
      <c r="R60" s="396"/>
      <c r="S60" s="396"/>
      <c r="T60" s="396"/>
      <c r="U60" s="396"/>
      <c r="V60" s="396"/>
      <c r="W60" s="396"/>
      <c r="X60" s="526">
        <f t="shared" si="2"/>
        <v>0</v>
      </c>
      <c r="Y60" s="379">
        <f t="shared" si="3"/>
        <v>0</v>
      </c>
      <c r="Z60" s="380">
        <f t="shared" si="0"/>
        <v>0</v>
      </c>
      <c r="AA60" s="379">
        <f t="shared" si="6"/>
        <v>0.01</v>
      </c>
      <c r="AB60" s="379">
        <f t="shared" si="5"/>
        <v>0.30948173294522274</v>
      </c>
      <c r="AC60" s="380">
        <f t="shared" si="1"/>
        <v>0</v>
      </c>
      <c r="AD60" s="360"/>
      <c r="AE60" s="360"/>
      <c r="AF60" s="360"/>
      <c r="AG60" s="360"/>
    </row>
    <row r="61" spans="1:33" s="261" customFormat="1" ht="27.95" customHeight="1" x14ac:dyDescent="0.25">
      <c r="A61" s="9"/>
      <c r="B61" s="2"/>
      <c r="C61" s="2"/>
      <c r="D61" s="360"/>
      <c r="E61" s="376"/>
      <c r="F61" s="247"/>
      <c r="G61" s="2"/>
      <c r="H61" s="2"/>
      <c r="I61" s="2"/>
      <c r="J61" s="2"/>
      <c r="K61" s="2"/>
      <c r="L61" s="2"/>
      <c r="M61" s="2"/>
      <c r="N61" s="2"/>
      <c r="O61" s="484">
        <v>19</v>
      </c>
      <c r="P61" s="51"/>
      <c r="Q61" s="396"/>
      <c r="R61" s="396"/>
      <c r="S61" s="396"/>
      <c r="T61" s="396"/>
      <c r="U61" s="396"/>
      <c r="V61" s="396"/>
      <c r="W61" s="396"/>
      <c r="X61" s="526">
        <f t="shared" si="2"/>
        <v>0</v>
      </c>
      <c r="Y61" s="379">
        <f t="shared" si="3"/>
        <v>0</v>
      </c>
      <c r="Z61" s="380">
        <f t="shared" si="0"/>
        <v>0</v>
      </c>
      <c r="AA61" s="379">
        <f t="shared" si="6"/>
        <v>0.01</v>
      </c>
      <c r="AB61" s="379">
        <f t="shared" si="5"/>
        <v>0.30948173294522274</v>
      </c>
      <c r="AC61" s="380">
        <f t="shared" si="1"/>
        <v>0</v>
      </c>
      <c r="AD61" s="360"/>
      <c r="AE61" s="360"/>
      <c r="AF61" s="360"/>
      <c r="AG61" s="360"/>
    </row>
    <row r="62" spans="1:33" s="261" customFormat="1" ht="27.95" customHeight="1" x14ac:dyDescent="0.25">
      <c r="A62" s="9"/>
      <c r="B62" s="2"/>
      <c r="C62" s="2"/>
      <c r="D62" s="360"/>
      <c r="E62" s="376"/>
      <c r="F62" s="247"/>
      <c r="G62" s="2"/>
      <c r="H62" s="2"/>
      <c r="I62" s="2"/>
      <c r="J62" s="2"/>
      <c r="K62" s="2"/>
      <c r="L62" s="2"/>
      <c r="M62" s="2"/>
      <c r="N62" s="2"/>
      <c r="O62" s="487">
        <v>20</v>
      </c>
      <c r="P62" s="51"/>
      <c r="Q62" s="396"/>
      <c r="R62" s="396"/>
      <c r="S62" s="396"/>
      <c r="T62" s="396"/>
      <c r="U62" s="396"/>
      <c r="V62" s="396"/>
      <c r="W62" s="396"/>
      <c r="X62" s="526">
        <f t="shared" si="2"/>
        <v>0</v>
      </c>
      <c r="Y62" s="379">
        <f t="shared" si="3"/>
        <v>0</v>
      </c>
      <c r="Z62" s="380">
        <f t="shared" si="0"/>
        <v>0</v>
      </c>
      <c r="AA62" s="379">
        <f t="shared" si="6"/>
        <v>0.01</v>
      </c>
      <c r="AB62" s="379">
        <f t="shared" si="5"/>
        <v>0.30948173294522274</v>
      </c>
      <c r="AC62" s="380">
        <f t="shared" si="1"/>
        <v>0</v>
      </c>
      <c r="AD62" s="360"/>
      <c r="AE62" s="360"/>
      <c r="AF62" s="360"/>
      <c r="AG62" s="360"/>
    </row>
    <row r="63" spans="1:33" s="261" customFormat="1" ht="27.95" customHeight="1" x14ac:dyDescent="0.25">
      <c r="A63" s="9"/>
      <c r="B63" s="493" t="s">
        <v>10646</v>
      </c>
      <c r="C63" s="504"/>
      <c r="D63" s="505"/>
      <c r="E63" s="505"/>
      <c r="F63" s="506"/>
      <c r="G63" s="504"/>
      <c r="H63" s="504"/>
      <c r="I63" s="504"/>
      <c r="J63" s="504"/>
      <c r="K63" s="504"/>
      <c r="L63" s="504"/>
      <c r="M63" s="504"/>
      <c r="N63" s="507"/>
      <c r="O63" s="484">
        <v>21</v>
      </c>
      <c r="P63" s="51"/>
      <c r="Q63" s="396"/>
      <c r="R63" s="396"/>
      <c r="S63" s="396"/>
      <c r="T63" s="396"/>
      <c r="U63" s="396"/>
      <c r="V63" s="396"/>
      <c r="W63" s="396"/>
      <c r="X63" s="526">
        <f t="shared" si="2"/>
        <v>0</v>
      </c>
      <c r="Y63" s="379">
        <f t="shared" si="3"/>
        <v>0</v>
      </c>
      <c r="Z63" s="380">
        <f t="shared" si="0"/>
        <v>0</v>
      </c>
      <c r="AA63" s="379">
        <f t="shared" si="6"/>
        <v>0.01</v>
      </c>
      <c r="AB63" s="379">
        <f t="shared" si="5"/>
        <v>0.30948173294522274</v>
      </c>
      <c r="AC63" s="380">
        <f t="shared" si="1"/>
        <v>0</v>
      </c>
      <c r="AD63" s="360"/>
      <c r="AE63" s="360"/>
      <c r="AF63" s="360"/>
      <c r="AG63" s="360"/>
    </row>
    <row r="64" spans="1:33" ht="27.95" customHeight="1" x14ac:dyDescent="0.25">
      <c r="A64"/>
      <c r="B64" s="502"/>
      <c r="C64" s="2"/>
      <c r="D64"/>
      <c r="E64" s="360"/>
      <c r="F64" s="2"/>
      <c r="G64" s="2"/>
      <c r="H64" s="2"/>
      <c r="I64" s="2"/>
      <c r="J64" s="2"/>
      <c r="K64" s="2"/>
      <c r="L64" s="2"/>
      <c r="M64" s="2"/>
      <c r="N64" s="508"/>
      <c r="O64" s="487">
        <v>22</v>
      </c>
      <c r="P64" s="51"/>
      <c r="Q64" s="396"/>
      <c r="R64" s="396"/>
      <c r="S64" s="396"/>
      <c r="T64" s="396"/>
      <c r="U64" s="396"/>
      <c r="V64" s="396"/>
      <c r="W64" s="396"/>
      <c r="X64" s="526">
        <f t="shared" si="2"/>
        <v>0</v>
      </c>
      <c r="Y64" s="379">
        <f t="shared" si="3"/>
        <v>0</v>
      </c>
      <c r="Z64" s="380">
        <f t="shared" si="0"/>
        <v>0</v>
      </c>
      <c r="AA64" s="379">
        <f t="shared" si="6"/>
        <v>0.01</v>
      </c>
      <c r="AB64" s="379">
        <f t="shared" si="5"/>
        <v>0.30948173294522274</v>
      </c>
      <c r="AC64" s="380">
        <f t="shared" si="1"/>
        <v>0</v>
      </c>
      <c r="AD64" s="360"/>
      <c r="AE64" s="360"/>
      <c r="AF64" s="360"/>
      <c r="AG64" s="360"/>
    </row>
    <row r="65" spans="1:43" ht="27.95" customHeight="1" x14ac:dyDescent="0.25">
      <c r="A65" s="2"/>
      <c r="B65" s="502"/>
      <c r="C65" s="2"/>
      <c r="D65" s="2"/>
      <c r="E65" s="360"/>
      <c r="F65" s="2"/>
      <c r="G65" s="2"/>
      <c r="H65" s="2"/>
      <c r="I65" s="2"/>
      <c r="J65" s="2"/>
      <c r="K65" s="2"/>
      <c r="L65" s="2"/>
      <c r="M65" s="2"/>
      <c r="N65" s="508"/>
      <c r="O65" s="484">
        <v>23</v>
      </c>
      <c r="P65" s="51"/>
      <c r="Q65" s="396"/>
      <c r="R65" s="396"/>
      <c r="S65" s="396"/>
      <c r="T65" s="396"/>
      <c r="U65" s="396"/>
      <c r="V65" s="396"/>
      <c r="W65" s="396"/>
      <c r="X65" s="526">
        <f t="shared" si="2"/>
        <v>0</v>
      </c>
      <c r="Y65" s="379">
        <f t="shared" si="3"/>
        <v>0</v>
      </c>
      <c r="Z65" s="380">
        <f t="shared" si="0"/>
        <v>0</v>
      </c>
      <c r="AA65" s="379">
        <f t="shared" si="6"/>
        <v>0.01</v>
      </c>
      <c r="AB65" s="379">
        <f t="shared" si="5"/>
        <v>0.30948173294522274</v>
      </c>
      <c r="AC65" s="380">
        <f t="shared" si="1"/>
        <v>0</v>
      </c>
      <c r="AD65" s="360"/>
      <c r="AE65" s="360"/>
      <c r="AF65" s="360"/>
      <c r="AG65" s="360"/>
    </row>
    <row r="66" spans="1:43" ht="27.95" customHeight="1" x14ac:dyDescent="0.25">
      <c r="A66" s="2"/>
      <c r="B66" s="502"/>
      <c r="C66" s="2"/>
      <c r="D66" s="2"/>
      <c r="E66" s="360"/>
      <c r="F66" s="2"/>
      <c r="G66" s="2"/>
      <c r="H66" s="2"/>
      <c r="I66" s="2"/>
      <c r="J66" s="2"/>
      <c r="K66" s="2"/>
      <c r="L66" s="2"/>
      <c r="M66" s="2"/>
      <c r="N66" s="508"/>
      <c r="O66" s="487">
        <v>24</v>
      </c>
      <c r="P66" s="51"/>
      <c r="Q66" s="396"/>
      <c r="R66" s="396"/>
      <c r="S66" s="396"/>
      <c r="T66" s="396"/>
      <c r="U66" s="396"/>
      <c r="V66" s="396"/>
      <c r="W66" s="396"/>
      <c r="X66" s="526">
        <f t="shared" si="2"/>
        <v>0</v>
      </c>
      <c r="Y66" s="379">
        <f t="shared" si="3"/>
        <v>0</v>
      </c>
      <c r="Z66" s="380">
        <f t="shared" si="0"/>
        <v>0</v>
      </c>
      <c r="AA66" s="379">
        <f t="shared" si="6"/>
        <v>0.01</v>
      </c>
      <c r="AB66" s="379">
        <f t="shared" si="5"/>
        <v>0.30948173294522274</v>
      </c>
      <c r="AC66" s="380">
        <f t="shared" si="1"/>
        <v>0</v>
      </c>
      <c r="AD66" s="360"/>
      <c r="AE66" s="360"/>
      <c r="AF66" s="360"/>
      <c r="AG66" s="360"/>
    </row>
    <row r="67" spans="1:43" ht="27.95" customHeight="1" x14ac:dyDescent="0.25">
      <c r="A67" s="2"/>
      <c r="B67" s="502"/>
      <c r="C67" s="2"/>
      <c r="D67" s="2"/>
      <c r="E67" s="360"/>
      <c r="F67" s="2"/>
      <c r="G67" s="2"/>
      <c r="H67" s="2"/>
      <c r="I67" s="2"/>
      <c r="J67" s="2"/>
      <c r="K67" s="2"/>
      <c r="L67" s="2"/>
      <c r="M67" s="2"/>
      <c r="N67" s="508"/>
      <c r="O67" s="484">
        <v>25</v>
      </c>
      <c r="P67" s="51"/>
      <c r="Q67" s="396"/>
      <c r="R67" s="396"/>
      <c r="S67" s="396"/>
      <c r="T67" s="396"/>
      <c r="U67" s="396"/>
      <c r="V67" s="396"/>
      <c r="W67" s="396"/>
      <c r="X67" s="526">
        <f t="shared" si="2"/>
        <v>0</v>
      </c>
      <c r="Y67" s="379">
        <f t="shared" si="3"/>
        <v>0</v>
      </c>
      <c r="Z67" s="380">
        <f t="shared" si="0"/>
        <v>0</v>
      </c>
      <c r="AA67" s="379">
        <f t="shared" si="6"/>
        <v>0.01</v>
      </c>
      <c r="AB67" s="379">
        <f t="shared" si="5"/>
        <v>0.30948173294522274</v>
      </c>
      <c r="AC67" s="380">
        <f t="shared" si="1"/>
        <v>0</v>
      </c>
      <c r="AD67" s="360"/>
      <c r="AE67" s="360"/>
      <c r="AF67" s="360"/>
      <c r="AG67" s="360"/>
    </row>
    <row r="68" spans="1:43" ht="27.95" customHeight="1" x14ac:dyDescent="0.25">
      <c r="A68" s="2"/>
      <c r="B68" s="502"/>
      <c r="C68" s="2"/>
      <c r="D68" s="2"/>
      <c r="E68" s="360"/>
      <c r="F68" s="2"/>
      <c r="G68" s="2"/>
      <c r="H68" s="2"/>
      <c r="I68" s="2"/>
      <c r="J68" s="2"/>
      <c r="K68" s="2"/>
      <c r="L68" s="2"/>
      <c r="M68" s="2"/>
      <c r="N68" s="508"/>
      <c r="O68" s="487">
        <v>26</v>
      </c>
      <c r="P68" s="51"/>
      <c r="Q68" s="396"/>
      <c r="R68" s="396"/>
      <c r="S68" s="396"/>
      <c r="T68" s="396"/>
      <c r="U68" s="396"/>
      <c r="V68" s="396"/>
      <c r="W68" s="396"/>
      <c r="X68" s="526">
        <f t="shared" si="2"/>
        <v>0</v>
      </c>
      <c r="Y68" s="379">
        <f t="shared" si="3"/>
        <v>0</v>
      </c>
      <c r="Z68" s="380">
        <f t="shared" si="0"/>
        <v>0</v>
      </c>
      <c r="AA68" s="379">
        <f t="shared" si="6"/>
        <v>0.01</v>
      </c>
      <c r="AB68" s="379">
        <f t="shared" si="5"/>
        <v>0.30948173294522274</v>
      </c>
      <c r="AC68" s="380">
        <f t="shared" si="1"/>
        <v>0</v>
      </c>
      <c r="AD68" s="360"/>
      <c r="AE68" s="360"/>
      <c r="AF68" s="360"/>
      <c r="AG68" s="360"/>
    </row>
    <row r="69" spans="1:43" ht="27.95" customHeight="1" x14ac:dyDescent="0.25">
      <c r="A69" s="2"/>
      <c r="B69" s="502"/>
      <c r="C69" s="2"/>
      <c r="D69" s="2"/>
      <c r="E69" s="360"/>
      <c r="F69" s="2"/>
      <c r="G69" s="2"/>
      <c r="H69" s="2"/>
      <c r="I69" s="2"/>
      <c r="J69" s="2"/>
      <c r="K69" s="2"/>
      <c r="L69" s="2"/>
      <c r="M69" s="2"/>
      <c r="N69" s="508"/>
      <c r="O69" s="484">
        <v>27</v>
      </c>
      <c r="P69" s="51"/>
      <c r="Q69" s="396"/>
      <c r="R69" s="396"/>
      <c r="S69" s="396"/>
      <c r="T69" s="396"/>
      <c r="U69" s="396"/>
      <c r="V69" s="396"/>
      <c r="W69" s="396"/>
      <c r="X69" s="526">
        <f t="shared" si="2"/>
        <v>0</v>
      </c>
      <c r="Y69" s="379">
        <f t="shared" si="3"/>
        <v>0</v>
      </c>
      <c r="Z69" s="380">
        <f t="shared" si="0"/>
        <v>0</v>
      </c>
      <c r="AA69" s="379">
        <f t="shared" si="6"/>
        <v>0.01</v>
      </c>
      <c r="AB69" s="379">
        <f t="shared" si="5"/>
        <v>0.30948173294522274</v>
      </c>
      <c r="AC69" s="380">
        <f t="shared" si="1"/>
        <v>0</v>
      </c>
      <c r="AD69" s="360"/>
      <c r="AE69" s="360"/>
      <c r="AF69" s="360"/>
      <c r="AG69" s="360"/>
    </row>
    <row r="70" spans="1:43" ht="30" customHeight="1" x14ac:dyDescent="0.25">
      <c r="A70" s="2"/>
      <c r="B70" s="502"/>
      <c r="C70" s="2"/>
      <c r="D70" s="2"/>
      <c r="E70" s="360"/>
      <c r="F70" s="2"/>
      <c r="G70" s="2"/>
      <c r="H70" s="2"/>
      <c r="I70" s="2"/>
      <c r="J70" s="2"/>
      <c r="K70" s="2"/>
      <c r="L70" s="2"/>
      <c r="M70" s="2"/>
      <c r="N70" s="508"/>
      <c r="O70" s="487">
        <v>28</v>
      </c>
      <c r="P70" s="51"/>
      <c r="Q70" s="396"/>
      <c r="R70" s="396"/>
      <c r="S70" s="396"/>
      <c r="T70" s="396"/>
      <c r="U70" s="396"/>
      <c r="V70" s="396"/>
      <c r="W70" s="396"/>
      <c r="X70" s="526">
        <f t="shared" si="2"/>
        <v>0</v>
      </c>
      <c r="Y70" s="379">
        <f t="shared" si="3"/>
        <v>0</v>
      </c>
      <c r="Z70" s="380">
        <f t="shared" si="0"/>
        <v>0</v>
      </c>
      <c r="AA70" s="379">
        <f t="shared" si="6"/>
        <v>0.01</v>
      </c>
      <c r="AB70" s="379">
        <f t="shared" si="5"/>
        <v>0.30948173294522274</v>
      </c>
      <c r="AC70" s="380">
        <f t="shared" si="1"/>
        <v>0</v>
      </c>
      <c r="AD70" s="360"/>
      <c r="AE70" s="360"/>
      <c r="AF70" s="360"/>
      <c r="AG70" s="360"/>
    </row>
    <row r="71" spans="1:43" ht="30" customHeight="1" x14ac:dyDescent="0.25">
      <c r="A71" s="2"/>
      <c r="B71" s="502"/>
      <c r="C71" s="2"/>
      <c r="D71" s="2"/>
      <c r="E71" s="360"/>
      <c r="F71" s="2"/>
      <c r="G71" s="2"/>
      <c r="H71" s="2"/>
      <c r="I71" s="2"/>
      <c r="J71" s="2"/>
      <c r="K71" s="2"/>
      <c r="L71" s="2"/>
      <c r="M71" s="2"/>
      <c r="N71" s="508"/>
      <c r="O71" s="484">
        <v>29</v>
      </c>
      <c r="P71" s="51"/>
      <c r="Q71" s="396"/>
      <c r="R71" s="396"/>
      <c r="S71" s="396"/>
      <c r="T71" s="396"/>
      <c r="U71" s="396"/>
      <c r="V71" s="396"/>
      <c r="W71" s="396"/>
      <c r="X71" s="526">
        <f t="shared" si="2"/>
        <v>0</v>
      </c>
      <c r="Y71" s="379">
        <f t="shared" si="3"/>
        <v>0</v>
      </c>
      <c r="Z71" s="380">
        <f t="shared" si="0"/>
        <v>0</v>
      </c>
      <c r="AA71" s="379">
        <f t="shared" si="6"/>
        <v>0.01</v>
      </c>
      <c r="AB71" s="379">
        <f t="shared" si="5"/>
        <v>0.30948173294522274</v>
      </c>
      <c r="AC71" s="380">
        <f t="shared" si="1"/>
        <v>0</v>
      </c>
      <c r="AD71" s="360"/>
      <c r="AE71" s="360"/>
      <c r="AF71" s="360"/>
      <c r="AG71" s="360"/>
    </row>
    <row r="72" spans="1:43" ht="30" customHeight="1" x14ac:dyDescent="0.25">
      <c r="A72" s="2"/>
      <c r="B72" s="502"/>
      <c r="C72" s="2"/>
      <c r="D72" s="2"/>
      <c r="E72" s="360"/>
      <c r="F72" s="2"/>
      <c r="G72" s="2"/>
      <c r="H72" s="2"/>
      <c r="I72" s="2"/>
      <c r="J72" s="2"/>
      <c r="K72" s="2"/>
      <c r="L72" s="2"/>
      <c r="M72" s="2"/>
      <c r="N72" s="508"/>
      <c r="O72" s="487">
        <v>30</v>
      </c>
      <c r="P72" s="51"/>
      <c r="Q72" s="396"/>
      <c r="R72" s="396"/>
      <c r="S72" s="396"/>
      <c r="T72" s="396"/>
      <c r="U72" s="396"/>
      <c r="V72" s="396"/>
      <c r="W72" s="396"/>
      <c r="X72" s="527">
        <f t="shared" si="2"/>
        <v>0</v>
      </c>
      <c r="Y72" s="494">
        <f t="shared" si="3"/>
        <v>0</v>
      </c>
      <c r="Z72" s="495">
        <f t="shared" si="0"/>
        <v>0</v>
      </c>
      <c r="AA72" s="494">
        <f t="shared" si="6"/>
        <v>0.01</v>
      </c>
      <c r="AB72" s="494">
        <f t="shared" si="5"/>
        <v>0.30948173294522274</v>
      </c>
      <c r="AC72" s="495">
        <f t="shared" si="1"/>
        <v>0</v>
      </c>
      <c r="AD72" s="360"/>
      <c r="AE72" s="360"/>
      <c r="AF72" s="360"/>
      <c r="AG72" s="360"/>
    </row>
    <row r="73" spans="1:43" ht="30" customHeight="1" x14ac:dyDescent="0.25">
      <c r="A73" s="2"/>
      <c r="B73" s="502"/>
      <c r="C73" s="2"/>
      <c r="D73" s="2"/>
      <c r="E73" s="360"/>
      <c r="F73" s="2"/>
      <c r="G73" s="2"/>
      <c r="H73" s="2"/>
      <c r="I73" s="2"/>
      <c r="J73" s="2"/>
      <c r="K73" s="2"/>
      <c r="L73" s="2"/>
      <c r="M73" s="2"/>
      <c r="N73" s="508"/>
      <c r="O73" s="487"/>
      <c r="P73" s="32"/>
      <c r="Q73" s="32"/>
      <c r="R73" s="32"/>
      <c r="S73" s="32"/>
      <c r="T73" s="32"/>
      <c r="U73" s="32"/>
      <c r="V73" s="32"/>
      <c r="W73" s="32"/>
      <c r="X73" s="608" t="s">
        <v>10645</v>
      </c>
      <c r="Y73" s="496" t="s">
        <v>10638</v>
      </c>
      <c r="Z73" s="497">
        <f>SUMIFS(Z43:Z72,P43:P72,Y73)</f>
        <v>0</v>
      </c>
      <c r="AA73" s="497">
        <f t="shared" ref="AA73:AB73" si="7">SUMIFS(AA43:AA72,Q43:Q72,Z73)</f>
        <v>0</v>
      </c>
      <c r="AB73" s="497">
        <f t="shared" si="7"/>
        <v>0</v>
      </c>
      <c r="AC73" s="498">
        <f>SUMIFS(AC43:AC72,P43:P72,Y73)</f>
        <v>0</v>
      </c>
      <c r="AD73" s="360"/>
      <c r="AE73" s="360"/>
      <c r="AF73" s="360"/>
      <c r="AG73" s="360"/>
    </row>
    <row r="74" spans="1:43" ht="30" customHeight="1" x14ac:dyDescent="0.25">
      <c r="A74" s="2"/>
      <c r="B74" s="503"/>
      <c r="C74" s="37"/>
      <c r="D74" s="37"/>
      <c r="E74" s="453"/>
      <c r="F74" s="37"/>
      <c r="G74" s="37"/>
      <c r="H74" s="37"/>
      <c r="I74" s="37"/>
      <c r="J74" s="37"/>
      <c r="K74" s="37"/>
      <c r="L74" s="37"/>
      <c r="M74" s="37"/>
      <c r="N74" s="509"/>
      <c r="O74" s="487"/>
      <c r="P74" s="32"/>
      <c r="Q74" s="32"/>
      <c r="R74" s="32"/>
      <c r="S74" s="32"/>
      <c r="T74" s="32"/>
      <c r="U74" s="32"/>
      <c r="V74" s="32"/>
      <c r="W74" s="32"/>
      <c r="X74" s="609"/>
      <c r="Y74" s="499" t="s">
        <v>10647</v>
      </c>
      <c r="Z74" s="500">
        <f>SUMIFS(Z43:Z72,P43:P72,Y74)</f>
        <v>0</v>
      </c>
      <c r="AA74" s="500">
        <f t="shared" ref="AA74:AB74" si="8">SUMIFS(AA43:AA72,Q43:Q72,Z74)</f>
        <v>0</v>
      </c>
      <c r="AB74" s="500">
        <f t="shared" si="8"/>
        <v>0</v>
      </c>
      <c r="AC74" s="501">
        <f>SUMIFS(AC43:AC72,P43:P72,Y74)</f>
        <v>0</v>
      </c>
      <c r="AD74" s="360"/>
      <c r="AE74" s="360"/>
      <c r="AF74" s="360"/>
      <c r="AG74" s="360"/>
    </row>
    <row r="75" spans="1:43" ht="30" customHeight="1" x14ac:dyDescent="0.25">
      <c r="A75" s="32"/>
      <c r="B75" s="32"/>
      <c r="C75" s="40"/>
      <c r="D75" s="40"/>
      <c r="E75" s="2"/>
      <c r="F75" s="40"/>
      <c r="G75" s="32"/>
      <c r="H75" s="32"/>
      <c r="I75" s="40"/>
      <c r="J75" s="40"/>
      <c r="K75" s="40"/>
      <c r="L75" s="40"/>
      <c r="M75" s="247"/>
      <c r="N75" s="247"/>
      <c r="O75" s="487"/>
      <c r="P75" s="32"/>
      <c r="Q75" s="32"/>
      <c r="R75" s="32"/>
      <c r="S75" s="32"/>
      <c r="T75" s="32"/>
      <c r="U75" s="32"/>
      <c r="V75" s="32"/>
      <c r="W75" s="32"/>
      <c r="X75" s="32"/>
      <c r="Y75" s="32"/>
      <c r="Z75" s="32"/>
      <c r="AA75" s="32"/>
      <c r="AB75" s="32"/>
      <c r="AC75" s="32"/>
      <c r="AD75" s="471"/>
      <c r="AE75" s="360"/>
      <c r="AF75" s="360"/>
      <c r="AG75" s="472"/>
      <c r="AH75" s="13"/>
      <c r="AI75" s="13"/>
      <c r="AJ75" s="13"/>
      <c r="AK75" s="13"/>
      <c r="AL75" s="13"/>
      <c r="AM75" s="13"/>
      <c r="AN75" s="13"/>
      <c r="AO75" s="13"/>
      <c r="AP75" s="13"/>
      <c r="AQ75" s="13"/>
    </row>
    <row r="76" spans="1:43" x14ac:dyDescent="0.25">
      <c r="C76" s="13"/>
      <c r="D76" s="13"/>
      <c r="E76" s="13"/>
      <c r="F76" s="13"/>
      <c r="G76" s="13"/>
      <c r="H76" s="13"/>
      <c r="I76" s="13"/>
      <c r="J76" s="13"/>
      <c r="K76" s="13"/>
      <c r="L76" s="13"/>
      <c r="AD76" s="165"/>
      <c r="AE76" s="13"/>
      <c r="AF76" s="13"/>
      <c r="AG76" s="166"/>
      <c r="AH76" s="13"/>
      <c r="AI76" s="13"/>
      <c r="AJ76" s="13"/>
      <c r="AK76" s="13"/>
      <c r="AL76" s="13"/>
      <c r="AM76" s="13"/>
      <c r="AN76" s="13"/>
      <c r="AO76" s="13"/>
      <c r="AP76" s="13"/>
      <c r="AQ76" s="13"/>
    </row>
    <row r="77" spans="1:43" x14ac:dyDescent="0.25">
      <c r="C77" s="13"/>
      <c r="D77" s="13"/>
      <c r="E77" s="13"/>
      <c r="F77" s="13"/>
      <c r="G77" s="13"/>
      <c r="H77" s="13"/>
      <c r="I77" s="13"/>
      <c r="J77" s="13"/>
      <c r="K77" s="13"/>
      <c r="L77" s="13"/>
      <c r="AD77" s="165"/>
      <c r="AE77" s="13"/>
      <c r="AF77" s="13"/>
      <c r="AG77" s="166"/>
      <c r="AH77" s="13"/>
      <c r="AI77" s="13"/>
      <c r="AJ77" s="13"/>
      <c r="AK77" s="13"/>
      <c r="AL77" s="13"/>
      <c r="AM77" s="13"/>
      <c r="AN77" s="13"/>
      <c r="AO77" s="13"/>
      <c r="AP77" s="13"/>
      <c r="AQ77" s="13"/>
    </row>
    <row r="78" spans="1:43" x14ac:dyDescent="0.25">
      <c r="C78" s="13"/>
      <c r="D78" s="13"/>
      <c r="E78" s="13"/>
      <c r="F78" s="13"/>
      <c r="G78" s="13"/>
      <c r="H78" s="13"/>
      <c r="I78" s="13"/>
      <c r="J78" s="13"/>
      <c r="K78" s="13"/>
      <c r="L78" s="13"/>
      <c r="AD78" s="165"/>
      <c r="AE78" s="13"/>
      <c r="AF78" s="13"/>
      <c r="AG78" s="166"/>
      <c r="AH78" s="13"/>
      <c r="AI78" s="13"/>
      <c r="AJ78" s="13"/>
      <c r="AK78" s="13"/>
      <c r="AL78" s="13"/>
      <c r="AM78" s="13"/>
      <c r="AN78" s="13"/>
      <c r="AO78" s="13"/>
      <c r="AP78" s="13"/>
      <c r="AQ78" s="13"/>
    </row>
    <row r="79" spans="1:43" x14ac:dyDescent="0.25">
      <c r="C79" s="13"/>
      <c r="D79" s="13"/>
      <c r="E79" s="13"/>
      <c r="F79" s="13"/>
      <c r="G79" s="13"/>
      <c r="H79" s="13"/>
      <c r="I79" s="13"/>
      <c r="J79" s="13"/>
      <c r="K79" s="13"/>
      <c r="L79" s="13"/>
      <c r="AE79" s="13"/>
      <c r="AF79" s="13"/>
      <c r="AG79" s="166"/>
      <c r="AH79" s="13"/>
      <c r="AI79" s="13"/>
      <c r="AJ79" s="13"/>
      <c r="AK79" s="13"/>
      <c r="AL79" s="13"/>
      <c r="AM79" s="13"/>
      <c r="AN79" s="13"/>
      <c r="AO79" s="13"/>
      <c r="AP79" s="13"/>
      <c r="AQ79" s="13"/>
    </row>
    <row r="80" spans="1:43" x14ac:dyDescent="0.25">
      <c r="C80" s="13"/>
      <c r="D80" s="13"/>
      <c r="E80" s="13"/>
      <c r="F80" s="13"/>
      <c r="G80" s="13"/>
      <c r="H80" s="13"/>
      <c r="I80" s="13"/>
      <c r="J80" s="13"/>
      <c r="K80" s="13"/>
      <c r="L80" s="13"/>
      <c r="AE80" s="13"/>
      <c r="AF80" s="13"/>
      <c r="AG80" s="166"/>
      <c r="AH80" s="13"/>
      <c r="AI80" s="13"/>
      <c r="AJ80" s="13"/>
      <c r="AK80" s="13"/>
      <c r="AL80" s="13"/>
      <c r="AM80" s="13"/>
      <c r="AN80" s="13"/>
      <c r="AO80" s="13"/>
      <c r="AP80" s="13"/>
      <c r="AQ80" s="13"/>
    </row>
    <row r="81" spans="3:43" x14ac:dyDescent="0.25">
      <c r="C81" s="13"/>
      <c r="D81" s="13"/>
      <c r="E81" s="13"/>
      <c r="F81" s="13"/>
      <c r="G81" s="13"/>
      <c r="H81" s="13"/>
      <c r="I81" s="13"/>
      <c r="J81" s="13"/>
      <c r="K81" s="13"/>
      <c r="L81" s="13"/>
      <c r="AE81" s="13"/>
      <c r="AF81" s="13"/>
      <c r="AG81" s="166"/>
      <c r="AH81" s="13"/>
      <c r="AI81" s="13"/>
      <c r="AJ81" s="13"/>
      <c r="AK81" s="13"/>
      <c r="AL81" s="13"/>
      <c r="AM81" s="13"/>
      <c r="AN81" s="13"/>
      <c r="AO81" s="13"/>
      <c r="AP81" s="13"/>
      <c r="AQ81" s="13"/>
    </row>
    <row r="82" spans="3:43" x14ac:dyDescent="0.25">
      <c r="C82" s="13"/>
      <c r="D82" s="13"/>
      <c r="E82" s="13"/>
      <c r="F82" s="13"/>
      <c r="G82" s="13"/>
      <c r="H82" s="13"/>
      <c r="I82" s="13"/>
      <c r="J82" s="13"/>
      <c r="K82" s="13"/>
      <c r="L82" s="13"/>
      <c r="AE82" s="13"/>
      <c r="AF82" s="13"/>
      <c r="AG82" s="166"/>
      <c r="AH82" s="13"/>
      <c r="AI82" s="13"/>
      <c r="AJ82" s="13"/>
      <c r="AK82" s="13"/>
      <c r="AL82" s="13"/>
      <c r="AM82" s="13"/>
      <c r="AN82" s="13"/>
      <c r="AO82" s="13"/>
      <c r="AP82" s="13"/>
      <c r="AQ82" s="13"/>
    </row>
    <row r="83" spans="3:43" x14ac:dyDescent="0.25">
      <c r="C83" s="13"/>
      <c r="D83" s="13"/>
      <c r="E83" s="13"/>
      <c r="F83" s="13"/>
      <c r="G83" s="13"/>
      <c r="H83" s="13"/>
      <c r="I83" s="13"/>
      <c r="J83" s="13"/>
      <c r="K83" s="13"/>
      <c r="L83" s="13"/>
      <c r="AE83" s="13"/>
      <c r="AF83" s="13"/>
      <c r="AG83" s="166"/>
      <c r="AH83" s="13"/>
      <c r="AI83" s="13"/>
      <c r="AJ83" s="13"/>
      <c r="AK83" s="13"/>
      <c r="AL83" s="13"/>
      <c r="AM83" s="13"/>
      <c r="AN83" s="13"/>
      <c r="AO83" s="13"/>
      <c r="AP83" s="13"/>
      <c r="AQ83" s="13"/>
    </row>
    <row r="84" spans="3:43" x14ac:dyDescent="0.25">
      <c r="C84" s="13"/>
      <c r="D84" s="13"/>
      <c r="E84" s="13"/>
      <c r="F84" s="13"/>
      <c r="G84" s="13"/>
      <c r="H84" s="13"/>
      <c r="I84" s="13"/>
      <c r="J84" s="13"/>
      <c r="K84" s="13"/>
      <c r="L84" s="13"/>
      <c r="AE84" s="13"/>
      <c r="AF84" s="13"/>
      <c r="AG84" s="166"/>
      <c r="AH84" s="13"/>
      <c r="AI84" s="13"/>
      <c r="AJ84" s="13"/>
      <c r="AK84" s="13"/>
      <c r="AL84" s="13"/>
      <c r="AM84" s="13"/>
      <c r="AN84" s="13"/>
      <c r="AO84" s="13"/>
      <c r="AP84" s="13"/>
      <c r="AQ84" s="13"/>
    </row>
    <row r="85" spans="3:43" x14ac:dyDescent="0.25">
      <c r="C85" s="13"/>
      <c r="D85" s="13"/>
      <c r="E85" s="13"/>
      <c r="F85" s="13"/>
      <c r="G85" s="13"/>
      <c r="H85" s="13"/>
      <c r="I85" s="13"/>
      <c r="J85" s="13"/>
      <c r="K85" s="13"/>
      <c r="L85" s="13"/>
      <c r="AE85" s="13"/>
      <c r="AF85" s="13"/>
      <c r="AG85" s="166"/>
      <c r="AH85" s="13"/>
      <c r="AI85" s="13"/>
      <c r="AJ85" s="13"/>
      <c r="AK85" s="13"/>
      <c r="AL85" s="13"/>
      <c r="AM85" s="13"/>
      <c r="AN85" s="13"/>
      <c r="AO85" s="13"/>
      <c r="AP85" s="13"/>
      <c r="AQ85" s="13"/>
    </row>
    <row r="86" spans="3:43" x14ac:dyDescent="0.25">
      <c r="C86" s="13"/>
      <c r="D86" s="13"/>
      <c r="E86" s="13"/>
      <c r="F86" s="13"/>
      <c r="G86" s="13"/>
      <c r="H86" s="13"/>
      <c r="I86" s="13"/>
      <c r="J86" s="13"/>
      <c r="K86" s="13"/>
      <c r="L86" s="13"/>
      <c r="AE86" s="13"/>
      <c r="AF86" s="13"/>
      <c r="AG86" s="166"/>
      <c r="AH86" s="13"/>
      <c r="AI86" s="13"/>
      <c r="AJ86" s="13"/>
      <c r="AK86" s="13"/>
      <c r="AL86" s="13"/>
      <c r="AM86" s="13"/>
      <c r="AN86" s="13"/>
      <c r="AO86" s="13"/>
      <c r="AP86" s="13"/>
      <c r="AQ86" s="13"/>
    </row>
    <row r="87" spans="3:43" x14ac:dyDescent="0.25">
      <c r="C87" s="13"/>
      <c r="D87" s="13"/>
      <c r="E87" s="13"/>
      <c r="F87" s="13"/>
      <c r="G87" s="13"/>
      <c r="H87" s="13"/>
      <c r="I87" s="13"/>
      <c r="J87" s="13"/>
      <c r="K87" s="13"/>
      <c r="L87" s="13"/>
      <c r="AE87" s="13"/>
      <c r="AF87" s="13"/>
      <c r="AG87" s="166"/>
      <c r="AH87" s="13"/>
      <c r="AI87" s="13"/>
      <c r="AJ87" s="13"/>
      <c r="AK87" s="13"/>
      <c r="AL87" s="13"/>
      <c r="AM87" s="13"/>
      <c r="AN87" s="13"/>
      <c r="AO87" s="13"/>
      <c r="AP87" s="13"/>
      <c r="AQ87" s="13"/>
    </row>
  </sheetData>
  <sheetProtection algorithmName="SHA-512" hashValue="CQBkhF8E5Lgb+wzrYgPotx0txo1WQOOnbt3z6deLKoRLh7FdyMTND6TPzH7qWGCK0ipmCO2LN6wbrFaebMLLtg==" saltValue="KtlcPPxJdM2PVgds6AJDkQ==" spinCount="100000" sheet="1" objects="1" scenarios="1"/>
  <protectedRanges>
    <protectedRange sqref="D21" name="cidade"/>
    <protectedRange sqref="C25:D26" name="demandaAQ"/>
    <protectedRange sqref="C43:C45" name="semAcumulacao"/>
    <protectedRange sqref="K43:K45" name="comAcumulacao"/>
    <protectedRange sqref="H43:H49 H53" name="Solar"/>
    <protectedRange sqref="N43 N45:N47 N49" name="reservatorio"/>
    <protectedRange sqref="P43:W72" name="perdas"/>
    <protectedRange sqref="V39" name="tempSetPoint"/>
    <protectedRange sqref="B63:N74" name="Notas"/>
  </protectedRanges>
  <mergeCells count="29">
    <mergeCell ref="C28:D28"/>
    <mergeCell ref="C32:D32"/>
    <mergeCell ref="B53:C53"/>
    <mergeCell ref="B48:C48"/>
    <mergeCell ref="B15:G15"/>
    <mergeCell ref="AE42:AF42"/>
    <mergeCell ref="B57:C57"/>
    <mergeCell ref="AE51:AF51"/>
    <mergeCell ref="D21:E21"/>
    <mergeCell ref="B37:C37"/>
    <mergeCell ref="G37:H37"/>
    <mergeCell ref="B42:C42"/>
    <mergeCell ref="J42:K42"/>
    <mergeCell ref="C35:D35"/>
    <mergeCell ref="M42:N42"/>
    <mergeCell ref="T39:U39"/>
    <mergeCell ref="B38:D38"/>
    <mergeCell ref="G38:J38"/>
    <mergeCell ref="AE47:AF47"/>
    <mergeCell ref="J47:K47"/>
    <mergeCell ref="C27:D27"/>
    <mergeCell ref="I2:J2"/>
    <mergeCell ref="K2:L2"/>
    <mergeCell ref="X73:X74"/>
    <mergeCell ref="Z41:AC41"/>
    <mergeCell ref="G42:H42"/>
    <mergeCell ref="H50:H51"/>
    <mergeCell ref="G50:G51"/>
    <mergeCell ref="G52:H52"/>
  </mergeCells>
  <conditionalFormatting sqref="C35">
    <cfRule type="cellIs" dxfId="55" priority="7" operator="equal">
      <formula>"Não avalia"</formula>
    </cfRule>
  </conditionalFormatting>
  <conditionalFormatting sqref="C44">
    <cfRule type="expression" dxfId="54" priority="4">
      <formula>$C$43="Chuveiro elétrico"</formula>
    </cfRule>
  </conditionalFormatting>
  <conditionalFormatting sqref="D21:E21">
    <cfRule type="expression" dxfId="53" priority="9">
      <formula>$C$21="Escolha uma cidade Representativa na lista ao lado:"</formula>
    </cfRule>
  </conditionalFormatting>
  <conditionalFormatting sqref="G53:H53">
    <cfRule type="expression" dxfId="52" priority="5">
      <formula>$H$44="Simplificado"</formula>
    </cfRule>
  </conditionalFormatting>
  <conditionalFormatting sqref="H44:H50">
    <cfRule type="expression" dxfId="51" priority="8">
      <formula>$H$43="Não"</formula>
    </cfRule>
  </conditionalFormatting>
  <conditionalFormatting sqref="H53">
    <cfRule type="expression" dxfId="50" priority="6">
      <formula>$H$43="Não"</formula>
    </cfRule>
  </conditionalFormatting>
  <conditionalFormatting sqref="K44">
    <cfRule type="expression" dxfId="49" priority="1">
      <formula>OR($K$43="Sistema de aquecimento por resistência elétrica em imersão (boiler)",$K$43="Bomba de calor elétrica para aquecimento exclusivo de água")</formula>
    </cfRule>
  </conditionalFormatting>
  <dataValidations count="6">
    <dataValidation type="list" allowBlank="1" showInputMessage="1" showErrorMessage="1" sqref="K43" xr:uid="{B7252F92-5823-4756-B4EE-3F3B4C7E89CE}">
      <formula1>"Sistema de aquecimento por resistência elétrica em imersão (boiler),Aquecedor de acumulação a combustível sólido (lenha),Bomba de calor elétrica para aquecimento exclusivo de água,Aquecedor de acumulação a gás"</formula1>
    </dataValidation>
    <dataValidation type="list" allowBlank="1" showInputMessage="1" showErrorMessage="1" sqref="H43" xr:uid="{053A546C-88DD-4031-B733-C4C164FC4FB0}">
      <formula1>"Sim,Não"</formula1>
    </dataValidation>
    <dataValidation type="list" allowBlank="1" showInputMessage="1" showErrorMessage="1" sqref="C43" xr:uid="{3EDF4A15-40E5-4F9A-AF84-724348CB9BD7}">
      <formula1>"Térmico - Único ponto de consumo,Térmico - Múltiplos pontos de consumo,Chuveiro elétrico"</formula1>
    </dataValidation>
    <dataValidation type="list" allowBlank="1" showInputMessage="1" showErrorMessage="1" sqref="H44" xr:uid="{9520E565-AB5B-4037-BC93-A8EA6AF44035}">
      <formula1>"Simplificado,Detalhado"</formula1>
    </dataValidation>
    <dataValidation type="list" allowBlank="1" showInputMessage="1" showErrorMessage="1" sqref="P43:P75" xr:uid="{F2858756-999B-4469-B8D4-95A609342A60}">
      <formula1>"Distribuição,Recirculação"</formula1>
    </dataValidation>
    <dataValidation type="list" allowBlank="1" showInputMessage="1" showErrorMessage="1" sqref="N45" xr:uid="{D246A675-5E91-4CCB-AA11-9494910C8E45}">
      <formula1>"Fabricante,Estimada"</formula1>
    </dataValidation>
  </dataValidations>
  <pageMargins left="0.511811024" right="0.511811024" top="0.78740157499999996" bottom="0.78740157499999996" header="0.31496062000000002" footer="0.31496062000000002"/>
  <pageSetup paperSize="9"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95F47C51-2902-469E-8AC3-F2F31E1DFA5A}">
          <x14:formula1>
            <xm:f>Aux_Lista!$AU$2:$AU$7</xm:f>
          </x14:formula1>
          <xm:sqref>C44 K44</xm:sqref>
        </x14:dataValidation>
        <x14:dataValidation type="list" allowBlank="1" showInputMessage="1" showErrorMessage="1" xr:uid="{08258A76-E399-4EC7-9399-794FFA05C593}">
          <x14:formula1>
            <xm:f>Aux_TBS!$C$3:$C$413</xm:f>
          </x14:formula1>
          <xm:sqref>D21:E21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17</vt:i4>
      </vt:variant>
      <vt:variant>
        <vt:lpstr>Intervalos Nomeados</vt:lpstr>
      </vt:variant>
      <vt:variant>
        <vt:i4>35</vt:i4>
      </vt:variant>
    </vt:vector>
  </HeadingPairs>
  <TitlesOfParts>
    <vt:vector size="52" baseType="lpstr">
      <vt:lpstr>Sobre</vt:lpstr>
      <vt:lpstr>Início</vt:lpstr>
      <vt:lpstr>Iluminação</vt:lpstr>
      <vt:lpstr>Envoltória</vt:lpstr>
      <vt:lpstr>INPUT</vt:lpstr>
      <vt:lpstr>INPUT_REF</vt:lpstr>
      <vt:lpstr>Aux_Lista</vt:lpstr>
      <vt:lpstr>CondicionamentoDeAr</vt:lpstr>
      <vt:lpstr>AquecimentoÁgua</vt:lpstr>
      <vt:lpstr>Componentes</vt:lpstr>
      <vt:lpstr>ElegibilidadeClassificaçãoA</vt:lpstr>
      <vt:lpstr>Inf_UsoRacionalAgua</vt:lpstr>
      <vt:lpstr>Opc_Geração</vt:lpstr>
      <vt:lpstr>Resultados</vt:lpstr>
      <vt:lpstr>Aux_Clima</vt:lpstr>
      <vt:lpstr>Aux_TBS</vt:lpstr>
      <vt:lpstr>Lista_cidades</vt:lpstr>
      <vt:lpstr>AC</vt:lpstr>
      <vt:lpstr>AL</vt:lpstr>
      <vt:lpstr>AM</vt:lpstr>
      <vt:lpstr>AP</vt:lpstr>
      <vt:lpstr>BA</vt:lpstr>
      <vt:lpstr>caso1</vt:lpstr>
      <vt:lpstr>caso2</vt:lpstr>
      <vt:lpstr>caso3</vt:lpstr>
      <vt:lpstr>caso4</vt:lpstr>
      <vt:lpstr>caso5</vt:lpstr>
      <vt:lpstr>caso6</vt:lpstr>
      <vt:lpstr>caso7</vt:lpstr>
      <vt:lpstr>CE</vt:lpstr>
      <vt:lpstr>DF</vt:lpstr>
      <vt:lpstr>ES</vt:lpstr>
      <vt:lpstr>GO</vt:lpstr>
      <vt:lpstr>lista_estados</vt:lpstr>
      <vt:lpstr>MA</vt:lpstr>
      <vt:lpstr>MG</vt:lpstr>
      <vt:lpstr>MS</vt:lpstr>
      <vt:lpstr>MT</vt:lpstr>
      <vt:lpstr>PA</vt:lpstr>
      <vt:lpstr>PB</vt:lpstr>
      <vt:lpstr>PE</vt:lpstr>
      <vt:lpstr>PI</vt:lpstr>
      <vt:lpstr>PR</vt:lpstr>
      <vt:lpstr>RJ</vt:lpstr>
      <vt:lpstr>RN</vt:lpstr>
      <vt:lpstr>RO</vt:lpstr>
      <vt:lpstr>RR</vt:lpstr>
      <vt:lpstr>RS</vt:lpstr>
      <vt:lpstr>SC</vt:lpstr>
      <vt:lpstr>SE</vt:lpstr>
      <vt:lpstr>SP</vt:lpstr>
      <vt:lpstr>TO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Greici</dc:creator>
  <cp:keywords/>
  <dc:description/>
  <cp:lastModifiedBy>Emeli Guarda</cp:lastModifiedBy>
  <cp:revision/>
  <dcterms:created xsi:type="dcterms:W3CDTF">2020-11-06T19:44:14Z</dcterms:created>
  <dcterms:modified xsi:type="dcterms:W3CDTF">2026-03-19T15:43:54Z</dcterms:modified>
  <cp:category/>
  <cp:contentStatus/>
</cp:coreProperties>
</file>